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filterPrivacy="1" showInkAnnotation="0" codeName="ThisWorkbook"/>
  <xr:revisionPtr revIDLastSave="266" documentId="8_{B66C5621-8176-486E-BB67-18C66779B249}" xr6:coauthVersionLast="47" xr6:coauthVersionMax="47" xr10:uidLastSave="{1A4E7EE9-0673-4FB9-A007-28CDF8B63BE2}"/>
  <bookViews>
    <workbookView xWindow="-11250" yWindow="-21720" windowWidth="51840" windowHeight="21240" tabRatio="846" xr2:uid="{00000000-000D-0000-FFFF-FFFF00000000}"/>
  </bookViews>
  <sheets>
    <sheet name="version" sheetId="1" r:id="rId1"/>
    <sheet name="all species output" sheetId="3" r:id="rId2"/>
    <sheet name="nano micro output" sheetId="14" r:id="rId3"/>
    <sheet name="input" sheetId="2" r:id="rId4"/>
    <sheet name="regional" sheetId="8" r:id="rId5"/>
    <sheet name="continental" sheetId="9" r:id="rId6"/>
    <sheet name="global" sheetId="10" r:id="rId7"/>
    <sheet name="engine" sheetId="12" r:id="rId8"/>
    <sheet name="dynamicR" sheetId="4" r:id="rId9"/>
    <sheet name="substances" sheetId="5" r:id="rId10"/>
    <sheet name="scenarios" sheetId="6" r:id="rId11"/>
    <sheet name="cases" sheetId="7" r:id="rId12"/>
    <sheet name="formulas_only_conventional" sheetId="11" r:id="rId13"/>
    <sheet name="extra_ENP_mass_output" sheetId="13" r:id="rId14"/>
  </sheets>
  <definedNames>
    <definedName name="_AtRisk_SimSetting_AutomaticallyGenerateReports" hidden="1">TRUE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FALSE</definedName>
    <definedName name="_AtRisk_SimSetting_LiveUpdatePeriod" hidden="1">-1</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anualCount" hidden="1">4</definedName>
    <definedName name="_AtRisk_SimSetting_MultipleCPUMode" hidden="1">2</definedName>
    <definedName name="_AtRisk_SimSetting_MultipleCPUModeV8" hidden="1">2</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hidden="1">6</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0</definedName>
    <definedName name="_AtRisk_SimSetting_ReportOptionCustomItemSummaryGraphType02" hidden="1">0</definedName>
    <definedName name="_AtRisk_SimSetting_ReportOptionCustomItemSummaryGraphType03" hidden="1">0</definedName>
    <definedName name="_AtRisk_SimSetting_ReportOptionCustomItemSummaryGraphType04" hidden="1">0</definedName>
    <definedName name="_AtRisk_SimSetting_ReportOptionCustomItemSummaryGraphType05" hidden="1">0</definedName>
    <definedName name="_AtRisk_SimSetting_ReportOptionCustomItemSummaryGraphType06"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830</definedName>
    <definedName name="_AtRisk_SimSetting_ReportOptionReportsFileType" hidden="1">1</definedName>
    <definedName name="_AtRisk_SimSetting_ReportOptionReportStyle" hidden="1">2</definedName>
    <definedName name="_AtRisk_SimSetting_ReportOptionSelectiveQR" hidden="1">FALSE</definedName>
    <definedName name="_AtRisk_SimSetting_ReportsList" hidden="1">830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xlnm._FilterDatabase" localSheetId="4" hidden="1">regional!$G$49:$L$49</definedName>
    <definedName name="_Sol25">input!$L$183</definedName>
    <definedName name="aA.tot">engine!$DI$168:$DO$168</definedName>
    <definedName name="aC.tot">engine!$AU$168:$BA$168</definedName>
    <definedName name="ADSORB.w1C.sd1C">continental!$L$175</definedName>
    <definedName name="ADSORB.w1R.sd1R">regional!$L$169</definedName>
    <definedName name="ADSORB.w2C.sd2C">continental!$L$177</definedName>
    <definedName name="ADSORB.w2R.sd2R">regional!$L$171</definedName>
    <definedName name="ADSORB.w3A.sdA">global!$L$435</definedName>
    <definedName name="ADSORB.w3M.sdM">global!$L$113</definedName>
    <definedName name="ADSORB.w3T.sdT">global!$L$757</definedName>
    <definedName name="ADSORBflow.w1R.sd1R">regional!$L$169</definedName>
    <definedName name="ADSORBflow.w2R.sd2R">regional!$L$171</definedName>
    <definedName name="ADSORBflow.w3M.sdM">global!$L$113</definedName>
    <definedName name="AEROresist.s1C">continental!$L$397</definedName>
    <definedName name="AEROresist.s1R">regional!$L$391</definedName>
    <definedName name="AEROresist.s2C">continental!$L$408</definedName>
    <definedName name="AEROresist.s2R">regional!$L$402</definedName>
    <definedName name="AEROresist.s3C">continental!$L$419</definedName>
    <definedName name="AEROresist.s3R">regional!$L$413</definedName>
    <definedName name="AEROresist.sA">global!$L$585</definedName>
    <definedName name="AEROresist.sM">global!$L$264</definedName>
    <definedName name="AEROresist.sT">global!$L$907</definedName>
    <definedName name="AEROresist.w0C">continental!$L$451</definedName>
    <definedName name="AEROresist.w0R">regional!$L$445</definedName>
    <definedName name="AEROresist.w1C">continental!$L$458</definedName>
    <definedName name="AEROresist.w1R">regional!$L$452</definedName>
    <definedName name="AEROresist.w2A">global!$L$603</definedName>
    <definedName name="AEROresist.w2C">continental!$L$461</definedName>
    <definedName name="AEROresist.w2M">global!$L$282</definedName>
    <definedName name="AEROresist.w2R">regional!$L$455</definedName>
    <definedName name="AEROresist.w2T">global!$L$925</definedName>
    <definedName name="AEROSOLdeprate.A">global!$L$413</definedName>
    <definedName name="AEROSOLdeprate.C">continental!$L$136</definedName>
    <definedName name="AEROSOLdeprate.M">global!$L$91</definedName>
    <definedName name="AEROSOLdeprate.R">regional!$L$130</definedName>
    <definedName name="AEROSOLdeprate.T">global!$L$735</definedName>
    <definedName name="AerosolWashout.A">global!$L$411</definedName>
    <definedName name="AerosolWashout.C">continental!$L$134</definedName>
    <definedName name="AerosolWashout.M">global!$L$89</definedName>
    <definedName name="AerosolWashout.R">regional!$L$128</definedName>
    <definedName name="AerosolWashout.T">global!$L$733</definedName>
    <definedName name="AHamakerSP.w">input!$L$16</definedName>
    <definedName name="aM.tot">engine!$CL$168:$CR$168</definedName>
    <definedName name="aR.tot">engine!$D$168:$J$168</definedName>
    <definedName name="AREAFRAC.s1C">continental!$L$19</definedName>
    <definedName name="AREAFRAC.s1R">regional!$L$19</definedName>
    <definedName name="AREAFRAC.s2C">continental!$L$20</definedName>
    <definedName name="AREAFRAC.s2R">regional!$L$20</definedName>
    <definedName name="AREAFRAC.s3C">continental!$L$21</definedName>
    <definedName name="AREAFRAC.s3R">regional!$L$21</definedName>
    <definedName name="AREAFRAC.sA">global!$L$342</definedName>
    <definedName name="AREAFRAC.sM">global!$L$13</definedName>
    <definedName name="AREAFRAC.sT">global!$L$664</definedName>
    <definedName name="AREAFRAC.w0C">continental!$L$17</definedName>
    <definedName name="AREAFRAC.w0R">regional!$L$17</definedName>
    <definedName name="AREAFRAC.w1C">continental!$L$18</definedName>
    <definedName name="AREAFRAC.w1R">regional!$L$18</definedName>
    <definedName name="AREAFRAC.w2C">continental!$L$22</definedName>
    <definedName name="AREAFRAC.w2R">regional!$L$22</definedName>
    <definedName name="AREAFRAC.wA">global!$L$341</definedName>
    <definedName name="AREAFRAC.wM">global!$L$12</definedName>
    <definedName name="AREAFRAC.wT">global!$L$663</definedName>
    <definedName name="AREAFRACveg.s1C">continental!$L$404</definedName>
    <definedName name="AREAFRACveg.s1R">regional!$L$398</definedName>
    <definedName name="AREAFRACveg.s2C">continental!$L$415</definedName>
    <definedName name="AREAFRACveg.s2R">regional!$L$409</definedName>
    <definedName name="AREAFRACveg.s3C">continental!$L$426</definedName>
    <definedName name="AREAFRACveg.s3R">regional!$L$420</definedName>
    <definedName name="AREAFRACveg.sA">global!$L$592</definedName>
    <definedName name="AREAFRACveg.sM">global!$L$271</definedName>
    <definedName name="AREAFRACveg.sT">global!$L$914</definedName>
    <definedName name="AREAland.C">input!$L$287</definedName>
    <definedName name="AREAland.R">input!$L$259</definedName>
    <definedName name="AREAsea.C">input!$L$288</definedName>
    <definedName name="AREAsea.R">input!$L$260</definedName>
    <definedName name="ASPDF.1dR">continental!$L$322</definedName>
    <definedName name="ASPDF.s1C">continental!$L$322</definedName>
    <definedName name="ASPDF.s1R">regional!$L$316</definedName>
    <definedName name="ASPDF.s2C">continental!$L$336</definedName>
    <definedName name="ASPDF.s2R">regional!$L$330</definedName>
    <definedName name="ASPDF.s3C">continental!$L$350</definedName>
    <definedName name="ASPDF.s3R">regional!$L$344</definedName>
    <definedName name="ASPDF.sA">global!$L$537</definedName>
    <definedName name="ASPDF.sdA">global!$L$517</definedName>
    <definedName name="ASPDF.sdC">continental!$L$300</definedName>
    <definedName name="ASPDF.sdM">global!$L$196</definedName>
    <definedName name="ASPDF.sdT">global!$L$839</definedName>
    <definedName name="ASPDF.sM">global!$L$216</definedName>
    <definedName name="ASPDF.sT">global!$L$859</definedName>
    <definedName name="aspectratioSFP.s1C">continental!$L$328</definedName>
    <definedName name="aspectratioSFP.s1R">regional!$L$322</definedName>
    <definedName name="aspectratioSFP.s2C">continental!$L$341</definedName>
    <definedName name="aspectratioSFP.s2R">regional!$L$335</definedName>
    <definedName name="aspectratioSFP.s3C">continental!$L$355</definedName>
    <definedName name="aspectratioSFP.s3R">regional!$L$349</definedName>
    <definedName name="aspectratioSFP.sA">global!$L$542</definedName>
    <definedName name="aspectratioSFP.sM">global!$L$221</definedName>
    <definedName name="aspectratioSFP.sT">global!$L$864</definedName>
    <definedName name="aspectratioSP.sdA">global!$L$523</definedName>
    <definedName name="aspectratioSP.sdC">continental!$L$306</definedName>
    <definedName name="aspectratioSP.sdM">global!$L$202</definedName>
    <definedName name="aspectratioSP.sdR">regional!$L$300</definedName>
    <definedName name="aspectratioSP.sdT">global!$L$845</definedName>
    <definedName name="aT.tot">engine!$EF$168:$EL$168</definedName>
    <definedName name="AtefSA.s1">input!$L$29</definedName>
    <definedName name="AtefSA.s2">input!$L$31</definedName>
    <definedName name="AtefSA.s3">input!$L$33</definedName>
    <definedName name="AtefSA.sd0">input!$L$35</definedName>
    <definedName name="AtefSA.sd1">input!$L$37</definedName>
    <definedName name="AtefSA.sd2">input!$L$39</definedName>
    <definedName name="AtefSA.w0">input!$L$21</definedName>
    <definedName name="AtefSA.w1">input!$L$23</definedName>
    <definedName name="AtefSA.w2">input!$L$25</definedName>
    <definedName name="AtefSA.w3">input!$L$27</definedName>
    <definedName name="AtefSP.s1">input!$L$30</definedName>
    <definedName name="AtefSP.s2">input!$L$32</definedName>
    <definedName name="AtefSP.s3">input!$L$34</definedName>
    <definedName name="AtefSP.sd0">input!$L$36</definedName>
    <definedName name="AtefSP.sd1">input!$L$38</definedName>
    <definedName name="AtefSP.sd2">input!$L$40</definedName>
    <definedName name="AtefSP.w0">input!$L$22</definedName>
    <definedName name="AtefSP.w1">input!$L$24</definedName>
    <definedName name="AtefSP.w2">input!$L$26</definedName>
    <definedName name="AtefSP.w3">input!$L$28</definedName>
    <definedName name="BACT.test">input!$L$219</definedName>
    <definedName name="BACT.w0C">continental!$L$217</definedName>
    <definedName name="BACT.w0R">regional!$L$211</definedName>
    <definedName name="BACT.w1C">continental!$L$218</definedName>
    <definedName name="BACT.w1R">regional!$L$212</definedName>
    <definedName name="BACT.w2A">global!$L$458</definedName>
    <definedName name="BACT.w2C">continental!$L$219</definedName>
    <definedName name="BACT.w2M">global!$L$136</definedName>
    <definedName name="BACT.w2R">regional!$L$213</definedName>
    <definedName name="BACT.w2T">global!$L$780</definedName>
    <definedName name="BACT.w3A">global!$L$459</definedName>
    <definedName name="BACT.w3M">global!$L$137</definedName>
    <definedName name="BACT.w3T">global!$L$781</definedName>
    <definedName name="bioavai.cutoff.diameter">'nano micro output'!$R$3</definedName>
    <definedName name="biodeg">input!$L$218</definedName>
    <definedName name="box_names">engine!$D$3:$FB$3</definedName>
    <definedName name="C.aA">engine!$DI$171</definedName>
    <definedName name="C.aAA">engine!$DK$171</definedName>
    <definedName name="C.aAP">engine!$DL$171</definedName>
    <definedName name="C.aAS">engine!$DJ$171</definedName>
    <definedName name="C.aC">engine!$AU$171</definedName>
    <definedName name="C.aCA">engine!$AW$171</definedName>
    <definedName name="C.aCP">engine!$AX$171</definedName>
    <definedName name="C.aCS">engine!$AV$171</definedName>
    <definedName name="C.aM">engine!$CL$171</definedName>
    <definedName name="C.aMA">engine!$CN$171</definedName>
    <definedName name="C.aMP">engine!$CO$171</definedName>
    <definedName name="C.aMS">engine!$CM$171</definedName>
    <definedName name="C.aR">engine!$D$171</definedName>
    <definedName name="C.aRA">engine!$F$171</definedName>
    <definedName name="C.aRG">engine!$D$171</definedName>
    <definedName name="C.aRP">engine!$G$171</definedName>
    <definedName name="C.aRS">engine!$E$171</definedName>
    <definedName name="C.aT">engine!$EF$171</definedName>
    <definedName name="C.aTA">engine!$EH$171</definedName>
    <definedName name="C.aTP">engine!$EI$171</definedName>
    <definedName name="C.aTS">engine!$EG$171</definedName>
    <definedName name="C.cwAA">engine!$DN$171</definedName>
    <definedName name="C.cwAP">engine!$DO$171</definedName>
    <definedName name="C.cwAS">engine!$DM$171</definedName>
    <definedName name="C.cwCA">engine!$AZ$171</definedName>
    <definedName name="C.cwCP">engine!$BA$171</definedName>
    <definedName name="C.cwCS">engine!$AY$171</definedName>
    <definedName name="C.cwMA">engine!$CQ$171</definedName>
    <definedName name="C.cwMP">engine!$CR$171</definedName>
    <definedName name="C.cwMS">engine!$CP$171</definedName>
    <definedName name="C.cwRA">engine!$I$171</definedName>
    <definedName name="C.cwRP">engine!$J$171</definedName>
    <definedName name="C.cwRS">engine!$H$171</definedName>
    <definedName name="C.cwTA">engine!$EK$171</definedName>
    <definedName name="C.cwTP">engine!$EL$171</definedName>
    <definedName name="C.cwTS">engine!$EJ$171</definedName>
    <definedName name="C.OHrad">input!$L$214</definedName>
    <definedName name="C.OHrad.aA">global!$L$454</definedName>
    <definedName name="C.OHrad.aC">continental!$L$212</definedName>
    <definedName name="C.OHrad.aM">global!$L$132</definedName>
    <definedName name="C.OHrad.aR">regional!$L$206</definedName>
    <definedName name="C.OHrad.aT">global!$L$776</definedName>
    <definedName name="C.s1C">engine!$BZ$171</definedName>
    <definedName name="C.s1CA">engine!$CB$171</definedName>
    <definedName name="C.s1CP">engine!$CC$171</definedName>
    <definedName name="C.s1CS">engine!$CA$171</definedName>
    <definedName name="C.s1R">engine!$AI$171</definedName>
    <definedName name="C.s1RA">engine!$AK$171</definedName>
    <definedName name="C.s1RP">engine!$AL$171</definedName>
    <definedName name="C.s1RS">engine!$AJ$171</definedName>
    <definedName name="C.s2C">engine!$CD$171</definedName>
    <definedName name="C.s2CA">engine!$CF$171</definedName>
    <definedName name="C.s2CP">engine!$CG$171</definedName>
    <definedName name="C.s2CS">engine!$CE$171</definedName>
    <definedName name="C.s2R">engine!$AM$171</definedName>
    <definedName name="C.s2RA">engine!$AO$171</definedName>
    <definedName name="C.s2RP">engine!$AP$171</definedName>
    <definedName name="C.s2RS">engine!$AN$171</definedName>
    <definedName name="C.s3C">engine!$CH$171</definedName>
    <definedName name="C.s3CA">engine!$CJ$171</definedName>
    <definedName name="C.s3CP">engine!$CK$171</definedName>
    <definedName name="C.s3CS">engine!$CI$171</definedName>
    <definedName name="C.s3R">engine!$AQ$171</definedName>
    <definedName name="C.s3RA">engine!$AS$171</definedName>
    <definedName name="C.s3RP">engine!$AT$171</definedName>
    <definedName name="C.s3RS">engine!$AR$171</definedName>
    <definedName name="C.sA">engine!$EB$171</definedName>
    <definedName name="C.sAA">engine!$ED$171</definedName>
    <definedName name="C.sAP">engine!$EE$171</definedName>
    <definedName name="C.sAS">engine!$EC$171</definedName>
    <definedName name="C.sd0CA">engine!$BP$171</definedName>
    <definedName name="C.sd0CD">engine!$BN$171</definedName>
    <definedName name="C.sd0CP">engine!$BQ$171</definedName>
    <definedName name="C.sd0CS">engine!$BO$171</definedName>
    <definedName name="C.sd0RA">engine!$Y$171</definedName>
    <definedName name="C.sd0RD">engine!$W$171</definedName>
    <definedName name="C.sd0RP">engine!$Z$171</definedName>
    <definedName name="C.sd0RS">engine!$X$171</definedName>
    <definedName name="C.sd1C">engine!$BR$171</definedName>
    <definedName name="C.sd1CA">engine!$BT$171</definedName>
    <definedName name="C.sd1CP">engine!$BU$171</definedName>
    <definedName name="C.sd1CS">engine!$BS$171</definedName>
    <definedName name="C.sd1R">engine!$AA$171</definedName>
    <definedName name="C.sd1RA">engine!$AC$171</definedName>
    <definedName name="C.sd1RP">engine!$AD$171</definedName>
    <definedName name="C.sd1RS">engine!$AB$171</definedName>
    <definedName name="C.sd2C">engine!$BV$171</definedName>
    <definedName name="C.sd2CA">engine!$BX$171</definedName>
    <definedName name="C.sd2CP">engine!$BY$171</definedName>
    <definedName name="C.sd2CS">engine!$BW$171</definedName>
    <definedName name="C.sd2R">engine!$AE$171</definedName>
    <definedName name="C.sd2RA">engine!$AG$171</definedName>
    <definedName name="C.sd2RP">engine!$AH$171</definedName>
    <definedName name="C.sd2RS">engine!$AF$171</definedName>
    <definedName name="C.sdA">engine!$DX$171</definedName>
    <definedName name="C.sdAA">engine!$DZ$171</definedName>
    <definedName name="C.sdAP">engine!$EA$171</definedName>
    <definedName name="C.sdAS">engine!$DY$171</definedName>
    <definedName name="C.sdM">engine!$DA$171</definedName>
    <definedName name="C.sdMA">engine!$DC$171</definedName>
    <definedName name="C.sdMP">engine!$DD$171</definedName>
    <definedName name="C.sdMS">engine!$DB$171</definedName>
    <definedName name="C.sdT">engine!$EU$171</definedName>
    <definedName name="C.sdTA">engine!$EW$171</definedName>
    <definedName name="C.sdTP">engine!$EX$171</definedName>
    <definedName name="C.sdTS">engine!$EV$171</definedName>
    <definedName name="C.sM">engine!$DE$171</definedName>
    <definedName name="C.sMA">engine!$DG$171</definedName>
    <definedName name="C.sMP">engine!$DH$171</definedName>
    <definedName name="C.sMS">engine!$DF$171</definedName>
    <definedName name="C.sT">engine!$EY$171</definedName>
    <definedName name="C.sTA">engine!$FA$171</definedName>
    <definedName name="C.sTP">engine!$FB$171</definedName>
    <definedName name="C.sTS">engine!$EZ$171</definedName>
    <definedName name="C.w0C">engine!$BB$171</definedName>
    <definedName name="C.w0CA">engine!$BD$171</definedName>
    <definedName name="C.w0CP">engine!$BE$171</definedName>
    <definedName name="C.w0CS">engine!$BC$171</definedName>
    <definedName name="C.w0R">engine!$K$171</definedName>
    <definedName name="C.w0RA">engine!$M$171</definedName>
    <definedName name="C.w0RP">engine!$N$171</definedName>
    <definedName name="C.w0RS">engine!$L$171</definedName>
    <definedName name="C.w1C">engine!$BF$171</definedName>
    <definedName name="C.w1CA">engine!$BH$171</definedName>
    <definedName name="C.w1CP">engine!$BI$171</definedName>
    <definedName name="C.w1CS">engine!$BG$171</definedName>
    <definedName name="C.w1R">engine!$O$171</definedName>
    <definedName name="C.w1RA">engine!$Q$171</definedName>
    <definedName name="C.w1RP">engine!$R$171</definedName>
    <definedName name="C.w1RS">engine!$P$171</definedName>
    <definedName name="C.w2A">engine!$DP$171</definedName>
    <definedName name="C.w2AA">engine!$DR$171</definedName>
    <definedName name="C.w2AP">engine!$DS$171</definedName>
    <definedName name="C.w2AS">engine!$DQ$171</definedName>
    <definedName name="C.w2C">engine!$BJ$171</definedName>
    <definedName name="C.w2CA">engine!$BL$171</definedName>
    <definedName name="C.w2CP">engine!$BM$171</definedName>
    <definedName name="C.w2CS">engine!$BK$171</definedName>
    <definedName name="C.w2M">engine!$CS$171</definedName>
    <definedName name="C.w2MA">engine!$CU$171</definedName>
    <definedName name="C.w2MP">engine!$CV$171</definedName>
    <definedName name="C.w2MS">engine!$CT$171</definedName>
    <definedName name="C.w2R">engine!$S$171</definedName>
    <definedName name="C.w2RA">engine!$U$171</definedName>
    <definedName name="C.w2RP">engine!$V$171</definedName>
    <definedName name="C.w2RS">engine!$T$171</definedName>
    <definedName name="C.w2T">engine!$EM$171</definedName>
    <definedName name="C.w2TA">engine!$EO$171</definedName>
    <definedName name="C.w2TP">engine!$EP$171</definedName>
    <definedName name="C.w2TS">engine!$EN$171</definedName>
    <definedName name="C.w3A">engine!$DT$171</definedName>
    <definedName name="C.w3AA">engine!$DV$171</definedName>
    <definedName name="C.w3AP">engine!$DW$171</definedName>
    <definedName name="C.w3AS">engine!$DU$171</definedName>
    <definedName name="C.w3M">engine!$CW$171</definedName>
    <definedName name="C.w3MA">engine!$CY$171</definedName>
    <definedName name="C.w3MP">engine!$CZ$171</definedName>
    <definedName name="C.w3MS">engine!$CX$171</definedName>
    <definedName name="C.w3T">engine!$EQ$171</definedName>
    <definedName name="C.w3TA">engine!$ES$171</definedName>
    <definedName name="C.w3TP">engine!$ET$171</definedName>
    <definedName name="C.w3TS">engine!$ER$171</definedName>
    <definedName name="CaseData">cases!$J$4:$Y$2494</definedName>
    <definedName name="CaseName">input!$L$10</definedName>
    <definedName name="CaseNames">cases!$J$4:$Y$4</definedName>
    <definedName name="ChemClass">input!$L$159</definedName>
    <definedName name="ChemClasses">input!$F$193:$F$369</definedName>
    <definedName name="ChemData">substances!$B$7:$DC$2377</definedName>
    <definedName name="ChemName">input!$L$5</definedName>
    <definedName name="ChemNames">substances!$B$7:$B$2377</definedName>
    <definedName name="ChemRowNr">input!$L$6</definedName>
    <definedName name="COL.w0C">input!$L$308</definedName>
    <definedName name="COL.w0R">input!$L$278</definedName>
    <definedName name="COL.w1C">input!$L$309</definedName>
    <definedName name="COL.w1R">input!$L$279</definedName>
    <definedName name="COL.w2A">global!$L$387</definedName>
    <definedName name="COL.w2C">input!$L$310</definedName>
    <definedName name="COL.w2M">global!$L$65</definedName>
    <definedName name="COL.w2R">input!$L$280</definedName>
    <definedName name="COL.w2T">global!$L$709</definedName>
    <definedName name="COL.w3A">global!$L$388</definedName>
    <definedName name="COL.w3M">global!$L$66</definedName>
    <definedName name="COL.w3T">global!$L$710</definedName>
    <definedName name="COLLECTeff.A">global!$L$415</definedName>
    <definedName name="COLLECTeff.C">continental!$L$137</definedName>
    <definedName name="COLLECTeff.M">global!$L$93</definedName>
    <definedName name="COLLECTeff.R">regional!$L$131</definedName>
    <definedName name="COLLECTeff.T">global!$L$737</definedName>
    <definedName name="concentration">engine!$D$171:$EY$171</definedName>
    <definedName name="CORG">input!$L$327</definedName>
    <definedName name="CORG.aers">input!$L$326</definedName>
    <definedName name="CORG.s1C">continental!$L$101</definedName>
    <definedName name="CORG.s1R">regional!$L$95</definedName>
    <definedName name="CORG.s2C">continental!$L$106</definedName>
    <definedName name="CORG.s2R">regional!$L$100</definedName>
    <definedName name="CORG.s3C">continental!$L$111</definedName>
    <definedName name="CORG.s3R">regional!$L$105</definedName>
    <definedName name="CORG.sA">global!$L$396</definedName>
    <definedName name="CORG.sd0C">continental!$L$90</definedName>
    <definedName name="CORG.sd0R">regional!$L$84</definedName>
    <definedName name="CORG.sd1C">continental!$L$93</definedName>
    <definedName name="CORG.sd1R">regional!$L$87</definedName>
    <definedName name="CORG.sd2C">continental!$L$96</definedName>
    <definedName name="CORG.sd2R">regional!$L$90</definedName>
    <definedName name="CORG.sdA">global!$L$391</definedName>
    <definedName name="CORG.sdM">global!$L$69</definedName>
    <definedName name="CORG.sdT">global!$L$713</definedName>
    <definedName name="CORG.sM">global!$L$74</definedName>
    <definedName name="CORG.sT">global!$L$718</definedName>
    <definedName name="CORG.susp0C">continental!$L$78</definedName>
    <definedName name="CORG.susp0R">regional!$L$72</definedName>
    <definedName name="CORG.susp1C">continental!$L$82</definedName>
    <definedName name="CORG.susp1R">regional!$L$76</definedName>
    <definedName name="CORG.susp2A">global!$L$381</definedName>
    <definedName name="CORG.susp2C">continental!$L$86</definedName>
    <definedName name="CORG.susp2M">global!$L$59</definedName>
    <definedName name="CORG.susp2R">regional!$L$80</definedName>
    <definedName name="CORG.susp2T">global!$L$703</definedName>
    <definedName name="CORG.susp3A">global!$L$382</definedName>
    <definedName name="CORG.susp3M">global!$L$60</definedName>
    <definedName name="CORG.susp3T">global!$L$704</definedName>
    <definedName name="CORGaer">input!$L$326</definedName>
    <definedName name="CORGaers">input!$L$326</definedName>
    <definedName name="CORR.leach.s1C">continental!$L$230</definedName>
    <definedName name="CORRleach.s1C">continental!$L$230</definedName>
    <definedName name="CORRleach.s1R">regional!$L$224</definedName>
    <definedName name="CORRleach.s2C">continental!$L$231</definedName>
    <definedName name="CORRleach.s2R">regional!$L$225</definedName>
    <definedName name="CORRleach.s3C">continental!$L$232</definedName>
    <definedName name="CORRleach.s3R">regional!$L$226</definedName>
    <definedName name="CORRleach.sA">global!$L$464</definedName>
    <definedName name="CORRleach.sM">global!$L$142</definedName>
    <definedName name="CORRleach.sT">global!$L$786</definedName>
    <definedName name="CORRrunoff.s1C">continental!$L$194</definedName>
    <definedName name="CORRrunoff.s1R">regional!$L$188</definedName>
    <definedName name="CORRrunoff.s2C">continental!$L$195</definedName>
    <definedName name="CORRrunoff.s2R">regional!$L$189</definedName>
    <definedName name="CORRrunoff.s3C">continental!$L$196</definedName>
    <definedName name="CORRrunoff.s3R">regional!$L$190</definedName>
    <definedName name="CORRrunoff.sA">global!$L$443</definedName>
    <definedName name="CORRrunoff.sM">global!$L$121</definedName>
    <definedName name="CORRrunoff.sT">global!$L$765</definedName>
    <definedName name="CORRvolat.s1C">continental!$L$150</definedName>
    <definedName name="CORRvolat.s1R">regional!$L$144</definedName>
    <definedName name="CORRvolat.s2C">continental!$L$151</definedName>
    <definedName name="CORRvolat.s2R">regional!$L$145</definedName>
    <definedName name="CORRvolat.s3C">continental!$L$152</definedName>
    <definedName name="CORRvolat.s3R">regional!$L$146</definedName>
    <definedName name="CORRvolat.sA">global!$L$425</definedName>
    <definedName name="CORRvolat.sM">global!$L$103</definedName>
    <definedName name="CORRvolat.sT">global!$L$747</definedName>
    <definedName name="CritStokesNumb.cwA">global!$L$554</definedName>
    <definedName name="CritStokesNumb.cwC">continental!$L$367</definedName>
    <definedName name="CritStokesNumb.cwM">global!$L$233</definedName>
    <definedName name="CritStokesNumb.cwR">regional!$L$361</definedName>
    <definedName name="CritStokesNumb.cwT">global!$L$876</definedName>
    <definedName name="CunninghaA.cwA">global!$L$553</definedName>
    <definedName name="CunninghaAA.aA">global!$L$572</definedName>
    <definedName name="Cunningham.cwA">global!$L$553</definedName>
    <definedName name="Cunningham.cwC">continental!$L$366</definedName>
    <definedName name="Cunningham.cwM">global!$L$232</definedName>
    <definedName name="Cunningham.cwR">regional!$L$360</definedName>
    <definedName name="Cunningham.cwT">global!$L$875</definedName>
    <definedName name="CunninghamA.aA">global!$L$572</definedName>
    <definedName name="CunninghamA.aC">continental!$L$384</definedName>
    <definedName name="CunninghamA.aM">global!$L$251</definedName>
    <definedName name="CunninghamA.aR">regional!$L$378</definedName>
    <definedName name="CunninghamA.aT">global!$L$894</definedName>
    <definedName name="CunninghamP.a">input!$L$400</definedName>
    <definedName name="CunninghamS">input!$L$377</definedName>
    <definedName name="D">input!$L$168</definedName>
    <definedName name="DEPTH.s1C">continental!$L$30</definedName>
    <definedName name="DEPTH.s1R">regional!$L$30</definedName>
    <definedName name="DEPTH.s2C">continental!$L$31</definedName>
    <definedName name="DEPTH.s2R">regional!$L$31</definedName>
    <definedName name="DEPTH.s3C">continental!$L$32</definedName>
    <definedName name="DEPTH.s3R">regional!$L$32</definedName>
    <definedName name="DEPTH.sA">global!$L$347</definedName>
    <definedName name="DEPTH.sd0C">continental!$L$27</definedName>
    <definedName name="DEPTH.sd0R">regional!$L$27</definedName>
    <definedName name="DEPTH.sd1C">continental!$L$28</definedName>
    <definedName name="DEPTH.sd1R">regional!$L$28</definedName>
    <definedName name="DEPTH.sd2C">continental!$L$29</definedName>
    <definedName name="DEPTH.sd2R">regional!$L$29</definedName>
    <definedName name="DEPTH.sdA">global!$L$346</definedName>
    <definedName name="DEPTH.sdM">global!$L$17</definedName>
    <definedName name="DEPTH.sdT">global!$L$668</definedName>
    <definedName name="DEPTH.sM">global!$L$18</definedName>
    <definedName name="DEPTH.sT">global!$L$669</definedName>
    <definedName name="DEPTH.w0C">continental!$L$24</definedName>
    <definedName name="DEPTH.w0R">regional!$L$24</definedName>
    <definedName name="DEPTH.w1C">continental!$L$25</definedName>
    <definedName name="DEPTH.w1R">regional!$L$25</definedName>
    <definedName name="DEPTH.w2A">global!$L$344</definedName>
    <definedName name="DEPTH.w2C">continental!$L$26</definedName>
    <definedName name="DEPTH.w2M">global!$L$15</definedName>
    <definedName name="DEPTH.w2R">regional!$L$26</definedName>
    <definedName name="DEPTH.w2T">global!$L$666</definedName>
    <definedName name="DEPTH.w3A">global!$L$345</definedName>
    <definedName name="DEPTH.w3M">global!$L$16</definedName>
    <definedName name="DEPTH.w3T">global!$L$667</definedName>
    <definedName name="DEPTHfreshwater.C">input!$L$300</definedName>
    <definedName name="DEPTHfreshwater.R">input!$L$270</definedName>
    <definedName name="DEPTHlake.C">input!$L$299</definedName>
    <definedName name="DEPTHlake.R">input!$L$269</definedName>
    <definedName name="DEPTHlakewater.C">input!$L$299</definedName>
    <definedName name="DEPTHlakewater.R">input!$L$269</definedName>
    <definedName name="DEPvelocity.aAA.sAA">global!$L$595</definedName>
    <definedName name="DEPvelocity.aAA.w2AA">global!$L$609</definedName>
    <definedName name="DEPvelocity.aAS.sAS">global!$L$584</definedName>
    <definedName name="DEPvelocity.aAS.w2AS">global!$L$602</definedName>
    <definedName name="DEPvelocity.aCA.s1CA">continental!$L$429</definedName>
    <definedName name="DEPvelocity.aCA.s2CA">continental!$L$435</definedName>
    <definedName name="DEPvelocity.aCA.s3CA">continental!$L$441</definedName>
    <definedName name="DEPvelocity.aCA.w0CA">continental!$L$463</definedName>
    <definedName name="DEPvelocity.aCA.w1CA">continental!$L$468</definedName>
    <definedName name="DEPvelocity.aCA.w2CA">continental!$L$470</definedName>
    <definedName name="DEPvelocity.aCS.s1CS">continental!$L$396</definedName>
    <definedName name="DEPvelocity.aCS.s2CS">continental!$L$407</definedName>
    <definedName name="DEPvelocity.aCS.s3CS">continental!$L$418</definedName>
    <definedName name="DEPvelocity.aCS.w0CS">continental!$L$450</definedName>
    <definedName name="DEPvelocity.aCS.w1CS">continental!$L$457</definedName>
    <definedName name="DEPvelocity.aCS.w2CS">continental!$L$460</definedName>
    <definedName name="DEPvelocity.aMA.sMA">global!$L$274</definedName>
    <definedName name="DEPvelocity.aMA.w2MA">global!$L$288</definedName>
    <definedName name="DEPvelocity.aMS.sMS">global!$L$263</definedName>
    <definedName name="DEPvelocity.aMS.w2MS">global!$L$281</definedName>
    <definedName name="DEPvelocity.aRA.s1RA">regional!$L$423</definedName>
    <definedName name="DEPvelocity.aRA.s2RA">regional!$L$429</definedName>
    <definedName name="DEPvelocity.aRA.s3RA">regional!$L$435</definedName>
    <definedName name="DEPvelocity.aRA.w0RA">regional!$L$457</definedName>
    <definedName name="DEPvelocity.aRA.w1RA">regional!$L$462</definedName>
    <definedName name="DEPvelocity.aRA.w2RA">regional!$L$464</definedName>
    <definedName name="DEPvelocity.aRS.s1RS">regional!$L$390</definedName>
    <definedName name="DEPvelocity.aRS.s2RS">regional!$L$401</definedName>
    <definedName name="DEPvelocity.aRS.s3RS">regional!$L$412</definedName>
    <definedName name="DEPvelocity.aRS.w0RS">regional!$L$444</definedName>
    <definedName name="DEPvelocity.aRS.w1RS">regional!$L$451</definedName>
    <definedName name="DEPvelocity.aRS.w2RS">regional!$L$454</definedName>
    <definedName name="DEPvelocity.aTA.sTA">global!$L$917</definedName>
    <definedName name="DEPvelocity.aTA.w2TA">global!$L$931</definedName>
    <definedName name="DEPvelocity.aTS.sTS">global!$L$906</definedName>
    <definedName name="DEPvelocity.aTS.w2TS">global!$L$924</definedName>
    <definedName name="DESORB.sd1C.w1C">continental!$L$176</definedName>
    <definedName name="DESORB.sd1R.w1R">regional!$L$170</definedName>
    <definedName name="DESORB.sd2C.w2C">continental!$L$178</definedName>
    <definedName name="DESORB.sd2R.w2R">regional!$L$172</definedName>
    <definedName name="DESORB.sdA.w3A">global!$L$436</definedName>
    <definedName name="DESORB.sdM.w3M">global!$L$114</definedName>
    <definedName name="DESORB.sdT.w3T">global!$L$758</definedName>
    <definedName name="DESORBflow.sd1R.w1R">regional!$L$170</definedName>
    <definedName name="DESORBflow.sd2R.w2R">regional!$L$172</definedName>
    <definedName name="DESORBflow.sdM.w3M">global!$L$114</definedName>
    <definedName name="DiffA.aA">global!$L$573</definedName>
    <definedName name="DiffA.aC">continental!$L$385</definedName>
    <definedName name="DiffA.aM">global!$L$252</definedName>
    <definedName name="DiffA.aR">regional!$L$379</definedName>
    <definedName name="DiffA.aT">global!$L$895</definedName>
    <definedName name="DiffAcc.aA">global!$L$477</definedName>
    <definedName name="DiffAcc.aC">continental!$L$244</definedName>
    <definedName name="DiffAcc.aM">global!$L$156</definedName>
    <definedName name="DiffAcc.aR">regional!$L$238</definedName>
    <definedName name="DiffAcc.aT">global!$L$799</definedName>
    <definedName name="DiffCP.aA">global!$L$482</definedName>
    <definedName name="DiffCP.aC">continental!$L$248</definedName>
    <definedName name="DiffCP.aM">global!$L$161</definedName>
    <definedName name="DiffCP.aR">regional!$L$242</definedName>
    <definedName name="DiffCP.aT">global!$L$804</definedName>
    <definedName name="DIFFgas">input!$L$324</definedName>
    <definedName name="DiffNuc.aA">global!$L$472</definedName>
    <definedName name="DiffNuc.aC">continental!$L$240</definedName>
    <definedName name="DiffNuc.aM">global!$L$151</definedName>
    <definedName name="DiffNuc.aR">regional!$L$234</definedName>
    <definedName name="DiffNuc.aT">global!$L$794</definedName>
    <definedName name="DiffS.aA">input!$L$387</definedName>
    <definedName name="DiffS.aC">input!$L$382</definedName>
    <definedName name="DiffS.aM">input!$L$385</definedName>
    <definedName name="DiffS.aR">input!$L$379</definedName>
    <definedName name="DiffS.aT">input!$L$389</definedName>
    <definedName name="DiffS.wA">input!$L$388</definedName>
    <definedName name="DiffS.wC">input!$L$383</definedName>
    <definedName name="DiffS.wM">input!$L$386</definedName>
    <definedName name="DiffS.wR">input!$L$380</definedName>
    <definedName name="DiffS.wT">input!$L$390</definedName>
    <definedName name="DIFFwater">input!$L$325</definedName>
    <definedName name="DRYDEPaerosol.A">global!$L$410</definedName>
    <definedName name="DRYDEPaerosol.C">continental!$L$133</definedName>
    <definedName name="DRYDEPaerosol.M">global!$L$88</definedName>
    <definedName name="DRYDEPaerosol.R">regional!$L$127</definedName>
    <definedName name="DRYDEPaerosol.T">global!$L$732</definedName>
    <definedName name="Dyn_m0">dynamicR!$J$14:$FH$14</definedName>
    <definedName name="dynR_mantime">dynamicR!$H$12</definedName>
    <definedName name="DYNVISC.a">input!$L$330</definedName>
    <definedName name="DYNVISC.w">input!$L$332</definedName>
    <definedName name="E.aAG">input!$L$248</definedName>
    <definedName name="E.aAS">input!$L$149</definedName>
    <definedName name="E.aCG">input!$L$236</definedName>
    <definedName name="E.aCS">input!$L$137</definedName>
    <definedName name="E.aMG">input!$L$244</definedName>
    <definedName name="E.aMS">input!$L$145</definedName>
    <definedName name="E.aRG">input!$L$228</definedName>
    <definedName name="E.aRS">input!$L$129</definedName>
    <definedName name="E.aTG">input!$L$252</definedName>
    <definedName name="E.aTS">input!$L$153</definedName>
    <definedName name="E.s1CD">input!$L$240</definedName>
    <definedName name="E.s1CS">input!$L$141</definedName>
    <definedName name="E.s1RD">input!$L$232</definedName>
    <definedName name="E.s1RS">input!$L$133</definedName>
    <definedName name="E.s2CD">input!$L$241</definedName>
    <definedName name="E.s2CS">input!$L$142</definedName>
    <definedName name="E.s2RD">input!$L$233</definedName>
    <definedName name="E.s2RS">input!$L$134</definedName>
    <definedName name="E.s3CD">input!$L$242</definedName>
    <definedName name="E.s3CS">input!$L$143</definedName>
    <definedName name="E.s3RD">input!$L$234</definedName>
    <definedName name="E.s3RS">input!$L$135</definedName>
    <definedName name="E.sAD">input!$L$250</definedName>
    <definedName name="E.sAS">input!$L$151</definedName>
    <definedName name="E.sMD">input!$L$246</definedName>
    <definedName name="E.sMS">input!$L$147</definedName>
    <definedName name="E.sTD">input!$L$254</definedName>
    <definedName name="E.sTS">input!$L$155</definedName>
    <definedName name="E.w0CD">input!$L$237</definedName>
    <definedName name="E.w0CS">input!$L$138</definedName>
    <definedName name="E.w0RD">input!$L$229</definedName>
    <definedName name="E.w0RS">input!$L$130</definedName>
    <definedName name="E.w1CD">input!$L$238</definedName>
    <definedName name="E.w1CS">input!$L$139</definedName>
    <definedName name="E.w1RD">input!$L$230</definedName>
    <definedName name="E.w1RS">input!$L$131</definedName>
    <definedName name="E.w2AD">input!$L$249</definedName>
    <definedName name="E.w2AS">input!$L$150</definedName>
    <definedName name="E.w2CD">input!$L$239</definedName>
    <definedName name="E.w2CS">input!$L$140</definedName>
    <definedName name="E.w2MD">input!$L$245</definedName>
    <definedName name="E.w2MS">input!$L$146</definedName>
    <definedName name="E.w2RD">input!$L$231</definedName>
    <definedName name="E.w2RS">input!$L$132</definedName>
    <definedName name="E.w2TD">input!$L$253</definedName>
    <definedName name="E.w2TS">input!$L$154</definedName>
    <definedName name="Ea.OHrad">input!$L$216</definedName>
    <definedName name="emis">engine!$D$5:$FB$5</definedName>
    <definedName name="emis.I">dynamicR!$J$15:$FH$15</definedName>
    <definedName name="emis.II">dynamicR!$J$16:$FH$16</definedName>
    <definedName name="Emis.tot">engine!$C$335</definedName>
    <definedName name="EROSION.C">input!$L$304</definedName>
    <definedName name="EROSION.R">input!$L$274</definedName>
    <definedName name="EROSION.s1C">continental!$L$188</definedName>
    <definedName name="EROSION.s1R">regional!$L$182</definedName>
    <definedName name="EROSION.s2C">continental!$L$189</definedName>
    <definedName name="EROSION.s2R">regional!$L$183</definedName>
    <definedName name="EROSION.s3C">continental!$L$190</definedName>
    <definedName name="EROSION.s3R">regional!$L$184</definedName>
    <definedName name="EROSION.sA">global!$L$441</definedName>
    <definedName name="EROSION.sM">global!$L$119</definedName>
    <definedName name="EROSION.sT">global!$L$763</definedName>
    <definedName name="F.aA">engine!$DI$170</definedName>
    <definedName name="F.aC">engine!$AU$170</definedName>
    <definedName name="F.aM">engine!$CL$170</definedName>
    <definedName name="F.aR">engine!$D$170</definedName>
    <definedName name="F.aT">engine!$EF$170</definedName>
    <definedName name="F.s1C">engine!$BZ$170</definedName>
    <definedName name="F.s1R">engine!$AI$170</definedName>
    <definedName name="F.s2C">engine!$CD$170</definedName>
    <definedName name="F.s2R">engine!$AM$170</definedName>
    <definedName name="F.s3C">engine!$CH$170</definedName>
    <definedName name="F.s3R">engine!$AQ$170</definedName>
    <definedName name="F.sA">engine!$EB$170</definedName>
    <definedName name="F.sd1C">engine!$BR$170</definedName>
    <definedName name="F.sd1R">engine!$AA$170</definedName>
    <definedName name="F.sd2C">engine!$BV$170</definedName>
    <definedName name="F.sd2R">engine!$AE$170</definedName>
    <definedName name="F.sdA">engine!$DX$170</definedName>
    <definedName name="F.sdM">engine!$DA$170</definedName>
    <definedName name="F.sdT">engine!$EU$170</definedName>
    <definedName name="F.sM">engine!$DE$170</definedName>
    <definedName name="F.sT">engine!$EY$170</definedName>
    <definedName name="F.w0C">engine!$BB$170</definedName>
    <definedName name="F.w0R">engine!$K$170</definedName>
    <definedName name="F.w1C">engine!$BF$170</definedName>
    <definedName name="F.w1R">engine!$O$170</definedName>
    <definedName name="F.w2A">engine!$DP$170</definedName>
    <definedName name="F.w2C">engine!$BJ$170</definedName>
    <definedName name="F.w2M">engine!$CS$170</definedName>
    <definedName name="F.w2R">engine!$S$170</definedName>
    <definedName name="F.w2T">engine!$EM$170</definedName>
    <definedName name="F.w3A">engine!$DT$170</definedName>
    <definedName name="F.w3M">engine!$CW$170</definedName>
    <definedName name="F.w3T">engine!$EQ$170</definedName>
    <definedName name="fBrown.aAA.cwAA">global!$L$578</definedName>
    <definedName name="fBrown.aAA.sAA">global!$L$597</definedName>
    <definedName name="fBrown.aAA.w">global!$L$611</definedName>
    <definedName name="fBrown.aAS.cwAS">global!$L$567</definedName>
    <definedName name="fBrown.aAS.sAS">global!$L$588</definedName>
    <definedName name="fBrown.aAS.w">global!$L$606</definedName>
    <definedName name="fBrown.aCA.cwCA">continental!$L$390</definedName>
    <definedName name="fBrown.aCA.s1CA">continental!$L$431</definedName>
    <definedName name="fBrown.aCA.s2CA">continental!$L$437</definedName>
    <definedName name="fBrown.aCA.s3CA">continental!$L$443</definedName>
    <definedName name="fBrown.aCA.w">continental!$L$465</definedName>
    <definedName name="fBrown.aCS.cwCS">continental!$L$379</definedName>
    <definedName name="fBrown.aCS.s1CS">continental!$L$400</definedName>
    <definedName name="fBrown.aCS.s2CS">continental!$L$411</definedName>
    <definedName name="fBrown.aCS.s3CS">continental!$L$422</definedName>
    <definedName name="fBrown.aCS.w">continental!$L$454</definedName>
    <definedName name="fBrown.aMA.cwMA">global!$L$257</definedName>
    <definedName name="fBrown.aMA.sMA">global!$L$276</definedName>
    <definedName name="fBrown.aMA.w">global!$L$290</definedName>
    <definedName name="fBrown.aMS.cwMS">global!$L$246</definedName>
    <definedName name="fBrown.aMS.sMS">global!$L$267</definedName>
    <definedName name="fBrown.aMS.w">global!$L$285</definedName>
    <definedName name="fBrown.aRA.cwRA">regional!$L$384</definedName>
    <definedName name="fBrown.aRA.s1RA">regional!$L$425</definedName>
    <definedName name="fBrown.aRA.s2RA">regional!$L$431</definedName>
    <definedName name="fBrown.aRA.s3RA">regional!$L$437</definedName>
    <definedName name="fBrown.aRA.w">regional!$L$459</definedName>
    <definedName name="fBrown.aRS.cwRS">regional!$L$373</definedName>
    <definedName name="fBrown.aRS.s1RS">regional!$L$394</definedName>
    <definedName name="fBrown.aRS.s2RS">regional!$L$405</definedName>
    <definedName name="fBrown.aRS.s3RS">regional!$L$416</definedName>
    <definedName name="fBrown.aRS.w">regional!$L$448</definedName>
    <definedName name="fBrown.aTA.cwTA">global!$L$900</definedName>
    <definedName name="fBrown.aTA.sTA">global!$L$919</definedName>
    <definedName name="fBrown.ATA.w">global!$L$933</definedName>
    <definedName name="fBrown.aTA.w2TA">global!$L$933</definedName>
    <definedName name="fBrown.aTS.cwTS">global!$L$889</definedName>
    <definedName name="fBrown.aTS.sTS">global!$L$910</definedName>
    <definedName name="fBrown.ATS.w">global!$L$928</definedName>
    <definedName name="fBrown.aTS.w2TS">global!$L$928</definedName>
    <definedName name="fBrownSFP.s1C">continental!$L$321</definedName>
    <definedName name="fBrownSFP.s1R">regional!$L$315</definedName>
    <definedName name="fBrownSFP.s2C">continental!$L$335</definedName>
    <definedName name="fBrownSFP.s2R">regional!$L$329</definedName>
    <definedName name="fBrownSFP.s3C">continental!$L$349</definedName>
    <definedName name="fBrownSFP.s3R">regional!$L$343</definedName>
    <definedName name="fBrownSFP.sA">global!$L$536</definedName>
    <definedName name="fBrownSFP.sM">global!$L$215</definedName>
    <definedName name="fBrownSFP.sT">global!$L$858</definedName>
    <definedName name="fBrownSNC.sA">global!$L$530</definedName>
    <definedName name="fBrownSNC.sC">continental!$L$314</definedName>
    <definedName name="fBrownSNC.sdA">global!$L$510</definedName>
    <definedName name="fBrownSNC.sdC">continental!$L$290</definedName>
    <definedName name="fBrownSNC.sdM">global!$L$189</definedName>
    <definedName name="fBrownSNC.sdR">regional!$L$284</definedName>
    <definedName name="fBrownSNC.sdT">global!$L$832</definedName>
    <definedName name="fBrownSNC.sM">global!$L$209</definedName>
    <definedName name="fBrownSNC.sR">regional!$L$308</definedName>
    <definedName name="fBrownSNC.sT">global!$L$852</definedName>
    <definedName name="fBrownSNC.wA">global!$L$495</definedName>
    <definedName name="fBrownSNC.wC">continental!$L$266</definedName>
    <definedName name="fBrownSNC.wM">global!$L$174</definedName>
    <definedName name="fBrownSNC.wR">regional!$L$260</definedName>
    <definedName name="fBrownSNC.wT">global!$L$817</definedName>
    <definedName name="fBrownSP.sdA">global!$L$516</definedName>
    <definedName name="fBrownSP.sdC">continental!$L$299</definedName>
    <definedName name="fBrownSP.sdM">global!$L$195</definedName>
    <definedName name="fBrownSP.sdR">regional!$L$293</definedName>
    <definedName name="fBrownSP.sdT">global!$L$838</definedName>
    <definedName name="fBrownSSPM.wA">global!$L$505</definedName>
    <definedName name="fBrownSSPM.wC">continental!$L$281</definedName>
    <definedName name="fBrownSSPM.wM">global!$L$184</definedName>
    <definedName name="fBrownSSPM.wR">regional!$L$275</definedName>
    <definedName name="fBrownSSPM.wT">global!$L$827</definedName>
    <definedName name="fGrav.aAA.cwAA">global!$L$580</definedName>
    <definedName name="fGrav.aAA.w">global!$L$612</definedName>
    <definedName name="fGrav.aAAsAA">global!$L$599</definedName>
    <definedName name="fGrav.aAAsMA">global!$L$599</definedName>
    <definedName name="fGrav.aAS.cwAS">global!$L$569</definedName>
    <definedName name="fGrav.aAS.sAS">global!$L$593</definedName>
    <definedName name="fGrav.aAS.w">global!$L$607</definedName>
    <definedName name="fGrav.aCA.cwCA">continental!$L$392</definedName>
    <definedName name="fGrav.aCA.w">continental!$L$466</definedName>
    <definedName name="fGrav.aCAs1CA">continental!$L$433</definedName>
    <definedName name="fGrav.aCAs2CA">continental!$L$439</definedName>
    <definedName name="fGrav.aCAs3CA">continental!$L$445</definedName>
    <definedName name="fGrav.aCS.cwCS">continental!$L$381</definedName>
    <definedName name="fGrav.aCS.s1CS">continental!$L$405</definedName>
    <definedName name="fGrav.aCS.s2CS">continental!$L$416</definedName>
    <definedName name="fGrav.aCS.s3CS">continental!$L$427</definedName>
    <definedName name="fGrav.aCS.w">continental!$L$455</definedName>
    <definedName name="fGrav.aMA.cwMA">global!$L$259</definedName>
    <definedName name="fGrav.aMA.w">global!$L$291</definedName>
    <definedName name="fGrav.aMAsMA">global!$L$278</definedName>
    <definedName name="fGrav.aMS.cwMS">global!$L$248</definedName>
    <definedName name="fGrav.aMS.sMS">global!$L$272</definedName>
    <definedName name="fGrav.aMS.w">global!$L$286</definedName>
    <definedName name="fGrav.aRA.cwRA">regional!$L$386</definedName>
    <definedName name="fGrav.aRA.w">regional!$L$460</definedName>
    <definedName name="fGrav.aRAs1RA">regional!$L$427</definedName>
    <definedName name="fGrav.aRAs2RA">regional!$L$433</definedName>
    <definedName name="fGrav.aRAs3RA">regional!$L$439</definedName>
    <definedName name="fGrav.aRS.cwRS">regional!$L$375</definedName>
    <definedName name="fGrav.aRS.s1RS">regional!$L$399</definedName>
    <definedName name="fGrav.aRS.s2RS">regional!$L$410</definedName>
    <definedName name="fGrav.aRS.s3RS">regional!$L$421</definedName>
    <definedName name="fGrav.aRS.w">regional!$L$449</definedName>
    <definedName name="fGrav.aTA.cwTA">global!$L$902</definedName>
    <definedName name="fGrav.aTA.sTA">global!$L$921</definedName>
    <definedName name="fGrav.ATA.w">global!$L$934</definedName>
    <definedName name="fGrav.aTA.w2TA">global!$L$934</definedName>
    <definedName name="fGrav.ATAsMA">global!$L$921</definedName>
    <definedName name="fGrav.aTS.cwTS">global!$L$891</definedName>
    <definedName name="fGrav.aTS.sTS">global!$L$915</definedName>
    <definedName name="fGrav.ATS.w">global!$L$929</definedName>
    <definedName name="fGrav.aTS.w2TS">global!$L$929</definedName>
    <definedName name="fGravSFP.s1C">continental!$L$326</definedName>
    <definedName name="fGravSFP.s1R">regional!$L$320</definedName>
    <definedName name="fGravSFP.s2C">continental!$L$340</definedName>
    <definedName name="fGravSFP.s2R">regional!$L$334</definedName>
    <definedName name="fGravSFP.s3C">continental!$L$354</definedName>
    <definedName name="fGravSFP.s3R">regional!$L$348</definedName>
    <definedName name="fGravSFP.sA">global!$L$541</definedName>
    <definedName name="fGravSFP.sM">global!$L$220</definedName>
    <definedName name="fGravSFP.sT">global!$L$863</definedName>
    <definedName name="fGravSNC.sA">global!$L$531</definedName>
    <definedName name="fGravSNC.sC">continental!$L$315</definedName>
    <definedName name="fGravSNC.sdA">global!$L$511</definedName>
    <definedName name="fGravSNC.sdC">continental!$L$291</definedName>
    <definedName name="fGravSNC.sdM">global!$L$190</definedName>
    <definedName name="fGravSNC.sdR">regional!$L$285</definedName>
    <definedName name="fGravSNC.sdT">global!$L$833</definedName>
    <definedName name="fGravSNC.sM">global!$L$210</definedName>
    <definedName name="fGravSNC.sR">regional!$L$309</definedName>
    <definedName name="fGravSNC.sT">global!$L$853</definedName>
    <definedName name="fGravSNC.wA">global!$L$496</definedName>
    <definedName name="fGravSNC.wC">continental!$L$267</definedName>
    <definedName name="fGravSNC.wM">global!$L$175</definedName>
    <definedName name="fGravSNC.wR">regional!$L$261</definedName>
    <definedName name="fGravSNC.wT">global!$L$818</definedName>
    <definedName name="fGravSP.sdA">global!$L$521</definedName>
    <definedName name="fGravSP.sdC">continental!$L$304</definedName>
    <definedName name="fGravSP.sdM">global!$L$200</definedName>
    <definedName name="fGravSP.sdR">regional!$L$298</definedName>
    <definedName name="fGravSP.sdT">global!$L$843</definedName>
    <definedName name="fGravSSPM.wA">global!$L$506</definedName>
    <definedName name="fGravSSPM.wC">continental!$L$282</definedName>
    <definedName name="fGravSSPM.wM">global!$L$185</definedName>
    <definedName name="fGravSSPM.wR">regional!$L$276</definedName>
    <definedName name="fGravSSPM.wT">global!$L$828</definedName>
    <definedName name="Filter.s1C">continental!$L$318</definedName>
    <definedName name="Filter.s1R">regional!$L$312</definedName>
    <definedName name="Filter.s2C">continental!$L$332</definedName>
    <definedName name="Filter.s2R">regional!$L$326</definedName>
    <definedName name="Filter.s3C">continental!$L$346</definedName>
    <definedName name="Filter.s3R">regional!$L$340</definedName>
    <definedName name="Filter.sA">global!$L$533</definedName>
    <definedName name="Filter.sdA">global!$L$513</definedName>
    <definedName name="Filter.sdC">continental!$L$296</definedName>
    <definedName name="Filter.sdM">global!$L$192</definedName>
    <definedName name="Filter.sdR">regional!$L$290</definedName>
    <definedName name="Filter.sdT">global!$L$835</definedName>
    <definedName name="Filter.sM">global!$L$212</definedName>
    <definedName name="Filter.sT">global!$L$855</definedName>
    <definedName name="fIntercept.aAA.cwAA">global!$L$579</definedName>
    <definedName name="fIntercept.aAA.sAA">global!$L$598</definedName>
    <definedName name="fIntercept.aAS.cwAS">global!$L$568</definedName>
    <definedName name="fIntercept.aAS.sAS">global!$L$589</definedName>
    <definedName name="fIntercept.aCA.cwCA">continental!$L$391</definedName>
    <definedName name="fIntercept.aCA.s1CA">continental!$L$432</definedName>
    <definedName name="fIntercept.aCA.s2CA">continental!$L$438</definedName>
    <definedName name="fIntercept.aCA.s3CA">continental!$L$444</definedName>
    <definedName name="fIntercept.aCS.cwCS">continental!$L$380</definedName>
    <definedName name="fIntercept.aCS.s1CS">continental!$L$401</definedName>
    <definedName name="fIntercept.aCS.s2CS">continental!$L$412</definedName>
    <definedName name="fIntercept.aCS.s3CS">continental!$L$423</definedName>
    <definedName name="fIntercept.aMA.cwMA">global!$L$258</definedName>
    <definedName name="fIntercept.aMA.sMA">global!$L$277</definedName>
    <definedName name="fIntercept.aMS.cwMS">global!$L$247</definedName>
    <definedName name="fIntercept.aMS.sMS">global!$L$268</definedName>
    <definedName name="fIntercept.aRA.cwRA">regional!$L$385</definedName>
    <definedName name="fIntercept.aRA.s1RA">regional!$L$426</definedName>
    <definedName name="fIntercept.aRA.s2RA">regional!$L$432</definedName>
    <definedName name="fIntercept.aRA.s3RA">regional!$L$438</definedName>
    <definedName name="fIntercept.aRS.cwRS">regional!$L$374</definedName>
    <definedName name="fIntercept.aRS.s1RS">regional!$L$395</definedName>
    <definedName name="fIntercept.aRS.s2RS">regional!$L$406</definedName>
    <definedName name="fIntercept.aRS.s3RS">regional!$L$417</definedName>
    <definedName name="fIntercept.aTA.cwTA">global!$L$901</definedName>
    <definedName name="fIntercept.aTA.sTA">global!$L$920</definedName>
    <definedName name="fIntercept.aTS.cwTS">global!$L$890</definedName>
    <definedName name="fIntercept.aTS.sTS">global!$L$911</definedName>
    <definedName name="fInterceptSFP.s1C">continental!$L$325</definedName>
    <definedName name="fInterceptSFP.s1R">regional!$L$319</definedName>
    <definedName name="fInterceptSFP.s2C">continental!$L$339</definedName>
    <definedName name="fInterceptSFP.s2R">regional!$L$333</definedName>
    <definedName name="fInterceptSFP.s3C">continental!$L$353</definedName>
    <definedName name="fInterceptSFP.s3R">regional!$L$347</definedName>
    <definedName name="fInterceptSFP.sA">global!$L$540</definedName>
    <definedName name="fInterceptSFP.sM">global!$L$219</definedName>
    <definedName name="fInterceptSFP.sT">global!$L$862</definedName>
    <definedName name="fInterceptSNC.w0C">continental!$L$254</definedName>
    <definedName name="fInterceptSNC.w0R">regional!$L$248</definedName>
    <definedName name="fInterceptSNC.w1C">continental!$L$259</definedName>
    <definedName name="fInterceptSNC.w1R">regional!$L$253</definedName>
    <definedName name="fInterceptSNC.w2A">global!$L$488</definedName>
    <definedName name="fInterceptSNC.w2C">continental!$L$264</definedName>
    <definedName name="fInterceptSNC.w2M">global!$L$167</definedName>
    <definedName name="fInterceptSNC.w2R">regional!$L$258</definedName>
    <definedName name="fInterceptSNC.w2T">global!$L$810</definedName>
    <definedName name="fInterceptSNC.w3A">global!$L$493</definedName>
    <definedName name="fInterceptSNC.w3M">global!$L$172</definedName>
    <definedName name="fInterceptSNC.w3T">global!$L$815</definedName>
    <definedName name="fInterceptSP.sdA">global!$L$520</definedName>
    <definedName name="fInterceptSP.sdC">continental!$L$303</definedName>
    <definedName name="fInterceptSP.sdM">global!$L$199</definedName>
    <definedName name="fInterceptSP.sdR">regional!$L$297</definedName>
    <definedName name="fInterceptSP.sdT">global!$L$842</definedName>
    <definedName name="fInterceptSSPM.w0C">continental!$L$272</definedName>
    <definedName name="fInterceptSSPM.w0R">regional!$L$266</definedName>
    <definedName name="fInterceptSSPM.w1C">continental!$L$276</definedName>
    <definedName name="fInterceptSSPM.w1R">regional!$L$270</definedName>
    <definedName name="fInterceptSSPM.w2A">global!$L$500</definedName>
    <definedName name="fInterceptSSPM.w2C">continental!$L$280</definedName>
    <definedName name="fInterceptSSPM.w2M">global!$L$179</definedName>
    <definedName name="fInterceptSSPM.w2R">regional!$L$274</definedName>
    <definedName name="fInterceptSSPM.w2T">global!$L$822</definedName>
    <definedName name="fInterceptSSPM.w3A">global!$L$504</definedName>
    <definedName name="fInterceptSSPM.w3M">global!$L$183</definedName>
    <definedName name="fInterceptSSPM.w3T">global!$L$826</definedName>
    <definedName name="FRAC.w1C.w1R">input!$L$301</definedName>
    <definedName name="FRAC.w1R.w1C">input!$L$271</definedName>
    <definedName name="FRACa.s1C">continental!$L$36</definedName>
    <definedName name="FRACa.s1R">regional!$L$36</definedName>
    <definedName name="FRACa.s2C">continental!$L$39</definedName>
    <definedName name="FRACa.s2R">regional!$L$39</definedName>
    <definedName name="FRACa.s3C">continental!$L$42</definedName>
    <definedName name="FRACa.s3R">regional!$L$42</definedName>
    <definedName name="FRACa.sA">global!$L$351</definedName>
    <definedName name="FRACa.sM">global!$L$22</definedName>
    <definedName name="FRACa.sT">global!$L$673</definedName>
    <definedName name="FRACaers.aA">global!$L$349</definedName>
    <definedName name="FRACaers.aC">continental!$L$34</definedName>
    <definedName name="FRACaers.aM">global!$L$20</definedName>
    <definedName name="FRACaers.aR">regional!$L$34</definedName>
    <definedName name="FRACaers.aT">global!$L$671</definedName>
    <definedName name="FRACaerw.aA">global!$L$350</definedName>
    <definedName name="FRACaerw.aC">continental!$L$35</definedName>
    <definedName name="FRACaerw.aM">global!$L$21</definedName>
    <definedName name="FRACaerw.aR">regional!$L$35</definedName>
    <definedName name="FRACaerw.aT">global!$L$672</definedName>
    <definedName name="FRACagsoil.C">input!$L$294</definedName>
    <definedName name="FRACagsoil.R">input!$L$264</definedName>
    <definedName name="FRACcldw.aA">global!$L$348</definedName>
    <definedName name="FRACcldw.aC">continental!$L$33</definedName>
    <definedName name="FRACcldw.aM">global!$L$19</definedName>
    <definedName name="FRACcldw.aR">regional!$L$33</definedName>
    <definedName name="FRACcldw.aT">global!$L$670</definedName>
    <definedName name="FRACfresh.C">input!$L$292</definedName>
    <definedName name="FRACfresh.R">input!$L$262</definedName>
    <definedName name="FRACinf.C">input!$L$302</definedName>
    <definedName name="FRACinf.R">input!$L$273</definedName>
    <definedName name="FRACinf.s1C">continental!$L$227</definedName>
    <definedName name="FRACinf.s1R">regional!$L$221</definedName>
    <definedName name="FRACinf.s2C">continental!$L$228</definedName>
    <definedName name="FRACinf.s2R">regional!$L$222</definedName>
    <definedName name="FRACinf.s3C">continental!$L$229</definedName>
    <definedName name="FRACinf.s3R">regional!$L$223</definedName>
    <definedName name="FRACinf.sA">global!$L$463</definedName>
    <definedName name="FRACinf.sM">global!$L$141</definedName>
    <definedName name="FRACinf.sT">global!$L$785</definedName>
    <definedName name="FRAClake.C">input!$L$291</definedName>
    <definedName name="FRAClake.R">input!$L$261</definedName>
    <definedName name="FRACnatsoil.C">input!$L$293</definedName>
    <definedName name="FRACnatsoil.R">input!$L$263</definedName>
    <definedName name="FRACothersoil.C">input!$L$295</definedName>
    <definedName name="FRACothersoil.R">input!$L$265</definedName>
    <definedName name="FRACrun.C">input!$L$303</definedName>
    <definedName name="FRACrun.R">input!$L$272</definedName>
    <definedName name="FRACrun.s1C">continental!$L$191</definedName>
    <definedName name="FRACrun.s1R">regional!$L$185</definedName>
    <definedName name="FRACrun.s2C">continental!$L$192</definedName>
    <definedName name="FRACrun.s2R">regional!$L$186</definedName>
    <definedName name="FRACrun.s3C">continental!$L$193</definedName>
    <definedName name="FRACrun.s3R">regional!$L$187</definedName>
    <definedName name="FRACrun.sA">global!$L$442</definedName>
    <definedName name="FRACrun.sM">global!$L$120</definedName>
    <definedName name="FRACrun.sT">global!$L$764</definedName>
    <definedName name="FRACs.aA">global!$L$349</definedName>
    <definedName name="FRACs.aC">continental!$L$34</definedName>
    <definedName name="FRACs.aM">global!$L$20</definedName>
    <definedName name="FRACs.aT">global!$L$671</definedName>
    <definedName name="FRACs.s1C">continental!$L$38</definedName>
    <definedName name="FRACs.s1R">regional!$L$38</definedName>
    <definedName name="FRACs.s2C">continental!$L$41</definedName>
    <definedName name="FRACs.s2R">regional!$L$41</definedName>
    <definedName name="FRACs.s3C">continental!$L$44</definedName>
    <definedName name="FRACs.s3R">regional!$L$44</definedName>
    <definedName name="FRACs.sA">global!$L$353</definedName>
    <definedName name="FRACs.sdA">global!$L$355</definedName>
    <definedName name="FRACs.sdC">continental!$L$46</definedName>
    <definedName name="FRACs.sdM">global!$L$26</definedName>
    <definedName name="FRACs.sdR">regional!$L$46</definedName>
    <definedName name="FRACs.sdT">global!$L$677</definedName>
    <definedName name="FRACs.sM">global!$L$24</definedName>
    <definedName name="FRACs.sT">global!$L$675</definedName>
    <definedName name="FRACtwet">regional!$L$357</definedName>
    <definedName name="FRACtwet.A">global!$L$550</definedName>
    <definedName name="FRACtwet.C">continental!$L$363</definedName>
    <definedName name="FRACtwet.M">global!$L$229</definedName>
    <definedName name="FRACtwet.T">global!$L$872</definedName>
    <definedName name="FRACw.s1C">continental!$L$37</definedName>
    <definedName name="FRACw.s1R">regional!$L$37</definedName>
    <definedName name="FRACw.s2C">continental!$L$40</definedName>
    <definedName name="FRACw.s2R">regional!$L$40</definedName>
    <definedName name="FRACw.s3C">continental!$L$43</definedName>
    <definedName name="FRACw.s3R">regional!$L$43</definedName>
    <definedName name="FRACw.sA">global!$L$352</definedName>
    <definedName name="FRACw.sdA">global!$L$354</definedName>
    <definedName name="FRACw.sdC">continental!$L$45</definedName>
    <definedName name="FRACw.sdM">global!$L$25</definedName>
    <definedName name="FRACw.sdR">regional!$L$45</definedName>
    <definedName name="FRACw.sdT">global!$L$676</definedName>
    <definedName name="FRACw.sM">global!$L$23</definedName>
    <definedName name="FRACw.sT">global!$L$674</definedName>
    <definedName name="FRaers.aA">global!$L$372</definedName>
    <definedName name="FRaers.aC">continental!$L$72</definedName>
    <definedName name="FRaers.aM">global!$L$50</definedName>
    <definedName name="FRaers.aR">regional!$L$66</definedName>
    <definedName name="FRaers.aT">global!$L$694</definedName>
    <definedName name="FRaerw.aA">global!$L$371</definedName>
    <definedName name="FRaerw.aC">continental!$L$71</definedName>
    <definedName name="FRaerw.aM">global!$L$49</definedName>
    <definedName name="FRaerw.aR">regional!$L$65</definedName>
    <definedName name="FRaerw.aT">global!$L$693</definedName>
    <definedName name="FRgas.aA">global!$L$370</definedName>
    <definedName name="FRgas.aC">continental!$L$70</definedName>
    <definedName name="FRgas.aM">global!$L$48</definedName>
    <definedName name="FRgas.aR">regional!$L$64</definedName>
    <definedName name="FRgas.aT">global!$L$692</definedName>
    <definedName name="FRICvelocity.s1C">continental!$L$399</definedName>
    <definedName name="FRICvelocity.s1R">regional!$L$393</definedName>
    <definedName name="FRICvelocity.s2C">continental!$L$410</definedName>
    <definedName name="FRICvelocity.s2R">regional!$L$404</definedName>
    <definedName name="FRICvelocity.s3C">continental!$L$421</definedName>
    <definedName name="FRICvelocity.s3R">regional!$L$415</definedName>
    <definedName name="FRICvelocity.sA">global!$L$587</definedName>
    <definedName name="FRICvelocity.sM">global!$L$266</definedName>
    <definedName name="FRICvelocity.sT">global!$L$909</definedName>
    <definedName name="FRICvelocity.wA">global!$L$605</definedName>
    <definedName name="FRICvelocity.wC">continental!$L$453</definedName>
    <definedName name="FRICvelocity.wM">global!$L$284</definedName>
    <definedName name="FRICvelocity.wR">regional!$L$447</definedName>
    <definedName name="FRICvelocity.wT">global!$L$927</definedName>
    <definedName name="FRorig.aerw">input!$L$170</definedName>
    <definedName name="FRorig.cldw">input!$L$169</definedName>
    <definedName name="FRorig.pw1">input!$L$176</definedName>
    <definedName name="FRorig.pw2">input!$L$178</definedName>
    <definedName name="FRorig.pw3">input!$L$180</definedName>
    <definedName name="FRorig.s1">input!$L$175</definedName>
    <definedName name="FRorig.s1w">input!$L$176</definedName>
    <definedName name="FRorig.s2">input!$L$177</definedName>
    <definedName name="FRorig.s2w">input!$L$178</definedName>
    <definedName name="FRorig.s3">input!$L$179</definedName>
    <definedName name="FRorig.s3w">input!$L$180</definedName>
    <definedName name="FRorig.sd1">input!$L$172</definedName>
    <definedName name="FRorig.sd2">input!$L$174</definedName>
    <definedName name="FRorig.sl1">input!$L$175</definedName>
    <definedName name="FRorig.sl2">input!$L$177</definedName>
    <definedName name="FRorig.sl3">input!$L$179</definedName>
    <definedName name="FRorig.sw2">input!$L$177</definedName>
    <definedName name="FRorig.sw3">input!$L$179</definedName>
    <definedName name="FRorig.sws1">input!$L$175</definedName>
    <definedName name="FRorig.w1">input!$L$171</definedName>
    <definedName name="FRorig.w2">input!$L$173</definedName>
    <definedName name="FRorig.ws1">input!$L$176</definedName>
    <definedName name="FRorig.ws2">input!$L$178</definedName>
    <definedName name="FRorig.ws3">input!$L$180</definedName>
    <definedName name="FRorig.wsl1">input!$L$176</definedName>
    <definedName name="FRorig.wsl2">input!$L$178</definedName>
    <definedName name="FRorig.wsl3">input!$L$180</definedName>
    <definedName name="FRs.s1C">continental!$L$99</definedName>
    <definedName name="FRs.s1R">regional!$L$93</definedName>
    <definedName name="FRs.s2C">continental!$L$104</definedName>
    <definedName name="FRs.s2R">regional!$L$98</definedName>
    <definedName name="FRs.s3C">continental!$L$109</definedName>
    <definedName name="FRs.s3R">regional!$L$103</definedName>
    <definedName name="FRs.sA">global!$L$394</definedName>
    <definedName name="FRs.sM">global!$L$72</definedName>
    <definedName name="FRs.sT">global!$L$716</definedName>
    <definedName name="FRw.s1C">continental!$L$98</definedName>
    <definedName name="FRw.s2C">continental!$L$103</definedName>
    <definedName name="FRw.s3C">continental!$L$108</definedName>
    <definedName name="FRw.sA">global!$L$393</definedName>
    <definedName name="FRw.sM">global!$L$71</definedName>
    <definedName name="FRw.sT">global!$L$715</definedName>
    <definedName name="FRw.w0C">continental!$L$76</definedName>
    <definedName name="FRw.w1C">continental!$L$80</definedName>
    <definedName name="FRw.w2A">global!$L$377</definedName>
    <definedName name="FRw.w2C">continental!$L$84</definedName>
    <definedName name="FRw.w2M">global!$L$55</definedName>
    <definedName name="FRw.w2T">global!$L$699</definedName>
    <definedName name="FRw.w3A">global!$L$378</definedName>
    <definedName name="FRw.w3M">global!$L$56</definedName>
    <definedName name="FRw.w3T">global!$L$700</definedName>
    <definedName name="FRwD.s1R">regional!$L$92</definedName>
    <definedName name="FRwD.s2R">regional!$L$97</definedName>
    <definedName name="FRwD.s3R">regional!$L$102</definedName>
    <definedName name="FRwD.w0R">regional!$L$70</definedName>
    <definedName name="FRwD.w1R">regional!$L$74</definedName>
    <definedName name="FRwD.w2R">regional!$L$78</definedName>
    <definedName name="fTotal.aAA.cwAA">global!$L$581</definedName>
    <definedName name="fTotal.aAS.cwAS">global!$L$570</definedName>
    <definedName name="fTotal.aCA.cwCA">continental!$L$393</definedName>
    <definedName name="fTotal.aCS.cwCS">continental!$L$382</definedName>
    <definedName name="fTotal.aMA.cwMA">global!$L$260</definedName>
    <definedName name="fTotal.aMS.cwMS">global!$L$249</definedName>
    <definedName name="fTotal.aRA.cwRA">regional!$L$387</definedName>
    <definedName name="fTotal.aRS.cwRS">regional!$L$376</definedName>
    <definedName name="fTotal.aTA.cwTA">global!$L$903</definedName>
    <definedName name="fTotal.aTS.cwTS">global!$L$892</definedName>
    <definedName name="fTotalSA.w1R">regional!$L$252</definedName>
    <definedName name="fTotalSFP.s1C">continental!$L$320</definedName>
    <definedName name="fTotalSFP.s1R">regional!$L$314</definedName>
    <definedName name="fTotalSFP.s2C">continental!$L$334</definedName>
    <definedName name="fTotalSFP.s2R">regional!$L$328</definedName>
    <definedName name="fTotalSFP.s3C">continental!$L$348</definedName>
    <definedName name="fTotalSFP.s3R">regional!$L$342</definedName>
    <definedName name="fTotalSFP.sA">global!$L$535</definedName>
    <definedName name="fTotalSFP.sM">global!$L$214</definedName>
    <definedName name="fTotalSFP.sT">global!$L$857</definedName>
    <definedName name="fTotalSNC.w0C">continental!$L$253</definedName>
    <definedName name="fTotalSNC.w0R">regional!$L$247</definedName>
    <definedName name="fTotalSNC.w1C">continental!$L$258</definedName>
    <definedName name="fTotalSNC.w1R">regional!$L$252</definedName>
    <definedName name="fTotalSNC.w2A">global!$L$487</definedName>
    <definedName name="fTotalSNC.w2C">continental!$L$263</definedName>
    <definedName name="fTotalSNC.w2M">global!$L$166</definedName>
    <definedName name="fTotalSNC.w2R">regional!$L$257</definedName>
    <definedName name="fTotalSNC.w2T">global!$L$809</definedName>
    <definedName name="fTotalSNC.w3A">global!$L$492</definedName>
    <definedName name="fTotalSNC.w3M">global!$L$171</definedName>
    <definedName name="fTotalSNC.w3T">global!$L$814</definedName>
    <definedName name="fTotalSP.sdA">global!$L$515</definedName>
    <definedName name="fTotalSP.sdC">continental!$L$298</definedName>
    <definedName name="fTotalSP.sdM">global!$L$194</definedName>
    <definedName name="fTotalSP.sdR">regional!$L$292</definedName>
    <definedName name="fTotalSP.sdT">global!$L$837</definedName>
    <definedName name="fTotalSSPM.w0C">continental!$L$271</definedName>
    <definedName name="fTotalSSPM.w0R">regional!$L$265</definedName>
    <definedName name="fTotalSSPM.w1C">continental!$L$275</definedName>
    <definedName name="fTotalSSPM.w1R">regional!$L$269</definedName>
    <definedName name="fTotalSSPM.w2A">global!$L$499</definedName>
    <definedName name="fTotalSSPM.w2C">continental!$L$279</definedName>
    <definedName name="fTotalSSPM.w2M">global!$L$178</definedName>
    <definedName name="fTotalSSPM.w2R">regional!$L$273</definedName>
    <definedName name="fTotalSSPM.w2T">global!$L$821</definedName>
    <definedName name="fTotalSSPM.w3A">global!$L$503</definedName>
    <definedName name="fTotalSSPM.w3M">global!$L$182</definedName>
    <definedName name="fTotalSSPM.w3T">global!$L$825</definedName>
    <definedName name="Fuchs.aAS.aAAcc">global!$L$478</definedName>
    <definedName name="Fuchs.aAS.aACP">global!$L$483</definedName>
    <definedName name="Fuchs.aAS.aANuc">global!$L$473</definedName>
    <definedName name="Fuchs.aCS.aCAcc">continental!$L$245</definedName>
    <definedName name="Fuchs.aCS.aCCP">continental!$L$249</definedName>
    <definedName name="Fuchs.aCS.aCNuc">continental!$L$241</definedName>
    <definedName name="Fuchs.aMS.aMAcc">global!$L$157</definedName>
    <definedName name="Fuchs.aMS.aMCP">global!$L$162</definedName>
    <definedName name="Fuchs.aMS.aMNuc">global!$L$152</definedName>
    <definedName name="Fuchs.aRS.aRAcc">regional!$L$239</definedName>
    <definedName name="Fuchs.aRS.aRCP">regional!$L$243</definedName>
    <definedName name="Fuchs.aRS.aRNuc">regional!$L$233</definedName>
    <definedName name="Fuchs.aTS.aTAcc">global!$L$800</definedName>
    <definedName name="Fuchs.aTS.aTCP">global!$L$805</definedName>
    <definedName name="Fuchs.aTS.aTNuc">global!$L$795</definedName>
    <definedName name="fugacity">engine!$D$170:$EY$170</definedName>
    <definedName name="g">input!$L$335</definedName>
    <definedName name="GaAmPDF.sA">global!$L$538</definedName>
    <definedName name="GaAmPDF.sdA">global!$L$518</definedName>
    <definedName name="GammPDF.s1C">continental!$L$323</definedName>
    <definedName name="GammPDF.s1R">regional!$L$317</definedName>
    <definedName name="GammPDF.s2C">continental!$L$337</definedName>
    <definedName name="GammPDF.s2R">regional!$L$331</definedName>
    <definedName name="GammPDF.s3C">continental!$L$351</definedName>
    <definedName name="GammPDF.s3R">regional!$L$345</definedName>
    <definedName name="GammPDF.sA">global!$L$538</definedName>
    <definedName name="GammPDF.sdA">global!$L$518</definedName>
    <definedName name="GammPDF.sdC">continental!$L$301</definedName>
    <definedName name="GammPDF.sdM">global!$L$197</definedName>
    <definedName name="GammPDF.sdR">regional!$L$295</definedName>
    <definedName name="GammPDF.sdT">global!$L$840</definedName>
    <definedName name="GammPDF.sM">global!$L$217</definedName>
    <definedName name="GammPDF.sT">global!$L$860</definedName>
    <definedName name="GASABS.aA.sA">global!$L$417</definedName>
    <definedName name="GASABS.aA.wA">global!$L$416</definedName>
    <definedName name="GASABS.aC.sC">continental!$L$139</definedName>
    <definedName name="GASABS.aC.wC">continental!$L$138</definedName>
    <definedName name="GASABS.aM.sM">global!$L$95</definedName>
    <definedName name="GASABS.aM.wM">global!$L$94</definedName>
    <definedName name="GASABS.aR.sR">regional!$L$133</definedName>
    <definedName name="GASABS.aR.wR">regional!$L$132</definedName>
    <definedName name="GASABS.aT.sT">global!$L$739</definedName>
    <definedName name="GASABS.aT.wT">global!$L$738</definedName>
    <definedName name="GASABSflow.aA.w3A">global!$L$420</definedName>
    <definedName name="GasWashout.A">global!$L$412</definedName>
    <definedName name="GasWashout.C">continental!$L$135</definedName>
    <definedName name="GasWashout.M">global!$L$90</definedName>
    <definedName name="GasWashout.RG">regional!$L$129</definedName>
    <definedName name="GasWashout.T">global!$L$734</definedName>
    <definedName name="GravNumberS.s1C">continental!$L$330</definedName>
    <definedName name="GravNumberS.s1R">regional!$L$324</definedName>
    <definedName name="GravNumberS.s2C">continental!$L$344</definedName>
    <definedName name="GravNumberS.s2R">regional!$L$338</definedName>
    <definedName name="GravNumberS.s3C">continental!$L$358</definedName>
    <definedName name="GravNumberS.s3R">regional!$L$352</definedName>
    <definedName name="GravNumberS.sA">global!$L$545</definedName>
    <definedName name="GravNumberS.sM">global!$L$224</definedName>
    <definedName name="GravNumberS.sT">global!$L$867</definedName>
    <definedName name="GravNumberSP.sdA">global!$L$525</definedName>
    <definedName name="GravNumberSP.sdC">continental!$L$308</definedName>
    <definedName name="GravNumberSP.sdM">global!$L$204</definedName>
    <definedName name="GravNumberSP.sdR">regional!$L$302</definedName>
    <definedName name="GravNumberSP.sdT">global!$L$847</definedName>
    <definedName name="GROSSSEDrate.w0C">continental!$L$166</definedName>
    <definedName name="GROSSSEDrate.w0R">regional!$L$160</definedName>
    <definedName name="GROSSSEDrate.w1C">continental!$L$167</definedName>
    <definedName name="GROSSSEDrate.w1R">regional!$L$161</definedName>
    <definedName name="GROSSSEDrate.w2C">continental!$L$168</definedName>
    <definedName name="GROSSSEDrate.w2R">regional!$L$162</definedName>
    <definedName name="GROSSSEDrate.w3A">global!$L$431</definedName>
    <definedName name="GROSSSEDrate.w3M">global!$L$109</definedName>
    <definedName name="GROSSSEDrate.w3T">global!$L$753</definedName>
    <definedName name="H0sol">input!$L$184</definedName>
    <definedName name="H0vap">input!$L$182</definedName>
    <definedName name="HEIGHT.aA">global!$L$343</definedName>
    <definedName name="HEIGHT.aC">continental!$L$23</definedName>
    <definedName name="HEIGHT.aM">global!$L$14</definedName>
    <definedName name="HEIGHT.aR">regional!$L$23</definedName>
    <definedName name="HEIGHT.aT">global!$L$665</definedName>
    <definedName name="K">engine!$D$9:$FB$163</definedName>
    <definedName name="k.aA">global!$L$447</definedName>
    <definedName name="k.aA.aM">global!$L$357</definedName>
    <definedName name="k.aA.sA">global!$L$401</definedName>
    <definedName name="k.aA.w2A">global!$L$400</definedName>
    <definedName name="k.aAA">global!$L$634</definedName>
    <definedName name="k.aAA.cwAA">global!$L$571</definedName>
    <definedName name="k.aAA.sAA">global!$L$594</definedName>
    <definedName name="k.aAA.w2AA">global!$L$608</definedName>
    <definedName name="k.aAG">global!$L$447</definedName>
    <definedName name="k.aAG.sAD">global!$L$401</definedName>
    <definedName name="k.aAG.w2AD">global!$L$400</definedName>
    <definedName name="k.aAP">global!$L$635</definedName>
    <definedName name="k.aAP.cwAP">global!$L$582</definedName>
    <definedName name="k.aAP.sAP">global!$L$600</definedName>
    <definedName name="k.aAP.w2AP">global!$L$613</definedName>
    <definedName name="k.aAS">global!$L$633</definedName>
    <definedName name="k.aAS.aAA">global!$L$468</definedName>
    <definedName name="k.aAS.aAP">global!$L$479</definedName>
    <definedName name="k.aAS.cwAS">global!$L$562</definedName>
    <definedName name="k.aAS.sAS">global!$L$583</definedName>
    <definedName name="k.aAS.w2AS">global!$L$601</definedName>
    <definedName name="k.aC">continental!$L$200</definedName>
    <definedName name="k.aC.aM">continental!$L$49</definedName>
    <definedName name="k.aC.aR">continental!$L$48</definedName>
    <definedName name="k.aC.s1C">continental!$L$118</definedName>
    <definedName name="k.aC.s2C">continental!$L$119</definedName>
    <definedName name="k.aC.s3C">continental!$L$120</definedName>
    <definedName name="k.aC.w0C">continental!$L$115</definedName>
    <definedName name="k.aC.w1C">continental!$L$116</definedName>
    <definedName name="k.aC.w2C">continental!$L$117</definedName>
    <definedName name="k.aCA">continental!$L$531</definedName>
    <definedName name="k.aCA.cwCA">continental!$L$383</definedName>
    <definedName name="k.aCA.s1CA">continental!$L$428</definedName>
    <definedName name="k.aCA.s2CA">continental!$L$434</definedName>
    <definedName name="k.aCA.s3CA">continental!$L$440</definedName>
    <definedName name="k.aCA.w0CA">continental!$L$462</definedName>
    <definedName name="k.aCA.w1CA">continental!$L$467</definedName>
    <definedName name="k.aCA.w2CA">continental!$L$469</definedName>
    <definedName name="k.aCP">continental!$L$532</definedName>
    <definedName name="k.aCP.cwCP">continental!$L$394</definedName>
    <definedName name="k.aCP.s1CP">continental!$L$446</definedName>
    <definedName name="k.aCP.s2CP">continental!$L$447</definedName>
    <definedName name="k.aCP.s3CP">continental!$L$448</definedName>
    <definedName name="k.aCP.w0CP">continental!$L$471</definedName>
    <definedName name="k.aCP.w1CP">continental!$L$472</definedName>
    <definedName name="k.aCP.w2CP">continental!$L$473</definedName>
    <definedName name="k.aCS">continental!$L$530</definedName>
    <definedName name="k.aCS.aCA">continental!$L$237</definedName>
    <definedName name="k.aCS.aCP">continental!$L$246</definedName>
    <definedName name="k.aCS.cwCS">continental!$L$374</definedName>
    <definedName name="k.aCS.s1CS">continental!$L$395</definedName>
    <definedName name="k.aCS.s2CS">continental!$L$406</definedName>
    <definedName name="k.aCS.s3CS">continental!$L$417</definedName>
    <definedName name="k.aCS.w0CS">continental!$L$449</definedName>
    <definedName name="k.aCS.w1CS">continental!$L$456</definedName>
    <definedName name="k.aCS.w2CS">continental!$L$459</definedName>
    <definedName name="k.aM">global!$L$125</definedName>
    <definedName name="k.aM.aA">global!$L$29</definedName>
    <definedName name="k.aM.aC">global!$L$28</definedName>
    <definedName name="k.aM.aT">global!$L$30</definedName>
    <definedName name="k.aM.sM">global!$L$79</definedName>
    <definedName name="k.aM.w2M">global!$L$78</definedName>
    <definedName name="k.aMA">global!$L$313</definedName>
    <definedName name="k.aMA.cwMA">global!$L$250</definedName>
    <definedName name="k.aMA.sMA">global!$L$273</definedName>
    <definedName name="k.aMA.w2MA">global!$L$287</definedName>
    <definedName name="k.aMG">global!$L$125</definedName>
    <definedName name="k.aMG.sMD">global!$L$79</definedName>
    <definedName name="k.aMG.w2MD">global!$L$78</definedName>
    <definedName name="k.aMP">global!$L$314</definedName>
    <definedName name="k.aMP.cwMP">global!$L$261</definedName>
    <definedName name="k.aMP.sMP">global!$L$279</definedName>
    <definedName name="k.aMP.w2MP">global!$L$292</definedName>
    <definedName name="k.aMS">global!$L$312</definedName>
    <definedName name="k.aMS.aMA">global!$L$147</definedName>
    <definedName name="k.aMS.aMP">global!$L$158</definedName>
    <definedName name="k.aMS.cwMS">global!$L$241</definedName>
    <definedName name="k.aMS.sMS">global!$L$262</definedName>
    <definedName name="k.aMS.w2MS">global!$L$280</definedName>
    <definedName name="k.aR.aC">regional!$L$48</definedName>
    <definedName name="k.aRA">regional!$L$525</definedName>
    <definedName name="k.aRA.cwRA">regional!$L$377</definedName>
    <definedName name="k.aRA.s1RA">regional!$L$422</definedName>
    <definedName name="k.aRA.s2RA">regional!$L$428</definedName>
    <definedName name="k.aRA.s3RA">regional!$L$434</definedName>
    <definedName name="k.aRA.w0RA">regional!$L$456</definedName>
    <definedName name="k.aRA.w1RA">regional!$L$461</definedName>
    <definedName name="k.aRA.w2RA">regional!$L$463</definedName>
    <definedName name="k.aRG">regional!$L$194</definedName>
    <definedName name="k.aRG.s1RD">regional!$L$112</definedName>
    <definedName name="k.aRG.s2RD">regional!$L$113</definedName>
    <definedName name="k.aRG.s3RD">regional!$L$114</definedName>
    <definedName name="k.aRG.w0RD">regional!$L$109</definedName>
    <definedName name="k.aRG.w1RD">regional!$L$110</definedName>
    <definedName name="k.aRG.w2RD">regional!$L$111</definedName>
    <definedName name="k.aRP">regional!$L$526</definedName>
    <definedName name="k.aRP.cwRP">regional!$L$388</definedName>
    <definedName name="k.aRP.s1RP">regional!$L$440</definedName>
    <definedName name="k.aRP.s2RP">regional!$L$441</definedName>
    <definedName name="k.aRP.s3RP">regional!$L$442</definedName>
    <definedName name="k.aRP.w0RP">regional!$L$465</definedName>
    <definedName name="k.aRP.w1RP">regional!$L$466</definedName>
    <definedName name="k.aRP.w2RP">regional!$L$467</definedName>
    <definedName name="k.aRS">regional!$L$524</definedName>
    <definedName name="k.aRS.aRA">regional!$L$231</definedName>
    <definedName name="k.aRS.aRP">regional!$L$240</definedName>
    <definedName name="k.aRS.cwRS">regional!$L$368</definedName>
    <definedName name="k.aRS.s1RS">regional!$L$389</definedName>
    <definedName name="k.aRS.s2RS">regional!$L$400</definedName>
    <definedName name="k.aRS.s3RS">regional!$L$411</definedName>
    <definedName name="k.aRS.w0RS">regional!$L$443</definedName>
    <definedName name="k.aRS.w1RS">regional!$L$450</definedName>
    <definedName name="k.aRS.w2RS">regional!$L$453</definedName>
    <definedName name="k.aT">global!$L$769</definedName>
    <definedName name="k.aT.aM">global!$L$679</definedName>
    <definedName name="k.aT.sT">global!$L$723</definedName>
    <definedName name="k.aT.w2T">global!$L$722</definedName>
    <definedName name="k.aTA">global!$L$956</definedName>
    <definedName name="k.aTA.cwTA">global!$L$893</definedName>
    <definedName name="k.aTA.sTA">global!$L$916</definedName>
    <definedName name="k.aTA.w2TA">global!$L$930</definedName>
    <definedName name="k.aTG">global!$L$769</definedName>
    <definedName name="k.aTG.sTD">global!$L$723</definedName>
    <definedName name="k.aTG.w2TD">global!$L$722</definedName>
    <definedName name="k.aTP">global!$L$957</definedName>
    <definedName name="k.aTP.cwTP">global!$L$904</definedName>
    <definedName name="k.aTP.sTP">global!$L$922</definedName>
    <definedName name="k.aTP.w2TP">global!$L$935</definedName>
    <definedName name="k.aTS">global!$L$955</definedName>
    <definedName name="k.aTS.aTA">global!$L$790</definedName>
    <definedName name="k.aTS.aTP">global!$L$801</definedName>
    <definedName name="k.aTS.cwTS">global!$L$884</definedName>
    <definedName name="k.aTS.sTS">global!$L$905</definedName>
    <definedName name="k.aTS.w2TS">global!$L$923</definedName>
    <definedName name="k.cwAA.sAA">global!$L$615</definedName>
    <definedName name="k.cwAA.w2AA">global!$L$618</definedName>
    <definedName name="k.cwAP.sAP">global!$L$616</definedName>
    <definedName name="k.cwAP.w2AP">global!$L$619</definedName>
    <definedName name="k.cwAS.sAS">global!$L$614</definedName>
    <definedName name="k.cwAS.w2AS">global!$L$617</definedName>
    <definedName name="k.cwCA.s1CA">continental!$L$477</definedName>
    <definedName name="k.cwCA.s2CA">continental!$L$478</definedName>
    <definedName name="k.cwCA.s3CA">continental!$L$479</definedName>
    <definedName name="k.cwCA.w0CA">continental!$L$486</definedName>
    <definedName name="k.cwCA.w1CA">continental!$L$487</definedName>
    <definedName name="k.cwCA.w2CA">continental!$L$488</definedName>
    <definedName name="k.cwCP.s1CP">continental!$L$480</definedName>
    <definedName name="k.cwCP.s2CP">continental!$L$481</definedName>
    <definedName name="k.cwCP.s3CP">continental!$L$482</definedName>
    <definedName name="k.cwCP.w0CP">continental!$L$489</definedName>
    <definedName name="k.cwCP.w1CP">continental!$L$490</definedName>
    <definedName name="k.cwCP.w2CP">continental!$L$491</definedName>
    <definedName name="k.cwCS.s1CS">continental!$L$474</definedName>
    <definedName name="k.cwCS.s2CS">continental!$L$475</definedName>
    <definedName name="k.cwCS.s3CS">continental!$L$476</definedName>
    <definedName name="k.cwCS.w0CS">continental!$L$483</definedName>
    <definedName name="k.cwCS.w1CS">continental!$L$484</definedName>
    <definedName name="k.cwCS.w2CS">continental!$L$485</definedName>
    <definedName name="k.cwMA.sMA">global!$L$294</definedName>
    <definedName name="k.cwMA.w2MA">global!$L$297</definedName>
    <definedName name="k.cwMP.sMP">global!$L$295</definedName>
    <definedName name="k.cwMP.w2MP">global!$L$298</definedName>
    <definedName name="k.cwMS.sMS">global!$L$293</definedName>
    <definedName name="k.cwMS.w2MS">global!$L$296</definedName>
    <definedName name="k.cwRA.s1RA">regional!$L$471</definedName>
    <definedName name="k.cwRA.s2RA">regional!$L$472</definedName>
    <definedName name="k.cwRA.s3RA">regional!$L$473</definedName>
    <definedName name="k.cwRA.w0RA">regional!$L$480</definedName>
    <definedName name="k.cwRA.w1RA">regional!$L$481</definedName>
    <definedName name="k.cwRA.w2RA">regional!$L$482</definedName>
    <definedName name="k.cwRP.s1RP">regional!$L$474</definedName>
    <definedName name="k.cwRP.s2RP">regional!$L$475</definedName>
    <definedName name="k.cwRP.s3RP">regional!$L$476</definedName>
    <definedName name="k.cwRP.w0RP">regional!$L$483</definedName>
    <definedName name="k.cwRP.w1RP">regional!$L$484</definedName>
    <definedName name="k.cwRP.w2RP">regional!$L$485</definedName>
    <definedName name="k.cwRS.s1RS">regional!$L$468</definedName>
    <definedName name="k.cwRS.s2RS">regional!$L$469</definedName>
    <definedName name="k.cwRS.s3RS">regional!$L$470</definedName>
    <definedName name="k.cwRS.w0RS">regional!$L$477</definedName>
    <definedName name="k.cwRS.w1RS">regional!$L$478</definedName>
    <definedName name="k.cwRS.w2RS">regional!$L$479</definedName>
    <definedName name="k.cwTA.sTA">global!$L$937</definedName>
    <definedName name="k.cwTA.w2TA">global!$L$940</definedName>
    <definedName name="k.cwTP.sTP">global!$L$938</definedName>
    <definedName name="k.cwTP.w2TP">global!$L$941</definedName>
    <definedName name="k.cwTS.sTS">global!$L$936</definedName>
    <definedName name="k.cwTS.w2TS">global!$L$939</definedName>
    <definedName name="k.s1C">continental!$L$207</definedName>
    <definedName name="k.s1C.aC">continental!$L$124</definedName>
    <definedName name="k.s1C.w0CD">continental!$L$185</definedName>
    <definedName name="k.s1C.w1C">continental!$L$182</definedName>
    <definedName name="k.s1C.w1CD">continental!$L$182</definedName>
    <definedName name="k.s1CA">continental!$L$552</definedName>
    <definedName name="k.s1CA.w0CA">continental!$L$513</definedName>
    <definedName name="k.s1CA.w1CA">continental!$L$522</definedName>
    <definedName name="k.s1CP">continental!$L$553</definedName>
    <definedName name="k.s1CP.w0CP">continental!$L$516</definedName>
    <definedName name="k.s1CP.w1CP">continental!$L$525</definedName>
    <definedName name="k.s1CS">continental!$L$551</definedName>
    <definedName name="k.s1CS.s1CA">continental!$L$310</definedName>
    <definedName name="k.s1CS.s1CP">continental!$L$317</definedName>
    <definedName name="k.s1CS.w0CS">continental!$L$510</definedName>
    <definedName name="k.s1CS.w1CS">continental!$L$519</definedName>
    <definedName name="k.s1R.w0RD">regional!$L$179</definedName>
    <definedName name="k.s1RA">regional!$L$546</definedName>
    <definedName name="k.s1RA.w0RA">regional!$L$507</definedName>
    <definedName name="k.s1RA.w1RA">regional!$L$516</definedName>
    <definedName name="k.s1RD">regional!$L$201</definedName>
    <definedName name="k.s1RD.aRG">regional!$L$118</definedName>
    <definedName name="k.s1RD.w1RD">regional!$L$176</definedName>
    <definedName name="k.s1RP">regional!$L$547</definedName>
    <definedName name="k.s1RP.w0RP">regional!$L$510</definedName>
    <definedName name="k.s1RP.w1RP">regional!$L$519</definedName>
    <definedName name="k.s1RS">regional!$L$545</definedName>
    <definedName name="k.s1RS.s1RA">regional!$L$304</definedName>
    <definedName name="k.s1RS.s1RP">regional!$L$311</definedName>
    <definedName name="k.s1RS.w0RS">regional!$L$504</definedName>
    <definedName name="k.s1RS.w1RS">regional!$L$513</definedName>
    <definedName name="k.s2C">continental!$L$208</definedName>
    <definedName name="k.s2C.aC">continental!$L$125</definedName>
    <definedName name="k.s2C.w0CD">continental!$L$186</definedName>
    <definedName name="k.s2C.w1C">continental!$L$183</definedName>
    <definedName name="k.s2C.w1CD">continental!$L$183</definedName>
    <definedName name="k.s2CA">continental!$L$555</definedName>
    <definedName name="k.s2CA.w0CA">continental!$L$514</definedName>
    <definedName name="k.s2CA.w1CA">continental!$L$523</definedName>
    <definedName name="k.s2CP">continental!$L$556</definedName>
    <definedName name="k.s2CP.w0CP">continental!$L$517</definedName>
    <definedName name="k.s2CP.w1CP">continental!$L$526</definedName>
    <definedName name="k.s2CS">continental!$L$554</definedName>
    <definedName name="k.s2CS.s2CA">continental!$L$311</definedName>
    <definedName name="k.s2CS.s2CP">continental!$L$331</definedName>
    <definedName name="k.s2CS.w0CS">continental!$L$511</definedName>
    <definedName name="k.s2CS.w1CS">continental!$L$520</definedName>
    <definedName name="k.s2R.w0RD">regional!$L$180</definedName>
    <definedName name="k.s2RA">regional!$L$549</definedName>
    <definedName name="k.s2RA.w0RA">regional!$L$508</definedName>
    <definedName name="k.s2RA.w1RA">regional!$L$517</definedName>
    <definedName name="k.s2RD">regional!$L$202</definedName>
    <definedName name="k.s2RD.aRG">regional!$L$119</definedName>
    <definedName name="k.s2RD.w1RD">regional!$L$177</definedName>
    <definedName name="k.s2RP">regional!$L$550</definedName>
    <definedName name="k.s2RP.w0RP">regional!$L$511</definedName>
    <definedName name="k.s2RP.w1RP">regional!$L$520</definedName>
    <definedName name="k.s2RS">regional!$L$548</definedName>
    <definedName name="k.s2RS.s2RA">regional!$L$305</definedName>
    <definedName name="k.s2RS.s2RP">regional!$L$325</definedName>
    <definedName name="k.s2RS.w0RS">regional!$L$505</definedName>
    <definedName name="k.s2RS.w1RS">regional!$L$514</definedName>
    <definedName name="k.s3C">continental!$L$209</definedName>
    <definedName name="k.s3C.aC">continental!$L$126</definedName>
    <definedName name="k.s3C.w0CD">continental!$L$187</definedName>
    <definedName name="k.s3C.w1C">continental!$L$184</definedName>
    <definedName name="k.s3C.w1CD">continental!$L$184</definedName>
    <definedName name="k.s3CA">continental!$L$558</definedName>
    <definedName name="k.s3CA.w0CA">continental!$L$515</definedName>
    <definedName name="k.s3CA.w1CA">continental!$L$524</definedName>
    <definedName name="k.s3CP">continental!$L$559</definedName>
    <definedName name="k.s3CP.w0CP">continental!$L$518</definedName>
    <definedName name="k.s3CP.w1CP">continental!$L$527</definedName>
    <definedName name="k.s3CS">continental!$L$557</definedName>
    <definedName name="k.s3CS.s3CA">continental!$L$312</definedName>
    <definedName name="k.s3CS.s3CP">continental!$L$345</definedName>
    <definedName name="k.s3CS.w0CS">continental!$L$512</definedName>
    <definedName name="k.s3CS.w1CS">continental!$L$521</definedName>
    <definedName name="k.s3R.w0RD">regional!$L$181</definedName>
    <definedName name="k.s3RA">regional!$L$552</definedName>
    <definedName name="k.s3RA.w0RA">regional!$L$509</definedName>
    <definedName name="k.s3RA.w1RA">regional!$L$518</definedName>
    <definedName name="k.s3RD">regional!$L$203</definedName>
    <definedName name="k.s3RD.aRG">regional!$L$120</definedName>
    <definedName name="k.s3RD.w1RD">regional!$L$178</definedName>
    <definedName name="k.s3RP">regional!$L$553</definedName>
    <definedName name="k.s3RP.w0RP">regional!$L$512</definedName>
    <definedName name="k.s3RP.w1RP">regional!$L$521</definedName>
    <definedName name="k.s3RS">regional!$L$551</definedName>
    <definedName name="k.s3RS.s3RA">regional!$L$306</definedName>
    <definedName name="k.s3RS.s3RP">regional!$L$339</definedName>
    <definedName name="k.s3RS.w0RS">regional!$L$506</definedName>
    <definedName name="k.s3RS.w1RS">regional!$L$515</definedName>
    <definedName name="k.sA">global!$L$451</definedName>
    <definedName name="k.sA.aA">global!$L$403</definedName>
    <definedName name="k.sA.w2A">global!$L$440</definedName>
    <definedName name="k.sAA">global!$L$646</definedName>
    <definedName name="k.sAA.w2AA">global!$L$630</definedName>
    <definedName name="k.sAD">global!$L$451</definedName>
    <definedName name="k.sAD.aAG">global!$L$403</definedName>
    <definedName name="k.sAD.w2AD">global!$L$440</definedName>
    <definedName name="k.sAP">global!$L$647</definedName>
    <definedName name="k.sAP.w2AP">global!$L$631</definedName>
    <definedName name="k.sAS">global!$L$645</definedName>
    <definedName name="k.sAS.sAA">global!$L$527</definedName>
    <definedName name="k.sAS.sAP">global!$L$532</definedName>
    <definedName name="k.sAS.w2AS">global!$L$629</definedName>
    <definedName name="k.sd0C.w0C">continental!$L$157</definedName>
    <definedName name="k.sd0CA">continental!$L$543</definedName>
    <definedName name="k.sd0CA.w0CA">continental!$L$504</definedName>
    <definedName name="k.sd0CD">continental!$L$204</definedName>
    <definedName name="k.sd0CD.w0CD">continental!$L$157</definedName>
    <definedName name="k.sd0CP">continental!$L$544</definedName>
    <definedName name="k.sd0CP.w0CP">continental!$L$507</definedName>
    <definedName name="k.sd0CS">continental!$L$542</definedName>
    <definedName name="k.sd0CS.sd0CA">continental!$L$284</definedName>
    <definedName name="k.sd0CS.sd0CP">continental!$L$293</definedName>
    <definedName name="k.sd0CS.w0CS">continental!$L$501</definedName>
    <definedName name="k.sd0RA">regional!$L$537</definedName>
    <definedName name="k.sd0RA.w0RA">regional!$L$498</definedName>
    <definedName name="k.sd0RD">regional!$L$198</definedName>
    <definedName name="k.sd0RD.w0RD">regional!$L$151</definedName>
    <definedName name="k.sd0RP">regional!$L$538</definedName>
    <definedName name="k.sd0RP.w0RP">regional!$L$501</definedName>
    <definedName name="k.sd0RS">regional!$L$536</definedName>
    <definedName name="k.sd0RS.sd0RA">regional!$L$278</definedName>
    <definedName name="k.sd0RS.sd0RP">regional!$L$287</definedName>
    <definedName name="k.sd0RS.w0RS">regional!$L$495</definedName>
    <definedName name="k.sd1C">continental!$L$205</definedName>
    <definedName name="k.sd1C.w1C">continental!$L$158</definedName>
    <definedName name="k.sd1CA">continental!$L$546</definedName>
    <definedName name="k.sd1CA.w1CA">continental!$L$505</definedName>
    <definedName name="k.sd1CD.w1CD">continental!$L$158</definedName>
    <definedName name="k.sd1CP">continental!$L$547</definedName>
    <definedName name="k.sd1CP.w1CP">continental!$L$508</definedName>
    <definedName name="k.sd1CS">continental!$L$545</definedName>
    <definedName name="k.sd1CS.sd1CA">continental!$L$286</definedName>
    <definedName name="k.sd1CS.sd1CP">continental!$L$294</definedName>
    <definedName name="k.sd1CS.w1CS">continental!$L$502</definedName>
    <definedName name="k.sd1RA">regional!$L$540</definedName>
    <definedName name="k.sd1RA.w1RA">regional!$L$499</definedName>
    <definedName name="k.sd1RD">regional!$L$199</definedName>
    <definedName name="k.sd1RD.w1RD">regional!$L$152</definedName>
    <definedName name="k.sd1RP">regional!$L$541</definedName>
    <definedName name="k.sd1RP.w1RP">regional!$L$502</definedName>
    <definedName name="k.sd1RS">regional!$L$539</definedName>
    <definedName name="k.sd1RS.sd1RA">regional!$L$280</definedName>
    <definedName name="k.sd1RS.sd1RP">regional!$L$288</definedName>
    <definedName name="k.sd1RS.w1RS">regional!$L$496</definedName>
    <definedName name="k.sd2C">continental!$L$206</definedName>
    <definedName name="k.sd2C.w2C">continental!$L$159</definedName>
    <definedName name="k.sd2CA">continental!$L$549</definedName>
    <definedName name="k.sd2CA.w2CA">continental!$L$506</definedName>
    <definedName name="k.sd2CD.w2CD">continental!$L$159</definedName>
    <definedName name="k.sd2CP">continental!$L$550</definedName>
    <definedName name="k.sd2CP.w2CP">continental!$L$509</definedName>
    <definedName name="k.sd2CS">continental!$L$548</definedName>
    <definedName name="k.sd2CS.sd2CA">continental!$L$288</definedName>
    <definedName name="k.sd2CS.sd2CP">continental!$L$295</definedName>
    <definedName name="k.sd2CS.w2CS">continental!$L$503</definedName>
    <definedName name="k.sd2RA">regional!$L$543</definedName>
    <definedName name="k.sd2RA.w2RA">regional!$L$500</definedName>
    <definedName name="k.sd2RD">regional!$L$200</definedName>
    <definedName name="k.sd2RD.w2RD">regional!$L$153</definedName>
    <definedName name="k.sd2RP">regional!$L$544</definedName>
    <definedName name="k.sd2RP.w2RP">regional!$L$503</definedName>
    <definedName name="k.sd2RS">regional!$L$542</definedName>
    <definedName name="k.sd2RS.sd2RA">regional!$L$282</definedName>
    <definedName name="k.sd2RS.sd2RP">regional!$L$289</definedName>
    <definedName name="k.sd2RS.w2RS">regional!$L$497</definedName>
    <definedName name="k.sdA">global!$L$450</definedName>
    <definedName name="k.sdA.w3A">global!$L$428</definedName>
    <definedName name="k.sdAA">global!$L$643</definedName>
    <definedName name="k.sdAA.w3AA">global!$L$627</definedName>
    <definedName name="k.sdAD">global!$L$450</definedName>
    <definedName name="k.sdAD.w3AD">global!$L$428</definedName>
    <definedName name="k.sdAP">global!$L$644</definedName>
    <definedName name="k.sdAP.w3AP">global!$L$628</definedName>
    <definedName name="k.sdAS">global!$L$642</definedName>
    <definedName name="k.sdAS.sdAA">global!$L$508</definedName>
    <definedName name="k.sdAS.sdAP">global!$L$512</definedName>
    <definedName name="k.sdAS.w3AS">global!$L$626</definedName>
    <definedName name="k.sdM">global!$L$128</definedName>
    <definedName name="k.sdM.w2M">global!$L$106</definedName>
    <definedName name="k.sdM.w3M">global!$L$106</definedName>
    <definedName name="k.sdMA">global!$L$322</definedName>
    <definedName name="k.sdMA.w3MA">global!$L$306</definedName>
    <definedName name="k.sdMD">global!$L$128</definedName>
    <definedName name="k.sdMD.w3MD">global!$L$106</definedName>
    <definedName name="k.sdMP">global!$L$323</definedName>
    <definedName name="k.sdMP.w3MP">global!$L$307</definedName>
    <definedName name="k.sdMS">global!$L$321</definedName>
    <definedName name="k.sdMS.sdMA">global!$L$187</definedName>
    <definedName name="k.sdMS.sdMP">global!$L$191</definedName>
    <definedName name="k.sdMS.w3MS">global!$L$305</definedName>
    <definedName name="k.sdT">global!$L$772</definedName>
    <definedName name="k.sdT.w3T">global!$L$750</definedName>
    <definedName name="k.sdTA">global!$L$965</definedName>
    <definedName name="k.sdTA.w3TA">global!$L$949</definedName>
    <definedName name="k.sdTD">global!$L$772</definedName>
    <definedName name="k.sdTD.w3TD">global!$L$750</definedName>
    <definedName name="k.sdTP">global!$L$966</definedName>
    <definedName name="k.sdTP.w3TP">global!$L$950</definedName>
    <definedName name="k.sdTS">global!$L$964</definedName>
    <definedName name="k.sdTS.sdTA">global!$L$830</definedName>
    <definedName name="k.sdTS.sdTP">global!$L$834</definedName>
    <definedName name="k.sdTS.w3TS">global!$L$948</definedName>
    <definedName name="k.sM">global!$L$129</definedName>
    <definedName name="k.sM.aM">global!$L$81</definedName>
    <definedName name="k.sM.w2M">global!$L$118</definedName>
    <definedName name="k.sMA">global!$L$325</definedName>
    <definedName name="k.sMA.w2MA">global!$L$309</definedName>
    <definedName name="k.sMD">global!$L$129</definedName>
    <definedName name="k.sMD.aMG">global!$L$81</definedName>
    <definedName name="k.sMD.w2MD">global!$L$118</definedName>
    <definedName name="k.sMP">global!$L$326</definedName>
    <definedName name="k.sMP.w2MP">global!$L$310</definedName>
    <definedName name="k.sMS">global!$L$324</definedName>
    <definedName name="k.sMS.sMA">global!$L$206</definedName>
    <definedName name="k.sMS.sMP">global!$L$211</definedName>
    <definedName name="k.sMS.w2MS">global!$L$308</definedName>
    <definedName name="k.sT">global!$L$773</definedName>
    <definedName name="k.sT.aT">global!$L$725</definedName>
    <definedName name="k.sT.w2T">global!$L$762</definedName>
    <definedName name="k.sTA">global!$L$968</definedName>
    <definedName name="k.sTA.w2TA">global!$L$952</definedName>
    <definedName name="k.sTD">global!$L$773</definedName>
    <definedName name="k.sTD.aTG">global!$L$725</definedName>
    <definedName name="k.sTD.w2TD">global!$L$762</definedName>
    <definedName name="k.sTP">global!$L$969</definedName>
    <definedName name="k.sTP.w2TP">global!$L$953</definedName>
    <definedName name="k.sTS">global!$L$967</definedName>
    <definedName name="k.sTS.sTA">global!$L$849</definedName>
    <definedName name="k.sTS.sTP">global!$L$854</definedName>
    <definedName name="k.sTS.w2TS">global!$L$951</definedName>
    <definedName name="k.w0C">continental!$L$201</definedName>
    <definedName name="k.w0C.aC">continental!$L$121</definedName>
    <definedName name="k.w0C.sd0C">continental!$L$154</definedName>
    <definedName name="k.w0C.w1C">continental!$L$52</definedName>
    <definedName name="k.w0C.w2C">continental!$L$53</definedName>
    <definedName name="k.w0CA">continental!$L$534</definedName>
    <definedName name="k.w0CA.sd0CA">continental!$L$495</definedName>
    <definedName name="k.w0CD.sd0CD">continental!$L$154</definedName>
    <definedName name="k.w0CP">continental!$L$535</definedName>
    <definedName name="k.w0CP.sd0CP">continental!$L$498</definedName>
    <definedName name="k.w0CS">continental!$L$533</definedName>
    <definedName name="k.w0CS.sd0CS">continental!$L$492</definedName>
    <definedName name="k.w0CS.w0CA">continental!$L$251</definedName>
    <definedName name="k.w0CS.w0CP">continental!$L$269</definedName>
    <definedName name="k.w0R.w1R">regional!$L$51</definedName>
    <definedName name="k.w0R.w2R">regional!$L$52</definedName>
    <definedName name="k.w0RA">regional!$L$528</definedName>
    <definedName name="k.w0RA.sd0RA">regional!$L$489</definedName>
    <definedName name="k.w0RD">regional!$L$195</definedName>
    <definedName name="k.w0RD.aRG">regional!$L$115</definedName>
    <definedName name="k.w0RD.sd0RD">regional!$L$148</definedName>
    <definedName name="k.w0RP">regional!$L$529</definedName>
    <definedName name="k.w0RP.sd0RP">regional!$L$492</definedName>
    <definedName name="k.w0RS">regional!$L$527</definedName>
    <definedName name="k.w0RS.sd0RS">regional!$L$486</definedName>
    <definedName name="k.w0RS.w0RA">regional!$L$245</definedName>
    <definedName name="k.w0RS.w0RP">regional!$L$263</definedName>
    <definedName name="k.w1C">continental!$L$202</definedName>
    <definedName name="k.w1C.aC">continental!$L$122</definedName>
    <definedName name="k.w1C.sd1C">continental!$L$155</definedName>
    <definedName name="k.w1C.w0C">continental!$L$54</definedName>
    <definedName name="k.w1C.w1R">continental!$L$55</definedName>
    <definedName name="k.w1C.w2C">continental!$L$56</definedName>
    <definedName name="k.w1CA">continental!$L$537</definedName>
    <definedName name="k.w1CA.sd1CA">continental!$L$496</definedName>
    <definedName name="k.w1CD.sd1CD">continental!$L$155</definedName>
    <definedName name="k.w1CP">continental!$L$538</definedName>
    <definedName name="k.w1CP.sd1CP">continental!$L$499</definedName>
    <definedName name="k.w1CS">continental!$L$536</definedName>
    <definedName name="k.w1CS.sd1CS">continental!$L$493</definedName>
    <definedName name="k.w1CS.w1CA">continental!$L$256</definedName>
    <definedName name="k.w1CS.w1CP">continental!$L$273</definedName>
    <definedName name="k.w1R.w0R">regional!$L$53</definedName>
    <definedName name="k.w1R.w2R">regional!$L$54</definedName>
    <definedName name="k.w1RA">regional!$L$531</definedName>
    <definedName name="k.w1RA.sd1RA">regional!$L$490</definedName>
    <definedName name="k.w1RD">regional!$L$196</definedName>
    <definedName name="k.w1RD.aRG">regional!$L$116</definedName>
    <definedName name="k.w1RD.sd1RD">regional!$L$149</definedName>
    <definedName name="k.w1RP">regional!$L$532</definedName>
    <definedName name="k.w1RP.sd1RP">regional!$L$493</definedName>
    <definedName name="k.w1RS">regional!$L$530</definedName>
    <definedName name="k.w1RS.sd1RS">regional!$L$487</definedName>
    <definedName name="k.w1RS.w1RA">regional!$L$250</definedName>
    <definedName name="k.w1RS.w1RP">regional!$L$267</definedName>
    <definedName name="k.w2A">global!$L$448</definedName>
    <definedName name="k.w2A.aA">global!$L$402</definedName>
    <definedName name="k.w2A.w2M">global!$L$360</definedName>
    <definedName name="k.w2A.w3A">global!$L$363</definedName>
    <definedName name="k.w2AA">global!$L$637</definedName>
    <definedName name="k.w2AA.w3AA">global!$L$621</definedName>
    <definedName name="k.w2AD">global!$L$448</definedName>
    <definedName name="k.w2AD.aAG">global!$L$402</definedName>
    <definedName name="k.w2AP">global!$L$638</definedName>
    <definedName name="k.w2AP.w3AP">global!$L$622</definedName>
    <definedName name="k.w2AS">global!$L$636</definedName>
    <definedName name="k.w2AS.w2AA">global!$L$485</definedName>
    <definedName name="k.w2AS.w2AP">global!$L$497</definedName>
    <definedName name="k.w2AS.w3AS">global!$L$620</definedName>
    <definedName name="k.w2C">continental!$L$203</definedName>
    <definedName name="k.w2C.aC">continental!$L$123</definedName>
    <definedName name="k.w2C.sd2C">continental!$L$156</definedName>
    <definedName name="k.w2C.w2M">continental!$L$63</definedName>
    <definedName name="k.w2C.w2R">continental!$L$62</definedName>
    <definedName name="k.w2CA">continental!$L$540</definedName>
    <definedName name="k.w2CA.sd2CA">continental!$L$497</definedName>
    <definedName name="k.w2CD.sd2CD">continental!$L$156</definedName>
    <definedName name="k.w2CP">continental!$L$541</definedName>
    <definedName name="k.w2CP.sd2CP">continental!$L$500</definedName>
    <definedName name="k.w2CS">continental!$L$539</definedName>
    <definedName name="k.w2CS.sd2CS">continental!$L$494</definedName>
    <definedName name="k.w2CS.w2CA">continental!$L$261</definedName>
    <definedName name="k.w2CS.w2CP">continental!$L$277</definedName>
    <definedName name="k.w2M">global!$L$126</definedName>
    <definedName name="k.w2M.aM">global!$L$80</definedName>
    <definedName name="k.w2M.sdM">global!$L$105</definedName>
    <definedName name="k.w2M.w2A">global!$L$33</definedName>
    <definedName name="k.w2M.w2C">global!$L$32</definedName>
    <definedName name="k.w2M.w2T">global!$L$34</definedName>
    <definedName name="k.w2M.w3M">global!$L$41</definedName>
    <definedName name="k.w2MA">global!$L$316</definedName>
    <definedName name="k.w2MA.w3MA">global!$L$300</definedName>
    <definedName name="k.w2MD">global!$L$126</definedName>
    <definedName name="k.w2MD.aMG">global!$L$80</definedName>
    <definedName name="k.w2MP">global!$L$317</definedName>
    <definedName name="k.w2MP.w3MP">global!$L$301</definedName>
    <definedName name="k.w2MS">global!$L$315</definedName>
    <definedName name="k.w2MS.w2MA">global!$L$164</definedName>
    <definedName name="k.w2MS.w2MP">global!$L$176</definedName>
    <definedName name="k.w2MS.w3MS">global!$L$299</definedName>
    <definedName name="k.w2R.w2C">regional!$L$55</definedName>
    <definedName name="k.w2RA">regional!$L$534</definedName>
    <definedName name="k.w2RA.sd2RA">regional!$L$491</definedName>
    <definedName name="k.w2RD">regional!$L$197</definedName>
    <definedName name="k.w2RD.aRG">regional!$L$117</definedName>
    <definedName name="k.w2RD.sd2RD">regional!$L$150</definedName>
    <definedName name="k.w2RP">regional!$L$535</definedName>
    <definedName name="k.w2RP.sd2RP">regional!$L$494</definedName>
    <definedName name="k.w2RS">regional!$L$533</definedName>
    <definedName name="k.w2RS.sd2RS">regional!$L$488</definedName>
    <definedName name="k.w2RS.w2RA">regional!$L$255</definedName>
    <definedName name="k.w2RS.w2RP">regional!$L$271</definedName>
    <definedName name="k.w2T">global!$L$770</definedName>
    <definedName name="k.w2T.aT">global!$L$724</definedName>
    <definedName name="k.w2T.sdT">global!$L$749</definedName>
    <definedName name="k.w2T.w2M">global!$L$682</definedName>
    <definedName name="k.w2T.w3T">global!$L$685</definedName>
    <definedName name="k.w2TA">global!$L$959</definedName>
    <definedName name="k.w2TA.w3TA">global!$L$943</definedName>
    <definedName name="k.w2TD">global!$L$770</definedName>
    <definedName name="k.w2TD.aTG">global!$L$724</definedName>
    <definedName name="k.w2TP">global!$L$960</definedName>
    <definedName name="k.w2TP.w3TP">global!$L$944</definedName>
    <definedName name="k.w2TS">global!$L$958</definedName>
    <definedName name="k.w2TS.w2TA">global!$L$807</definedName>
    <definedName name="k.w2TS.w2TP">global!$L$819</definedName>
    <definedName name="k.w2TS.w3TS">global!$L$942</definedName>
    <definedName name="k.w3A">global!$L$449</definedName>
    <definedName name="k.w3A.sdA">global!$L$427</definedName>
    <definedName name="k.w3A.w2A">global!$L$364</definedName>
    <definedName name="k.w3A.w3M">global!$L$361</definedName>
    <definedName name="k.w3AA">global!$L$640</definedName>
    <definedName name="k.w3AA.sdAA">global!$L$624</definedName>
    <definedName name="k.w3AD">global!$L$449</definedName>
    <definedName name="k.w3AD.sdAD">global!$L$427</definedName>
    <definedName name="k.w3AP">global!$L$641</definedName>
    <definedName name="k.w3AP.sdAP">global!$L$625</definedName>
    <definedName name="k.w3AS">global!$L$639</definedName>
    <definedName name="k.w3AS.sdAS">global!$L$623</definedName>
    <definedName name="k.w3AS.w3AA">global!$L$490</definedName>
    <definedName name="k.w3AS.w3AP">global!$L$501</definedName>
    <definedName name="k.w3M">global!$L$127</definedName>
    <definedName name="k.w3M.sdM">global!$L$105</definedName>
    <definedName name="k.w3M.w2M">global!$L$42</definedName>
    <definedName name="k.w3M.w3A">global!$L$35</definedName>
    <definedName name="k.w3M.w3T">global!$L$36</definedName>
    <definedName name="k.w3MA">global!$L$319</definedName>
    <definedName name="k.w3MA.sdMA">global!$L$303</definedName>
    <definedName name="k.w3MD">global!$L$127</definedName>
    <definedName name="k.w3MD.sdMD">global!$L$105</definedName>
    <definedName name="k.w3MP">global!$L$320</definedName>
    <definedName name="k.w3MP.sdMP">global!$L$304</definedName>
    <definedName name="k.w3MS">global!$L$318</definedName>
    <definedName name="k.w3MS.sdMS">global!$L$302</definedName>
    <definedName name="k.w3MS.w3MA">global!$L$169</definedName>
    <definedName name="k.w3MS.w3MP">global!$L$180</definedName>
    <definedName name="k.w3T">global!$L$771</definedName>
    <definedName name="k.w3T.sdT">global!$L$749</definedName>
    <definedName name="k.w3T.w2T">global!$L$686</definedName>
    <definedName name="k.w3T.w3M">global!$L$683</definedName>
    <definedName name="k.w3TA">global!$L$962</definedName>
    <definedName name="k.w3TA.sdTA">global!$L$946</definedName>
    <definedName name="k.w3TD">global!$L$771</definedName>
    <definedName name="k.w3TD.sdTD">global!$L$749</definedName>
    <definedName name="k.w3TP">global!$L$963</definedName>
    <definedName name="k.w3TP.sdTP">global!$L$947</definedName>
    <definedName name="k.w3TS">global!$L$961</definedName>
    <definedName name="k.w3TS.sdTS">global!$L$945</definedName>
    <definedName name="k.w3TS.w3TA">global!$L$812</definedName>
    <definedName name="k.w3TS.w3TP">global!$L$823</definedName>
    <definedName name="k0.OHrad">input!$L$215</definedName>
    <definedName name="Kaers.aA">global!$L$376</definedName>
    <definedName name="Kaers.aC">continental!$L$75</definedName>
    <definedName name="Kaers.aM">global!$L$54</definedName>
    <definedName name="Kaers.aR">regional!$L$69</definedName>
    <definedName name="Kaers.aT">global!$L$698</definedName>
    <definedName name="Kaerw.aA">global!$L$375</definedName>
    <definedName name="Kaerw.aC">continental!$L$74</definedName>
    <definedName name="Kaerw.aM">global!$L$53</definedName>
    <definedName name="Kaerw.aR">regional!$L$68</definedName>
    <definedName name="Kaerw.aT">global!$L$697</definedName>
    <definedName name="Kaw">input!$L$164</definedName>
    <definedName name="Kaw.A">global!$L$373</definedName>
    <definedName name="Kaw.C">continental!$L$73</definedName>
    <definedName name="Kaw.M">global!$L$51</definedName>
    <definedName name="Kaw.T">global!$L$695</definedName>
    <definedName name="KawD.R">regional!$L$67</definedName>
    <definedName name="kboltz">input!$L$334</definedName>
    <definedName name="kbur.sd0C">continental!$L$563</definedName>
    <definedName name="kbur.sd0R">regional!$L$557</definedName>
    <definedName name="kbur.sd1C">continental!$L$564</definedName>
    <definedName name="kbur.sd1R">regional!$L$558</definedName>
    <definedName name="kbur.sd2C">continental!$L$565</definedName>
    <definedName name="kbur.sd2R">regional!$L$559</definedName>
    <definedName name="kbur.sdA">global!$L$649</definedName>
    <definedName name="kbur.sdM">global!$L$328</definedName>
    <definedName name="kbur.sdT">global!$L$971</definedName>
    <definedName name="kcoag.aAS.aAAcc">global!$L$474</definedName>
    <definedName name="kcoag.aAS.aANuc">global!$L$469</definedName>
    <definedName name="kcoag.aCS.aCAcc">continental!$L$242</definedName>
    <definedName name="kcoag.aCS.aCNuc">continental!$L$238</definedName>
    <definedName name="kcoag.aMS.aMAcc">global!$L$153</definedName>
    <definedName name="kcoag.aMS.aMNuc">global!$L$148</definedName>
    <definedName name="kcoag.aRS.AccR">regional!$L$236</definedName>
    <definedName name="kcoag.aRS.aRNuc">regional!$L$232</definedName>
    <definedName name="kcoag.aTS.aTAcc">global!$L$796</definedName>
    <definedName name="kcoag.aTS.aTNuc">global!$L$791</definedName>
    <definedName name="KDEG.aA">global!$L$453</definedName>
    <definedName name="KDEG.aC">continental!$L$211</definedName>
    <definedName name="KDEG.aM">global!$L$131</definedName>
    <definedName name="KDEG.aR">regional!$L$205</definedName>
    <definedName name="KDEG.aT">global!$L$775</definedName>
    <definedName name="KDEG.s1C">continental!$L$224</definedName>
    <definedName name="KDEG.s1R">regional!$L$218</definedName>
    <definedName name="KDEG.s2C">continental!$L$225</definedName>
    <definedName name="KDEG.s2R">regional!$L$219</definedName>
    <definedName name="KDEG.s3C">continental!$L$226</definedName>
    <definedName name="KDEG.s3R">regional!$L$220</definedName>
    <definedName name="KDEG.sA">global!$L$462</definedName>
    <definedName name="KDEG.sd0C">continental!$L$221</definedName>
    <definedName name="KDEG.sd0R">regional!$L$215</definedName>
    <definedName name="KDEG.sd1C">continental!$L$222</definedName>
    <definedName name="KDEG.sd1R">regional!$L$216</definedName>
    <definedName name="KDEG.sd2C">continental!$L$223</definedName>
    <definedName name="KDEG.sd2R">regional!$L$217</definedName>
    <definedName name="KDEG.sdA">global!$L$461</definedName>
    <definedName name="KDEG.sdM">global!$L$139</definedName>
    <definedName name="KDEG.sdT">global!$L$783</definedName>
    <definedName name="kdeg.sed">input!$L$221</definedName>
    <definedName name="KDEG.sM">global!$L$140</definedName>
    <definedName name="kdeg.soil">input!$L$222</definedName>
    <definedName name="KDEG.sT">global!$L$784</definedName>
    <definedName name="KDEG.w0C">continental!$L$214</definedName>
    <definedName name="KDEG.w0R">regional!$L$208</definedName>
    <definedName name="KDEG.w1C">continental!$L$215</definedName>
    <definedName name="KDEG.w1R">regional!$L$209</definedName>
    <definedName name="KDEG.w2A">global!$L$456</definedName>
    <definedName name="KDEG.w2C">continental!$L$216</definedName>
    <definedName name="KDEG.w2M">global!$L$134</definedName>
    <definedName name="KDEG.w2R">regional!$L$210</definedName>
    <definedName name="KDEG.w2T">global!$L$778</definedName>
    <definedName name="KDEG.w3A">global!$L$457</definedName>
    <definedName name="KDEG.w3M">global!$L$135</definedName>
    <definedName name="KDEG.w3T">global!$L$779</definedName>
    <definedName name="kdeg.water">input!$L$217</definedName>
    <definedName name="kdegA.a">input!$L$102</definedName>
    <definedName name="kdegA.s1">input!$L$110</definedName>
    <definedName name="kdegA.s2">input!$L$112</definedName>
    <definedName name="kdegA.s3">input!$L$114</definedName>
    <definedName name="kdegA.sd0">input!$L$116</definedName>
    <definedName name="kdegA.sd1">input!$L$118</definedName>
    <definedName name="kdegA.sd2">input!$L$120</definedName>
    <definedName name="kdegA.w0">input!$L$104</definedName>
    <definedName name="kdegA.w1">input!$L$106</definedName>
    <definedName name="kdegA.w2">input!$L$108</definedName>
    <definedName name="kdegA.w3">input!$L$122</definedName>
    <definedName name="kdegD.sed">input!$L$221</definedName>
    <definedName name="kdegD.soil">input!$L$222</definedName>
    <definedName name="kdegD.water">input!$L$217</definedName>
    <definedName name="kdegG.air">input!$L$213</definedName>
    <definedName name="kdegP.a">input!$L$103</definedName>
    <definedName name="kdegP.s1">input!$L$111</definedName>
    <definedName name="kdegP.s2">input!$L$113</definedName>
    <definedName name="kdegP.s3">input!$L$115</definedName>
    <definedName name="kdegP.sd0">input!$L$117</definedName>
    <definedName name="kdegP.sd1">input!$L$119</definedName>
    <definedName name="kdegP.sd2">input!$L$121</definedName>
    <definedName name="kdegP.w0">input!$L$105</definedName>
    <definedName name="kdegP.w1">input!$L$107</definedName>
    <definedName name="kdegP.w2">input!$L$109</definedName>
    <definedName name="kdegP.w3">input!$L$123</definedName>
    <definedName name="kdegS.a">input!$L$78</definedName>
    <definedName name="kdegS.s1">input!$L$88</definedName>
    <definedName name="kdegS.s2">input!$L$89</definedName>
    <definedName name="kdegS.s3">input!$L$90</definedName>
    <definedName name="kdegS.sd0">input!$L$93</definedName>
    <definedName name="kdegS.sd1">input!$L$94</definedName>
    <definedName name="kdegS.sd2">input!$L$95</definedName>
    <definedName name="kdegS.w0">input!$L$81</definedName>
    <definedName name="kdegS.w1">input!$L$82</definedName>
    <definedName name="kdegS.w2">input!$L$85</definedName>
    <definedName name="kdegS.w3">input!$L$98</definedName>
    <definedName name="kdep.A">global!$L$405</definedName>
    <definedName name="kdep.M">global!$L$83</definedName>
    <definedName name="kdep.T">global!$L$727</definedName>
    <definedName name="KDEPmean.A">global!$L$404</definedName>
    <definedName name="KDEPmean.M">global!$L$82</definedName>
    <definedName name="KDEPmean.T">global!$L$726</definedName>
    <definedName name="kdis.s1A.s1D">input!$L$61</definedName>
    <definedName name="kdis.s1P.s1D">input!$L$62</definedName>
    <definedName name="kdis.s1S.s1D">input!$L$47</definedName>
    <definedName name="kdis.s2A.s2D">input!$L$63</definedName>
    <definedName name="kdis.s2P.s2D">input!$L$64</definedName>
    <definedName name="kdis.s2S.s2D">input!$L$48</definedName>
    <definedName name="kdis.s3A.s3D">input!$L$65</definedName>
    <definedName name="kdis.s3P.s3D">input!$L$66</definedName>
    <definedName name="kdis.s3S.s3D">input!$L$49</definedName>
    <definedName name="kdis.sd0A.sd0D">input!$L$67</definedName>
    <definedName name="kdis.sd0P.sd0D">input!$L$68</definedName>
    <definedName name="kdis.sd0S.sd0D">input!$L$50</definedName>
    <definedName name="kdis.sd1A.sd1D">input!$L$69</definedName>
    <definedName name="kdis.sd1P.sd1D">input!$L$70</definedName>
    <definedName name="kdis.sd1S.sd1D">input!$L$51</definedName>
    <definedName name="kdis.sd2A.sd2D">input!$L$71</definedName>
    <definedName name="kdis.sd2P.sd2D">input!$L$72</definedName>
    <definedName name="kdis.sd2S.sd2D">input!$L$52</definedName>
    <definedName name="kdis.w0A.w0D">input!$L$55</definedName>
    <definedName name="kdis.w0P.w0D">input!$L$56</definedName>
    <definedName name="kdis.w0S.w0D">input!$L$44</definedName>
    <definedName name="kdis.w1A.w1D">input!$L$57</definedName>
    <definedName name="kdis.w1P.w1D">input!$L$58</definedName>
    <definedName name="kdis.w1S.w1D">input!$L$45</definedName>
    <definedName name="kdis.w2A.w2D">input!$L$59</definedName>
    <definedName name="kdis.w2P.w2D">input!$L$60</definedName>
    <definedName name="kdis.w2S.w2D">input!$L$46</definedName>
    <definedName name="kdis.w3A.w3D">input!$L$73</definedName>
    <definedName name="kdis.w3P.w3D">input!$L$74</definedName>
    <definedName name="kdis.w3S.w3D">input!$L$53</definedName>
    <definedName name="kdry.A">global!$L$406</definedName>
    <definedName name="kdry.C">continental!$L$129</definedName>
    <definedName name="kdry.M">global!$L$84</definedName>
    <definedName name="kdry.R">regional!$L$123</definedName>
    <definedName name="kdry.T">global!$L$728</definedName>
    <definedName name="kesc.aA">global!$L$452</definedName>
    <definedName name="kesc.aC">continental!$L$210</definedName>
    <definedName name="kesc.aM">global!$L$130</definedName>
    <definedName name="kesc.aR">regional!$L$204</definedName>
    <definedName name="kesc.aT">global!$L$774</definedName>
    <definedName name="kfragS.a">input!$L$79</definedName>
    <definedName name="kfragS.s">input!$L$91</definedName>
    <definedName name="kfragS.sd">input!$L$96</definedName>
    <definedName name="kfragS.w1">input!$L$83</definedName>
    <definedName name="kfragS.w2">input!$L$86</definedName>
    <definedName name="kfragS.w3">input!$L$99</definedName>
    <definedName name="kleach.s1C">continental!$L$560</definedName>
    <definedName name="kleach.s1R">regional!$L$554</definedName>
    <definedName name="kleach.s2C">continental!$L$561</definedName>
    <definedName name="kleach.s2R">regional!$L$555</definedName>
    <definedName name="kleach.s3C">continental!$L$562</definedName>
    <definedName name="kleach.s3R">regional!$L$556</definedName>
    <definedName name="kleach.sA">global!$L$648</definedName>
    <definedName name="kleach.sM">global!$L$327</definedName>
    <definedName name="kleach.sT">global!$L$970</definedName>
    <definedName name="kmpdeg.a">input!$L$80</definedName>
    <definedName name="kmpdeg.s">input!$L$92</definedName>
    <definedName name="kmpdeg.sd">input!$L$97</definedName>
    <definedName name="kmpdeg.w1">input!$L$84</definedName>
    <definedName name="kmpdeg.w2">input!$L$87</definedName>
    <definedName name="kmpdeg.w3">input!$L$100</definedName>
    <definedName name="knattenp">input!$F$174</definedName>
    <definedName name="knenp">input!$F$3</definedName>
    <definedName name="KnudS">input!$L$376</definedName>
    <definedName name="Kow">input!$L$165</definedName>
    <definedName name="Kow.alt">input!$L$166</definedName>
    <definedName name="Kp.col0C">continental!$L$79</definedName>
    <definedName name="Kp.col0R">regional!$L$73</definedName>
    <definedName name="Kp.col1C">continental!$L$83</definedName>
    <definedName name="Kp.col1R">regional!$L$77</definedName>
    <definedName name="Kp.col2A">global!$L$385</definedName>
    <definedName name="Kp.col2C">continental!$L$87</definedName>
    <definedName name="Kp.col2M">global!$L$63</definedName>
    <definedName name="Kp.col2R">regional!$L$81</definedName>
    <definedName name="Kp.col2T">global!$L$707</definedName>
    <definedName name="Kp.col3A">global!$L$386</definedName>
    <definedName name="Kp.col3M">global!$L$64</definedName>
    <definedName name="Kp.col3T">global!$L$708</definedName>
    <definedName name="Kp.colM">global!$L$63</definedName>
    <definedName name="Kp.s1C">continental!$L$100</definedName>
    <definedName name="Kp.s1R">regional!$L$94</definedName>
    <definedName name="Kp.s2C">continental!$L$105</definedName>
    <definedName name="Kp.s2R">regional!$L$99</definedName>
    <definedName name="Kp.s3C">continental!$L$110</definedName>
    <definedName name="Kp.s3R">regional!$L$104</definedName>
    <definedName name="Kp.sA">global!$L$395</definedName>
    <definedName name="Kp.sd0C">continental!$L$89</definedName>
    <definedName name="Kp.sd0R">regional!$L$83</definedName>
    <definedName name="Kp.sd1C">continental!$L$92</definedName>
    <definedName name="Kp.sd1R">regional!$L$86</definedName>
    <definedName name="Kp.sd2C">continental!$L$95</definedName>
    <definedName name="Kp.sd2R">regional!$L$89</definedName>
    <definedName name="Kp.sdA">global!$L$390</definedName>
    <definedName name="Kp.sdM">global!$L$68</definedName>
    <definedName name="Kp.sdT">global!$L$712</definedName>
    <definedName name="Kp.sM">global!$L$73</definedName>
    <definedName name="Kp.sT">global!$L$717</definedName>
    <definedName name="Kp.susp0C">continental!$L$77</definedName>
    <definedName name="Kp.susp0R">regional!$L$71</definedName>
    <definedName name="Kp.susp1C">continental!$L$81</definedName>
    <definedName name="Kp.susp1R">regional!$L$75</definedName>
    <definedName name="Kp.susp2A">global!$L$379</definedName>
    <definedName name="Kp.susp2C">continental!$L$85</definedName>
    <definedName name="Kp.susp2M">global!$L$57</definedName>
    <definedName name="Kp.susp2R">regional!$L$79</definedName>
    <definedName name="Kp.susp2T">global!$L$701</definedName>
    <definedName name="Kp.susp3A">global!$L$380</definedName>
    <definedName name="Kp.susp3M">global!$L$58</definedName>
    <definedName name="Kp.susp3T">global!$L$702</definedName>
    <definedName name="Ks1w.C">continental!$L$97</definedName>
    <definedName name="Ks1w.R">regional!$L$91</definedName>
    <definedName name="Ks2w.C">continental!$L$102</definedName>
    <definedName name="Ks2w.R">regional!$L$96</definedName>
    <definedName name="Ks3w.C">continental!$L$107</definedName>
    <definedName name="Ks3w.R">regional!$L$101</definedName>
    <definedName name="Ksdw.A">global!$L$389</definedName>
    <definedName name="Ksdw.M">global!$L$67</definedName>
    <definedName name="Ksdw.T">global!$L$711</definedName>
    <definedName name="Ksdw0.C">continental!$L$88</definedName>
    <definedName name="Ksdw0.R">regional!$L$82</definedName>
    <definedName name="Ksdw1.C">continental!$L$91</definedName>
    <definedName name="Ksdw1.R">regional!$L$85</definedName>
    <definedName name="Ksdw2.C">continental!$L$94</definedName>
    <definedName name="Ksdw2.R">regional!$L$88</definedName>
    <definedName name="Kslw.A">global!$L$392</definedName>
    <definedName name="Kslw.M">global!$L$70</definedName>
    <definedName name="Kslw.T">global!$L$714</definedName>
    <definedName name="Ksw">input!$L$162</definedName>
    <definedName name="Ksw.A">global!$L$392</definedName>
    <definedName name="Ksw.alt">input!$L$163</definedName>
    <definedName name="Ksw.M">global!$L$70</definedName>
    <definedName name="Ksw.T">global!$L$714</definedName>
    <definedName name="kwet.A">global!$L$407</definedName>
    <definedName name="kwet.C">continental!$L$130</definedName>
    <definedName name="kwet.M">global!$L$85</definedName>
    <definedName name="kwet.R">regional!$L$124</definedName>
    <definedName name="kwet.T">global!$L$729</definedName>
    <definedName name="kwsd.sed.sdA">global!$L$438</definedName>
    <definedName name="kwsd.sed.sdC">continental!$L$180</definedName>
    <definedName name="kwsd.sed.sdM">global!$L$116</definedName>
    <definedName name="kwsd.sed.sdR">regional!$L$174</definedName>
    <definedName name="kwsd.sed.sdT">global!$L$760</definedName>
    <definedName name="kwsd.water.wA">global!$L$437</definedName>
    <definedName name="kwsd.water.wC">continental!$L$179</definedName>
    <definedName name="kwsd.water.wM">global!$L$115</definedName>
    <definedName name="kwsd.water.wR">regional!$L$173</definedName>
    <definedName name="kwsd.water.wT">global!$L$759</definedName>
    <definedName name="largevegradius.s1C">continental!$L$403</definedName>
    <definedName name="largevegradius.s1R">regional!$L$397</definedName>
    <definedName name="largevegradius.s2C">continental!$L$414</definedName>
    <definedName name="largevegradius.s2R">regional!$L$408</definedName>
    <definedName name="largevegradius.s3C">continental!$L$425</definedName>
    <definedName name="largevegradius.s3R">regional!$L$419</definedName>
    <definedName name="largevegradius.sA">global!$L$591</definedName>
    <definedName name="largevegradius.sM">global!$L$270</definedName>
    <definedName name="largevegradius.sT">global!$L$913</definedName>
    <definedName name="M.aA">engine!$DI$168</definedName>
    <definedName name="M.aAA">engine!$DK$168</definedName>
    <definedName name="M.aAG">engine!$DI$168</definedName>
    <definedName name="M.aAP">engine!$DL$168</definedName>
    <definedName name="M.aAS">engine!$DJ$168</definedName>
    <definedName name="M.aC">engine!$AU$168</definedName>
    <definedName name="M.aCA">engine!$AW$168</definedName>
    <definedName name="M.aCG">engine!$AU$168</definedName>
    <definedName name="M.aCP">engine!$AX$168</definedName>
    <definedName name="M.aCS">engine!$AV$168</definedName>
    <definedName name="M.aM">engine!$CL$168</definedName>
    <definedName name="M.aMA">engine!$CN$168</definedName>
    <definedName name="M.aMG">engine!$CL$168</definedName>
    <definedName name="M.aMP">engine!$CO$168</definedName>
    <definedName name="M.aMS">engine!$CM$168</definedName>
    <definedName name="M.aR">engine!$D$168</definedName>
    <definedName name="M.aRA">engine!$F$168</definedName>
    <definedName name="M.aRG">engine!$D$168</definedName>
    <definedName name="M.aRP">engine!$G$168</definedName>
    <definedName name="M.aRS">engine!$E$168</definedName>
    <definedName name="M.aT">engine!$EF$168</definedName>
    <definedName name="M.aTA">engine!$EH$168</definedName>
    <definedName name="M.aTG">engine!$EF$168</definedName>
    <definedName name="M.aTP">engine!$EI$168</definedName>
    <definedName name="M.aTS">engine!$EG$168</definedName>
    <definedName name="M.cwAA">engine!$DN$168</definedName>
    <definedName name="M.cwAP">engine!$DO$168</definedName>
    <definedName name="M.cwAS">engine!$DM$168</definedName>
    <definedName name="M.cwCA">engine!$AZ$168</definedName>
    <definedName name="M.cwCP">engine!$BA$168</definedName>
    <definedName name="M.cwCS">engine!$AY$168</definedName>
    <definedName name="M.cwMA">engine!$CQ$168</definedName>
    <definedName name="M.cwMP">engine!$CR$168</definedName>
    <definedName name="M.cwMS">engine!$CP$168</definedName>
    <definedName name="M.cwRA">engine!$I$168</definedName>
    <definedName name="M.cwRP">engine!$J$168</definedName>
    <definedName name="M.cwRS">engine!$H$168</definedName>
    <definedName name="M.cwTA">engine!$EK$168</definedName>
    <definedName name="M.cwTP">engine!$EL$168</definedName>
    <definedName name="M.cwTS">engine!$EJ$168</definedName>
    <definedName name="M.s1C">engine!$BZ$168</definedName>
    <definedName name="M.s1CA">engine!$CB$168</definedName>
    <definedName name="M.s1CD">engine!$BZ$168</definedName>
    <definedName name="M.s1CP">engine!$CC$168</definedName>
    <definedName name="M.s1CS">engine!$CA$168</definedName>
    <definedName name="M.s1R">engine!$AI$168</definedName>
    <definedName name="M.s1RA">engine!$AK$168</definedName>
    <definedName name="M.s1RD">engine!$AI$168</definedName>
    <definedName name="M.s1RP">engine!$AL$168</definedName>
    <definedName name="M.s1RS">engine!$AJ$168</definedName>
    <definedName name="M.s2C">engine!$CD$168</definedName>
    <definedName name="M.s2CA">engine!$CF$168</definedName>
    <definedName name="M.s2CD">engine!$CD$168</definedName>
    <definedName name="M.s2CP">engine!$CG$168</definedName>
    <definedName name="M.s2CS">engine!$CE$168</definedName>
    <definedName name="M.s2R">engine!$AM$168</definedName>
    <definedName name="M.s2RA">engine!$AO$168</definedName>
    <definedName name="M.s2RD">engine!$AM$168</definedName>
    <definedName name="M.s2RP">engine!$AP$168</definedName>
    <definedName name="M.s2RS">engine!$AN$168</definedName>
    <definedName name="M.s3C">engine!$CH$168</definedName>
    <definedName name="M.s3CA">engine!$CJ$168</definedName>
    <definedName name="M.s3CD">engine!$CH$168</definedName>
    <definedName name="M.s3CP">engine!$CK$168</definedName>
    <definedName name="M.s3CS">engine!$CI$168</definedName>
    <definedName name="M.s3R">engine!$AQ$168</definedName>
    <definedName name="M.s3RA">engine!$AS$168</definedName>
    <definedName name="M.s3RD">engine!$AQ$168</definedName>
    <definedName name="M.s3RP">engine!$AT$168</definedName>
    <definedName name="M.s3RS">engine!$AR$168</definedName>
    <definedName name="M.sA">engine!$EB$168</definedName>
    <definedName name="M.sAA">engine!$ED$168</definedName>
    <definedName name="M.sAD">engine!$EB$168</definedName>
    <definedName name="M.sAP">engine!$EE$168</definedName>
    <definedName name="M.sAS">engine!$EC$168</definedName>
    <definedName name="M.sd0CA">engine!$BP$168</definedName>
    <definedName name="M.sd0CD">engine!$BN$168</definedName>
    <definedName name="M.sd0CP">engine!$BQ$168</definedName>
    <definedName name="M.sd0CS">engine!$BO$168</definedName>
    <definedName name="M.sd0RA">engine!$Y$168</definedName>
    <definedName name="M.sd0RD">engine!$W$168</definedName>
    <definedName name="M.sd0RP">engine!$Z$168</definedName>
    <definedName name="M.sd0RS">engine!$X$168</definedName>
    <definedName name="M.sd1C">engine!$BR$168</definedName>
    <definedName name="M.sd1CA">engine!$BT$168</definedName>
    <definedName name="M.sd1CD">engine!$BR$168</definedName>
    <definedName name="M.sd1CP">engine!$BU$168</definedName>
    <definedName name="M.sd1CS">engine!$BS$168</definedName>
    <definedName name="M.sd1R">engine!$AA$168</definedName>
    <definedName name="M.sd1RA">engine!$AC$168</definedName>
    <definedName name="M.sd1RD">engine!$AA$168</definedName>
    <definedName name="M.sd1RP">engine!$AD$168</definedName>
    <definedName name="M.sd1RS">engine!$AB$168</definedName>
    <definedName name="M.sd2C">engine!$BV$168</definedName>
    <definedName name="M.sd2CA">engine!$BX$168</definedName>
    <definedName name="M.sd2CD">engine!$BV$168</definedName>
    <definedName name="M.sd2CP">engine!$BY$168</definedName>
    <definedName name="M.sd2CS">engine!$BW$168</definedName>
    <definedName name="M.sd2R">engine!$AE$168</definedName>
    <definedName name="M.sd2RA">engine!$AG$168</definedName>
    <definedName name="M.sd2RD">engine!$AE$168</definedName>
    <definedName name="M.sd2RP">engine!$AH$168</definedName>
    <definedName name="M.sd2RS">engine!$AF$168</definedName>
    <definedName name="M.sdA">engine!$DX$168</definedName>
    <definedName name="M.sdAA">engine!$DZ$168</definedName>
    <definedName name="M.sdAD">engine!$DX$168</definedName>
    <definedName name="M.sdAP">engine!$EA$168</definedName>
    <definedName name="M.sdAS">engine!$DY$168</definedName>
    <definedName name="M.sdM">engine!$DA$168</definedName>
    <definedName name="M.sdMA">engine!$DC$168</definedName>
    <definedName name="M.sdMD">engine!$DA$168</definedName>
    <definedName name="M.sdMP">engine!$DD$168</definedName>
    <definedName name="M.sdMS">engine!$DB$168</definedName>
    <definedName name="M.sdT">engine!$EU$168</definedName>
    <definedName name="M.sdTA">engine!$EW$168</definedName>
    <definedName name="M.sdTD">engine!$EU$168</definedName>
    <definedName name="M.sdTP">engine!$EX$168</definedName>
    <definedName name="M.sdTS">engine!$EV$168</definedName>
    <definedName name="M.sM">engine!$DE$168</definedName>
    <definedName name="M.sMA">engine!$DG$168</definedName>
    <definedName name="M.sMD">engine!$DE$168</definedName>
    <definedName name="M.sMP">engine!$DH$168</definedName>
    <definedName name="M.sMS">engine!$DF$168</definedName>
    <definedName name="M.sT">engine!$EY$168</definedName>
    <definedName name="M.sTA">engine!$FA$168</definedName>
    <definedName name="M.sTD">engine!$EY$168</definedName>
    <definedName name="M.sTP">engine!$FB$168</definedName>
    <definedName name="M.sTS">engine!$EZ$168</definedName>
    <definedName name="M.tot">engine!$C$168</definedName>
    <definedName name="M.w0C">engine!$BB$168</definedName>
    <definedName name="M.w0CA">engine!$BD$168</definedName>
    <definedName name="M.w0CD">engine!$BB$168</definedName>
    <definedName name="M.w0CP">engine!$BE$168</definedName>
    <definedName name="M.w0CS">engine!$BC$168</definedName>
    <definedName name="M.w0R">engine!$K$168</definedName>
    <definedName name="M.w0RA">engine!$M$168</definedName>
    <definedName name="M.w0RD">engine!$K$168</definedName>
    <definedName name="M.w0RP">engine!$N$168</definedName>
    <definedName name="M.w0RS">engine!$L$168</definedName>
    <definedName name="M.w1C">engine!$BF$168</definedName>
    <definedName name="M.w1CA">engine!$BH$168</definedName>
    <definedName name="M.w1CD">engine!$BF$168</definedName>
    <definedName name="M.w1CP">engine!$BI$168</definedName>
    <definedName name="M.w1CS">engine!$BG$168</definedName>
    <definedName name="M.w1R">engine!$O$168</definedName>
    <definedName name="M.w1RA">engine!$Q$168</definedName>
    <definedName name="M.w1RD">engine!$O$168</definedName>
    <definedName name="M.w1RP">engine!$R$168</definedName>
    <definedName name="M.w1RS">engine!$P$168</definedName>
    <definedName name="M.w2A">engine!$DP$168</definedName>
    <definedName name="M.w2AA">engine!$DR$168</definedName>
    <definedName name="M.w2AD">engine!$DP$168</definedName>
    <definedName name="M.w2AP">engine!$DS$168</definedName>
    <definedName name="M.w2AS">engine!$DQ$168</definedName>
    <definedName name="M.w2C">engine!$BJ$168</definedName>
    <definedName name="M.w2CA">engine!$BL$168</definedName>
    <definedName name="M.w2CD">engine!$BJ$168</definedName>
    <definedName name="M.w2CP">engine!$BM$168</definedName>
    <definedName name="M.w2CS">engine!$BK$168</definedName>
    <definedName name="M.w2M">engine!$CS$168</definedName>
    <definedName name="M.w2MA">engine!$CU$168</definedName>
    <definedName name="M.w2MD">engine!$CS$168</definedName>
    <definedName name="M.w2MP">engine!$CV$168</definedName>
    <definedName name="M.w2MS">engine!$CT$168</definedName>
    <definedName name="M.w2R">engine!$S$168</definedName>
    <definedName name="M.w2RA">engine!$U$168</definedName>
    <definedName name="M.w2RD">engine!$S$168</definedName>
    <definedName name="M.w2RP">engine!$V$168</definedName>
    <definedName name="M.w2RS">engine!$T$168</definedName>
    <definedName name="M.w2T">engine!$EM$168</definedName>
    <definedName name="M.w2TA">engine!$EO$168</definedName>
    <definedName name="M.w2TD">engine!$EM$168</definedName>
    <definedName name="M.w2TP">engine!$EP$168</definedName>
    <definedName name="M.w2TS">engine!$EN$168</definedName>
    <definedName name="M.w3A">engine!$DT$168</definedName>
    <definedName name="M.w3AA">engine!$DV$168</definedName>
    <definedName name="M.w3AD">engine!$DT$168</definedName>
    <definedName name="M.w3AP">engine!$DW$168</definedName>
    <definedName name="M.w3AS">engine!$DU$168</definedName>
    <definedName name="M.w3M">engine!$CW$168</definedName>
    <definedName name="M.w3MA">engine!$CY$168</definedName>
    <definedName name="M.w3MD">engine!$CW$168</definedName>
    <definedName name="M.w3MP">engine!$CZ$168</definedName>
    <definedName name="M.w3MS">engine!$CX$168</definedName>
    <definedName name="M.w3T">engine!$EQ$168</definedName>
    <definedName name="M.w3TA">engine!$ES$168</definedName>
    <definedName name="M.w3TD">engine!$EQ$168</definedName>
    <definedName name="M.w3TP">engine!$ET$168</definedName>
    <definedName name="M.w3TS">engine!$ER$168</definedName>
    <definedName name="m0">dynamicR!$J$14:$FH$14</definedName>
    <definedName name="mass">engine!$D$168:$FB$168</definedName>
    <definedName name="massaggair">engine!$T$22</definedName>
    <definedName name="massfreeair">engine!$T$21</definedName>
    <definedName name="massrainagg">engine!$T$25</definedName>
    <definedName name="massrainatt">engine!$T$26</definedName>
    <definedName name="massrainfree">engine!$T$24</definedName>
    <definedName name="masssedagg">engine!$T$34</definedName>
    <definedName name="masssedatt">engine!$T$35</definedName>
    <definedName name="masssedfree">engine!$T$33</definedName>
    <definedName name="masssoilagg">engine!$T$28</definedName>
    <definedName name="masssoilatt">engine!$T$29</definedName>
    <definedName name="masssoilfree">engine!$T$27</definedName>
    <definedName name="masswateragg">engine!$T$31</definedName>
    <definedName name="masswateratt">engine!$T$32</definedName>
    <definedName name="masswaterfree">engine!$T$30</definedName>
    <definedName name="mConcNC.sA">global!$L$529</definedName>
    <definedName name="mConcNC.sC">input!$L$314</definedName>
    <definedName name="mConcNC.sM">global!$L$208</definedName>
    <definedName name="mConcNC.sR">input!$L$284</definedName>
    <definedName name="mConcNC.sT">global!$L$851</definedName>
    <definedName name="MeanDep.A">global!$L$404</definedName>
    <definedName name="MeanDep.C">continental!$L$127</definedName>
    <definedName name="MeanDep.M">global!$L$82</definedName>
    <definedName name="MeanDep.R">regional!$L$121</definedName>
    <definedName name="MeanDep.T">global!$L$726</definedName>
    <definedName name="MeanRem.aA">global!$L$405</definedName>
    <definedName name="MeanRem.aC">continental!$L$128</definedName>
    <definedName name="MeanRem.aM">global!$L$83</definedName>
    <definedName name="MeanRem.aR">regional!$L$122</definedName>
    <definedName name="MeanRem.aT">global!$L$727</definedName>
    <definedName name="Molweight">input!$L$160</definedName>
    <definedName name="MTCas.air.aA">global!$L$423</definedName>
    <definedName name="MTCas.air.aC">continental!$L$148</definedName>
    <definedName name="MTCas.air.aM">global!$L$101</definedName>
    <definedName name="MTCas.air.aR">regional!$L$142</definedName>
    <definedName name="MTCas.air.aT">global!$L$745</definedName>
    <definedName name="MTCas.soil.sA">global!$L$424</definedName>
    <definedName name="MTCas.soil.sC">continental!$L$149</definedName>
    <definedName name="MTCas.soil.sM">global!$L$102</definedName>
    <definedName name="MTCas.soil.sR">regional!$L$143</definedName>
    <definedName name="MTCas.soil.sT">global!$L$746</definedName>
    <definedName name="MTCaw.air.aA">global!$L$420</definedName>
    <definedName name="MTCaw.air.aC">continental!$L$143</definedName>
    <definedName name="MTCaw.air.aM">global!$L$98</definedName>
    <definedName name="MTCaw.air.aR">regional!$L$137</definedName>
    <definedName name="MTCaw.air.aT">global!$L$742</definedName>
    <definedName name="MTCaw.water.wA">global!$L$421</definedName>
    <definedName name="MTCaw.water.wC">continental!$L$144</definedName>
    <definedName name="MTCaw.water.wM">global!$L$99</definedName>
    <definedName name="MTCaw.water.wR">regional!$L$138</definedName>
    <definedName name="MTCaw.water.wT">global!$L$743</definedName>
    <definedName name="NETsedrate.w0C">continental!$L$170</definedName>
    <definedName name="NETsedrate.w0R">regional!$L$164</definedName>
    <definedName name="NETsedrate.w1C">continental!$L$171</definedName>
    <definedName name="NETsedrate.w1R">regional!$L$165</definedName>
    <definedName name="NETsedrate.w2C">continental!$L$172</definedName>
    <definedName name="NETsedrate.w2R">regional!$L$166</definedName>
    <definedName name="NETsedrate.wA">global!$L$433</definedName>
    <definedName name="NETsedrate.wM">global!$L$111</definedName>
    <definedName name="NETsedrate.wT">global!$L$755</definedName>
    <definedName name="NumberNC.w1R">regional!$L$251</definedName>
    <definedName name="NumConcAcc.aA">global!$L$475</definedName>
    <definedName name="NumConcAcc.aC">input!$L$306</definedName>
    <definedName name="NumConcAcc.aM">global!$L$154</definedName>
    <definedName name="NumConcAcc.aR">input!$L$276</definedName>
    <definedName name="NumConcAcc.aT">global!$L$797</definedName>
    <definedName name="NumConcCP.aA">global!$L$480</definedName>
    <definedName name="NumConcCP.aC">input!$L$307</definedName>
    <definedName name="NumConcCP.aM">global!$L$159</definedName>
    <definedName name="NumConcCP.aR">input!$L$277</definedName>
    <definedName name="NumConcCP.aT">global!$L$802</definedName>
    <definedName name="NumConcNC.sA">global!$L$528</definedName>
    <definedName name="NumConcNC.sC">continental!$L$313</definedName>
    <definedName name="NumConcNC.sd0C">continental!$L$285</definedName>
    <definedName name="NumConcNC.sd0R">regional!$L$279</definedName>
    <definedName name="NumConcNC.sd1C">continental!$L$287</definedName>
    <definedName name="NumConcNC.sd1R">regional!$L$281</definedName>
    <definedName name="NumConcNC.sd2C">continental!$L$289</definedName>
    <definedName name="NumConcNC.sd2R">regional!$L$283</definedName>
    <definedName name="NumConcNC.sdA">global!$L$509</definedName>
    <definedName name="NumConcNC.sdM">global!$L$188</definedName>
    <definedName name="NumConcNC.sdT">global!$L$831</definedName>
    <definedName name="NumConcNC.sM">global!$L$207</definedName>
    <definedName name="NumConcNC.sR">regional!$L$307</definedName>
    <definedName name="NumConcNC.sT">global!$L$850</definedName>
    <definedName name="NumConcNC.w0C">continental!$L$252</definedName>
    <definedName name="NumConcNC.w0R">regional!$L$246</definedName>
    <definedName name="NumConcNC.w1C">continental!$L$257</definedName>
    <definedName name="NumConcNC.w1R">regional!$L$251</definedName>
    <definedName name="NumConcNC.w2A">global!$L$486</definedName>
    <definedName name="NumConcNC.w2C">continental!$L$262</definedName>
    <definedName name="NumConcNC.w2M">global!$L$165</definedName>
    <definedName name="NumConcNC.w2R">regional!$L$256</definedName>
    <definedName name="NumConcNC.w2T">global!$L$808</definedName>
    <definedName name="NumConcNC.w3A">global!$L$491</definedName>
    <definedName name="NumConcNC.w3M">global!$L$170</definedName>
    <definedName name="NumConcNC.w3T">global!$L$813</definedName>
    <definedName name="NumConcNuc.aA">global!$L$470</definedName>
    <definedName name="NumConcNuc.aC">input!$L$305</definedName>
    <definedName name="NumConcNuc.aM">global!$L$149</definedName>
    <definedName name="NumConcNuc.aR">input!$L$275</definedName>
    <definedName name="NumConcNuc.aT">global!$L$792</definedName>
    <definedName name="NumConcSPM.w0C">continental!$L$270</definedName>
    <definedName name="NumConcSPM.w0R">regional!$L$264</definedName>
    <definedName name="NumConcSPM.w1C">continental!$L$274</definedName>
    <definedName name="NumConcSPM.w1R">regional!$L$268</definedName>
    <definedName name="NumConcSPM.w2A">global!$L$498</definedName>
    <definedName name="NumConcSPM.w2C">continental!$L$278</definedName>
    <definedName name="NumConcSPM.w2M">global!$L$177</definedName>
    <definedName name="NumConcSPM.w2R">regional!$L$272</definedName>
    <definedName name="NumConcSPM.w2T">global!$L$820</definedName>
    <definedName name="NumConcSPM.w3A">global!$L$502</definedName>
    <definedName name="NumConcSPM.w3M">global!$L$181</definedName>
    <definedName name="NumConcSPM.w3T">global!$L$824</definedName>
    <definedName name="OceanCurrent">global!$L$40</definedName>
    <definedName name="OceanMixing.A">global!$L$365</definedName>
    <definedName name="OceanMixing.M">global!$L$43</definedName>
    <definedName name="OceanMixing.T">global!$L$687</definedName>
    <definedName name="Pal_Workbook_GUID" hidden="1">"V35MDANV6XVX1M6ZPN925ERH"</definedName>
    <definedName name="PecletNumberFP.s1C">continental!$L$329</definedName>
    <definedName name="PecletNumberFP.s1R">regional!$L$323</definedName>
    <definedName name="PecletNumberFP.s2C">continental!$L$342</definedName>
    <definedName name="PecletNumberFP.s2R">regional!$L$336</definedName>
    <definedName name="PecletNumberFP.s3C">continental!$L$356</definedName>
    <definedName name="PecletNumberFP.s3R">regional!$L$350</definedName>
    <definedName name="PecletNumberFP.sA">global!$L$543</definedName>
    <definedName name="PecletNumberFP.sM">global!$L$222</definedName>
    <definedName name="PecletNumberFP.sT">global!$L$865</definedName>
    <definedName name="PecletNumberSP.sdA">global!$L$524</definedName>
    <definedName name="PecletNumberSP.sdC">continental!$L$307</definedName>
    <definedName name="PecletNumberSP.sdM">global!$L$203</definedName>
    <definedName name="PecletNumberSP.sdR">regional!$L$301</definedName>
    <definedName name="PecletNumberSP.sdT">global!$L$846</definedName>
    <definedName name="pH.aerw">input!$L$318</definedName>
    <definedName name="pH.cldw">input!$L$317</definedName>
    <definedName name="pH.s1">input!$L$321</definedName>
    <definedName name="pH.s2">input!$L$322</definedName>
    <definedName name="pH.s3">input!$L$323</definedName>
    <definedName name="pH.w1">input!$L$319</definedName>
    <definedName name="pH.w2">input!$L$320</definedName>
    <definedName name="pKa">input!$L$167</definedName>
    <definedName name="Por.s1C">continental!$L$324</definedName>
    <definedName name="Por.s1R">regional!$L$318</definedName>
    <definedName name="Por.s2C">continental!$L$338</definedName>
    <definedName name="Por.s2R">regional!$L$332</definedName>
    <definedName name="Por.s3C">continental!$L$352</definedName>
    <definedName name="Por.s3R">regional!$L$346</definedName>
    <definedName name="Por.sA">global!$L$539</definedName>
    <definedName name="Por.sdA">global!$L$519</definedName>
    <definedName name="Por.sdC">continental!$L$302</definedName>
    <definedName name="Por.sdM">global!$L$198</definedName>
    <definedName name="Por.sdR">regional!$L$296</definedName>
    <definedName name="Por.sdT">global!$L$841</definedName>
    <definedName name="Por.sM">global!$L$218</definedName>
    <definedName name="Por.sT">global!$L$861</definedName>
    <definedName name="PRODsusp.w1C">continental!$L$173</definedName>
    <definedName name="PRODsusp.w1R">regional!$L$167</definedName>
    <definedName name="PRODsusp.w2C">continental!$L$174</definedName>
    <definedName name="PRODsusp.w2R">regional!$L$168</definedName>
    <definedName name="PRODsusp.wA">global!$L$434</definedName>
    <definedName name="PRODsusp.wM">global!$L$112</definedName>
    <definedName name="PRODsusp.wT">global!$L$756</definedName>
    <definedName name="Pvap25">input!$L$181</definedName>
    <definedName name="Q.10">input!$L$220</definedName>
    <definedName name="QSARtable">input!$C$187:$L$211</definedName>
    <definedName name="Rad.cwA">global!$L$549</definedName>
    <definedName name="Rad.cwC">continental!$L$362</definedName>
    <definedName name="Rad.cwM">global!$L$228</definedName>
    <definedName name="Rad.cwR">regional!$L$356</definedName>
    <definedName name="Rad.cwT">global!$L$871</definedName>
    <definedName name="RadA.aA">global!$L$557</definedName>
    <definedName name="RadA.aC">continental!$L$370</definedName>
    <definedName name="RadA.aM">global!$L$236</definedName>
    <definedName name="RadA.aR">regional!$L$364</definedName>
    <definedName name="RadA.AT">global!$L$879</definedName>
    <definedName name="RadA.w">input!$L$394</definedName>
    <definedName name="RadAcc">input!$L$340</definedName>
    <definedName name="RadCP.a">input!$L$342</definedName>
    <definedName name="RadFP.s">input!$L$353</definedName>
    <definedName name="RadFP.sd">input!$L$350</definedName>
    <definedName name="RadNC.s">input!$L$351</definedName>
    <definedName name="RadNC.sd">input!$L$348</definedName>
    <definedName name="RadNC.w">input!$L$344</definedName>
    <definedName name="RadNuc">input!$L$338</definedName>
    <definedName name="RadP.a">input!$L$401</definedName>
    <definedName name="RadP.w">input!$L$397</definedName>
    <definedName name="RadS">input!$L$14</definedName>
    <definedName name="RadSPM.w">input!$L$346</definedName>
    <definedName name="RAINrate.A">global!$L$414</definedName>
    <definedName name="RAINrate.C">input!$L$298</definedName>
    <definedName name="RAINrate.M">global!$L$92</definedName>
    <definedName name="RAINrate.R">input!$L$268</definedName>
    <definedName name="RAINrate.T">global!$L$736</definedName>
    <definedName name="RAINrate.wet.A">global!$L$551</definedName>
    <definedName name="RAINrate.wet.C">continental!$L$364</definedName>
    <definedName name="RAINrate.wet.M">global!$L$230</definedName>
    <definedName name="RAINrate.wet.R">regional!$L$358</definedName>
    <definedName name="RAINrate.wet.T">global!$L$873</definedName>
    <definedName name="Rdyn_Mt">dynamicR!$I$20:$FH$119</definedName>
    <definedName name="regiodata">scenarios!$K$1:$AC$126</definedName>
    <definedName name="Relax.aCS">continental!$L$375</definedName>
    <definedName name="RelaxA.aA">global!$L$574</definedName>
    <definedName name="RelaxA.aC">continental!$L$386</definedName>
    <definedName name="RelaxA.aM">global!$L$253</definedName>
    <definedName name="RelaxA.aR">regional!$L$380</definedName>
    <definedName name="RelaxA.aT">global!$L$896</definedName>
    <definedName name="RelaxS.aA">global!$L$563</definedName>
    <definedName name="RelaxS.aC">continental!$L$375</definedName>
    <definedName name="RelaxS.aM">global!$L$242</definedName>
    <definedName name="RelaxS.ar">regional!$L$369</definedName>
    <definedName name="RelaxS.aT">global!$L$885</definedName>
    <definedName name="RESUSP.sd0C.w0C">continental!$L$161</definedName>
    <definedName name="RESUSP.sd0R.w0R">regional!$L$155</definedName>
    <definedName name="RESUSP.sd1C.w1C">continental!$L$163</definedName>
    <definedName name="RESUSP.sd1R.w1R">regional!$L$157</definedName>
    <definedName name="RESUSP.sd2C.w2C">continental!$L$165</definedName>
    <definedName name="RESUSP.sd2R.w2R">regional!$L$159</definedName>
    <definedName name="RESUSP.sdA.w3A">global!$L$430</definedName>
    <definedName name="RESUSP.sdM.w3M">global!$L$108</definedName>
    <definedName name="RESUSP.sdT.w3T">global!$L$752</definedName>
    <definedName name="RESUSPflow.sd0R.w0R">regional!$L$155</definedName>
    <definedName name="RESUSPflow.sd1R.w1R">regional!$L$157</definedName>
    <definedName name="RESUSPflow.sd2R.w2R">regional!$L$159</definedName>
    <definedName name="RESUSPflow.sdM.w3M">global!$L$108</definedName>
    <definedName name="ReyNumber.cwA">global!$L$555</definedName>
    <definedName name="ReyNumber.cwC">continental!$L$368</definedName>
    <definedName name="ReyNumber.cwM">global!$L$234</definedName>
    <definedName name="ReyNumber.cwR">regional!$L$362</definedName>
    <definedName name="ReyNumber.cwT">global!$L$877</definedName>
    <definedName name="Rho.a">input!$L$331</definedName>
    <definedName name="Rho.w">input!$L$333</definedName>
    <definedName name="RhoA.aA">global!$L$558</definedName>
    <definedName name="RhoA.aC">continental!$L$371</definedName>
    <definedName name="RhoA.aM">global!$L$237</definedName>
    <definedName name="RhoA.aR">regional!$L$365</definedName>
    <definedName name="RhoA.AT">global!$L$880</definedName>
    <definedName name="RhoA.w">input!$L$395</definedName>
    <definedName name="RhoAcc">input!$L$341</definedName>
    <definedName name="RHOaers">input!$L$328</definedName>
    <definedName name="RhoCP.a">input!$L$343</definedName>
    <definedName name="RhoFP.s">input!$L$354</definedName>
    <definedName name="RhoNC.s">input!$L$352</definedName>
    <definedName name="RhoNC.sd">input!$L$349</definedName>
    <definedName name="RhoNC.w">input!$L$345</definedName>
    <definedName name="RhoNuc">input!$L$339</definedName>
    <definedName name="RhoP.a">input!$L$402</definedName>
    <definedName name="RhoP.w">input!$L$398</definedName>
    <definedName name="RhoS">input!$L$15</definedName>
    <definedName name="RHOsolid">input!$L$329</definedName>
    <definedName name="RhoSPM.w">input!$L$347</definedName>
    <definedName name="Rhow">input!$L$333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IsInput" hidden="1">FALSE</definedName>
    <definedName name="RiskIsOptimization" hidden="1">FALSE</definedName>
    <definedName name="RiskIsOutput" hidden="1">FALSE</definedName>
    <definedName name="RiskIsStatistics" hidden="1">FALSE</definedName>
    <definedName name="RiskMinimizeOnStart" hidden="1">TRUE</definedName>
    <definedName name="RiskMonitorConvergence" hidden="1">FALSE</definedName>
    <definedName name="RiskMultipleCPUSupportEnabled"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FALSE</definedName>
    <definedName name="s1C.tot">engine!$BZ$168:$CC$168</definedName>
    <definedName name="s1R.tot">engine!$AI$168:$AL$168</definedName>
    <definedName name="s2C.tot">engine!$CD$168:$CG$168</definedName>
    <definedName name="s2R.tot">engine!$AM$168:$AP$168</definedName>
    <definedName name="s3C.tot">engine!$CH$168:$CK$168</definedName>
    <definedName name="s3R.tot">engine!$AQ$168:$AT$168</definedName>
    <definedName name="sA.tot">engine!$EB$168:$EE$168</definedName>
    <definedName name="Scale">dynamicR!$H$9</definedName>
    <definedName name="ScenarioData">scenarios!$J$3:$AG$145</definedName>
    <definedName name="ScenarioName">input!$L$8</definedName>
    <definedName name="ScenarioNames">scenarios!$J$3:$AC$3</definedName>
    <definedName name="SchmidtNumber.aCS">continental!$L$378</definedName>
    <definedName name="SchmidtNumberA.aA">global!$L$577</definedName>
    <definedName name="SchmidtNumberA.aC">continental!$L$389</definedName>
    <definedName name="SchmidtNumberA.aM">global!$L$256</definedName>
    <definedName name="SchmidtNumberA.aR">regional!$L$383</definedName>
    <definedName name="SchmidtNumberA.aT">global!$L$899</definedName>
    <definedName name="SchmidtNumberS.aA">global!$L$566</definedName>
    <definedName name="SchmidtNumberS.aC">continental!$L$378</definedName>
    <definedName name="SchmidtNumberS.aM">global!$L$245</definedName>
    <definedName name="SchmidtNumberS.aR">regional!$L$372</definedName>
    <definedName name="SchmidtNumberS.aT">global!$L$888</definedName>
    <definedName name="sd0C.tot">engine!$BN$168:$BQ$168</definedName>
    <definedName name="sd0R.tot">engine!$W$168:$Z$168</definedName>
    <definedName name="sd1C.tot">engine!$BR$168:$BU$168</definedName>
    <definedName name="sd1R.tot">engine!$AA$168:$AD$168</definedName>
    <definedName name="sd2C.tot">engine!$BV$168:$BY$168</definedName>
    <definedName name="sd2R.tot">engine!$AE$168:$AH$168</definedName>
    <definedName name="sdA.tot">engine!$DX$168:$EA$168</definedName>
    <definedName name="sdM.tot">engine!$DA$168:$DD$168</definedName>
    <definedName name="sdT.tot">engine!$EU$168:$EX$168</definedName>
    <definedName name="SED.w0C.sd0C">continental!$L$160</definedName>
    <definedName name="SED.w0R.sd0R">regional!$L$154</definedName>
    <definedName name="SED.w1C.sd1C">continental!$L$162</definedName>
    <definedName name="SED.w1R.sd1R">regional!$L$156</definedName>
    <definedName name="SED.w2C.sd2C">continental!$L$164</definedName>
    <definedName name="SED.w2R.sd2R">regional!$L$158</definedName>
    <definedName name="SED.w3A.sdA">global!$L$429</definedName>
    <definedName name="SED.w3M.sdM">global!$L$107</definedName>
    <definedName name="SED.w3T.sdT">global!$L$751</definedName>
    <definedName name="SEDflow.w0R.sd0R">regional!$L$154</definedName>
    <definedName name="SEDflow.w1R.sd1R">regional!$L$156</definedName>
    <definedName name="SEDflow.w2R.sd2R">regional!$L$158</definedName>
    <definedName name="SEDflow.w3M.sdM">global!$L$107</definedName>
    <definedName name="SETTLvelocity.A">global!$L$432</definedName>
    <definedName name="SETTLvelocity.C">continental!$L$169</definedName>
    <definedName name="SETTLvelocity.M">global!$L$110</definedName>
    <definedName name="SETTLvelocity.R">regional!$L$163</definedName>
    <definedName name="SETTLvelocity.T">global!$L$754</definedName>
    <definedName name="Settvel.aCS">continental!$L$377</definedName>
    <definedName name="SettvelA.aA">global!$L$576</definedName>
    <definedName name="SettvelA.aC">continental!$L$388</definedName>
    <definedName name="SettvelA.aM">global!$L$255</definedName>
    <definedName name="SettvelA.aR">regional!$L$382</definedName>
    <definedName name="SettvelA.aT">global!$L$898</definedName>
    <definedName name="SettvelS.aA">global!$L$565</definedName>
    <definedName name="SettvelS.aC">continental!$L$377</definedName>
    <definedName name="SettvelS.aM">global!$L$244</definedName>
    <definedName name="SettvelS.aR">regional!$L$371</definedName>
    <definedName name="SettvelS.aT">global!$L$887</definedName>
    <definedName name="SetVelA.w">input!$L$393</definedName>
    <definedName name="SetVelNC.s">input!$L$367</definedName>
    <definedName name="SetVelNC.sd">input!$L$365</definedName>
    <definedName name="SetVelNC.w">input!$L$361</definedName>
    <definedName name="SetVelP.a">input!$L$399</definedName>
    <definedName name="SetVelP.w">input!$L$396</definedName>
    <definedName name="SetVelS.w">input!$L$372</definedName>
    <definedName name="SetVelSPM.w">input!$L$363</definedName>
    <definedName name="Shear.w0C">continental!$L$255</definedName>
    <definedName name="Shear.w0R">regional!$L$249</definedName>
    <definedName name="Shear.w1C">continental!$L$260</definedName>
    <definedName name="Shear.w1R">regional!$L$254</definedName>
    <definedName name="Shear.w2A">global!$L$489</definedName>
    <definedName name="Shear.w2C">continental!$L$265</definedName>
    <definedName name="Shear.w2M">global!$L$168</definedName>
    <definedName name="Shear.w2R">regional!$L$259</definedName>
    <definedName name="Shear.w2T">global!$L$811</definedName>
    <definedName name="Shear.w3A">global!$L$494</definedName>
    <definedName name="Shear.w3M">global!$L$173</definedName>
    <definedName name="Shear.w3T">global!$L$816</definedName>
    <definedName name="SingleMassA.aA">global!$L$560</definedName>
    <definedName name="SingleMassA.aC">continental!$L$373</definedName>
    <definedName name="SingleMassA.aM">global!$L$239</definedName>
    <definedName name="SingleMassA.aR">regional!$L$367</definedName>
    <definedName name="SingleMassA.AT">global!$L$882</definedName>
    <definedName name="SingleMassS">input!$L$374</definedName>
    <definedName name="SingleVolA.aA">global!$L$559</definedName>
    <definedName name="SingleVolA.aC">continental!$L$372</definedName>
    <definedName name="SingleVolA.aM">global!$L$238</definedName>
    <definedName name="SingleVolA.aR">regional!$L$366</definedName>
    <definedName name="SingleVolA.AT">global!$L$881</definedName>
    <definedName name="SingleVolAcc">input!$L$358</definedName>
    <definedName name="SingleVolCP.a">input!$L$359</definedName>
    <definedName name="SingleVolNC.s">input!$L$366</definedName>
    <definedName name="SingleVolNC.sd">input!$L$364</definedName>
    <definedName name="SingleVolNC.w">input!$L$360</definedName>
    <definedName name="SingleVolNuc">input!$L$357</definedName>
    <definedName name="SingleVolS">input!$L$373</definedName>
    <definedName name="SingleVolSPM.w">input!$L$362</definedName>
    <definedName name="sM.tot">engine!$DE$168:$DH$168</definedName>
    <definedName name="sT.tot">engine!$EY$168:$FB$168</definedName>
    <definedName name="StokesNumber.aCS">continental!$L$376</definedName>
    <definedName name="StokesNumberA.aA">global!$L$575</definedName>
    <definedName name="StokesNumberA.aC">continental!$L$387</definedName>
    <definedName name="StokesNumberA.aM">global!$L$254</definedName>
    <definedName name="StokesNumberA.aR">regional!$L$381</definedName>
    <definedName name="StokesNumberA.aT">global!$L$897</definedName>
    <definedName name="StokesNumberS.aA">global!$L$564</definedName>
    <definedName name="StokesNumberS.aC">continental!$L$376</definedName>
    <definedName name="StokesNumberS.aM">global!$L$243</definedName>
    <definedName name="StokesNumberS.aR">regional!$L$370</definedName>
    <definedName name="StokesNumberS.aT">global!$L$886</definedName>
    <definedName name="SURFresist.s1CA">continental!$L$430</definedName>
    <definedName name="SURFresist.s1CS">continental!$L$398</definedName>
    <definedName name="SURFresist.s1RA">regional!$L$424</definedName>
    <definedName name="SURFresist.s1RS">regional!$L$392</definedName>
    <definedName name="SURFresist.s2CA">continental!$L$436</definedName>
    <definedName name="SURFresist.s2CS">continental!$L$409</definedName>
    <definedName name="SURFresist.s2RA">regional!$L$430</definedName>
    <definedName name="SURFresist.s2RS">regional!$L$403</definedName>
    <definedName name="SURFresist.s3CA">continental!$L$442</definedName>
    <definedName name="SURFresist.s3CS">continental!$L$420</definedName>
    <definedName name="SURFresist.s3RA">regional!$L$436</definedName>
    <definedName name="SURFresist.s3RS">regional!$L$414</definedName>
    <definedName name="SURFresist.sAA">global!$L$596</definedName>
    <definedName name="SURFresist.sAS">global!$L$586</definedName>
    <definedName name="SURFresist.sMA">global!$L$275</definedName>
    <definedName name="SURFresist.sMS">global!$L$265</definedName>
    <definedName name="SURFresist.sTA">global!$L$918</definedName>
    <definedName name="SURFresist.sTS">global!$L$908</definedName>
    <definedName name="SURFresist.w2AS">global!$L$604</definedName>
    <definedName name="SURFresist.w2MS">global!$L$283</definedName>
    <definedName name="SURFresist.w2TS">global!$L$926</definedName>
    <definedName name="SURFresist.wAA">global!$L$610</definedName>
    <definedName name="SURFresist.wCA">continental!$L$464</definedName>
    <definedName name="SURFresist.wCS">continental!$L$452</definedName>
    <definedName name="SURFresist.wMA">global!$L$289</definedName>
    <definedName name="SURFresist.wRA">regional!$L$458</definedName>
    <definedName name="SURFresist.wRS">regional!$L$446</definedName>
    <definedName name="SURFresist.wTA">global!$L$932</definedName>
    <definedName name="SUSP.w0C">input!$L$311</definedName>
    <definedName name="SUSP.w0R">input!$L$281</definedName>
    <definedName name="SUSP.w1C">input!$L$312</definedName>
    <definedName name="SUSP.w1R">input!$L$282</definedName>
    <definedName name="SUSP.w2A">global!$L$383</definedName>
    <definedName name="SUSP.w2C">input!$L$313</definedName>
    <definedName name="SUSP.w2M">global!$L$61</definedName>
    <definedName name="SUSP.w2R">input!$L$283</definedName>
    <definedName name="SUSP.w2T">global!$L$705</definedName>
    <definedName name="SUSP.w3A">global!$L$384</definedName>
    <definedName name="SUSP.w3M">global!$L$62</definedName>
    <definedName name="SUSP.w3T">global!$L$706</definedName>
    <definedName name="SYSTEMAREA.A">global!$L$340</definedName>
    <definedName name="SYSTEMAREA.C">continental!$L$16</definedName>
    <definedName name="SYSTEMAREA.M">global!$L$11</definedName>
    <definedName name="SYSTEMAREA.R">regional!$L$16</definedName>
    <definedName name="SYSTEMAREA.T">global!$L$662</definedName>
    <definedName name="TAU.aA">global!$L$358</definedName>
    <definedName name="TAU.aC">continental!$L$50</definedName>
    <definedName name="TAU.aR">regional!$L$49</definedName>
    <definedName name="TAU.aT">global!$L$680</definedName>
    <definedName name="TAU.surfA">global!$L$366</definedName>
    <definedName name="TAU.surfM">global!$L$44</definedName>
    <definedName name="TAU.surfT">global!$L$688</definedName>
    <definedName name="TAU.w2C">continental!$L$66</definedName>
    <definedName name="tdry.A">global!$L$408</definedName>
    <definedName name="tdry.C">continental!$L$131</definedName>
    <definedName name="tdry.M">global!$L$86</definedName>
    <definedName name="tdry.R">regional!$L$125</definedName>
    <definedName name="tdry.T">global!$L$730</definedName>
    <definedName name="TEMP.A">global!$L$374</definedName>
    <definedName name="TEMP.C">input!$L$296</definedName>
    <definedName name="TEMP.M">global!$L$52</definedName>
    <definedName name="TEMP.R">input!$L$266</definedName>
    <definedName name="TEMP.T">global!$L$696</definedName>
    <definedName name="Tempfactor.aA">global!$L$455</definedName>
    <definedName name="Tempfactor.aC">continental!$L$213</definedName>
    <definedName name="Tempfactor.aM">global!$L$133</definedName>
    <definedName name="Tempfactor.aR">regional!$L$207</definedName>
    <definedName name="Tempfactor.aT">global!$L$777</definedName>
    <definedName name="Tempfactor.wsdsA">global!$L$460</definedName>
    <definedName name="Tempfactor.wsdsC">continental!$L$220</definedName>
    <definedName name="Tempfactor.wsdsM">global!$L$138</definedName>
    <definedName name="Tempfactor.wsdsR">regional!$L$214</definedName>
    <definedName name="Tempfactor.wsdsT">global!$L$782</definedName>
    <definedName name="tend.I">dynamicR!$G$11</definedName>
    <definedName name="tend.II">dynamicR!$H$11</definedName>
    <definedName name="TerminalVel.cwA">global!$L$552</definedName>
    <definedName name="TerminalVel.cwC">continental!$L$365</definedName>
    <definedName name="TerminalVel.cwM">global!$L$231</definedName>
    <definedName name="TerminalVel.cwR">regional!$L$359</definedName>
    <definedName name="TerminalVel.cwT">global!$L$874</definedName>
    <definedName name="ThermvelAcc.aA">global!$L$476</definedName>
    <definedName name="ThermvelAcc.aC">continental!$L$243</definedName>
    <definedName name="ThermvelAcc.aM">global!$L$155</definedName>
    <definedName name="ThermvelAcc.aR">regional!$L$237</definedName>
    <definedName name="ThermvelAcc.aT">global!$L$798</definedName>
    <definedName name="ThermvelCP.aA">global!$L$481</definedName>
    <definedName name="ThermvelCP.aC">continental!$L$247</definedName>
    <definedName name="ThermvelCP.aM">global!$L$160</definedName>
    <definedName name="ThermvelCP.aR">regional!$L$241</definedName>
    <definedName name="ThermvelCP.aT">global!$L$803</definedName>
    <definedName name="ThermvelNuc.aA">global!$L$471</definedName>
    <definedName name="ThermvelNuc.aC">continental!$L$239</definedName>
    <definedName name="ThermvelNuc.aM">global!$L$150</definedName>
    <definedName name="ThermvelNuc.aR">regional!$L$235</definedName>
    <definedName name="ThermvelNuc.aT">global!$L$793</definedName>
    <definedName name="ThermvelS">input!$L$375</definedName>
    <definedName name="Tm">input!$L$185</definedName>
    <definedName name="TOTAREAland.C">input!$L$289</definedName>
    <definedName name="TOTAREAsea.C">input!$L$290</definedName>
    <definedName name="twet.A">global!$L$409</definedName>
    <definedName name="twet.C">continental!$L$132</definedName>
    <definedName name="twet.M">global!$L$87</definedName>
    <definedName name="twet.R">regional!$L$126</definedName>
    <definedName name="twet.T">global!$L$731</definedName>
    <definedName name="Udarcy.s1C">continental!$L$319</definedName>
    <definedName name="Udarcy.s1R">regional!$L$313</definedName>
    <definedName name="Udarcy.s2C">continental!$L$333</definedName>
    <definedName name="Udarcy.s2R">regional!$L$327</definedName>
    <definedName name="Udarcy.s3C">continental!$L$347</definedName>
    <definedName name="Udarcy.s3R">regional!$L$341</definedName>
    <definedName name="Udarcy.sA">global!$L$534</definedName>
    <definedName name="Udarcy.sdA">global!$L$514</definedName>
    <definedName name="Udarcy.sdC">continental!$L$297</definedName>
    <definedName name="Udarcy.sdM">global!$L$193</definedName>
    <definedName name="Udarcy.sdR">regional!$L$291</definedName>
    <definedName name="Udarcy.sdT">global!$L$836</definedName>
    <definedName name="Udarcy.sM">global!$L$213</definedName>
    <definedName name="Udarcy.sT">global!$L$856</definedName>
    <definedName name="v">engine!$D$4:$FB$4</definedName>
    <definedName name="Variable_NaAe">global!$L$547</definedName>
    <definedName name="Variable_Name">global!$L$869</definedName>
    <definedName name="vdWaalsNumberSFP.s1C">continental!$L$327</definedName>
    <definedName name="vdWaalsNumberSFP.s1R">regional!$L$321</definedName>
    <definedName name="vdWaalsNumberSFP.s2C">continental!$L$343</definedName>
    <definedName name="vdWaalsNumberSFP.s2R">regional!$L$337</definedName>
    <definedName name="vdWaalsNumberSFP.s3C">continental!$L$357</definedName>
    <definedName name="vdWaalsNumberSFP.s3R">regional!$L$351</definedName>
    <definedName name="vdWaalsNumberSFP.sA">global!$L$544</definedName>
    <definedName name="vdWaalsNumberSFP.sM">global!$L$223</definedName>
    <definedName name="vdWaalsNumberSFP.sT">global!$L$866</definedName>
    <definedName name="vdWaalsNumberSP.sdA">global!$L$522</definedName>
    <definedName name="vdWaalsNumberSP.sdC">continental!$L$305</definedName>
    <definedName name="vdWaalsNumberSP.sdM">global!$L$201</definedName>
    <definedName name="vdWaalsNumberSP.sdR">regional!$L$299</definedName>
    <definedName name="vdWaalsNumberSP.sdT">global!$L$844</definedName>
    <definedName name="veghair.s1C">continental!$L$402</definedName>
    <definedName name="veghair.s1R">regional!$L$396</definedName>
    <definedName name="veghair.s2C">continental!$L$413</definedName>
    <definedName name="veghair.s2R">regional!$L$407</definedName>
    <definedName name="veghair.s3C">continental!$L$424</definedName>
    <definedName name="veghair.s3R">regional!$L$418</definedName>
    <definedName name="veghair.sA">global!$L$590</definedName>
    <definedName name="veghair.sM">global!$L$269</definedName>
    <definedName name="veghair.sT">global!$L$912</definedName>
    <definedName name="VOLAT.s1C.aC">continental!$L$145</definedName>
    <definedName name="VOLAT.s1R.aR">regional!$L$139</definedName>
    <definedName name="VOLAT.s2C.aC">continental!$L$146</definedName>
    <definedName name="VOLAT.s2R.aR">regional!$L$140</definedName>
    <definedName name="VOLAT.s3C.aC">continental!$L$147</definedName>
    <definedName name="VOLAT.s3R.aR">regional!$L$141</definedName>
    <definedName name="VOLAT.sA.aA">global!$L$419</definedName>
    <definedName name="VOLAT.sM.aM">global!$L$97</definedName>
    <definedName name="VOLAT.sT.aT">global!$L$741</definedName>
    <definedName name="VOLAT.w0C.aC">continental!$L$140</definedName>
    <definedName name="VOLAT.w0R.aR">regional!$L$134</definedName>
    <definedName name="VOLAT.w1C.aC">continental!$L$141</definedName>
    <definedName name="VOLAT.w1R.aR">regional!$L$135</definedName>
    <definedName name="VOLAT.w2A.aA">global!$L$418</definedName>
    <definedName name="VOLAT.w2C.aC">continental!$L$142</definedName>
    <definedName name="VOLAT.w2M.aM">global!$L$96</definedName>
    <definedName name="VOLAT.w2R.aR">regional!$L$136</definedName>
    <definedName name="VOLAT.w2T.aT">global!$L$740</definedName>
    <definedName name="VOLATflow.s1RD.aR">regional!$L$139</definedName>
    <definedName name="VOLATflow.s2RD.aR">regional!$L$140</definedName>
    <definedName name="VOLATflow.s3RD.aR">regional!$L$141</definedName>
    <definedName name="VOLUME.aA">global!$L$334</definedName>
    <definedName name="VOLUME.aC">continental!$L$5</definedName>
    <definedName name="VOLUME.aM">global!$L$5</definedName>
    <definedName name="VOLUME.aR">regional!$L$5</definedName>
    <definedName name="VOLUME.aT">global!$L$656</definedName>
    <definedName name="VOLUME.cwA">global!$L$335</definedName>
    <definedName name="VOLUME.cwC">continental!$L$6</definedName>
    <definedName name="VOLUME.cwM">global!$L$6</definedName>
    <definedName name="VOLUME.cwR">regional!$L$6</definedName>
    <definedName name="VOLUME.cwT">global!$L$657</definedName>
    <definedName name="VOLUME.s1C">continental!$L$13</definedName>
    <definedName name="VOLUME.s1R">regional!$L$13</definedName>
    <definedName name="VOLUME.s2C">continental!$L$14</definedName>
    <definedName name="VOLUME.s2R">regional!$L$14</definedName>
    <definedName name="VOLUME.s3C">continental!$L$15</definedName>
    <definedName name="VOLUME.s3R">regional!$L$15</definedName>
    <definedName name="VOLUME.sA">global!$L$339</definedName>
    <definedName name="VOLUME.sd0C">continental!$L$10</definedName>
    <definedName name="VOLUME.sd0R">regional!$L$10</definedName>
    <definedName name="VOLUME.sd1C">continental!$L$11</definedName>
    <definedName name="VOLUME.sd1R">regional!$L$11</definedName>
    <definedName name="VOLUME.sd2C">continental!$L$12</definedName>
    <definedName name="VOLUME.sd2R">regional!$L$12</definedName>
    <definedName name="VOLUME.sdA">global!$L$338</definedName>
    <definedName name="VOLUME.sdM">global!$L$9</definedName>
    <definedName name="VOLUME.sdT">global!$L$660</definedName>
    <definedName name="VOLUME.sM">global!$L$10</definedName>
    <definedName name="VOLUME.sT">global!$L$661</definedName>
    <definedName name="VOLUME.w0C">continental!$L$7</definedName>
    <definedName name="VOLUME.w0R">regional!$L$7</definedName>
    <definedName name="VOLUME.w1C">continental!$L$8</definedName>
    <definedName name="VOLUME.w1R">regional!$L$8</definedName>
    <definedName name="VOLUME.w2A">global!$L$336</definedName>
    <definedName name="VOLUME.w2C">continental!$L$9</definedName>
    <definedName name="VOLUME.w2M">global!$L$7</definedName>
    <definedName name="VOLUME.w2R">regional!$L$9</definedName>
    <definedName name="VOLUME.w2T">global!$L$658</definedName>
    <definedName name="VOLUME.w3A">global!$L$337</definedName>
    <definedName name="VOLUME.w3M">global!$L$8</definedName>
    <definedName name="VOLUME.w3T">global!$L$659</definedName>
    <definedName name="w0C.tot">engine!$BB$168:$BE$168</definedName>
    <definedName name="w0R.tot">engine!$K$168:$N$168</definedName>
    <definedName name="w1C.tot">engine!$BF$168:$BI$168</definedName>
    <definedName name="w1R.tot">engine!$O$168:$R$168</definedName>
    <definedName name="w2A.tot">engine!$DP$168:$DS$168</definedName>
    <definedName name="w2C.tot">engine!$BJ$168:$BM$168</definedName>
    <definedName name="w2M.tot">engine!$CS$168:$CV$168</definedName>
    <definedName name="w2R.tot">engine!$S$168:$V$168</definedName>
    <definedName name="w2T.tot">engine!$EM$168:$EP$168</definedName>
    <definedName name="w3A.tot">engine!$DT$168:$DW$168</definedName>
    <definedName name="w3M.tot">engine!$CW$168:$CZ$168</definedName>
    <definedName name="w3T.tot">engine!$EQ$168:$ET$168</definedName>
    <definedName name="WATERflow.w0C.w1C">continental!$L$57</definedName>
    <definedName name="WATERflow.w0C.w2C">continental!$L$58</definedName>
    <definedName name="WATERflow.w0R.w1R">regional!$L$56</definedName>
    <definedName name="WATERflow.w0R.w2R">regional!$L$57</definedName>
    <definedName name="WATERflow.w1C.w0C">continental!$L$59</definedName>
    <definedName name="WATERflow.w1C.w1R">continental!$L$60</definedName>
    <definedName name="WATERflow.w1C.w2C">continental!$L$61</definedName>
    <definedName name="WATERflow.w1R.w0R">regional!$L$58</definedName>
    <definedName name="WATERflow.w1R.w2R">regional!$L$59</definedName>
    <definedName name="WATERflow.w2A.w2M">global!$L$362</definedName>
    <definedName name="WATERflow.w2C.w2M">continental!$L$65</definedName>
    <definedName name="WATERflow.w2C.w2R">continental!$L$64</definedName>
    <definedName name="WATERflow.w2M.w2A">global!$L$38</definedName>
    <definedName name="WATERflow.w2M.w2C">global!$L$37</definedName>
    <definedName name="WATERflow.w2M.w2T">global!$L$39</definedName>
    <definedName name="WATERflow.w2Mw2C">global!$L$37</definedName>
    <definedName name="WATERflow.w2R.w2C">regional!$L$60</definedName>
    <definedName name="WATERflow.w2T.w2M">global!$L$684</definedName>
    <definedName name="WINDspeed.A">global!$L$422</definedName>
    <definedName name="WINDspeed.C">input!$L$297</definedName>
    <definedName name="WINDspeed.M">global!$L$100</definedName>
    <definedName name="WINDspeed.R">input!$L$267</definedName>
    <definedName name="WINDspeed.T">global!$L$744</definedName>
  </definedNames>
  <calcPr calcId="191028"/>
  <customWorkbookViews>
    <customWorkbookView name="charts (charts)" guid="{E10D53DE-7CBD-11D4-9F98-0000E22085C7}" maximized="1" xWindow="2" windowWidth="814" windowHeight="473" activeSheetId="7"/>
    <customWorkbookView name="distribution and risk (arctic)" guid="{E10D53DF-7CBD-11D4-9F98-0000E22085C7}" maximized="1" xWindow="2" windowWidth="814" windowHeight="473" activeSheetId="4"/>
    <customWorkbookView name="distribution and risk (continental)" guid="{E10D53E0-7CBD-11D4-9F98-0000E22085C7}" maximized="1" xWindow="2" windowWidth="814" windowHeight="473" activeSheetId="2"/>
    <customWorkbookView name="distribution and risk (moderate)" guid="{E10D53E1-7CBD-11D4-9F98-0000E22085C7}" maximized="1" xWindow="2" windowWidth="814" windowHeight="473" activeSheetId="3"/>
    <customWorkbookView name="distribution and risk (regional)" guid="{E10D53E2-7CBD-11D4-9F98-0000E22085C7}" maximized="1" xWindow="2" windowWidth="814" windowHeight="473" activeSheetId="1"/>
    <customWorkbookView name="distribution and risk (tropic)" guid="{E10D53E3-7CBD-11D4-9F98-0000E22085C7}" maximized="1" xWindow="2" windowWidth="814" windowHeight="473" activeSheetId="5"/>
    <customWorkbookView name="input file dynamic comp. b1_16_1 (engine)" guid="{E10D53E4-7CBD-11D4-9F98-0000E22085C7}" maximized="1" xWindow="2" windowWidth="814" windowHeight="473" activeSheetId="6"/>
    <customWorkbookView name="input file dynamic comp. b1_16_2 (engine)" guid="{E10D53E5-7CBD-11D4-9F98-0000E22085C7}" maximized="1" xWindow="2" windowWidth="814" windowHeight="473" activeSheetId="6"/>
    <customWorkbookView name="input file dynamic comp. b17_32_1 (engine)" guid="{E10D53E6-7CBD-11D4-9F98-0000E22085C7}" maximized="1" xWindow="2" windowWidth="814" windowHeight="473" activeSheetId="6"/>
    <customWorkbookView name="input file dynamic comp. b17_32_2 (engine)" guid="{E10D53E7-7CBD-11D4-9F98-0000E22085C7}" maximized="1" xWindow="2" windowWidth="814" windowHeight="473" activeSheetId="6"/>
    <customWorkbookView name="mass balance coeff box 1_16 (engine)" guid="{E10D53E8-7CBD-11D4-9F98-0000E22085C7}" maximized="1" xWindow="2" windowWidth="814" windowHeight="473" activeSheetId="6"/>
    <customWorkbookView name="mass balance coeff box 17_32 (engine)" guid="{E10D53E9-7CBD-11D4-9F98-0000E22085C7}" maximized="1" xWindow="2" windowWidth="814" windowHeight="473" activeSheetId="6"/>
    <customWorkbookView name="model definition (arctic)" guid="{E10D53EA-7CBD-11D4-9F98-0000E22085C7}" maximized="1" xWindow="2" windowWidth="814" windowHeight="473" activeSheetId="4"/>
    <customWorkbookView name="model definition (continental)" guid="{E10D53EB-7CBD-11D4-9F98-0000E22085C7}" maximized="1" xWindow="2" windowWidth="814" windowHeight="473" activeSheetId="2"/>
    <customWorkbookView name="model definition (engine)" guid="{E10D53EC-7CBD-11D4-9F98-0000E22085C7}" maximized="1" xWindow="2" windowWidth="814" windowHeight="473" activeSheetId="6"/>
    <customWorkbookView name="model definition (moderate)" guid="{E10D53ED-7CBD-11D4-9F98-0000E22085C7}" maximized="1" xWindow="2" windowWidth="814" windowHeight="473" activeSheetId="3"/>
    <customWorkbookView name="model definition (regional)" guid="{E10D53EE-7CBD-11D4-9F98-0000E22085C7}" maximized="1" xWindow="2" windowWidth="814" windowHeight="473" activeSheetId="1"/>
    <customWorkbookView name="model definition (tropic)" guid="{E10D53EF-7CBD-11D4-9F98-0000E22085C7}" maximized="1" xWindow="2" windowWidth="814" windowHeight="473" activeSheetId="5"/>
    <customWorkbookView name="model picture (arctic)" guid="{E10D53F0-7CBD-11D4-9F98-0000E22085C7}" maximized="1" xWindow="2" windowWidth="814" windowHeight="473" activeSheetId="4"/>
    <customWorkbookView name="model picture (continental)" guid="{E10D53F1-7CBD-11D4-9F98-0000E22085C7}" maximized="1" xWindow="2" windowWidth="814" windowHeight="473" activeSheetId="2"/>
    <customWorkbookView name="model picture (moderate)" guid="{E10D53F2-7CBD-11D4-9F98-0000E22085C7}" maximized="1" xWindow="2" windowWidth="814" windowHeight="473" activeSheetId="3"/>
    <customWorkbookView name="model picture (regional)" guid="{E10D53F3-7CBD-11D4-9F98-0000E22085C7}" maximized="1" xWindow="2" windowWidth="814" windowHeight="443" activeSheetId="1"/>
    <customWorkbookView name="model picture (tropic)" guid="{E10D53F4-7CBD-11D4-9F98-0000E22085C7}" maximized="1" xWindow="2" windowWidth="814" windowHeight="473" activeSheetId="5"/>
    <customWorkbookView name="output analysis report (arctic)" guid="{E10D53F5-7CBD-11D4-9F98-0000E22085C7}" maximized="1" xWindow="2" windowWidth="814" windowHeight="473" activeSheetId="4"/>
    <customWorkbookView name="output analysis report (continental)" guid="{E10D53F6-7CBD-11D4-9F98-0000E22085C7}" maximized="1" xWindow="2" windowWidth="814" windowHeight="473" activeSheetId="2"/>
    <customWorkbookView name="output analysis report (moderate)" guid="{E10D53F7-7CBD-11D4-9F98-0000E22085C7}" maximized="1" xWindow="2" windowWidth="814" windowHeight="473" activeSheetId="3"/>
    <customWorkbookView name="output analysis report (regional)" guid="{E10D53F8-7CBD-11D4-9F98-0000E22085C7}" maximized="1" xWindow="2" windowWidth="814" windowHeight="443" activeSheetId="1"/>
    <customWorkbookView name="output analysis report (tropic)" guid="{E10D53F9-7CBD-11D4-9F98-0000E22085C7}" maximized="1" xWindow="2" windowWidth="814" windowHeight="473" activeSheetId="5"/>
    <customWorkbookView name="proces half life (arctic)" guid="{E10D53FA-7CBD-11D4-9F98-0000E22085C7}" maximized="1" xWindow="2" windowWidth="814" windowHeight="473" activeSheetId="4"/>
    <customWorkbookView name="proces half life (continental)" guid="{E10D53FB-7CBD-11D4-9F98-0000E22085C7}" maximized="1" xWindow="2" windowWidth="814" windowHeight="473" activeSheetId="2"/>
    <customWorkbookView name="proces half life (moderate)" guid="{E10D53FC-7CBD-11D4-9F98-0000E22085C7}" maximized="1" xWindow="2" windowWidth="814" windowHeight="473" activeSheetId="3"/>
    <customWorkbookView name="proces half life (regional)" guid="{E10D53FD-7CBD-11D4-9F98-0000E22085C7}" maximized="1" xWindow="2" windowWidth="814" windowHeight="473" activeSheetId="1"/>
    <customWorkbookView name="proces half life (tropic)" guid="{E10D53FE-7CBD-11D4-9F98-0000E22085C7}" maximized="1" xWindow="2" windowWidth="814" windowHeight="473" activeSheetId="5"/>
    <customWorkbookView name="quasi dynamic comp. forcings (engine)" guid="{E10D53FF-7CBD-11D4-9F98-0000E22085C7}" maximized="1" xWindow="2" windowWidth="814" windowHeight="473" activeSheetId="6"/>
    <customWorkbookView name="results dynamic sim. perc.SSC b1_16 (engine)" guid="{E10D5400-7CBD-11D4-9F98-0000E22085C7}" maximized="1" xWindow="2" windowWidth="814" windowHeight="473" activeSheetId="6"/>
    <customWorkbookView name="results dynamic sim. perc.SSC b17_32 (engine)" guid="{E10D5401-7CBD-11D4-9F98-0000E22085C7}" maximized="1" xWindow="2" windowWidth="814" windowHeight="473" activeSheetId="6"/>
    <customWorkbookView name="results dynamic simulation b1_16 (engine)" guid="{E10D5402-7CBD-11D4-9F98-0000E22085C7}" maximized="1" xWindow="2" windowWidth="814" windowHeight="473" activeSheetId="6"/>
    <customWorkbookView name="results dynamic simulation b17_32 (engine)" guid="{E10D5403-7CBD-11D4-9F98-0000E22085C7}" maximized="1" xWindow="2" windowWidth="814" windowHeight="473" activeSheetId="6"/>
    <customWorkbookView name="steady state comp. box 1_16 (engine)" guid="{E10D5404-7CBD-11D4-9F98-0000E22085C7}" maximized="1" xWindow="2" windowWidth="814" windowHeight="473" activeSheetId="6"/>
    <customWorkbookView name="steady state comp. box 17_32 (engine)" guid="{E10D5405-7CBD-11D4-9F98-0000E22085C7}" maximized="1" xWindow="2" windowWidth="814" windowHeight="473" activeSheetId="6"/>
    <customWorkbookView name="steady state mass flows (arctic)" guid="{E10D5406-7CBD-11D4-9F98-0000E22085C7}" maximized="1" xWindow="2" windowWidth="814" windowHeight="473" activeSheetId="4"/>
    <customWorkbookView name="steady state mass flows (continental)" guid="{E10D5407-7CBD-11D4-9F98-0000E22085C7}" maximized="1" xWindow="2" windowWidth="814" windowHeight="473" activeSheetId="2"/>
    <customWorkbookView name="steady state mass flows (moderate)" guid="{E10D5408-7CBD-11D4-9F98-0000E22085C7}" maximized="1" xWindow="2" windowWidth="814" windowHeight="473" activeSheetId="3"/>
    <customWorkbookView name="steady state mass flows (regional)" guid="{E10D5409-7CBD-11D4-9F98-0000E22085C7}" maximized="1" xWindow="2" windowWidth="814" windowHeight="473" activeSheetId="1"/>
    <customWorkbookView name="steady state mass flows (tropic)" guid="{E10D540A-7CBD-11D4-9F98-0000E22085C7}" maximized="1" xWindow="2" windowWidth="814" windowHeight="473" activeSheetId="5"/>
    <customWorkbookView name="steady state mass flows b1_16 (engine)" guid="{E10D540B-7CBD-11D4-9F98-0000E22085C7}" maximized="1" xWindow="2" windowWidth="814" windowHeight="473" activeSheetId="6"/>
    <customWorkbookView name="steady state mass flows b17_32 (engine)" guid="{E10D540C-7CBD-11D4-9F98-0000E22085C7}" maximized="1" xWindow="2" windowWidth="814" windowHeight="473" activeSheetId="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 i="1" l="1"/>
  <c r="B3" i="1"/>
  <c r="CH59" i="12"/>
  <c r="CD59" i="12"/>
  <c r="BZ59" i="12"/>
  <c r="CK62" i="12"/>
  <c r="CG62" i="12"/>
  <c r="CC62" i="12"/>
  <c r="CJ61" i="12"/>
  <c r="CF61" i="12"/>
  <c r="CB61" i="12"/>
  <c r="CI60" i="12"/>
  <c r="CE60" i="12"/>
  <c r="CA60" i="12"/>
  <c r="AQ16" i="12"/>
  <c r="AM16" i="12"/>
  <c r="AT19" i="12"/>
  <c r="AP19" i="12"/>
  <c r="AS18" i="12"/>
  <c r="AO18" i="12"/>
  <c r="AR17" i="12"/>
  <c r="AN17" i="12"/>
  <c r="AL19" i="12"/>
  <c r="AK18" i="12"/>
  <c r="AJ17" i="12"/>
  <c r="AI16" i="12"/>
  <c r="K372" i="10"/>
  <c r="K371" i="10"/>
  <c r="K370" i="10"/>
  <c r="I1467" i="7"/>
  <c r="I1468" i="7"/>
  <c r="I1469" i="7"/>
  <c r="I1470" i="7"/>
  <c r="I1471" i="7"/>
  <c r="I1472" i="7"/>
  <c r="I1473" i="7"/>
  <c r="I1474" i="7"/>
  <c r="I1475" i="7"/>
  <c r="I1136" i="7"/>
  <c r="I1137" i="7"/>
  <c r="I1138" i="7"/>
  <c r="I1139" i="7"/>
  <c r="I1140" i="7"/>
  <c r="I1141" i="7"/>
  <c r="I1142" i="7"/>
  <c r="I891" i="7"/>
  <c r="I892" i="7"/>
  <c r="I893" i="7"/>
  <c r="I894" i="7"/>
  <c r="I895" i="7"/>
  <c r="I896" i="7"/>
  <c r="I897" i="7"/>
  <c r="I898" i="7"/>
  <c r="I899" i="7"/>
  <c r="I561" i="7"/>
  <c r="I562" i="7"/>
  <c r="I563" i="7"/>
  <c r="CD13" i="5" l="1"/>
  <c r="CE13" i="5"/>
  <c r="I100" i="6" l="1"/>
  <c r="I99" i="6"/>
  <c r="L289" i="2"/>
  <c r="L290" i="2"/>
  <c r="AJ71" i="3"/>
  <c r="AJ93" i="3"/>
  <c r="AJ61" i="3"/>
  <c r="AL61" i="3"/>
  <c r="AA14" i="5" l="1"/>
  <c r="AE13" i="5" l="1"/>
  <c r="AF13" i="5"/>
  <c r="AG13" i="5"/>
  <c r="AH13" i="5"/>
  <c r="AI13" i="5"/>
  <c r="AJ13" i="5"/>
  <c r="AK13" i="5"/>
  <c r="AL13" i="5"/>
  <c r="AM13" i="5"/>
  <c r="AN13" i="5"/>
  <c r="AO13" i="5"/>
  <c r="AP13" i="5"/>
  <c r="AQ13" i="5"/>
  <c r="AR13" i="5"/>
  <c r="AS13" i="5"/>
  <c r="AT13" i="5"/>
  <c r="AU13" i="5"/>
  <c r="AV13" i="5"/>
  <c r="AW13" i="5"/>
  <c r="AX13" i="5"/>
  <c r="AY13" i="5"/>
  <c r="AZ13" i="5"/>
  <c r="BA13" i="5"/>
  <c r="BB13" i="5"/>
  <c r="BC13" i="5"/>
  <c r="BD13" i="5"/>
  <c r="BE13" i="5"/>
  <c r="BF13" i="5"/>
  <c r="BG13" i="5"/>
  <c r="BH13" i="5"/>
  <c r="BI13" i="5"/>
  <c r="BJ13" i="5"/>
  <c r="BK13" i="5"/>
  <c r="BL13" i="5"/>
  <c r="BM13" i="5"/>
  <c r="BN13" i="5"/>
  <c r="BO13" i="5"/>
  <c r="BP13" i="5"/>
  <c r="BQ13" i="5"/>
  <c r="BR13" i="5"/>
  <c r="BS13" i="5"/>
  <c r="BT13" i="5"/>
  <c r="BU13" i="5"/>
  <c r="BV13" i="5"/>
  <c r="BW13" i="5"/>
  <c r="BX13" i="5"/>
  <c r="BY13" i="5"/>
  <c r="BZ13" i="5"/>
  <c r="CA13" i="5"/>
  <c r="CB13" i="5"/>
  <c r="CC13" i="5"/>
  <c r="CH13" i="5"/>
  <c r="CI13" i="5"/>
  <c r="CL13" i="5"/>
  <c r="CO13" i="5"/>
  <c r="CP13" i="5"/>
  <c r="CQ13" i="5"/>
  <c r="CT13" i="5"/>
  <c r="CU13" i="5"/>
  <c r="CV13" i="5"/>
  <c r="CY13" i="5"/>
  <c r="AD13" i="5"/>
  <c r="P85" i="6" l="1"/>
  <c r="N85" i="6"/>
  <c r="L85" i="6"/>
  <c r="L10" i="2"/>
  <c r="L8" i="2"/>
  <c r="AB55" i="3" s="1"/>
  <c r="Z18" i="5"/>
  <c r="Y18" i="5"/>
  <c r="X18" i="5"/>
  <c r="J516" i="9" l="1"/>
  <c r="J518" i="9"/>
  <c r="J514" i="9"/>
  <c r="J510" i="9"/>
  <c r="J512" i="9"/>
  <c r="J511" i="9"/>
  <c r="J517" i="9"/>
  <c r="J513" i="9"/>
  <c r="J515" i="9"/>
  <c r="J186" i="9"/>
  <c r="J187" i="9"/>
  <c r="J185" i="9"/>
  <c r="J508" i="8"/>
  <c r="J516" i="8"/>
  <c r="J511" i="8"/>
  <c r="J519" i="8"/>
  <c r="J504" i="8"/>
  <c r="J512" i="8"/>
  <c r="J520" i="8"/>
  <c r="J179" i="8"/>
  <c r="J515" i="8"/>
  <c r="J509" i="8"/>
  <c r="J518" i="8"/>
  <c r="J505" i="8"/>
  <c r="J513" i="8"/>
  <c r="J521" i="8"/>
  <c r="J180" i="8"/>
  <c r="J507" i="8"/>
  <c r="J517" i="8"/>
  <c r="J506" i="8"/>
  <c r="J514" i="8"/>
  <c r="J181" i="8"/>
  <c r="J510" i="8"/>
  <c r="AB56" i="3"/>
  <c r="J5" i="9"/>
  <c r="J10" i="2"/>
  <c r="J216" i="2"/>
  <c r="J145" i="2"/>
  <c r="J8" i="2"/>
  <c r="J5" i="2"/>
  <c r="L5" i="2" s="1"/>
  <c r="J91" i="2" s="1"/>
  <c r="L91" i="2" s="1"/>
  <c r="I9" i="7"/>
  <c r="J87" i="2" l="1"/>
  <c r="L87" i="2" s="1"/>
  <c r="J96" i="2"/>
  <c r="L96" i="2" s="1"/>
  <c r="J99" i="2"/>
  <c r="L99" i="2" s="1"/>
  <c r="J79" i="2"/>
  <c r="L79" i="2" s="1"/>
  <c r="J84" i="2"/>
  <c r="L84" i="2" s="1"/>
  <c r="J100" i="2"/>
  <c r="L100" i="2" s="1"/>
  <c r="J83" i="2"/>
  <c r="L83" i="2" s="1"/>
  <c r="J92" i="2"/>
  <c r="L92" i="2" s="1"/>
  <c r="K89" i="2" s="1"/>
  <c r="J97" i="2"/>
  <c r="L97" i="2" s="1"/>
  <c r="J86" i="2"/>
  <c r="L86" i="2" s="1"/>
  <c r="J80" i="2"/>
  <c r="L80" i="2" s="1"/>
  <c r="K6" i="2"/>
  <c r="AB54" i="3"/>
  <c r="J82" i="2"/>
  <c r="J85" i="2"/>
  <c r="J81" i="2"/>
  <c r="J44" i="2"/>
  <c r="I353" i="7"/>
  <c r="I354" i="7"/>
  <c r="I355" i="7"/>
  <c r="I356" i="7"/>
  <c r="I357" i="7"/>
  <c r="I358" i="7"/>
  <c r="I359" i="7"/>
  <c r="I360" i="7"/>
  <c r="I361" i="7"/>
  <c r="I362" i="7"/>
  <c r="I363" i="7"/>
  <c r="I364" i="7"/>
  <c r="I365" i="7"/>
  <c r="I366" i="7"/>
  <c r="I367" i="7"/>
  <c r="I368" i="7"/>
  <c r="I369" i="7"/>
  <c r="I370" i="7"/>
  <c r="I371" i="7"/>
  <c r="I372" i="7"/>
  <c r="I373" i="7"/>
  <c r="I374" i="7"/>
  <c r="I375"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188"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2" i="7"/>
  <c r="I83" i="7"/>
  <c r="I86" i="7"/>
  <c r="I89" i="7"/>
  <c r="I90" i="7"/>
  <c r="I91" i="7"/>
  <c r="I94" i="7"/>
  <c r="I95" i="7"/>
  <c r="I96" i="7"/>
  <c r="I99"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23" i="7"/>
  <c r="I24" i="7"/>
  <c r="I25" i="7"/>
  <c r="I26" i="7"/>
  <c r="I27" i="7"/>
  <c r="I28" i="7"/>
  <c r="I29" i="7"/>
  <c r="I30" i="7"/>
  <c r="I31" i="7"/>
  <c r="I32" i="7"/>
  <c r="I33" i="7"/>
  <c r="I34" i="7"/>
  <c r="I35" i="7"/>
  <c r="I36" i="7"/>
  <c r="I37" i="7"/>
  <c r="I38" i="7"/>
  <c r="I39" i="7"/>
  <c r="I40" i="7"/>
  <c r="I41" i="7"/>
  <c r="I22" i="7"/>
  <c r="I16" i="7"/>
  <c r="I17" i="7"/>
  <c r="I15" i="7"/>
  <c r="I381" i="7"/>
  <c r="K85" i="2" l="1"/>
  <c r="K78" i="2"/>
  <c r="K98" i="2"/>
  <c r="K88" i="2"/>
  <c r="K81" i="2"/>
  <c r="L81" i="2" s="1"/>
  <c r="K105" i="2" s="1"/>
  <c r="K90" i="2"/>
  <c r="K94" i="2"/>
  <c r="K82" i="2"/>
  <c r="L82" i="2" s="1"/>
  <c r="K95" i="2"/>
  <c r="K93" i="2"/>
  <c r="L85" i="2"/>
  <c r="Z19" i="5"/>
  <c r="Y19" i="5"/>
  <c r="X19" i="5"/>
  <c r="X17" i="5"/>
  <c r="Y17" i="5"/>
  <c r="Z17" i="5"/>
  <c r="K104" i="2" l="1"/>
  <c r="K108" i="2"/>
  <c r="K109" i="2"/>
  <c r="K107" i="2"/>
  <c r="K106" i="2"/>
  <c r="J102" i="6"/>
  <c r="AE102" i="6"/>
  <c r="AF102" i="6"/>
  <c r="AG102" i="6"/>
  <c r="K307" i="2" l="1"/>
  <c r="K306" i="2"/>
  <c r="K305" i="2"/>
  <c r="K277" i="2"/>
  <c r="K276" i="2"/>
  <c r="K275" i="2"/>
  <c r="I589" i="7" l="1"/>
  <c r="BX3" i="3" l="1"/>
  <c r="BW65" i="3"/>
  <c r="BT164" i="3"/>
  <c r="K425" i="9"/>
  <c r="K424" i="9"/>
  <c r="K414" i="9"/>
  <c r="K413" i="9"/>
  <c r="K403" i="9"/>
  <c r="K402" i="9"/>
  <c r="K347" i="9"/>
  <c r="K333" i="9"/>
  <c r="K319" i="9"/>
  <c r="K297" i="9"/>
  <c r="K210" i="9"/>
  <c r="K169" i="9"/>
  <c r="K148" i="9"/>
  <c r="K132" i="9"/>
  <c r="K131" i="9"/>
  <c r="K913" i="10" l="1"/>
  <c r="K912" i="10"/>
  <c r="K856" i="10"/>
  <c r="K836" i="10"/>
  <c r="K802" i="10"/>
  <c r="K797" i="10"/>
  <c r="K792" i="10"/>
  <c r="K774" i="10"/>
  <c r="K754" i="10"/>
  <c r="K745" i="10"/>
  <c r="K731" i="10"/>
  <c r="K730" i="10"/>
  <c r="K591" i="10"/>
  <c r="K590" i="10"/>
  <c r="K534" i="10"/>
  <c r="K514" i="10"/>
  <c r="K480" i="10"/>
  <c r="K475" i="10"/>
  <c r="K470" i="10"/>
  <c r="K452" i="10"/>
  <c r="K432" i="10"/>
  <c r="K423" i="10"/>
  <c r="K409" i="10"/>
  <c r="K408" i="10"/>
  <c r="K362" i="10"/>
  <c r="K270" i="10"/>
  <c r="K269" i="10"/>
  <c r="K213" i="10"/>
  <c r="K193" i="10"/>
  <c r="K159" i="10"/>
  <c r="K154" i="10"/>
  <c r="K149" i="10"/>
  <c r="K130" i="10"/>
  <c r="K110" i="10"/>
  <c r="K101" i="10"/>
  <c r="K87" i="10"/>
  <c r="K86" i="10"/>
  <c r="K39" i="10"/>
  <c r="K419" i="8"/>
  <c r="K418" i="8"/>
  <c r="K408" i="8"/>
  <c r="K407" i="8"/>
  <c r="K397" i="8"/>
  <c r="K396" i="8"/>
  <c r="K341" i="8"/>
  <c r="K327" i="8"/>
  <c r="K313" i="8"/>
  <c r="K291" i="8"/>
  <c r="K204" i="8"/>
  <c r="K142" i="8"/>
  <c r="K126" i="8"/>
  <c r="K125" i="8"/>
  <c r="AB53" i="3" l="1"/>
  <c r="C4" i="3" l="1"/>
  <c r="BT163" i="3"/>
  <c r="AB4" i="3"/>
  <c r="BX2" i="3"/>
  <c r="BW64" i="3"/>
  <c r="O14" i="2"/>
  <c r="Z24" i="5"/>
  <c r="Y24" i="5"/>
  <c r="X24" i="5"/>
  <c r="I1550" i="7" l="1"/>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337" i="7"/>
  <c r="I2338" i="7"/>
  <c r="I2339" i="7"/>
  <c r="I2340" i="7"/>
  <c r="I2341" i="7"/>
  <c r="I2342" i="7"/>
  <c r="I2343" i="7"/>
  <c r="I2344" i="7"/>
  <c r="I2345" i="7"/>
  <c r="I2346" i="7"/>
  <c r="I2347" i="7"/>
  <c r="I2348" i="7"/>
  <c r="I2349" i="7"/>
  <c r="I2350" i="7"/>
  <c r="I2351" i="7"/>
  <c r="I2352" i="7"/>
  <c r="I2353" i="7"/>
  <c r="I2354" i="7"/>
  <c r="I2355" i="7"/>
  <c r="I2356" i="7"/>
  <c r="I2357" i="7"/>
  <c r="I2358" i="7"/>
  <c r="I2359" i="7"/>
  <c r="I2360" i="7"/>
  <c r="I2361" i="7"/>
  <c r="I2362" i="7"/>
  <c r="I2363" i="7"/>
  <c r="I2364" i="7"/>
  <c r="I2365" i="7"/>
  <c r="I2366" i="7"/>
  <c r="I2367" i="7"/>
  <c r="I2368" i="7"/>
  <c r="I2369" i="7"/>
  <c r="I2370" i="7"/>
  <c r="I2371" i="7"/>
  <c r="I2372" i="7"/>
  <c r="I2373" i="7"/>
  <c r="I2374" i="7"/>
  <c r="I2375" i="7"/>
  <c r="I2376" i="7"/>
  <c r="I2377" i="7"/>
  <c r="I2378" i="7"/>
  <c r="I2379" i="7"/>
  <c r="I2380" i="7"/>
  <c r="I2381" i="7"/>
  <c r="I2382" i="7"/>
  <c r="I2383" i="7"/>
  <c r="I2384" i="7"/>
  <c r="I2385" i="7"/>
  <c r="I2386" i="7"/>
  <c r="I2387" i="7"/>
  <c r="I2388" i="7"/>
  <c r="I2389" i="7"/>
  <c r="I2390" i="7"/>
  <c r="I2391" i="7"/>
  <c r="I2392" i="7"/>
  <c r="I2393" i="7"/>
  <c r="I2394" i="7"/>
  <c r="I2395" i="7"/>
  <c r="I2396" i="7"/>
  <c r="I2397" i="7"/>
  <c r="I2398" i="7"/>
  <c r="I2399" i="7"/>
  <c r="I2400" i="7"/>
  <c r="I2401" i="7"/>
  <c r="I2402" i="7"/>
  <c r="I2403" i="7"/>
  <c r="I2404" i="7"/>
  <c r="I2405" i="7"/>
  <c r="I2406" i="7"/>
  <c r="I2407" i="7"/>
  <c r="I2408" i="7"/>
  <c r="I2409" i="7"/>
  <c r="I2410" i="7"/>
  <c r="I2411" i="7"/>
  <c r="I2412" i="7"/>
  <c r="I2413" i="7"/>
  <c r="I2414" i="7"/>
  <c r="I2415" i="7"/>
  <c r="I2416" i="7"/>
  <c r="I2417" i="7"/>
  <c r="I2418" i="7"/>
  <c r="I2419" i="7"/>
  <c r="I2420" i="7"/>
  <c r="I2421" i="7"/>
  <c r="I2422" i="7"/>
  <c r="I2423" i="7"/>
  <c r="I2424" i="7"/>
  <c r="I2425" i="7"/>
  <c r="I2426" i="7"/>
  <c r="I2427" i="7"/>
  <c r="I2428" i="7"/>
  <c r="I2429" i="7"/>
  <c r="I2430" i="7"/>
  <c r="I2431" i="7"/>
  <c r="I2432" i="7"/>
  <c r="I2433" i="7"/>
  <c r="I2434" i="7"/>
  <c r="I2435" i="7"/>
  <c r="I2436" i="7"/>
  <c r="I2437" i="7"/>
  <c r="I2438" i="7"/>
  <c r="I2439" i="7"/>
  <c r="I2440" i="7"/>
  <c r="I2441" i="7"/>
  <c r="I2442" i="7"/>
  <c r="I2443" i="7"/>
  <c r="I2444" i="7"/>
  <c r="I2445" i="7"/>
  <c r="I2446" i="7"/>
  <c r="I2447" i="7"/>
  <c r="I2448" i="7"/>
  <c r="I2449" i="7"/>
  <c r="I2450" i="7"/>
  <c r="I2451" i="7"/>
  <c r="I2452" i="7"/>
  <c r="I2453" i="7"/>
  <c r="I2454" i="7"/>
  <c r="I2455" i="7"/>
  <c r="I2456" i="7"/>
  <c r="I2457" i="7"/>
  <c r="I2458" i="7"/>
  <c r="I2459" i="7"/>
  <c r="I2460" i="7"/>
  <c r="I2461" i="7"/>
  <c r="I2462" i="7"/>
  <c r="I2463" i="7"/>
  <c r="I2464" i="7"/>
  <c r="I2465" i="7"/>
  <c r="I2466" i="7"/>
  <c r="I2467" i="7"/>
  <c r="I2468" i="7"/>
  <c r="I2469" i="7"/>
  <c r="I2470" i="7"/>
  <c r="I2471" i="7"/>
  <c r="I2472" i="7"/>
  <c r="I2473" i="7"/>
  <c r="I2474" i="7"/>
  <c r="I2475" i="7"/>
  <c r="I2476" i="7"/>
  <c r="I2477" i="7"/>
  <c r="I2478" i="7"/>
  <c r="I2479" i="7"/>
  <c r="I2480" i="7"/>
  <c r="I2481" i="7"/>
  <c r="I2482" i="7"/>
  <c r="I2483" i="7"/>
  <c r="I2484" i="7"/>
  <c r="I2485" i="7"/>
  <c r="I2486" i="7"/>
  <c r="I2487" i="7"/>
  <c r="I2488" i="7"/>
  <c r="I2489" i="7"/>
  <c r="I2490" i="7"/>
  <c r="I2491" i="7"/>
  <c r="I2492" i="7"/>
  <c r="I2493" i="7"/>
  <c r="I2494" i="7"/>
  <c r="I1529" i="7"/>
  <c r="I1530" i="7"/>
  <c r="I1531" i="7"/>
  <c r="I1532" i="7"/>
  <c r="I1533" i="7"/>
  <c r="I1534" i="7"/>
  <c r="I1535" i="7"/>
  <c r="I1536" i="7"/>
  <c r="I1537" i="7"/>
  <c r="I1538" i="7"/>
  <c r="I1539" i="7"/>
  <c r="I1540" i="7"/>
  <c r="I1541" i="7"/>
  <c r="I1542" i="7"/>
  <c r="I1543" i="7"/>
  <c r="I1544" i="7"/>
  <c r="I1545" i="7"/>
  <c r="I1546" i="7"/>
  <c r="I1547" i="7"/>
  <c r="I1548" i="7"/>
  <c r="I1549" i="7"/>
  <c r="I1528"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952"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187" i="7"/>
  <c r="I11" i="7"/>
  <c r="I7" i="7"/>
  <c r="Z22" i="5" l="1"/>
  <c r="Y22" i="5"/>
  <c r="X22" i="5"/>
  <c r="Z23" i="5" l="1"/>
  <c r="Y23" i="5"/>
  <c r="X23" i="5"/>
  <c r="K185" i="2"/>
  <c r="K181" i="2"/>
  <c r="K165" i="2"/>
  <c r="K160" i="2"/>
  <c r="AA13" i="5"/>
  <c r="Z13" i="5"/>
  <c r="Y13" i="5"/>
  <c r="X13" i="5"/>
  <c r="H331" i="12" l="1"/>
  <c r="I331" i="12"/>
  <c r="J331" i="12"/>
  <c r="I6" i="7" l="1"/>
  <c r="I948" i="7"/>
  <c r="I949" i="7"/>
  <c r="J72" i="6"/>
  <c r="Z56" i="5"/>
  <c r="Y56" i="5"/>
  <c r="X56" i="5"/>
  <c r="Z55" i="5"/>
  <c r="Y55" i="5"/>
  <c r="X55" i="5"/>
  <c r="Z54" i="5"/>
  <c r="Y54" i="5"/>
  <c r="X54" i="5"/>
  <c r="Z53" i="5"/>
  <c r="Y53" i="5"/>
  <c r="X53" i="5"/>
  <c r="Z52" i="5"/>
  <c r="Y52" i="5"/>
  <c r="X52" i="5"/>
  <c r="Z51" i="5"/>
  <c r="Y51" i="5"/>
  <c r="X51" i="5"/>
  <c r="Z50" i="5"/>
  <c r="Y50" i="5"/>
  <c r="X50" i="5"/>
  <c r="Z49" i="5"/>
  <c r="Y49" i="5"/>
  <c r="X49" i="5"/>
  <c r="Z48" i="5"/>
  <c r="Y48" i="5"/>
  <c r="X48" i="5"/>
  <c r="Z47" i="5"/>
  <c r="Y47" i="5"/>
  <c r="X47" i="5"/>
  <c r="Z46" i="5"/>
  <c r="Y46" i="5"/>
  <c r="X46" i="5"/>
  <c r="Z45" i="5"/>
  <c r="Y45" i="5"/>
  <c r="X45" i="5"/>
  <c r="Z44" i="5"/>
  <c r="Y44" i="5"/>
  <c r="X44" i="5"/>
  <c r="Z43" i="5"/>
  <c r="Y43" i="5"/>
  <c r="X43" i="5"/>
  <c r="Z42" i="5"/>
  <c r="Y42" i="5"/>
  <c r="X42" i="5"/>
  <c r="Z41" i="5"/>
  <c r="Y41" i="5"/>
  <c r="X41" i="5"/>
  <c r="Z40" i="5"/>
  <c r="Y40" i="5"/>
  <c r="X40" i="5"/>
  <c r="Z39" i="5"/>
  <c r="Y39" i="5"/>
  <c r="X39" i="5"/>
  <c r="Z38" i="5"/>
  <c r="Y38" i="5"/>
  <c r="X38" i="5"/>
  <c r="Z37" i="5"/>
  <c r="Y37" i="5"/>
  <c r="X37" i="5"/>
  <c r="Z36" i="5"/>
  <c r="Y36" i="5"/>
  <c r="X36" i="5"/>
  <c r="Z35" i="5"/>
  <c r="Y35" i="5"/>
  <c r="X35" i="5"/>
  <c r="Z34" i="5"/>
  <c r="Y34" i="5"/>
  <c r="X34" i="5"/>
  <c r="Z33" i="5"/>
  <c r="Y33" i="5"/>
  <c r="X33" i="5"/>
  <c r="Z32" i="5"/>
  <c r="Y32" i="5"/>
  <c r="X32" i="5"/>
  <c r="Z31" i="5"/>
  <c r="Y31" i="5"/>
  <c r="X31" i="5"/>
  <c r="Z30" i="5"/>
  <c r="Y30" i="5"/>
  <c r="X30" i="5"/>
  <c r="AA15" i="5"/>
  <c r="Z15" i="5"/>
  <c r="Y15" i="5"/>
  <c r="X15" i="5"/>
  <c r="AA12" i="5"/>
  <c r="Z12" i="5"/>
  <c r="Y12" i="5"/>
  <c r="X12" i="5"/>
  <c r="AA11" i="5"/>
  <c r="Z11" i="5"/>
  <c r="Y11" i="5"/>
  <c r="X11" i="5"/>
  <c r="AA10" i="5"/>
  <c r="Z10" i="5"/>
  <c r="Y10" i="5"/>
  <c r="X10" i="5"/>
  <c r="AA9" i="5"/>
  <c r="Z9" i="5"/>
  <c r="Y9" i="5"/>
  <c r="X9" i="5"/>
  <c r="AA8" i="5"/>
  <c r="Z8" i="5"/>
  <c r="Y8" i="5"/>
  <c r="X8" i="5"/>
  <c r="J236" i="2" l="1"/>
  <c r="K330" i="2"/>
  <c r="K332" i="2"/>
  <c r="K350" i="2"/>
  <c r="B980" i="11"/>
  <c r="B975" i="11"/>
  <c r="B839" i="11"/>
  <c r="B838" i="11"/>
  <c r="B837" i="11"/>
  <c r="B836" i="11"/>
  <c r="B835" i="11"/>
  <c r="B749" i="11"/>
  <c r="B748" i="11"/>
  <c r="B747" i="11"/>
  <c r="B746" i="11"/>
  <c r="B745" i="11"/>
  <c r="B661" i="11"/>
  <c r="B660" i="11"/>
  <c r="B659" i="11"/>
  <c r="B658" i="11"/>
  <c r="B657" i="11"/>
  <c r="B656" i="11"/>
  <c r="FB335" i="12"/>
  <c r="FA335" i="12"/>
  <c r="EX335" i="12"/>
  <c r="EW335" i="12"/>
  <c r="EV335" i="12"/>
  <c r="EU335" i="12"/>
  <c r="ET335" i="12"/>
  <c r="ES335" i="12"/>
  <c r="ER335" i="12"/>
  <c r="EQ335" i="12"/>
  <c r="EP335" i="12"/>
  <c r="EO335" i="12"/>
  <c r="EL335" i="12"/>
  <c r="EK335" i="12"/>
  <c r="EJ335" i="12"/>
  <c r="EI335" i="12"/>
  <c r="EH335" i="12"/>
  <c r="EE335" i="12"/>
  <c r="ED335" i="12"/>
  <c r="EA335" i="12"/>
  <c r="DZ335" i="12"/>
  <c r="DY335" i="12"/>
  <c r="DX335" i="12"/>
  <c r="DW335" i="12"/>
  <c r="DV335" i="12"/>
  <c r="DU335" i="12"/>
  <c r="DT335" i="12"/>
  <c r="DS335" i="12"/>
  <c r="DR335" i="12"/>
  <c r="DO335" i="12"/>
  <c r="DN335" i="12"/>
  <c r="DM335" i="12"/>
  <c r="DL335" i="12"/>
  <c r="DK335" i="12"/>
  <c r="DH335" i="12"/>
  <c r="DG335" i="12"/>
  <c r="DD335" i="12"/>
  <c r="DC335" i="12"/>
  <c r="DB335" i="12"/>
  <c r="DA335" i="12"/>
  <c r="CZ335" i="12"/>
  <c r="CY335" i="12"/>
  <c r="CX335" i="12"/>
  <c r="CW335" i="12"/>
  <c r="CV335" i="12"/>
  <c r="CU335" i="12"/>
  <c r="CR335" i="12"/>
  <c r="CQ335" i="12"/>
  <c r="CP335" i="12"/>
  <c r="CO335" i="12"/>
  <c r="CN335" i="12"/>
  <c r="CK335" i="12"/>
  <c r="CJ335" i="12"/>
  <c r="CG335" i="12"/>
  <c r="CF335" i="12"/>
  <c r="CC335" i="12"/>
  <c r="CB335" i="12"/>
  <c r="BY335" i="12"/>
  <c r="BX335" i="12"/>
  <c r="BW335" i="12"/>
  <c r="BV335" i="12"/>
  <c r="BU335" i="12"/>
  <c r="BT335" i="12"/>
  <c r="BS335" i="12"/>
  <c r="BR335" i="12"/>
  <c r="BQ335" i="12"/>
  <c r="BP335" i="12"/>
  <c r="BO335" i="12"/>
  <c r="BN335" i="12"/>
  <c r="BM335" i="12"/>
  <c r="BL335" i="12"/>
  <c r="BI335" i="12"/>
  <c r="BH335" i="12"/>
  <c r="BE335" i="12"/>
  <c r="BD335" i="12"/>
  <c r="BA335" i="12"/>
  <c r="AZ335" i="12"/>
  <c r="AY335" i="12"/>
  <c r="AX335" i="12"/>
  <c r="AW335" i="12"/>
  <c r="AT335" i="12"/>
  <c r="AS335" i="12"/>
  <c r="AP335" i="12"/>
  <c r="AO335" i="12"/>
  <c r="AL335" i="12"/>
  <c r="AK335" i="12"/>
  <c r="AH335" i="12"/>
  <c r="AG335" i="12"/>
  <c r="AF335" i="12"/>
  <c r="AE335" i="12"/>
  <c r="AD335" i="12"/>
  <c r="AC335" i="12"/>
  <c r="AB335" i="12"/>
  <c r="AA335" i="12"/>
  <c r="Z335" i="12"/>
  <c r="Y335" i="12"/>
  <c r="X335" i="12"/>
  <c r="W335" i="12"/>
  <c r="V335" i="12"/>
  <c r="U335" i="12"/>
  <c r="R335" i="12"/>
  <c r="Q335" i="12"/>
  <c r="N335" i="12"/>
  <c r="M335" i="12"/>
  <c r="J335" i="12"/>
  <c r="I335" i="12"/>
  <c r="H335" i="12"/>
  <c r="G335" i="12"/>
  <c r="F335" i="12"/>
  <c r="EL331" i="12"/>
  <c r="EK331" i="12"/>
  <c r="EJ331" i="12"/>
  <c r="DO331" i="12"/>
  <c r="DN331" i="12"/>
  <c r="DM331" i="12"/>
  <c r="CR331" i="12"/>
  <c r="CQ331" i="12"/>
  <c r="CP331" i="12"/>
  <c r="BA331" i="12"/>
  <c r="AZ331" i="12"/>
  <c r="AY331" i="12"/>
  <c r="AG72" i="6"/>
  <c r="AF72" i="6"/>
  <c r="AE72" i="6"/>
  <c r="K16" i="2"/>
  <c r="K15" i="2"/>
  <c r="J956" i="10" l="1"/>
  <c r="J957" i="10"/>
  <c r="J955" i="10"/>
  <c r="J117" i="2"/>
  <c r="J108" i="2"/>
  <c r="J116" i="2"/>
  <c r="J120" i="2"/>
  <c r="J121" i="2"/>
  <c r="J113" i="2"/>
  <c r="J106" i="2"/>
  <c r="J115" i="2"/>
  <c r="J109" i="2"/>
  <c r="J118" i="2"/>
  <c r="J110" i="2"/>
  <c r="J119" i="2"/>
  <c r="J103" i="2"/>
  <c r="J111" i="2"/>
  <c r="J112" i="2"/>
  <c r="J105" i="2"/>
  <c r="J114" i="2"/>
  <c r="J123" i="2"/>
  <c r="J102" i="2"/>
  <c r="J107" i="2"/>
  <c r="J104" i="2"/>
  <c r="J122" i="2"/>
  <c r="J297" i="2"/>
  <c r="L297" i="2" s="1"/>
  <c r="J317" i="2"/>
  <c r="J312" i="2"/>
  <c r="L312" i="2" s="1"/>
  <c r="J276" i="2"/>
  <c r="L276" i="2" s="1"/>
  <c r="I86" i="6" s="1"/>
  <c r="J313" i="2"/>
  <c r="L313" i="2" s="1"/>
  <c r="J277" i="2"/>
  <c r="L277" i="2" s="1"/>
  <c r="I87" i="6" s="1"/>
  <c r="J306" i="2"/>
  <c r="L306" i="2" s="1"/>
  <c r="I116" i="6" s="1"/>
  <c r="J314" i="2"/>
  <c r="L314" i="2" s="1"/>
  <c r="I124" i="6" s="1"/>
  <c r="J284" i="2"/>
  <c r="L284" i="2" s="1"/>
  <c r="I94" i="6" s="1"/>
  <c r="J311" i="2"/>
  <c r="L311" i="2" s="1"/>
  <c r="J305" i="2"/>
  <c r="L305" i="2" s="1"/>
  <c r="I115" i="6" s="1"/>
  <c r="J307" i="2"/>
  <c r="L307" i="2" s="1"/>
  <c r="I117" i="6" s="1"/>
  <c r="J271" i="2"/>
  <c r="L271" i="2" s="1"/>
  <c r="J308" i="2"/>
  <c r="L308" i="2" s="1"/>
  <c r="J309" i="2"/>
  <c r="L309" i="2" s="1"/>
  <c r="J273" i="2"/>
  <c r="L273" i="2" s="1"/>
  <c r="J310" i="2"/>
  <c r="L310" i="2" s="1"/>
  <c r="J274" i="2"/>
  <c r="L274" i="2" s="1"/>
  <c r="J331" i="2"/>
  <c r="L331" i="2" s="1"/>
  <c r="J275" i="2"/>
  <c r="L275" i="2" s="1"/>
  <c r="I85" i="6" s="1"/>
  <c r="J272" i="2"/>
  <c r="L272" i="2" s="1"/>
  <c r="J964" i="10"/>
  <c r="J700" i="10"/>
  <c r="J708" i="10"/>
  <c r="J716" i="10"/>
  <c r="J727" i="10"/>
  <c r="J735" i="10"/>
  <c r="J743" i="10"/>
  <c r="J751" i="10"/>
  <c r="J759" i="10"/>
  <c r="L759" i="10" s="1"/>
  <c r="J770" i="10"/>
  <c r="J778" i="10"/>
  <c r="J786" i="10"/>
  <c r="J794" i="10"/>
  <c r="J802" i="10"/>
  <c r="L802" i="10" s="1"/>
  <c r="J810" i="10"/>
  <c r="J818" i="10"/>
  <c r="J826" i="10"/>
  <c r="J834" i="10"/>
  <c r="J842" i="10"/>
  <c r="J850" i="10"/>
  <c r="J858" i="10"/>
  <c r="J866" i="10"/>
  <c r="J877" i="10"/>
  <c r="J885" i="10"/>
  <c r="J893" i="10"/>
  <c r="J901" i="10"/>
  <c r="J909" i="10"/>
  <c r="L909" i="10" s="1"/>
  <c r="J917" i="10"/>
  <c r="J925" i="10"/>
  <c r="L925" i="10" s="1"/>
  <c r="J933" i="10"/>
  <c r="J941" i="10"/>
  <c r="J949" i="10"/>
  <c r="J659" i="10"/>
  <c r="J667" i="10"/>
  <c r="L667" i="10" s="1"/>
  <c r="J675" i="10"/>
  <c r="J683" i="10"/>
  <c r="L683" i="10" s="1"/>
  <c r="J551" i="10"/>
  <c r="J559" i="10"/>
  <c r="J567" i="10"/>
  <c r="J575" i="10"/>
  <c r="J583" i="10"/>
  <c r="J591" i="10"/>
  <c r="L591" i="10" s="1"/>
  <c r="J599" i="10"/>
  <c r="J607" i="10"/>
  <c r="J615" i="10"/>
  <c r="J623" i="10"/>
  <c r="J631" i="10"/>
  <c r="J639" i="10"/>
  <c r="J647" i="10"/>
  <c r="J473" i="10"/>
  <c r="J481" i="10"/>
  <c r="J489" i="10"/>
  <c r="J497" i="10"/>
  <c r="J505" i="10"/>
  <c r="J513" i="10"/>
  <c r="J521" i="10"/>
  <c r="J529" i="10"/>
  <c r="L529" i="10" s="1"/>
  <c r="J537" i="10"/>
  <c r="J545" i="10"/>
  <c r="J407" i="10"/>
  <c r="J415" i="10"/>
  <c r="J423" i="10"/>
  <c r="J431" i="10"/>
  <c r="J439" i="10"/>
  <c r="J450" i="10"/>
  <c r="J458" i="10"/>
  <c r="L458" i="10" s="1"/>
  <c r="J371" i="10"/>
  <c r="J379" i="10"/>
  <c r="J387" i="10"/>
  <c r="L387" i="10" s="1"/>
  <c r="J395" i="10"/>
  <c r="J340" i="10"/>
  <c r="J348" i="10"/>
  <c r="L348" i="10" s="1"/>
  <c r="J356" i="10"/>
  <c r="J364" i="10"/>
  <c r="J257" i="10"/>
  <c r="J265" i="10"/>
  <c r="J273" i="10"/>
  <c r="J281" i="10"/>
  <c r="J289" i="10"/>
  <c r="J297" i="10"/>
  <c r="J305" i="10"/>
  <c r="J313" i="10"/>
  <c r="J321" i="10"/>
  <c r="J965" i="10"/>
  <c r="J693" i="10"/>
  <c r="J701" i="10"/>
  <c r="J709" i="10"/>
  <c r="J717" i="10"/>
  <c r="J728" i="10"/>
  <c r="J736" i="10"/>
  <c r="L736" i="10" s="1"/>
  <c r="B914" i="11" s="1"/>
  <c r="J744" i="10"/>
  <c r="J752" i="10"/>
  <c r="J760" i="10"/>
  <c r="J771" i="10"/>
  <c r="J779" i="10"/>
  <c r="J787" i="10"/>
  <c r="J795" i="10"/>
  <c r="J803" i="10"/>
  <c r="J811" i="10"/>
  <c r="J819" i="10"/>
  <c r="J827" i="10"/>
  <c r="J835" i="10"/>
  <c r="J843" i="10"/>
  <c r="J851" i="10"/>
  <c r="L851" i="10" s="1"/>
  <c r="J859" i="10"/>
  <c r="J867" i="10"/>
  <c r="J878" i="10"/>
  <c r="J886" i="10"/>
  <c r="J894" i="10"/>
  <c r="J902" i="10"/>
  <c r="J910" i="10"/>
  <c r="J918" i="10"/>
  <c r="J926" i="10"/>
  <c r="J934" i="10"/>
  <c r="J942" i="10"/>
  <c r="J950" i="10"/>
  <c r="J660" i="10"/>
  <c r="J668" i="10"/>
  <c r="J676" i="10"/>
  <c r="J684" i="10"/>
  <c r="J552" i="10"/>
  <c r="J560" i="10"/>
  <c r="J568" i="10"/>
  <c r="J576" i="10"/>
  <c r="J584" i="10"/>
  <c r="J592" i="10"/>
  <c r="L592" i="10" s="1"/>
  <c r="J600" i="10"/>
  <c r="J608" i="10"/>
  <c r="J616" i="10"/>
  <c r="J624" i="10"/>
  <c r="J632" i="10"/>
  <c r="J640" i="10"/>
  <c r="J648" i="10"/>
  <c r="J474" i="10"/>
  <c r="J482" i="10"/>
  <c r="J490" i="10"/>
  <c r="J498" i="10"/>
  <c r="J506" i="10"/>
  <c r="J514" i="10"/>
  <c r="J522" i="10"/>
  <c r="J530" i="10"/>
  <c r="J538" i="10"/>
  <c r="J468" i="10"/>
  <c r="J408" i="10"/>
  <c r="L408" i="10" s="1"/>
  <c r="J416" i="10"/>
  <c r="J424" i="10"/>
  <c r="J432" i="10"/>
  <c r="J440" i="10"/>
  <c r="J451" i="10"/>
  <c r="J459" i="10"/>
  <c r="J372" i="10"/>
  <c r="J380" i="10"/>
  <c r="J388" i="10"/>
  <c r="L388" i="10" s="1"/>
  <c r="J396" i="10"/>
  <c r="L396" i="10" s="1"/>
  <c r="J341" i="10"/>
  <c r="J349" i="10"/>
  <c r="L349" i="10" s="1"/>
  <c r="J357" i="10"/>
  <c r="J365" i="10"/>
  <c r="J258" i="10"/>
  <c r="J958" i="10"/>
  <c r="J966" i="10"/>
  <c r="J694" i="10"/>
  <c r="J702" i="10"/>
  <c r="J710" i="10"/>
  <c r="L710" i="10" s="1"/>
  <c r="J718" i="10"/>
  <c r="L718" i="10" s="1"/>
  <c r="J729" i="10"/>
  <c r="J737" i="10"/>
  <c r="J745" i="10"/>
  <c r="L745" i="10" s="1"/>
  <c r="J753" i="10"/>
  <c r="J761" i="10"/>
  <c r="J772" i="10"/>
  <c r="J780" i="10"/>
  <c r="L780" i="10" s="1"/>
  <c r="J796" i="10"/>
  <c r="J804" i="10"/>
  <c r="J812" i="10"/>
  <c r="J820" i="10"/>
  <c r="J828" i="10"/>
  <c r="J836" i="10"/>
  <c r="L836" i="10" s="1"/>
  <c r="J844" i="10"/>
  <c r="J852" i="10"/>
  <c r="J860" i="10"/>
  <c r="J871" i="10"/>
  <c r="J879" i="10"/>
  <c r="J887" i="10"/>
  <c r="J895" i="10"/>
  <c r="J903" i="10"/>
  <c r="J911" i="10"/>
  <c r="J919" i="10"/>
  <c r="J927" i="10"/>
  <c r="J935" i="10"/>
  <c r="J943" i="10"/>
  <c r="J951" i="10"/>
  <c r="J661" i="10"/>
  <c r="J669" i="10"/>
  <c r="L669" i="10" s="1"/>
  <c r="J677" i="10"/>
  <c r="J685" i="10"/>
  <c r="J553" i="10"/>
  <c r="L553" i="10" s="1"/>
  <c r="J561" i="10"/>
  <c r="J569" i="10"/>
  <c r="J577" i="10"/>
  <c r="J585" i="10"/>
  <c r="J593" i="10"/>
  <c r="J601" i="10"/>
  <c r="J609" i="10"/>
  <c r="J617" i="10"/>
  <c r="J625" i="10"/>
  <c r="J633" i="10"/>
  <c r="J641" i="10"/>
  <c r="J649" i="10"/>
  <c r="J475" i="10"/>
  <c r="L475" i="10" s="1"/>
  <c r="J483" i="10"/>
  <c r="J491" i="10"/>
  <c r="J499" i="10"/>
  <c r="J507" i="10"/>
  <c r="J515" i="10"/>
  <c r="J523" i="10"/>
  <c r="J531" i="10"/>
  <c r="J539" i="10"/>
  <c r="J401" i="10"/>
  <c r="J409" i="10"/>
  <c r="L409" i="10" s="1"/>
  <c r="J417" i="10"/>
  <c r="J425" i="10"/>
  <c r="J433" i="10"/>
  <c r="L433" i="10" s="1"/>
  <c r="J441" i="10"/>
  <c r="J452" i="10"/>
  <c r="L452" i="10" s="1"/>
  <c r="J460" i="10"/>
  <c r="J373" i="10"/>
  <c r="J381" i="10"/>
  <c r="L381" i="10" s="1"/>
  <c r="J389" i="10"/>
  <c r="J370" i="10"/>
  <c r="J959" i="10"/>
  <c r="J967" i="10"/>
  <c r="J695" i="10"/>
  <c r="J703" i="10"/>
  <c r="L703" i="10" s="1"/>
  <c r="J711" i="10"/>
  <c r="J722" i="10"/>
  <c r="J730" i="10"/>
  <c r="L730" i="10" s="1"/>
  <c r="J738" i="10"/>
  <c r="J746" i="10"/>
  <c r="J754" i="10"/>
  <c r="L754" i="10" s="1"/>
  <c r="J762" i="10"/>
  <c r="J773" i="10"/>
  <c r="J781" i="10"/>
  <c r="J789" i="10"/>
  <c r="J797" i="10"/>
  <c r="L797" i="10" s="1"/>
  <c r="J805" i="10"/>
  <c r="J813" i="10"/>
  <c r="J821" i="10"/>
  <c r="J829" i="10"/>
  <c r="J837" i="10"/>
  <c r="J845" i="10"/>
  <c r="J853" i="10"/>
  <c r="J861" i="10"/>
  <c r="J872" i="10"/>
  <c r="J880" i="10"/>
  <c r="J888" i="10"/>
  <c r="J896" i="10"/>
  <c r="J904" i="10"/>
  <c r="J912" i="10"/>
  <c r="L912" i="10" s="1"/>
  <c r="J920" i="10"/>
  <c r="J928" i="10"/>
  <c r="J936" i="10"/>
  <c r="J944" i="10"/>
  <c r="J952" i="10"/>
  <c r="J662" i="10"/>
  <c r="L662" i="10" s="1"/>
  <c r="J670" i="10"/>
  <c r="L670" i="10" s="1"/>
  <c r="J678" i="10"/>
  <c r="J686" i="10"/>
  <c r="J554" i="10"/>
  <c r="J562" i="10"/>
  <c r="J570" i="10"/>
  <c r="J578" i="10"/>
  <c r="J586" i="10"/>
  <c r="J594" i="10"/>
  <c r="J602" i="10"/>
  <c r="J610" i="10"/>
  <c r="J618" i="10"/>
  <c r="J626" i="10"/>
  <c r="J634" i="10"/>
  <c r="J642" i="10"/>
  <c r="J549" i="10"/>
  <c r="J476" i="10"/>
  <c r="J484" i="10"/>
  <c r="J492" i="10"/>
  <c r="J500" i="10"/>
  <c r="J508" i="10"/>
  <c r="J516" i="10"/>
  <c r="J524" i="10"/>
  <c r="J532" i="10"/>
  <c r="J540" i="10"/>
  <c r="J402" i="10"/>
  <c r="J410" i="10"/>
  <c r="J418" i="10"/>
  <c r="J426" i="10"/>
  <c r="J434" i="10"/>
  <c r="J442" i="10"/>
  <c r="J453" i="10"/>
  <c r="J461" i="10"/>
  <c r="J374" i="10"/>
  <c r="L374" i="10" s="1"/>
  <c r="J382" i="10"/>
  <c r="L382" i="10" s="1"/>
  <c r="J390" i="10"/>
  <c r="J335" i="10"/>
  <c r="J343" i="10"/>
  <c r="J351" i="10"/>
  <c r="L351" i="10" s="1"/>
  <c r="J359" i="10"/>
  <c r="J334" i="10"/>
  <c r="J960" i="10"/>
  <c r="J968" i="10"/>
  <c r="J696" i="10"/>
  <c r="J704" i="10"/>
  <c r="L704" i="10" s="1"/>
  <c r="J712" i="10"/>
  <c r="J723" i="10"/>
  <c r="J731" i="10"/>
  <c r="L731" i="10" s="1"/>
  <c r="J739" i="10"/>
  <c r="J747" i="10"/>
  <c r="J755" i="10"/>
  <c r="L755" i="10" s="1"/>
  <c r="J763" i="10"/>
  <c r="J774" i="10"/>
  <c r="L774" i="10" s="1"/>
  <c r="J782" i="10"/>
  <c r="J790" i="10"/>
  <c r="J798" i="10"/>
  <c r="J806" i="10"/>
  <c r="J814" i="10"/>
  <c r="J822" i="10"/>
  <c r="J830" i="10"/>
  <c r="J838" i="10"/>
  <c r="J846" i="10"/>
  <c r="J854" i="10"/>
  <c r="J862" i="10"/>
  <c r="J873" i="10"/>
  <c r="J881" i="10"/>
  <c r="J889" i="10"/>
  <c r="J897" i="10"/>
  <c r="J905" i="10"/>
  <c r="J913" i="10"/>
  <c r="J921" i="10"/>
  <c r="J929" i="10"/>
  <c r="J937" i="10"/>
  <c r="J945" i="10"/>
  <c r="J953" i="10"/>
  <c r="J663" i="10"/>
  <c r="L663" i="10" s="1"/>
  <c r="J671" i="10"/>
  <c r="L671" i="10" s="1"/>
  <c r="J679" i="10"/>
  <c r="J687" i="10"/>
  <c r="J555" i="10"/>
  <c r="J563" i="10"/>
  <c r="J571" i="10"/>
  <c r="J579" i="10"/>
  <c r="J587" i="10"/>
  <c r="J595" i="10"/>
  <c r="J603" i="10"/>
  <c r="J611" i="10"/>
  <c r="J619" i="10"/>
  <c r="J627" i="10"/>
  <c r="J635" i="10"/>
  <c r="J643" i="10"/>
  <c r="J469" i="10"/>
  <c r="J477" i="10"/>
  <c r="J485" i="10"/>
  <c r="J493" i="10"/>
  <c r="J501" i="10"/>
  <c r="J509" i="10"/>
  <c r="J517" i="10"/>
  <c r="J525" i="10"/>
  <c r="J533" i="10"/>
  <c r="J541" i="10"/>
  <c r="J403" i="10"/>
  <c r="J411" i="10"/>
  <c r="J419" i="10"/>
  <c r="J427" i="10"/>
  <c r="J435" i="10"/>
  <c r="J443" i="10"/>
  <c r="J454" i="10"/>
  <c r="L454" i="10" s="1"/>
  <c r="J462" i="10"/>
  <c r="J375" i="10"/>
  <c r="J383" i="10"/>
  <c r="L383" i="10" s="1"/>
  <c r="J391" i="10"/>
  <c r="L391" i="10" s="1"/>
  <c r="J336" i="10"/>
  <c r="J344" i="10"/>
  <c r="L344" i="10" s="1"/>
  <c r="J352" i="10"/>
  <c r="L352" i="10" s="1"/>
  <c r="J360" i="10"/>
  <c r="J253" i="10"/>
  <c r="J961" i="10"/>
  <c r="J969" i="10"/>
  <c r="J697" i="10"/>
  <c r="J705" i="10"/>
  <c r="L705" i="10" s="1"/>
  <c r="J713" i="10"/>
  <c r="L713" i="10" s="1"/>
  <c r="J724" i="10"/>
  <c r="J732" i="10"/>
  <c r="J740" i="10"/>
  <c r="J748" i="10"/>
  <c r="J756" i="10"/>
  <c r="J764" i="10"/>
  <c r="J775" i="10"/>
  <c r="J783" i="10"/>
  <c r="J791" i="10"/>
  <c r="J799" i="10"/>
  <c r="J807" i="10"/>
  <c r="J815" i="10"/>
  <c r="J823" i="10"/>
  <c r="J831" i="10"/>
  <c r="J839" i="10"/>
  <c r="J847" i="10"/>
  <c r="J855" i="10"/>
  <c r="J863" i="10"/>
  <c r="J874" i="10"/>
  <c r="J882" i="10"/>
  <c r="J890" i="10"/>
  <c r="J898" i="10"/>
  <c r="J906" i="10"/>
  <c r="J914" i="10"/>
  <c r="L914" i="10" s="1"/>
  <c r="J922" i="10"/>
  <c r="J930" i="10"/>
  <c r="J938" i="10"/>
  <c r="J946" i="10"/>
  <c r="J692" i="10"/>
  <c r="J664" i="10"/>
  <c r="J672" i="10"/>
  <c r="L672" i="10" s="1"/>
  <c r="J680" i="10"/>
  <c r="J688" i="10"/>
  <c r="L688" i="10" s="1"/>
  <c r="J556" i="10"/>
  <c r="J564" i="10"/>
  <c r="J572" i="10"/>
  <c r="J580" i="10"/>
  <c r="J588" i="10"/>
  <c r="J596" i="10"/>
  <c r="J604" i="10"/>
  <c r="J612" i="10"/>
  <c r="J620" i="10"/>
  <c r="J628" i="10"/>
  <c r="J636" i="10"/>
  <c r="J644" i="10"/>
  <c r="J470" i="10"/>
  <c r="L470" i="10" s="1"/>
  <c r="J478" i="10"/>
  <c r="J486" i="10"/>
  <c r="J494" i="10"/>
  <c r="L494" i="10" s="1"/>
  <c r="J502" i="10"/>
  <c r="J510" i="10"/>
  <c r="J518" i="10"/>
  <c r="J526" i="10"/>
  <c r="J534" i="10"/>
  <c r="L534" i="10" s="1"/>
  <c r="J542" i="10"/>
  <c r="J404" i="10"/>
  <c r="J412" i="10"/>
  <c r="J420" i="10"/>
  <c r="J428" i="10"/>
  <c r="J436" i="10"/>
  <c r="J447" i="10"/>
  <c r="J455" i="10"/>
  <c r="J463" i="10"/>
  <c r="J376" i="10"/>
  <c r="J384" i="10"/>
  <c r="L384" i="10" s="1"/>
  <c r="J392" i="10"/>
  <c r="J337" i="10"/>
  <c r="J345" i="10"/>
  <c r="L345" i="10" s="1"/>
  <c r="J353" i="10"/>
  <c r="J361" i="10"/>
  <c r="J254" i="10"/>
  <c r="J262" i="10"/>
  <c r="J962" i="10"/>
  <c r="J970" i="10"/>
  <c r="J698" i="10"/>
  <c r="J706" i="10"/>
  <c r="L706" i="10" s="1"/>
  <c r="J714" i="10"/>
  <c r="J725" i="10"/>
  <c r="J733" i="10"/>
  <c r="J741" i="10"/>
  <c r="J749" i="10"/>
  <c r="J757" i="10"/>
  <c r="J765" i="10"/>
  <c r="J776" i="10"/>
  <c r="J784" i="10"/>
  <c r="J792" i="10"/>
  <c r="L792" i="10" s="1"/>
  <c r="J800" i="10"/>
  <c r="J808" i="10"/>
  <c r="J816" i="10"/>
  <c r="L816" i="10" s="1"/>
  <c r="J824" i="10"/>
  <c r="J832" i="10"/>
  <c r="J840" i="10"/>
  <c r="J848" i="10"/>
  <c r="J856" i="10"/>
  <c r="L856" i="10" s="1"/>
  <c r="J864" i="10"/>
  <c r="J875" i="10"/>
  <c r="L875" i="10" s="1"/>
  <c r="J883" i="10"/>
  <c r="J891" i="10"/>
  <c r="J899" i="10"/>
  <c r="J907" i="10"/>
  <c r="L907" i="10" s="1"/>
  <c r="J915" i="10"/>
  <c r="J923" i="10"/>
  <c r="J931" i="10"/>
  <c r="J939" i="10"/>
  <c r="J947" i="10"/>
  <c r="J657" i="10"/>
  <c r="J665" i="10"/>
  <c r="L665" i="10" s="1"/>
  <c r="J673" i="10"/>
  <c r="L673" i="10" s="1"/>
  <c r="J681" i="10"/>
  <c r="J656" i="10"/>
  <c r="J557" i="10"/>
  <c r="J565" i="10"/>
  <c r="J573" i="10"/>
  <c r="J581" i="10"/>
  <c r="J589" i="10"/>
  <c r="J597" i="10"/>
  <c r="J605" i="10"/>
  <c r="L605" i="10" s="1"/>
  <c r="J613" i="10"/>
  <c r="J621" i="10"/>
  <c r="J629" i="10"/>
  <c r="J637" i="10"/>
  <c r="J645" i="10"/>
  <c r="J471" i="10"/>
  <c r="J479" i="10"/>
  <c r="J487" i="10"/>
  <c r="J495" i="10"/>
  <c r="J503" i="10"/>
  <c r="J511" i="10"/>
  <c r="J519" i="10"/>
  <c r="J527" i="10"/>
  <c r="J535" i="10"/>
  <c r="J543" i="10"/>
  <c r="J405" i="10"/>
  <c r="J963" i="10"/>
  <c r="J750" i="10"/>
  <c r="J817" i="10"/>
  <c r="J884" i="10"/>
  <c r="J948" i="10"/>
  <c r="J574" i="10"/>
  <c r="J638" i="10"/>
  <c r="J520" i="10"/>
  <c r="J422" i="10"/>
  <c r="L422" i="10" s="1"/>
  <c r="J457" i="10"/>
  <c r="J394" i="10"/>
  <c r="J355" i="10"/>
  <c r="J260" i="10"/>
  <c r="J270" i="10"/>
  <c r="L270" i="10" s="1"/>
  <c r="J279" i="10"/>
  <c r="J288" i="10"/>
  <c r="J298" i="10"/>
  <c r="J307" i="10"/>
  <c r="J316" i="10"/>
  <c r="J325" i="10"/>
  <c r="J233" i="10"/>
  <c r="J241" i="10"/>
  <c r="J249" i="10"/>
  <c r="J189" i="10"/>
  <c r="J197" i="10"/>
  <c r="J205" i="10"/>
  <c r="J213" i="10"/>
  <c r="L213" i="10" s="1"/>
  <c r="J221" i="10"/>
  <c r="J169" i="10"/>
  <c r="J177" i="10"/>
  <c r="J185" i="10"/>
  <c r="J154" i="10"/>
  <c r="L154" i="10" s="1"/>
  <c r="J162" i="10"/>
  <c r="J132" i="10"/>
  <c r="L132" i="10" s="1"/>
  <c r="J140" i="10"/>
  <c r="J106" i="10"/>
  <c r="J114" i="10"/>
  <c r="J83" i="10"/>
  <c r="J91" i="10"/>
  <c r="L91" i="10" s="1"/>
  <c r="J99" i="10"/>
  <c r="J51" i="10"/>
  <c r="J59" i="10"/>
  <c r="L59" i="10" s="1"/>
  <c r="J67" i="10"/>
  <c r="J48" i="10"/>
  <c r="J40" i="10"/>
  <c r="L40" i="10" s="1"/>
  <c r="J28" i="10"/>
  <c r="J13" i="10"/>
  <c r="J21" i="10"/>
  <c r="L21" i="10" s="1"/>
  <c r="J532" i="9"/>
  <c r="J540" i="9"/>
  <c r="J548" i="9"/>
  <c r="J556" i="9"/>
  <c r="J564" i="9"/>
  <c r="J376" i="9"/>
  <c r="J384" i="9"/>
  <c r="J392" i="9"/>
  <c r="J400" i="9"/>
  <c r="J408" i="9"/>
  <c r="L408" i="9" s="1"/>
  <c r="J416" i="9"/>
  <c r="J424" i="9"/>
  <c r="L424" i="9" s="1"/>
  <c r="J432" i="9"/>
  <c r="J440" i="9"/>
  <c r="J448" i="9"/>
  <c r="J456" i="9"/>
  <c r="J464" i="9"/>
  <c r="J472" i="9"/>
  <c r="J480" i="9"/>
  <c r="J488" i="9"/>
  <c r="J496" i="9"/>
  <c r="J504" i="9"/>
  <c r="J521" i="9"/>
  <c r="J363" i="9"/>
  <c r="L363" i="9" s="1"/>
  <c r="J319" i="9"/>
  <c r="L319" i="9" s="1"/>
  <c r="J327" i="9"/>
  <c r="J335" i="9"/>
  <c r="J343" i="9"/>
  <c r="J351" i="9"/>
  <c r="J317" i="9"/>
  <c r="J294" i="9"/>
  <c r="J302" i="9"/>
  <c r="J285" i="9"/>
  <c r="J270" i="9"/>
  <c r="J278" i="9"/>
  <c r="J254" i="9"/>
  <c r="J262" i="9"/>
  <c r="J971" i="10"/>
  <c r="J758" i="10"/>
  <c r="J825" i="10"/>
  <c r="J892" i="10"/>
  <c r="J658" i="10"/>
  <c r="J582" i="10"/>
  <c r="J646" i="10"/>
  <c r="J528" i="10"/>
  <c r="J429" i="10"/>
  <c r="J464" i="10"/>
  <c r="J338" i="10"/>
  <c r="J358" i="10"/>
  <c r="J261" i="10"/>
  <c r="J271" i="10"/>
  <c r="L271" i="10" s="1"/>
  <c r="J280" i="10"/>
  <c r="J290" i="10"/>
  <c r="J299" i="10"/>
  <c r="J308" i="10"/>
  <c r="J317" i="10"/>
  <c r="J326" i="10"/>
  <c r="J234" i="10"/>
  <c r="J242" i="10"/>
  <c r="J250" i="10"/>
  <c r="J190" i="10"/>
  <c r="J198" i="10"/>
  <c r="J206" i="10"/>
  <c r="J214" i="10"/>
  <c r="J222" i="10"/>
  <c r="J170" i="10"/>
  <c r="J178" i="10"/>
  <c r="J164" i="10"/>
  <c r="J155" i="10"/>
  <c r="J147" i="10"/>
  <c r="J133" i="10"/>
  <c r="J141" i="10"/>
  <c r="L141" i="10" s="1"/>
  <c r="J107" i="10"/>
  <c r="J115" i="10"/>
  <c r="L115" i="10" s="1"/>
  <c r="J84" i="10"/>
  <c r="J92" i="10"/>
  <c r="L92" i="10" s="1"/>
  <c r="J100" i="10"/>
  <c r="L100" i="10" s="1"/>
  <c r="J52" i="10"/>
  <c r="L52" i="10" s="1"/>
  <c r="J60" i="10"/>
  <c r="L60" i="10" s="1"/>
  <c r="J68" i="10"/>
  <c r="J33" i="10"/>
  <c r="J41" i="10"/>
  <c r="J6" i="10"/>
  <c r="J14" i="10"/>
  <c r="L14" i="10" s="1"/>
  <c r="J22" i="10"/>
  <c r="L22" i="10" s="1"/>
  <c r="J533" i="9"/>
  <c r="J541" i="9"/>
  <c r="J549" i="9"/>
  <c r="J557" i="9"/>
  <c r="J565" i="9"/>
  <c r="J377" i="9"/>
  <c r="J385" i="9"/>
  <c r="J393" i="9"/>
  <c r="J401" i="9"/>
  <c r="J409" i="9"/>
  <c r="J417" i="9"/>
  <c r="J425" i="9"/>
  <c r="L425" i="9" s="1"/>
  <c r="J433" i="9"/>
  <c r="J441" i="9"/>
  <c r="J449" i="9"/>
  <c r="J457" i="9"/>
  <c r="J465" i="9"/>
  <c r="J473" i="9"/>
  <c r="J481" i="9"/>
  <c r="J489" i="9"/>
  <c r="J497" i="9"/>
  <c r="J505" i="9"/>
  <c r="J522" i="9"/>
  <c r="J364" i="9"/>
  <c r="J320" i="9"/>
  <c r="J328" i="9"/>
  <c r="J336" i="9"/>
  <c r="J344" i="9"/>
  <c r="J352" i="9"/>
  <c r="J311" i="9"/>
  <c r="J295" i="9"/>
  <c r="J303" i="9"/>
  <c r="J286" i="9"/>
  <c r="J271" i="9"/>
  <c r="J279" i="9"/>
  <c r="J255" i="9"/>
  <c r="L255" i="9" s="1"/>
  <c r="J263" i="9"/>
  <c r="J699" i="10"/>
  <c r="J769" i="10"/>
  <c r="J833" i="10"/>
  <c r="J900" i="10"/>
  <c r="J666" i="10"/>
  <c r="L666" i="10" s="1"/>
  <c r="J590" i="10"/>
  <c r="L590" i="10" s="1"/>
  <c r="J472" i="10"/>
  <c r="J536" i="10"/>
  <c r="J430" i="10"/>
  <c r="J400" i="10"/>
  <c r="J339" i="10"/>
  <c r="J362" i="10"/>
  <c r="L362" i="10" s="1"/>
  <c r="J263" i="10"/>
  <c r="J272" i="10"/>
  <c r="J282" i="10"/>
  <c r="L282" i="10" s="1"/>
  <c r="J291" i="10"/>
  <c r="J300" i="10"/>
  <c r="J309" i="10"/>
  <c r="J318" i="10"/>
  <c r="J327" i="10"/>
  <c r="J235" i="10"/>
  <c r="J243" i="10"/>
  <c r="J251" i="10"/>
  <c r="J191" i="10"/>
  <c r="J199" i="10"/>
  <c r="J207" i="10"/>
  <c r="J215" i="10"/>
  <c r="J223" i="10"/>
  <c r="J171" i="10"/>
  <c r="J179" i="10"/>
  <c r="J148" i="10"/>
  <c r="J156" i="10"/>
  <c r="J126" i="10"/>
  <c r="J134" i="10"/>
  <c r="J142" i="10"/>
  <c r="J108" i="10"/>
  <c r="J116" i="10"/>
  <c r="L116" i="10" s="1"/>
  <c r="J85" i="10"/>
  <c r="J93" i="10"/>
  <c r="L93" i="10" s="1"/>
  <c r="J101" i="10"/>
  <c r="L101" i="10" s="1"/>
  <c r="J53" i="10"/>
  <c r="J61" i="10"/>
  <c r="L61" i="10" s="1"/>
  <c r="J69" i="10"/>
  <c r="L69" i="10" s="1"/>
  <c r="J34" i="10"/>
  <c r="J42" i="10"/>
  <c r="J7" i="10"/>
  <c r="J15" i="10"/>
  <c r="L15" i="10" s="1"/>
  <c r="J23" i="10"/>
  <c r="L23" i="10" s="1"/>
  <c r="J534" i="9"/>
  <c r="J542" i="9"/>
  <c r="J550" i="9"/>
  <c r="J558" i="9"/>
  <c r="J530" i="9"/>
  <c r="J378" i="9"/>
  <c r="J386" i="9"/>
  <c r="J394" i="9"/>
  <c r="J402" i="9"/>
  <c r="L402" i="9" s="1"/>
  <c r="J410" i="9"/>
  <c r="L410" i="9" s="1"/>
  <c r="J418" i="9"/>
  <c r="J426" i="9"/>
  <c r="L426" i="9" s="1"/>
  <c r="J434" i="9"/>
  <c r="J442" i="9"/>
  <c r="J450" i="9"/>
  <c r="J458" i="9"/>
  <c r="L458" i="9" s="1"/>
  <c r="J466" i="9"/>
  <c r="J474" i="9"/>
  <c r="J482" i="9"/>
  <c r="J490" i="9"/>
  <c r="J498" i="9"/>
  <c r="J506" i="9"/>
  <c r="J523" i="9"/>
  <c r="J365" i="9"/>
  <c r="J321" i="9"/>
  <c r="J329" i="9"/>
  <c r="J337" i="9"/>
  <c r="J345" i="9"/>
  <c r="J353" i="9"/>
  <c r="J707" i="10"/>
  <c r="J777" i="10"/>
  <c r="J841" i="10"/>
  <c r="J908" i="10"/>
  <c r="J674" i="10"/>
  <c r="L674" i="10" s="1"/>
  <c r="J598" i="10"/>
  <c r="J480" i="10"/>
  <c r="L480" i="10" s="1"/>
  <c r="J544" i="10"/>
  <c r="J437" i="10"/>
  <c r="L437" i="10" s="1"/>
  <c r="J377" i="10"/>
  <c r="J342" i="10"/>
  <c r="J363" i="10"/>
  <c r="J264" i="10"/>
  <c r="L264" i="10" s="1"/>
  <c r="J274" i="10"/>
  <c r="J283" i="10"/>
  <c r="J292" i="10"/>
  <c r="J301" i="10"/>
  <c r="J310" i="10"/>
  <c r="J319" i="10"/>
  <c r="J328" i="10"/>
  <c r="J236" i="10"/>
  <c r="J244" i="10"/>
  <c r="J252" i="10"/>
  <c r="J192" i="10"/>
  <c r="J200" i="10"/>
  <c r="J208" i="10"/>
  <c r="L208" i="10" s="1"/>
  <c r="J216" i="10"/>
  <c r="J224" i="10"/>
  <c r="J172" i="10"/>
  <c r="J180" i="10"/>
  <c r="J149" i="10"/>
  <c r="L149" i="10" s="1"/>
  <c r="J157" i="10"/>
  <c r="J127" i="10"/>
  <c r="J135" i="10"/>
  <c r="J125" i="10"/>
  <c r="J109" i="10"/>
  <c r="J105" i="10"/>
  <c r="J86" i="10"/>
  <c r="L86" i="10" s="1"/>
  <c r="J94" i="10"/>
  <c r="J102" i="10"/>
  <c r="J54" i="10"/>
  <c r="J62" i="10"/>
  <c r="L62" i="10" s="1"/>
  <c r="J70" i="10"/>
  <c r="J35" i="10"/>
  <c r="L35" i="10" s="1"/>
  <c r="J43" i="10"/>
  <c r="J8" i="10"/>
  <c r="J16" i="10"/>
  <c r="L16" i="10" s="1"/>
  <c r="J24" i="10"/>
  <c r="J535" i="9"/>
  <c r="J543" i="9"/>
  <c r="J551" i="9"/>
  <c r="J559" i="9"/>
  <c r="J371" i="9"/>
  <c r="J379" i="9"/>
  <c r="J387" i="9"/>
  <c r="J395" i="9"/>
  <c r="J403" i="9"/>
  <c r="L403" i="9" s="1"/>
  <c r="J411" i="9"/>
  <c r="J419" i="9"/>
  <c r="L419" i="9" s="1"/>
  <c r="J427" i="9"/>
  <c r="J435" i="9"/>
  <c r="J443" i="9"/>
  <c r="J451" i="9"/>
  <c r="L451" i="9" s="1"/>
  <c r="J459" i="9"/>
  <c r="J467" i="9"/>
  <c r="J475" i="9"/>
  <c r="J483" i="9"/>
  <c r="J491" i="9"/>
  <c r="J499" i="9"/>
  <c r="J507" i="9"/>
  <c r="J524" i="9"/>
  <c r="J366" i="9"/>
  <c r="L366" i="9" s="1"/>
  <c r="J322" i="9"/>
  <c r="J330" i="9"/>
  <c r="J338" i="9"/>
  <c r="J346" i="9"/>
  <c r="J354" i="9"/>
  <c r="J313" i="9"/>
  <c r="J297" i="9"/>
  <c r="L297" i="9" s="1"/>
  <c r="J305" i="9"/>
  <c r="J288" i="9"/>
  <c r="J715" i="10"/>
  <c r="J785" i="10"/>
  <c r="J849" i="10"/>
  <c r="J916" i="10"/>
  <c r="J682" i="10"/>
  <c r="J606" i="10"/>
  <c r="J488" i="10"/>
  <c r="J406" i="10"/>
  <c r="J438" i="10"/>
  <c r="L438" i="10" s="1"/>
  <c r="J378" i="10"/>
  <c r="J346" i="10"/>
  <c r="L346" i="10" s="1"/>
  <c r="J366" i="10"/>
  <c r="L366" i="10" s="1"/>
  <c r="J266" i="10"/>
  <c r="L266" i="10" s="1"/>
  <c r="J275" i="10"/>
  <c r="J284" i="10"/>
  <c r="L284" i="10" s="1"/>
  <c r="J293" i="10"/>
  <c r="J302" i="10"/>
  <c r="J311" i="10"/>
  <c r="J320" i="10"/>
  <c r="J229" i="10"/>
  <c r="J237" i="10"/>
  <c r="J245" i="10"/>
  <c r="J228" i="10"/>
  <c r="J193" i="10"/>
  <c r="L193" i="10" s="1"/>
  <c r="J201" i="10"/>
  <c r="J209" i="10"/>
  <c r="J217" i="10"/>
  <c r="J165" i="10"/>
  <c r="J173" i="10"/>
  <c r="L173" i="10" s="1"/>
  <c r="J181" i="10"/>
  <c r="J150" i="10"/>
  <c r="J158" i="10"/>
  <c r="J128" i="10"/>
  <c r="J136" i="10"/>
  <c r="L136" i="10" s="1"/>
  <c r="J119" i="10"/>
  <c r="J110" i="10"/>
  <c r="L110" i="10" s="1"/>
  <c r="J79" i="10"/>
  <c r="J87" i="10"/>
  <c r="L87" i="10" s="1"/>
  <c r="J95" i="10"/>
  <c r="J103" i="10"/>
  <c r="J55" i="10"/>
  <c r="J63" i="10"/>
  <c r="J71" i="10"/>
  <c r="J36" i="10"/>
  <c r="J44" i="10"/>
  <c r="L44" i="10" s="1"/>
  <c r="J9" i="10"/>
  <c r="J17" i="10"/>
  <c r="L17" i="10" s="1"/>
  <c r="J25" i="10"/>
  <c r="L25" i="10" s="1"/>
  <c r="J536" i="9"/>
  <c r="J544" i="9"/>
  <c r="J552" i="9"/>
  <c r="J560" i="9"/>
  <c r="J372" i="9"/>
  <c r="J380" i="9"/>
  <c r="J388" i="9"/>
  <c r="J396" i="9"/>
  <c r="J404" i="9"/>
  <c r="L404" i="9" s="1"/>
  <c r="J412" i="9"/>
  <c r="J420" i="9"/>
  <c r="J428" i="9"/>
  <c r="J436" i="9"/>
  <c r="J444" i="9"/>
  <c r="J452" i="9"/>
  <c r="J460" i="9"/>
  <c r="J468" i="9"/>
  <c r="J476" i="9"/>
  <c r="J484" i="9"/>
  <c r="J492" i="9"/>
  <c r="J500" i="9"/>
  <c r="J508" i="9"/>
  <c r="J525" i="9"/>
  <c r="J367" i="9"/>
  <c r="J323" i="9"/>
  <c r="J331" i="9"/>
  <c r="J339" i="9"/>
  <c r="J347" i="9"/>
  <c r="L347" i="9" s="1"/>
  <c r="J355" i="9"/>
  <c r="J298" i="9"/>
  <c r="J306" i="9"/>
  <c r="J289" i="9"/>
  <c r="J274" i="9"/>
  <c r="J282" i="9"/>
  <c r="J258" i="9"/>
  <c r="J266" i="9"/>
  <c r="J726" i="10"/>
  <c r="J793" i="10"/>
  <c r="J857" i="10"/>
  <c r="J924" i="10"/>
  <c r="J550" i="10"/>
  <c r="J614" i="10"/>
  <c r="J496" i="10"/>
  <c r="J413" i="10"/>
  <c r="L413" i="10" s="1"/>
  <c r="J448" i="10"/>
  <c r="J385" i="10"/>
  <c r="J347" i="10"/>
  <c r="L347" i="10" s="1"/>
  <c r="J255" i="10"/>
  <c r="J267" i="10"/>
  <c r="J276" i="10"/>
  <c r="J285" i="10"/>
  <c r="J294" i="10"/>
  <c r="J303" i="10"/>
  <c r="J312" i="10"/>
  <c r="J322" i="10"/>
  <c r="J230" i="10"/>
  <c r="J238" i="10"/>
  <c r="J246" i="10"/>
  <c r="J186" i="10"/>
  <c r="J194" i="10"/>
  <c r="J202" i="10"/>
  <c r="J210" i="10"/>
  <c r="J218" i="10"/>
  <c r="J166" i="10"/>
  <c r="J174" i="10"/>
  <c r="J182" i="10"/>
  <c r="J151" i="10"/>
  <c r="J159" i="10"/>
  <c r="L159" i="10" s="1"/>
  <c r="J129" i="10"/>
  <c r="J137" i="10"/>
  <c r="L137" i="10" s="1"/>
  <c r="J120" i="10"/>
  <c r="J111" i="10"/>
  <c r="L111" i="10" s="1"/>
  <c r="J80" i="10"/>
  <c r="J88" i="10"/>
  <c r="J96" i="10"/>
  <c r="J78" i="10"/>
  <c r="J56" i="10"/>
  <c r="J64" i="10"/>
  <c r="J72" i="10"/>
  <c r="J37" i="10"/>
  <c r="J32" i="10"/>
  <c r="J10" i="10"/>
  <c r="J18" i="10"/>
  <c r="L18" i="10" s="1"/>
  <c r="J26" i="10"/>
  <c r="J537" i="9"/>
  <c r="J545" i="9"/>
  <c r="J553" i="9"/>
  <c r="J561" i="9"/>
  <c r="J373" i="9"/>
  <c r="J381" i="9"/>
  <c r="J389" i="9"/>
  <c r="J397" i="9"/>
  <c r="L397" i="9" s="1"/>
  <c r="J405" i="9"/>
  <c r="J413" i="9"/>
  <c r="L413" i="9" s="1"/>
  <c r="J421" i="9"/>
  <c r="L421" i="9" s="1"/>
  <c r="J429" i="9"/>
  <c r="J437" i="9"/>
  <c r="J445" i="9"/>
  <c r="J453" i="9"/>
  <c r="L453" i="9" s="1"/>
  <c r="J461" i="9"/>
  <c r="L461" i="9" s="1"/>
  <c r="J469" i="9"/>
  <c r="J477" i="9"/>
  <c r="J485" i="9"/>
  <c r="J493" i="9"/>
  <c r="J501" i="9"/>
  <c r="J509" i="9"/>
  <c r="J526" i="9"/>
  <c r="J368" i="9"/>
  <c r="J324" i="9"/>
  <c r="J332" i="9"/>
  <c r="J340" i="9"/>
  <c r="J348" i="9"/>
  <c r="J356" i="9"/>
  <c r="J314" i="9"/>
  <c r="J299" i="9"/>
  <c r="J307" i="9"/>
  <c r="J290" i="9"/>
  <c r="J275" i="9"/>
  <c r="J742" i="10"/>
  <c r="J809" i="10"/>
  <c r="J876" i="10"/>
  <c r="J940" i="10"/>
  <c r="J566" i="10"/>
  <c r="J630" i="10"/>
  <c r="J512" i="10"/>
  <c r="J421" i="10"/>
  <c r="J456" i="10"/>
  <c r="J393" i="10"/>
  <c r="J354" i="10"/>
  <c r="L354" i="10" s="1"/>
  <c r="J259" i="10"/>
  <c r="J269" i="10"/>
  <c r="L269" i="10" s="1"/>
  <c r="J278" i="10"/>
  <c r="J287" i="10"/>
  <c r="J296" i="10"/>
  <c r="J306" i="10"/>
  <c r="J315" i="10"/>
  <c r="J324" i="10"/>
  <c r="J232" i="10"/>
  <c r="L232" i="10" s="1"/>
  <c r="J240" i="10"/>
  <c r="J248" i="10"/>
  <c r="J188" i="10"/>
  <c r="J196" i="10"/>
  <c r="J204" i="10"/>
  <c r="J212" i="10"/>
  <c r="J220" i="10"/>
  <c r="J168" i="10"/>
  <c r="L168" i="10" s="1"/>
  <c r="J176" i="10"/>
  <c r="J184" i="10"/>
  <c r="J153" i="10"/>
  <c r="J161" i="10"/>
  <c r="J131" i="10"/>
  <c r="J139" i="10"/>
  <c r="J118" i="10"/>
  <c r="J113" i="10"/>
  <c r="J82" i="10"/>
  <c r="J90" i="10"/>
  <c r="J98" i="10"/>
  <c r="J50" i="10"/>
  <c r="J58" i="10"/>
  <c r="J66" i="10"/>
  <c r="L66" i="10" s="1"/>
  <c r="J74" i="10"/>
  <c r="L74" i="10" s="1"/>
  <c r="J39" i="10"/>
  <c r="L39" i="10" s="1"/>
  <c r="J30" i="10"/>
  <c r="J12" i="10"/>
  <c r="L12" i="10" s="1"/>
  <c r="J20" i="10"/>
  <c r="L20" i="10" s="1"/>
  <c r="J531" i="9"/>
  <c r="J539" i="9"/>
  <c r="J547" i="9"/>
  <c r="J555" i="9"/>
  <c r="J563" i="9"/>
  <c r="J375" i="9"/>
  <c r="J383" i="9"/>
  <c r="J391" i="9"/>
  <c r="J399" i="9"/>
  <c r="L399" i="9" s="1"/>
  <c r="J407" i="9"/>
  <c r="J415" i="9"/>
  <c r="L415" i="9" s="1"/>
  <c r="J423" i="9"/>
  <c r="J431" i="9"/>
  <c r="J439" i="9"/>
  <c r="J447" i="9"/>
  <c r="J455" i="9"/>
  <c r="J463" i="9"/>
  <c r="J471" i="9"/>
  <c r="J479" i="9"/>
  <c r="J487" i="9"/>
  <c r="J495" i="9"/>
  <c r="J503" i="9"/>
  <c r="J520" i="9"/>
  <c r="J370" i="9"/>
  <c r="J318" i="9"/>
  <c r="J326" i="9"/>
  <c r="J334" i="9"/>
  <c r="J342" i="9"/>
  <c r="J734" i="10"/>
  <c r="J449" i="10"/>
  <c r="J304" i="10"/>
  <c r="J203" i="10"/>
  <c r="J130" i="10"/>
  <c r="L130" i="10" s="1"/>
  <c r="J57" i="10"/>
  <c r="J538" i="9"/>
  <c r="J406" i="9"/>
  <c r="J470" i="9"/>
  <c r="J325" i="9"/>
  <c r="J315" i="9"/>
  <c r="J287" i="9"/>
  <c r="J281" i="9"/>
  <c r="J261" i="9"/>
  <c r="J241" i="9"/>
  <c r="J247" i="9"/>
  <c r="J205" i="9"/>
  <c r="J213" i="9"/>
  <c r="J221" i="9"/>
  <c r="J229" i="9"/>
  <c r="J189" i="9"/>
  <c r="J182" i="9"/>
  <c r="J162" i="9"/>
  <c r="J170" i="9"/>
  <c r="L170" i="9" s="1"/>
  <c r="J178" i="9"/>
  <c r="J310" i="9"/>
  <c r="J269" i="9"/>
  <c r="J264" i="9"/>
  <c r="J248" i="9"/>
  <c r="J206" i="9"/>
  <c r="J214" i="9"/>
  <c r="J222" i="9"/>
  <c r="J230" i="9"/>
  <c r="J155" i="9"/>
  <c r="J163" i="9"/>
  <c r="J171" i="9"/>
  <c r="L171" i="9" s="1"/>
  <c r="J179" i="9"/>
  <c r="L179" i="9" s="1"/>
  <c r="J237" i="9"/>
  <c r="J216" i="9"/>
  <c r="J232" i="9"/>
  <c r="J173" i="9"/>
  <c r="J502" i="9"/>
  <c r="J256" i="9"/>
  <c r="J217" i="9"/>
  <c r="L217" i="9" s="1"/>
  <c r="J166" i="9"/>
  <c r="J183" i="10"/>
  <c r="J357" i="9"/>
  <c r="J202" i="9"/>
  <c r="J159" i="9"/>
  <c r="J286" i="10"/>
  <c r="J454" i="9"/>
  <c r="J246" i="9"/>
  <c r="J195" i="9"/>
  <c r="J801" i="10"/>
  <c r="J386" i="10"/>
  <c r="J314" i="10"/>
  <c r="J211" i="10"/>
  <c r="J138" i="10"/>
  <c r="J65" i="10"/>
  <c r="L65" i="10" s="1"/>
  <c r="J546" i="9"/>
  <c r="J414" i="9"/>
  <c r="L414" i="9" s="1"/>
  <c r="J478" i="9"/>
  <c r="J333" i="9"/>
  <c r="L333" i="9" s="1"/>
  <c r="J291" i="9"/>
  <c r="J242" i="9"/>
  <c r="J190" i="9"/>
  <c r="J157" i="9"/>
  <c r="J438" i="9"/>
  <c r="J209" i="9"/>
  <c r="J89" i="10"/>
  <c r="J245" i="9"/>
  <c r="J175" i="9"/>
  <c r="J19" i="10"/>
  <c r="L19" i="10" s="1"/>
  <c r="J239" i="9"/>
  <c r="J160" i="9"/>
  <c r="J865" i="10"/>
  <c r="J350" i="10"/>
  <c r="L350" i="10" s="1"/>
  <c r="J323" i="10"/>
  <c r="J219" i="10"/>
  <c r="J121" i="10"/>
  <c r="J73" i="10"/>
  <c r="J554" i="9"/>
  <c r="J422" i="9"/>
  <c r="J486" i="9"/>
  <c r="J341" i="9"/>
  <c r="J296" i="9"/>
  <c r="J284" i="9"/>
  <c r="J252" i="9"/>
  <c r="J265" i="9"/>
  <c r="L265" i="9" s="1"/>
  <c r="J249" i="9"/>
  <c r="J207" i="9"/>
  <c r="J215" i="9"/>
  <c r="J223" i="9"/>
  <c r="J231" i="9"/>
  <c r="J191" i="9"/>
  <c r="J156" i="9"/>
  <c r="J164" i="9"/>
  <c r="J172" i="9"/>
  <c r="L172" i="9" s="1"/>
  <c r="J180" i="9"/>
  <c r="L180" i="9" s="1"/>
  <c r="J167" i="10"/>
  <c r="J562" i="9"/>
  <c r="J494" i="9"/>
  <c r="J349" i="9"/>
  <c r="J272" i="9"/>
  <c r="J253" i="9"/>
  <c r="J267" i="9"/>
  <c r="J208" i="9"/>
  <c r="J224" i="9"/>
  <c r="J192" i="9"/>
  <c r="J154" i="9"/>
  <c r="J350" i="9"/>
  <c r="J251" i="9"/>
  <c r="J225" i="9"/>
  <c r="J247" i="10"/>
  <c r="J304" i="9"/>
  <c r="J210" i="9"/>
  <c r="L210" i="9" s="1"/>
  <c r="J167" i="9"/>
  <c r="J504" i="10"/>
  <c r="J308" i="9"/>
  <c r="J211" i="9"/>
  <c r="J932" i="10"/>
  <c r="J256" i="10"/>
  <c r="J231" i="10"/>
  <c r="J112" i="10"/>
  <c r="J38" i="10"/>
  <c r="J430" i="9"/>
  <c r="J300" i="9"/>
  <c r="J243" i="9"/>
  <c r="J165" i="9"/>
  <c r="J273" i="9"/>
  <c r="J201" i="9"/>
  <c r="J200" i="9"/>
  <c r="J193" i="9"/>
  <c r="J158" i="9"/>
  <c r="J277" i="10"/>
  <c r="J446" i="9"/>
  <c r="J276" i="9"/>
  <c r="J226" i="9"/>
  <c r="J152" i="10"/>
  <c r="J358" i="9"/>
  <c r="J259" i="9"/>
  <c r="J219" i="9"/>
  <c r="L219" i="9" s="1"/>
  <c r="J168" i="9"/>
  <c r="J558" i="10"/>
  <c r="J268" i="10"/>
  <c r="J239" i="10"/>
  <c r="J175" i="10"/>
  <c r="J81" i="10"/>
  <c r="J29" i="10"/>
  <c r="J374" i="9"/>
  <c r="J301" i="9"/>
  <c r="J244" i="9"/>
  <c r="J174" i="9"/>
  <c r="J11" i="10"/>
  <c r="J257" i="9"/>
  <c r="J194" i="9"/>
  <c r="J390" i="9"/>
  <c r="J184" i="9"/>
  <c r="J382" i="9"/>
  <c r="J218" i="9"/>
  <c r="L218" i="9" s="1"/>
  <c r="J187" i="10"/>
  <c r="J203" i="9"/>
  <c r="J414" i="10"/>
  <c r="L414" i="10" s="1"/>
  <c r="J295" i="10"/>
  <c r="J195" i="10"/>
  <c r="J160" i="10"/>
  <c r="J49" i="10"/>
  <c r="J5" i="10"/>
  <c r="J398" i="9"/>
  <c r="J462" i="9"/>
  <c r="J362" i="9"/>
  <c r="J312" i="9"/>
  <c r="J293" i="9"/>
  <c r="J280" i="9"/>
  <c r="J260" i="9"/>
  <c r="L260" i="9" s="1"/>
  <c r="J240" i="9"/>
  <c r="J204" i="9"/>
  <c r="J212" i="9"/>
  <c r="L212" i="9" s="1"/>
  <c r="J220" i="9"/>
  <c r="J228" i="9"/>
  <c r="J188" i="9"/>
  <c r="J196" i="9"/>
  <c r="J161" i="9"/>
  <c r="J169" i="9"/>
  <c r="L169" i="9" s="1"/>
  <c r="J177" i="9"/>
  <c r="J622" i="10"/>
  <c r="J519" i="9"/>
  <c r="J238" i="9"/>
  <c r="J183" i="9"/>
  <c r="J97" i="10"/>
  <c r="J527" i="9"/>
  <c r="J277" i="9"/>
  <c r="J227" i="9"/>
  <c r="J176" i="9"/>
  <c r="J116" i="9"/>
  <c r="J124" i="9"/>
  <c r="J132" i="9"/>
  <c r="L132" i="9" s="1"/>
  <c r="J140" i="9"/>
  <c r="J148" i="9"/>
  <c r="L148" i="9" s="1"/>
  <c r="J73" i="9"/>
  <c r="J85" i="9"/>
  <c r="J91" i="9"/>
  <c r="J99" i="9"/>
  <c r="J107" i="9"/>
  <c r="J55" i="9"/>
  <c r="J63" i="9"/>
  <c r="J6" i="9"/>
  <c r="J14" i="9"/>
  <c r="J22" i="9"/>
  <c r="J30" i="9"/>
  <c r="L30" i="9" s="1"/>
  <c r="J38" i="9"/>
  <c r="J46" i="9"/>
  <c r="J531" i="8"/>
  <c r="J539" i="8"/>
  <c r="J547" i="8"/>
  <c r="J555" i="8"/>
  <c r="J367" i="8"/>
  <c r="J375" i="8"/>
  <c r="J383" i="8"/>
  <c r="J391" i="8"/>
  <c r="L391" i="8" s="1"/>
  <c r="J399" i="8"/>
  <c r="J407" i="8"/>
  <c r="L407" i="8" s="1"/>
  <c r="J415" i="8"/>
  <c r="L415" i="8" s="1"/>
  <c r="J423" i="8"/>
  <c r="J431" i="8"/>
  <c r="J439" i="8"/>
  <c r="J447" i="8"/>
  <c r="L447" i="8" s="1"/>
  <c r="J455" i="8"/>
  <c r="L455" i="8" s="1"/>
  <c r="J463" i="8"/>
  <c r="J471" i="8"/>
  <c r="J479" i="8"/>
  <c r="J487" i="8"/>
  <c r="J495" i="8"/>
  <c r="J503" i="8"/>
  <c r="J361" i="8"/>
  <c r="J317" i="8"/>
  <c r="J325" i="8"/>
  <c r="J333" i="8"/>
  <c r="J341" i="8"/>
  <c r="L341" i="8" s="1"/>
  <c r="J349" i="8"/>
  <c r="J292" i="8"/>
  <c r="J300" i="8"/>
  <c r="J283" i="8"/>
  <c r="J268" i="8"/>
  <c r="J276" i="8"/>
  <c r="J252" i="8"/>
  <c r="J260" i="8"/>
  <c r="J236" i="8"/>
  <c r="J242" i="8"/>
  <c r="J200" i="8"/>
  <c r="J208" i="8"/>
  <c r="J216" i="8"/>
  <c r="J224" i="8"/>
  <c r="J184" i="8"/>
  <c r="J149" i="8"/>
  <c r="J157" i="8"/>
  <c r="J165" i="8"/>
  <c r="L165" i="8" s="1"/>
  <c r="J173" i="8"/>
  <c r="L173" i="8" s="1"/>
  <c r="J115" i="8"/>
  <c r="J123" i="8"/>
  <c r="J131" i="8"/>
  <c r="L131" i="8" s="1"/>
  <c r="J139" i="8"/>
  <c r="J109" i="8"/>
  <c r="J72" i="8"/>
  <c r="L72" i="8" s="1"/>
  <c r="J77" i="8"/>
  <c r="J82" i="8"/>
  <c r="J90" i="8"/>
  <c r="L90" i="8" s="1"/>
  <c r="J98" i="8"/>
  <c r="J64" i="8"/>
  <c r="J59" i="8"/>
  <c r="J9" i="8"/>
  <c r="J17" i="8"/>
  <c r="J25" i="8"/>
  <c r="J33" i="8"/>
  <c r="L33" i="8" s="1"/>
  <c r="J41" i="8"/>
  <c r="J117" i="9"/>
  <c r="J125" i="9"/>
  <c r="J133" i="9"/>
  <c r="J141" i="9"/>
  <c r="J149" i="9"/>
  <c r="J74" i="9"/>
  <c r="J80" i="9"/>
  <c r="J86" i="9"/>
  <c r="L86" i="9" s="1"/>
  <c r="J92" i="9"/>
  <c r="J100" i="9"/>
  <c r="J108" i="9"/>
  <c r="J56" i="9"/>
  <c r="J64" i="9"/>
  <c r="J7" i="9"/>
  <c r="J15" i="9"/>
  <c r="J23" i="9"/>
  <c r="L23" i="9" s="1"/>
  <c r="J31" i="9"/>
  <c r="L31" i="9" s="1"/>
  <c r="J39" i="9"/>
  <c r="L39" i="9" s="1"/>
  <c r="J532" i="8"/>
  <c r="J540" i="8"/>
  <c r="J548" i="8"/>
  <c r="J556" i="8"/>
  <c r="J368" i="8"/>
  <c r="J376" i="8"/>
  <c r="J384" i="8"/>
  <c r="J392" i="8"/>
  <c r="J400" i="8"/>
  <c r="J408" i="8"/>
  <c r="L408" i="8" s="1"/>
  <c r="J416" i="8"/>
  <c r="J424" i="8"/>
  <c r="J432" i="8"/>
  <c r="J440" i="8"/>
  <c r="J448" i="8"/>
  <c r="J456" i="8"/>
  <c r="J464" i="8"/>
  <c r="J472" i="8"/>
  <c r="J480" i="8"/>
  <c r="J488" i="8"/>
  <c r="J496" i="8"/>
  <c r="J362" i="8"/>
  <c r="J318" i="8"/>
  <c r="J326" i="8"/>
  <c r="J334" i="8"/>
  <c r="J342" i="8"/>
  <c r="J350" i="8"/>
  <c r="J308" i="8"/>
  <c r="J293" i="8"/>
  <c r="J301" i="8"/>
  <c r="J284" i="8"/>
  <c r="J269" i="8"/>
  <c r="J263" i="8"/>
  <c r="J253" i="8"/>
  <c r="J261" i="8"/>
  <c r="J243" i="8"/>
  <c r="J201" i="8"/>
  <c r="J209" i="8"/>
  <c r="J217" i="8"/>
  <c r="J225" i="8"/>
  <c r="J185" i="8"/>
  <c r="J118" i="9"/>
  <c r="J126" i="9"/>
  <c r="J134" i="9"/>
  <c r="J142" i="9"/>
  <c r="J150" i="9"/>
  <c r="J75" i="9"/>
  <c r="J81" i="9"/>
  <c r="J93" i="9"/>
  <c r="L93" i="9" s="1"/>
  <c r="J101" i="9"/>
  <c r="L101" i="9" s="1"/>
  <c r="J109" i="9"/>
  <c r="J57" i="9"/>
  <c r="J65" i="9"/>
  <c r="J8" i="9"/>
  <c r="J16" i="9"/>
  <c r="J24" i="9"/>
  <c r="J32" i="9"/>
  <c r="L32" i="9" s="1"/>
  <c r="J40" i="9"/>
  <c r="L40" i="9" s="1"/>
  <c r="J525" i="8"/>
  <c r="J533" i="8"/>
  <c r="J541" i="8"/>
  <c r="J549" i="8"/>
  <c r="J557" i="8"/>
  <c r="J369" i="8"/>
  <c r="J377" i="8"/>
  <c r="J385" i="8"/>
  <c r="J393" i="8"/>
  <c r="L393" i="8" s="1"/>
  <c r="J401" i="8"/>
  <c r="J409" i="8"/>
  <c r="L409" i="8" s="1"/>
  <c r="J417" i="8"/>
  <c r="J425" i="8"/>
  <c r="J433" i="8"/>
  <c r="J441" i="8"/>
  <c r="J449" i="8"/>
  <c r="J457" i="8"/>
  <c r="J465" i="8"/>
  <c r="J473" i="8"/>
  <c r="J481" i="8"/>
  <c r="J489" i="8"/>
  <c r="J497" i="8"/>
  <c r="J364" i="8"/>
  <c r="J356" i="8"/>
  <c r="J319" i="8"/>
  <c r="J327" i="8"/>
  <c r="L327" i="8" s="1"/>
  <c r="J335" i="8"/>
  <c r="J343" i="8"/>
  <c r="J351" i="8"/>
  <c r="J309" i="8"/>
  <c r="J294" i="8"/>
  <c r="J302" i="8"/>
  <c r="J285" i="8"/>
  <c r="J270" i="8"/>
  <c r="J246" i="8"/>
  <c r="J254" i="8"/>
  <c r="L254" i="8" s="1"/>
  <c r="J245" i="8"/>
  <c r="J237" i="8"/>
  <c r="J231" i="8"/>
  <c r="J202" i="8"/>
  <c r="J210" i="8"/>
  <c r="J218" i="8"/>
  <c r="J226" i="8"/>
  <c r="J186" i="8"/>
  <c r="J151" i="8"/>
  <c r="J159" i="8"/>
  <c r="J167" i="8"/>
  <c r="J148" i="8"/>
  <c r="J117" i="8"/>
  <c r="J125" i="8"/>
  <c r="L125" i="8" s="1"/>
  <c r="J133" i="8"/>
  <c r="J141" i="8"/>
  <c r="J66" i="8"/>
  <c r="J73" i="8"/>
  <c r="J78" i="8"/>
  <c r="J84" i="8"/>
  <c r="L84" i="8" s="1"/>
  <c r="J92" i="8"/>
  <c r="J100" i="8"/>
  <c r="L100" i="8" s="1"/>
  <c r="J53" i="8"/>
  <c r="J51" i="8"/>
  <c r="J11" i="8"/>
  <c r="J19" i="8"/>
  <c r="J27" i="8"/>
  <c r="L27" i="8" s="1"/>
  <c r="J35" i="8"/>
  <c r="L35" i="8" s="1"/>
  <c r="J43" i="8"/>
  <c r="L43" i="8" s="1"/>
  <c r="J195" i="8"/>
  <c r="J119" i="9"/>
  <c r="J127" i="9"/>
  <c r="J135" i="9"/>
  <c r="J143" i="9"/>
  <c r="J151" i="9"/>
  <c r="J76" i="9"/>
  <c r="J82" i="9"/>
  <c r="L82" i="9" s="1"/>
  <c r="J87" i="9"/>
  <c r="J94" i="9"/>
  <c r="J102" i="9"/>
  <c r="J110" i="9"/>
  <c r="J58" i="9"/>
  <c r="L58" i="9" s="1"/>
  <c r="J66" i="9"/>
  <c r="L66" i="9" s="1"/>
  <c r="J9" i="9"/>
  <c r="J17" i="9"/>
  <c r="J25" i="9"/>
  <c r="J33" i="9"/>
  <c r="L33" i="9" s="1"/>
  <c r="J41" i="9"/>
  <c r="J526" i="8"/>
  <c r="J534" i="8"/>
  <c r="J542" i="8"/>
  <c r="J550" i="8"/>
  <c r="J558" i="8"/>
  <c r="J370" i="8"/>
  <c r="J378" i="8"/>
  <c r="J386" i="8"/>
  <c r="J394" i="8"/>
  <c r="J402" i="8"/>
  <c r="L402" i="8" s="1"/>
  <c r="J410" i="8"/>
  <c r="J418" i="8"/>
  <c r="L418" i="8" s="1"/>
  <c r="J426" i="8"/>
  <c r="J434" i="8"/>
  <c r="J442" i="8"/>
  <c r="J450" i="8"/>
  <c r="J458" i="8"/>
  <c r="J466" i="8"/>
  <c r="J474" i="8"/>
  <c r="J482" i="8"/>
  <c r="J490" i="8"/>
  <c r="J498" i="8"/>
  <c r="J357" i="8"/>
  <c r="L357" i="8" s="1"/>
  <c r="J312" i="8"/>
  <c r="J320" i="8"/>
  <c r="J328" i="8"/>
  <c r="J336" i="8"/>
  <c r="J344" i="8"/>
  <c r="J352" i="8"/>
  <c r="J304" i="8"/>
  <c r="J295" i="8"/>
  <c r="J287" i="8"/>
  <c r="J278" i="8"/>
  <c r="J271" i="8"/>
  <c r="J247" i="8"/>
  <c r="J255" i="8"/>
  <c r="J232" i="8"/>
  <c r="J238" i="8"/>
  <c r="J203" i="8"/>
  <c r="J211" i="8"/>
  <c r="L211" i="8" s="1"/>
  <c r="J219" i="8"/>
  <c r="J194" i="8"/>
  <c r="J152" i="8"/>
  <c r="J160" i="8"/>
  <c r="J120" i="9"/>
  <c r="J128" i="9"/>
  <c r="J136" i="9"/>
  <c r="L136" i="9" s="1"/>
  <c r="J144" i="9"/>
  <c r="J152" i="9"/>
  <c r="J77" i="9"/>
  <c r="J95" i="9"/>
  <c r="J103" i="9"/>
  <c r="J111" i="9"/>
  <c r="L111" i="9" s="1"/>
  <c r="J59" i="9"/>
  <c r="L59" i="9" s="1"/>
  <c r="J52" i="9"/>
  <c r="J10" i="9"/>
  <c r="J18" i="9"/>
  <c r="J26" i="9"/>
  <c r="L26" i="9" s="1"/>
  <c r="J34" i="9"/>
  <c r="L34" i="9" s="1"/>
  <c r="J42" i="9"/>
  <c r="L42" i="9" s="1"/>
  <c r="J527" i="8"/>
  <c r="J535" i="8"/>
  <c r="J543" i="8"/>
  <c r="J551" i="8"/>
  <c r="J559" i="8"/>
  <c r="J371" i="8"/>
  <c r="J379" i="8"/>
  <c r="J387" i="8"/>
  <c r="J395" i="8"/>
  <c r="J403" i="8"/>
  <c r="J411" i="8"/>
  <c r="J419" i="8"/>
  <c r="L419" i="8" s="1"/>
  <c r="J427" i="8"/>
  <c r="J435" i="8"/>
  <c r="J443" i="8"/>
  <c r="J451" i="8"/>
  <c r="J459" i="8"/>
  <c r="J467" i="8"/>
  <c r="J475" i="8"/>
  <c r="J483" i="8"/>
  <c r="J491" i="8"/>
  <c r="J499" i="8"/>
  <c r="J358" i="8"/>
  <c r="J313" i="8"/>
  <c r="L313" i="8" s="1"/>
  <c r="J321" i="8"/>
  <c r="J329" i="8"/>
  <c r="J337" i="8"/>
  <c r="J345" i="8"/>
  <c r="J311" i="8"/>
  <c r="J288" i="8"/>
  <c r="J296" i="8"/>
  <c r="J279" i="8"/>
  <c r="J264" i="8"/>
  <c r="J272" i="8"/>
  <c r="J248" i="8"/>
  <c r="J256" i="8"/>
  <c r="J239" i="8"/>
  <c r="J196" i="8"/>
  <c r="J204" i="8"/>
  <c r="L204" i="8" s="1"/>
  <c r="J212" i="8"/>
  <c r="L212" i="8" s="1"/>
  <c r="J220" i="8"/>
  <c r="J177" i="8"/>
  <c r="J188" i="8"/>
  <c r="J153" i="8"/>
  <c r="J161" i="8"/>
  <c r="J169" i="8"/>
  <c r="J121" i="9"/>
  <c r="J129" i="9"/>
  <c r="J137" i="9"/>
  <c r="L137" i="9" s="1"/>
  <c r="J145" i="9"/>
  <c r="J115" i="9"/>
  <c r="J78" i="9"/>
  <c r="L78" i="9" s="1"/>
  <c r="J83" i="9"/>
  <c r="J88" i="9"/>
  <c r="J96" i="9"/>
  <c r="L96" i="9" s="1"/>
  <c r="J104" i="9"/>
  <c r="J70" i="9"/>
  <c r="J60" i="9"/>
  <c r="J49" i="9"/>
  <c r="J11" i="9"/>
  <c r="J19" i="9"/>
  <c r="J27" i="9"/>
  <c r="L27" i="9" s="1"/>
  <c r="J35" i="9"/>
  <c r="L35" i="9" s="1"/>
  <c r="J43" i="9"/>
  <c r="L43" i="9" s="1"/>
  <c r="J528" i="8"/>
  <c r="J536" i="8"/>
  <c r="J544" i="8"/>
  <c r="J552" i="8"/>
  <c r="J524" i="8"/>
  <c r="J372" i="8"/>
  <c r="J380" i="8"/>
  <c r="J388" i="8"/>
  <c r="J396" i="8"/>
  <c r="L396" i="8" s="1"/>
  <c r="J404" i="8"/>
  <c r="L404" i="8" s="1"/>
  <c r="J412" i="8"/>
  <c r="J420" i="8"/>
  <c r="L420" i="8" s="1"/>
  <c r="J428" i="8"/>
  <c r="J436" i="8"/>
  <c r="J444" i="8"/>
  <c r="J452" i="8"/>
  <c r="L452" i="8" s="1"/>
  <c r="J460" i="8"/>
  <c r="J468" i="8"/>
  <c r="J476" i="8"/>
  <c r="J484" i="8"/>
  <c r="J492" i="8"/>
  <c r="J500" i="8"/>
  <c r="J314" i="8"/>
  <c r="J322" i="8"/>
  <c r="J330" i="8"/>
  <c r="J338" i="8"/>
  <c r="J346" i="8"/>
  <c r="J305" i="8"/>
  <c r="J289" i="8"/>
  <c r="J297" i="8"/>
  <c r="J280" i="8"/>
  <c r="J265" i="8"/>
  <c r="J273" i="8"/>
  <c r="J249" i="8"/>
  <c r="L249" i="8" s="1"/>
  <c r="J257" i="8"/>
  <c r="J233" i="8"/>
  <c r="J240" i="8"/>
  <c r="J197" i="8"/>
  <c r="J205" i="8"/>
  <c r="J213" i="8"/>
  <c r="L213" i="8" s="1"/>
  <c r="J221" i="8"/>
  <c r="J178" i="8"/>
  <c r="J189" i="8"/>
  <c r="J154" i="8"/>
  <c r="J162" i="8"/>
  <c r="J170" i="8"/>
  <c r="J123" i="9"/>
  <c r="J131" i="9"/>
  <c r="L131" i="9" s="1"/>
  <c r="J139" i="9"/>
  <c r="J147" i="9"/>
  <c r="J72" i="9"/>
  <c r="J79" i="9"/>
  <c r="J84" i="9"/>
  <c r="J90" i="9"/>
  <c r="L90" i="9" s="1"/>
  <c r="J98" i="9"/>
  <c r="J106" i="9"/>
  <c r="L106" i="9" s="1"/>
  <c r="J54" i="9"/>
  <c r="J62" i="9"/>
  <c r="J48" i="9"/>
  <c r="J13" i="9"/>
  <c r="J21" i="9"/>
  <c r="J29" i="9"/>
  <c r="L29" i="9" s="1"/>
  <c r="J37" i="9"/>
  <c r="L37" i="9" s="1"/>
  <c r="J45" i="9"/>
  <c r="L45" i="9" s="1"/>
  <c r="J530" i="8"/>
  <c r="J538" i="8"/>
  <c r="J546" i="8"/>
  <c r="J554" i="8"/>
  <c r="J366" i="8"/>
  <c r="J374" i="8"/>
  <c r="J382" i="8"/>
  <c r="J390" i="8"/>
  <c r="J398" i="8"/>
  <c r="L398" i="8" s="1"/>
  <c r="J406" i="8"/>
  <c r="J414" i="8"/>
  <c r="J422" i="8"/>
  <c r="J430" i="8"/>
  <c r="J438" i="8"/>
  <c r="J446" i="8"/>
  <c r="J454" i="8"/>
  <c r="J462" i="8"/>
  <c r="J470" i="8"/>
  <c r="J478" i="8"/>
  <c r="J486" i="8"/>
  <c r="J494" i="8"/>
  <c r="J502" i="8"/>
  <c r="J360" i="8"/>
  <c r="L360" i="8" s="1"/>
  <c r="J316" i="8"/>
  <c r="J324" i="8"/>
  <c r="J332" i="8"/>
  <c r="J340" i="8"/>
  <c r="J348" i="8"/>
  <c r="J307" i="8"/>
  <c r="J291" i="8"/>
  <c r="L291" i="8" s="1"/>
  <c r="J299" i="8"/>
  <c r="J282" i="8"/>
  <c r="J267" i="8"/>
  <c r="J275" i="8"/>
  <c r="J251" i="8"/>
  <c r="J259" i="8"/>
  <c r="L259" i="8" s="1"/>
  <c r="J235" i="8"/>
  <c r="J241" i="8"/>
  <c r="J199" i="8"/>
  <c r="J207" i="8"/>
  <c r="J215" i="8"/>
  <c r="J223" i="8"/>
  <c r="J183" i="8"/>
  <c r="J176" i="8"/>
  <c r="J156" i="8"/>
  <c r="J122" i="9"/>
  <c r="J97" i="9"/>
  <c r="J36" i="9"/>
  <c r="L36" i="9" s="1"/>
  <c r="J381" i="8"/>
  <c r="J445" i="8"/>
  <c r="L445" i="8" s="1"/>
  <c r="J290" i="8"/>
  <c r="J150" i="8"/>
  <c r="J172" i="8"/>
  <c r="J118" i="8"/>
  <c r="J128" i="8"/>
  <c r="J138" i="8"/>
  <c r="J67" i="8"/>
  <c r="J75" i="8"/>
  <c r="J93" i="8"/>
  <c r="J103" i="8"/>
  <c r="J58" i="8"/>
  <c r="L58" i="8" s="1"/>
  <c r="J12" i="8"/>
  <c r="J22" i="8"/>
  <c r="J32" i="8"/>
  <c r="L32" i="8" s="1"/>
  <c r="J44" i="8"/>
  <c r="J23" i="8"/>
  <c r="L23" i="8" s="1"/>
  <c r="J34" i="8"/>
  <c r="L34" i="8" s="1"/>
  <c r="J120" i="8"/>
  <c r="J95" i="8"/>
  <c r="L95" i="8" s="1"/>
  <c r="J36" i="8"/>
  <c r="L36" i="8" s="1"/>
  <c r="J26" i="8"/>
  <c r="L26" i="8" s="1"/>
  <c r="J5" i="8"/>
  <c r="J135" i="8"/>
  <c r="J18" i="8"/>
  <c r="J20" i="9"/>
  <c r="J187" i="8"/>
  <c r="J114" i="8"/>
  <c r="J136" i="8"/>
  <c r="J89" i="8"/>
  <c r="J8" i="8"/>
  <c r="J30" i="8"/>
  <c r="L30" i="8" s="1"/>
  <c r="J130" i="9"/>
  <c r="J105" i="9"/>
  <c r="J44" i="9"/>
  <c r="J389" i="8"/>
  <c r="J453" i="8"/>
  <c r="J359" i="8"/>
  <c r="J298" i="8"/>
  <c r="J198" i="8"/>
  <c r="J155" i="8"/>
  <c r="J174" i="8"/>
  <c r="L174" i="8" s="1"/>
  <c r="J119" i="8"/>
  <c r="J129" i="8"/>
  <c r="J140" i="8"/>
  <c r="J68" i="8"/>
  <c r="J76" i="8"/>
  <c r="L76" i="8" s="1"/>
  <c r="J83" i="8"/>
  <c r="J94" i="8"/>
  <c r="J104" i="8"/>
  <c r="J60" i="8"/>
  <c r="J13" i="8"/>
  <c r="J45" i="8"/>
  <c r="L45" i="8" s="1"/>
  <c r="J69" i="8"/>
  <c r="J105" i="8"/>
  <c r="L105" i="8" s="1"/>
  <c r="J24" i="8"/>
  <c r="J48" i="8"/>
  <c r="J88" i="8"/>
  <c r="J493" i="8"/>
  <c r="J138" i="9"/>
  <c r="J53" i="9"/>
  <c r="J529" i="8"/>
  <c r="J397" i="8"/>
  <c r="L397" i="8" s="1"/>
  <c r="J461" i="8"/>
  <c r="J315" i="8"/>
  <c r="J281" i="8"/>
  <c r="J206" i="8"/>
  <c r="L206" i="8" s="1"/>
  <c r="J158" i="8"/>
  <c r="J110" i="8"/>
  <c r="J130" i="8"/>
  <c r="L130" i="8" s="1"/>
  <c r="J142" i="8"/>
  <c r="L142" i="8" s="1"/>
  <c r="J85" i="8"/>
  <c r="J49" i="8"/>
  <c r="J14" i="8"/>
  <c r="J46" i="8"/>
  <c r="J37" i="8"/>
  <c r="L37" i="8" s="1"/>
  <c r="J124" i="8"/>
  <c r="J347" i="8"/>
  <c r="J146" i="8"/>
  <c r="J40" i="8"/>
  <c r="L40" i="8" s="1"/>
  <c r="J146" i="9"/>
  <c r="J61" i="9"/>
  <c r="J537" i="8"/>
  <c r="J405" i="8"/>
  <c r="J469" i="8"/>
  <c r="J323" i="8"/>
  <c r="J266" i="8"/>
  <c r="J214" i="8"/>
  <c r="J163" i="8"/>
  <c r="J111" i="8"/>
  <c r="J121" i="8"/>
  <c r="J132" i="8"/>
  <c r="J143" i="8"/>
  <c r="J70" i="8"/>
  <c r="J86" i="8"/>
  <c r="J96" i="8"/>
  <c r="J52" i="8"/>
  <c r="J15" i="8"/>
  <c r="J29" i="8"/>
  <c r="L29" i="8" s="1"/>
  <c r="J365" i="8"/>
  <c r="J101" i="8"/>
  <c r="J71" i="9"/>
  <c r="J50" i="9"/>
  <c r="J545" i="8"/>
  <c r="J413" i="8"/>
  <c r="L413" i="8" s="1"/>
  <c r="J477" i="8"/>
  <c r="J331" i="8"/>
  <c r="J274" i="8"/>
  <c r="J222" i="8"/>
  <c r="J164" i="8"/>
  <c r="J112" i="8"/>
  <c r="J122" i="8"/>
  <c r="J134" i="8"/>
  <c r="J144" i="8"/>
  <c r="J71" i="8"/>
  <c r="J79" i="8"/>
  <c r="J87" i="8"/>
  <c r="L87" i="8" s="1"/>
  <c r="J97" i="8"/>
  <c r="J54" i="8"/>
  <c r="J6" i="8"/>
  <c r="J16" i="8"/>
  <c r="J28" i="8"/>
  <c r="L28" i="8" s="1"/>
  <c r="J38" i="8"/>
  <c r="J130" i="2"/>
  <c r="J12" i="9"/>
  <c r="J553" i="8"/>
  <c r="J421" i="8"/>
  <c r="J485" i="8"/>
  <c r="J339" i="8"/>
  <c r="J250" i="8"/>
  <c r="J182" i="8"/>
  <c r="J166" i="8"/>
  <c r="L166" i="8" s="1"/>
  <c r="J113" i="8"/>
  <c r="J145" i="8"/>
  <c r="J80" i="8"/>
  <c r="L80" i="8" s="1"/>
  <c r="J7" i="8"/>
  <c r="J258" i="8"/>
  <c r="J168" i="8"/>
  <c r="J126" i="8"/>
  <c r="L126" i="8" s="1"/>
  <c r="J56" i="8"/>
  <c r="J20" i="8"/>
  <c r="J89" i="9"/>
  <c r="J28" i="9"/>
  <c r="L28" i="9" s="1"/>
  <c r="J373" i="8"/>
  <c r="J437" i="8"/>
  <c r="J501" i="8"/>
  <c r="J306" i="8"/>
  <c r="J234" i="8"/>
  <c r="J190" i="8"/>
  <c r="J171" i="8"/>
  <c r="J116" i="8"/>
  <c r="J127" i="8"/>
  <c r="J137" i="8"/>
  <c r="J65" i="8"/>
  <c r="J74" i="8"/>
  <c r="J81" i="8"/>
  <c r="J91" i="8"/>
  <c r="J102" i="8"/>
  <c r="J57" i="8"/>
  <c r="L57" i="8" s="1"/>
  <c r="J10" i="8"/>
  <c r="J21" i="8"/>
  <c r="J31" i="8"/>
  <c r="L31" i="8" s="1"/>
  <c r="J42" i="8"/>
  <c r="L42" i="8" s="1"/>
  <c r="J99" i="8"/>
  <c r="J55" i="8"/>
  <c r="J39" i="8"/>
  <c r="L39" i="8" s="1"/>
  <c r="J429" i="8"/>
  <c r="C7" i="13"/>
  <c r="C6" i="3"/>
  <c r="AB6" i="3"/>
  <c r="C7" i="3"/>
  <c r="AB7" i="3"/>
  <c r="J340" i="2"/>
  <c r="L340" i="2" s="1"/>
  <c r="K358" i="2" s="1"/>
  <c r="L913" i="10"/>
  <c r="L811" i="10"/>
  <c r="L587" i="10"/>
  <c r="L735" i="10"/>
  <c r="L668" i="10"/>
  <c r="L696" i="10"/>
  <c r="L585" i="10"/>
  <c r="L737" i="10"/>
  <c r="L709" i="10"/>
  <c r="L744" i="10"/>
  <c r="J467" i="10"/>
  <c r="J367" i="10"/>
  <c r="J331" i="10"/>
  <c r="L459" i="10"/>
  <c r="J399" i="10"/>
  <c r="J330" i="10"/>
  <c r="L489" i="10"/>
  <c r="J397" i="10"/>
  <c r="L343" i="10"/>
  <c r="J329" i="10"/>
  <c r="L603" i="10"/>
  <c r="L432" i="10"/>
  <c r="L927" i="10"/>
  <c r="L781" i="10"/>
  <c r="J369" i="10"/>
  <c r="L423" i="10"/>
  <c r="J333" i="10"/>
  <c r="L760" i="10"/>
  <c r="J4" i="8"/>
  <c r="L676" i="10"/>
  <c r="L415" i="10"/>
  <c r="L341" i="10"/>
  <c r="L340" i="10"/>
  <c r="L514" i="10"/>
  <c r="J394" i="2"/>
  <c r="J398" i="2"/>
  <c r="J402" i="2"/>
  <c r="J379" i="2"/>
  <c r="J385" i="2"/>
  <c r="J389" i="2"/>
  <c r="J375" i="2"/>
  <c r="J359" i="2"/>
  <c r="J363" i="2"/>
  <c r="J396" i="2"/>
  <c r="J400" i="2"/>
  <c r="J382" i="2"/>
  <c r="J387" i="2"/>
  <c r="J373" i="2"/>
  <c r="J377" i="2"/>
  <c r="J361" i="2"/>
  <c r="J365" i="2"/>
  <c r="J334" i="2"/>
  <c r="L334" i="2" s="1"/>
  <c r="J320" i="2"/>
  <c r="L320" i="2" s="1"/>
  <c r="J324" i="2"/>
  <c r="J328" i="2"/>
  <c r="L328" i="2" s="1"/>
  <c r="J333" i="2"/>
  <c r="L333" i="2" s="1"/>
  <c r="J397" i="2"/>
  <c r="J388" i="2"/>
  <c r="J372" i="2"/>
  <c r="J362" i="2"/>
  <c r="J357" i="2"/>
  <c r="J321" i="2"/>
  <c r="L321" i="2" s="1"/>
  <c r="J326" i="2"/>
  <c r="L326" i="2" s="1"/>
  <c r="J332" i="2"/>
  <c r="L332" i="2" s="1"/>
  <c r="J335" i="2"/>
  <c r="L335" i="2" s="1"/>
  <c r="J327" i="2"/>
  <c r="L327" i="2" s="1"/>
  <c r="J401" i="2"/>
  <c r="J383" i="2"/>
  <c r="J358" i="2"/>
  <c r="J318" i="2"/>
  <c r="L318" i="2" s="1"/>
  <c r="J329" i="2"/>
  <c r="L329" i="2" s="1"/>
  <c r="J386" i="2"/>
  <c r="J360" i="2"/>
  <c r="J319" i="2"/>
  <c r="L319" i="2" s="1"/>
  <c r="J330" i="2"/>
  <c r="L330" i="2" s="1"/>
  <c r="J399" i="2"/>
  <c r="J380" i="2"/>
  <c r="J390" i="2"/>
  <c r="J364" i="2"/>
  <c r="J322" i="2"/>
  <c r="L322" i="2" s="1"/>
  <c r="L317" i="2"/>
  <c r="J374" i="2"/>
  <c r="J366" i="2"/>
  <c r="J323" i="2"/>
  <c r="J395" i="2"/>
  <c r="J393" i="2"/>
  <c r="J376" i="2"/>
  <c r="J367" i="2"/>
  <c r="J325" i="2"/>
  <c r="J354" i="2"/>
  <c r="J343" i="2"/>
  <c r="J347" i="2"/>
  <c r="L347" i="2" s="1"/>
  <c r="I136" i="6" s="1"/>
  <c r="J351" i="2"/>
  <c r="L351" i="2" s="1"/>
  <c r="J339" i="2"/>
  <c r="L339" i="2" s="1"/>
  <c r="J301" i="2"/>
  <c r="L301" i="2" s="1"/>
  <c r="J293" i="2"/>
  <c r="L293" i="2" s="1"/>
  <c r="I103" i="6" s="1"/>
  <c r="J265" i="2"/>
  <c r="L265" i="2" s="1"/>
  <c r="J269" i="2"/>
  <c r="L269" i="2" s="1"/>
  <c r="J259" i="2"/>
  <c r="L259" i="2" s="1"/>
  <c r="K287" i="2" s="1"/>
  <c r="L287" i="2" s="1"/>
  <c r="J151" i="2"/>
  <c r="J146" i="2"/>
  <c r="J252" i="2"/>
  <c r="J246" i="2"/>
  <c r="J142" i="2"/>
  <c r="J138" i="2"/>
  <c r="J240" i="2"/>
  <c r="J231" i="2"/>
  <c r="J134" i="2"/>
  <c r="J219" i="2"/>
  <c r="L219" i="2" s="1"/>
  <c r="J214" i="2"/>
  <c r="L214" i="2" s="1"/>
  <c r="J345" i="2"/>
  <c r="L345" i="2" s="1"/>
  <c r="I134" i="6" s="1"/>
  <c r="J349" i="2"/>
  <c r="L349" i="2" s="1"/>
  <c r="J295" i="2"/>
  <c r="L295" i="2" s="1"/>
  <c r="I105" i="6" s="1"/>
  <c r="J303" i="2"/>
  <c r="L303" i="2" s="1"/>
  <c r="J263" i="2"/>
  <c r="L263" i="2" s="1"/>
  <c r="J149" i="2"/>
  <c r="J249" i="2"/>
  <c r="J140" i="2"/>
  <c r="J238" i="2"/>
  <c r="J229" i="2"/>
  <c r="J129" i="2"/>
  <c r="J338" i="2"/>
  <c r="J344" i="2"/>
  <c r="L344" i="2" s="1"/>
  <c r="J348" i="2"/>
  <c r="L348" i="2" s="1"/>
  <c r="J352" i="2"/>
  <c r="L352" i="2" s="1"/>
  <c r="J294" i="2"/>
  <c r="L294" i="2" s="1"/>
  <c r="I104" i="6" s="1"/>
  <c r="J298" i="2"/>
  <c r="L298" i="2" s="1"/>
  <c r="J302" i="2"/>
  <c r="L302" i="2" s="1"/>
  <c r="J292" i="2"/>
  <c r="L292" i="2" s="1"/>
  <c r="I102" i="6" s="1"/>
  <c r="J262" i="2"/>
  <c r="L262" i="2" s="1"/>
  <c r="J266" i="2"/>
  <c r="L266" i="2" s="1"/>
  <c r="J270" i="2"/>
  <c r="L270" i="2" s="1"/>
  <c r="J155" i="2"/>
  <c r="J150" i="2"/>
  <c r="J250" i="2"/>
  <c r="J245" i="2"/>
  <c r="J141" i="2"/>
  <c r="J137" i="2"/>
  <c r="J239" i="2"/>
  <c r="J234" i="2"/>
  <c r="J230" i="2"/>
  <c r="J131" i="2"/>
  <c r="J135" i="2"/>
  <c r="J218" i="2"/>
  <c r="L218" i="2" s="1"/>
  <c r="J341" i="2"/>
  <c r="J353" i="2"/>
  <c r="L353" i="2" s="1"/>
  <c r="I142" i="6" s="1"/>
  <c r="J299" i="2"/>
  <c r="L299" i="2" s="1"/>
  <c r="J291" i="2"/>
  <c r="L291" i="2" s="1"/>
  <c r="J267" i="2"/>
  <c r="L267" i="2" s="1"/>
  <c r="J261" i="2"/>
  <c r="L261" i="2" s="1"/>
  <c r="J154" i="2"/>
  <c r="J254" i="2"/>
  <c r="J244" i="2"/>
  <c r="J242" i="2"/>
  <c r="J233" i="2"/>
  <c r="J132" i="2"/>
  <c r="J342" i="2"/>
  <c r="L342" i="2" s="1"/>
  <c r="J346" i="2"/>
  <c r="L346" i="2" s="1"/>
  <c r="J350" i="2"/>
  <c r="L350" i="2" s="1"/>
  <c r="J296" i="2"/>
  <c r="L296" i="2" s="1"/>
  <c r="I106" i="6" s="1"/>
  <c r="J300" i="2"/>
  <c r="L300" i="2" s="1"/>
  <c r="J304" i="2"/>
  <c r="L304" i="2" s="1"/>
  <c r="J264" i="2"/>
  <c r="L264" i="2" s="1"/>
  <c r="J268" i="2"/>
  <c r="L268" i="2" s="1"/>
  <c r="J260" i="2"/>
  <c r="L260" i="2" s="1"/>
  <c r="K288" i="2" s="1"/>
  <c r="L288" i="2" s="1"/>
  <c r="I98" i="6" s="1"/>
  <c r="J153" i="2"/>
  <c r="J147" i="2"/>
  <c r="J253" i="2"/>
  <c r="J248" i="2"/>
  <c r="J143" i="2"/>
  <c r="J139" i="2"/>
  <c r="J241" i="2"/>
  <c r="J237" i="2"/>
  <c r="J232" i="2"/>
  <c r="J228" i="2"/>
  <c r="J133" i="2"/>
  <c r="J220" i="2"/>
  <c r="J215" i="2"/>
  <c r="L215" i="2" s="1"/>
  <c r="C6" i="13"/>
  <c r="G6" i="4"/>
  <c r="G7" i="4"/>
  <c r="J184" i="2"/>
  <c r="L184" i="2" s="1"/>
  <c r="B846" i="11"/>
  <c r="B844" i="11"/>
  <c r="B842" i="11"/>
  <c r="I97" i="6" l="1"/>
  <c r="K16" i="9"/>
  <c r="I101" i="6"/>
  <c r="N291" i="2"/>
  <c r="I118" i="6"/>
  <c r="I123" i="6"/>
  <c r="I122" i="6"/>
  <c r="I119" i="6"/>
  <c r="I121" i="6"/>
  <c r="I120" i="6"/>
  <c r="K261" i="10"/>
  <c r="K394" i="9"/>
  <c r="K388" i="8"/>
  <c r="K904" i="10"/>
  <c r="K582" i="10"/>
  <c r="CZ132" i="12"/>
  <c r="CX130" i="12"/>
  <c r="CY131" i="12"/>
  <c r="K559" i="8"/>
  <c r="L559" i="8" s="1"/>
  <c r="K164" i="8"/>
  <c r="L164" i="8" s="1"/>
  <c r="K557" i="8" s="1"/>
  <c r="L557" i="8" s="1"/>
  <c r="K558" i="8"/>
  <c r="I129" i="6"/>
  <c r="K190" i="9"/>
  <c r="L190" i="9" s="1"/>
  <c r="K188" i="9"/>
  <c r="L188" i="9" s="1"/>
  <c r="K189" i="9"/>
  <c r="L189" i="9" s="1"/>
  <c r="I135" i="6"/>
  <c r="K25" i="8"/>
  <c r="L25" i="8" s="1"/>
  <c r="K229" i="9"/>
  <c r="L229" i="9" s="1"/>
  <c r="K227" i="9"/>
  <c r="L227" i="9" s="1"/>
  <c r="K228" i="9"/>
  <c r="L228" i="9" s="1"/>
  <c r="K364" i="2"/>
  <c r="L364" i="2" s="1"/>
  <c r="K192" i="9"/>
  <c r="L192" i="9" s="1"/>
  <c r="K193" i="9"/>
  <c r="L193" i="9" s="1"/>
  <c r="K191" i="9"/>
  <c r="L191" i="9" s="1"/>
  <c r="I138" i="6"/>
  <c r="K776" i="10"/>
  <c r="L776" i="10" s="1"/>
  <c r="K366" i="2"/>
  <c r="L366" i="2" s="1"/>
  <c r="K44" i="8"/>
  <c r="L44" i="8" s="1"/>
  <c r="K346" i="8" s="1"/>
  <c r="L346" i="8" s="1"/>
  <c r="K342" i="10"/>
  <c r="L342" i="10" s="1"/>
  <c r="K339" i="10" s="1"/>
  <c r="L339" i="10" s="1"/>
  <c r="K13" i="10"/>
  <c r="L13" i="10" s="1"/>
  <c r="K664" i="10"/>
  <c r="L664" i="10" s="1"/>
  <c r="K194" i="9"/>
  <c r="L194" i="9" s="1"/>
  <c r="K150" i="9"/>
  <c r="L150" i="9" s="1"/>
  <c r="K230" i="9"/>
  <c r="L230" i="9" s="1"/>
  <c r="K44" i="9"/>
  <c r="L44" i="9" s="1"/>
  <c r="K302" i="9"/>
  <c r="L302" i="9" s="1"/>
  <c r="K46" i="9"/>
  <c r="L46" i="9" s="1"/>
  <c r="K166" i="9" s="1"/>
  <c r="L166" i="9" s="1"/>
  <c r="K565" i="9"/>
  <c r="L565" i="9" s="1"/>
  <c r="K25" i="9"/>
  <c r="L25" i="9" s="1"/>
  <c r="I139" i="6"/>
  <c r="I131" i="6"/>
  <c r="K24" i="9"/>
  <c r="L24" i="9" s="1"/>
  <c r="K364" i="9"/>
  <c r="L364" i="9" s="1"/>
  <c r="I141" i="6"/>
  <c r="K360" i="2"/>
  <c r="L360" i="2" s="1"/>
  <c r="K252" i="9" s="1"/>
  <c r="K24" i="8"/>
  <c r="L24" i="8" s="1"/>
  <c r="I128" i="6"/>
  <c r="K248" i="9"/>
  <c r="L248" i="9" s="1"/>
  <c r="K244" i="9"/>
  <c r="L244" i="9" s="1"/>
  <c r="K328" i="10"/>
  <c r="L328" i="10" s="1"/>
  <c r="K550" i="10"/>
  <c r="L550" i="10" s="1"/>
  <c r="K872" i="10"/>
  <c r="L872" i="10" s="1"/>
  <c r="K196" i="9"/>
  <c r="L196" i="9" s="1"/>
  <c r="K152" i="9"/>
  <c r="L152" i="9" s="1"/>
  <c r="K232" i="9"/>
  <c r="L232" i="9" s="1"/>
  <c r="K38" i="9"/>
  <c r="L38" i="9" s="1"/>
  <c r="K564" i="9"/>
  <c r="L564" i="9" s="1"/>
  <c r="K231" i="9"/>
  <c r="L231" i="9" s="1"/>
  <c r="K195" i="9"/>
  <c r="L195" i="9" s="1"/>
  <c r="K151" i="9"/>
  <c r="L151" i="9" s="1"/>
  <c r="K41" i="9"/>
  <c r="L41" i="9" s="1"/>
  <c r="K563" i="9"/>
  <c r="L563" i="9" s="1"/>
  <c r="K26" i="10"/>
  <c r="L26" i="10" s="1"/>
  <c r="K109" i="10" s="1"/>
  <c r="L109" i="10" s="1"/>
  <c r="K198" i="10"/>
  <c r="L198" i="10" s="1"/>
  <c r="K38" i="10"/>
  <c r="L38" i="10" s="1"/>
  <c r="K684" i="10"/>
  <c r="L684" i="10" s="1"/>
  <c r="K38" i="8"/>
  <c r="L38" i="8" s="1"/>
  <c r="K355" i="10"/>
  <c r="L355" i="10" s="1"/>
  <c r="K519" i="10"/>
  <c r="L519" i="10" s="1"/>
  <c r="K649" i="10"/>
  <c r="L649" i="10" s="1"/>
  <c r="L756" i="10"/>
  <c r="K146" i="8"/>
  <c r="L146" i="8" s="1"/>
  <c r="K190" i="8"/>
  <c r="L190" i="8" s="1"/>
  <c r="K226" i="8"/>
  <c r="L226" i="8" s="1"/>
  <c r="K656" i="10"/>
  <c r="L656" i="10" s="1"/>
  <c r="K660" i="10"/>
  <c r="L660" i="10" s="1"/>
  <c r="K658" i="10"/>
  <c r="L658" i="10" s="1"/>
  <c r="K680" i="10"/>
  <c r="L680" i="10" s="1"/>
  <c r="K659" i="10"/>
  <c r="L659" i="10" s="1"/>
  <c r="K16" i="8"/>
  <c r="L16" i="8" s="1"/>
  <c r="B982" i="11"/>
  <c r="K221" i="8"/>
  <c r="L221" i="8" s="1"/>
  <c r="K223" i="8"/>
  <c r="L223" i="8" s="1"/>
  <c r="K222" i="8"/>
  <c r="L222" i="8" s="1"/>
  <c r="K675" i="10"/>
  <c r="L675" i="10" s="1"/>
  <c r="K184" i="8"/>
  <c r="L184" i="8" s="1"/>
  <c r="K183" i="8"/>
  <c r="L183" i="8" s="1"/>
  <c r="K182" i="8"/>
  <c r="L182" i="8" s="1"/>
  <c r="K242" i="8"/>
  <c r="L242" i="8" s="1"/>
  <c r="K238" i="8"/>
  <c r="L238" i="8" s="1"/>
  <c r="K156" i="10"/>
  <c r="L156" i="10" s="1"/>
  <c r="K477" i="10"/>
  <c r="L477" i="10" s="1"/>
  <c r="K161" i="10"/>
  <c r="L161" i="10" s="1"/>
  <c r="K482" i="10"/>
  <c r="L482" i="10" s="1"/>
  <c r="K804" i="10"/>
  <c r="L804" i="10" s="1"/>
  <c r="K799" i="10"/>
  <c r="L799" i="10" s="1"/>
  <c r="K296" i="8"/>
  <c r="L296" i="8" s="1"/>
  <c r="K46" i="8"/>
  <c r="L46" i="8" s="1"/>
  <c r="L558" i="8"/>
  <c r="K353" i="10"/>
  <c r="L353" i="10" s="1"/>
  <c r="K677" i="10"/>
  <c r="L677" i="10" s="1"/>
  <c r="K841" i="10"/>
  <c r="L841" i="10" s="1"/>
  <c r="K362" i="2"/>
  <c r="L362" i="2" s="1"/>
  <c r="K270" i="9" s="1"/>
  <c r="K763" i="10"/>
  <c r="L763" i="10" s="1"/>
  <c r="K119" i="10"/>
  <c r="L119" i="10" s="1"/>
  <c r="K441" i="10"/>
  <c r="L441" i="10" s="1"/>
  <c r="K188" i="8"/>
  <c r="L188" i="8" s="1"/>
  <c r="K224" i="8"/>
  <c r="L224" i="8" s="1"/>
  <c r="K144" i="8"/>
  <c r="L144" i="8" s="1"/>
  <c r="L434" i="10"/>
  <c r="K786" i="10"/>
  <c r="L786" i="10" s="1"/>
  <c r="K765" i="10"/>
  <c r="L765" i="10" s="1"/>
  <c r="K747" i="10"/>
  <c r="L747" i="10" s="1"/>
  <c r="K785" i="10"/>
  <c r="L785" i="10" s="1"/>
  <c r="K463" i="10"/>
  <c r="L463" i="10" s="1"/>
  <c r="K358" i="8"/>
  <c r="L358" i="8" s="1"/>
  <c r="K334" i="10"/>
  <c r="L334" i="10" s="1"/>
  <c r="K338" i="10"/>
  <c r="L338" i="10" s="1"/>
  <c r="K358" i="10"/>
  <c r="L358" i="10" s="1"/>
  <c r="K337" i="10"/>
  <c r="L337" i="10" s="1"/>
  <c r="K336" i="10"/>
  <c r="L336" i="10" s="1"/>
  <c r="K464" i="10"/>
  <c r="L464" i="10" s="1"/>
  <c r="K425" i="10"/>
  <c r="L425" i="10" s="1"/>
  <c r="K443" i="10"/>
  <c r="L443" i="10" s="1"/>
  <c r="K103" i="10"/>
  <c r="L103" i="10" s="1"/>
  <c r="K121" i="10"/>
  <c r="L121" i="10" s="1"/>
  <c r="K142" i="10"/>
  <c r="L142" i="10" s="1"/>
  <c r="K225" i="8"/>
  <c r="L225" i="8" s="1"/>
  <c r="K145" i="8"/>
  <c r="L145" i="8" s="1"/>
  <c r="K189" i="8"/>
  <c r="L189" i="8" s="1"/>
  <c r="K187" i="8"/>
  <c r="L187" i="8" s="1"/>
  <c r="K185" i="8"/>
  <c r="L185" i="8" s="1"/>
  <c r="K186" i="8"/>
  <c r="L186" i="8" s="1"/>
  <c r="K764" i="10"/>
  <c r="L764" i="10" s="1"/>
  <c r="K120" i="10"/>
  <c r="L120" i="10" s="1"/>
  <c r="K442" i="10"/>
  <c r="L442" i="10" s="1"/>
  <c r="B126" i="11"/>
  <c r="K41" i="8"/>
  <c r="L41" i="8" s="1"/>
  <c r="K24" i="10"/>
  <c r="L24" i="10" s="1"/>
  <c r="K229" i="10"/>
  <c r="L229" i="10" s="1"/>
  <c r="K971" i="10"/>
  <c r="L971" i="10" s="1"/>
  <c r="I137" i="6"/>
  <c r="L338" i="2"/>
  <c r="K359" i="2"/>
  <c r="L359" i="2" s="1"/>
  <c r="I140" i="6"/>
  <c r="I133" i="6"/>
  <c r="L358" i="2"/>
  <c r="B187" i="11"/>
  <c r="K367" i="2"/>
  <c r="B893" i="11"/>
  <c r="B978" i="11"/>
  <c r="B334" i="11"/>
  <c r="B34" i="11"/>
  <c r="B843" i="11"/>
  <c r="B841" i="11"/>
  <c r="B845" i="11"/>
  <c r="I71" i="6"/>
  <c r="K354" i="2"/>
  <c r="B322" i="11"/>
  <c r="I107" i="6"/>
  <c r="I75" i="6"/>
  <c r="B321" i="11"/>
  <c r="B303" i="11"/>
  <c r="I108" i="6"/>
  <c r="I111" i="6"/>
  <c r="I70" i="6"/>
  <c r="I76" i="6"/>
  <c r="I81" i="6"/>
  <c r="I114" i="6"/>
  <c r="I74" i="6"/>
  <c r="I72" i="6"/>
  <c r="I77" i="6"/>
  <c r="I73" i="6"/>
  <c r="I69" i="6"/>
  <c r="K341" i="2"/>
  <c r="B188" i="11"/>
  <c r="B327" i="11"/>
  <c r="B890" i="11"/>
  <c r="I83" i="6"/>
  <c r="B306" i="11"/>
  <c r="B144" i="11"/>
  <c r="K343" i="2"/>
  <c r="B911" i="11"/>
  <c r="B304" i="11"/>
  <c r="B146" i="11"/>
  <c r="I80" i="6"/>
  <c r="B331" i="11"/>
  <c r="I110" i="6"/>
  <c r="B302" i="11"/>
  <c r="B892" i="11"/>
  <c r="B913" i="11"/>
  <c r="B186" i="11"/>
  <c r="I78" i="6"/>
  <c r="I109" i="6"/>
  <c r="I79" i="6"/>
  <c r="B185" i="11"/>
  <c r="B318" i="11"/>
  <c r="I113" i="6"/>
  <c r="I82" i="6"/>
  <c r="I112" i="6"/>
  <c r="B320" i="11"/>
  <c r="B879" i="11"/>
  <c r="B142" i="11"/>
  <c r="B124" i="11"/>
  <c r="B319" i="11"/>
  <c r="I84" i="6"/>
  <c r="B301" i="11"/>
  <c r="K365" i="2"/>
  <c r="K361" i="2"/>
  <c r="K363" i="2"/>
  <c r="B323" i="11"/>
  <c r="B305" i="11"/>
  <c r="B128" i="11"/>
  <c r="K278" i="9" l="1"/>
  <c r="L278" i="9" s="1"/>
  <c r="K262" i="9"/>
  <c r="L262" i="9" s="1"/>
  <c r="K289" i="9" s="1"/>
  <c r="K274" i="9"/>
  <c r="L274" i="9" s="1"/>
  <c r="K257" i="9"/>
  <c r="L257" i="9" s="1"/>
  <c r="P93" i="6"/>
  <c r="L93" i="6"/>
  <c r="P91" i="6"/>
  <c r="L91" i="6"/>
  <c r="N93" i="6"/>
  <c r="L92" i="6"/>
  <c r="N91" i="6"/>
  <c r="N90" i="6"/>
  <c r="L89" i="6"/>
  <c r="N88" i="6"/>
  <c r="P90" i="6"/>
  <c r="L90" i="6"/>
  <c r="P88" i="6"/>
  <c r="L88" i="6"/>
  <c r="J283" i="2"/>
  <c r="L283" i="2" s="1"/>
  <c r="J282" i="2"/>
  <c r="L282" i="2" s="1"/>
  <c r="L270" i="9"/>
  <c r="J279" i="2"/>
  <c r="L279" i="2" s="1"/>
  <c r="L252" i="9"/>
  <c r="K285" i="9" s="1"/>
  <c r="K335" i="10"/>
  <c r="L335" i="10" s="1"/>
  <c r="K616" i="10" s="1"/>
  <c r="L616" i="10" s="1"/>
  <c r="K327" i="10"/>
  <c r="L327" i="10" s="1"/>
  <c r="K361" i="10"/>
  <c r="L361" i="10" s="1"/>
  <c r="K356" i="8"/>
  <c r="L356" i="8" s="1"/>
  <c r="K310" i="10"/>
  <c r="L310" i="10" s="1"/>
  <c r="K753" i="10"/>
  <c r="L753" i="10" s="1"/>
  <c r="K873" i="10"/>
  <c r="L873" i="10" s="1"/>
  <c r="L16" i="9"/>
  <c r="K679" i="10"/>
  <c r="L679" i="10" s="1"/>
  <c r="K338" i="9"/>
  <c r="L338" i="9" s="1"/>
  <c r="K239" i="9"/>
  <c r="L239" i="9" s="1"/>
  <c r="K240" i="9"/>
  <c r="L240" i="9" s="1"/>
  <c r="K167" i="9"/>
  <c r="L167" i="9" s="1"/>
  <c r="K168" i="9"/>
  <c r="L168" i="9" s="1"/>
  <c r="K561" i="9"/>
  <c r="L561" i="9" s="1"/>
  <c r="K562" i="9"/>
  <c r="L562" i="9" s="1"/>
  <c r="K502" i="10"/>
  <c r="L502" i="10" s="1"/>
  <c r="K491" i="10"/>
  <c r="L491" i="10" s="1"/>
  <c r="K230" i="10"/>
  <c r="L230" i="10" s="1"/>
  <c r="K108" i="10"/>
  <c r="L108" i="10" s="1"/>
  <c r="K305" i="10" s="1"/>
  <c r="L305" i="10" s="1"/>
  <c r="K309" i="10"/>
  <c r="L309" i="10" s="1"/>
  <c r="K365" i="10"/>
  <c r="L365" i="10" s="1"/>
  <c r="K357" i="10"/>
  <c r="L357" i="10" s="1"/>
  <c r="K631" i="10"/>
  <c r="L631" i="10" s="1"/>
  <c r="K953" i="10"/>
  <c r="L953" i="10" s="1"/>
  <c r="K551" i="10"/>
  <c r="L551" i="10" s="1"/>
  <c r="K556" i="8"/>
  <c r="L556" i="8" s="1"/>
  <c r="K687" i="10"/>
  <c r="L687" i="10" s="1"/>
  <c r="K686" i="10" s="1"/>
  <c r="L686" i="10" s="1"/>
  <c r="K324" i="9"/>
  <c r="L324" i="9" s="1"/>
  <c r="K362" i="9"/>
  <c r="L362" i="9" s="1"/>
  <c r="K313" i="9"/>
  <c r="L313" i="9" s="1"/>
  <c r="K301" i="9"/>
  <c r="L301" i="9" s="1"/>
  <c r="K296" i="9"/>
  <c r="L296" i="9" s="1"/>
  <c r="K161" i="9"/>
  <c r="L161" i="9" s="1"/>
  <c r="K352" i="9"/>
  <c r="L352" i="9" s="1"/>
  <c r="K560" i="9"/>
  <c r="L560" i="9" s="1"/>
  <c r="K824" i="10"/>
  <c r="L824" i="10" s="1"/>
  <c r="K648" i="10"/>
  <c r="L648" i="10" s="1"/>
  <c r="K165" i="10"/>
  <c r="L165" i="10" s="1"/>
  <c r="K554" i="8"/>
  <c r="L554" i="8" s="1"/>
  <c r="K840" i="10"/>
  <c r="L840" i="10" s="1"/>
  <c r="K835" i="10"/>
  <c r="L835" i="10" s="1"/>
  <c r="K528" i="10"/>
  <c r="L528" i="10" s="1"/>
  <c r="K307" i="8"/>
  <c r="L307" i="8" s="1"/>
  <c r="K207" i="10"/>
  <c r="L207" i="10" s="1"/>
  <c r="K850" i="10"/>
  <c r="L850" i="10" s="1"/>
  <c r="K471" i="10"/>
  <c r="L471" i="10" s="1"/>
  <c r="K218" i="10"/>
  <c r="L218" i="10" s="1"/>
  <c r="K295" i="8"/>
  <c r="L295" i="8" s="1"/>
  <c r="K290" i="8"/>
  <c r="L290" i="8" s="1"/>
  <c r="K682" i="10"/>
  <c r="L682" i="10" s="1"/>
  <c r="K661" i="10"/>
  <c r="L661" i="10" s="1"/>
  <c r="K177" i="10"/>
  <c r="L177" i="10" s="1"/>
  <c r="K181" i="10"/>
  <c r="L181" i="10" s="1"/>
  <c r="K820" i="10"/>
  <c r="L820" i="10" s="1"/>
  <c r="K498" i="10"/>
  <c r="L498" i="10" s="1"/>
  <c r="K151" i="10"/>
  <c r="L151" i="10" s="1"/>
  <c r="K951" i="10"/>
  <c r="L951" i="10" s="1"/>
  <c r="K952" i="10"/>
  <c r="L952" i="10" s="1"/>
  <c r="K486" i="10"/>
  <c r="L486" i="10" s="1"/>
  <c r="K170" i="10"/>
  <c r="L170" i="10" s="1"/>
  <c r="K808" i="10"/>
  <c r="L808" i="10" s="1"/>
  <c r="K813" i="10"/>
  <c r="L813" i="10" s="1"/>
  <c r="K861" i="10"/>
  <c r="L861" i="10" s="1"/>
  <c r="K5" i="8"/>
  <c r="L5" i="8" s="1"/>
  <c r="K49" i="8"/>
  <c r="L49" i="8" s="1"/>
  <c r="K20" i="8"/>
  <c r="L20" i="8" s="1"/>
  <c r="K17" i="8"/>
  <c r="L17" i="8" s="1"/>
  <c r="K19" i="8"/>
  <c r="L19" i="8" s="1"/>
  <c r="K21" i="8"/>
  <c r="L21" i="8" s="1"/>
  <c r="K18" i="8"/>
  <c r="L18" i="8" s="1"/>
  <c r="B64" i="11" s="1"/>
  <c r="K357" i="2"/>
  <c r="L357" i="2" s="1"/>
  <c r="K235" i="8"/>
  <c r="L235" i="8" s="1"/>
  <c r="K150" i="10"/>
  <c r="L150" i="10" s="1"/>
  <c r="K793" i="10"/>
  <c r="L793" i="10" s="1"/>
  <c r="K234" i="8"/>
  <c r="L234" i="8" s="1"/>
  <c r="K794" i="10"/>
  <c r="L794" i="10" s="1"/>
  <c r="K472" i="10"/>
  <c r="L472" i="10" s="1"/>
  <c r="K970" i="10"/>
  <c r="L970" i="10" s="1"/>
  <c r="K922" i="10"/>
  <c r="L922" i="10" s="1"/>
  <c r="K657" i="10"/>
  <c r="L657" i="10" s="1"/>
  <c r="K935" i="10"/>
  <c r="L935" i="10" s="1"/>
  <c r="K308" i="10"/>
  <c r="L308" i="10" s="1"/>
  <c r="K360" i="10"/>
  <c r="L360" i="10" s="1"/>
  <c r="K613" i="10"/>
  <c r="L613" i="10" s="1"/>
  <c r="K318" i="8"/>
  <c r="L318" i="8" s="1"/>
  <c r="K332" i="8"/>
  <c r="L332" i="8" s="1"/>
  <c r="K431" i="10"/>
  <c r="L431" i="10" s="1"/>
  <c r="K539" i="10"/>
  <c r="L539" i="10" s="1"/>
  <c r="K192" i="10"/>
  <c r="L192" i="10" s="1"/>
  <c r="K197" i="10"/>
  <c r="L197" i="10" s="1"/>
  <c r="K629" i="10"/>
  <c r="L629" i="10" s="1"/>
  <c r="K630" i="10"/>
  <c r="L630" i="10" s="1"/>
  <c r="K555" i="8"/>
  <c r="L555" i="8" s="1"/>
  <c r="K340" i="8"/>
  <c r="L340" i="8" s="1"/>
  <c r="K345" i="8"/>
  <c r="L345" i="8" s="1"/>
  <c r="K513" i="10"/>
  <c r="L513" i="10" s="1"/>
  <c r="K518" i="10"/>
  <c r="L518" i="10" s="1"/>
  <c r="K600" i="10"/>
  <c r="L600" i="10" s="1"/>
  <c r="I127" i="6"/>
  <c r="L363" i="2"/>
  <c r="L361" i="2"/>
  <c r="L343" i="2"/>
  <c r="L365" i="2"/>
  <c r="L341" i="2"/>
  <c r="L354" i="2"/>
  <c r="L367" i="2"/>
  <c r="K512" i="8" l="1"/>
  <c r="L512" i="8" s="1"/>
  <c r="K519" i="8"/>
  <c r="L519" i="8" s="1"/>
  <c r="K513" i="8"/>
  <c r="L513" i="8" s="1"/>
  <c r="K510" i="8"/>
  <c r="L510" i="8" s="1"/>
  <c r="K516" i="8"/>
  <c r="L516" i="8" s="1"/>
  <c r="K518" i="8"/>
  <c r="L518" i="8" s="1"/>
  <c r="K508" i="8"/>
  <c r="L508" i="8" s="1"/>
  <c r="K509" i="8"/>
  <c r="L509" i="8" s="1"/>
  <c r="K514" i="8"/>
  <c r="L514" i="8" s="1"/>
  <c r="K515" i="8"/>
  <c r="L515" i="8" s="1"/>
  <c r="K505" i="8"/>
  <c r="L505" i="8" s="1"/>
  <c r="K506" i="8"/>
  <c r="L506" i="8" s="1"/>
  <c r="K517" i="8"/>
  <c r="L517" i="8" s="1"/>
  <c r="K520" i="8"/>
  <c r="L520" i="8" s="1"/>
  <c r="K504" i="8"/>
  <c r="L504" i="8" s="1"/>
  <c r="K521" i="8"/>
  <c r="L521" i="8" s="1"/>
  <c r="K511" i="8"/>
  <c r="L511" i="8" s="1"/>
  <c r="K507" i="8"/>
  <c r="L507" i="8" s="1"/>
  <c r="I89" i="6"/>
  <c r="K251" i="8"/>
  <c r="L251" i="8" s="1"/>
  <c r="K281" i="8" s="1"/>
  <c r="L281" i="8" s="1"/>
  <c r="I92" i="6"/>
  <c r="K268" i="8"/>
  <c r="L268" i="8" s="1"/>
  <c r="I93" i="6"/>
  <c r="K272" i="8"/>
  <c r="L272" i="8" s="1"/>
  <c r="J281" i="2"/>
  <c r="L281" i="2" s="1"/>
  <c r="J280" i="2"/>
  <c r="L280" i="2" s="1"/>
  <c r="J278" i="2"/>
  <c r="L278" i="2" s="1"/>
  <c r="K619" i="10"/>
  <c r="L619" i="10" s="1"/>
  <c r="K287" i="9"/>
  <c r="L287" i="9" s="1"/>
  <c r="K618" i="10"/>
  <c r="L618" i="10" s="1"/>
  <c r="K614" i="10"/>
  <c r="L614" i="10" s="1"/>
  <c r="K617" i="10"/>
  <c r="L617" i="10" s="1"/>
  <c r="K615" i="10"/>
  <c r="L615" i="10" s="1"/>
  <c r="K243" i="9"/>
  <c r="L243" i="9" s="1"/>
  <c r="K247" i="9"/>
  <c r="L247" i="9" s="1"/>
  <c r="K163" i="8"/>
  <c r="L163" i="8" s="1"/>
  <c r="K196" i="10"/>
  <c r="L196" i="10" s="1"/>
  <c r="K938" i="10"/>
  <c r="L938" i="10" s="1"/>
  <c r="K13" i="8"/>
  <c r="L13" i="8" s="1"/>
  <c r="K14" i="8"/>
  <c r="L14" i="8" s="1"/>
  <c r="K6" i="8"/>
  <c r="L6" i="8" s="1"/>
  <c r="K468" i="8" s="1"/>
  <c r="L468" i="8" s="1"/>
  <c r="K509" i="10"/>
  <c r="L509" i="10" s="1"/>
  <c r="K188" i="10"/>
  <c r="L188" i="10" s="1"/>
  <c r="K365" i="9"/>
  <c r="L365" i="9" s="1"/>
  <c r="K368" i="9" s="1"/>
  <c r="L368" i="9" s="1"/>
  <c r="K323" i="9"/>
  <c r="L323" i="9" s="1"/>
  <c r="K318" i="9"/>
  <c r="L318" i="9" s="1"/>
  <c r="K549" i="10"/>
  <c r="L549" i="10" s="1"/>
  <c r="K363" i="10"/>
  <c r="L363" i="10" s="1"/>
  <c r="K228" i="10"/>
  <c r="L228" i="10" s="1"/>
  <c r="K165" i="9"/>
  <c r="L165" i="9" s="1"/>
  <c r="K163" i="9"/>
  <c r="L163" i="9" s="1"/>
  <c r="L285" i="9"/>
  <c r="L289" i="9"/>
  <c r="I143" i="6"/>
  <c r="K517" i="10"/>
  <c r="L517" i="10" s="1"/>
  <c r="K344" i="8"/>
  <c r="L344" i="8" s="1"/>
  <c r="K364" i="10"/>
  <c r="L364" i="10" s="1"/>
  <c r="K430" i="10"/>
  <c r="L430" i="10" s="1"/>
  <c r="K627" i="10" s="1"/>
  <c r="L627" i="10" s="1"/>
  <c r="K936" i="10"/>
  <c r="L936" i="10" s="1"/>
  <c r="K307" i="10"/>
  <c r="L307" i="10" s="1"/>
  <c r="K306" i="10"/>
  <c r="L306" i="10" s="1"/>
  <c r="K10" i="8"/>
  <c r="L10" i="8" s="1"/>
  <c r="K48" i="8"/>
  <c r="L48" i="8" s="1"/>
  <c r="K831" i="10"/>
  <c r="L831" i="10" s="1"/>
  <c r="K685" i="10"/>
  <c r="L685" i="10" s="1"/>
  <c r="K294" i="8"/>
  <c r="L294" i="8" s="1"/>
  <c r="K839" i="10"/>
  <c r="L839" i="10" s="1"/>
  <c r="K351" i="9"/>
  <c r="L351" i="9" s="1"/>
  <c r="K346" i="9"/>
  <c r="L346" i="9" s="1"/>
  <c r="K501" i="9"/>
  <c r="L501" i="9" s="1"/>
  <c r="K157" i="9"/>
  <c r="L157" i="9" s="1"/>
  <c r="K507" i="9"/>
  <c r="L507" i="9" s="1"/>
  <c r="K504" i="9"/>
  <c r="L504" i="9" s="1"/>
  <c r="K300" i="9"/>
  <c r="L300" i="9" s="1"/>
  <c r="K337" i="9"/>
  <c r="L337" i="9" s="1"/>
  <c r="K332" i="9"/>
  <c r="L332" i="9" s="1"/>
  <c r="K50" i="9"/>
  <c r="L50" i="9" s="1"/>
  <c r="K5" i="9"/>
  <c r="L5" i="9" s="1"/>
  <c r="K20" i="9"/>
  <c r="L20" i="9" s="1"/>
  <c r="K21" i="9"/>
  <c r="L21" i="9" s="1"/>
  <c r="K17" i="9"/>
  <c r="L17" i="9" s="1"/>
  <c r="K18" i="9"/>
  <c r="L18" i="9" s="1"/>
  <c r="K19" i="9"/>
  <c r="L19" i="9" s="1"/>
  <c r="K871" i="10"/>
  <c r="L871" i="10" s="1"/>
  <c r="K752" i="10"/>
  <c r="L752" i="10" s="1"/>
  <c r="K359" i="8"/>
  <c r="L359" i="8" s="1"/>
  <c r="K476" i="10"/>
  <c r="L476" i="10" s="1"/>
  <c r="K798" i="10"/>
  <c r="L798" i="10" s="1"/>
  <c r="K237" i="8"/>
  <c r="L237" i="8" s="1"/>
  <c r="K155" i="10"/>
  <c r="L155" i="10" s="1"/>
  <c r="K11" i="10"/>
  <c r="L11" i="10" s="1"/>
  <c r="K440" i="8"/>
  <c r="L440" i="8" s="1"/>
  <c r="K326" i="8"/>
  <c r="L326" i="8" s="1"/>
  <c r="K331" i="8"/>
  <c r="L331" i="8" s="1"/>
  <c r="K855" i="10"/>
  <c r="L855" i="10" s="1"/>
  <c r="K860" i="10"/>
  <c r="L860" i="10" s="1"/>
  <c r="K538" i="10"/>
  <c r="L538" i="10" s="1"/>
  <c r="K533" i="10"/>
  <c r="L533" i="10" s="1"/>
  <c r="K442" i="8"/>
  <c r="L442" i="8" s="1"/>
  <c r="K312" i="8"/>
  <c r="L312" i="8" s="1"/>
  <c r="K317" i="8"/>
  <c r="L317" i="8" s="1"/>
  <c r="K7" i="8"/>
  <c r="L7" i="8" s="1"/>
  <c r="K22" i="8"/>
  <c r="L22" i="8" s="1"/>
  <c r="K465" i="8"/>
  <c r="L465" i="8" s="1"/>
  <c r="K15" i="8"/>
  <c r="L15" i="8" s="1"/>
  <c r="L167" i="8"/>
  <c r="K466" i="8"/>
  <c r="L466" i="8" s="1"/>
  <c r="I132" i="6"/>
  <c r="K481" i="10"/>
  <c r="L481" i="10" s="1"/>
  <c r="K803" i="10"/>
  <c r="L803" i="10" s="1"/>
  <c r="K160" i="10"/>
  <c r="L160" i="10" s="1"/>
  <c r="K241" i="8"/>
  <c r="L241" i="8" s="1"/>
  <c r="K8" i="8"/>
  <c r="L8" i="8" s="1"/>
  <c r="K940" i="10"/>
  <c r="L940" i="10" s="1"/>
  <c r="K939" i="10"/>
  <c r="L939" i="10" s="1"/>
  <c r="K941" i="10"/>
  <c r="L941" i="10" s="1"/>
  <c r="K937" i="10"/>
  <c r="L937" i="10" s="1"/>
  <c r="K441" i="8"/>
  <c r="L441" i="8" s="1"/>
  <c r="K11" i="8"/>
  <c r="L11" i="8" s="1"/>
  <c r="K212" i="10"/>
  <c r="L212" i="10" s="1"/>
  <c r="K217" i="10"/>
  <c r="L217" i="10" s="1"/>
  <c r="I130" i="6"/>
  <c r="B21" i="11"/>
  <c r="K521" i="9" l="1"/>
  <c r="L521" i="9" s="1"/>
  <c r="K525" i="9"/>
  <c r="L525" i="9" s="1"/>
  <c r="K527" i="9"/>
  <c r="L527" i="9" s="1"/>
  <c r="K526" i="9"/>
  <c r="L526" i="9" s="1"/>
  <c r="K522" i="9"/>
  <c r="L522" i="9" s="1"/>
  <c r="K519" i="9"/>
  <c r="L519" i="9" s="1"/>
  <c r="K523" i="9"/>
  <c r="L523" i="9" s="1"/>
  <c r="K524" i="9"/>
  <c r="L524" i="9" s="1"/>
  <c r="K520" i="9"/>
  <c r="L520" i="9" s="1"/>
  <c r="K518" i="9"/>
  <c r="L518" i="9" s="1"/>
  <c r="K512" i="9"/>
  <c r="K516" i="9"/>
  <c r="L516" i="9" s="1"/>
  <c r="K517" i="9"/>
  <c r="K510" i="9"/>
  <c r="K513" i="9"/>
  <c r="K511" i="9"/>
  <c r="K514" i="9"/>
  <c r="K515" i="9"/>
  <c r="I90" i="6"/>
  <c r="K256" i="8"/>
  <c r="L256" i="8" s="1"/>
  <c r="K283" i="8" s="1"/>
  <c r="L283" i="8" s="1"/>
  <c r="I91" i="6"/>
  <c r="K264" i="8"/>
  <c r="L264" i="8" s="1"/>
  <c r="I88" i="6"/>
  <c r="K246" i="8"/>
  <c r="L246" i="8" s="1"/>
  <c r="K279" i="8" s="1"/>
  <c r="L279" i="8" s="1"/>
  <c r="K161" i="8"/>
  <c r="L161" i="8" s="1"/>
  <c r="K157" i="8" s="1"/>
  <c r="L157" i="8" s="1"/>
  <c r="K502" i="8" s="1"/>
  <c r="L502" i="8" s="1"/>
  <c r="K160" i="8"/>
  <c r="L160" i="8" s="1"/>
  <c r="K155" i="8" s="1"/>
  <c r="K478" i="8"/>
  <c r="L478" i="8" s="1"/>
  <c r="K472" i="8"/>
  <c r="L472" i="8" s="1"/>
  <c r="K626" i="10"/>
  <c r="L626" i="10" s="1"/>
  <c r="K628" i="10"/>
  <c r="L628" i="10" s="1"/>
  <c r="K483" i="8"/>
  <c r="L483" i="8" s="1"/>
  <c r="K477" i="8"/>
  <c r="L477" i="8" s="1"/>
  <c r="K470" i="8"/>
  <c r="L470" i="8" s="1"/>
  <c r="K48" i="9"/>
  <c r="L48" i="9" s="1"/>
  <c r="K53" i="8"/>
  <c r="L53" i="8" s="1"/>
  <c r="K52" i="8"/>
  <c r="L52" i="8" s="1"/>
  <c r="K859" i="10"/>
  <c r="L859" i="10" s="1"/>
  <c r="K330" i="8"/>
  <c r="L330" i="8" s="1"/>
  <c r="K362" i="8"/>
  <c r="L362" i="8" s="1"/>
  <c r="K949" i="10"/>
  <c r="L949" i="10" s="1"/>
  <c r="K950" i="10"/>
  <c r="L950" i="10" s="1"/>
  <c r="K948" i="10"/>
  <c r="L948" i="10" s="1"/>
  <c r="K874" i="10"/>
  <c r="L874" i="10" s="1"/>
  <c r="L173" i="9"/>
  <c r="K61" i="9"/>
  <c r="L61" i="9" s="1"/>
  <c r="K11" i="9"/>
  <c r="L11" i="9" s="1"/>
  <c r="K472" i="9"/>
  <c r="L472" i="9" s="1"/>
  <c r="K8" i="9"/>
  <c r="L8" i="9" s="1"/>
  <c r="K448" i="9"/>
  <c r="L448" i="9" s="1"/>
  <c r="K15" i="9"/>
  <c r="L15" i="9" s="1"/>
  <c r="K6" i="9"/>
  <c r="L6" i="9" s="1"/>
  <c r="K490" i="9" s="1"/>
  <c r="L490" i="9" s="1"/>
  <c r="K336" i="9"/>
  <c r="L336" i="9" s="1"/>
  <c r="K350" i="9"/>
  <c r="L350" i="9" s="1"/>
  <c r="K508" i="9"/>
  <c r="L508" i="9" s="1"/>
  <c r="K505" i="9"/>
  <c r="L505" i="9" s="1"/>
  <c r="K502" i="9"/>
  <c r="L502" i="9" s="1"/>
  <c r="K506" i="9"/>
  <c r="L506" i="9" s="1"/>
  <c r="K503" i="9"/>
  <c r="L503" i="9" s="1"/>
  <c r="K509" i="9"/>
  <c r="L509" i="9" s="1"/>
  <c r="K231" i="10"/>
  <c r="L231" i="10" s="1"/>
  <c r="K234" i="10" s="1"/>
  <c r="L234" i="10" s="1"/>
  <c r="K552" i="10"/>
  <c r="L552" i="10" s="1"/>
  <c r="K322" i="9"/>
  <c r="L322" i="9" s="1"/>
  <c r="K367" i="9"/>
  <c r="L367" i="9" s="1"/>
  <c r="K216" i="10"/>
  <c r="L216" i="10" s="1"/>
  <c r="K469" i="8"/>
  <c r="L469" i="8" s="1"/>
  <c r="K475" i="8"/>
  <c r="L475" i="8" s="1"/>
  <c r="K484" i="8"/>
  <c r="L484" i="8" s="1"/>
  <c r="K481" i="8"/>
  <c r="L481" i="8" s="1"/>
  <c r="K480" i="8"/>
  <c r="L480" i="8" s="1"/>
  <c r="K316" i="8"/>
  <c r="L316" i="8" s="1"/>
  <c r="K162" i="8"/>
  <c r="L162" i="8" s="1"/>
  <c r="K476" i="8"/>
  <c r="L476" i="8" s="1"/>
  <c r="K473" i="8"/>
  <c r="L473" i="8" s="1"/>
  <c r="K537" i="10"/>
  <c r="L537" i="10" s="1"/>
  <c r="K471" i="8"/>
  <c r="L471" i="8" s="1"/>
  <c r="K474" i="8"/>
  <c r="L474" i="8" s="1"/>
  <c r="K446" i="9"/>
  <c r="L446" i="9" s="1"/>
  <c r="K13" i="9"/>
  <c r="L13" i="9" s="1"/>
  <c r="K471" i="9"/>
  <c r="L471" i="9" s="1"/>
  <c r="K22" i="9"/>
  <c r="L22" i="9" s="1"/>
  <c r="K7" i="9"/>
  <c r="L7" i="9" s="1"/>
  <c r="K10" i="9"/>
  <c r="L10" i="9" s="1"/>
  <c r="K447" i="9"/>
  <c r="L447" i="9" s="1"/>
  <c r="K14" i="9"/>
  <c r="L14" i="9" s="1"/>
  <c r="K485" i="8"/>
  <c r="L485" i="8" s="1"/>
  <c r="K482" i="8"/>
  <c r="L482" i="8" s="1"/>
  <c r="K467" i="8"/>
  <c r="L467" i="8" s="1"/>
  <c r="K479" i="8"/>
  <c r="L479" i="8" s="1"/>
  <c r="L168" i="8"/>
  <c r="K9" i="8"/>
  <c r="L9" i="8" s="1"/>
  <c r="K12" i="8"/>
  <c r="L12" i="8" s="1"/>
  <c r="K8" i="10"/>
  <c r="L8" i="10" s="1"/>
  <c r="K5" i="10"/>
  <c r="L5" i="10" s="1"/>
  <c r="K7" i="10"/>
  <c r="L7" i="10" s="1"/>
  <c r="K9" i="10"/>
  <c r="L9" i="10" s="1"/>
  <c r="K10" i="10"/>
  <c r="L10" i="10" s="1"/>
  <c r="L112" i="10"/>
  <c r="AK22" i="12"/>
  <c r="AJ21" i="12"/>
  <c r="AR21" i="12"/>
  <c r="AO22" i="12"/>
  <c r="AL23" i="12"/>
  <c r="AT23" i="12"/>
  <c r="AP23" i="12"/>
  <c r="B23" i="11"/>
  <c r="L517" i="9" l="1"/>
  <c r="R19" i="12"/>
  <c r="Q18" i="12"/>
  <c r="P17" i="12"/>
  <c r="K56" i="9"/>
  <c r="L56" i="9" s="1"/>
  <c r="K49" i="9"/>
  <c r="L49" i="9" s="1"/>
  <c r="K28" i="10" s="1"/>
  <c r="L28" i="10" s="1"/>
  <c r="K486" i="9"/>
  <c r="L486" i="9" s="1"/>
  <c r="K481" i="9"/>
  <c r="L481" i="9" s="1"/>
  <c r="K496" i="8"/>
  <c r="L496" i="8" s="1"/>
  <c r="K478" i="9"/>
  <c r="L478" i="9" s="1"/>
  <c r="K475" i="9"/>
  <c r="L475" i="9" s="1"/>
  <c r="K499" i="8"/>
  <c r="L499" i="8" s="1"/>
  <c r="K483" i="9"/>
  <c r="L483" i="9" s="1"/>
  <c r="K489" i="9"/>
  <c r="L489" i="9" s="1"/>
  <c r="K477" i="9"/>
  <c r="L477" i="9" s="1"/>
  <c r="K480" i="9"/>
  <c r="L480" i="9" s="1"/>
  <c r="K474" i="9"/>
  <c r="L474" i="9" s="1"/>
  <c r="K479" i="9"/>
  <c r="L479" i="9" s="1"/>
  <c r="K482" i="9"/>
  <c r="L482" i="9" s="1"/>
  <c r="K487" i="9"/>
  <c r="L487" i="9" s="1"/>
  <c r="K53" i="9"/>
  <c r="L53" i="9" s="1"/>
  <c r="L155" i="8"/>
  <c r="K233" i="10"/>
  <c r="L233" i="10" s="1"/>
  <c r="K36" i="10"/>
  <c r="L36" i="10" s="1"/>
  <c r="K491" i="9"/>
  <c r="L491" i="9" s="1"/>
  <c r="K473" i="9"/>
  <c r="L473" i="9" s="1"/>
  <c r="K12" i="9"/>
  <c r="L12" i="9" s="1"/>
  <c r="L174" i="9"/>
  <c r="K485" i="9"/>
  <c r="L485" i="9" s="1"/>
  <c r="K488" i="9"/>
  <c r="L488" i="9" s="1"/>
  <c r="K9" i="9"/>
  <c r="L9" i="9" s="1"/>
  <c r="K159" i="8"/>
  <c r="L159" i="8" s="1"/>
  <c r="K555" i="10"/>
  <c r="L555" i="10" s="1"/>
  <c r="K476" i="9"/>
  <c r="L476" i="9" s="1"/>
  <c r="K484" i="9"/>
  <c r="L484" i="9" s="1"/>
  <c r="K877" i="10"/>
  <c r="L877" i="10" s="1"/>
  <c r="K279" i="10"/>
  <c r="L279" i="10" s="1"/>
  <c r="K54" i="9"/>
  <c r="L54" i="9" s="1"/>
  <c r="K57" i="9"/>
  <c r="L57" i="9" s="1"/>
  <c r="K361" i="8"/>
  <c r="L361" i="8" s="1"/>
  <c r="K43" i="10"/>
  <c r="L43" i="10" s="1"/>
  <c r="K34" i="10"/>
  <c r="L34" i="10" s="1"/>
  <c r="K33" i="10"/>
  <c r="L33" i="10" s="1"/>
  <c r="K6" i="10"/>
  <c r="L6" i="10" s="1"/>
  <c r="K29" i="10"/>
  <c r="L29" i="10" s="1"/>
  <c r="K30" i="10"/>
  <c r="L30" i="10" s="1"/>
  <c r="K292" i="10"/>
  <c r="L292" i="10" s="1"/>
  <c r="AS22" i="12"/>
  <c r="AN21" i="12"/>
  <c r="BI62" i="12" l="1"/>
  <c r="BH61" i="12"/>
  <c r="BG60" i="12"/>
  <c r="K52" i="9"/>
  <c r="L52" i="9" s="1"/>
  <c r="K60" i="9"/>
  <c r="L60" i="9" s="1"/>
  <c r="K59" i="8" s="1"/>
  <c r="K554" i="10"/>
  <c r="L554" i="10" s="1"/>
  <c r="K500" i="8"/>
  <c r="L500" i="8" s="1"/>
  <c r="K503" i="8"/>
  <c r="L503" i="8" s="1"/>
  <c r="K497" i="8"/>
  <c r="L497" i="8" s="1"/>
  <c r="K876" i="10"/>
  <c r="L876" i="10" s="1"/>
  <c r="K151" i="8"/>
  <c r="L151" i="8" s="1"/>
  <c r="K501" i="8"/>
  <c r="L501" i="8" s="1"/>
  <c r="K498" i="8"/>
  <c r="L498" i="8" s="1"/>
  <c r="K495" i="8"/>
  <c r="L495" i="8" s="1"/>
  <c r="K41" i="10"/>
  <c r="L41" i="10" s="1"/>
  <c r="K42" i="10"/>
  <c r="L42" i="10" s="1"/>
  <c r="K293" i="10"/>
  <c r="L293" i="10" s="1"/>
  <c r="K295" i="10"/>
  <c r="L295" i="10" s="1"/>
  <c r="K296" i="10"/>
  <c r="L296" i="10" s="1"/>
  <c r="K298" i="10"/>
  <c r="L298" i="10" s="1"/>
  <c r="K294" i="10"/>
  <c r="L294" i="10" s="1"/>
  <c r="K297" i="10"/>
  <c r="L297" i="10" s="1"/>
  <c r="B24" i="11"/>
  <c r="L59" i="8" l="1"/>
  <c r="K56" i="8" s="1"/>
  <c r="K55" i="9"/>
  <c r="L55" i="9" s="1"/>
  <c r="B22" i="11"/>
  <c r="B848" i="11"/>
  <c r="BF20" i="12" l="1"/>
  <c r="BI23" i="12"/>
  <c r="BH22" i="12"/>
  <c r="BG21" i="12"/>
  <c r="K54" i="8"/>
  <c r="L54" i="8" s="1"/>
  <c r="K64" i="9"/>
  <c r="L64" i="9" s="1"/>
  <c r="K62" i="9" s="1"/>
  <c r="L62" i="9" s="1"/>
  <c r="B849" i="11"/>
  <c r="K60" i="8" l="1"/>
  <c r="L60" i="8" s="1"/>
  <c r="K65" i="9" s="1"/>
  <c r="L65" i="9" s="1"/>
  <c r="B847" i="11"/>
  <c r="L56" i="8" l="1"/>
  <c r="K51" i="8" s="1"/>
  <c r="L51" i="8" s="1"/>
  <c r="K55" i="8"/>
  <c r="L55" i="8" s="1"/>
  <c r="K63" i="9"/>
  <c r="L63" i="9" s="1"/>
  <c r="K37" i="10"/>
  <c r="L37" i="10" s="1"/>
  <c r="J98" i="2" l="1"/>
  <c r="L98" i="2" s="1"/>
  <c r="J95" i="2"/>
  <c r="L95" i="2" s="1"/>
  <c r="J55" i="2"/>
  <c r="J78" i="2"/>
  <c r="L78" i="2" s="1"/>
  <c r="J74" i="2"/>
  <c r="J90" i="2"/>
  <c r="L90" i="2" s="1"/>
  <c r="J89" i="2"/>
  <c r="L89" i="2" s="1"/>
  <c r="J88" i="2"/>
  <c r="L88" i="2" s="1"/>
  <c r="J94" i="2"/>
  <c r="L94" i="2" s="1"/>
  <c r="J93" i="2"/>
  <c r="L93" i="2" s="1"/>
  <c r="C5" i="3"/>
  <c r="BU2" i="3"/>
  <c r="BT64" i="3"/>
  <c r="BT161" i="3"/>
  <c r="AB5" i="3"/>
  <c r="K32" i="10"/>
  <c r="L32" i="10" s="1"/>
  <c r="J14" i="2"/>
  <c r="L14" i="2" s="1"/>
  <c r="N376" i="2" s="1"/>
  <c r="J160" i="2"/>
  <c r="L160" i="2" s="1"/>
  <c r="J65" i="2"/>
  <c r="J57" i="2"/>
  <c r="J27" i="2"/>
  <c r="L27" i="2" s="1"/>
  <c r="J16" i="2"/>
  <c r="L16" i="2" s="1"/>
  <c r="J64" i="2"/>
  <c r="J56" i="2"/>
  <c r="J25" i="2"/>
  <c r="L25" i="2" s="1"/>
  <c r="J21" i="2"/>
  <c r="L21" i="2" s="1"/>
  <c r="J70" i="2"/>
  <c r="J34" i="2"/>
  <c r="L34" i="2" s="1"/>
  <c r="J67" i="2"/>
  <c r="J32" i="2"/>
  <c r="L32" i="2" s="1"/>
  <c r="J66" i="2"/>
  <c r="J28" i="2"/>
  <c r="L28" i="2" s="1"/>
  <c r="J38" i="2"/>
  <c r="L38" i="2" s="1"/>
  <c r="J222" i="2"/>
  <c r="J73" i="2"/>
  <c r="J37" i="2"/>
  <c r="L37" i="2" s="1"/>
  <c r="J63" i="2"/>
  <c r="J68" i="2"/>
  <c r="J60" i="2"/>
  <c r="J31" i="2"/>
  <c r="L31" i="2" s="1"/>
  <c r="J50" i="2"/>
  <c r="L50" i="2" s="1"/>
  <c r="J46" i="2"/>
  <c r="L46" i="2" s="1"/>
  <c r="J29" i="2"/>
  <c r="L29" i="2" s="1"/>
  <c r="J45" i="2"/>
  <c r="L45" i="2" s="1"/>
  <c r="J22" i="2"/>
  <c r="L22" i="2" s="1"/>
  <c r="J15" i="2"/>
  <c r="L15" i="2" s="1"/>
  <c r="J59" i="2"/>
  <c r="J71" i="2"/>
  <c r="J36" i="2"/>
  <c r="L36" i="2" s="1"/>
  <c r="J24" i="2"/>
  <c r="L24" i="2" s="1"/>
  <c r="J217" i="2"/>
  <c r="J221" i="2"/>
  <c r="J23" i="2"/>
  <c r="L23" i="2" s="1"/>
  <c r="J49" i="2"/>
  <c r="L49" i="2" s="1"/>
  <c r="J52" i="2"/>
  <c r="L52" i="2" s="1"/>
  <c r="J48" i="2"/>
  <c r="L48" i="2" s="1"/>
  <c r="J35" i="2"/>
  <c r="L35" i="2" s="1"/>
  <c r="J69" i="2"/>
  <c r="J61" i="2"/>
  <c r="J33" i="2"/>
  <c r="L33" i="2" s="1"/>
  <c r="J62" i="2"/>
  <c r="J30" i="2"/>
  <c r="L30" i="2" s="1"/>
  <c r="J51" i="2"/>
  <c r="L51" i="2" s="1"/>
  <c r="J58" i="2"/>
  <c r="J53" i="2"/>
  <c r="L53" i="2" s="1"/>
  <c r="J40" i="2"/>
  <c r="L40" i="2" s="1"/>
  <c r="J39" i="2"/>
  <c r="L39" i="2" s="1"/>
  <c r="J72" i="2"/>
  <c r="L44" i="2"/>
  <c r="J26" i="2"/>
  <c r="L26" i="2" s="1"/>
  <c r="J47" i="2"/>
  <c r="L47" i="2" s="1"/>
  <c r="J213" i="2"/>
  <c r="J167" i="2"/>
  <c r="L167" i="2" s="1"/>
  <c r="J159" i="2"/>
  <c r="L159" i="2" s="1"/>
  <c r="L6" i="2"/>
  <c r="C5" i="13"/>
  <c r="G5" i="4"/>
  <c r="J181" i="2"/>
  <c r="L181" i="2" s="1"/>
  <c r="J165" i="2"/>
  <c r="L165" i="2" s="1"/>
  <c r="J185" i="2"/>
  <c r="L185" i="2" s="1"/>
  <c r="K113" i="2" l="1"/>
  <c r="L113" i="2" s="1"/>
  <c r="K112" i="2"/>
  <c r="L112" i="2" s="1"/>
  <c r="K111" i="2"/>
  <c r="L111" i="2" s="1"/>
  <c r="K110" i="2"/>
  <c r="L110" i="2" s="1"/>
  <c r="K114" i="2"/>
  <c r="L114" i="2" s="1"/>
  <c r="K115" i="2"/>
  <c r="L115" i="2" s="1"/>
  <c r="K102" i="2"/>
  <c r="L102" i="2" s="1"/>
  <c r="K103" i="2"/>
  <c r="L103" i="2" s="1"/>
  <c r="K314" i="10" s="1"/>
  <c r="K116" i="2"/>
  <c r="L116" i="2" s="1"/>
  <c r="K117" i="2"/>
  <c r="L117" i="2" s="1"/>
  <c r="K642" i="10"/>
  <c r="L642" i="10" s="1"/>
  <c r="K121" i="2"/>
  <c r="L121" i="2" s="1"/>
  <c r="K120" i="2"/>
  <c r="L120" i="2" s="1"/>
  <c r="K118" i="2"/>
  <c r="L118" i="2" s="1"/>
  <c r="K119" i="2"/>
  <c r="L119" i="2" s="1"/>
  <c r="K123" i="2"/>
  <c r="L123" i="2" s="1"/>
  <c r="K122" i="2"/>
  <c r="L122" i="2" s="1"/>
  <c r="K548" i="9"/>
  <c r="L548" i="9" s="1"/>
  <c r="K542" i="8"/>
  <c r="L542" i="8" s="1"/>
  <c r="K321" i="10"/>
  <c r="L321" i="10" s="1"/>
  <c r="K964" i="10"/>
  <c r="L964" i="10" s="1"/>
  <c r="K539" i="8"/>
  <c r="L539" i="8" s="1"/>
  <c r="K545" i="9"/>
  <c r="L545" i="9" s="1"/>
  <c r="K542" i="9"/>
  <c r="L542" i="9" s="1"/>
  <c r="K536" i="8"/>
  <c r="L536" i="8" s="1"/>
  <c r="K557" i="9"/>
  <c r="L557" i="9" s="1"/>
  <c r="K551" i="8"/>
  <c r="L551" i="8" s="1"/>
  <c r="K554" i="9"/>
  <c r="L554" i="9" s="1"/>
  <c r="K548" i="8"/>
  <c r="L548" i="8" s="1"/>
  <c r="K645" i="10"/>
  <c r="L645" i="10" s="1"/>
  <c r="K967" i="10"/>
  <c r="L967" i="10" s="1"/>
  <c r="K545" i="8"/>
  <c r="L545" i="8" s="1"/>
  <c r="K324" i="10"/>
  <c r="L324" i="10" s="1"/>
  <c r="K551" i="9"/>
  <c r="L551" i="9" s="1"/>
  <c r="K961" i="10"/>
  <c r="L961" i="10" s="1"/>
  <c r="K318" i="10"/>
  <c r="L318" i="10" s="1"/>
  <c r="K639" i="10"/>
  <c r="L639" i="10" s="1"/>
  <c r="K958" i="10"/>
  <c r="L958" i="10" s="1"/>
  <c r="K315" i="10"/>
  <c r="L315" i="10" s="1"/>
  <c r="K533" i="8"/>
  <c r="L533" i="8" s="1"/>
  <c r="K636" i="10"/>
  <c r="L636" i="10" s="1"/>
  <c r="K539" i="9"/>
  <c r="L539" i="9" s="1"/>
  <c r="K536" i="9"/>
  <c r="L536" i="9" s="1"/>
  <c r="K530" i="8"/>
  <c r="L530" i="8" s="1"/>
  <c r="K533" i="9"/>
  <c r="L533" i="9" s="1"/>
  <c r="K527" i="8"/>
  <c r="L527" i="8" s="1"/>
  <c r="K524" i="8"/>
  <c r="L524" i="8" s="1"/>
  <c r="K955" i="10"/>
  <c r="L955" i="10" s="1"/>
  <c r="K633" i="10"/>
  <c r="L633" i="10" s="1"/>
  <c r="K312" i="10"/>
  <c r="L312" i="10" s="1"/>
  <c r="K530" i="9"/>
  <c r="L530" i="9" s="1"/>
  <c r="K66" i="2"/>
  <c r="L66" i="2" s="1"/>
  <c r="K65" i="2"/>
  <c r="L65" i="2" s="1"/>
  <c r="K56" i="2"/>
  <c r="L56" i="2" s="1"/>
  <c r="K55" i="2"/>
  <c r="L55" i="2" s="1"/>
  <c r="L107" i="2"/>
  <c r="L106" i="2"/>
  <c r="K57" i="2"/>
  <c r="L57" i="2" s="1"/>
  <c r="K58" i="2"/>
  <c r="L58" i="2" s="1"/>
  <c r="L109" i="2"/>
  <c r="L108" i="2"/>
  <c r="L105" i="2"/>
  <c r="L104" i="2"/>
  <c r="K59" i="2"/>
  <c r="L59" i="2" s="1"/>
  <c r="K60" i="2"/>
  <c r="L60" i="2" s="1"/>
  <c r="K73" i="2"/>
  <c r="L73" i="2" s="1"/>
  <c r="K74" i="2"/>
  <c r="L74" i="2" s="1"/>
  <c r="K67" i="2"/>
  <c r="L67" i="2" s="1"/>
  <c r="K68" i="2"/>
  <c r="L68" i="2" s="1"/>
  <c r="K64" i="2"/>
  <c r="L64" i="2" s="1"/>
  <c r="K63" i="2"/>
  <c r="L63" i="2" s="1"/>
  <c r="K62" i="2"/>
  <c r="L62" i="2" s="1"/>
  <c r="K61" i="2"/>
  <c r="L61" i="2" s="1"/>
  <c r="K70" i="2"/>
  <c r="L70" i="2" s="1"/>
  <c r="K69" i="2"/>
  <c r="L69" i="2" s="1"/>
  <c r="K72" i="2"/>
  <c r="L72" i="2" s="1"/>
  <c r="K71" i="2"/>
  <c r="L71" i="2" s="1"/>
  <c r="K302" i="8"/>
  <c r="L302" i="8" s="1"/>
  <c r="BT162" i="3"/>
  <c r="K357" i="9"/>
  <c r="L357" i="9" s="1"/>
  <c r="K343" i="9"/>
  <c r="L343" i="9" s="1"/>
  <c r="K327" i="9"/>
  <c r="L327" i="9" s="1"/>
  <c r="K305" i="9"/>
  <c r="L305" i="9" s="1"/>
  <c r="K143" i="9"/>
  <c r="L143" i="9" s="1"/>
  <c r="K144" i="9"/>
  <c r="L144" i="9" s="1"/>
  <c r="K341" i="9"/>
  <c r="L341" i="9" s="1"/>
  <c r="K328" i="9"/>
  <c r="L328" i="9" s="1"/>
  <c r="K306" i="9"/>
  <c r="L306" i="9" s="1"/>
  <c r="K355" i="9"/>
  <c r="L355" i="9" s="1"/>
  <c r="K380" i="9"/>
  <c r="L380" i="9" s="1"/>
  <c r="K308" i="9"/>
  <c r="L308" i="9" s="1"/>
  <c r="K330" i="9"/>
  <c r="L330" i="9" s="1"/>
  <c r="K412" i="9"/>
  <c r="L412" i="9" s="1"/>
  <c r="K314" i="9"/>
  <c r="L314" i="9" s="1"/>
  <c r="K290" i="9"/>
  <c r="L290" i="9" s="1"/>
  <c r="K266" i="9"/>
  <c r="L266" i="9" s="1"/>
  <c r="K272" i="9"/>
  <c r="L272" i="9" s="1"/>
  <c r="K259" i="9"/>
  <c r="L259" i="9" s="1"/>
  <c r="K264" i="9"/>
  <c r="L264" i="9" s="1"/>
  <c r="K401" i="9"/>
  <c r="L401" i="9" s="1"/>
  <c r="K358" i="9"/>
  <c r="L358" i="9" s="1"/>
  <c r="K423" i="9"/>
  <c r="L423" i="9" s="1"/>
  <c r="K281" i="9"/>
  <c r="L281" i="9" s="1"/>
  <c r="K254" i="9"/>
  <c r="L254" i="9" s="1"/>
  <c r="K276" i="9"/>
  <c r="L276" i="9" s="1"/>
  <c r="K280" i="9"/>
  <c r="L280" i="9" s="1"/>
  <c r="K344" i="9"/>
  <c r="L344" i="9" s="1"/>
  <c r="K522" i="10"/>
  <c r="L522" i="10" s="1"/>
  <c r="K321" i="8"/>
  <c r="L321" i="8" s="1"/>
  <c r="K351" i="8"/>
  <c r="L351" i="8" s="1"/>
  <c r="K337" i="8"/>
  <c r="L337" i="8" s="1"/>
  <c r="K299" i="8"/>
  <c r="L299" i="8" s="1"/>
  <c r="K201" i="10"/>
  <c r="L201" i="10" s="1"/>
  <c r="K544" i="10"/>
  <c r="L544" i="10" s="1"/>
  <c r="K866" i="10"/>
  <c r="L866" i="10" s="1"/>
  <c r="K223" i="10"/>
  <c r="L223" i="10" s="1"/>
  <c r="K844" i="10"/>
  <c r="L844" i="10" s="1"/>
  <c r="K523" i="10"/>
  <c r="L523" i="10" s="1"/>
  <c r="K864" i="10"/>
  <c r="L864" i="10" s="1"/>
  <c r="K845" i="10"/>
  <c r="L845" i="10" s="1"/>
  <c r="K542" i="10"/>
  <c r="L542" i="10" s="1"/>
  <c r="K221" i="10"/>
  <c r="L221" i="10" s="1"/>
  <c r="K335" i="8"/>
  <c r="L335" i="8" s="1"/>
  <c r="K322" i="8"/>
  <c r="L322" i="8" s="1"/>
  <c r="K300" i="8"/>
  <c r="L300" i="8" s="1"/>
  <c r="K349" i="8"/>
  <c r="L349" i="8" s="1"/>
  <c r="K202" i="10"/>
  <c r="L202" i="10" s="1"/>
  <c r="K525" i="10"/>
  <c r="L525" i="10" s="1"/>
  <c r="K867" i="10"/>
  <c r="L867" i="10" s="1"/>
  <c r="K338" i="8"/>
  <c r="L338" i="8" s="1"/>
  <c r="K847" i="10"/>
  <c r="L847" i="10" s="1"/>
  <c r="K324" i="8"/>
  <c r="L324" i="8" s="1"/>
  <c r="K204" i="10"/>
  <c r="L204" i="10" s="1"/>
  <c r="K224" i="10"/>
  <c r="L224" i="10" s="1"/>
  <c r="K374" i="8"/>
  <c r="L374" i="8" s="1"/>
  <c r="K247" i="10"/>
  <c r="L247" i="10" s="1"/>
  <c r="K568" i="10"/>
  <c r="L568" i="10" s="1"/>
  <c r="K890" i="10"/>
  <c r="L890" i="10" s="1"/>
  <c r="K270" i="8"/>
  <c r="L270" i="8" s="1"/>
  <c r="K817" i="10"/>
  <c r="L817" i="10" s="1"/>
  <c r="K495" i="10"/>
  <c r="L495" i="10" s="1"/>
  <c r="K172" i="10"/>
  <c r="L172" i="10" s="1"/>
  <c r="K179" i="10"/>
  <c r="L179" i="10" s="1"/>
  <c r="K253" i="8"/>
  <c r="L253" i="8" s="1"/>
  <c r="K174" i="10"/>
  <c r="L174" i="10" s="1"/>
  <c r="K183" i="10"/>
  <c r="L183" i="10" s="1"/>
  <c r="K826" i="10"/>
  <c r="L826" i="10" s="1"/>
  <c r="K167" i="10"/>
  <c r="L167" i="10" s="1"/>
  <c r="K504" i="10"/>
  <c r="L504" i="10" s="1"/>
  <c r="K352" i="8"/>
  <c r="L352" i="8" s="1"/>
  <c r="K308" i="8"/>
  <c r="L308" i="8" s="1"/>
  <c r="K505" i="10"/>
  <c r="L505" i="10" s="1"/>
  <c r="K530" i="10"/>
  <c r="L530" i="10" s="1"/>
  <c r="K395" i="8"/>
  <c r="L395" i="8" s="1"/>
  <c r="K815" i="10"/>
  <c r="L815" i="10" s="1"/>
  <c r="K589" i="10"/>
  <c r="L589" i="10" s="1"/>
  <c r="K274" i="8"/>
  <c r="L274" i="8" s="1"/>
  <c r="K493" i="10"/>
  <c r="L493" i="10" s="1"/>
  <c r="K545" i="10"/>
  <c r="L545" i="10" s="1"/>
  <c r="K417" i="8"/>
  <c r="L417" i="8" s="1"/>
  <c r="K827" i="10"/>
  <c r="L827" i="10" s="1"/>
  <c r="K852" i="10"/>
  <c r="L852" i="10" s="1"/>
  <c r="K248" i="8"/>
  <c r="L248" i="8" s="1"/>
  <c r="K406" i="8"/>
  <c r="L406" i="8" s="1"/>
  <c r="K822" i="10"/>
  <c r="L822" i="10" s="1"/>
  <c r="K284" i="8"/>
  <c r="L284" i="8" s="1"/>
  <c r="K260" i="8"/>
  <c r="L260" i="8" s="1"/>
  <c r="K832" i="10"/>
  <c r="L832" i="10" s="1"/>
  <c r="K488" i="10"/>
  <c r="L488" i="10" s="1"/>
  <c r="K209" i="10"/>
  <c r="L209" i="10" s="1"/>
  <c r="K184" i="10"/>
  <c r="L184" i="10" s="1"/>
  <c r="K500" i="10"/>
  <c r="L500" i="10" s="1"/>
  <c r="K275" i="8"/>
  <c r="L275" i="8" s="1"/>
  <c r="K258" i="8"/>
  <c r="L258" i="8" s="1"/>
  <c r="K189" i="10"/>
  <c r="L189" i="10" s="1"/>
  <c r="K268" i="10"/>
  <c r="L268" i="10" s="1"/>
  <c r="K911" i="10"/>
  <c r="L911" i="10" s="1"/>
  <c r="K266" i="8"/>
  <c r="L266" i="8" s="1"/>
  <c r="K810" i="10"/>
  <c r="L810" i="10" s="1"/>
  <c r="K510" i="10"/>
  <c r="L510" i="10" s="1"/>
  <c r="K98" i="10"/>
  <c r="L98" i="10" s="1"/>
  <c r="K420" i="10"/>
  <c r="L420" i="10" s="1"/>
  <c r="K138" i="8"/>
  <c r="L138" i="8" s="1"/>
  <c r="K421" i="10"/>
  <c r="L421" i="10" s="1"/>
  <c r="K99" i="10"/>
  <c r="L99" i="10" s="1"/>
  <c r="K743" i="10"/>
  <c r="L743" i="10" s="1"/>
  <c r="K137" i="8"/>
  <c r="L137" i="8" s="1"/>
  <c r="K742" i="10"/>
  <c r="L742" i="10" s="1"/>
  <c r="L16" i="12"/>
  <c r="BC59" i="12"/>
  <c r="AR48" i="12"/>
  <c r="CI91" i="12"/>
  <c r="P20" i="12"/>
  <c r="BG63" i="12"/>
  <c r="CX106" i="12"/>
  <c r="DU129" i="12"/>
  <c r="ER152" i="12"/>
  <c r="AN44" i="12"/>
  <c r="CE87" i="12"/>
  <c r="CT102" i="12"/>
  <c r="BK67" i="12"/>
  <c r="T24" i="12"/>
  <c r="DQ125" i="12"/>
  <c r="EN148" i="12"/>
  <c r="EC137" i="12"/>
  <c r="EZ160" i="12"/>
  <c r="DF114" i="12"/>
  <c r="CA83" i="12"/>
  <c r="AJ40" i="12"/>
  <c r="AB32" i="12"/>
  <c r="BS75" i="12"/>
  <c r="BW79" i="12"/>
  <c r="EV156" i="12"/>
  <c r="AF36" i="12"/>
  <c r="DB110" i="12"/>
  <c r="DY133" i="12"/>
  <c r="X28" i="12"/>
  <c r="BO71" i="12"/>
  <c r="K395" i="2"/>
  <c r="L395" i="2" s="1"/>
  <c r="K398" i="2"/>
  <c r="L398" i="2" s="1"/>
  <c r="K372" i="2"/>
  <c r="L372" i="2" s="1"/>
  <c r="K291" i="9" s="1"/>
  <c r="L291" i="9" s="1"/>
  <c r="K402" i="2"/>
  <c r="L402" i="2" s="1"/>
  <c r="K373" i="2"/>
  <c r="L373" i="2" s="1"/>
  <c r="K397" i="2"/>
  <c r="L397" i="2" s="1"/>
  <c r="K374" i="2"/>
  <c r="L374" i="2" s="1"/>
  <c r="K376" i="2"/>
  <c r="L376" i="2" s="1"/>
  <c r="N377" i="2" s="1"/>
  <c r="K394" i="2"/>
  <c r="L394" i="2" s="1"/>
  <c r="K383" i="2"/>
  <c r="L383" i="2" s="1"/>
  <c r="K380" i="2"/>
  <c r="L380" i="2" s="1"/>
  <c r="K401" i="2"/>
  <c r="L401" i="2" s="1"/>
  <c r="K400" i="2" s="1"/>
  <c r="B385" i="11"/>
  <c r="A6" i="5"/>
  <c r="K174" i="2"/>
  <c r="K170" i="2"/>
  <c r="K180" i="2"/>
  <c r="K178" i="2"/>
  <c r="K175" i="2"/>
  <c r="K172" i="2"/>
  <c r="K173" i="2"/>
  <c r="K177" i="2"/>
  <c r="B386" i="11"/>
  <c r="B381" i="11"/>
  <c r="K171" i="2"/>
  <c r="B376" i="11"/>
  <c r="B380" i="11"/>
  <c r="B379" i="11"/>
  <c r="B378" i="11"/>
  <c r="K169" i="2"/>
  <c r="K176" i="2"/>
  <c r="K179" i="2"/>
  <c r="B384" i="11"/>
  <c r="B375" i="11"/>
  <c r="B377" i="11"/>
  <c r="B383" i="11"/>
  <c r="B719" i="11"/>
  <c r="B382" i="11"/>
  <c r="L129" i="2"/>
  <c r="AC61" i="3" s="1"/>
  <c r="L131" i="2"/>
  <c r="AC63" i="3" s="1"/>
  <c r="L146" i="2"/>
  <c r="AC82" i="3" s="1"/>
  <c r="L140" i="2"/>
  <c r="AC74" i="3" s="1"/>
  <c r="L151" i="2"/>
  <c r="AC91" i="3" s="1"/>
  <c r="L153" i="2"/>
  <c r="AC93" i="3" s="1"/>
  <c r="L132" i="2"/>
  <c r="AC64" i="3" s="1"/>
  <c r="L133" i="2"/>
  <c r="AC67" i="3" s="1"/>
  <c r="L137" i="2"/>
  <c r="AC71" i="3" s="1"/>
  <c r="L145" i="2"/>
  <c r="AC81" i="3" s="1"/>
  <c r="L155" i="2"/>
  <c r="AC97" i="3" s="1"/>
  <c r="L138" i="2"/>
  <c r="L141" i="2"/>
  <c r="AC77" i="3" s="1"/>
  <c r="L149" i="2"/>
  <c r="AC87" i="3" s="1"/>
  <c r="L143" i="2"/>
  <c r="AC79" i="3" s="1"/>
  <c r="L147" i="2"/>
  <c r="AC85" i="3" s="1"/>
  <c r="L134" i="2"/>
  <c r="AC68" i="3" s="1"/>
  <c r="L139" i="2"/>
  <c r="AC73" i="3" s="1"/>
  <c r="L150" i="2"/>
  <c r="AC88" i="3" s="1"/>
  <c r="L154" i="2"/>
  <c r="AC94" i="3" s="1"/>
  <c r="L130" i="2"/>
  <c r="AC62" i="3" s="1"/>
  <c r="L142" i="2"/>
  <c r="AC78" i="3" s="1"/>
  <c r="L135" i="2"/>
  <c r="AC69" i="3" s="1"/>
  <c r="L230" i="2"/>
  <c r="L234" i="2"/>
  <c r="L239" i="2"/>
  <c r="L244" i="2"/>
  <c r="AC32" i="3" s="1"/>
  <c r="L249" i="2"/>
  <c r="L254" i="2"/>
  <c r="L229" i="2"/>
  <c r="AC13" i="3" s="1"/>
  <c r="BV24" i="3" s="1"/>
  <c r="L233" i="2"/>
  <c r="L238" i="2"/>
  <c r="L242" i="2"/>
  <c r="L248" i="2"/>
  <c r="AC38" i="3" s="1"/>
  <c r="L253" i="2"/>
  <c r="L228" i="2"/>
  <c r="AC12" i="3" s="1"/>
  <c r="L237" i="2"/>
  <c r="AC23" i="3" s="1"/>
  <c r="BV84" i="3" s="1"/>
  <c r="L246" i="2"/>
  <c r="L231" i="2"/>
  <c r="L240" i="2"/>
  <c r="L250" i="2"/>
  <c r="L241" i="2"/>
  <c r="L236" i="2"/>
  <c r="AC22" i="3" s="1"/>
  <c r="L232" i="2"/>
  <c r="L245" i="2"/>
  <c r="L252" i="2"/>
  <c r="AC44" i="3" s="1"/>
  <c r="B760" i="11"/>
  <c r="B758" i="11"/>
  <c r="K324" i="2"/>
  <c r="K325" i="2"/>
  <c r="B224" i="11"/>
  <c r="B761" i="11"/>
  <c r="B763" i="11"/>
  <c r="B755" i="11"/>
  <c r="B756" i="11"/>
  <c r="B223" i="11"/>
  <c r="K182" i="2"/>
  <c r="B448" i="11"/>
  <c r="K166" i="2"/>
  <c r="B840" i="11"/>
  <c r="I198" i="2"/>
  <c r="J202" i="2"/>
  <c r="J196" i="2"/>
  <c r="J204" i="2"/>
  <c r="I204" i="2"/>
  <c r="I190" i="2"/>
  <c r="I200" i="2"/>
  <c r="I199" i="2"/>
  <c r="B662" i="11"/>
  <c r="J211" i="2"/>
  <c r="I193" i="2"/>
  <c r="J203" i="2"/>
  <c r="I207" i="2"/>
  <c r="I194" i="2"/>
  <c r="I202" i="2"/>
  <c r="I201" i="2"/>
  <c r="J206" i="2"/>
  <c r="J199" i="2"/>
  <c r="J188" i="2"/>
  <c r="K163" i="2" s="1"/>
  <c r="I189" i="2"/>
  <c r="I188" i="2"/>
  <c r="J162" i="2" s="1"/>
  <c r="I205" i="2"/>
  <c r="I211" i="2"/>
  <c r="I197" i="2"/>
  <c r="I206" i="2"/>
  <c r="I196" i="2"/>
  <c r="J195" i="2"/>
  <c r="J210" i="2"/>
  <c r="J207" i="2"/>
  <c r="J193" i="2"/>
  <c r="J197" i="2"/>
  <c r="J189" i="2"/>
  <c r="I209" i="2"/>
  <c r="J209" i="2"/>
  <c r="I203" i="2"/>
  <c r="I195" i="2"/>
  <c r="J198" i="2"/>
  <c r="J200" i="2"/>
  <c r="K183" i="2"/>
  <c r="J208" i="2"/>
  <c r="J201" i="2"/>
  <c r="J205" i="2"/>
  <c r="I210" i="2"/>
  <c r="J194" i="2"/>
  <c r="I208" i="2"/>
  <c r="J190" i="2"/>
  <c r="CD6" i="5" l="1"/>
  <c r="CE6" i="5"/>
  <c r="K162" i="2"/>
  <c r="L162" i="2" s="1"/>
  <c r="AC98" i="3"/>
  <c r="K962" i="10"/>
  <c r="K640" i="10"/>
  <c r="K319" i="10"/>
  <c r="K956" i="10"/>
  <c r="K313" i="10"/>
  <c r="K531" i="9"/>
  <c r="K525" i="8"/>
  <c r="K634" i="10"/>
  <c r="K534" i="8"/>
  <c r="K540" i="9"/>
  <c r="K316" i="10"/>
  <c r="K959" i="10"/>
  <c r="K637" i="10"/>
  <c r="K966" i="10"/>
  <c r="L966" i="10" s="1"/>
  <c r="K644" i="10"/>
  <c r="L644" i="10" s="1"/>
  <c r="K550" i="9"/>
  <c r="L550" i="9" s="1"/>
  <c r="K544" i="8"/>
  <c r="L544" i="8" s="1"/>
  <c r="K323" i="10"/>
  <c r="L323" i="10" s="1"/>
  <c r="K643" i="10"/>
  <c r="L643" i="10" s="1"/>
  <c r="K549" i="9"/>
  <c r="L549" i="9" s="1"/>
  <c r="K543" i="8"/>
  <c r="L543" i="8" s="1"/>
  <c r="K322" i="10"/>
  <c r="L322" i="10" s="1"/>
  <c r="K965" i="10"/>
  <c r="L965" i="10" s="1"/>
  <c r="K540" i="8"/>
  <c r="L540" i="8" s="1"/>
  <c r="K546" i="9"/>
  <c r="L546" i="9" s="1"/>
  <c r="K541" i="8"/>
  <c r="L541" i="8" s="1"/>
  <c r="K547" i="9"/>
  <c r="L547" i="9" s="1"/>
  <c r="K544" i="9"/>
  <c r="L544" i="9" s="1"/>
  <c r="K538" i="8"/>
  <c r="L538" i="8" s="1"/>
  <c r="K543" i="9"/>
  <c r="L543" i="9" s="1"/>
  <c r="K537" i="8"/>
  <c r="L537" i="8" s="1"/>
  <c r="K552" i="8"/>
  <c r="L552" i="8" s="1"/>
  <c r="K558" i="9"/>
  <c r="L558" i="9" s="1"/>
  <c r="K559" i="9"/>
  <c r="L559" i="9" s="1"/>
  <c r="K553" i="8"/>
  <c r="L553" i="8" s="1"/>
  <c r="K556" i="9"/>
  <c r="L556" i="9" s="1"/>
  <c r="K550" i="8"/>
  <c r="L550" i="8" s="1"/>
  <c r="K549" i="8"/>
  <c r="L549" i="8" s="1"/>
  <c r="K555" i="9"/>
  <c r="L555" i="9" s="1"/>
  <c r="K968" i="10"/>
  <c r="L968" i="10" s="1"/>
  <c r="K546" i="8"/>
  <c r="L546" i="8" s="1"/>
  <c r="K325" i="10"/>
  <c r="L325" i="10" s="1"/>
  <c r="K552" i="9"/>
  <c r="L552" i="9" s="1"/>
  <c r="K646" i="10"/>
  <c r="L646" i="10" s="1"/>
  <c r="K969" i="10"/>
  <c r="L969" i="10" s="1"/>
  <c r="K326" i="10"/>
  <c r="L326" i="10" s="1"/>
  <c r="K547" i="8"/>
  <c r="L547" i="8" s="1"/>
  <c r="K647" i="10"/>
  <c r="L647" i="10" s="1"/>
  <c r="K553" i="9"/>
  <c r="L553" i="9" s="1"/>
  <c r="K963" i="10"/>
  <c r="L963" i="10" s="1"/>
  <c r="K320" i="10"/>
  <c r="L320" i="10" s="1"/>
  <c r="K641" i="10"/>
  <c r="L641" i="10" s="1"/>
  <c r="K960" i="10"/>
  <c r="L960" i="10" s="1"/>
  <c r="K317" i="10"/>
  <c r="L317" i="10" s="1"/>
  <c r="K535" i="8"/>
  <c r="L535" i="8" s="1"/>
  <c r="K638" i="10"/>
  <c r="L638" i="10" s="1"/>
  <c r="K541" i="9"/>
  <c r="L541" i="9" s="1"/>
  <c r="K538" i="9"/>
  <c r="L538" i="9" s="1"/>
  <c r="K532" i="8"/>
  <c r="L532" i="8" s="1"/>
  <c r="K537" i="9"/>
  <c r="L537" i="9" s="1"/>
  <c r="K531" i="8"/>
  <c r="L531" i="8" s="1"/>
  <c r="K534" i="9"/>
  <c r="L534" i="9" s="1"/>
  <c r="K528" i="8"/>
  <c r="L528" i="8" s="1"/>
  <c r="K535" i="9"/>
  <c r="L535" i="9" s="1"/>
  <c r="K529" i="8"/>
  <c r="L529" i="8" s="1"/>
  <c r="K526" i="8"/>
  <c r="L526" i="8" s="1"/>
  <c r="K957" i="10"/>
  <c r="L957" i="10" s="1"/>
  <c r="K635" i="10"/>
  <c r="L635" i="10" s="1"/>
  <c r="L314" i="10"/>
  <c r="K532" i="9"/>
  <c r="L532" i="9" s="1"/>
  <c r="BD59" i="12"/>
  <c r="M16" i="12"/>
  <c r="CH6" i="5"/>
  <c r="CL6" i="5"/>
  <c r="CP6" i="5"/>
  <c r="CT6" i="5"/>
  <c r="CV6" i="5"/>
  <c r="CB6" i="5"/>
  <c r="CI6" i="5"/>
  <c r="CO6" i="5"/>
  <c r="CQ6" i="5"/>
  <c r="CU6" i="5"/>
  <c r="CY6" i="5"/>
  <c r="AH36" i="12"/>
  <c r="EX156" i="12"/>
  <c r="DD110" i="12"/>
  <c r="EA133" i="12"/>
  <c r="BY79" i="12"/>
  <c r="CG87" i="12"/>
  <c r="AP44" i="12"/>
  <c r="AC32" i="12"/>
  <c r="BT75" i="12"/>
  <c r="BU75" i="12"/>
  <c r="AD32" i="12"/>
  <c r="BE59" i="12"/>
  <c r="N16" i="12"/>
  <c r="ED137" i="12"/>
  <c r="FA160" i="12"/>
  <c r="CB83" i="12"/>
  <c r="DG114" i="12"/>
  <c r="AK40" i="12"/>
  <c r="Z28" i="12"/>
  <c r="BQ71" i="12"/>
  <c r="CV102" i="12"/>
  <c r="BM67" i="12"/>
  <c r="V24" i="12"/>
  <c r="DS125" i="12"/>
  <c r="EP148" i="12"/>
  <c r="R20" i="12"/>
  <c r="BI63" i="12"/>
  <c r="EE137" i="12"/>
  <c r="DH114" i="12"/>
  <c r="CC83" i="12"/>
  <c r="FB160" i="12"/>
  <c r="AL40" i="12"/>
  <c r="Y28" i="12"/>
  <c r="BP71" i="12"/>
  <c r="DR125" i="12"/>
  <c r="BL67" i="12"/>
  <c r="EO148" i="12"/>
  <c r="U24" i="12"/>
  <c r="CU102" i="12"/>
  <c r="BH63" i="12"/>
  <c r="Q20" i="12"/>
  <c r="CZ106" i="12"/>
  <c r="DW129" i="12"/>
  <c r="ET152" i="12"/>
  <c r="AS48" i="12"/>
  <c r="CJ91" i="12"/>
  <c r="DV129" i="12"/>
  <c r="ES152" i="12"/>
  <c r="CY106" i="12"/>
  <c r="AT48" i="12"/>
  <c r="CK91" i="12"/>
  <c r="DZ133" i="12"/>
  <c r="EW156" i="12"/>
  <c r="BX79" i="12"/>
  <c r="DC110" i="12"/>
  <c r="AG36" i="12"/>
  <c r="CF87" i="12"/>
  <c r="AO44" i="12"/>
  <c r="R11" i="14"/>
  <c r="S11" i="14"/>
  <c r="K286" i="9"/>
  <c r="L286" i="9" s="1"/>
  <c r="CA131" i="3"/>
  <c r="AC18" i="3"/>
  <c r="BV37" i="3" s="1"/>
  <c r="AC29" i="3"/>
  <c r="CB95" i="3" s="1"/>
  <c r="AC28" i="3"/>
  <c r="BV97" i="3" s="1"/>
  <c r="AC36" i="3"/>
  <c r="BR153" i="3" s="1"/>
  <c r="BU131" i="3"/>
  <c r="AC24" i="3"/>
  <c r="BS85" i="3" s="1"/>
  <c r="AC39" i="3"/>
  <c r="BU140" i="3" s="1"/>
  <c r="AC25" i="3"/>
  <c r="BP86" i="3" s="1"/>
  <c r="AC14" i="3"/>
  <c r="L400" i="2"/>
  <c r="K307" i="9"/>
  <c r="L307" i="9" s="1"/>
  <c r="K303" i="9" s="1"/>
  <c r="L303" i="9" s="1"/>
  <c r="K329" i="9"/>
  <c r="L329" i="9" s="1"/>
  <c r="K321" i="9" s="1"/>
  <c r="L321" i="9" s="1"/>
  <c r="K356" i="9"/>
  <c r="L356" i="9" s="1"/>
  <c r="K349" i="9" s="1"/>
  <c r="L349" i="9" s="1"/>
  <c r="K342" i="9"/>
  <c r="L342" i="9" s="1"/>
  <c r="K335" i="9" s="1"/>
  <c r="L335" i="9" s="1"/>
  <c r="K377" i="2"/>
  <c r="L377" i="2" s="1"/>
  <c r="K843" i="10"/>
  <c r="L843" i="10" s="1"/>
  <c r="K304" i="9"/>
  <c r="L304" i="9" s="1"/>
  <c r="K315" i="9"/>
  <c r="L315" i="9" s="1"/>
  <c r="K312" i="9" s="1"/>
  <c r="L312" i="9" s="1"/>
  <c r="K267" i="9"/>
  <c r="L267" i="9" s="1"/>
  <c r="K258" i="9" s="1"/>
  <c r="L258" i="9" s="1"/>
  <c r="K284" i="9"/>
  <c r="L284" i="9" s="1"/>
  <c r="K288" i="9"/>
  <c r="L288" i="9" s="1"/>
  <c r="AC33" i="3"/>
  <c r="BO140" i="3" s="1"/>
  <c r="BP73" i="3"/>
  <c r="AC42" i="3"/>
  <c r="BX153" i="3" s="1"/>
  <c r="AC15" i="3"/>
  <c r="BP26" i="3" s="1"/>
  <c r="AC45" i="3"/>
  <c r="CA140" i="3" s="1"/>
  <c r="AC30" i="3"/>
  <c r="BZ96" i="3" s="1"/>
  <c r="AC19" i="3"/>
  <c r="CB35" i="3" s="1"/>
  <c r="AC48" i="3"/>
  <c r="CD153" i="3" s="1"/>
  <c r="BO131" i="3"/>
  <c r="AC20" i="3"/>
  <c r="BZ36" i="3" s="1"/>
  <c r="K375" i="2"/>
  <c r="L375" i="2" s="1"/>
  <c r="K367" i="8"/>
  <c r="L367" i="8" s="1"/>
  <c r="K372" i="9"/>
  <c r="L372" i="9" s="1"/>
  <c r="K853" i="10"/>
  <c r="L853" i="10" s="1"/>
  <c r="K849" i="10" s="1"/>
  <c r="L849" i="10" s="1"/>
  <c r="K493" i="9"/>
  <c r="L493" i="9" s="1"/>
  <c r="K492" i="9"/>
  <c r="L492" i="9" s="1"/>
  <c r="K494" i="9"/>
  <c r="L494" i="9" s="1"/>
  <c r="K298" i="8"/>
  <c r="L298" i="8" s="1"/>
  <c r="K320" i="8"/>
  <c r="L320" i="8" s="1"/>
  <c r="K326" i="9"/>
  <c r="L326" i="9" s="1"/>
  <c r="K354" i="9"/>
  <c r="L354" i="9" s="1"/>
  <c r="K282" i="9"/>
  <c r="L282" i="9" s="1"/>
  <c r="K340" i="9"/>
  <c r="L340" i="9" s="1"/>
  <c r="K373" i="9"/>
  <c r="L373" i="9" s="1"/>
  <c r="K882" i="10"/>
  <c r="L882" i="10" s="1"/>
  <c r="K560" i="10"/>
  <c r="L560" i="10" s="1"/>
  <c r="K175" i="10"/>
  <c r="L175" i="10" s="1"/>
  <c r="K818" i="10"/>
  <c r="L818" i="10" s="1"/>
  <c r="K809" i="10" s="1"/>
  <c r="L809" i="10" s="1"/>
  <c r="K865" i="10"/>
  <c r="L865" i="10" s="1"/>
  <c r="K858" i="10" s="1"/>
  <c r="L858" i="10" s="1"/>
  <c r="K222" i="10"/>
  <c r="L222" i="10" s="1"/>
  <c r="K219" i="10" s="1"/>
  <c r="L219" i="10" s="1"/>
  <c r="K524" i="10"/>
  <c r="L524" i="10" s="1"/>
  <c r="K520" i="10" s="1"/>
  <c r="L520" i="10" s="1"/>
  <c r="K846" i="10"/>
  <c r="L846" i="10" s="1"/>
  <c r="K203" i="10"/>
  <c r="L203" i="10" s="1"/>
  <c r="K543" i="10"/>
  <c r="L543" i="10" s="1"/>
  <c r="K536" i="10" s="1"/>
  <c r="L536" i="10" s="1"/>
  <c r="K239" i="10"/>
  <c r="L239" i="10" s="1"/>
  <c r="K309" i="8"/>
  <c r="L309" i="8" s="1"/>
  <c r="K511" i="10"/>
  <c r="L511" i="10" s="1"/>
  <c r="K200" i="10"/>
  <c r="L200" i="10" s="1"/>
  <c r="K541" i="10"/>
  <c r="L541" i="10" s="1"/>
  <c r="K334" i="8"/>
  <c r="L334" i="8" s="1"/>
  <c r="K210" i="10"/>
  <c r="L210" i="10" s="1"/>
  <c r="K220" i="10"/>
  <c r="L220" i="10" s="1"/>
  <c r="K496" i="10"/>
  <c r="L496" i="10" s="1"/>
  <c r="K828" i="10"/>
  <c r="L828" i="10" s="1"/>
  <c r="K285" i="8"/>
  <c r="L285" i="8" s="1"/>
  <c r="K282" i="8" s="1"/>
  <c r="L282" i="8" s="1"/>
  <c r="K185" i="10"/>
  <c r="L185" i="10" s="1"/>
  <c r="K487" i="8"/>
  <c r="L487" i="8" s="1"/>
  <c r="K488" i="8"/>
  <c r="L488" i="8" s="1"/>
  <c r="K299" i="10"/>
  <c r="L299" i="10" s="1"/>
  <c r="K302" i="10"/>
  <c r="L302" i="10" s="1"/>
  <c r="K945" i="10"/>
  <c r="L945" i="10" s="1"/>
  <c r="K942" i="10"/>
  <c r="L942" i="10" s="1"/>
  <c r="K623" i="10"/>
  <c r="L623" i="10" s="1"/>
  <c r="K620" i="10"/>
  <c r="L620" i="10" s="1"/>
  <c r="K486" i="8"/>
  <c r="L486" i="8" s="1"/>
  <c r="L29" i="12" s="1"/>
  <c r="K348" i="8"/>
  <c r="L348" i="8" s="1"/>
  <c r="K531" i="10"/>
  <c r="L531" i="10" s="1"/>
  <c r="K833" i="10"/>
  <c r="L833" i="10" s="1"/>
  <c r="K506" i="10"/>
  <c r="L506" i="10" s="1"/>
  <c r="K366" i="8"/>
  <c r="L366" i="8" s="1"/>
  <c r="K238" i="10"/>
  <c r="L238" i="10" s="1"/>
  <c r="K559" i="10"/>
  <c r="L559" i="10" s="1"/>
  <c r="K881" i="10"/>
  <c r="L881" i="10" s="1"/>
  <c r="K521" i="10"/>
  <c r="L521" i="10" s="1"/>
  <c r="K863" i="10"/>
  <c r="L863" i="10" s="1"/>
  <c r="K301" i="8"/>
  <c r="L301" i="8" s="1"/>
  <c r="K323" i="8"/>
  <c r="L323" i="8" s="1"/>
  <c r="K336" i="8"/>
  <c r="L336" i="8" s="1"/>
  <c r="K350" i="8"/>
  <c r="L350" i="8" s="1"/>
  <c r="K276" i="8"/>
  <c r="L276" i="8" s="1"/>
  <c r="K261" i="8"/>
  <c r="L261" i="8" s="1"/>
  <c r="K190" i="10"/>
  <c r="L190" i="10" s="1"/>
  <c r="K396" i="2"/>
  <c r="L396" i="2" s="1"/>
  <c r="K393" i="2"/>
  <c r="L393" i="2" s="1"/>
  <c r="J183" i="2"/>
  <c r="L183" i="2" s="1"/>
  <c r="L325" i="2"/>
  <c r="L324" i="2"/>
  <c r="L323" i="2"/>
  <c r="J179" i="2"/>
  <c r="L179" i="2" s="1"/>
  <c r="J169" i="2"/>
  <c r="L169" i="2" s="1"/>
  <c r="J171" i="2"/>
  <c r="L171" i="2" s="1"/>
  <c r="J173" i="2"/>
  <c r="L173" i="2" s="1"/>
  <c r="J175" i="2"/>
  <c r="L175" i="2" s="1"/>
  <c r="J180" i="2"/>
  <c r="L180" i="2" s="1"/>
  <c r="J174" i="2"/>
  <c r="L174" i="2" s="1"/>
  <c r="J166" i="2"/>
  <c r="L166" i="2" s="1"/>
  <c r="J182" i="2"/>
  <c r="L182" i="2" s="1"/>
  <c r="J176" i="2"/>
  <c r="L176" i="2" s="1"/>
  <c r="J177" i="2"/>
  <c r="L177" i="2" s="1"/>
  <c r="J172" i="2"/>
  <c r="L172" i="2" s="1"/>
  <c r="J178" i="2"/>
  <c r="L178" i="2" s="1"/>
  <c r="J170" i="2"/>
  <c r="L170" i="2" s="1"/>
  <c r="Q6" i="5"/>
  <c r="S6" i="5"/>
  <c r="U6" i="5"/>
  <c r="W6" i="5"/>
  <c r="Y6" i="5"/>
  <c r="AA6" i="5"/>
  <c r="AC6" i="5"/>
  <c r="AE6" i="5"/>
  <c r="AG6" i="5"/>
  <c r="AI6" i="5"/>
  <c r="AK6" i="5"/>
  <c r="AM6" i="5"/>
  <c r="AO6" i="5"/>
  <c r="AQ6" i="5"/>
  <c r="AS6" i="5"/>
  <c r="AU6" i="5"/>
  <c r="AW6" i="5"/>
  <c r="AY6" i="5"/>
  <c r="BA6" i="5"/>
  <c r="BC6" i="5"/>
  <c r="BE6" i="5"/>
  <c r="BG6" i="5"/>
  <c r="BI6" i="5"/>
  <c r="BK6" i="5"/>
  <c r="BM6" i="5"/>
  <c r="BO6" i="5"/>
  <c r="BQ6" i="5"/>
  <c r="BS6" i="5"/>
  <c r="BU6" i="5"/>
  <c r="BW6" i="5"/>
  <c r="BY6" i="5"/>
  <c r="CA6" i="5"/>
  <c r="CC6" i="5"/>
  <c r="C6" i="5"/>
  <c r="E6" i="5"/>
  <c r="G6" i="5"/>
  <c r="I6" i="5"/>
  <c r="K6" i="5"/>
  <c r="M6" i="5"/>
  <c r="O6" i="5"/>
  <c r="P6" i="5"/>
  <c r="R6" i="5"/>
  <c r="T6" i="5"/>
  <c r="V6" i="5"/>
  <c r="X6" i="5"/>
  <c r="Z6" i="5"/>
  <c r="AB6" i="5"/>
  <c r="AD6" i="5"/>
  <c r="AF6" i="5"/>
  <c r="AH6" i="5"/>
  <c r="AJ6" i="5"/>
  <c r="AL6" i="5"/>
  <c r="AN6" i="5"/>
  <c r="AP6" i="5"/>
  <c r="AR6" i="5"/>
  <c r="AT6" i="5"/>
  <c r="AV6" i="5"/>
  <c r="AX6" i="5"/>
  <c r="AZ6" i="5"/>
  <c r="BB6" i="5"/>
  <c r="BD6" i="5"/>
  <c r="BF6" i="5"/>
  <c r="BH6" i="5"/>
  <c r="BJ6" i="5"/>
  <c r="BL6" i="5"/>
  <c r="BN6" i="5"/>
  <c r="BP6" i="5"/>
  <c r="BR6" i="5"/>
  <c r="BT6" i="5"/>
  <c r="BV6" i="5"/>
  <c r="BX6" i="5"/>
  <c r="BZ6" i="5"/>
  <c r="D6" i="5"/>
  <c r="F6" i="5"/>
  <c r="H6" i="5"/>
  <c r="J6" i="5"/>
  <c r="L6" i="5"/>
  <c r="N6" i="5"/>
  <c r="B6" i="5"/>
  <c r="B720" i="11"/>
  <c r="B593" i="11"/>
  <c r="I14" i="6"/>
  <c r="AR5" i="12"/>
  <c r="AR335" i="12" s="1"/>
  <c r="I9" i="6"/>
  <c r="L5" i="12"/>
  <c r="L335" i="12" s="1"/>
  <c r="I29" i="6"/>
  <c r="DQ5" i="12"/>
  <c r="DQ335" i="12" s="1"/>
  <c r="I13" i="6"/>
  <c r="AN5" i="12"/>
  <c r="AN335" i="12" s="1"/>
  <c r="I22" i="6"/>
  <c r="CI5" i="12"/>
  <c r="CI335" i="12" s="1"/>
  <c r="I20" i="6"/>
  <c r="CA5" i="12"/>
  <c r="CA335" i="12" s="1"/>
  <c r="I34" i="6"/>
  <c r="EZ5" i="12"/>
  <c r="EZ335" i="12" s="1"/>
  <c r="I16" i="6"/>
  <c r="AV5" i="12"/>
  <c r="AV335" i="12" s="1"/>
  <c r="I11" i="6"/>
  <c r="T5" i="12"/>
  <c r="T335" i="12" s="1"/>
  <c r="I30" i="6"/>
  <c r="EC5" i="12"/>
  <c r="EC335" i="12" s="1"/>
  <c r="I25" i="6"/>
  <c r="CT5" i="12"/>
  <c r="CT335" i="12" s="1"/>
  <c r="I8" i="6"/>
  <c r="E5" i="12"/>
  <c r="E335" i="12" s="1"/>
  <c r="I21" i="6"/>
  <c r="CE5" i="12"/>
  <c r="CE335" i="12" s="1"/>
  <c r="I33" i="6"/>
  <c r="EN5" i="12"/>
  <c r="EN335" i="12" s="1"/>
  <c r="I18" i="6"/>
  <c r="BG5" i="12"/>
  <c r="BG335" i="12" s="1"/>
  <c r="I26" i="6"/>
  <c r="DF5" i="12"/>
  <c r="DF335" i="12" s="1"/>
  <c r="I28" i="6"/>
  <c r="DJ5" i="12"/>
  <c r="DJ335" i="12" s="1"/>
  <c r="I17" i="6"/>
  <c r="BC5" i="12"/>
  <c r="BC335" i="12" s="1"/>
  <c r="I24" i="6"/>
  <c r="CM5" i="12"/>
  <c r="CM335" i="12" s="1"/>
  <c r="I12" i="6"/>
  <c r="AJ5" i="12"/>
  <c r="AJ335" i="12" s="1"/>
  <c r="I32" i="6"/>
  <c r="EG5" i="12"/>
  <c r="EG335" i="12" s="1"/>
  <c r="I19" i="6"/>
  <c r="BK5" i="12"/>
  <c r="BK335" i="12" s="1"/>
  <c r="I10" i="6"/>
  <c r="P5" i="12"/>
  <c r="P335" i="12" s="1"/>
  <c r="CS5" i="12"/>
  <c r="CS335" i="12" s="1"/>
  <c r="I55" i="6"/>
  <c r="DE5" i="12"/>
  <c r="DE335" i="12" s="1"/>
  <c r="I56" i="6"/>
  <c r="EM5" i="12"/>
  <c r="EM335" i="12" s="1"/>
  <c r="I63" i="6"/>
  <c r="AM5" i="12"/>
  <c r="I43" i="6"/>
  <c r="CL5" i="12"/>
  <c r="CL335" i="12" s="1"/>
  <c r="I54" i="6"/>
  <c r="AI5" i="12"/>
  <c r="I42" i="6"/>
  <c r="EB5" i="12"/>
  <c r="EB335" i="12" s="1"/>
  <c r="I60" i="6"/>
  <c r="BB5" i="12"/>
  <c r="BB335" i="12" s="1"/>
  <c r="I47" i="6"/>
  <c r="DI5" i="12"/>
  <c r="DI335" i="12" s="1"/>
  <c r="I58" i="6"/>
  <c r="K5" i="12"/>
  <c r="I39" i="6"/>
  <c r="BJ5" i="12"/>
  <c r="BJ335" i="12" s="1"/>
  <c r="I49" i="6"/>
  <c r="AU5" i="12"/>
  <c r="AU335" i="12" s="1"/>
  <c r="I46" i="6"/>
  <c r="BZ5" i="12"/>
  <c r="BZ335" i="12" s="1"/>
  <c r="I50" i="6"/>
  <c r="D5" i="12"/>
  <c r="I38" i="6"/>
  <c r="CH5" i="12"/>
  <c r="CH335" i="12" s="1"/>
  <c r="I52" i="6"/>
  <c r="EY5" i="12"/>
  <c r="EY335" i="12" s="1"/>
  <c r="I64" i="6"/>
  <c r="AQ5" i="12"/>
  <c r="I44" i="6"/>
  <c r="EF5" i="12"/>
  <c r="EF335" i="12" s="1"/>
  <c r="I62" i="6"/>
  <c r="CD5" i="12"/>
  <c r="CD335" i="12" s="1"/>
  <c r="I51" i="6"/>
  <c r="S5" i="12"/>
  <c r="I41" i="6"/>
  <c r="BF5" i="12"/>
  <c r="BF335" i="12" s="1"/>
  <c r="I48" i="6"/>
  <c r="DP5" i="12"/>
  <c r="DP335" i="12" s="1"/>
  <c r="I59" i="6"/>
  <c r="O5" i="12"/>
  <c r="I40" i="6"/>
  <c r="K369" i="8" l="1"/>
  <c r="L369" i="8" s="1"/>
  <c r="BS25" i="3"/>
  <c r="AC49" i="3"/>
  <c r="AT51" i="12"/>
  <c r="AP47" i="12"/>
  <c r="AO46" i="12"/>
  <c r="AS50" i="12"/>
  <c r="AK42" i="12"/>
  <c r="AL43" i="12"/>
  <c r="K311" i="9"/>
  <c r="L311" i="9" s="1"/>
  <c r="CE89" i="12" s="1"/>
  <c r="K862" i="10"/>
  <c r="L862" i="10" s="1"/>
  <c r="K857" i="10" s="1"/>
  <c r="L857" i="10" s="1"/>
  <c r="K244" i="10"/>
  <c r="L244" i="10" s="1"/>
  <c r="K379" i="2"/>
  <c r="L379" i="2" s="1"/>
  <c r="K233" i="8" s="1"/>
  <c r="L233" i="8" s="1"/>
  <c r="K371" i="8"/>
  <c r="L371" i="8" s="1"/>
  <c r="K310" i="9"/>
  <c r="L310" i="9" s="1"/>
  <c r="CA85" i="12" s="1"/>
  <c r="K887" i="10"/>
  <c r="L887" i="10" s="1"/>
  <c r="K563" i="10"/>
  <c r="L563" i="10" s="1"/>
  <c r="K382" i="2"/>
  <c r="L382" i="2" s="1"/>
  <c r="K249" i="9" s="1"/>
  <c r="L249" i="9" s="1"/>
  <c r="K885" i="10"/>
  <c r="L885" i="10" s="1"/>
  <c r="K242" i="10"/>
  <c r="L242" i="10" s="1"/>
  <c r="K253" i="9"/>
  <c r="L253" i="9" s="1"/>
  <c r="K251" i="9" s="1"/>
  <c r="L251" i="9" s="1"/>
  <c r="K215" i="10"/>
  <c r="L215" i="10" s="1"/>
  <c r="K214" i="10" s="1"/>
  <c r="L214" i="10" s="1"/>
  <c r="K814" i="10"/>
  <c r="L814" i="10" s="1"/>
  <c r="K812" i="10" s="1"/>
  <c r="L812" i="10" s="1"/>
  <c r="L210" i="2"/>
  <c r="K495" i="9"/>
  <c r="L495" i="9" s="1"/>
  <c r="K496" i="9"/>
  <c r="L496" i="9" s="1"/>
  <c r="K497" i="9"/>
  <c r="L497" i="9" s="1"/>
  <c r="K499" i="9"/>
  <c r="L499" i="9" s="1"/>
  <c r="K498" i="9"/>
  <c r="L498" i="9" s="1"/>
  <c r="K500" i="9"/>
  <c r="L500" i="9" s="1"/>
  <c r="K252" i="8"/>
  <c r="L252" i="8" s="1"/>
  <c r="K265" i="8"/>
  <c r="L265" i="8" s="1"/>
  <c r="K333" i="8"/>
  <c r="L333" i="8" s="1"/>
  <c r="K297" i="8"/>
  <c r="L297" i="8" s="1"/>
  <c r="K879" i="10"/>
  <c r="L879" i="10" s="1"/>
  <c r="K894" i="10" s="1"/>
  <c r="L894" i="10" s="1"/>
  <c r="K236" i="10"/>
  <c r="L236" i="10" s="1"/>
  <c r="K277" i="10" s="1"/>
  <c r="L277" i="10" s="1"/>
  <c r="K499" i="10"/>
  <c r="L499" i="10" s="1"/>
  <c r="K527" i="10"/>
  <c r="L527" i="10" s="1"/>
  <c r="K178" i="10"/>
  <c r="L178" i="10" s="1"/>
  <c r="K280" i="8"/>
  <c r="L280" i="8" s="1"/>
  <c r="K487" i="10"/>
  <c r="L487" i="10" s="1"/>
  <c r="K206" i="10"/>
  <c r="L206" i="10" s="1"/>
  <c r="K807" i="10"/>
  <c r="L807" i="10" s="1"/>
  <c r="K195" i="10"/>
  <c r="L195" i="10" s="1"/>
  <c r="K516" i="10"/>
  <c r="L516" i="10" s="1"/>
  <c r="K515" i="10" s="1"/>
  <c r="L515" i="10" s="1"/>
  <c r="K166" i="10"/>
  <c r="L166" i="10" s="1"/>
  <c r="K371" i="9"/>
  <c r="L371" i="9" s="1"/>
  <c r="K256" i="9"/>
  <c r="L256" i="9" s="1"/>
  <c r="K263" i="9"/>
  <c r="L263" i="9" s="1"/>
  <c r="K271" i="9"/>
  <c r="L271" i="9" s="1"/>
  <c r="K565" i="10"/>
  <c r="L565" i="10" s="1"/>
  <c r="Q564" i="10" s="1"/>
  <c r="K375" i="9"/>
  <c r="L375" i="9" s="1"/>
  <c r="K377" i="9"/>
  <c r="L377" i="9" s="1"/>
  <c r="K353" i="9"/>
  <c r="L353" i="9" s="1"/>
  <c r="K348" i="9" s="1"/>
  <c r="L348" i="9" s="1"/>
  <c r="K299" i="9"/>
  <c r="L299" i="9" s="1"/>
  <c r="BP13" i="3"/>
  <c r="K168" i="2"/>
  <c r="K187" i="10"/>
  <c r="L187" i="10" s="1"/>
  <c r="K347" i="8"/>
  <c r="L347" i="8" s="1"/>
  <c r="K319" i="8"/>
  <c r="L319" i="8" s="1"/>
  <c r="K557" i="10"/>
  <c r="L557" i="10" s="1"/>
  <c r="K364" i="8"/>
  <c r="L364" i="8" s="1"/>
  <c r="K830" i="10"/>
  <c r="L830" i="10" s="1"/>
  <c r="K821" i="10"/>
  <c r="L821" i="10" s="1"/>
  <c r="K508" i="10"/>
  <c r="L508" i="10" s="1"/>
  <c r="K540" i="10"/>
  <c r="L540" i="10" s="1"/>
  <c r="K838" i="10"/>
  <c r="L838" i="10" s="1"/>
  <c r="K370" i="9"/>
  <c r="L370" i="9" s="1"/>
  <c r="K279" i="9"/>
  <c r="L279" i="9" s="1"/>
  <c r="K275" i="9"/>
  <c r="L275" i="9" s="1"/>
  <c r="K339" i="9"/>
  <c r="L339" i="9" s="1"/>
  <c r="K325" i="9"/>
  <c r="L325" i="9" s="1"/>
  <c r="K558" i="10"/>
  <c r="L558" i="10" s="1"/>
  <c r="K825" i="10"/>
  <c r="L825" i="10" s="1"/>
  <c r="K182" i="10"/>
  <c r="L182" i="10" s="1"/>
  <c r="K273" i="8"/>
  <c r="L273" i="8" s="1"/>
  <c r="K269" i="8"/>
  <c r="L269" i="8" s="1"/>
  <c r="K503" i="10"/>
  <c r="L503" i="10" s="1"/>
  <c r="K492" i="10"/>
  <c r="L492" i="10" s="1"/>
  <c r="K842" i="10"/>
  <c r="L842" i="10" s="1"/>
  <c r="K247" i="8"/>
  <c r="L247" i="8" s="1"/>
  <c r="CI93" i="12"/>
  <c r="K343" i="8"/>
  <c r="L343" i="8" s="1"/>
  <c r="K278" i="8"/>
  <c r="L278" i="8" s="1"/>
  <c r="K329" i="8"/>
  <c r="L329" i="8" s="1"/>
  <c r="K489" i="8"/>
  <c r="L489" i="8" s="1"/>
  <c r="K491" i="8"/>
  <c r="L491" i="8" s="1"/>
  <c r="K490" i="8"/>
  <c r="L490" i="8" s="1"/>
  <c r="Q34" i="12" s="1"/>
  <c r="K946" i="10"/>
  <c r="L946" i="10" s="1"/>
  <c r="K943" i="10"/>
  <c r="L943" i="10" s="1"/>
  <c r="K624" i="10"/>
  <c r="L624" i="10" s="1"/>
  <c r="K303" i="10"/>
  <c r="L303" i="10" s="1"/>
  <c r="K621" i="10"/>
  <c r="L621" i="10" s="1"/>
  <c r="K300" i="10"/>
  <c r="L300" i="10" s="1"/>
  <c r="K493" i="8"/>
  <c r="L493" i="8" s="1"/>
  <c r="R35" i="12" s="1"/>
  <c r="K492" i="8"/>
  <c r="L492" i="8" s="1"/>
  <c r="K494" i="8"/>
  <c r="L494" i="8" s="1"/>
  <c r="K625" i="10"/>
  <c r="L625" i="10" s="1"/>
  <c r="K622" i="10"/>
  <c r="L622" i="10" s="1"/>
  <c r="K304" i="10"/>
  <c r="L304" i="10" s="1"/>
  <c r="K944" i="10"/>
  <c r="L944" i="10" s="1"/>
  <c r="K301" i="10"/>
  <c r="L301" i="10" s="1"/>
  <c r="K947" i="10"/>
  <c r="L947" i="10" s="1"/>
  <c r="K257" i="8"/>
  <c r="L257" i="8" s="1"/>
  <c r="K237" i="10"/>
  <c r="L237" i="10" s="1"/>
  <c r="BW81" i="12"/>
  <c r="K293" i="8"/>
  <c r="L293" i="8" s="1"/>
  <c r="K199" i="10"/>
  <c r="L199" i="10" s="1"/>
  <c r="K315" i="8"/>
  <c r="L315" i="8" s="1"/>
  <c r="K171" i="10"/>
  <c r="L171" i="10" s="1"/>
  <c r="K880" i="10"/>
  <c r="L880" i="10" s="1"/>
  <c r="K305" i="8"/>
  <c r="L305" i="8" s="1"/>
  <c r="K304" i="8"/>
  <c r="L304" i="8" s="1"/>
  <c r="K306" i="8"/>
  <c r="L306" i="8" s="1"/>
  <c r="K365" i="8"/>
  <c r="L365" i="8" s="1"/>
  <c r="L209" i="2"/>
  <c r="K189" i="2"/>
  <c r="L195" i="2"/>
  <c r="L188" i="2"/>
  <c r="L197" i="2"/>
  <c r="L200" i="2"/>
  <c r="K198" i="2"/>
  <c r="K196" i="2"/>
  <c r="L194" i="2"/>
  <c r="L208" i="2"/>
  <c r="K208" i="2"/>
  <c r="K193" i="2"/>
  <c r="L198" i="2"/>
  <c r="K195" i="2"/>
  <c r="L207" i="2"/>
  <c r="L206" i="2"/>
  <c r="L211" i="2"/>
  <c r="K200" i="2"/>
  <c r="K210" i="2"/>
  <c r="L202" i="2"/>
  <c r="L204" i="2"/>
  <c r="K188" i="2"/>
  <c r="K164" i="2" s="1"/>
  <c r="L201" i="2"/>
  <c r="L199" i="2"/>
  <c r="L203" i="2"/>
  <c r="K206" i="2"/>
  <c r="K190" i="2"/>
  <c r="K202" i="2"/>
  <c r="L196" i="2"/>
  <c r="K211" i="2"/>
  <c r="K194" i="2"/>
  <c r="K203" i="2"/>
  <c r="L205" i="2"/>
  <c r="K209" i="2"/>
  <c r="K207" i="2"/>
  <c r="K201" i="2"/>
  <c r="K197" i="2"/>
  <c r="K205" i="2"/>
  <c r="K199" i="2"/>
  <c r="K204" i="2"/>
  <c r="L193" i="2"/>
  <c r="B785" i="11"/>
  <c r="B787" i="11"/>
  <c r="J164" i="2"/>
  <c r="J163" i="2"/>
  <c r="L163" i="2" s="1"/>
  <c r="J168" i="2"/>
  <c r="J15" i="4" a="1"/>
  <c r="AO15" i="4" s="1"/>
  <c r="AI335" i="12"/>
  <c r="S335" i="12"/>
  <c r="AQ335" i="12"/>
  <c r="K335" i="12"/>
  <c r="AM335" i="12"/>
  <c r="O335" i="12"/>
  <c r="D335" i="12"/>
  <c r="C176" i="12" a="1"/>
  <c r="K426" i="8" l="1"/>
  <c r="L426" i="8" s="1"/>
  <c r="K378" i="8"/>
  <c r="L378" i="8" s="1"/>
  <c r="K598" i="10"/>
  <c r="L598" i="10" s="1"/>
  <c r="O575" i="10"/>
  <c r="K370" i="8"/>
  <c r="L370" i="8" s="1"/>
  <c r="K399" i="8" s="1"/>
  <c r="L399" i="8" s="1"/>
  <c r="K243" i="10"/>
  <c r="L243" i="10" s="1"/>
  <c r="K272" i="10" s="1"/>
  <c r="L272" i="10" s="1"/>
  <c r="K239" i="8"/>
  <c r="L239" i="8" s="1"/>
  <c r="K236" i="8" s="1"/>
  <c r="L236" i="8" s="1"/>
  <c r="K378" i="9"/>
  <c r="L378" i="9" s="1"/>
  <c r="K379" i="9" s="1"/>
  <c r="L379" i="9" s="1"/>
  <c r="K243" i="8"/>
  <c r="L243" i="8" s="1"/>
  <c r="K240" i="8" s="1"/>
  <c r="L240" i="8" s="1"/>
  <c r="K372" i="8"/>
  <c r="L372" i="8" s="1"/>
  <c r="K416" i="8" s="1"/>
  <c r="L416" i="8" s="1"/>
  <c r="K438" i="8"/>
  <c r="L438" i="8" s="1"/>
  <c r="K564" i="10"/>
  <c r="L564" i="10" s="1"/>
  <c r="K607" i="10" s="1"/>
  <c r="L607" i="10" s="1"/>
  <c r="K245" i="9"/>
  <c r="L245" i="9" s="1"/>
  <c r="K242" i="9" s="1"/>
  <c r="L242" i="9" s="1"/>
  <c r="K886" i="10"/>
  <c r="L886" i="10" s="1"/>
  <c r="K915" i="10" s="1"/>
  <c r="L915" i="10" s="1"/>
  <c r="K258" i="10"/>
  <c r="L258" i="10" s="1"/>
  <c r="K432" i="8"/>
  <c r="L432" i="8" s="1"/>
  <c r="K385" i="8"/>
  <c r="L385" i="8" s="1"/>
  <c r="K251" i="10"/>
  <c r="L251" i="10" s="1"/>
  <c r="K253" i="10" s="1"/>
  <c r="L253" i="10" s="1"/>
  <c r="K901" i="10"/>
  <c r="L901" i="10" s="1"/>
  <c r="K241" i="9"/>
  <c r="L241" i="9" s="1"/>
  <c r="K238" i="9" s="1"/>
  <c r="L238" i="9" s="1"/>
  <c r="L168" i="2"/>
  <c r="K79" i="9" s="1"/>
  <c r="L79" i="9" s="1"/>
  <c r="K920" i="10"/>
  <c r="L920" i="10" s="1"/>
  <c r="K68" i="10"/>
  <c r="L68" i="10" s="1"/>
  <c r="M30" i="12"/>
  <c r="N31" i="12"/>
  <c r="AR50" i="12"/>
  <c r="AN46" i="12"/>
  <c r="K896" i="10"/>
  <c r="L896" i="10" s="1"/>
  <c r="K194" i="10"/>
  <c r="L194" i="10" s="1"/>
  <c r="K292" i="8"/>
  <c r="L292" i="8" s="1"/>
  <c r="K287" i="8" s="1"/>
  <c r="L287" i="8" s="1"/>
  <c r="K837" i="10"/>
  <c r="L837" i="10" s="1"/>
  <c r="K232" i="8"/>
  <c r="L232" i="8" s="1"/>
  <c r="U38" i="12"/>
  <c r="K328" i="8"/>
  <c r="L328" i="8" s="1"/>
  <c r="K579" i="10"/>
  <c r="L579" i="10" s="1"/>
  <c r="K572" i="10"/>
  <c r="L572" i="10" s="1"/>
  <c r="K245" i="8"/>
  <c r="L245" i="8" s="1"/>
  <c r="K895" i="10"/>
  <c r="L895" i="10" s="1"/>
  <c r="K535" i="10"/>
  <c r="L535" i="10" s="1"/>
  <c r="K271" i="8"/>
  <c r="L271" i="8" s="1"/>
  <c r="K823" i="10"/>
  <c r="L823" i="10" s="1"/>
  <c r="K273" i="9"/>
  <c r="L273" i="9" s="1"/>
  <c r="K85" i="9"/>
  <c r="L85" i="9" s="1"/>
  <c r="K89" i="9"/>
  <c r="L89" i="9" s="1"/>
  <c r="K376" i="9"/>
  <c r="L376" i="9" s="1"/>
  <c r="K261" i="9"/>
  <c r="L261" i="9" s="1"/>
  <c r="K320" i="9"/>
  <c r="L320" i="9" s="1"/>
  <c r="K246" i="9"/>
  <c r="L246" i="9" s="1"/>
  <c r="K81" i="9"/>
  <c r="L81" i="9" s="1"/>
  <c r="K100" i="9"/>
  <c r="L100" i="9" s="1"/>
  <c r="K95" i="9"/>
  <c r="L95" i="9" s="1"/>
  <c r="K105" i="9"/>
  <c r="L105" i="9" s="1"/>
  <c r="AJ42" i="12"/>
  <c r="K169" i="10"/>
  <c r="L169" i="10" s="1"/>
  <c r="K314" i="8"/>
  <c r="L314" i="8" s="1"/>
  <c r="K255" i="8"/>
  <c r="L255" i="8" s="1"/>
  <c r="K342" i="8"/>
  <c r="L342" i="8" s="1"/>
  <c r="K512" i="10"/>
  <c r="L512" i="10" s="1"/>
  <c r="K490" i="10"/>
  <c r="L490" i="10" s="1"/>
  <c r="K501" i="10"/>
  <c r="L501" i="10" s="1"/>
  <c r="K267" i="8"/>
  <c r="L267" i="8" s="1"/>
  <c r="K180" i="10"/>
  <c r="L180" i="10" s="1"/>
  <c r="K277" i="9"/>
  <c r="L277" i="9" s="1"/>
  <c r="K384" i="9"/>
  <c r="L384" i="9" s="1"/>
  <c r="K388" i="9" s="1"/>
  <c r="L388" i="9" s="1"/>
  <c r="K391" i="9"/>
  <c r="L391" i="9" s="1"/>
  <c r="K432" i="9"/>
  <c r="L432" i="9" s="1"/>
  <c r="K438" i="9"/>
  <c r="L438" i="9" s="1"/>
  <c r="K444" i="9"/>
  <c r="L444" i="9" s="1"/>
  <c r="K345" i="9"/>
  <c r="L345" i="9" s="1"/>
  <c r="K334" i="9"/>
  <c r="L334" i="9" s="1"/>
  <c r="K211" i="10"/>
  <c r="L211" i="10" s="1"/>
  <c r="K819" i="10"/>
  <c r="L819" i="10" s="1"/>
  <c r="K92" i="9"/>
  <c r="L92" i="9" s="1"/>
  <c r="K298" i="9"/>
  <c r="L298" i="9" s="1"/>
  <c r="K269" i="9"/>
  <c r="L269" i="9" s="1"/>
  <c r="K164" i="10"/>
  <c r="L164" i="10" s="1"/>
  <c r="K485" i="10"/>
  <c r="L485" i="10" s="1"/>
  <c r="K176" i="10"/>
  <c r="L176" i="10" s="1"/>
  <c r="K497" i="10"/>
  <c r="L497" i="10" s="1"/>
  <c r="K854" i="10"/>
  <c r="L854" i="10" s="1"/>
  <c r="K263" i="8"/>
  <c r="L263" i="8" s="1"/>
  <c r="K250" i="8"/>
  <c r="L250" i="8" s="1"/>
  <c r="K110" i="9"/>
  <c r="L110" i="9" s="1"/>
  <c r="K77" i="9"/>
  <c r="L77" i="9" s="1"/>
  <c r="K379" i="10"/>
  <c r="L379" i="10" s="1"/>
  <c r="K58" i="10"/>
  <c r="L58" i="10" s="1"/>
  <c r="K86" i="8"/>
  <c r="L86" i="8" s="1"/>
  <c r="K94" i="8"/>
  <c r="L94" i="8" s="1"/>
  <c r="K89" i="8"/>
  <c r="L89" i="8" s="1"/>
  <c r="K79" i="8"/>
  <c r="L79" i="8" s="1"/>
  <c r="K702" i="10"/>
  <c r="L702" i="10" s="1"/>
  <c r="K83" i="8"/>
  <c r="L83" i="8" s="1"/>
  <c r="K395" i="10"/>
  <c r="L395" i="10" s="1"/>
  <c r="K73" i="10"/>
  <c r="L73" i="10" s="1"/>
  <c r="K712" i="10"/>
  <c r="L712" i="10" s="1"/>
  <c r="K375" i="8"/>
  <c r="L375" i="8" s="1"/>
  <c r="K380" i="10"/>
  <c r="L380" i="10" s="1"/>
  <c r="K75" i="8"/>
  <c r="L75" i="8" s="1"/>
  <c r="K57" i="10"/>
  <c r="L57" i="10" s="1"/>
  <c r="K390" i="10"/>
  <c r="L390" i="10" s="1"/>
  <c r="K898" i="10"/>
  <c r="L898" i="10" s="1"/>
  <c r="K104" i="8"/>
  <c r="L104" i="8" s="1"/>
  <c r="K701" i="10"/>
  <c r="L701" i="10" s="1"/>
  <c r="K99" i="8"/>
  <c r="L99" i="8" s="1"/>
  <c r="K71" i="8"/>
  <c r="L71" i="8" s="1"/>
  <c r="K717" i="10"/>
  <c r="L717" i="10" s="1"/>
  <c r="L164" i="2"/>
  <c r="B595" i="11" s="1"/>
  <c r="B677" i="11"/>
  <c r="B694" i="11"/>
  <c r="B691" i="11"/>
  <c r="B680" i="11"/>
  <c r="B696" i="11"/>
  <c r="B681" i="11"/>
  <c r="B686" i="11"/>
  <c r="B692" i="11"/>
  <c r="B682" i="11"/>
  <c r="B693" i="11"/>
  <c r="B698" i="11"/>
  <c r="B687" i="11"/>
  <c r="Y15" i="4"/>
  <c r="Q15" i="4"/>
  <c r="U15" i="4"/>
  <c r="AS15" i="4"/>
  <c r="AW15" i="4"/>
  <c r="DN15" i="4"/>
  <c r="EP15" i="4"/>
  <c r="CD15" i="4"/>
  <c r="BJ15" i="4"/>
  <c r="DF15" i="4"/>
  <c r="DR15" i="4"/>
  <c r="BF15" i="4"/>
  <c r="N15" i="4"/>
  <c r="ES15" i="4"/>
  <c r="EC15" i="4"/>
  <c r="DM15" i="4"/>
  <c r="CW15" i="4"/>
  <c r="BE15" i="4"/>
  <c r="AC15" i="4"/>
  <c r="EZ15" i="4"/>
  <c r="EJ15" i="4"/>
  <c r="DT15" i="4"/>
  <c r="CR15" i="4"/>
  <c r="CB15" i="4"/>
  <c r="BL15" i="4"/>
  <c r="AV15" i="4"/>
  <c r="AF15" i="4"/>
  <c r="P15" i="4"/>
  <c r="EY15" i="4"/>
  <c r="EA15" i="4"/>
  <c r="DG15" i="4"/>
  <c r="CQ15" i="4"/>
  <c r="CA15" i="4"/>
  <c r="BK15" i="4"/>
  <c r="AU15" i="4"/>
  <c r="AE15" i="4"/>
  <c r="O15" i="4"/>
  <c r="CL15" i="4"/>
  <c r="DU15" i="4"/>
  <c r="AK15" i="4"/>
  <c r="EB15" i="4"/>
  <c r="BD15" i="4"/>
  <c r="FG15" i="4"/>
  <c r="CI15" i="4"/>
  <c r="AM15" i="4"/>
  <c r="CX15" i="4"/>
  <c r="DZ15" i="4"/>
  <c r="BN15" i="4"/>
  <c r="ED15" i="4"/>
  <c r="BZ15" i="4"/>
  <c r="DB15" i="4"/>
  <c r="AL15" i="4"/>
  <c r="FE15" i="4"/>
  <c r="EO15" i="4"/>
  <c r="DY15" i="4"/>
  <c r="DI15" i="4"/>
  <c r="CC15" i="4"/>
  <c r="BA15" i="4"/>
  <c r="M15" i="4"/>
  <c r="EV15" i="4"/>
  <c r="EF15" i="4"/>
  <c r="DH15" i="4"/>
  <c r="CN15" i="4"/>
  <c r="BX15" i="4"/>
  <c r="BH15" i="4"/>
  <c r="AR15" i="4"/>
  <c r="AB15" i="4"/>
  <c r="L15" i="4"/>
  <c r="EU15" i="4"/>
  <c r="DS15" i="4"/>
  <c r="DC15" i="4"/>
  <c r="CM15" i="4"/>
  <c r="BW15" i="4"/>
  <c r="BG15" i="4"/>
  <c r="AQ15" i="4"/>
  <c r="AA15" i="4"/>
  <c r="EX15" i="4"/>
  <c r="EK15" i="4"/>
  <c r="BY15" i="4"/>
  <c r="ER15" i="4"/>
  <c r="DD15" i="4"/>
  <c r="AN15" i="4"/>
  <c r="EQ15" i="4"/>
  <c r="CY15" i="4"/>
  <c r="BS15" i="4"/>
  <c r="W15" i="4"/>
  <c r="CH15" i="4"/>
  <c r="DJ15" i="4"/>
  <c r="EL15" i="4"/>
  <c r="AH15" i="4"/>
  <c r="CJ15" i="4"/>
  <c r="BR15" i="4"/>
  <c r="CT15" i="4"/>
  <c r="CP15" i="4"/>
  <c r="DV15" i="4"/>
  <c r="EH15" i="4"/>
  <c r="BV15" i="4"/>
  <c r="AD15" i="4"/>
  <c r="EW15" i="4"/>
  <c r="EG15" i="4"/>
  <c r="DQ15" i="4"/>
  <c r="DA15" i="4"/>
  <c r="BU15" i="4"/>
  <c r="AG15" i="4"/>
  <c r="FD15" i="4"/>
  <c r="EN15" i="4"/>
  <c r="DX15" i="4"/>
  <c r="CV15" i="4"/>
  <c r="CF15" i="4"/>
  <c r="BP15" i="4"/>
  <c r="AZ15" i="4"/>
  <c r="AJ15" i="4"/>
  <c r="T15" i="4"/>
  <c r="FC15" i="4"/>
  <c r="EE15" i="4"/>
  <c r="DK15" i="4"/>
  <c r="CU15" i="4"/>
  <c r="CE15" i="4"/>
  <c r="BO15" i="4"/>
  <c r="AY15" i="4"/>
  <c r="AI15" i="4"/>
  <c r="S15" i="4"/>
  <c r="FB15" i="4"/>
  <c r="FA15" i="4"/>
  <c r="DE15" i="4"/>
  <c r="FH15" i="4"/>
  <c r="BT15" i="4"/>
  <c r="X15" i="4"/>
  <c r="DO15" i="4"/>
  <c r="BC15" i="4"/>
  <c r="BB15" i="4"/>
  <c r="ET15" i="4"/>
  <c r="CZ15" i="4"/>
  <c r="CG15" i="4"/>
  <c r="DL15" i="4"/>
  <c r="CK15" i="4"/>
  <c r="AX15" i="4"/>
  <c r="FF15" i="4"/>
  <c r="DW15" i="4"/>
  <c r="DP15" i="4"/>
  <c r="BI15" i="4"/>
  <c r="BQ15" i="4"/>
  <c r="R15" i="4"/>
  <c r="Z15" i="4"/>
  <c r="V15" i="4"/>
  <c r="EM15" i="4"/>
  <c r="EI15" i="4"/>
  <c r="CS15" i="4"/>
  <c r="CO15" i="4"/>
  <c r="BM15" i="4"/>
  <c r="AP15" i="4"/>
  <c r="AT15" i="4"/>
  <c r="K15" i="4"/>
  <c r="J15" i="4"/>
  <c r="C176" i="12"/>
  <c r="C177" i="12"/>
  <c r="C178" i="12"/>
  <c r="C181" i="12"/>
  <c r="C179" i="12"/>
  <c r="C180" i="12"/>
  <c r="C182" i="12"/>
  <c r="C188" i="12"/>
  <c r="C191" i="12"/>
  <c r="C193" i="12"/>
  <c r="C195" i="12"/>
  <c r="C197" i="12"/>
  <c r="C199" i="12"/>
  <c r="C185" i="12"/>
  <c r="C189" i="12"/>
  <c r="C184" i="12"/>
  <c r="C202" i="12"/>
  <c r="C204" i="12"/>
  <c r="C183" i="12"/>
  <c r="C187" i="12"/>
  <c r="C196" i="12"/>
  <c r="C198" i="12"/>
  <c r="C201" i="12"/>
  <c r="C203" i="12"/>
  <c r="C205" i="12"/>
  <c r="C207" i="12"/>
  <c r="C209" i="12"/>
  <c r="C190" i="12"/>
  <c r="C192" i="12"/>
  <c r="C206" i="12"/>
  <c r="C211" i="12"/>
  <c r="C213" i="12"/>
  <c r="C215" i="12"/>
  <c r="C217" i="12"/>
  <c r="C219" i="12"/>
  <c r="C221" i="12"/>
  <c r="C222" i="12"/>
  <c r="C186" i="12"/>
  <c r="C226" i="12"/>
  <c r="C228" i="12"/>
  <c r="C230" i="12"/>
  <c r="C194" i="12"/>
  <c r="C225" i="12"/>
  <c r="C232" i="12"/>
  <c r="C200" i="12"/>
  <c r="C208" i="12"/>
  <c r="C212" i="12"/>
  <c r="C214" i="12"/>
  <c r="C216" i="12"/>
  <c r="C218" i="12"/>
  <c r="C224" i="12"/>
  <c r="C220" i="12"/>
  <c r="C223" i="12"/>
  <c r="C234" i="12"/>
  <c r="C236" i="12"/>
  <c r="C238" i="12"/>
  <c r="C240" i="12"/>
  <c r="C242" i="12"/>
  <c r="C210" i="12"/>
  <c r="C227" i="12"/>
  <c r="C229" i="12"/>
  <c r="C231" i="12"/>
  <c r="C235" i="12"/>
  <c r="C237" i="12"/>
  <c r="C239" i="12"/>
  <c r="C241" i="12"/>
  <c r="C243" i="12"/>
  <c r="C233" i="12"/>
  <c r="C267" i="12"/>
  <c r="C269" i="12"/>
  <c r="C271" i="12"/>
  <c r="C273" i="12"/>
  <c r="C275" i="12"/>
  <c r="C277" i="12"/>
  <c r="C279" i="12"/>
  <c r="C281" i="12"/>
  <c r="C283" i="12"/>
  <c r="C285" i="12"/>
  <c r="C287" i="12"/>
  <c r="C289" i="12"/>
  <c r="C291" i="12"/>
  <c r="C313" i="12"/>
  <c r="C315" i="12"/>
  <c r="C317" i="12"/>
  <c r="C319" i="12"/>
  <c r="C321" i="12"/>
  <c r="C323" i="12"/>
  <c r="C325" i="12"/>
  <c r="C327" i="12"/>
  <c r="C328" i="12"/>
  <c r="C244" i="12"/>
  <c r="C246" i="12"/>
  <c r="C252" i="12"/>
  <c r="C254" i="12"/>
  <c r="C256" i="12"/>
  <c r="C258" i="12"/>
  <c r="C260" i="12"/>
  <c r="C262" i="12"/>
  <c r="C264" i="12"/>
  <c r="C266" i="12"/>
  <c r="C268" i="12"/>
  <c r="C290" i="12"/>
  <c r="C292" i="12"/>
  <c r="C294" i="12"/>
  <c r="C296" i="12"/>
  <c r="C298" i="12"/>
  <c r="C300" i="12"/>
  <c r="C302" i="12"/>
  <c r="C304" i="12"/>
  <c r="C306" i="12"/>
  <c r="C308" i="12"/>
  <c r="C310" i="12"/>
  <c r="C312" i="12"/>
  <c r="C314" i="12"/>
  <c r="C330" i="12"/>
  <c r="C245" i="12"/>
  <c r="C249" i="12"/>
  <c r="C253" i="12"/>
  <c r="C255" i="12"/>
  <c r="C257" i="12"/>
  <c r="C259" i="12"/>
  <c r="C261" i="12"/>
  <c r="C263" i="12"/>
  <c r="C265" i="12"/>
  <c r="C293" i="12"/>
  <c r="C295" i="12"/>
  <c r="C297" i="12"/>
  <c r="C299" i="12"/>
  <c r="C301" i="12"/>
  <c r="C303" i="12"/>
  <c r="C305" i="12"/>
  <c r="C307" i="12"/>
  <c r="C309" i="12"/>
  <c r="C311" i="12"/>
  <c r="C247" i="12"/>
  <c r="C248" i="12"/>
  <c r="C270" i="12"/>
  <c r="C276" i="12"/>
  <c r="C278" i="12"/>
  <c r="C284" i="12"/>
  <c r="C286" i="12"/>
  <c r="C316" i="12"/>
  <c r="C318" i="12"/>
  <c r="C324" i="12"/>
  <c r="C326" i="12"/>
  <c r="C251" i="12"/>
  <c r="C272" i="12"/>
  <c r="C274" i="12"/>
  <c r="C280" i="12"/>
  <c r="C282" i="12"/>
  <c r="C288" i="12"/>
  <c r="C322" i="12"/>
  <c r="C320" i="12"/>
  <c r="C329" i="12"/>
  <c r="C250" i="12"/>
  <c r="C335" i="12"/>
  <c r="K421" i="8" l="1"/>
  <c r="L421" i="8" s="1"/>
  <c r="K414" i="8" s="1"/>
  <c r="L414" i="8" s="1"/>
  <c r="K449" i="8"/>
  <c r="L449" i="8" s="1"/>
  <c r="K410" i="8"/>
  <c r="L410" i="8" s="1"/>
  <c r="K380" i="8"/>
  <c r="L380" i="8" s="1"/>
  <c r="K379" i="8"/>
  <c r="L379" i="8" s="1"/>
  <c r="K383" i="8" s="1"/>
  <c r="L383" i="8" s="1"/>
  <c r="K286" i="10"/>
  <c r="L286" i="10" s="1"/>
  <c r="K576" i="10"/>
  <c r="L576" i="10" s="1"/>
  <c r="O574" i="10"/>
  <c r="O573" i="10"/>
  <c r="K248" i="10"/>
  <c r="L248" i="10" s="1"/>
  <c r="B665" i="11"/>
  <c r="K891" i="10"/>
  <c r="L891" i="10" s="1"/>
  <c r="K593" i="10"/>
  <c r="L593" i="10" s="1"/>
  <c r="K448" i="8"/>
  <c r="L448" i="8" s="1"/>
  <c r="K422" i="9"/>
  <c r="L422" i="9" s="1"/>
  <c r="K454" i="9"/>
  <c r="L454" i="9" s="1"/>
  <c r="K400" i="9"/>
  <c r="L400" i="9" s="1"/>
  <c r="K411" i="9"/>
  <c r="L411" i="9" s="1"/>
  <c r="K373" i="8"/>
  <c r="L373" i="8" s="1"/>
  <c r="K376" i="8" s="1"/>
  <c r="L376" i="8" s="1"/>
  <c r="K405" i="8"/>
  <c r="L405" i="8" s="1"/>
  <c r="K394" i="8"/>
  <c r="L394" i="8" s="1"/>
  <c r="K392" i="8" s="1"/>
  <c r="L392" i="8" s="1"/>
  <c r="K382" i="8"/>
  <c r="L382" i="8" s="1"/>
  <c r="K381" i="8" s="1"/>
  <c r="L381" i="8" s="1"/>
  <c r="K252" i="10"/>
  <c r="L252" i="10" s="1"/>
  <c r="K256" i="10" s="1"/>
  <c r="L256" i="10" s="1"/>
  <c r="K73" i="8"/>
  <c r="L73" i="8" s="1"/>
  <c r="K70" i="8" s="1"/>
  <c r="L70" i="8" s="1"/>
  <c r="B663" i="11"/>
  <c r="K929" i="10"/>
  <c r="L929" i="10" s="1"/>
  <c r="K707" i="10"/>
  <c r="L707" i="10" s="1"/>
  <c r="K699" i="10" s="1"/>
  <c r="L699" i="10" s="1"/>
  <c r="K83" i="9"/>
  <c r="L83" i="9" s="1"/>
  <c r="K80" i="9" s="1"/>
  <c r="L80" i="9" s="1"/>
  <c r="K569" i="10"/>
  <c r="L569" i="10" s="1"/>
  <c r="B668" i="11"/>
  <c r="K77" i="8"/>
  <c r="L77" i="8" s="1"/>
  <c r="K74" i="8" s="1"/>
  <c r="L74" i="8" s="1"/>
  <c r="K385" i="10"/>
  <c r="L385" i="10" s="1"/>
  <c r="K377" i="10" s="1"/>
  <c r="L377" i="10" s="1"/>
  <c r="K255" i="10"/>
  <c r="L255" i="10" s="1"/>
  <c r="K254" i="10" s="1"/>
  <c r="L254" i="10" s="1"/>
  <c r="K259" i="10" s="1"/>
  <c r="L259" i="10" s="1"/>
  <c r="B664" i="11"/>
  <c r="B666" i="11"/>
  <c r="B670" i="11"/>
  <c r="K81" i="8"/>
  <c r="L81" i="8" s="1"/>
  <c r="K78" i="8" s="1"/>
  <c r="L78" i="8" s="1"/>
  <c r="K158" i="8" s="1"/>
  <c r="L158" i="8" s="1"/>
  <c r="K63" i="10"/>
  <c r="L63" i="10" s="1"/>
  <c r="K55" i="10" s="1"/>
  <c r="L55" i="10" s="1"/>
  <c r="K64" i="10"/>
  <c r="L64" i="10" s="1"/>
  <c r="K56" i="10" s="1"/>
  <c r="L56" i="10" s="1"/>
  <c r="K107" i="10" s="1"/>
  <c r="L107" i="10" s="1"/>
  <c r="K386" i="10"/>
  <c r="L386" i="10" s="1"/>
  <c r="K378" i="10" s="1"/>
  <c r="L378" i="10" s="1"/>
  <c r="K708" i="10"/>
  <c r="L708" i="10" s="1"/>
  <c r="K700" i="10" s="1"/>
  <c r="L700" i="10" s="1"/>
  <c r="K87" i="9"/>
  <c r="L87" i="9" s="1"/>
  <c r="K84" i="9" s="1"/>
  <c r="L84" i="9" s="1"/>
  <c r="K231" i="8"/>
  <c r="L231" i="8" s="1"/>
  <c r="K289" i="8"/>
  <c r="L289" i="8" s="1"/>
  <c r="K288" i="8"/>
  <c r="L288" i="8" s="1"/>
  <c r="K386" i="9"/>
  <c r="L386" i="9" s="1"/>
  <c r="K387" i="9" s="1"/>
  <c r="L387" i="9" s="1"/>
  <c r="K73" i="9"/>
  <c r="L73" i="9" s="1"/>
  <c r="K75" i="9"/>
  <c r="L75" i="9" s="1"/>
  <c r="K897" i="10"/>
  <c r="L897" i="10" s="1"/>
  <c r="K921" i="10" s="1"/>
  <c r="L921" i="10" s="1"/>
  <c r="K389" i="10"/>
  <c r="L389" i="10" s="1"/>
  <c r="K82" i="8"/>
  <c r="L82" i="8" s="1"/>
  <c r="K76" i="9"/>
  <c r="L76" i="9" s="1"/>
  <c r="BC62" i="12"/>
  <c r="K295" i="9"/>
  <c r="L295" i="9" s="1"/>
  <c r="K293" i="9"/>
  <c r="L293" i="9" s="1"/>
  <c r="K294" i="9"/>
  <c r="L294" i="9" s="1"/>
  <c r="K91" i="9"/>
  <c r="L91" i="9" s="1"/>
  <c r="K339" i="8"/>
  <c r="L339" i="8" s="1"/>
  <c r="K311" i="8"/>
  <c r="L311" i="8" s="1"/>
  <c r="K94" i="9"/>
  <c r="L94" i="9" s="1"/>
  <c r="AV55" i="12"/>
  <c r="K237" i="9"/>
  <c r="L237" i="9" s="1"/>
  <c r="BK69" i="12"/>
  <c r="K455" i="9"/>
  <c r="L455" i="9" s="1"/>
  <c r="K416" i="9"/>
  <c r="L416" i="9" s="1"/>
  <c r="K427" i="9"/>
  <c r="L427" i="9" s="1"/>
  <c r="K405" i="9"/>
  <c r="L405" i="9" s="1"/>
  <c r="K381" i="9"/>
  <c r="L381" i="9" s="1"/>
  <c r="K88" i="9"/>
  <c r="L88" i="9" s="1"/>
  <c r="BG66" i="12"/>
  <c r="K532" i="10"/>
  <c r="L532" i="10" s="1"/>
  <c r="K899" i="10"/>
  <c r="L899" i="10" s="1"/>
  <c r="K325" i="8"/>
  <c r="L325" i="8" s="1"/>
  <c r="K711" i="10"/>
  <c r="L711" i="10" s="1"/>
  <c r="K88" i="8"/>
  <c r="L88" i="8" s="1"/>
  <c r="K85" i="8"/>
  <c r="L85" i="8" s="1"/>
  <c r="K331" i="9"/>
  <c r="L331" i="9" s="1"/>
  <c r="CI94" i="12"/>
  <c r="K385" i="9"/>
  <c r="L385" i="9" s="1"/>
  <c r="BK70" i="12"/>
  <c r="K317" i="9"/>
  <c r="L317" i="9" s="1"/>
  <c r="K573" i="10"/>
  <c r="L573" i="10" s="1"/>
  <c r="K574" i="10"/>
  <c r="L574" i="10" s="1"/>
  <c r="K834" i="10"/>
  <c r="L834" i="10" s="1"/>
  <c r="K191" i="10"/>
  <c r="L191" i="10" s="1"/>
  <c r="K67" i="10"/>
  <c r="L67" i="10" s="1"/>
  <c r="K373" i="10"/>
  <c r="L373" i="10" s="1"/>
  <c r="K67" i="8"/>
  <c r="L67" i="8" s="1"/>
  <c r="K68" i="8" s="1"/>
  <c r="L68" i="8" s="1"/>
  <c r="K695" i="10"/>
  <c r="L695" i="10" s="1"/>
  <c r="K51" i="10"/>
  <c r="L51" i="10" s="1"/>
  <c r="K698" i="10"/>
  <c r="L698" i="10" s="1"/>
  <c r="K376" i="10"/>
  <c r="L376" i="10" s="1"/>
  <c r="K54" i="10"/>
  <c r="L54" i="10" s="1"/>
  <c r="K69" i="8"/>
  <c r="L69" i="8" s="1"/>
  <c r="B584" i="11"/>
  <c r="B583" i="11"/>
  <c r="B586" i="11"/>
  <c r="B587" i="11"/>
  <c r="B597" i="11"/>
  <c r="B585" i="11"/>
  <c r="K446" i="8" l="1"/>
  <c r="L446" i="8" s="1"/>
  <c r="K444" i="8" s="1"/>
  <c r="L444" i="8" s="1"/>
  <c r="K443" i="8" s="1"/>
  <c r="L443" i="8" s="1"/>
  <c r="K109" i="9"/>
  <c r="L109" i="9" s="1"/>
  <c r="K104" i="9"/>
  <c r="L104" i="9" s="1"/>
  <c r="K403" i="8"/>
  <c r="L403" i="8" s="1"/>
  <c r="K401" i="8" s="1"/>
  <c r="L401" i="8" s="1"/>
  <c r="K64" i="8"/>
  <c r="K452" i="9"/>
  <c r="L452" i="9" s="1"/>
  <c r="K450" i="9" s="1"/>
  <c r="L450" i="9" s="1"/>
  <c r="K398" i="9"/>
  <c r="L398" i="9" s="1"/>
  <c r="K396" i="9" s="1"/>
  <c r="L396" i="9" s="1"/>
  <c r="K278" i="10"/>
  <c r="L278" i="10" s="1"/>
  <c r="K291" i="10"/>
  <c r="L291" i="10" s="1"/>
  <c r="K171" i="8"/>
  <c r="L171" i="8" s="1"/>
  <c r="K150" i="8" s="1"/>
  <c r="L150" i="8" s="1"/>
  <c r="K934" i="10"/>
  <c r="L934" i="10" s="1"/>
  <c r="K902" i="10"/>
  <c r="L902" i="10" s="1"/>
  <c r="K390" i="8"/>
  <c r="L390" i="8" s="1"/>
  <c r="K575" i="10"/>
  <c r="L575" i="10" s="1"/>
  <c r="K577" i="10"/>
  <c r="L577" i="10" s="1"/>
  <c r="K389" i="9"/>
  <c r="L389" i="9" s="1"/>
  <c r="K170" i="8"/>
  <c r="L170" i="8" s="1"/>
  <c r="K172" i="8"/>
  <c r="L172" i="8" s="1"/>
  <c r="K758" i="10"/>
  <c r="L758" i="10" s="1"/>
  <c r="K751" i="10"/>
  <c r="L751" i="10" s="1"/>
  <c r="K290" i="10"/>
  <c r="L290" i="10" s="1"/>
  <c r="K257" i="10"/>
  <c r="L257" i="10" s="1"/>
  <c r="K260" i="10" s="1"/>
  <c r="L260" i="10" s="1"/>
  <c r="K276" i="10"/>
  <c r="L276" i="10" s="1"/>
  <c r="K933" i="10"/>
  <c r="L933" i="10" s="1"/>
  <c r="K900" i="10"/>
  <c r="L900" i="10" s="1"/>
  <c r="K919" i="10"/>
  <c r="L919" i="10" s="1"/>
  <c r="AV54" i="12"/>
  <c r="K162" i="9"/>
  <c r="L162" i="9" s="1"/>
  <c r="K175" i="9"/>
  <c r="L175" i="9" s="1"/>
  <c r="K425" i="8"/>
  <c r="L425" i="8" s="1"/>
  <c r="K459" i="8"/>
  <c r="L459" i="8" s="1"/>
  <c r="K431" i="8"/>
  <c r="L431" i="8" s="1"/>
  <c r="K437" i="8"/>
  <c r="L437" i="8" s="1"/>
  <c r="K384" i="8"/>
  <c r="L384" i="8" s="1"/>
  <c r="K412" i="8"/>
  <c r="L412" i="8" s="1"/>
  <c r="K436" i="10"/>
  <c r="L436" i="10" s="1"/>
  <c r="K757" i="10"/>
  <c r="L757" i="10" s="1"/>
  <c r="K154" i="8"/>
  <c r="L154" i="8" s="1"/>
  <c r="K108" i="9"/>
  <c r="L108" i="9" s="1"/>
  <c r="K74" i="9"/>
  <c r="L74" i="9" s="1"/>
  <c r="K72" i="9" s="1"/>
  <c r="L72" i="9" s="1"/>
  <c r="K98" i="9"/>
  <c r="L98" i="9" s="1"/>
  <c r="K102" i="9"/>
  <c r="L102" i="9" s="1"/>
  <c r="K107" i="9"/>
  <c r="L107" i="9" s="1"/>
  <c r="K97" i="9"/>
  <c r="L97" i="9" s="1"/>
  <c r="K103" i="9"/>
  <c r="L103" i="9" s="1"/>
  <c r="K99" i="9"/>
  <c r="L99" i="9" s="1"/>
  <c r="K141" i="9"/>
  <c r="L141" i="9" s="1"/>
  <c r="K140" i="9"/>
  <c r="L140" i="9" s="1"/>
  <c r="K142" i="9"/>
  <c r="L142" i="9" s="1"/>
  <c r="K113" i="10"/>
  <c r="L113" i="10" s="1"/>
  <c r="K368" i="8"/>
  <c r="L368" i="8" s="1"/>
  <c r="K114" i="10"/>
  <c r="L114" i="10" s="1"/>
  <c r="K164" i="9"/>
  <c r="L164" i="9" s="1"/>
  <c r="K177" i="9"/>
  <c r="L177" i="9" s="1"/>
  <c r="K439" i="9"/>
  <c r="L439" i="9" s="1"/>
  <c r="K466" i="9"/>
  <c r="L466" i="9" s="1"/>
  <c r="K445" i="9"/>
  <c r="L445" i="9" s="1"/>
  <c r="K433" i="9"/>
  <c r="L433" i="9" s="1"/>
  <c r="K392" i="9"/>
  <c r="L392" i="9" s="1"/>
  <c r="K420" i="9"/>
  <c r="L420" i="9" s="1"/>
  <c r="K178" i="9"/>
  <c r="L178" i="9" s="1"/>
  <c r="K176" i="9"/>
  <c r="L176" i="9" s="1"/>
  <c r="K409" i="9"/>
  <c r="L409" i="9" s="1"/>
  <c r="K382" i="9"/>
  <c r="L382" i="9" s="1"/>
  <c r="K160" i="9"/>
  <c r="L160" i="9" s="1"/>
  <c r="K66" i="8"/>
  <c r="L66" i="8" s="1"/>
  <c r="K92" i="8"/>
  <c r="L92" i="8" s="1"/>
  <c r="K96" i="8"/>
  <c r="L96" i="8" s="1"/>
  <c r="K102" i="8"/>
  <c r="L102" i="8" s="1"/>
  <c r="K101" i="8"/>
  <c r="L101" i="8" s="1"/>
  <c r="K91" i="8"/>
  <c r="L91" i="8" s="1"/>
  <c r="K97" i="8"/>
  <c r="L97" i="8" s="1"/>
  <c r="K103" i="8"/>
  <c r="L103" i="8" s="1"/>
  <c r="K93" i="8"/>
  <c r="L93" i="8" s="1"/>
  <c r="K98" i="8"/>
  <c r="L98" i="8" s="1"/>
  <c r="K136" i="8"/>
  <c r="L136" i="8" s="1"/>
  <c r="K134" i="8"/>
  <c r="L134" i="8" s="1"/>
  <c r="K115" i="8" s="1"/>
  <c r="K135" i="8"/>
  <c r="L135" i="8" s="1"/>
  <c r="K429" i="10"/>
  <c r="L429" i="10" s="1"/>
  <c r="K435" i="10"/>
  <c r="L435" i="10" s="1"/>
  <c r="K439" i="8"/>
  <c r="L439" i="8" s="1"/>
  <c r="K433" i="8"/>
  <c r="L433" i="8" s="1"/>
  <c r="K427" i="8"/>
  <c r="L427" i="8" s="1"/>
  <c r="K460" i="8"/>
  <c r="L460" i="8" s="1"/>
  <c r="K386" i="8"/>
  <c r="L386" i="8" s="1"/>
  <c r="K156" i="8"/>
  <c r="L156" i="8" s="1"/>
  <c r="K169" i="8"/>
  <c r="L169" i="8" s="1"/>
  <c r="K53" i="10"/>
  <c r="L53" i="10" s="1"/>
  <c r="K71" i="10"/>
  <c r="L71" i="10" s="1"/>
  <c r="K70" i="10"/>
  <c r="L70" i="10" s="1"/>
  <c r="K72" i="10"/>
  <c r="L72" i="10" s="1"/>
  <c r="K96" i="10"/>
  <c r="L96" i="10" s="1"/>
  <c r="K375" i="10"/>
  <c r="L375" i="10" s="1"/>
  <c r="K392" i="10"/>
  <c r="L392" i="10" s="1"/>
  <c r="K393" i="10"/>
  <c r="L393" i="10" s="1"/>
  <c r="K394" i="10"/>
  <c r="L394" i="10" s="1"/>
  <c r="K418" i="10"/>
  <c r="L418" i="10" s="1"/>
  <c r="K697" i="10"/>
  <c r="L697" i="10" s="1"/>
  <c r="K715" i="10"/>
  <c r="L715" i="10" s="1"/>
  <c r="K714" i="10"/>
  <c r="L714" i="10" s="1"/>
  <c r="K716" i="10"/>
  <c r="L716" i="10" s="1"/>
  <c r="K740" i="10"/>
  <c r="L740" i="10" s="1"/>
  <c r="B700" i="11"/>
  <c r="L19" i="12"/>
  <c r="T27" i="12"/>
  <c r="K454" i="8" l="1"/>
  <c r="L454" i="8" s="1"/>
  <c r="K453" i="8" s="1"/>
  <c r="L453" i="8" s="1"/>
  <c r="K451" i="8"/>
  <c r="L451" i="8" s="1"/>
  <c r="K450" i="8" s="1"/>
  <c r="L450" i="8" s="1"/>
  <c r="K185" i="9"/>
  <c r="L185" i="9" s="1"/>
  <c r="K182" i="9"/>
  <c r="L182" i="9" s="1"/>
  <c r="K187" i="9"/>
  <c r="L187" i="9" s="1"/>
  <c r="K184" i="9"/>
  <c r="L184" i="9" s="1"/>
  <c r="K183" i="9"/>
  <c r="L183" i="9" s="1"/>
  <c r="K186" i="9"/>
  <c r="L186" i="9" s="1"/>
  <c r="K178" i="8"/>
  <c r="L178" i="8" s="1"/>
  <c r="K181" i="8"/>
  <c r="L181" i="8" s="1"/>
  <c r="K177" i="8"/>
  <c r="L177" i="8" s="1"/>
  <c r="K180" i="8"/>
  <c r="L180" i="8" s="1"/>
  <c r="K176" i="8"/>
  <c r="K179" i="8"/>
  <c r="L179" i="8" s="1"/>
  <c r="K457" i="9"/>
  <c r="L457" i="9" s="1"/>
  <c r="K456" i="9" s="1"/>
  <c r="L456" i="9" s="1"/>
  <c r="K460" i="9"/>
  <c r="L460" i="9" s="1"/>
  <c r="K459" i="9" s="1"/>
  <c r="L459" i="9" s="1"/>
  <c r="K289" i="10"/>
  <c r="L289" i="10" s="1"/>
  <c r="K288" i="10" s="1"/>
  <c r="L288" i="10" s="1"/>
  <c r="K724" i="10"/>
  <c r="L724" i="10" s="1"/>
  <c r="K762" i="10"/>
  <c r="L762" i="10" s="1"/>
  <c r="K694" i="10"/>
  <c r="L694" i="10" s="1"/>
  <c r="K733" i="10" s="1"/>
  <c r="K440" i="10"/>
  <c r="L440" i="10" s="1"/>
  <c r="K80" i="10"/>
  <c r="L80" i="10" s="1"/>
  <c r="K118" i="10"/>
  <c r="L118" i="10" s="1"/>
  <c r="K50" i="10"/>
  <c r="L50" i="10" s="1"/>
  <c r="K458" i="8"/>
  <c r="L458" i="8" s="1"/>
  <c r="K464" i="8" s="1"/>
  <c r="L464" i="8" s="1"/>
  <c r="K430" i="8"/>
  <c r="L430" i="8" s="1"/>
  <c r="K128" i="8"/>
  <c r="L128" i="8" s="1"/>
  <c r="L115" i="8"/>
  <c r="K9" i="12" s="1"/>
  <c r="L176" i="8"/>
  <c r="K134" i="9"/>
  <c r="L134" i="9" s="1"/>
  <c r="K154" i="9"/>
  <c r="L154" i="9" s="1"/>
  <c r="K407" i="9"/>
  <c r="L407" i="9" s="1"/>
  <c r="K158" i="9"/>
  <c r="L158" i="9" s="1"/>
  <c r="K159" i="9"/>
  <c r="L159" i="9" s="1"/>
  <c r="K418" i="9"/>
  <c r="L418" i="9" s="1"/>
  <c r="K395" i="9"/>
  <c r="L395" i="9" s="1"/>
  <c r="K156" i="9"/>
  <c r="L156" i="9" s="1"/>
  <c r="K106" i="10"/>
  <c r="L106" i="10" s="1"/>
  <c r="K250" i="10"/>
  <c r="L250" i="10" s="1"/>
  <c r="K105" i="10"/>
  <c r="L105" i="10" s="1"/>
  <c r="K121" i="9"/>
  <c r="L121" i="9" s="1"/>
  <c r="K71" i="9"/>
  <c r="L71" i="9" s="1"/>
  <c r="K70" i="9"/>
  <c r="L70" i="9" s="1"/>
  <c r="K148" i="8"/>
  <c r="L148" i="8" s="1"/>
  <c r="K28" i="12" s="1"/>
  <c r="K428" i="10"/>
  <c r="L428" i="10" s="1"/>
  <c r="K400" i="8"/>
  <c r="L400" i="8" s="1"/>
  <c r="K411" i="8"/>
  <c r="L411" i="8" s="1"/>
  <c r="K155" i="9"/>
  <c r="L155" i="9" s="1"/>
  <c r="K918" i="10"/>
  <c r="L918" i="10" s="1"/>
  <c r="K932" i="10"/>
  <c r="L932" i="10" s="1"/>
  <c r="K580" i="10"/>
  <c r="L580" i="10" s="1"/>
  <c r="K599" i="10"/>
  <c r="L599" i="10" s="1"/>
  <c r="K612" i="10"/>
  <c r="L612" i="10" s="1"/>
  <c r="K402" i="10"/>
  <c r="L402" i="10" s="1"/>
  <c r="K387" i="8"/>
  <c r="L387" i="8" s="1"/>
  <c r="K377" i="8" s="1"/>
  <c r="K424" i="8"/>
  <c r="L424" i="8" s="1"/>
  <c r="K436" i="8"/>
  <c r="L436" i="8" s="1"/>
  <c r="K116" i="8"/>
  <c r="L116" i="8" s="1"/>
  <c r="K117" i="8"/>
  <c r="L117" i="8" s="1"/>
  <c r="K374" i="9"/>
  <c r="L374" i="9" s="1"/>
  <c r="K449" i="9"/>
  <c r="L449" i="9" s="1"/>
  <c r="K123" i="9"/>
  <c r="L123" i="9" s="1"/>
  <c r="K122" i="9"/>
  <c r="L122" i="9" s="1"/>
  <c r="K749" i="10"/>
  <c r="L749" i="10" s="1"/>
  <c r="K750" i="10"/>
  <c r="L750" i="10" s="1"/>
  <c r="K153" i="8"/>
  <c r="L153" i="8" s="1"/>
  <c r="K152" i="8"/>
  <c r="L152" i="8" s="1"/>
  <c r="K465" i="9"/>
  <c r="L465" i="9" s="1"/>
  <c r="K437" i="9"/>
  <c r="L437" i="9" s="1"/>
  <c r="K443" i="9"/>
  <c r="L443" i="9" s="1"/>
  <c r="K431" i="9"/>
  <c r="L431" i="9" s="1"/>
  <c r="K390" i="9"/>
  <c r="L390" i="9" s="1"/>
  <c r="K597" i="10"/>
  <c r="L597" i="10" s="1"/>
  <c r="K611" i="10"/>
  <c r="L611" i="10" s="1"/>
  <c r="K578" i="10"/>
  <c r="L578" i="10" s="1"/>
  <c r="K389" i="8"/>
  <c r="L389" i="8" s="1"/>
  <c r="K903" i="10"/>
  <c r="L903" i="10" s="1"/>
  <c r="K275" i="10"/>
  <c r="L275" i="10" s="1"/>
  <c r="K427" i="10"/>
  <c r="L427" i="10" s="1"/>
  <c r="L372" i="10"/>
  <c r="L370" i="10"/>
  <c r="K49" i="10"/>
  <c r="L49" i="10" s="1"/>
  <c r="K48" i="10"/>
  <c r="L48" i="10" s="1"/>
  <c r="L371" i="10"/>
  <c r="K692" i="10"/>
  <c r="L692" i="10" s="1"/>
  <c r="K693" i="10"/>
  <c r="L693" i="10" s="1"/>
  <c r="K149" i="8"/>
  <c r="L149" i="8" s="1"/>
  <c r="K65" i="8"/>
  <c r="L65" i="8" s="1"/>
  <c r="L64" i="8"/>
  <c r="B910" i="11"/>
  <c r="B889" i="11"/>
  <c r="B143" i="11"/>
  <c r="B125" i="11"/>
  <c r="L512" i="9" l="1"/>
  <c r="L515" i="9"/>
  <c r="L514" i="9"/>
  <c r="L511" i="9"/>
  <c r="L510" i="9"/>
  <c r="L513" i="9"/>
  <c r="K129" i="8"/>
  <c r="L129" i="8" s="1"/>
  <c r="K132" i="8"/>
  <c r="L132" i="8" s="1"/>
  <c r="K457" i="8"/>
  <c r="L457" i="8" s="1"/>
  <c r="K456" i="8" s="1"/>
  <c r="L456" i="8" s="1"/>
  <c r="K462" i="8"/>
  <c r="L462" i="8" s="1"/>
  <c r="K461" i="8" s="1"/>
  <c r="L461" i="8" s="1"/>
  <c r="K463" i="8"/>
  <c r="L463" i="8" s="1"/>
  <c r="K393" i="9"/>
  <c r="L393" i="9" s="1"/>
  <c r="K442" i="9"/>
  <c r="L442" i="9" s="1"/>
  <c r="K127" i="8"/>
  <c r="L127" i="8" s="1"/>
  <c r="K88" i="10"/>
  <c r="L88" i="10" s="1"/>
  <c r="K411" i="10"/>
  <c r="L411" i="10" s="1"/>
  <c r="L582" i="10" s="1"/>
  <c r="K893" i="10"/>
  <c r="L893" i="10" s="1"/>
  <c r="K430" i="9"/>
  <c r="L430" i="9" s="1"/>
  <c r="K436" i="9"/>
  <c r="L436" i="9" s="1"/>
  <c r="K435" i="8"/>
  <c r="L435" i="8" s="1"/>
  <c r="K423" i="8"/>
  <c r="L423" i="8" s="1"/>
  <c r="L377" i="8"/>
  <c r="K596" i="10"/>
  <c r="L596" i="10" s="1"/>
  <c r="K274" i="10"/>
  <c r="L274" i="10" s="1"/>
  <c r="K610" i="10"/>
  <c r="L610" i="10" s="1"/>
  <c r="K581" i="10"/>
  <c r="L581" i="10" s="1"/>
  <c r="K931" i="10"/>
  <c r="L931" i="10" s="1"/>
  <c r="K917" i="10"/>
  <c r="L917" i="10" s="1"/>
  <c r="K135" i="9"/>
  <c r="L135" i="9" s="1"/>
  <c r="K138" i="9"/>
  <c r="L138" i="9" s="1"/>
  <c r="K133" i="9"/>
  <c r="L133" i="9" s="1"/>
  <c r="K287" i="10"/>
  <c r="L287" i="10" s="1"/>
  <c r="K464" i="9"/>
  <c r="L464" i="9" s="1"/>
  <c r="K417" i="9"/>
  <c r="L417" i="9" s="1"/>
  <c r="K406" i="9"/>
  <c r="L406" i="9" s="1"/>
  <c r="L394" i="9"/>
  <c r="L388" i="8"/>
  <c r="K429" i="8"/>
  <c r="L429" i="8" s="1"/>
  <c r="K89" i="10"/>
  <c r="L89" i="10" s="1"/>
  <c r="K410" i="10"/>
  <c r="L410" i="10" s="1"/>
  <c r="K738" i="10"/>
  <c r="L738" i="10" s="1"/>
  <c r="K734" i="10"/>
  <c r="L734" i="10" s="1"/>
  <c r="K416" i="10"/>
  <c r="L416" i="10" s="1"/>
  <c r="K412" i="10"/>
  <c r="L412" i="10" s="1"/>
  <c r="K90" i="10"/>
  <c r="L90" i="10" s="1"/>
  <c r="K94" i="10"/>
  <c r="L94" i="10" s="1"/>
  <c r="L733" i="10"/>
  <c r="K732" i="10"/>
  <c r="L732" i="10" s="1"/>
  <c r="CG66" i="12"/>
  <c r="L261" i="10" l="1"/>
  <c r="K428" i="8"/>
  <c r="L428" i="8" s="1"/>
  <c r="K470" i="9"/>
  <c r="L470" i="9" s="1"/>
  <c r="K468" i="9"/>
  <c r="L468" i="9" s="1"/>
  <c r="K463" i="9"/>
  <c r="L463" i="9" s="1"/>
  <c r="K916" i="10"/>
  <c r="L916" i="10" s="1"/>
  <c r="K930" i="10"/>
  <c r="L930" i="10" s="1"/>
  <c r="K571" i="10"/>
  <c r="L571" i="10" s="1"/>
  <c r="K609" i="10"/>
  <c r="L609" i="10" s="1"/>
  <c r="K273" i="10"/>
  <c r="L273" i="10" s="1"/>
  <c r="K595" i="10"/>
  <c r="L595" i="10" s="1"/>
  <c r="K422" i="8"/>
  <c r="L422" i="8" s="1"/>
  <c r="K434" i="8"/>
  <c r="L434" i="8" s="1"/>
  <c r="K429" i="9"/>
  <c r="L429" i="9" s="1"/>
  <c r="K441" i="9"/>
  <c r="L441" i="9" s="1"/>
  <c r="K383" i="9"/>
  <c r="L383" i="9" s="1"/>
  <c r="K435" i="9"/>
  <c r="L435" i="9" s="1"/>
  <c r="L904" i="10"/>
  <c r="B690" i="11"/>
  <c r="CE64" i="12"/>
  <c r="CF65" i="12"/>
  <c r="K434" i="9" l="1"/>
  <c r="L434" i="9" s="1"/>
  <c r="K440" i="9"/>
  <c r="L440" i="9" s="1"/>
  <c r="K462" i="9"/>
  <c r="L462" i="9" s="1"/>
  <c r="K469" i="9"/>
  <c r="L469" i="9" s="1"/>
  <c r="K428" i="9"/>
  <c r="L428" i="9" s="1"/>
  <c r="K594" i="10"/>
  <c r="L594" i="10" s="1"/>
  <c r="K608" i="10"/>
  <c r="L608" i="10" s="1"/>
  <c r="K467" i="9"/>
  <c r="L467" i="9" s="1"/>
  <c r="T37" i="12"/>
  <c r="P33" i="12"/>
  <c r="CW129" i="12"/>
  <c r="B762" i="11"/>
  <c r="CG90" i="12"/>
  <c r="B675" i="11"/>
  <c r="B702" i="11"/>
  <c r="B689" i="11"/>
  <c r="B678" i="11"/>
  <c r="B786" i="11"/>
  <c r="B405" i="11"/>
  <c r="B683" i="11"/>
  <c r="B594" i="11"/>
  <c r="B408" i="11"/>
  <c r="EE128" i="12"/>
  <c r="L220" i="2"/>
  <c r="E12" i="12"/>
  <c r="K220" i="9" l="1"/>
  <c r="L220" i="9" s="1"/>
  <c r="K460" i="10"/>
  <c r="L460" i="10" s="1"/>
  <c r="K214" i="8"/>
  <c r="L214" i="8" s="1"/>
  <c r="K138" i="10"/>
  <c r="L138" i="10" s="1"/>
  <c r="K782" i="10"/>
  <c r="L782" i="10" s="1"/>
  <c r="B904" i="11"/>
  <c r="B363" i="11"/>
  <c r="B368" i="11"/>
  <c r="B67" i="11"/>
  <c r="B444" i="11"/>
  <c r="G15" i="12"/>
  <c r="B912" i="11"/>
  <c r="B891" i="11"/>
  <c r="B337" i="11"/>
  <c r="B937" i="11"/>
  <c r="B962" i="11"/>
  <c r="B809" i="11"/>
  <c r="B965" i="11"/>
  <c r="EI151" i="12"/>
  <c r="ET159" i="12"/>
  <c r="B951" i="11"/>
  <c r="B884" i="11"/>
  <c r="B35" i="11"/>
  <c r="B149" i="11"/>
  <c r="B406" i="11"/>
  <c r="B127" i="11"/>
  <c r="B145" i="11"/>
  <c r="CK66" i="12"/>
  <c r="CK94" i="12" s="1"/>
  <c r="B332" i="11"/>
  <c r="B881" i="11"/>
  <c r="B807" i="11"/>
  <c r="B958" i="11"/>
  <c r="B963" i="11"/>
  <c r="B949" i="11"/>
  <c r="B933" i="11"/>
  <c r="B548" i="11"/>
  <c r="DV135" i="12"/>
  <c r="B567" i="11"/>
  <c r="B685" i="11"/>
  <c r="B676" i="11"/>
  <c r="B688" i="11"/>
  <c r="B679" i="11"/>
  <c r="B707" i="11"/>
  <c r="B697" i="11"/>
  <c r="B410" i="11"/>
  <c r="B39" i="11"/>
  <c r="B936" i="11"/>
  <c r="B28" i="11"/>
  <c r="B32" i="11"/>
  <c r="B943" i="11"/>
  <c r="B30" i="11"/>
  <c r="B37" i="11"/>
  <c r="B877" i="11"/>
  <c r="B883" i="11"/>
  <c r="K399" i="2"/>
  <c r="L399" i="2" s="1"/>
  <c r="B141" i="11"/>
  <c r="CC66" i="12"/>
  <c r="CC86" i="12" s="1"/>
  <c r="B123" i="11"/>
  <c r="B338" i="11"/>
  <c r="EE140" i="12"/>
  <c r="B148" i="11"/>
  <c r="DF103" i="12"/>
  <c r="B336" i="11"/>
  <c r="B445" i="11"/>
  <c r="B788" i="11"/>
  <c r="K389" i="2"/>
  <c r="L389" i="2" s="1"/>
  <c r="EZ162" i="12"/>
  <c r="B598" i="11"/>
  <c r="K390" i="2"/>
  <c r="L390" i="2" s="1"/>
  <c r="EV158" i="12"/>
  <c r="B412" i="11"/>
  <c r="B328" i="11"/>
  <c r="B69" i="11"/>
  <c r="B340" i="11"/>
  <c r="B333" i="11"/>
  <c r="B329" i="11"/>
  <c r="BG65" i="12"/>
  <c r="BS77" i="12"/>
  <c r="FB151" i="12"/>
  <c r="B589" i="11"/>
  <c r="B600" i="11"/>
  <c r="DH105" i="12"/>
  <c r="ER107" i="12"/>
  <c r="ET109" i="12"/>
  <c r="ES108" i="12"/>
  <c r="EQ106" i="12"/>
  <c r="B764" i="11"/>
  <c r="B759" i="11"/>
  <c r="B684" i="11"/>
  <c r="B699" i="11"/>
  <c r="B415" i="11"/>
  <c r="B709" i="11"/>
  <c r="B407" i="11"/>
  <c r="B330" i="11"/>
  <c r="DF116" i="12"/>
  <c r="K385" i="2"/>
  <c r="L385" i="2" s="1"/>
  <c r="K387" i="2"/>
  <c r="L387" i="2" s="1"/>
  <c r="K222" i="2"/>
  <c r="L222" i="2" s="1"/>
  <c r="B335" i="11"/>
  <c r="B339" i="11"/>
  <c r="B147" i="11"/>
  <c r="B33" i="11"/>
  <c r="K386" i="2"/>
  <c r="L386" i="2" s="1"/>
  <c r="K388" i="2"/>
  <c r="L388" i="2" s="1"/>
  <c r="B757" i="11"/>
  <c r="B414" i="11"/>
  <c r="B907" i="11"/>
  <c r="B905" i="11"/>
  <c r="B640" i="11"/>
  <c r="K217" i="2"/>
  <c r="K221" i="2"/>
  <c r="L221" i="2" s="1"/>
  <c r="B944" i="11"/>
  <c r="EC139" i="12"/>
  <c r="DY135" i="12"/>
  <c r="DB112" i="12"/>
  <c r="B701" i="11"/>
  <c r="B596" i="11"/>
  <c r="B784" i="11"/>
  <c r="B908" i="11"/>
  <c r="B906" i="11"/>
  <c r="L216" i="2" l="1"/>
  <c r="K213" i="9" s="1"/>
  <c r="L213" i="9" s="1"/>
  <c r="L217" i="2"/>
  <c r="B633" i="11" s="1"/>
  <c r="K226" i="9"/>
  <c r="L226" i="9" s="1"/>
  <c r="K223" i="9"/>
  <c r="L223" i="9" s="1"/>
  <c r="K224" i="9"/>
  <c r="L224" i="9" s="1"/>
  <c r="K221" i="9"/>
  <c r="L221" i="9" s="1"/>
  <c r="K225" i="9"/>
  <c r="L225" i="9" s="1"/>
  <c r="K222" i="9"/>
  <c r="L222" i="9" s="1"/>
  <c r="K784" i="10"/>
  <c r="L784" i="10" s="1"/>
  <c r="K783" i="10"/>
  <c r="L783" i="10" s="1"/>
  <c r="K140" i="10"/>
  <c r="L140" i="10" s="1"/>
  <c r="K128" i="10"/>
  <c r="L128" i="10" s="1"/>
  <c r="K139" i="10"/>
  <c r="L139" i="10" s="1"/>
  <c r="K129" i="10"/>
  <c r="L129" i="10" s="1"/>
  <c r="K217" i="8"/>
  <c r="L217" i="8" s="1"/>
  <c r="K216" i="8"/>
  <c r="L216" i="8" s="1"/>
  <c r="K220" i="8"/>
  <c r="L220" i="8" s="1"/>
  <c r="K203" i="8" s="1"/>
  <c r="K219" i="8"/>
  <c r="L219" i="8" s="1"/>
  <c r="K202" i="8" s="1"/>
  <c r="K215" i="8"/>
  <c r="L215" i="8" s="1"/>
  <c r="K218" i="8"/>
  <c r="L218" i="8" s="1"/>
  <c r="K201" i="8" s="1"/>
  <c r="K461" i="10"/>
  <c r="L461" i="10" s="1"/>
  <c r="K462" i="10"/>
  <c r="L462" i="10" s="1"/>
  <c r="K483" i="10"/>
  <c r="L483" i="10" s="1"/>
  <c r="K478" i="10"/>
  <c r="L478" i="10" s="1"/>
  <c r="K566" i="10"/>
  <c r="L566" i="10" s="1"/>
  <c r="K473" i="10"/>
  <c r="L473" i="10" s="1"/>
  <c r="K888" i="10"/>
  <c r="L888" i="10" s="1"/>
  <c r="K795" i="10"/>
  <c r="L795" i="10" s="1"/>
  <c r="K800" i="10"/>
  <c r="L800" i="10" s="1"/>
  <c r="K805" i="10"/>
  <c r="L805" i="10" s="1"/>
  <c r="K245" i="10"/>
  <c r="L245" i="10" s="1"/>
  <c r="K152" i="10"/>
  <c r="L152" i="10" s="1"/>
  <c r="K157" i="10"/>
  <c r="L157" i="10" s="1"/>
  <c r="K162" i="10"/>
  <c r="L162" i="10" s="1"/>
  <c r="DU134" i="12"/>
  <c r="DW136" i="12"/>
  <c r="DG104" i="12"/>
  <c r="DL128" i="12"/>
  <c r="DN127" i="12"/>
  <c r="DM126" i="12"/>
  <c r="DO128" i="12"/>
  <c r="EK4" i="12"/>
  <c r="DS105" i="12"/>
  <c r="B404" i="11"/>
  <c r="CF89" i="12"/>
  <c r="B361" i="11"/>
  <c r="B366" i="11"/>
  <c r="E11" i="12"/>
  <c r="B403" i="11"/>
  <c r="B599" i="11"/>
  <c r="B588" i="11"/>
  <c r="B402" i="11"/>
  <c r="B716" i="11"/>
  <c r="BF52" i="12"/>
  <c r="B416" i="11"/>
  <c r="B387" i="11"/>
  <c r="B396" i="11"/>
  <c r="B703" i="11"/>
  <c r="B615" i="11"/>
  <c r="B613" i="11"/>
  <c r="B620" i="11"/>
  <c r="B618" i="11"/>
  <c r="B611" i="11"/>
  <c r="B442" i="11"/>
  <c r="B440" i="11"/>
  <c r="B712" i="11"/>
  <c r="B714" i="11"/>
  <c r="B413" i="11"/>
  <c r="B130" i="11"/>
  <c r="B139" i="11"/>
  <c r="B711" i="11"/>
  <c r="B446" i="11"/>
  <c r="G23" i="12"/>
  <c r="B957" i="11"/>
  <c r="B165" i="11"/>
  <c r="B946" i="11"/>
  <c r="B3" i="11"/>
  <c r="B804" i="11"/>
  <c r="FA4" i="12"/>
  <c r="EY4" i="12"/>
  <c r="B525" i="11"/>
  <c r="FB4" i="12"/>
  <c r="EZ4" i="12"/>
  <c r="B612" i="11"/>
  <c r="B610" i="11"/>
  <c r="B617" i="11"/>
  <c r="B619" i="11"/>
  <c r="B614" i="11"/>
  <c r="B394" i="11"/>
  <c r="B129" i="11"/>
  <c r="B138" i="11"/>
  <c r="S9" i="12"/>
  <c r="B41" i="11"/>
  <c r="G19" i="12"/>
  <c r="B164" i="11"/>
  <c r="B955" i="11"/>
  <c r="G47" i="12"/>
  <c r="B162" i="11"/>
  <c r="B941" i="11"/>
  <c r="B6" i="11"/>
  <c r="B622" i="11"/>
  <c r="B625" i="11"/>
  <c r="B824" i="11"/>
  <c r="B741" i="11"/>
  <c r="B820" i="11"/>
  <c r="B737" i="11"/>
  <c r="B495" i="11"/>
  <c r="B220" i="11"/>
  <c r="DH117" i="12"/>
  <c r="B400" i="11"/>
  <c r="B391" i="11"/>
  <c r="EO104" i="12"/>
  <c r="EP105" i="12"/>
  <c r="EM102" i="12"/>
  <c r="EN103" i="12"/>
  <c r="B483" i="11"/>
  <c r="DO4" i="12"/>
  <c r="DM4" i="12"/>
  <c r="DN4" i="12"/>
  <c r="FB163" i="12"/>
  <c r="B389" i="11"/>
  <c r="B718" i="11"/>
  <c r="ER154" i="12"/>
  <c r="EN150" i="12"/>
  <c r="CB65" i="12"/>
  <c r="CA64" i="12"/>
  <c r="G43" i="12"/>
  <c r="B939" i="11"/>
  <c r="B481" i="11"/>
  <c r="B480" i="11"/>
  <c r="D4" i="12"/>
  <c r="F4" i="12"/>
  <c r="G4" i="12"/>
  <c r="E4" i="12"/>
  <c r="B477" i="11"/>
  <c r="B478" i="11"/>
  <c r="B476" i="11"/>
  <c r="B25" i="11"/>
  <c r="B479" i="11"/>
  <c r="H21" i="12"/>
  <c r="B475" i="11"/>
  <c r="B411" i="11"/>
  <c r="B456" i="11"/>
  <c r="B572" i="11"/>
  <c r="DW4" i="12"/>
  <c r="DU4" i="12"/>
  <c r="DV4" i="12"/>
  <c r="DT4" i="12"/>
  <c r="B570" i="11"/>
  <c r="B457" i="11"/>
  <c r="DL4" i="12"/>
  <c r="B458" i="11"/>
  <c r="DJ4" i="12"/>
  <c r="DK4" i="12"/>
  <c r="DI4" i="12"/>
  <c r="B19" i="11"/>
  <c r="FA150" i="12"/>
  <c r="EZ149" i="12"/>
  <c r="B26" i="11"/>
  <c r="EH4" i="12"/>
  <c r="EG4" i="12"/>
  <c r="B485" i="11"/>
  <c r="EI4" i="12"/>
  <c r="B484" i="11"/>
  <c r="EF4" i="12"/>
  <c r="B953" i="11"/>
  <c r="B441" i="11"/>
  <c r="B443" i="11"/>
  <c r="B715" i="11"/>
  <c r="CT104" i="12"/>
  <c r="CX108" i="12"/>
  <c r="DQ128" i="12"/>
  <c r="DU132" i="12"/>
  <c r="DO140" i="12"/>
  <c r="DL140" i="12"/>
  <c r="DM138" i="12"/>
  <c r="DN139" i="12"/>
  <c r="BJ52" i="12"/>
  <c r="ED127" i="12"/>
  <c r="EC126" i="12"/>
  <c r="B601" i="11"/>
  <c r="B590" i="11"/>
  <c r="CX109" i="12"/>
  <c r="CT105" i="12"/>
  <c r="DQ127" i="12"/>
  <c r="DU131" i="12"/>
  <c r="BC61" i="12"/>
  <c r="BO73" i="12"/>
  <c r="B621" i="11"/>
  <c r="B616" i="11"/>
  <c r="B515" i="11"/>
  <c r="B627" i="11"/>
  <c r="B623" i="11"/>
  <c r="B519" i="11"/>
  <c r="B603" i="11"/>
  <c r="B592" i="11"/>
  <c r="G51" i="12"/>
  <c r="B393" i="11"/>
  <c r="B398" i="11"/>
  <c r="B705" i="11"/>
  <c r="B395" i="11"/>
  <c r="B524" i="11"/>
  <c r="B17" i="11"/>
  <c r="B234" i="11"/>
  <c r="B373" i="11"/>
  <c r="ER155" i="12"/>
  <c r="EN151" i="12"/>
  <c r="B832" i="11"/>
  <c r="B814" i="11"/>
  <c r="B710" i="11"/>
  <c r="B27" i="11"/>
  <c r="B31" i="11"/>
  <c r="B954" i="11"/>
  <c r="B882" i="11"/>
  <c r="B38" i="11"/>
  <c r="B29" i="11"/>
  <c r="B36" i="11"/>
  <c r="B878" i="11"/>
  <c r="B7" i="11"/>
  <c r="B934" i="11"/>
  <c r="B501" i="11"/>
  <c r="B163" i="11"/>
  <c r="B161" i="11"/>
  <c r="EI163" i="12"/>
  <c r="B717" i="11"/>
  <c r="B773" i="11"/>
  <c r="DR4" i="12"/>
  <c r="B547" i="11"/>
  <c r="DP4" i="12"/>
  <c r="DS4" i="12"/>
  <c r="DQ4" i="12"/>
  <c r="DZ4" i="12"/>
  <c r="DX4" i="12"/>
  <c r="DY4" i="12"/>
  <c r="EA4" i="12"/>
  <c r="B516" i="11"/>
  <c r="EQ4" i="12"/>
  <c r="ET4" i="12"/>
  <c r="ER4" i="12"/>
  <c r="ES4" i="12"/>
  <c r="B579" i="11"/>
  <c r="CJ65" i="12"/>
  <c r="CI64" i="12"/>
  <c r="B131" i="11"/>
  <c r="B140" i="11"/>
  <c r="ER157" i="12"/>
  <c r="ES158" i="12"/>
  <c r="EW4" i="12"/>
  <c r="EU4" i="12"/>
  <c r="EV4" i="12"/>
  <c r="EX4" i="12"/>
  <c r="B520" i="11"/>
  <c r="EN4" i="12"/>
  <c r="EM4" i="12"/>
  <c r="EO4" i="12"/>
  <c r="EP4" i="12"/>
  <c r="B566" i="11"/>
  <c r="B775" i="11"/>
  <c r="B713" i="11"/>
  <c r="K455" i="10" l="1"/>
  <c r="L455" i="10" s="1"/>
  <c r="B569" i="11"/>
  <c r="B606" i="11"/>
  <c r="K133" i="10"/>
  <c r="L133" i="10" s="1"/>
  <c r="B637" i="11"/>
  <c r="B550" i="11"/>
  <c r="B899" i="11"/>
  <c r="B535" i="11"/>
  <c r="B541" i="11"/>
  <c r="K135" i="10"/>
  <c r="L135" i="10" s="1"/>
  <c r="K210" i="8"/>
  <c r="L210" i="8" s="1"/>
  <c r="K134" i="10"/>
  <c r="L134" i="10" s="1"/>
  <c r="K215" i="9"/>
  <c r="L215" i="9" s="1"/>
  <c r="B901" i="11"/>
  <c r="B635" i="11"/>
  <c r="K777" i="10"/>
  <c r="L777" i="10" s="1"/>
  <c r="B903" i="11"/>
  <c r="K207" i="8"/>
  <c r="L207" i="8" s="1"/>
  <c r="B902" i="11"/>
  <c r="B630" i="11"/>
  <c r="K456" i="10"/>
  <c r="L456" i="10" s="1"/>
  <c r="L637" i="10" s="1"/>
  <c r="K203" i="9"/>
  <c r="L203" i="9" s="1"/>
  <c r="B638" i="11"/>
  <c r="B900" i="11"/>
  <c r="B561" i="11"/>
  <c r="K457" i="10"/>
  <c r="L457" i="10" s="1"/>
  <c r="L962" i="10" s="1"/>
  <c r="K779" i="10"/>
  <c r="L779" i="10" s="1"/>
  <c r="K771" i="10" s="1"/>
  <c r="L771" i="10" s="1"/>
  <c r="K216" i="9"/>
  <c r="L216" i="9" s="1"/>
  <c r="K213" i="2"/>
  <c r="L213" i="2" s="1"/>
  <c r="B631" i="11"/>
  <c r="K202" i="9"/>
  <c r="L202" i="9" s="1"/>
  <c r="B531" i="11"/>
  <c r="K208" i="8"/>
  <c r="L208" i="8" s="1"/>
  <c r="K195" i="8" s="1"/>
  <c r="L195" i="8" s="1"/>
  <c r="B628" i="11"/>
  <c r="B629" i="11"/>
  <c r="K209" i="8"/>
  <c r="L209" i="8" s="1"/>
  <c r="K126" i="10"/>
  <c r="L126" i="10" s="1"/>
  <c r="K778" i="10"/>
  <c r="L778" i="10" s="1"/>
  <c r="K770" i="10" s="1"/>
  <c r="L770" i="10" s="1"/>
  <c r="K201" i="9"/>
  <c r="L201" i="9" s="1"/>
  <c r="B527" i="11"/>
  <c r="B578" i="11"/>
  <c r="K127" i="10"/>
  <c r="L127" i="10" s="1"/>
  <c r="K214" i="9"/>
  <c r="L214" i="9" s="1"/>
  <c r="B573" i="11"/>
  <c r="K158" i="10"/>
  <c r="L158" i="10" s="1"/>
  <c r="K148" i="10"/>
  <c r="L148" i="10" s="1"/>
  <c r="K801" i="10"/>
  <c r="L801" i="10" s="1"/>
  <c r="K791" i="10"/>
  <c r="L791" i="10" s="1"/>
  <c r="K469" i="10"/>
  <c r="L469" i="10" s="1"/>
  <c r="K474" i="10"/>
  <c r="L474" i="10" s="1"/>
  <c r="K198" i="8"/>
  <c r="L198" i="8" s="1"/>
  <c r="L203" i="8"/>
  <c r="K200" i="8"/>
  <c r="L200" i="8" s="1"/>
  <c r="K102" i="10"/>
  <c r="L102" i="10" s="1"/>
  <c r="K95" i="10" s="1"/>
  <c r="L95" i="10" s="1"/>
  <c r="K208" i="9"/>
  <c r="L208" i="9" s="1"/>
  <c r="K149" i="9"/>
  <c r="L149" i="9" s="1"/>
  <c r="B420" i="11" s="1"/>
  <c r="K207" i="9"/>
  <c r="L207" i="9" s="1"/>
  <c r="K153" i="10"/>
  <c r="L153" i="10" s="1"/>
  <c r="K796" i="10"/>
  <c r="L796" i="10" s="1"/>
  <c r="K479" i="10"/>
  <c r="L479" i="10" s="1"/>
  <c r="K450" i="10"/>
  <c r="L450" i="10" s="1"/>
  <c r="L202" i="8"/>
  <c r="K199" i="8"/>
  <c r="L199" i="8" s="1"/>
  <c r="K772" i="10"/>
  <c r="L772" i="10" s="1"/>
  <c r="K205" i="9"/>
  <c r="L205" i="9" s="1"/>
  <c r="K204" i="9"/>
  <c r="L204" i="9" s="1"/>
  <c r="K206" i="9"/>
  <c r="L206" i="9" s="1"/>
  <c r="K209" i="9"/>
  <c r="L209" i="9" s="1"/>
  <c r="K746" i="10"/>
  <c r="L746" i="10" s="1"/>
  <c r="K773" i="10"/>
  <c r="L773" i="10" s="1"/>
  <c r="L201" i="8"/>
  <c r="K143" i="8"/>
  <c r="L143" i="8" s="1"/>
  <c r="K133" i="8" s="1"/>
  <c r="L133" i="8" s="1"/>
  <c r="K424" i="10"/>
  <c r="L424" i="10" s="1"/>
  <c r="K451" i="10"/>
  <c r="L451" i="10" s="1"/>
  <c r="K928" i="10"/>
  <c r="L928" i="10" s="1"/>
  <c r="K910" i="10"/>
  <c r="L910" i="10" s="1"/>
  <c r="K889" i="10"/>
  <c r="L889" i="10" s="1"/>
  <c r="K606" i="10"/>
  <c r="L606" i="10" s="1"/>
  <c r="K588" i="10"/>
  <c r="L588" i="10" s="1"/>
  <c r="K567" i="10"/>
  <c r="L567" i="10" s="1"/>
  <c r="K285" i="10"/>
  <c r="L285" i="10" s="1"/>
  <c r="K267" i="10"/>
  <c r="L267" i="10" s="1"/>
  <c r="K246" i="10"/>
  <c r="L246" i="10" s="1"/>
  <c r="B945" i="11"/>
  <c r="DQ103" i="12"/>
  <c r="EK162" i="12"/>
  <c r="DP102" i="12"/>
  <c r="B636" i="11"/>
  <c r="DR104" i="12"/>
  <c r="DN123" i="12"/>
  <c r="B217" i="11"/>
  <c r="EJ161" i="12"/>
  <c r="EJ4" i="12"/>
  <c r="B504" i="11"/>
  <c r="EJ149" i="12"/>
  <c r="EL151" i="12"/>
  <c r="EL163" i="12"/>
  <c r="EK150" i="12"/>
  <c r="B940" i="11"/>
  <c r="B63" i="11"/>
  <c r="EL4" i="12"/>
  <c r="B639" i="11"/>
  <c r="B932" i="11"/>
  <c r="J51" i="12"/>
  <c r="B803" i="11"/>
  <c r="I50" i="12"/>
  <c r="DK139" i="12"/>
  <c r="B565" i="11"/>
  <c r="B938" i="11"/>
  <c r="B537" i="11"/>
  <c r="H49" i="12"/>
  <c r="B364" i="11"/>
  <c r="B369" i="11"/>
  <c r="B362" i="11"/>
  <c r="B367" i="11"/>
  <c r="B365" i="11"/>
  <c r="B360" i="11"/>
  <c r="EV159" i="12"/>
  <c r="AB34" i="12"/>
  <c r="DT133" i="12"/>
  <c r="BC4" i="12"/>
  <c r="BU4" i="12"/>
  <c r="B956" i="11"/>
  <c r="AN47" i="12"/>
  <c r="AN45" i="12" s="1"/>
  <c r="CA86" i="12"/>
  <c r="CB4" i="12"/>
  <c r="BZ4" i="12"/>
  <c r="CC4" i="12"/>
  <c r="B487" i="11"/>
  <c r="CA4" i="12"/>
  <c r="B571" i="11"/>
  <c r="B549" i="11"/>
  <c r="AW4" i="12"/>
  <c r="B463" i="11"/>
  <c r="B462" i="11"/>
  <c r="B466" i="11"/>
  <c r="B465" i="11"/>
  <c r="B464" i="11"/>
  <c r="B461" i="11"/>
  <c r="AU4" i="12"/>
  <c r="B467" i="11"/>
  <c r="B20" i="11"/>
  <c r="AV4" i="12"/>
  <c r="AX4" i="12"/>
  <c r="AY64" i="12"/>
  <c r="B493" i="11"/>
  <c r="CG4" i="12"/>
  <c r="CE4" i="12"/>
  <c r="CD4" i="12"/>
  <c r="CF4" i="12"/>
  <c r="B460" i="11"/>
  <c r="AX94" i="12"/>
  <c r="B155" i="11"/>
  <c r="B580" i="11"/>
  <c r="B568" i="11"/>
  <c r="FA162" i="12"/>
  <c r="B942" i="11"/>
  <c r="B500" i="11"/>
  <c r="B960" i="11"/>
  <c r="B808" i="11"/>
  <c r="B952" i="11"/>
  <c r="CO105" i="12"/>
  <c r="B523" i="11"/>
  <c r="B950" i="11"/>
  <c r="B935" i="11"/>
  <c r="B964" i="11"/>
  <c r="B68" i="11"/>
  <c r="B972" i="11"/>
  <c r="B157" i="11"/>
  <c r="B926" i="11"/>
  <c r="AX66" i="12"/>
  <c r="B40" i="11"/>
  <c r="B830" i="11"/>
  <c r="B156" i="11"/>
  <c r="AX62" i="12"/>
  <c r="B924" i="11"/>
  <c r="B154" i="11"/>
  <c r="AX90" i="12"/>
  <c r="B221" i="11"/>
  <c r="DY130" i="12"/>
  <c r="EA132" i="12"/>
  <c r="EA136" i="12" s="1"/>
  <c r="DZ131" i="12"/>
  <c r="DZ135" i="12" s="1"/>
  <c r="B744" i="11"/>
  <c r="B526" i="11"/>
  <c r="B827" i="11"/>
  <c r="B494" i="11"/>
  <c r="B821" i="11"/>
  <c r="B738" i="11"/>
  <c r="B750" i="11"/>
  <c r="CS95" i="12"/>
  <c r="DY136" i="12"/>
  <c r="BB71" i="12"/>
  <c r="BO74" i="12"/>
  <c r="BW82" i="12"/>
  <c r="BS78" i="12"/>
  <c r="V39" i="12"/>
  <c r="B811" i="11"/>
  <c r="B829" i="11"/>
  <c r="DT106" i="12"/>
  <c r="DU107" i="12"/>
  <c r="DW109" i="12"/>
  <c r="DV108" i="12"/>
  <c r="AX58" i="12"/>
  <c r="F54" i="12"/>
  <c r="G55" i="12"/>
  <c r="D52" i="12"/>
  <c r="E53" i="12"/>
  <c r="AJ4" i="12"/>
  <c r="B490" i="11"/>
  <c r="AI4" i="12"/>
  <c r="AL4" i="12"/>
  <c r="AK4" i="12"/>
  <c r="I42" i="12"/>
  <c r="J43" i="12"/>
  <c r="DK123" i="12"/>
  <c r="AV56" i="12"/>
  <c r="AV92" i="12"/>
  <c r="AV84" i="12"/>
  <c r="AV88" i="12"/>
  <c r="B422" i="11"/>
  <c r="B423" i="11"/>
  <c r="B436" i="11"/>
  <c r="CJ93" i="12"/>
  <c r="AQ20" i="12"/>
  <c r="B555" i="11"/>
  <c r="B752" i="11"/>
  <c r="DB113" i="12"/>
  <c r="AM4" i="12"/>
  <c r="AP4" i="12"/>
  <c r="AO4" i="12"/>
  <c r="AN4" i="12"/>
  <c r="B496" i="11"/>
  <c r="H45" i="12"/>
  <c r="Y4" i="12"/>
  <c r="W4" i="12"/>
  <c r="X4" i="12"/>
  <c r="Z4" i="12"/>
  <c r="J19" i="12"/>
  <c r="I18" i="12"/>
  <c r="AA4" i="12"/>
  <c r="AB4" i="12"/>
  <c r="AD4" i="12"/>
  <c r="AC4" i="12"/>
  <c r="I22" i="12"/>
  <c r="B834" i="11"/>
  <c r="B816" i="11"/>
  <c r="B222" i="11"/>
  <c r="B828" i="11"/>
  <c r="B810" i="11"/>
  <c r="B509" i="11"/>
  <c r="B489" i="11"/>
  <c r="B8" i="11"/>
  <c r="AR4" i="12"/>
  <c r="B502" i="11"/>
  <c r="AS4" i="12"/>
  <c r="AT4" i="12"/>
  <c r="AQ4" i="12"/>
  <c r="B153" i="11"/>
  <c r="AX86" i="12"/>
  <c r="EH162" i="12"/>
  <c r="EH150" i="12"/>
  <c r="EH146" i="12"/>
  <c r="AW89" i="12"/>
  <c r="AW57" i="12"/>
  <c r="AW93" i="12"/>
  <c r="AW85" i="12"/>
  <c r="B823" i="11"/>
  <c r="B740" i="11"/>
  <c r="BB52" i="12"/>
  <c r="O9" i="12"/>
  <c r="B754" i="11"/>
  <c r="B826" i="11"/>
  <c r="B743" i="11"/>
  <c r="B930" i="11"/>
  <c r="B813" i="11"/>
  <c r="B831" i="11"/>
  <c r="AF39" i="12"/>
  <c r="X31" i="12"/>
  <c r="AB35" i="12"/>
  <c r="L18" i="12"/>
  <c r="EC4" i="12"/>
  <c r="ED4" i="12"/>
  <c r="B505" i="11"/>
  <c r="EB4" i="12"/>
  <c r="EE4" i="12"/>
  <c r="DL98" i="12"/>
  <c r="DK97" i="12"/>
  <c r="DI95" i="12"/>
  <c r="DJ96" i="12"/>
  <c r="B815" i="11"/>
  <c r="B833" i="11"/>
  <c r="H4" i="12"/>
  <c r="I4" i="12"/>
  <c r="J4" i="12"/>
  <c r="H41" i="12"/>
  <c r="E49" i="12"/>
  <c r="E45" i="12"/>
  <c r="E13" i="12"/>
  <c r="T26" i="12"/>
  <c r="EG96" i="12"/>
  <c r="EI98" i="12"/>
  <c r="EF95" i="12"/>
  <c r="EH97" i="12"/>
  <c r="B15" i="11"/>
  <c r="B371" i="11"/>
  <c r="B232" i="11"/>
  <c r="EM141" i="12"/>
  <c r="B2" i="11"/>
  <c r="CI92" i="12"/>
  <c r="B543" i="11"/>
  <c r="B497" i="11"/>
  <c r="B739" i="11"/>
  <c r="B822" i="11"/>
  <c r="DO124" i="12"/>
  <c r="AI20" i="12"/>
  <c r="B491" i="11"/>
  <c r="B503" i="11"/>
  <c r="B634" i="11"/>
  <c r="DM122" i="12"/>
  <c r="I46" i="12"/>
  <c r="J47" i="12"/>
  <c r="B532" i="11"/>
  <c r="M4" i="12"/>
  <c r="L4" i="12"/>
  <c r="K4" i="12"/>
  <c r="B534" i="11"/>
  <c r="N4" i="12"/>
  <c r="H25" i="12"/>
  <c r="I26" i="12"/>
  <c r="G27" i="12"/>
  <c r="J27" i="12"/>
  <c r="B806" i="11"/>
  <c r="B166" i="11"/>
  <c r="B948" i="11"/>
  <c r="B66" i="11"/>
  <c r="B961" i="11"/>
  <c r="B5" i="11"/>
  <c r="B513" i="11"/>
  <c r="H17" i="12"/>
  <c r="DG116" i="12"/>
  <c r="ED139" i="12"/>
  <c r="B486" i="11"/>
  <c r="B751" i="11"/>
  <c r="B492" i="11"/>
  <c r="B219" i="11"/>
  <c r="Q4" i="12"/>
  <c r="B542" i="11"/>
  <c r="O4" i="12"/>
  <c r="P4" i="12"/>
  <c r="R4" i="12"/>
  <c r="B544" i="11"/>
  <c r="J23" i="12"/>
  <c r="B216" i="11"/>
  <c r="BO60" i="12"/>
  <c r="BQ62" i="12"/>
  <c r="BP61" i="12"/>
  <c r="B812" i="11"/>
  <c r="B753" i="11"/>
  <c r="DK127" i="12"/>
  <c r="B488" i="11"/>
  <c r="B819" i="11"/>
  <c r="B736" i="11"/>
  <c r="B825" i="11"/>
  <c r="B506" i="11"/>
  <c r="B742" i="11"/>
  <c r="K196" i="8" l="1"/>
  <c r="L196" i="8" s="1"/>
  <c r="K197" i="8"/>
  <c r="L197" i="8" s="1"/>
  <c r="K205" i="8"/>
  <c r="L205" i="8" s="1"/>
  <c r="B649" i="11" s="1"/>
  <c r="B609" i="11"/>
  <c r="B482" i="11"/>
  <c r="K131" i="10"/>
  <c r="L131" i="10" s="1"/>
  <c r="K84" i="10" s="1"/>
  <c r="L84" i="10" s="1"/>
  <c r="K125" i="10"/>
  <c r="L125" i="10" s="1"/>
  <c r="B604" i="11"/>
  <c r="B605" i="11"/>
  <c r="K200" i="9"/>
  <c r="L200" i="9" s="1"/>
  <c r="B608" i="11"/>
  <c r="B474" i="11"/>
  <c r="K775" i="10"/>
  <c r="L775" i="10" s="1"/>
  <c r="K769" i="10" s="1"/>
  <c r="L769" i="10" s="1"/>
  <c r="B607" i="11"/>
  <c r="B468" i="11"/>
  <c r="K453" i="10"/>
  <c r="L453" i="10" s="1"/>
  <c r="B455" i="11"/>
  <c r="K211" i="9"/>
  <c r="L211" i="9" s="1"/>
  <c r="B459" i="11"/>
  <c r="L319" i="10"/>
  <c r="K449" i="10"/>
  <c r="L449" i="10" s="1"/>
  <c r="L640" i="10"/>
  <c r="K448" i="10"/>
  <c r="L448" i="10" s="1"/>
  <c r="L540" i="9"/>
  <c r="L316" i="10"/>
  <c r="L959" i="10"/>
  <c r="L534" i="8"/>
  <c r="K97" i="10"/>
  <c r="L97" i="10" s="1"/>
  <c r="K81" i="10" s="1"/>
  <c r="L81" i="10" s="1"/>
  <c r="K790" i="10"/>
  <c r="L790" i="10" s="1"/>
  <c r="EG143" i="12" s="1"/>
  <c r="K265" i="10"/>
  <c r="L265" i="10" s="1"/>
  <c r="K147" i="10"/>
  <c r="L147" i="10" s="1"/>
  <c r="K586" i="10"/>
  <c r="L586" i="10" s="1"/>
  <c r="K892" i="10"/>
  <c r="L892" i="10" s="1"/>
  <c r="K926" i="10"/>
  <c r="L926" i="10" s="1"/>
  <c r="K145" i="9"/>
  <c r="L145" i="9" s="1"/>
  <c r="K146" i="9"/>
  <c r="L146" i="9" s="1"/>
  <c r="K147" i="9"/>
  <c r="L147" i="9" s="1"/>
  <c r="K139" i="9"/>
  <c r="L139" i="9" s="1"/>
  <c r="K249" i="10"/>
  <c r="L249" i="10" s="1"/>
  <c r="K283" i="10"/>
  <c r="L283" i="10" s="1"/>
  <c r="K570" i="10"/>
  <c r="L570" i="10" s="1"/>
  <c r="K604" i="10"/>
  <c r="L604" i="10" s="1"/>
  <c r="K908" i="10"/>
  <c r="L908" i="10" s="1"/>
  <c r="DJ121" i="12"/>
  <c r="K468" i="10"/>
  <c r="L468" i="10" s="1"/>
  <c r="EG144" i="12"/>
  <c r="CM98" i="12"/>
  <c r="K139" i="8"/>
  <c r="L139" i="8" s="1"/>
  <c r="K141" i="8"/>
  <c r="L141" i="8" s="1"/>
  <c r="K140" i="8"/>
  <c r="L140" i="8" s="1"/>
  <c r="K741" i="10"/>
  <c r="L741" i="10" s="1"/>
  <c r="K739" i="10"/>
  <c r="L739" i="10" s="1"/>
  <c r="K419" i="10"/>
  <c r="L419" i="10" s="1"/>
  <c r="K417" i="10"/>
  <c r="L417" i="10" s="1"/>
  <c r="EK146" i="12"/>
  <c r="F46" i="12"/>
  <c r="E41" i="12"/>
  <c r="EL147" i="12"/>
  <c r="B517" i="11"/>
  <c r="BB4" i="12"/>
  <c r="CN143" i="12"/>
  <c r="B424" i="11"/>
  <c r="EJ145" i="12"/>
  <c r="B218" i="11"/>
  <c r="BF59" i="12"/>
  <c r="BC72" i="12"/>
  <c r="BE74" i="12"/>
  <c r="B528" i="11"/>
  <c r="CO121" i="12"/>
  <c r="B508" i="11"/>
  <c r="BD4" i="12"/>
  <c r="DY134" i="12"/>
  <c r="BA66" i="12"/>
  <c r="AZ65" i="12"/>
  <c r="BS4" i="12"/>
  <c r="B536" i="11"/>
  <c r="B498" i="11"/>
  <c r="BG76" i="12"/>
  <c r="B530" i="11"/>
  <c r="BF4" i="12"/>
  <c r="CN104" i="12"/>
  <c r="BH77" i="12"/>
  <c r="BT4" i="12"/>
  <c r="BI4" i="12"/>
  <c r="AY92" i="12"/>
  <c r="BA62" i="12"/>
  <c r="AZ93" i="12"/>
  <c r="BA86" i="12"/>
  <c r="AZ89" i="12"/>
  <c r="AY84" i="12"/>
  <c r="BA90" i="12"/>
  <c r="B507" i="11"/>
  <c r="AZ61" i="12"/>
  <c r="BR4" i="12"/>
  <c r="BA94" i="12"/>
  <c r="B538" i="11"/>
  <c r="BG4" i="12"/>
  <c r="AZ85" i="12"/>
  <c r="AY88" i="12"/>
  <c r="AY60" i="12"/>
  <c r="BI78" i="12"/>
  <c r="BH4" i="12"/>
  <c r="CN116" i="12"/>
  <c r="CO117" i="12"/>
  <c r="DF117" i="12"/>
  <c r="DF115" i="12" s="1"/>
  <c r="AR51" i="12"/>
  <c r="AR49" i="12" s="1"/>
  <c r="BD73" i="12"/>
  <c r="BE4" i="12"/>
  <c r="BB67" i="12"/>
  <c r="CE90" i="12"/>
  <c r="CE88" i="12" s="1"/>
  <c r="EQ156" i="12"/>
  <c r="CW110" i="12"/>
  <c r="AW65" i="12"/>
  <c r="AW61" i="12"/>
  <c r="AW69" i="12"/>
  <c r="BN59" i="12"/>
  <c r="O16" i="12"/>
  <c r="P22" i="12"/>
  <c r="P23" i="12"/>
  <c r="S36" i="12"/>
  <c r="B514" i="11"/>
  <c r="AH27" i="12"/>
  <c r="AF25" i="12"/>
  <c r="AG26" i="12"/>
  <c r="DL124" i="12"/>
  <c r="CO101" i="12"/>
  <c r="DE102" i="12"/>
  <c r="B434" i="11"/>
  <c r="B439" i="11"/>
  <c r="B433" i="11"/>
  <c r="CH63" i="12"/>
  <c r="CA84" i="12"/>
  <c r="BT65" i="12"/>
  <c r="BU66" i="12"/>
  <c r="BS64" i="12"/>
  <c r="I14" i="12"/>
  <c r="B922" i="11"/>
  <c r="AJ43" i="12"/>
  <c r="AF38" i="12"/>
  <c r="AV68" i="12"/>
  <c r="AV60" i="12"/>
  <c r="AV64" i="12"/>
  <c r="AV10" i="12"/>
  <c r="AX12" i="12"/>
  <c r="AU9" i="12"/>
  <c r="AW11" i="12"/>
  <c r="BJ79" i="12"/>
  <c r="W16" i="12"/>
  <c r="EY148" i="12"/>
  <c r="DX129" i="12"/>
  <c r="CB85" i="12"/>
  <c r="BQ4" i="12"/>
  <c r="BN4" i="12"/>
  <c r="BP4" i="12"/>
  <c r="BO4" i="12"/>
  <c r="B966" i="11"/>
  <c r="B540" i="11"/>
  <c r="CX4" i="12"/>
  <c r="CZ4" i="12"/>
  <c r="CY4" i="12"/>
  <c r="CW4" i="12"/>
  <c r="B577" i="11"/>
  <c r="CX111" i="12"/>
  <c r="DF4" i="12"/>
  <c r="DG4" i="12"/>
  <c r="B522" i="11"/>
  <c r="DE4" i="12"/>
  <c r="DH4" i="12"/>
  <c r="CZ113" i="12"/>
  <c r="CT4" i="12"/>
  <c r="CS4" i="12"/>
  <c r="CU4" i="12"/>
  <c r="CV4" i="12"/>
  <c r="B556" i="11"/>
  <c r="B774" i="11"/>
  <c r="B557" i="11"/>
  <c r="B559" i="11"/>
  <c r="B574" i="11"/>
  <c r="ES150" i="12"/>
  <c r="ER149" i="12"/>
  <c r="ET151" i="12"/>
  <c r="EQ148" i="12"/>
  <c r="EM152" i="12"/>
  <c r="EM148" i="12" s="1"/>
  <c r="EO154" i="12"/>
  <c r="EN153" i="12"/>
  <c r="EP155" i="12"/>
  <c r="DP129" i="12"/>
  <c r="DR131" i="12"/>
  <c r="DQ130" i="12"/>
  <c r="DS132" i="12"/>
  <c r="B521" i="11"/>
  <c r="BQ74" i="12"/>
  <c r="B915" i="11"/>
  <c r="B917" i="11"/>
  <c r="B919" i="11"/>
  <c r="AF4" i="12"/>
  <c r="AE4" i="12"/>
  <c r="AG4" i="12"/>
  <c r="AH4" i="12"/>
  <c r="G12" i="12"/>
  <c r="EB125" i="12"/>
  <c r="BZ63" i="12"/>
  <c r="BP73" i="12"/>
  <c r="BO72" i="12"/>
  <c r="E25" i="12"/>
  <c r="E17" i="12"/>
  <c r="E21" i="12"/>
  <c r="H13" i="12"/>
  <c r="B562" i="11"/>
  <c r="V4" i="12"/>
  <c r="T4" i="12"/>
  <c r="S4" i="12"/>
  <c r="U4" i="12"/>
  <c r="K24" i="12"/>
  <c r="L25" i="12"/>
  <c r="M26" i="12"/>
  <c r="N27" i="12"/>
  <c r="AM20" i="12"/>
  <c r="O32" i="12"/>
  <c r="B563" i="11"/>
  <c r="DC108" i="12"/>
  <c r="DD109" i="12"/>
  <c r="B518" i="11"/>
  <c r="DB107" i="12"/>
  <c r="B417" i="11"/>
  <c r="B435" i="11"/>
  <c r="B418" i="11"/>
  <c r="B425" i="11"/>
  <c r="B426" i="11"/>
  <c r="B437" i="11"/>
  <c r="B372" i="11"/>
  <c r="B16" i="11"/>
  <c r="B233" i="11"/>
  <c r="B923" i="11"/>
  <c r="B18" i="11"/>
  <c r="B374" i="11"/>
  <c r="B235" i="11"/>
  <c r="EZ163" i="12"/>
  <c r="AA20" i="12"/>
  <c r="EV153" i="12"/>
  <c r="EW154" i="12"/>
  <c r="EX155" i="12"/>
  <c r="J15" i="12"/>
  <c r="X30" i="12"/>
  <c r="BF75" i="12"/>
  <c r="B695" i="11"/>
  <c r="B421" i="11"/>
  <c r="B419" i="11"/>
  <c r="B510" i="11"/>
  <c r="B921" i="11"/>
  <c r="EC140" i="12"/>
  <c r="BA70" i="12"/>
  <c r="AZ69" i="12"/>
  <c r="AY68" i="12"/>
  <c r="B158" i="11"/>
  <c r="AX70" i="12"/>
  <c r="B4" i="11"/>
  <c r="B929" i="11"/>
  <c r="B65" i="11"/>
  <c r="BL81" i="12"/>
  <c r="B511" i="11"/>
  <c r="B805" i="11"/>
  <c r="B959" i="11"/>
  <c r="B947" i="11"/>
  <c r="CY112" i="12"/>
  <c r="DA4" i="12"/>
  <c r="DB4" i="12"/>
  <c r="DC4" i="12"/>
  <c r="DD4" i="12"/>
  <c r="B470" i="11"/>
  <c r="CM4" i="12"/>
  <c r="CL4" i="12"/>
  <c r="CN4" i="12"/>
  <c r="CO4" i="12"/>
  <c r="B471" i="11"/>
  <c r="B469" i="11"/>
  <c r="B473" i="11"/>
  <c r="B472" i="11"/>
  <c r="CI4" i="12"/>
  <c r="CH4" i="12"/>
  <c r="B499" i="11"/>
  <c r="CK4" i="12"/>
  <c r="CJ4" i="12"/>
  <c r="AZ4" i="12"/>
  <c r="BA4" i="12"/>
  <c r="AY4" i="12"/>
  <c r="DW128" i="12"/>
  <c r="DV127" i="12"/>
  <c r="DT125" i="12"/>
  <c r="DU126" i="12"/>
  <c r="B722" i="11" l="1"/>
  <c r="K407" i="10"/>
  <c r="L407" i="10" s="1"/>
  <c r="L313" i="10"/>
  <c r="K124" i="8"/>
  <c r="L124" i="8" s="1"/>
  <c r="B647" i="11"/>
  <c r="K85" i="10"/>
  <c r="L85" i="10" s="1"/>
  <c r="K83" i="10" s="1"/>
  <c r="L83" i="10" s="1"/>
  <c r="B652" i="11"/>
  <c r="K447" i="10"/>
  <c r="L447" i="10" s="1"/>
  <c r="L525" i="8"/>
  <c r="B654" i="11"/>
  <c r="K194" i="8"/>
  <c r="L194" i="8" s="1"/>
  <c r="L634" i="10"/>
  <c r="DK120" i="12" s="1"/>
  <c r="L956" i="10"/>
  <c r="EH143" i="12" s="1"/>
  <c r="K123" i="8"/>
  <c r="L123" i="8" s="1"/>
  <c r="L531" i="9"/>
  <c r="K119" i="8"/>
  <c r="L119" i="8" s="1"/>
  <c r="K118" i="8"/>
  <c r="L118" i="8" s="1"/>
  <c r="DJ120" i="12"/>
  <c r="K906" i="10"/>
  <c r="L906" i="10" s="1"/>
  <c r="K602" i="10"/>
  <c r="L602" i="10" s="1"/>
  <c r="K562" i="10"/>
  <c r="L562" i="10" s="1"/>
  <c r="K281" i="10"/>
  <c r="L281" i="10" s="1"/>
  <c r="K241" i="10"/>
  <c r="L241" i="10" s="1"/>
  <c r="CM99" i="12" s="1"/>
  <c r="K126" i="9"/>
  <c r="L126" i="9" s="1"/>
  <c r="K124" i="9"/>
  <c r="L124" i="9" s="1"/>
  <c r="K924" i="10"/>
  <c r="L924" i="10" s="1"/>
  <c r="K884" i="10"/>
  <c r="L884" i="10" s="1"/>
  <c r="K584" i="10"/>
  <c r="L584" i="10" s="1"/>
  <c r="K403" i="10"/>
  <c r="L403" i="10" s="1"/>
  <c r="EB118" i="12" s="1"/>
  <c r="K725" i="10"/>
  <c r="L725" i="10" s="1"/>
  <c r="EY141" i="12" s="1"/>
  <c r="K120" i="8"/>
  <c r="L120" i="8" s="1"/>
  <c r="K130" i="9"/>
  <c r="L130" i="9" s="1"/>
  <c r="K129" i="9"/>
  <c r="L129" i="9" s="1"/>
  <c r="K125" i="9"/>
  <c r="L125" i="9" s="1"/>
  <c r="CM97" i="12"/>
  <c r="K263" i="10"/>
  <c r="L263" i="10" s="1"/>
  <c r="K406" i="10"/>
  <c r="L406" i="10" s="1"/>
  <c r="K728" i="10"/>
  <c r="L728" i="10" s="1"/>
  <c r="K729" i="10"/>
  <c r="L729" i="10" s="1"/>
  <c r="CO144" i="12"/>
  <c r="CM142" i="12"/>
  <c r="CN120" i="12"/>
  <c r="CL141" i="12"/>
  <c r="CM119" i="12"/>
  <c r="CL118" i="12"/>
  <c r="F14" i="12"/>
  <c r="F18" i="12"/>
  <c r="F50" i="12"/>
  <c r="AY56" i="12"/>
  <c r="B721" i="11"/>
  <c r="EQ152" i="12"/>
  <c r="B723" i="11"/>
  <c r="CN100" i="12"/>
  <c r="CP4" i="12"/>
  <c r="CQ4" i="12"/>
  <c r="CR4" i="12"/>
  <c r="CP103" i="12"/>
  <c r="CR105" i="12"/>
  <c r="CR117" i="12"/>
  <c r="CP115" i="12"/>
  <c r="CQ116" i="12"/>
  <c r="CQ104" i="12"/>
  <c r="EU152" i="12"/>
  <c r="B552" i="11"/>
  <c r="BL4" i="12"/>
  <c r="BM4" i="12"/>
  <c r="BK4" i="12"/>
  <c r="B551" i="11"/>
  <c r="BJ4" i="12"/>
  <c r="BM82" i="12"/>
  <c r="BK80" i="12"/>
  <c r="EC138" i="12"/>
  <c r="Y18" i="12"/>
  <c r="AC22" i="12"/>
  <c r="CD63" i="12"/>
  <c r="EW158" i="12"/>
  <c r="EZ161" i="12"/>
  <c r="B725" i="11"/>
  <c r="EI147" i="12"/>
  <c r="DB111" i="12"/>
  <c r="DA106" i="12"/>
  <c r="DC112" i="12"/>
  <c r="BW68" i="12"/>
  <c r="BY70" i="12"/>
  <c r="BX69" i="12"/>
  <c r="DS128" i="12"/>
  <c r="DR127" i="12"/>
  <c r="EP151" i="12"/>
  <c r="EO150" i="12"/>
  <c r="ER153" i="12"/>
  <c r="CS125" i="12"/>
  <c r="CU127" i="12"/>
  <c r="CV128" i="12"/>
  <c r="CT126" i="12"/>
  <c r="CS148" i="12"/>
  <c r="CW152" i="12"/>
  <c r="CY154" i="12"/>
  <c r="CZ155" i="12"/>
  <c r="CX153" i="12"/>
  <c r="B529" i="11"/>
  <c r="B971" i="11"/>
  <c r="AZ57" i="12"/>
  <c r="BA58" i="12"/>
  <c r="AG38" i="12"/>
  <c r="AJ41" i="12"/>
  <c r="BS76" i="12"/>
  <c r="BU78" i="12"/>
  <c r="AE24" i="12"/>
  <c r="AH39" i="12"/>
  <c r="BN71" i="12"/>
  <c r="B512" i="11"/>
  <c r="BX4" i="12"/>
  <c r="BW4" i="12"/>
  <c r="BY4" i="12"/>
  <c r="BV4" i="12"/>
  <c r="AF37" i="12"/>
  <c r="Z19" i="12"/>
  <c r="AD23" i="12"/>
  <c r="X17" i="12"/>
  <c r="AB21" i="12"/>
  <c r="DW132" i="12"/>
  <c r="B409" i="11"/>
  <c r="EX159" i="12"/>
  <c r="EV157" i="12"/>
  <c r="B655" i="11"/>
  <c r="B653" i="11"/>
  <c r="DD113" i="12"/>
  <c r="B231" i="11"/>
  <c r="B370" i="11"/>
  <c r="B14" i="11"/>
  <c r="DQ126" i="12"/>
  <c r="AX98" i="12"/>
  <c r="AW97" i="12"/>
  <c r="AV96" i="12"/>
  <c r="AV53" i="12" s="1"/>
  <c r="AU95" i="12"/>
  <c r="EN149" i="12"/>
  <c r="ET155" i="12"/>
  <c r="ES154" i="12"/>
  <c r="B575" i="11"/>
  <c r="B560" i="11"/>
  <c r="BI70" i="12"/>
  <c r="BG68" i="12"/>
  <c r="BH69" i="12"/>
  <c r="BF67" i="12"/>
  <c r="W28" i="12"/>
  <c r="DU130" i="12"/>
  <c r="DV131" i="12"/>
  <c r="DE95" i="12"/>
  <c r="BR63" i="12"/>
  <c r="BT77" i="12"/>
  <c r="AA32" i="12"/>
  <c r="DT129" i="12"/>
  <c r="DX133" i="12"/>
  <c r="DL121" i="12"/>
  <c r="E10" i="12"/>
  <c r="CD52" i="12" l="1"/>
  <c r="CD87" i="12" s="1"/>
  <c r="CH52" i="12"/>
  <c r="CH91" i="12" s="1"/>
  <c r="AM9" i="12"/>
  <c r="AM44" i="12" s="1"/>
  <c r="AQ9" i="12"/>
  <c r="AQ48" i="12" s="1"/>
  <c r="BZ52" i="12"/>
  <c r="BZ83" i="12" s="1"/>
  <c r="AI9" i="12"/>
  <c r="AI40" i="12" s="1"/>
  <c r="K122" i="8"/>
  <c r="L122" i="8" s="1"/>
  <c r="K121" i="8" s="1"/>
  <c r="L121" i="8" s="1"/>
  <c r="K109" i="8" s="1"/>
  <c r="AW54" i="12"/>
  <c r="K82" i="10"/>
  <c r="L82" i="10" s="1"/>
  <c r="K262" i="10"/>
  <c r="L262" i="10" s="1"/>
  <c r="K405" i="10"/>
  <c r="L405" i="10" s="1"/>
  <c r="K128" i="9"/>
  <c r="L128" i="9" s="1"/>
  <c r="K583" i="10"/>
  <c r="L583" i="10" s="1"/>
  <c r="EG145" i="12"/>
  <c r="K923" i="10"/>
  <c r="L923" i="10" s="1"/>
  <c r="K280" i="10"/>
  <c r="L280" i="10" s="1"/>
  <c r="DJ122" i="12"/>
  <c r="K601" i="10"/>
  <c r="L601" i="10" s="1"/>
  <c r="K905" i="10"/>
  <c r="L905" i="10" s="1"/>
  <c r="K727" i="10"/>
  <c r="L727" i="10" s="1"/>
  <c r="B650" i="11" s="1"/>
  <c r="F42" i="12"/>
  <c r="F26" i="12"/>
  <c r="F22" i="12"/>
  <c r="CL52" i="12"/>
  <c r="CN54" i="12"/>
  <c r="CM53" i="12"/>
  <c r="CO55" i="12"/>
  <c r="B651" i="11"/>
  <c r="B928" i="11"/>
  <c r="B632" i="11"/>
  <c r="B546" i="11"/>
  <c r="Z31" i="12"/>
  <c r="AE36" i="12"/>
  <c r="AX55" i="12"/>
  <c r="BV67" i="12"/>
  <c r="BY82" i="12"/>
  <c r="EY160" i="12"/>
  <c r="Y30" i="12"/>
  <c r="CP99" i="12"/>
  <c r="BG64" i="12"/>
  <c r="CS106" i="12"/>
  <c r="CU108" i="12"/>
  <c r="CV109" i="12"/>
  <c r="CT107" i="12"/>
  <c r="CZ105" i="12"/>
  <c r="CW102" i="12"/>
  <c r="CY104" i="12"/>
  <c r="CX103" i="12"/>
  <c r="X29" i="12"/>
  <c r="BR75" i="12"/>
  <c r="DE114" i="12"/>
  <c r="BH65" i="12"/>
  <c r="BI66" i="12"/>
  <c r="BF63" i="12"/>
  <c r="AB33" i="12"/>
  <c r="AD35" i="12"/>
  <c r="EB137" i="12"/>
  <c r="B974" i="11"/>
  <c r="BB63" i="12"/>
  <c r="BE66" i="12"/>
  <c r="BD65" i="12"/>
  <c r="BC64" i="12"/>
  <c r="BX81" i="12"/>
  <c r="BW80" i="12"/>
  <c r="DA110" i="12"/>
  <c r="EI144" i="12"/>
  <c r="AC34" i="12"/>
  <c r="EU156" i="12"/>
  <c r="CQ100" i="12"/>
  <c r="CR101" i="12"/>
  <c r="K78" i="10" l="1"/>
  <c r="L78" i="10" s="1"/>
  <c r="K79" i="10"/>
  <c r="L79" i="10" s="1"/>
  <c r="K726" i="10"/>
  <c r="L726" i="10" s="1"/>
  <c r="K723" i="10" s="1"/>
  <c r="L723" i="10" s="1"/>
  <c r="EG161" i="12"/>
  <c r="DJ126" i="12"/>
  <c r="CM103" i="12"/>
  <c r="K110" i="8"/>
  <c r="L110" i="8" s="1"/>
  <c r="K112" i="8"/>
  <c r="L112" i="8" s="1"/>
  <c r="K114" i="8"/>
  <c r="L114" i="8" s="1"/>
  <c r="K111" i="8"/>
  <c r="L111" i="8" s="1"/>
  <c r="L109" i="8"/>
  <c r="K113" i="8"/>
  <c r="L113" i="8" s="1"/>
  <c r="EG149" i="12"/>
  <c r="DJ138" i="12"/>
  <c r="K127" i="9"/>
  <c r="L127" i="9" s="1"/>
  <c r="K404" i="10"/>
  <c r="L404" i="10" s="1"/>
  <c r="CM115" i="12"/>
  <c r="F11" i="12"/>
  <c r="CX107" i="12"/>
  <c r="CW106" i="12"/>
  <c r="B646" i="11"/>
  <c r="BC60" i="12"/>
  <c r="BB59" i="12"/>
  <c r="BD61" i="12"/>
  <c r="BE62" i="12"/>
  <c r="B545" i="11"/>
  <c r="B977" i="11"/>
  <c r="CY108" i="12"/>
  <c r="CZ109" i="12"/>
  <c r="BV79" i="12"/>
  <c r="DP118" i="12"/>
  <c r="CO98" i="12"/>
  <c r="CN97" i="12"/>
  <c r="K722" i="10" l="1"/>
  <c r="L722" i="10" s="1"/>
  <c r="EF148" i="12" s="1"/>
  <c r="EG142" i="12"/>
  <c r="CM96" i="12"/>
  <c r="DJ119" i="12"/>
  <c r="K401" i="10"/>
  <c r="L401" i="10" s="1"/>
  <c r="K400" i="10"/>
  <c r="L400" i="10" s="1"/>
  <c r="K120" i="9"/>
  <c r="L120" i="9" s="1"/>
  <c r="K116" i="9"/>
  <c r="L116" i="9" s="1"/>
  <c r="K117" i="9"/>
  <c r="L117" i="9" s="1"/>
  <c r="K118" i="9"/>
  <c r="L118" i="9" s="1"/>
  <c r="K119" i="9"/>
  <c r="L119" i="9" s="1"/>
  <c r="K115" i="9"/>
  <c r="L115" i="9" s="1"/>
  <c r="D16" i="12"/>
  <c r="D48" i="12"/>
  <c r="D20" i="12"/>
  <c r="D44" i="12"/>
  <c r="D24" i="12"/>
  <c r="D40" i="12"/>
  <c r="B167" i="11"/>
  <c r="EF160" i="12"/>
  <c r="B168" i="11"/>
  <c r="B564" i="11"/>
  <c r="B648" i="11"/>
  <c r="Q26" i="12"/>
  <c r="R27" i="12"/>
  <c r="O24" i="12"/>
  <c r="P25" i="12"/>
  <c r="B968" i="11"/>
  <c r="B976" i="11"/>
  <c r="B151" i="11"/>
  <c r="B152" i="11"/>
  <c r="DP125" i="12"/>
  <c r="B554" i="11"/>
  <c r="B981" i="11"/>
  <c r="D9" i="12" l="1"/>
  <c r="AU59" i="12"/>
  <c r="AU83" i="12"/>
  <c r="AU63" i="12"/>
  <c r="AU87" i="12"/>
  <c r="AU67" i="12"/>
  <c r="AU91" i="12"/>
  <c r="BK25" i="12"/>
  <c r="BL26" i="12"/>
  <c r="BM27" i="12"/>
  <c r="BJ24" i="12"/>
  <c r="DI137" i="12"/>
  <c r="B533" i="11"/>
  <c r="O20" i="12"/>
  <c r="Q22" i="12"/>
  <c r="B159" i="11"/>
  <c r="B160" i="11"/>
  <c r="EF141" i="12"/>
  <c r="DI125" i="12"/>
  <c r="B979" i="11"/>
  <c r="B553" i="11"/>
  <c r="S67" i="12"/>
  <c r="U69" i="12"/>
  <c r="V70" i="12"/>
  <c r="T68" i="12"/>
  <c r="P21" i="12"/>
  <c r="R23" i="12"/>
  <c r="AU52" i="12" l="1"/>
  <c r="V27" i="12"/>
  <c r="S24" i="12"/>
  <c r="CL114" i="12"/>
  <c r="CL102" i="12"/>
  <c r="T25" i="12"/>
  <c r="U26" i="12"/>
  <c r="BK103" i="12"/>
  <c r="BK68" i="12" s="1"/>
  <c r="BL104" i="12"/>
  <c r="BL69" i="12" s="1"/>
  <c r="BM105" i="12"/>
  <c r="BM70" i="12" s="1"/>
  <c r="BJ102" i="12"/>
  <c r="BJ67" i="12" s="1"/>
  <c r="DI118" i="12"/>
  <c r="B558" i="11"/>
  <c r="N23" i="12"/>
  <c r="K20" i="12"/>
  <c r="K16" i="12" s="1"/>
  <c r="L21" i="12"/>
  <c r="M22" i="12"/>
  <c r="L17" i="12" l="1"/>
  <c r="M18" i="12"/>
  <c r="N19" i="12"/>
  <c r="CV70" i="12"/>
  <c r="CS67" i="12"/>
  <c r="CU69" i="12"/>
  <c r="CT68" i="12"/>
  <c r="CL95" i="12"/>
  <c r="CT103" i="12" l="1"/>
  <c r="CS102" i="12"/>
  <c r="CU104" i="12"/>
  <c r="CV105" i="12"/>
  <c r="D168" i="12" l="1" a="1"/>
  <c r="D168" i="12" s="1"/>
  <c r="AK19" i="3" l="1"/>
  <c r="AI15" i="3"/>
  <c r="C12" i="3"/>
  <c r="AK18" i="3"/>
  <c r="AI13" i="3"/>
  <c r="M12" i="3"/>
  <c r="AI14" i="3"/>
  <c r="BT20" i="3" s="1"/>
  <c r="AE12" i="3"/>
  <c r="BN10" i="3" s="1"/>
  <c r="AK20" i="3"/>
  <c r="AH168" i="12"/>
  <c r="BN168" i="12"/>
  <c r="CT168" i="12"/>
  <c r="DZ168" i="12"/>
  <c r="DZ186" i="12" s="1"/>
  <c r="G168" i="12"/>
  <c r="AB168" i="12"/>
  <c r="BH168" i="12"/>
  <c r="BH267" i="12" s="1"/>
  <c r="CN168" i="12"/>
  <c r="DT168" i="12"/>
  <c r="EZ168" i="12"/>
  <c r="EC168" i="12"/>
  <c r="EG168" i="12"/>
  <c r="CG168" i="12"/>
  <c r="AW168" i="12"/>
  <c r="EY168" i="12"/>
  <c r="DS168" i="12"/>
  <c r="DS252" i="12" s="1"/>
  <c r="CM168" i="12"/>
  <c r="BG168" i="12"/>
  <c r="AA168" i="12"/>
  <c r="V168" i="12"/>
  <c r="V267" i="12" s="1"/>
  <c r="BB168" i="12"/>
  <c r="AJ23" i="3" s="1"/>
  <c r="CH168" i="12"/>
  <c r="AL30" i="3" s="1"/>
  <c r="DN168" i="12"/>
  <c r="DN196" i="12" s="1"/>
  <c r="ET168" i="12"/>
  <c r="ET279" i="12" s="1"/>
  <c r="P168" i="12"/>
  <c r="AV168" i="12"/>
  <c r="CB168" i="12"/>
  <c r="CB246" i="12" s="1"/>
  <c r="DH168" i="12"/>
  <c r="DH254" i="12" s="1"/>
  <c r="EN168" i="12"/>
  <c r="FA168" i="12"/>
  <c r="FA210" i="12" s="1"/>
  <c r="CO168" i="12"/>
  <c r="CS168" i="12"/>
  <c r="BI168" i="12"/>
  <c r="BI189" i="12" s="1"/>
  <c r="AC168" i="12"/>
  <c r="AC324" i="12" s="1"/>
  <c r="EE168" i="12"/>
  <c r="EE306" i="12" s="1"/>
  <c r="R168" i="12"/>
  <c r="R290" i="12" s="1"/>
  <c r="AX168" i="12"/>
  <c r="CD168" i="12"/>
  <c r="AL29" i="3" s="1"/>
  <c r="DJ168" i="12"/>
  <c r="EP168" i="12"/>
  <c r="EP199" i="12" s="1"/>
  <c r="L168" i="12"/>
  <c r="AR168" i="12"/>
  <c r="BX168" i="12"/>
  <c r="BX237" i="12" s="1"/>
  <c r="DD168" i="12"/>
  <c r="DD272" i="12" s="1"/>
  <c r="EJ168" i="12"/>
  <c r="EJ230" i="12" s="1"/>
  <c r="Q168" i="12"/>
  <c r="Q298" i="12" s="1"/>
  <c r="CW168" i="12"/>
  <c r="DA168" i="12"/>
  <c r="BM168" i="12"/>
  <c r="BM329" i="12" s="1"/>
  <c r="AG168" i="12"/>
  <c r="AG177" i="12" s="1"/>
  <c r="EI168" i="12"/>
  <c r="DC168" i="12"/>
  <c r="DC293" i="12" s="1"/>
  <c r="BW168" i="12"/>
  <c r="AQ168" i="12"/>
  <c r="AL20" i="3" s="1"/>
  <c r="F168" i="12"/>
  <c r="AL168" i="12"/>
  <c r="AL309" i="12" s="1"/>
  <c r="BR168" i="12"/>
  <c r="CX168" i="12"/>
  <c r="ED168" i="12"/>
  <c r="ED181" i="12" s="1"/>
  <c r="K168" i="12"/>
  <c r="AJ13" i="3" s="1"/>
  <c r="AF168" i="12"/>
  <c r="BL168" i="12"/>
  <c r="BL191" i="12" s="1"/>
  <c r="CR168" i="12"/>
  <c r="CR231" i="12" s="1"/>
  <c r="DX168" i="12"/>
  <c r="E168" i="12"/>
  <c r="DU168" i="12"/>
  <c r="DY168" i="12"/>
  <c r="BY168" i="12"/>
  <c r="BY324" i="12" s="1"/>
  <c r="AS168" i="12"/>
  <c r="AS283" i="12" s="1"/>
  <c r="EU168" i="12"/>
  <c r="DO168" i="12"/>
  <c r="DO301" i="12" s="1"/>
  <c r="CY168" i="12"/>
  <c r="CY302" i="12" s="1"/>
  <c r="CI168" i="12"/>
  <c r="BS168" i="12"/>
  <c r="BC168" i="12"/>
  <c r="AM168" i="12"/>
  <c r="AL19" i="3" s="1"/>
  <c r="W168" i="12"/>
  <c r="J168" i="12"/>
  <c r="J231" i="12" s="1"/>
  <c r="Z168" i="12"/>
  <c r="Z309" i="12" s="1"/>
  <c r="AP168" i="12"/>
  <c r="AP190" i="12" s="1"/>
  <c r="BF168" i="12"/>
  <c r="AJ24" i="3" s="1"/>
  <c r="BV168" i="12"/>
  <c r="CL168" i="12"/>
  <c r="AD22" i="3" s="1"/>
  <c r="DB168" i="12"/>
  <c r="DR168" i="12"/>
  <c r="EH168" i="12"/>
  <c r="EX168" i="12"/>
  <c r="EX235" i="12" s="1"/>
  <c r="O168" i="12"/>
  <c r="AJ14" i="3" s="1"/>
  <c r="T168" i="12"/>
  <c r="AJ168" i="12"/>
  <c r="AZ168" i="12"/>
  <c r="AZ294" i="12" s="1"/>
  <c r="BP168" i="12"/>
  <c r="BP220" i="12" s="1"/>
  <c r="CF168" i="12"/>
  <c r="CF273" i="12" s="1"/>
  <c r="CV168" i="12"/>
  <c r="DL168" i="12"/>
  <c r="EB168" i="12"/>
  <c r="ER168" i="12"/>
  <c r="I168" i="12"/>
  <c r="ES168" i="12"/>
  <c r="ES179" i="12" s="1"/>
  <c r="DM168" i="12"/>
  <c r="EW168" i="12"/>
  <c r="DQ168" i="12"/>
  <c r="CK168" i="12"/>
  <c r="CK215" i="12" s="1"/>
  <c r="BU168" i="12"/>
  <c r="BU255" i="12" s="1"/>
  <c r="BE168" i="12"/>
  <c r="BE278" i="12" s="1"/>
  <c r="AO168" i="12"/>
  <c r="Y168" i="12"/>
  <c r="Y257" i="12" s="1"/>
  <c r="EQ168" i="12"/>
  <c r="EA168" i="12"/>
  <c r="EA210" i="12" s="1"/>
  <c r="DK168" i="12"/>
  <c r="CU168" i="12"/>
  <c r="CE168" i="12"/>
  <c r="BO168" i="12"/>
  <c r="AY168" i="12"/>
  <c r="AY295" i="12" s="1"/>
  <c r="AI168" i="12"/>
  <c r="AL18" i="3" s="1"/>
  <c r="S168" i="12"/>
  <c r="AJ15" i="3" s="1"/>
  <c r="N168" i="12"/>
  <c r="AD168" i="12"/>
  <c r="AT168" i="12"/>
  <c r="AT309" i="12" s="1"/>
  <c r="BJ168" i="12"/>
  <c r="AJ25" i="3" s="1"/>
  <c r="BZ168" i="12"/>
  <c r="AL28" i="3" s="1"/>
  <c r="BX74" i="3" s="1"/>
  <c r="CP168" i="12"/>
  <c r="DF168" i="12"/>
  <c r="DV168" i="12"/>
  <c r="EL168" i="12"/>
  <c r="EL194" i="12" s="1"/>
  <c r="FB168" i="12"/>
  <c r="H168" i="12"/>
  <c r="H254" i="12" s="1"/>
  <c r="X168" i="12"/>
  <c r="AN168" i="12"/>
  <c r="BD168" i="12"/>
  <c r="BT168" i="12"/>
  <c r="BT283" i="12" s="1"/>
  <c r="CJ168" i="12"/>
  <c r="CZ168" i="12"/>
  <c r="CZ301" i="12" s="1"/>
  <c r="DP168" i="12"/>
  <c r="EF168" i="12"/>
  <c r="EV168" i="12"/>
  <c r="M168" i="12"/>
  <c r="M309" i="12" s="1"/>
  <c r="EK168" i="12"/>
  <c r="EK326" i="12" s="1"/>
  <c r="DE168" i="12"/>
  <c r="EO168" i="12"/>
  <c r="EO187" i="12" s="1"/>
  <c r="DI168" i="12"/>
  <c r="CC168" i="12"/>
  <c r="CC212" i="12" s="1"/>
  <c r="BQ168" i="12"/>
  <c r="BQ263" i="12" s="1"/>
  <c r="BA168" i="12"/>
  <c r="AK168" i="12"/>
  <c r="U168" i="12"/>
  <c r="EM168" i="12"/>
  <c r="DW168" i="12"/>
  <c r="DG168" i="12"/>
  <c r="CQ168" i="12"/>
  <c r="CQ270" i="12" s="1"/>
  <c r="CA168" i="12"/>
  <c r="BK168" i="12"/>
  <c r="AU168" i="12"/>
  <c r="AE168" i="12"/>
  <c r="EI278" i="12"/>
  <c r="D279" i="12"/>
  <c r="D171" i="12"/>
  <c r="D268" i="12"/>
  <c r="D257" i="12"/>
  <c r="D299" i="12"/>
  <c r="D269" i="12"/>
  <c r="D306" i="12"/>
  <c r="D285" i="12"/>
  <c r="D288" i="12"/>
  <c r="D218" i="12"/>
  <c r="D178" i="12"/>
  <c r="D271" i="12"/>
  <c r="D196" i="12"/>
  <c r="C12" i="13"/>
  <c r="AG3" i="13" s="1"/>
  <c r="D200" i="12"/>
  <c r="D190" i="12"/>
  <c r="D177" i="12"/>
  <c r="D278" i="12"/>
  <c r="D277" i="12"/>
  <c r="D219" i="12"/>
  <c r="D325" i="12"/>
  <c r="D262" i="12"/>
  <c r="D307" i="12"/>
  <c r="D179" i="12"/>
  <c r="D186" i="12"/>
  <c r="D276" i="12"/>
  <c r="D206" i="12"/>
  <c r="D199" i="12"/>
  <c r="D251" i="12"/>
  <c r="D321" i="12"/>
  <c r="D280" i="12"/>
  <c r="D184" i="12"/>
  <c r="D197" i="12"/>
  <c r="D264" i="12"/>
  <c r="D239" i="12"/>
  <c r="D327" i="12"/>
  <c r="D231" i="12"/>
  <c r="D254" i="12"/>
  <c r="D284" i="12"/>
  <c r="D313" i="12"/>
  <c r="D223" i="12"/>
  <c r="D193" i="12"/>
  <c r="D297" i="12"/>
  <c r="D226" i="12"/>
  <c r="D282" i="12"/>
  <c r="D217" i="12"/>
  <c r="D305" i="12"/>
  <c r="D323" i="12"/>
  <c r="D302" i="12"/>
  <c r="D311" i="12"/>
  <c r="D221" i="12"/>
  <c r="D318" i="12"/>
  <c r="D244" i="12"/>
  <c r="D274" i="12"/>
  <c r="D238" i="12"/>
  <c r="D216" i="12"/>
  <c r="D248" i="12"/>
  <c r="D260" i="12"/>
  <c r="D202" i="12"/>
  <c r="D273" i="12"/>
  <c r="D320" i="12"/>
  <c r="D228" i="12"/>
  <c r="D272" i="12"/>
  <c r="D253" i="12"/>
  <c r="D329" i="12"/>
  <c r="D294" i="12"/>
  <c r="D210" i="12"/>
  <c r="D314" i="12"/>
  <c r="D198" i="12"/>
  <c r="D283" i="12"/>
  <c r="D220" i="12"/>
  <c r="D263" i="12"/>
  <c r="D267" i="12"/>
  <c r="D300" i="12"/>
  <c r="D287" i="12"/>
  <c r="D230" i="12"/>
  <c r="D290" i="12"/>
  <c r="D234" i="12"/>
  <c r="D291" i="12"/>
  <c r="D249" i="12"/>
  <c r="D214" i="12"/>
  <c r="D266" i="12"/>
  <c r="D233" i="12"/>
  <c r="D322" i="12"/>
  <c r="D256" i="12"/>
  <c r="D240" i="12"/>
  <c r="D304" i="12"/>
  <c r="D315" i="12"/>
  <c r="D209" i="12"/>
  <c r="D236" i="12"/>
  <c r="D203" i="12"/>
  <c r="D213" i="12"/>
  <c r="D192" i="12"/>
  <c r="D205" i="12"/>
  <c r="D330" i="12"/>
  <c r="D338" i="12"/>
  <c r="D331" i="12" s="1"/>
  <c r="D191" i="12"/>
  <c r="D207" i="12"/>
  <c r="D211" i="12"/>
  <c r="D319" i="12"/>
  <c r="D201" i="12"/>
  <c r="D242" i="12"/>
  <c r="D235" i="12"/>
  <c r="D261" i="12"/>
  <c r="D298" i="12"/>
  <c r="D308" i="12"/>
  <c r="D328" i="12"/>
  <c r="D286" i="12"/>
  <c r="D185" i="12"/>
  <c r="D255" i="12"/>
  <c r="D296" i="12"/>
  <c r="D310" i="12"/>
  <c r="D309" i="12"/>
  <c r="D250" i="12"/>
  <c r="D275" i="12"/>
  <c r="D317" i="12"/>
  <c r="D232" i="12"/>
  <c r="D292" i="12"/>
  <c r="D227" i="12"/>
  <c r="D237" i="12"/>
  <c r="D293" i="12"/>
  <c r="D181" i="12"/>
  <c r="D241" i="12"/>
  <c r="D188" i="12"/>
  <c r="D303" i="12"/>
  <c r="D252" i="12"/>
  <c r="D316" i="12"/>
  <c r="D212" i="12"/>
  <c r="D295" i="12"/>
  <c r="D324" i="12"/>
  <c r="D229" i="12"/>
  <c r="D195" i="12"/>
  <c r="D270" i="12"/>
  <c r="D312" i="12"/>
  <c r="D259" i="12"/>
  <c r="D182" i="12"/>
  <c r="D187" i="12"/>
  <c r="D215" i="12"/>
  <c r="D183" i="12"/>
  <c r="D222" i="12"/>
  <c r="D204" i="12"/>
  <c r="D189" i="12"/>
  <c r="D245" i="12"/>
  <c r="D243" i="12"/>
  <c r="D326" i="12"/>
  <c r="D281" i="12"/>
  <c r="D289" i="12"/>
  <c r="D180" i="12"/>
  <c r="D194" i="12"/>
  <c r="D225" i="12"/>
  <c r="D224" i="12"/>
  <c r="D265" i="12"/>
  <c r="D301" i="12"/>
  <c r="D247" i="12"/>
  <c r="D258" i="12"/>
  <c r="D246" i="12"/>
  <c r="D169" i="12"/>
  <c r="D208" i="12"/>
  <c r="AD82" i="3" l="1"/>
  <c r="AE74" i="3"/>
  <c r="AN74" i="3"/>
  <c r="AN76" i="3" s="1"/>
  <c r="AF77" i="3"/>
  <c r="AM77" i="3"/>
  <c r="AF96" i="3"/>
  <c r="AO95" i="3"/>
  <c r="AO96" i="3" s="1"/>
  <c r="AH68" i="3"/>
  <c r="AF68" i="3"/>
  <c r="AM68" i="3"/>
  <c r="AF85" i="3"/>
  <c r="AM82" i="3"/>
  <c r="AM85" i="3" s="1"/>
  <c r="BO289" i="12"/>
  <c r="AO72" i="3"/>
  <c r="AF78" i="3"/>
  <c r="AM78" i="3"/>
  <c r="AD89" i="3"/>
  <c r="AE88" i="3"/>
  <c r="AE95" i="3"/>
  <c r="AN95" i="3"/>
  <c r="AN96" i="3" s="1"/>
  <c r="AM67" i="3"/>
  <c r="AF67" i="3"/>
  <c r="AN64" i="3"/>
  <c r="AN66" i="3" s="1"/>
  <c r="AE64" i="3"/>
  <c r="AO83" i="3"/>
  <c r="AO84" i="3" s="1"/>
  <c r="AF84" i="3"/>
  <c r="AD73" i="3"/>
  <c r="AE72" i="3"/>
  <c r="AN72" i="3"/>
  <c r="AF75" i="3"/>
  <c r="AO73" i="3"/>
  <c r="AO75" i="3" s="1"/>
  <c r="AM79" i="3"/>
  <c r="AF79" i="3"/>
  <c r="AF90" i="3"/>
  <c r="AO89" i="3"/>
  <c r="AO90" i="3" s="1"/>
  <c r="AE89" i="3"/>
  <c r="AN89" i="3"/>
  <c r="AN90" i="3" s="1"/>
  <c r="AD71" i="3"/>
  <c r="AK67" i="3"/>
  <c r="AK69" i="3"/>
  <c r="AK68" i="3"/>
  <c r="AH66" i="3"/>
  <c r="AF66" i="3"/>
  <c r="AO64" i="3"/>
  <c r="AO66" i="3" s="1"/>
  <c r="AE83" i="3"/>
  <c r="AN83" i="3"/>
  <c r="AN84" i="3" s="1"/>
  <c r="AF76" i="3"/>
  <c r="AO74" i="3"/>
  <c r="AO76" i="3" s="1"/>
  <c r="AM69" i="3"/>
  <c r="AF69" i="3"/>
  <c r="AK91" i="3"/>
  <c r="AI88" i="3"/>
  <c r="AE87" i="3"/>
  <c r="AD95" i="3"/>
  <c r="AE94" i="3"/>
  <c r="AD81" i="3"/>
  <c r="AE71" i="3"/>
  <c r="AK77" i="3"/>
  <c r="AK78" i="3"/>
  <c r="AK79" i="3"/>
  <c r="AD64" i="3"/>
  <c r="AD72" i="3"/>
  <c r="AE73" i="3"/>
  <c r="AN73" i="3"/>
  <c r="AN75" i="3" s="1"/>
  <c r="AD93" i="3"/>
  <c r="AD87" i="3"/>
  <c r="AE81" i="3"/>
  <c r="AI82" i="3"/>
  <c r="AK85" i="3"/>
  <c r="AE93" i="3"/>
  <c r="AK97" i="3"/>
  <c r="AI94" i="3"/>
  <c r="AM88" i="3"/>
  <c r="AM91" i="3" s="1"/>
  <c r="AF91" i="3"/>
  <c r="AF97" i="3"/>
  <c r="AM94" i="3"/>
  <c r="AM97" i="3" s="1"/>
  <c r="AF65" i="3"/>
  <c r="AD88" i="3"/>
  <c r="AD94" i="3"/>
  <c r="AE82" i="3"/>
  <c r="AD74" i="3"/>
  <c r="AD83" i="3"/>
  <c r="AH79" i="3"/>
  <c r="AH76" i="3"/>
  <c r="AH75" i="3"/>
  <c r="AH72" i="3"/>
  <c r="AH67" i="3"/>
  <c r="AM63" i="3"/>
  <c r="AH69" i="3"/>
  <c r="AI72" i="3"/>
  <c r="AI74" i="3"/>
  <c r="AI73" i="3"/>
  <c r="AH73" i="3"/>
  <c r="AH64" i="3"/>
  <c r="AI64" i="3"/>
  <c r="AI62" i="3"/>
  <c r="AI63" i="3"/>
  <c r="AN63" i="3"/>
  <c r="AN65" i="3" s="1"/>
  <c r="AG63" i="3"/>
  <c r="AH63" i="3"/>
  <c r="AH74" i="3"/>
  <c r="AH78" i="3"/>
  <c r="AH77" i="3"/>
  <c r="AM73" i="3"/>
  <c r="AO63" i="3"/>
  <c r="AO65" i="3" s="1"/>
  <c r="AH65" i="3"/>
  <c r="AE62" i="3"/>
  <c r="AL42" i="3"/>
  <c r="BY135" i="3"/>
  <c r="BP136" i="3"/>
  <c r="AJ33" i="3"/>
  <c r="CN305" i="12"/>
  <c r="O101" i="3"/>
  <c r="G16" i="3"/>
  <c r="O16" i="3"/>
  <c r="L18" i="14" s="1"/>
  <c r="M103" i="3"/>
  <c r="Q103" i="3"/>
  <c r="AE44" i="3"/>
  <c r="BZ135" i="3" s="1"/>
  <c r="AK48" i="3"/>
  <c r="CE139" i="3" s="1"/>
  <c r="K12" i="3"/>
  <c r="CA174" i="3" s="1"/>
  <c r="Q99" i="3"/>
  <c r="AI45" i="3"/>
  <c r="Q11" i="3"/>
  <c r="Q12" i="3"/>
  <c r="DL211" i="12"/>
  <c r="I17" i="3"/>
  <c r="P17" i="3"/>
  <c r="M32" i="14" s="1"/>
  <c r="P102" i="3"/>
  <c r="F228" i="12"/>
  <c r="M101" i="3"/>
  <c r="C16" i="3"/>
  <c r="M16" i="3"/>
  <c r="DJ222" i="12"/>
  <c r="P100" i="3"/>
  <c r="P15" i="3"/>
  <c r="M4" i="14" s="1"/>
  <c r="I15" i="3"/>
  <c r="CO284" i="12"/>
  <c r="G17" i="3"/>
  <c r="O17" i="3"/>
  <c r="L32" i="14" s="1"/>
  <c r="O102" i="3"/>
  <c r="AL48" i="3"/>
  <c r="CE135" i="3"/>
  <c r="BH195" i="12"/>
  <c r="BV136" i="3"/>
  <c r="AJ39" i="3"/>
  <c r="P101" i="3"/>
  <c r="I16" i="3"/>
  <c r="P16" i="3"/>
  <c r="EH222" i="12"/>
  <c r="Q101" i="3"/>
  <c r="K16" i="3"/>
  <c r="Q16" i="3"/>
  <c r="N18" i="14" s="1"/>
  <c r="AW273" i="12"/>
  <c r="N16" i="3"/>
  <c r="K18" i="14" s="1"/>
  <c r="N101" i="3"/>
  <c r="E16" i="3"/>
  <c r="M11" i="3"/>
  <c r="M99" i="3"/>
  <c r="AF12" i="3"/>
  <c r="CD4" i="3" s="1"/>
  <c r="AH12" i="3"/>
  <c r="BR12" i="3" s="1"/>
  <c r="P103" i="3"/>
  <c r="AE38" i="3"/>
  <c r="BT135" i="3" s="1"/>
  <c r="P12" i="3"/>
  <c r="P11" i="3"/>
  <c r="P99" i="3"/>
  <c r="AK42" i="3"/>
  <c r="BX150" i="3" s="1"/>
  <c r="AI39" i="3"/>
  <c r="I12" i="3"/>
  <c r="CA168" i="3" s="1"/>
  <c r="AX314" i="12"/>
  <c r="N102" i="3"/>
  <c r="E17" i="3"/>
  <c r="N17" i="3"/>
  <c r="G238" i="12"/>
  <c r="M102" i="3"/>
  <c r="C17" i="3"/>
  <c r="M17" i="3"/>
  <c r="J32" i="14" s="1"/>
  <c r="AJ12" i="3"/>
  <c r="EG328" i="12"/>
  <c r="Q15" i="3"/>
  <c r="N4" i="14" s="1"/>
  <c r="Q100" i="3"/>
  <c r="K15" i="3"/>
  <c r="CB136" i="3"/>
  <c r="AJ45" i="3"/>
  <c r="AL36" i="3"/>
  <c r="BS135" i="3"/>
  <c r="AD44" i="3"/>
  <c r="CA134" i="3" s="1"/>
  <c r="AD38" i="3"/>
  <c r="BU134" i="3" s="1"/>
  <c r="O103" i="3"/>
  <c r="AE32" i="3"/>
  <c r="BN135" i="3" s="1"/>
  <c r="O12" i="3"/>
  <c r="O11" i="3"/>
  <c r="AK36" i="3"/>
  <c r="BS139" i="3" s="1"/>
  <c r="G12" i="3"/>
  <c r="CA162" i="3" s="1"/>
  <c r="O99" i="3"/>
  <c r="AI33" i="3"/>
  <c r="BP140" i="3" s="1"/>
  <c r="EI220" i="12"/>
  <c r="K17" i="3"/>
  <c r="Q17" i="3"/>
  <c r="N32" i="14" s="1"/>
  <c r="Q102" i="3"/>
  <c r="N100" i="3"/>
  <c r="N15" i="3"/>
  <c r="K4" i="14" s="1"/>
  <c r="AD61" i="3"/>
  <c r="E15" i="3"/>
  <c r="M14" i="3"/>
  <c r="M13" i="3"/>
  <c r="C14" i="3"/>
  <c r="C13" i="3"/>
  <c r="AD12" i="3"/>
  <c r="BP9" i="3" s="1"/>
  <c r="AK28" i="3"/>
  <c r="BX80" i="3" s="1"/>
  <c r="N103" i="3"/>
  <c r="AD32" i="3"/>
  <c r="BO134" i="3" s="1"/>
  <c r="AE22" i="3"/>
  <c r="BN70" i="3" s="1"/>
  <c r="N12" i="3"/>
  <c r="E12" i="3"/>
  <c r="AI25" i="3"/>
  <c r="BQ80" i="3" s="1"/>
  <c r="N11" i="3"/>
  <c r="AK29" i="3"/>
  <c r="CB80" i="3" s="1"/>
  <c r="AK30" i="3"/>
  <c r="BZ80" i="3" s="1"/>
  <c r="AI24" i="3"/>
  <c r="BT80" i="3" s="1"/>
  <c r="N99" i="3"/>
  <c r="AI23" i="3"/>
  <c r="BV80" i="3" s="1"/>
  <c r="AE61" i="3"/>
  <c r="M100" i="3"/>
  <c r="C15" i="3"/>
  <c r="M15" i="3"/>
  <c r="J4" i="14" s="1"/>
  <c r="AH62" i="3"/>
  <c r="AN62" i="3"/>
  <c r="AG62" i="3"/>
  <c r="AD62" i="3"/>
  <c r="CM179" i="12"/>
  <c r="O100" i="3"/>
  <c r="G15" i="3"/>
  <c r="O15" i="3"/>
  <c r="L4" i="14" s="1"/>
  <c r="X233" i="12"/>
  <c r="AO62" i="3"/>
  <c r="AG88" i="3"/>
  <c r="AG67" i="3"/>
  <c r="CA189" i="12"/>
  <c r="AG77" i="3"/>
  <c r="K52" i="3"/>
  <c r="K53" i="3" s="1"/>
  <c r="DI257" i="12"/>
  <c r="DE330" i="12"/>
  <c r="AN182" i="12"/>
  <c r="AG68" i="3"/>
  <c r="DF298" i="12"/>
  <c r="AG85" i="3"/>
  <c r="BZ246" i="12"/>
  <c r="C76" i="3"/>
  <c r="C77" i="3" s="1"/>
  <c r="AM14" i="3"/>
  <c r="BT19" i="3" s="1"/>
  <c r="ER177" i="12"/>
  <c r="AG95" i="3"/>
  <c r="C55" i="3"/>
  <c r="AG64" i="3"/>
  <c r="AN26" i="3"/>
  <c r="BS88" i="3" s="1"/>
  <c r="W293" i="12"/>
  <c r="BC228" i="12"/>
  <c r="AG72" i="3"/>
  <c r="CI265" i="12"/>
  <c r="AG79" i="3"/>
  <c r="DY177" i="12"/>
  <c r="AG90" i="3"/>
  <c r="E181" i="12"/>
  <c r="AF317" i="12"/>
  <c r="AG66" i="3"/>
  <c r="BR232" i="12"/>
  <c r="BW229" i="12"/>
  <c r="AG76" i="3"/>
  <c r="AN34" i="3"/>
  <c r="L291" i="12"/>
  <c r="EN283" i="12"/>
  <c r="AG94" i="3"/>
  <c r="P203" i="12"/>
  <c r="AG14" i="3"/>
  <c r="BB200" i="12"/>
  <c r="AA245" i="12"/>
  <c r="EY275" i="12"/>
  <c r="EC227" i="12"/>
  <c r="AG91" i="3"/>
  <c r="DT281" i="12"/>
  <c r="CT218" i="12"/>
  <c r="AG82" i="3"/>
  <c r="C68" i="3"/>
  <c r="C69" i="3" s="1"/>
  <c r="BK182" i="12"/>
  <c r="AG74" i="3"/>
  <c r="EV277" i="12"/>
  <c r="AG96" i="3"/>
  <c r="AE39" i="3"/>
  <c r="BT142" i="3" s="1"/>
  <c r="AN27" i="3"/>
  <c r="BP97" i="3" s="1"/>
  <c r="BQ16" i="3"/>
  <c r="CE261" i="12"/>
  <c r="AG78" i="3"/>
  <c r="AN47" i="3"/>
  <c r="AN16" i="3"/>
  <c r="BS28" i="3" s="1"/>
  <c r="G71" i="3"/>
  <c r="AG84" i="3"/>
  <c r="AO27" i="3"/>
  <c r="BP94" i="3" s="1"/>
  <c r="AM328" i="12"/>
  <c r="E47" i="3"/>
  <c r="AG75" i="3"/>
  <c r="EU266" i="12"/>
  <c r="DU196" i="12"/>
  <c r="AG89" i="3"/>
  <c r="DX211" i="12"/>
  <c r="K248" i="12"/>
  <c r="CX266" i="12"/>
  <c r="AG83" i="3"/>
  <c r="AQ185" i="12"/>
  <c r="DA296" i="12"/>
  <c r="AR291" i="12"/>
  <c r="AG69" i="3"/>
  <c r="CD279" i="12"/>
  <c r="CS305" i="12"/>
  <c r="AV260" i="12"/>
  <c r="CH202" i="12"/>
  <c r="BG285" i="12"/>
  <c r="AG73" i="3"/>
  <c r="EZ209" i="12"/>
  <c r="AG97" i="3"/>
  <c r="AB278" i="12"/>
  <c r="AG65" i="3"/>
  <c r="BN279" i="12"/>
  <c r="AN23" i="3"/>
  <c r="BW150" i="3"/>
  <c r="EZ200" i="12"/>
  <c r="DA221" i="12"/>
  <c r="CS310" i="12"/>
  <c r="EZ226" i="12"/>
  <c r="EZ201" i="12"/>
  <c r="BN178" i="12"/>
  <c r="BB202" i="12"/>
  <c r="E338" i="12"/>
  <c r="E331" i="12" s="1"/>
  <c r="AN40" i="3"/>
  <c r="E275" i="12"/>
  <c r="DZ246" i="12"/>
  <c r="DA260" i="12"/>
  <c r="DA250" i="12"/>
  <c r="DA273" i="12"/>
  <c r="CS287" i="12"/>
  <c r="AC252" i="12"/>
  <c r="DA201" i="12"/>
  <c r="AL236" i="12"/>
  <c r="DA176" i="12"/>
  <c r="ET247" i="12"/>
  <c r="DA217" i="12"/>
  <c r="ET299" i="12"/>
  <c r="DA243" i="12"/>
  <c r="CY311" i="12"/>
  <c r="DA204" i="12"/>
  <c r="DA324" i="12"/>
  <c r="DA298" i="12"/>
  <c r="BB184" i="12"/>
  <c r="BB318" i="12"/>
  <c r="BM319" i="12"/>
  <c r="BB180" i="12"/>
  <c r="DZ196" i="12"/>
  <c r="EZ271" i="12"/>
  <c r="AC296" i="12"/>
  <c r="DZ324" i="12"/>
  <c r="EZ310" i="12"/>
  <c r="EZ256" i="12"/>
  <c r="AC288" i="12"/>
  <c r="DZ257" i="12"/>
  <c r="AC198" i="12"/>
  <c r="EZ218" i="12"/>
  <c r="DZ252" i="12"/>
  <c r="AC219" i="12"/>
  <c r="AC300" i="12"/>
  <c r="AC251" i="12"/>
  <c r="EZ184" i="12"/>
  <c r="AC266" i="12"/>
  <c r="DU306" i="12"/>
  <c r="AC310" i="12"/>
  <c r="EZ277" i="12"/>
  <c r="AC299" i="12"/>
  <c r="AC329" i="12"/>
  <c r="EZ235" i="12"/>
  <c r="AC262" i="12"/>
  <c r="AC302" i="12"/>
  <c r="EZ196" i="12"/>
  <c r="EZ329" i="12"/>
  <c r="AC316" i="12"/>
  <c r="EZ299" i="12"/>
  <c r="EZ325" i="12"/>
  <c r="EZ192" i="12"/>
  <c r="AC196" i="12"/>
  <c r="AC303" i="12"/>
  <c r="EZ296" i="12"/>
  <c r="EZ224" i="12"/>
  <c r="AC224" i="12"/>
  <c r="EZ290" i="12"/>
  <c r="AC181" i="12"/>
  <c r="AC270" i="12"/>
  <c r="AB275" i="12"/>
  <c r="AC315" i="12"/>
  <c r="EZ239" i="12"/>
  <c r="BB269" i="12"/>
  <c r="BB308" i="12"/>
  <c r="BB265" i="12"/>
  <c r="E252" i="12"/>
  <c r="BB233" i="12"/>
  <c r="BB271" i="12"/>
  <c r="DZ202" i="12"/>
  <c r="DZ280" i="12"/>
  <c r="DZ247" i="12"/>
  <c r="DZ205" i="12"/>
  <c r="DZ201" i="12"/>
  <c r="DZ221" i="12"/>
  <c r="DZ270" i="12"/>
  <c r="DZ279" i="12"/>
  <c r="DZ171" i="12"/>
  <c r="P72" i="3" s="1"/>
  <c r="M25" i="14" s="1"/>
  <c r="DZ198" i="12"/>
  <c r="R227" i="12"/>
  <c r="DZ323" i="12"/>
  <c r="DZ197" i="12"/>
  <c r="EZ323" i="12"/>
  <c r="EZ279" i="12"/>
  <c r="EZ264" i="12"/>
  <c r="EZ306" i="12"/>
  <c r="C48" i="13"/>
  <c r="AC205" i="12"/>
  <c r="AC197" i="12"/>
  <c r="AC243" i="12"/>
  <c r="DU188" i="12"/>
  <c r="EZ275" i="12"/>
  <c r="EZ182" i="12"/>
  <c r="EZ176" i="12"/>
  <c r="BN222" i="12"/>
  <c r="AC199" i="12"/>
  <c r="EZ243" i="12"/>
  <c r="EZ253" i="12"/>
  <c r="EZ288" i="12"/>
  <c r="EZ187" i="12"/>
  <c r="AC298" i="12"/>
  <c r="AC287" i="12"/>
  <c r="AC286" i="12"/>
  <c r="AC261" i="12"/>
  <c r="EZ203" i="12"/>
  <c r="EZ303" i="12"/>
  <c r="AC258" i="12"/>
  <c r="EZ190" i="12"/>
  <c r="EZ212" i="12"/>
  <c r="EZ330" i="12"/>
  <c r="AC306" i="12"/>
  <c r="AC281" i="12"/>
  <c r="AC291" i="12"/>
  <c r="AC328" i="12"/>
  <c r="AC218" i="12"/>
  <c r="EZ298" i="12"/>
  <c r="EZ238" i="12"/>
  <c r="CH210" i="12"/>
  <c r="CX315" i="12"/>
  <c r="EC318" i="12"/>
  <c r="DF203" i="12"/>
  <c r="AC241" i="12"/>
  <c r="AC279" i="12"/>
  <c r="AC322" i="12"/>
  <c r="DU266" i="12"/>
  <c r="DU189" i="12"/>
  <c r="DU271" i="12"/>
  <c r="AV236" i="12"/>
  <c r="EC231" i="12"/>
  <c r="DF243" i="12"/>
  <c r="EC205" i="12"/>
  <c r="AA291" i="12"/>
  <c r="DF211" i="12"/>
  <c r="EC310" i="12"/>
  <c r="ED287" i="12"/>
  <c r="BH226" i="12"/>
  <c r="DF182" i="12"/>
  <c r="EC324" i="12"/>
  <c r="EC218" i="12"/>
  <c r="EC276" i="12"/>
  <c r="DN206" i="12"/>
  <c r="EC330" i="12"/>
  <c r="CO219" i="12"/>
  <c r="CW208" i="12"/>
  <c r="DO193" i="12"/>
  <c r="F294" i="12"/>
  <c r="DJ187" i="12"/>
  <c r="DF324" i="12"/>
  <c r="BP185" i="12"/>
  <c r="DF271" i="12"/>
  <c r="G92" i="3"/>
  <c r="G94" i="3" s="1"/>
  <c r="EC275" i="12"/>
  <c r="DZ321" i="12"/>
  <c r="EC191" i="12"/>
  <c r="DZ230" i="12"/>
  <c r="DZ240" i="12"/>
  <c r="BC187" i="12"/>
  <c r="DI270" i="12"/>
  <c r="DF199" i="12"/>
  <c r="EC250" i="12"/>
  <c r="DZ292" i="12"/>
  <c r="EC289" i="12"/>
  <c r="DZ194" i="12"/>
  <c r="EC296" i="12"/>
  <c r="DF270" i="12"/>
  <c r="BC220" i="12"/>
  <c r="AE210" i="12"/>
  <c r="BP242" i="12"/>
  <c r="DF321" i="12"/>
  <c r="EC182" i="12"/>
  <c r="DZ217" i="12"/>
  <c r="I95" i="13"/>
  <c r="AJ24" i="13" s="1"/>
  <c r="EC314" i="12"/>
  <c r="DZ282" i="12"/>
  <c r="EC221" i="12"/>
  <c r="DF241" i="12"/>
  <c r="DY211" i="12"/>
  <c r="DT203" i="12"/>
  <c r="C84" i="13"/>
  <c r="C86" i="13" s="1"/>
  <c r="DF329" i="12"/>
  <c r="DF232" i="12"/>
  <c r="DF308" i="12"/>
  <c r="EC299" i="12"/>
  <c r="DZ267" i="12"/>
  <c r="EC326" i="12"/>
  <c r="DZ312" i="12"/>
  <c r="DZ322" i="12"/>
  <c r="DZ190" i="12"/>
  <c r="BP210" i="12"/>
  <c r="AO46" i="3"/>
  <c r="AG48" i="3"/>
  <c r="DA226" i="12"/>
  <c r="DA328" i="12"/>
  <c r="DA269" i="12"/>
  <c r="BB231" i="12"/>
  <c r="BB183" i="12"/>
  <c r="DZ248" i="12"/>
  <c r="DZ181" i="12"/>
  <c r="EP302" i="12"/>
  <c r="CH329" i="12"/>
  <c r="CS207" i="12"/>
  <c r="E92" i="3"/>
  <c r="EU307" i="12"/>
  <c r="AQ263" i="12"/>
  <c r="DX223" i="12"/>
  <c r="AM20" i="3"/>
  <c r="BB213" i="12"/>
  <c r="DA196" i="12"/>
  <c r="DA247" i="12"/>
  <c r="BB218" i="12"/>
  <c r="BB246" i="12"/>
  <c r="DZ203" i="12"/>
  <c r="DZ307" i="12"/>
  <c r="DZ241" i="12"/>
  <c r="DZ259" i="12"/>
  <c r="AQ301" i="12"/>
  <c r="DX260" i="12"/>
  <c r="G184" i="12"/>
  <c r="O307" i="12"/>
  <c r="BV145" i="3"/>
  <c r="DA276" i="12"/>
  <c r="DA261" i="12"/>
  <c r="BB252" i="12"/>
  <c r="BB214" i="12"/>
  <c r="DZ287" i="12"/>
  <c r="DZ269" i="12"/>
  <c r="DZ327" i="12"/>
  <c r="DZ195" i="12"/>
  <c r="CN327" i="12"/>
  <c r="CY258" i="12"/>
  <c r="BL318" i="12"/>
  <c r="CY271" i="12"/>
  <c r="E84" i="3"/>
  <c r="AM42" i="3"/>
  <c r="BQ150" i="3"/>
  <c r="DA268" i="12"/>
  <c r="DA294" i="12"/>
  <c r="BB338" i="12"/>
  <c r="BB331" i="12" s="1"/>
  <c r="BB194" i="12"/>
  <c r="BB287" i="12"/>
  <c r="EU199" i="12"/>
  <c r="Q237" i="12"/>
  <c r="EN306" i="12"/>
  <c r="AS301" i="12"/>
  <c r="EJ266" i="12"/>
  <c r="EN221" i="12"/>
  <c r="G258" i="12"/>
  <c r="BM317" i="12"/>
  <c r="L227" i="12"/>
  <c r="BP213" i="12"/>
  <c r="E325" i="12"/>
  <c r="BM212" i="12"/>
  <c r="BM313" i="12"/>
  <c r="E308" i="12"/>
  <c r="E266" i="12"/>
  <c r="E327" i="12"/>
  <c r="BM258" i="12"/>
  <c r="BM184" i="12"/>
  <c r="E300" i="12"/>
  <c r="BM327" i="12"/>
  <c r="BM169" i="12"/>
  <c r="E280" i="12"/>
  <c r="E183" i="12"/>
  <c r="BM205" i="12"/>
  <c r="BM233" i="12"/>
  <c r="EB259" i="12"/>
  <c r="E182" i="12"/>
  <c r="BM232" i="12"/>
  <c r="E209" i="12"/>
  <c r="BM247" i="12"/>
  <c r="T263" i="12"/>
  <c r="E276" i="12"/>
  <c r="BM213" i="12"/>
  <c r="E249" i="12"/>
  <c r="BE244" i="12"/>
  <c r="AD23" i="3"/>
  <c r="BM315" i="12"/>
  <c r="E246" i="12"/>
  <c r="E192" i="12"/>
  <c r="E202" i="12"/>
  <c r="O303" i="12"/>
  <c r="BM294" i="12"/>
  <c r="E309" i="12"/>
  <c r="E306" i="12"/>
  <c r="BM201" i="12"/>
  <c r="BE252" i="12"/>
  <c r="BM187" i="12"/>
  <c r="E240" i="12"/>
  <c r="BM295" i="12"/>
  <c r="DU249" i="12"/>
  <c r="DU235" i="12"/>
  <c r="DU300" i="12"/>
  <c r="DU250" i="12"/>
  <c r="DU203" i="12"/>
  <c r="AR243" i="12"/>
  <c r="DU312" i="12"/>
  <c r="DU242" i="12"/>
  <c r="DU263" i="12"/>
  <c r="DU204" i="12"/>
  <c r="DU227" i="12"/>
  <c r="AG245" i="12"/>
  <c r="FA313" i="12"/>
  <c r="DU201" i="12"/>
  <c r="DU270" i="12"/>
  <c r="DU215" i="12"/>
  <c r="DU309" i="12"/>
  <c r="AR257" i="12"/>
  <c r="BS191" i="12"/>
  <c r="DU248" i="12"/>
  <c r="DU293" i="12"/>
  <c r="DU259" i="12"/>
  <c r="DU199" i="12"/>
  <c r="DU286" i="12"/>
  <c r="BS190" i="12"/>
  <c r="AV287" i="12"/>
  <c r="AR251" i="12"/>
  <c r="FA180" i="12"/>
  <c r="BS223" i="12"/>
  <c r="CX312" i="12"/>
  <c r="DU304" i="12"/>
  <c r="DU182" i="12"/>
  <c r="DU208" i="12"/>
  <c r="I63" i="13"/>
  <c r="DU303" i="12"/>
  <c r="AV251" i="12"/>
  <c r="CD226" i="12"/>
  <c r="BG205" i="12"/>
  <c r="AV309" i="12"/>
  <c r="DU171" i="12"/>
  <c r="DU308" i="12"/>
  <c r="DU234" i="12"/>
  <c r="DU289" i="12"/>
  <c r="DU277" i="12"/>
  <c r="DU298" i="12"/>
  <c r="DP218" i="12"/>
  <c r="AG247" i="12"/>
  <c r="DU198" i="12"/>
  <c r="DU240" i="12"/>
  <c r="DU191" i="12"/>
  <c r="DU187" i="12"/>
  <c r="DU307" i="12"/>
  <c r="CH300" i="12"/>
  <c r="BP236" i="12"/>
  <c r="EG329" i="12"/>
  <c r="DD232" i="12"/>
  <c r="EQ249" i="12"/>
  <c r="BP272" i="12"/>
  <c r="BP266" i="12"/>
  <c r="BP177" i="12"/>
  <c r="AM19" i="3"/>
  <c r="BP183" i="12"/>
  <c r="V273" i="12"/>
  <c r="DH270" i="12"/>
  <c r="EG320" i="12"/>
  <c r="BO285" i="12"/>
  <c r="BP238" i="12"/>
  <c r="BP276" i="12"/>
  <c r="V259" i="12"/>
  <c r="DH192" i="12"/>
  <c r="AM276" i="12"/>
  <c r="BY245" i="12"/>
  <c r="K182" i="12"/>
  <c r="R176" i="12"/>
  <c r="EQ235" i="12"/>
  <c r="BP279" i="12"/>
  <c r="AE15" i="3"/>
  <c r="BN23" i="3" s="1"/>
  <c r="BP290" i="12"/>
  <c r="V284" i="12"/>
  <c r="BP265" i="12"/>
  <c r="DH237" i="12"/>
  <c r="AM329" i="12"/>
  <c r="AM200" i="12"/>
  <c r="K212" i="12"/>
  <c r="ER230" i="12"/>
  <c r="BP286" i="12"/>
  <c r="BP273" i="12"/>
  <c r="AH13" i="3"/>
  <c r="BV23" i="3" s="1"/>
  <c r="BY268" i="12"/>
  <c r="BO186" i="12"/>
  <c r="BP189" i="12"/>
  <c r="BP243" i="12"/>
  <c r="BY210" i="12"/>
  <c r="DD319" i="12"/>
  <c r="V227" i="12"/>
  <c r="K243" i="12"/>
  <c r="BP320" i="12"/>
  <c r="BE179" i="12"/>
  <c r="BE310" i="12"/>
  <c r="W196" i="12"/>
  <c r="W224" i="12"/>
  <c r="W202" i="12"/>
  <c r="W197" i="12"/>
  <c r="BC222" i="12"/>
  <c r="BC179" i="12"/>
  <c r="BC241" i="12"/>
  <c r="BC235" i="12"/>
  <c r="BC252" i="12"/>
  <c r="CI233" i="12"/>
  <c r="CI238" i="12"/>
  <c r="DO299" i="12"/>
  <c r="DO230" i="12"/>
  <c r="DO308" i="12"/>
  <c r="DO330" i="12"/>
  <c r="DO224" i="12"/>
  <c r="AS194" i="12"/>
  <c r="AS285" i="12"/>
  <c r="AS298" i="12"/>
  <c r="DY182" i="12"/>
  <c r="DY281" i="12"/>
  <c r="DY325" i="12"/>
  <c r="CR283" i="12"/>
  <c r="CR229" i="12"/>
  <c r="BR305" i="12"/>
  <c r="BR330" i="12"/>
  <c r="BR315" i="12"/>
  <c r="EI236" i="12"/>
  <c r="EI301" i="12"/>
  <c r="EI204" i="12"/>
  <c r="CW256" i="12"/>
  <c r="CW196" i="12"/>
  <c r="CW185" i="12"/>
  <c r="EJ179" i="12"/>
  <c r="EJ260" i="12"/>
  <c r="EJ277" i="12"/>
  <c r="EJ223" i="12"/>
  <c r="EJ247" i="12"/>
  <c r="L269" i="12"/>
  <c r="L318" i="12"/>
  <c r="L320" i="12"/>
  <c r="L295" i="12"/>
  <c r="EE205" i="12"/>
  <c r="EE281" i="12"/>
  <c r="EE320" i="12"/>
  <c r="EE204" i="12"/>
  <c r="BI320" i="12"/>
  <c r="BI198" i="12"/>
  <c r="BI289" i="12"/>
  <c r="BI322" i="12"/>
  <c r="CO247" i="12"/>
  <c r="CO293" i="12"/>
  <c r="CO254" i="12"/>
  <c r="EN281" i="12"/>
  <c r="EN220" i="12"/>
  <c r="CB185" i="12"/>
  <c r="CB186" i="12"/>
  <c r="DN242" i="12"/>
  <c r="DN176" i="12"/>
  <c r="DN285" i="12"/>
  <c r="CM230" i="12"/>
  <c r="CM178" i="12"/>
  <c r="EY262" i="12"/>
  <c r="EY298" i="12"/>
  <c r="CG283" i="12"/>
  <c r="CG264" i="12"/>
  <c r="DT194" i="12"/>
  <c r="DT259" i="12"/>
  <c r="G186" i="12"/>
  <c r="G273" i="12"/>
  <c r="G197" i="12"/>
  <c r="CT256" i="12"/>
  <c r="CT319" i="12"/>
  <c r="DF283" i="12"/>
  <c r="DF305" i="12"/>
  <c r="DF187" i="12"/>
  <c r="DF226" i="12"/>
  <c r="DF221" i="12"/>
  <c r="DF286" i="12"/>
  <c r="DF280" i="12"/>
  <c r="DF188" i="12"/>
  <c r="DF220" i="12"/>
  <c r="DF279" i="12"/>
  <c r="BE302" i="12"/>
  <c r="AM18" i="3"/>
  <c r="AN24" i="3"/>
  <c r="I71" i="3"/>
  <c r="E44" i="3"/>
  <c r="E45" i="3" s="1"/>
  <c r="C44" i="3"/>
  <c r="C46" i="3" s="1"/>
  <c r="AG27" i="3"/>
  <c r="K92" i="3"/>
  <c r="K93" i="3" s="1"/>
  <c r="AE34" i="3"/>
  <c r="BN149" i="3" s="1"/>
  <c r="C23" i="3"/>
  <c r="BB322" i="12"/>
  <c r="BB176" i="12"/>
  <c r="E330" i="12"/>
  <c r="E254" i="12"/>
  <c r="E213" i="12"/>
  <c r="E241" i="12"/>
  <c r="E188" i="12"/>
  <c r="EC297" i="12"/>
  <c r="EC184" i="12"/>
  <c r="EC196" i="12"/>
  <c r="EC269" i="12"/>
  <c r="EC338" i="12"/>
  <c r="EC331" i="12" s="1"/>
  <c r="BM330" i="12"/>
  <c r="BM259" i="12"/>
  <c r="BM230" i="12"/>
  <c r="BM234" i="12"/>
  <c r="BM211" i="12"/>
  <c r="BM289" i="12"/>
  <c r="BM298" i="12"/>
  <c r="BM231" i="12"/>
  <c r="BM218" i="12"/>
  <c r="BM254" i="12"/>
  <c r="E184" i="12"/>
  <c r="E263" i="12"/>
  <c r="E290" i="12"/>
  <c r="E269" i="12"/>
  <c r="E226" i="12"/>
  <c r="E307" i="12"/>
  <c r="E251" i="12"/>
  <c r="E197" i="12"/>
  <c r="E319" i="12"/>
  <c r="E268" i="12"/>
  <c r="BB250" i="12"/>
  <c r="BB178" i="12"/>
  <c r="BB201" i="12"/>
  <c r="BB216" i="12"/>
  <c r="BB258" i="12"/>
  <c r="BB211" i="12"/>
  <c r="BB292" i="12"/>
  <c r="BB204" i="12"/>
  <c r="BB227" i="12"/>
  <c r="BB279" i="12"/>
  <c r="BB324" i="12"/>
  <c r="BB198" i="12"/>
  <c r="BB270" i="12"/>
  <c r="BB260" i="12"/>
  <c r="BB242" i="12"/>
  <c r="BB217" i="12"/>
  <c r="BB277" i="12"/>
  <c r="BB321" i="12"/>
  <c r="EC285" i="12"/>
  <c r="EC291" i="12"/>
  <c r="EC200" i="12"/>
  <c r="EC265" i="12"/>
  <c r="EC263" i="12"/>
  <c r="EC258" i="12"/>
  <c r="EC271" i="12"/>
  <c r="EC303" i="12"/>
  <c r="EC266" i="12"/>
  <c r="E212" i="12"/>
  <c r="E302" i="12"/>
  <c r="E257" i="12"/>
  <c r="BB329" i="12"/>
  <c r="EC259" i="12"/>
  <c r="EC224" i="12"/>
  <c r="E264" i="12"/>
  <c r="BB248" i="12"/>
  <c r="EC311" i="12"/>
  <c r="E328" i="12"/>
  <c r="BM248" i="12"/>
  <c r="BM215" i="12"/>
  <c r="BM214" i="12"/>
  <c r="BM305" i="12"/>
  <c r="BM224" i="12"/>
  <c r="BM236" i="12"/>
  <c r="EC270" i="12"/>
  <c r="DF181" i="12"/>
  <c r="DF259" i="12"/>
  <c r="DF304" i="12"/>
  <c r="BE255" i="12"/>
  <c r="P190" i="12"/>
  <c r="CM192" i="12"/>
  <c r="AS280" i="12"/>
  <c r="AF223" i="12"/>
  <c r="BW277" i="12"/>
  <c r="F208" i="12"/>
  <c r="CT301" i="12"/>
  <c r="CO255" i="12"/>
  <c r="W237" i="12"/>
  <c r="BI205" i="12"/>
  <c r="DT317" i="12"/>
  <c r="CW313" i="12"/>
  <c r="EN187" i="12"/>
  <c r="EN230" i="12"/>
  <c r="CR320" i="12"/>
  <c r="CR321" i="12"/>
  <c r="EY215" i="12"/>
  <c r="EY231" i="12"/>
  <c r="BR187" i="12"/>
  <c r="EI303" i="12"/>
  <c r="DN246" i="12"/>
  <c r="DO320" i="12"/>
  <c r="DO303" i="12"/>
  <c r="DO223" i="12"/>
  <c r="BC229" i="12"/>
  <c r="BC256" i="12"/>
  <c r="EJ281" i="12"/>
  <c r="EJ194" i="12"/>
  <c r="L207" i="12"/>
  <c r="L181" i="12"/>
  <c r="G192" i="12"/>
  <c r="CI189" i="12"/>
  <c r="DJ289" i="12"/>
  <c r="W302" i="12"/>
  <c r="EE291" i="12"/>
  <c r="AS228" i="12"/>
  <c r="BI208" i="12"/>
  <c r="DY330" i="12"/>
  <c r="AF236" i="12"/>
  <c r="CM314" i="12"/>
  <c r="BP219" i="12"/>
  <c r="BP293" i="12"/>
  <c r="BP271" i="12"/>
  <c r="BP211" i="12"/>
  <c r="BP241" i="12"/>
  <c r="BP251" i="12"/>
  <c r="BP258" i="12"/>
  <c r="BP186" i="12"/>
  <c r="BP244" i="12"/>
  <c r="E55" i="3"/>
  <c r="AN17" i="3"/>
  <c r="BP37" i="3" s="1"/>
  <c r="CB143" i="3"/>
  <c r="I92" i="3"/>
  <c r="CA172" i="3" s="1"/>
  <c r="BT16" i="3"/>
  <c r="AD45" i="3"/>
  <c r="CA141" i="3" s="1"/>
  <c r="BP281" i="12"/>
  <c r="BP239" i="12"/>
  <c r="BP254" i="12"/>
  <c r="BP195" i="12"/>
  <c r="BP312" i="12"/>
  <c r="BP234" i="12"/>
  <c r="BP187" i="12"/>
  <c r="BP267" i="12"/>
  <c r="AG18" i="3"/>
  <c r="DF314" i="12"/>
  <c r="DF289" i="12"/>
  <c r="DF195" i="12"/>
  <c r="DF264" i="12"/>
  <c r="DF218" i="12"/>
  <c r="DF300" i="12"/>
  <c r="DF260" i="12"/>
  <c r="BE291" i="12"/>
  <c r="BE325" i="12"/>
  <c r="BE221" i="12"/>
  <c r="BE222" i="12"/>
  <c r="BE202" i="12"/>
  <c r="BE270" i="12"/>
  <c r="BE308" i="12"/>
  <c r="BE183" i="12"/>
  <c r="BE231" i="12"/>
  <c r="BE299" i="12"/>
  <c r="BE301" i="12"/>
  <c r="W314" i="12"/>
  <c r="W169" i="12"/>
  <c r="W290" i="12"/>
  <c r="W188" i="12"/>
  <c r="W319" i="12"/>
  <c r="W192" i="12"/>
  <c r="W296" i="12"/>
  <c r="W289" i="12"/>
  <c r="W248" i="12"/>
  <c r="W297" i="12"/>
  <c r="W214" i="12"/>
  <c r="W206" i="12"/>
  <c r="W226" i="12"/>
  <c r="W279" i="12"/>
  <c r="W227" i="12"/>
  <c r="W278" i="12"/>
  <c r="W241" i="12"/>
  <c r="W318" i="12"/>
  <c r="W308" i="12"/>
  <c r="W186" i="12"/>
  <c r="W321" i="12"/>
  <c r="W309" i="12"/>
  <c r="W271" i="12"/>
  <c r="W328" i="12"/>
  <c r="W263" i="12"/>
  <c r="BC176" i="12"/>
  <c r="BC324" i="12"/>
  <c r="BC286" i="12"/>
  <c r="BC280" i="12"/>
  <c r="BC267" i="12"/>
  <c r="BC196" i="12"/>
  <c r="BC326" i="12"/>
  <c r="BC261" i="12"/>
  <c r="BC308" i="12"/>
  <c r="BC296" i="12"/>
  <c r="BC279" i="12"/>
  <c r="BC214" i="12"/>
  <c r="BC305" i="12"/>
  <c r="BC282" i="12"/>
  <c r="BC329" i="12"/>
  <c r="BC236" i="12"/>
  <c r="BC264" i="12"/>
  <c r="BC271" i="12"/>
  <c r="BC197" i="12"/>
  <c r="CI214" i="12"/>
  <c r="CI270" i="12"/>
  <c r="CI213" i="12"/>
  <c r="CI199" i="12"/>
  <c r="CI317" i="12"/>
  <c r="CI272" i="12"/>
  <c r="CI263" i="12"/>
  <c r="CI247" i="12"/>
  <c r="CI196" i="12"/>
  <c r="CI273" i="12"/>
  <c r="CI288" i="12"/>
  <c r="CI300" i="12"/>
  <c r="CI307" i="12"/>
  <c r="CI278" i="12"/>
  <c r="CI209" i="12"/>
  <c r="CI211" i="12"/>
  <c r="CI185" i="12"/>
  <c r="CI177" i="12"/>
  <c r="CI236" i="12"/>
  <c r="CI221" i="12"/>
  <c r="CI277" i="12"/>
  <c r="CI326" i="12"/>
  <c r="CI216" i="12"/>
  <c r="CI183" i="12"/>
  <c r="CI250" i="12"/>
  <c r="CI282" i="12"/>
  <c r="DO295" i="12"/>
  <c r="DO252" i="12"/>
  <c r="DO304" i="12"/>
  <c r="DO239" i="12"/>
  <c r="DO205" i="12"/>
  <c r="DO191" i="12"/>
  <c r="DO326" i="12"/>
  <c r="DO258" i="12"/>
  <c r="DO300" i="12"/>
  <c r="DO247" i="12"/>
  <c r="DO203" i="12"/>
  <c r="DO319" i="12"/>
  <c r="DO284" i="12"/>
  <c r="DO254" i="12"/>
  <c r="DO275" i="12"/>
  <c r="DO232" i="12"/>
  <c r="DO210" i="12"/>
  <c r="DO171" i="12"/>
  <c r="DO281" i="12"/>
  <c r="DO317" i="12"/>
  <c r="AS325" i="12"/>
  <c r="AS305" i="12"/>
  <c r="AS227" i="12"/>
  <c r="AS327" i="12"/>
  <c r="AS253" i="12"/>
  <c r="AS219" i="12"/>
  <c r="AS180" i="12"/>
  <c r="AS308" i="12"/>
  <c r="AS238" i="12"/>
  <c r="AS184" i="12"/>
  <c r="AS245" i="12"/>
  <c r="AS276" i="12"/>
  <c r="AS329" i="12"/>
  <c r="AS229" i="12"/>
  <c r="AS314" i="12"/>
  <c r="AS252" i="12"/>
  <c r="AS258" i="12"/>
  <c r="AS265" i="12"/>
  <c r="AS248" i="12"/>
  <c r="AS269" i="12"/>
  <c r="AS263" i="12"/>
  <c r="AS299" i="12"/>
  <c r="AS292" i="12"/>
  <c r="AS338" i="12"/>
  <c r="AS331" i="12" s="1"/>
  <c r="AS186" i="12"/>
  <c r="AS275" i="12"/>
  <c r="AS274" i="12"/>
  <c r="AS218" i="12"/>
  <c r="DY243" i="12"/>
  <c r="DY280" i="12"/>
  <c r="DY250" i="12"/>
  <c r="DY305" i="12"/>
  <c r="DY202" i="12"/>
  <c r="DY206" i="12"/>
  <c r="DY296" i="12"/>
  <c r="DY212" i="12"/>
  <c r="DY178" i="12"/>
  <c r="DY291" i="12"/>
  <c r="DY218" i="12"/>
  <c r="DY233" i="12"/>
  <c r="DY179" i="12"/>
  <c r="DY295" i="12"/>
  <c r="DY225" i="12"/>
  <c r="DY323" i="12"/>
  <c r="DY220" i="12"/>
  <c r="DY232" i="12"/>
  <c r="DY307" i="12"/>
  <c r="DY169" i="12"/>
  <c r="DY236" i="12"/>
  <c r="DY253" i="12"/>
  <c r="DY321" i="12"/>
  <c r="DY240" i="12"/>
  <c r="DY274" i="12"/>
  <c r="DY190" i="12"/>
  <c r="DY320" i="12"/>
  <c r="CR199" i="12"/>
  <c r="CR221" i="12"/>
  <c r="CR266" i="12"/>
  <c r="CR205" i="12"/>
  <c r="CR200" i="12"/>
  <c r="CR197" i="12"/>
  <c r="CR319" i="12"/>
  <c r="CR244" i="12"/>
  <c r="CR272" i="12"/>
  <c r="CR242" i="12"/>
  <c r="CR195" i="12"/>
  <c r="CR302" i="12"/>
  <c r="CR326" i="12"/>
  <c r="CR182" i="12"/>
  <c r="CR291" i="12"/>
  <c r="CR255" i="12"/>
  <c r="CR191" i="12"/>
  <c r="CR277" i="12"/>
  <c r="AF290" i="12"/>
  <c r="AF263" i="12"/>
  <c r="AF252" i="12"/>
  <c r="AF279" i="12"/>
  <c r="AF171" i="12"/>
  <c r="M71" i="3" s="1"/>
  <c r="J11" i="14" s="1"/>
  <c r="AF182" i="12"/>
  <c r="AF180" i="12"/>
  <c r="AF254" i="12"/>
  <c r="AF246" i="12"/>
  <c r="AF235" i="12"/>
  <c r="AF208" i="12"/>
  <c r="AF196" i="12"/>
  <c r="AF181" i="12"/>
  <c r="AF192" i="12"/>
  <c r="AF281" i="12"/>
  <c r="AF320" i="12"/>
  <c r="AF203" i="12"/>
  <c r="AF297" i="12"/>
  <c r="ED233" i="12"/>
  <c r="ED328" i="12"/>
  <c r="ED244" i="12"/>
  <c r="ED205" i="12"/>
  <c r="ED311" i="12"/>
  <c r="ED253" i="12"/>
  <c r="ED271" i="12"/>
  <c r="ED307" i="12"/>
  <c r="ED171" i="12"/>
  <c r="P96" i="3" s="1"/>
  <c r="M28" i="14" s="1"/>
  <c r="ED258" i="12"/>
  <c r="ED200" i="12"/>
  <c r="BR191" i="12"/>
  <c r="BR246" i="12"/>
  <c r="BR171" i="12"/>
  <c r="BR179" i="12"/>
  <c r="BR284" i="12"/>
  <c r="BR182" i="12"/>
  <c r="BR252" i="12"/>
  <c r="BR218" i="12"/>
  <c r="BR297" i="12"/>
  <c r="BR241" i="12"/>
  <c r="BR254" i="12"/>
  <c r="BR185" i="12"/>
  <c r="BR244" i="12"/>
  <c r="BR257" i="12"/>
  <c r="BR298" i="12"/>
  <c r="F264" i="12"/>
  <c r="F269" i="12"/>
  <c r="F285" i="12"/>
  <c r="F323" i="12"/>
  <c r="F219" i="12"/>
  <c r="F263" i="12"/>
  <c r="F325" i="12"/>
  <c r="F258" i="12"/>
  <c r="F250" i="12"/>
  <c r="F256" i="12"/>
  <c r="F270" i="12"/>
  <c r="BW284" i="12"/>
  <c r="BW308" i="12"/>
  <c r="BW302" i="12"/>
  <c r="BW255" i="12"/>
  <c r="BW193" i="12"/>
  <c r="BW195" i="12"/>
  <c r="BW320" i="12"/>
  <c r="BW330" i="12"/>
  <c r="BW248" i="12"/>
  <c r="BW192" i="12"/>
  <c r="BW260" i="12"/>
  <c r="EI320" i="12"/>
  <c r="EI203" i="12"/>
  <c r="EI330" i="12"/>
  <c r="EI328" i="12"/>
  <c r="EI274" i="12"/>
  <c r="EI181" i="12"/>
  <c r="EI263" i="12"/>
  <c r="EI264" i="12"/>
  <c r="EI184" i="12"/>
  <c r="EI262" i="12"/>
  <c r="EI242" i="12"/>
  <c r="EI172" i="12"/>
  <c r="EI259" i="12"/>
  <c r="EI251" i="12"/>
  <c r="EI189" i="12"/>
  <c r="BM267" i="12"/>
  <c r="BM199" i="12"/>
  <c r="CW192" i="12"/>
  <c r="CW200" i="12"/>
  <c r="CW239" i="12"/>
  <c r="CW177" i="12"/>
  <c r="CW236" i="12"/>
  <c r="CW215" i="12"/>
  <c r="CW197" i="12"/>
  <c r="CW264" i="12"/>
  <c r="CW261" i="12"/>
  <c r="CW189" i="12"/>
  <c r="CW317" i="12"/>
  <c r="CW237" i="12"/>
  <c r="G60" i="13"/>
  <c r="G62" i="13" s="1"/>
  <c r="EJ276" i="12"/>
  <c r="EJ211" i="12"/>
  <c r="EJ258" i="12"/>
  <c r="EJ329" i="12"/>
  <c r="EJ202" i="12"/>
  <c r="EJ205" i="12"/>
  <c r="EJ320" i="12"/>
  <c r="EJ272" i="12"/>
  <c r="EJ278" i="12"/>
  <c r="EJ246" i="12"/>
  <c r="EJ251" i="12"/>
  <c r="EJ201" i="12"/>
  <c r="EJ327" i="12"/>
  <c r="EJ250" i="12"/>
  <c r="EJ197" i="12"/>
  <c r="EJ241" i="12"/>
  <c r="EJ228" i="12"/>
  <c r="EJ186" i="12"/>
  <c r="EJ299" i="12"/>
  <c r="EJ308" i="12"/>
  <c r="BX238" i="12"/>
  <c r="BX282" i="12"/>
  <c r="BX304" i="12"/>
  <c r="BX234" i="12"/>
  <c r="BX286" i="12"/>
  <c r="BX233" i="12"/>
  <c r="L171" i="12"/>
  <c r="L313" i="12"/>
  <c r="L229" i="12"/>
  <c r="L244" i="12"/>
  <c r="L259" i="12"/>
  <c r="L235" i="12"/>
  <c r="L250" i="12"/>
  <c r="L302" i="12"/>
  <c r="L263" i="12"/>
  <c r="L300" i="12"/>
  <c r="L239" i="12"/>
  <c r="L209" i="12"/>
  <c r="L272" i="12"/>
  <c r="L284" i="12"/>
  <c r="L216" i="12"/>
  <c r="L286" i="12"/>
  <c r="L187" i="12"/>
  <c r="L258" i="12"/>
  <c r="L215" i="12"/>
  <c r="L245" i="12"/>
  <c r="L260" i="12"/>
  <c r="L307" i="12"/>
  <c r="DJ207" i="12"/>
  <c r="DJ274" i="12"/>
  <c r="DJ254" i="12"/>
  <c r="DJ200" i="12"/>
  <c r="DJ202" i="12"/>
  <c r="DJ279" i="12"/>
  <c r="DJ255" i="12"/>
  <c r="DJ217" i="12"/>
  <c r="DJ326" i="12"/>
  <c r="DJ262" i="12"/>
  <c r="DJ188" i="12"/>
  <c r="DJ303" i="12"/>
  <c r="DJ178" i="12"/>
  <c r="DJ236" i="12"/>
  <c r="DJ309" i="12"/>
  <c r="AX219" i="12"/>
  <c r="AX224" i="12"/>
  <c r="AX309" i="12"/>
  <c r="AX285" i="12"/>
  <c r="EE190" i="12"/>
  <c r="EE239" i="12"/>
  <c r="EE250" i="12"/>
  <c r="EE183" i="12"/>
  <c r="EE234" i="12"/>
  <c r="EE252" i="12"/>
  <c r="EE240" i="12"/>
  <c r="EE235" i="12"/>
  <c r="EE251" i="12"/>
  <c r="EE169" i="12"/>
  <c r="EE231" i="12"/>
  <c r="EE309" i="12"/>
  <c r="EE310" i="12"/>
  <c r="EE224" i="12"/>
  <c r="EE176" i="12"/>
  <c r="EE248" i="12"/>
  <c r="EE192" i="12"/>
  <c r="EE308" i="12"/>
  <c r="EE287" i="12"/>
  <c r="EE208" i="12"/>
  <c r="EE288" i="12"/>
  <c r="EE283" i="12"/>
  <c r="EE243" i="12"/>
  <c r="EE222" i="12"/>
  <c r="EE293" i="12"/>
  <c r="EE241" i="12"/>
  <c r="EE299" i="12"/>
  <c r="EE300" i="12"/>
  <c r="E41" i="3"/>
  <c r="BI304" i="12"/>
  <c r="BI280" i="12"/>
  <c r="BI292" i="12"/>
  <c r="BI253" i="12"/>
  <c r="BI298" i="12"/>
  <c r="BI311" i="12"/>
  <c r="BI194" i="12"/>
  <c r="BI234" i="12"/>
  <c r="BI321" i="12"/>
  <c r="BI235" i="12"/>
  <c r="BI202" i="12"/>
  <c r="BI207" i="12"/>
  <c r="BI270" i="12"/>
  <c r="BI232" i="12"/>
  <c r="BI338" i="12"/>
  <c r="BI331" i="12" s="1"/>
  <c r="BI178" i="12"/>
  <c r="BI254" i="12"/>
  <c r="BI312" i="12"/>
  <c r="BI240" i="12"/>
  <c r="BI324" i="12"/>
  <c r="BI230" i="12"/>
  <c r="BI256" i="12"/>
  <c r="BI266" i="12"/>
  <c r="BI318" i="12"/>
  <c r="CO324" i="12"/>
  <c r="CO208" i="12"/>
  <c r="CO259" i="12"/>
  <c r="CO245" i="12"/>
  <c r="CO191" i="12"/>
  <c r="CO229" i="12"/>
  <c r="CO271" i="12"/>
  <c r="CO276" i="12"/>
  <c r="CO325" i="12"/>
  <c r="CO302" i="12"/>
  <c r="CO232" i="12"/>
  <c r="CO308" i="12"/>
  <c r="CO310" i="12"/>
  <c r="CO319" i="12"/>
  <c r="CO288" i="12"/>
  <c r="CO223" i="12"/>
  <c r="CO323" i="12"/>
  <c r="CO239" i="12"/>
  <c r="CO204" i="12"/>
  <c r="CO322" i="12"/>
  <c r="CO298" i="12"/>
  <c r="CO195" i="12"/>
  <c r="CO329" i="12"/>
  <c r="CO236" i="12"/>
  <c r="CO225" i="12"/>
  <c r="CO184" i="12"/>
  <c r="CO260" i="12"/>
  <c r="EN196" i="12"/>
  <c r="EN211" i="12"/>
  <c r="EN266" i="12"/>
  <c r="EN239" i="12"/>
  <c r="EN328" i="12"/>
  <c r="EN276" i="12"/>
  <c r="EN199" i="12"/>
  <c r="EN179" i="12"/>
  <c r="EN243" i="12"/>
  <c r="EN260" i="12"/>
  <c r="EN278" i="12"/>
  <c r="EN183" i="12"/>
  <c r="EN321" i="12"/>
  <c r="EN307" i="12"/>
  <c r="EN185" i="12"/>
  <c r="EN268" i="12"/>
  <c r="EN252" i="12"/>
  <c r="EN222" i="12"/>
  <c r="EN269" i="12"/>
  <c r="CB261" i="12"/>
  <c r="CB222" i="12"/>
  <c r="CB244" i="12"/>
  <c r="CB257" i="12"/>
  <c r="CB269" i="12"/>
  <c r="CB305" i="12"/>
  <c r="CB294" i="12"/>
  <c r="E80" i="13"/>
  <c r="CB188" i="12"/>
  <c r="CB206" i="12"/>
  <c r="CB171" i="12"/>
  <c r="N80" i="3" s="1"/>
  <c r="K26" i="14" s="1"/>
  <c r="CB207" i="12"/>
  <c r="CB250" i="12"/>
  <c r="CB169" i="12"/>
  <c r="CB306" i="12"/>
  <c r="CB259" i="12"/>
  <c r="CB308" i="12"/>
  <c r="CB225" i="12"/>
  <c r="P191" i="12"/>
  <c r="P205" i="12"/>
  <c r="P275" i="12"/>
  <c r="P268" i="12"/>
  <c r="P248" i="12"/>
  <c r="P259" i="12"/>
  <c r="P327" i="12"/>
  <c r="P214" i="12"/>
  <c r="P307" i="12"/>
  <c r="P290" i="12"/>
  <c r="P238" i="12"/>
  <c r="P309" i="12"/>
  <c r="P176" i="12"/>
  <c r="P211" i="12"/>
  <c r="DN278" i="12"/>
  <c r="DN194" i="12"/>
  <c r="DN330" i="12"/>
  <c r="DN289" i="12"/>
  <c r="DN192" i="12"/>
  <c r="DN191" i="12"/>
  <c r="DN219" i="12"/>
  <c r="DN324" i="12"/>
  <c r="DN258" i="12"/>
  <c r="DN221" i="12"/>
  <c r="DN256" i="12"/>
  <c r="DN253" i="12"/>
  <c r="DN204" i="12"/>
  <c r="DN292" i="12"/>
  <c r="DN251" i="12"/>
  <c r="AA288" i="12"/>
  <c r="AA217" i="12"/>
  <c r="AA296" i="12"/>
  <c r="AA244" i="12"/>
  <c r="AA180" i="12"/>
  <c r="AA238" i="12"/>
  <c r="AA293" i="12"/>
  <c r="AA240" i="12"/>
  <c r="AA251" i="12"/>
  <c r="C44" i="13"/>
  <c r="C45" i="13" s="1"/>
  <c r="AA186" i="12"/>
  <c r="CM187" i="12"/>
  <c r="CM201" i="12"/>
  <c r="CM304" i="12"/>
  <c r="CM268" i="12"/>
  <c r="CM329" i="12"/>
  <c r="CM248" i="12"/>
  <c r="CM270" i="12"/>
  <c r="CM313" i="12"/>
  <c r="CM260" i="12"/>
  <c r="CM236" i="12"/>
  <c r="CM204" i="12"/>
  <c r="EY302" i="12"/>
  <c r="EY196" i="12"/>
  <c r="EY197" i="12"/>
  <c r="EY171" i="12"/>
  <c r="EY292" i="12"/>
  <c r="EY218" i="12"/>
  <c r="EY313" i="12"/>
  <c r="EY297" i="12"/>
  <c r="EY232" i="12"/>
  <c r="EY234" i="12"/>
  <c r="EY178" i="12"/>
  <c r="EY253" i="12"/>
  <c r="EY227" i="12"/>
  <c r="K92" i="13"/>
  <c r="K94" i="13" s="1"/>
  <c r="CG297" i="12"/>
  <c r="CG209" i="12"/>
  <c r="CG322" i="12"/>
  <c r="CG221" i="12"/>
  <c r="DT315" i="12"/>
  <c r="DT283" i="12"/>
  <c r="DT320" i="12"/>
  <c r="DT298" i="12"/>
  <c r="DT221" i="12"/>
  <c r="DT186" i="12"/>
  <c r="DT310" i="12"/>
  <c r="DT233" i="12"/>
  <c r="DT177" i="12"/>
  <c r="DT322" i="12"/>
  <c r="DT234" i="12"/>
  <c r="BH246" i="12"/>
  <c r="BH188" i="12"/>
  <c r="BH317" i="12"/>
  <c r="BH276" i="12"/>
  <c r="BH222" i="12"/>
  <c r="BH182" i="12"/>
  <c r="BH254" i="12"/>
  <c r="BH304" i="12"/>
  <c r="BH285" i="12"/>
  <c r="BH301" i="12"/>
  <c r="BH321" i="12"/>
  <c r="BH300" i="12"/>
  <c r="BH272" i="12"/>
  <c r="BH252" i="12"/>
  <c r="BH225" i="12"/>
  <c r="G194" i="12"/>
  <c r="G338" i="12"/>
  <c r="G331" i="12" s="1"/>
  <c r="G314" i="12"/>
  <c r="G255" i="12"/>
  <c r="G169" i="12"/>
  <c r="G277" i="12"/>
  <c r="G304" i="12"/>
  <c r="G264" i="12"/>
  <c r="G295" i="12"/>
  <c r="G322" i="12"/>
  <c r="G240" i="12"/>
  <c r="G244" i="12"/>
  <c r="G327" i="12"/>
  <c r="G262" i="12"/>
  <c r="G206" i="12"/>
  <c r="G297" i="12"/>
  <c r="G330" i="12"/>
  <c r="G251" i="12"/>
  <c r="G203" i="12"/>
  <c r="G271" i="12"/>
  <c r="G249" i="12"/>
  <c r="G269" i="12"/>
  <c r="G193" i="12"/>
  <c r="G282" i="12"/>
  <c r="G189" i="12"/>
  <c r="G211" i="12"/>
  <c r="G265" i="12"/>
  <c r="G207" i="12"/>
  <c r="G328" i="12"/>
  <c r="G231" i="12"/>
  <c r="CT183" i="12"/>
  <c r="CT240" i="12"/>
  <c r="CT235" i="12"/>
  <c r="CT303" i="12"/>
  <c r="CT298" i="12"/>
  <c r="CT201" i="12"/>
  <c r="CT313" i="12"/>
  <c r="CT327" i="12"/>
  <c r="CT247" i="12"/>
  <c r="CT306" i="12"/>
  <c r="CT237" i="12"/>
  <c r="AH212" i="12"/>
  <c r="AH228" i="12"/>
  <c r="C14" i="13"/>
  <c r="DF227" i="12"/>
  <c r="DF318" i="12"/>
  <c r="DF272" i="12"/>
  <c r="DF212" i="12"/>
  <c r="DF250" i="12"/>
  <c r="DF215" i="12"/>
  <c r="DF202" i="12"/>
  <c r="DF301" i="12"/>
  <c r="DF320" i="12"/>
  <c r="DF327" i="12"/>
  <c r="DF228" i="12"/>
  <c r="DF216" i="12"/>
  <c r="DF244" i="12"/>
  <c r="DF208" i="12"/>
  <c r="DF322" i="12"/>
  <c r="DF297" i="12"/>
  <c r="DF266" i="12"/>
  <c r="DF248" i="12"/>
  <c r="DF230" i="12"/>
  <c r="BE306" i="12"/>
  <c r="BE303" i="12"/>
  <c r="BP69" i="3"/>
  <c r="AD46" i="3"/>
  <c r="CA148" i="3" s="1"/>
  <c r="CB145" i="3"/>
  <c r="AM33" i="3"/>
  <c r="BQ139" i="3" s="1"/>
  <c r="G95" i="3"/>
  <c r="AD33" i="3"/>
  <c r="BO141" i="3" s="1"/>
  <c r="AG46" i="3"/>
  <c r="BT76" i="3"/>
  <c r="C28" i="3"/>
  <c r="C30" i="3" s="1"/>
  <c r="C39" i="3"/>
  <c r="AG34" i="3"/>
  <c r="AO24" i="3"/>
  <c r="AE23" i="3"/>
  <c r="BN81" i="3" s="1"/>
  <c r="AO14" i="3"/>
  <c r="AN35" i="3"/>
  <c r="BQ153" i="3" s="1"/>
  <c r="AG42" i="3"/>
  <c r="AN41" i="3"/>
  <c r="BW153" i="3" s="1"/>
  <c r="AG20" i="3"/>
  <c r="G55" i="3"/>
  <c r="BB310" i="12"/>
  <c r="BB222" i="12"/>
  <c r="E217" i="12"/>
  <c r="E294" i="12"/>
  <c r="E218" i="12"/>
  <c r="E259" i="12"/>
  <c r="E206" i="12"/>
  <c r="E223" i="12"/>
  <c r="E305" i="12"/>
  <c r="E255" i="12"/>
  <c r="E314" i="12"/>
  <c r="E179" i="12"/>
  <c r="EC234" i="12"/>
  <c r="EC242" i="12"/>
  <c r="EC183" i="12"/>
  <c r="EC260" i="12"/>
  <c r="EC212" i="12"/>
  <c r="EC251" i="12"/>
  <c r="EC219" i="12"/>
  <c r="EC216" i="12"/>
  <c r="EC283" i="12"/>
  <c r="EC280" i="12"/>
  <c r="BM296" i="12"/>
  <c r="BM309" i="12"/>
  <c r="BM246" i="12"/>
  <c r="BM189" i="12"/>
  <c r="BM203" i="12"/>
  <c r="BM287" i="12"/>
  <c r="BM300" i="12"/>
  <c r="BM281" i="12"/>
  <c r="BM290" i="12"/>
  <c r="BM182" i="12"/>
  <c r="BM239" i="12"/>
  <c r="BM252" i="12"/>
  <c r="BM256" i="12"/>
  <c r="BM269" i="12"/>
  <c r="BM242" i="12"/>
  <c r="BM185" i="12"/>
  <c r="BM206" i="12"/>
  <c r="BM220" i="12"/>
  <c r="BM283" i="12"/>
  <c r="BM249" i="12"/>
  <c r="E220" i="12"/>
  <c r="E285" i="12"/>
  <c r="E233" i="12"/>
  <c r="E228" i="12"/>
  <c r="E329" i="12"/>
  <c r="E274" i="12"/>
  <c r="E312" i="12"/>
  <c r="E244" i="12"/>
  <c r="E282" i="12"/>
  <c r="E238" i="12"/>
  <c r="C15" i="13"/>
  <c r="AG4" i="13" s="1"/>
  <c r="AG35" i="13" s="1"/>
  <c r="AH65" i="13" s="1"/>
  <c r="E239" i="12"/>
  <c r="E273" i="12"/>
  <c r="E198" i="12"/>
  <c r="E204" i="12"/>
  <c r="E224" i="12"/>
  <c r="E231" i="12"/>
  <c r="E284" i="12"/>
  <c r="E299" i="12"/>
  <c r="BE172" i="12"/>
  <c r="BB208" i="12"/>
  <c r="BB243" i="12"/>
  <c r="BB284" i="12"/>
  <c r="BB317" i="12"/>
  <c r="BB245" i="12"/>
  <c r="BB296" i="12"/>
  <c r="BB205" i="12"/>
  <c r="BB266" i="12"/>
  <c r="BB235" i="12"/>
  <c r="BB263" i="12"/>
  <c r="BB315" i="12"/>
  <c r="BB239" i="12"/>
  <c r="BB325" i="12"/>
  <c r="BB259" i="12"/>
  <c r="BB230" i="12"/>
  <c r="BB199" i="12"/>
  <c r="BB188" i="12"/>
  <c r="BB278" i="12"/>
  <c r="BB306" i="12"/>
  <c r="BB267" i="12"/>
  <c r="BB330" i="12"/>
  <c r="BB272" i="12"/>
  <c r="BB320" i="12"/>
  <c r="BB280" i="12"/>
  <c r="BB264" i="12"/>
  <c r="BB304" i="12"/>
  <c r="BB300" i="12"/>
  <c r="BB224" i="12"/>
  <c r="BB185" i="12"/>
  <c r="BB301" i="12"/>
  <c r="BB312" i="12"/>
  <c r="BB190" i="12"/>
  <c r="BB275" i="12"/>
  <c r="BB302" i="12"/>
  <c r="EC293" i="12"/>
  <c r="EC327" i="12"/>
  <c r="EC229" i="12"/>
  <c r="EC178" i="12"/>
  <c r="EC323" i="12"/>
  <c r="EC255" i="12"/>
  <c r="EC288" i="12"/>
  <c r="EC230" i="12"/>
  <c r="EC190" i="12"/>
  <c r="EC179" i="12"/>
  <c r="EC312" i="12"/>
  <c r="EC249" i="12"/>
  <c r="EC207" i="12"/>
  <c r="EC243" i="12"/>
  <c r="EC319" i="12"/>
  <c r="EC204" i="12"/>
  <c r="EC209" i="12"/>
  <c r="EC181" i="12"/>
  <c r="EC301" i="12"/>
  <c r="EC261" i="12"/>
  <c r="E250" i="12"/>
  <c r="E227" i="12"/>
  <c r="E292" i="12"/>
  <c r="E242" i="12"/>
  <c r="E283" i="12"/>
  <c r="BB197" i="12"/>
  <c r="EC308" i="12"/>
  <c r="EC252" i="12"/>
  <c r="EC195" i="12"/>
  <c r="EC201" i="12"/>
  <c r="EC320" i="12"/>
  <c r="E199" i="12"/>
  <c r="E281" i="12"/>
  <c r="BB228" i="12"/>
  <c r="EC180" i="12"/>
  <c r="EC235" i="12"/>
  <c r="E323" i="12"/>
  <c r="EC177" i="12"/>
  <c r="BM195" i="12"/>
  <c r="BM238" i="12"/>
  <c r="BM316" i="12"/>
  <c r="BM208" i="12"/>
  <c r="BM338" i="12"/>
  <c r="BM331" i="12" s="1"/>
  <c r="E178" i="12"/>
  <c r="E260" i="12"/>
  <c r="BM204" i="12"/>
  <c r="BM227" i="12"/>
  <c r="BM308" i="12"/>
  <c r="BM291" i="12"/>
  <c r="E57" i="13"/>
  <c r="BM304" i="12"/>
  <c r="BM191" i="12"/>
  <c r="BM172" i="12"/>
  <c r="BM245" i="12"/>
  <c r="E57" i="3"/>
  <c r="DF299" i="12"/>
  <c r="DF257" i="12"/>
  <c r="DF200" i="12"/>
  <c r="DF224" i="12"/>
  <c r="DF291" i="12"/>
  <c r="DF222" i="12"/>
  <c r="DF317" i="12"/>
  <c r="BE265" i="12"/>
  <c r="BE242" i="12"/>
  <c r="BE194" i="12"/>
  <c r="BE286" i="12"/>
  <c r="P262" i="12"/>
  <c r="BX169" i="12"/>
  <c r="AA270" i="12"/>
  <c r="AX302" i="12"/>
  <c r="AX247" i="12"/>
  <c r="EE316" i="12"/>
  <c r="EE279" i="12"/>
  <c r="ED213" i="12"/>
  <c r="CM232" i="12"/>
  <c r="CM288" i="12"/>
  <c r="CB273" i="12"/>
  <c r="CB195" i="12"/>
  <c r="CB270" i="12"/>
  <c r="AS243" i="12"/>
  <c r="AS291" i="12"/>
  <c r="AF209" i="12"/>
  <c r="AF241" i="12"/>
  <c r="AF189" i="12"/>
  <c r="BW264" i="12"/>
  <c r="BW185" i="12"/>
  <c r="BW244" i="12"/>
  <c r="F182" i="12"/>
  <c r="F291" i="12"/>
  <c r="DY279" i="12"/>
  <c r="DY216" i="12"/>
  <c r="DY210" i="12"/>
  <c r="CT244" i="12"/>
  <c r="CT324" i="12"/>
  <c r="CT308" i="12"/>
  <c r="G55" i="13"/>
  <c r="CO277" i="12"/>
  <c r="CO181" i="12"/>
  <c r="CO213" i="12"/>
  <c r="CO251" i="12"/>
  <c r="CO263" i="12"/>
  <c r="W212" i="12"/>
  <c r="W221" i="12"/>
  <c r="W216" i="12"/>
  <c r="W325" i="12"/>
  <c r="W203" i="12"/>
  <c r="BI279" i="12"/>
  <c r="BI297" i="12"/>
  <c r="BI195" i="12"/>
  <c r="BI239" i="12"/>
  <c r="BI226" i="12"/>
  <c r="DT329" i="12"/>
  <c r="DT193" i="12"/>
  <c r="DT248" i="12"/>
  <c r="DT321" i="12"/>
  <c r="DT202" i="12"/>
  <c r="CW300" i="12"/>
  <c r="CW241" i="12"/>
  <c r="CW327" i="12"/>
  <c r="CW291" i="12"/>
  <c r="CW211" i="12"/>
  <c r="EN240" i="12"/>
  <c r="EN289" i="12"/>
  <c r="EN192" i="12"/>
  <c r="EN213" i="12"/>
  <c r="EN171" i="12"/>
  <c r="CR185" i="12"/>
  <c r="CR228" i="12"/>
  <c r="CR259" i="12"/>
  <c r="CR317" i="12"/>
  <c r="CR249" i="12"/>
  <c r="EY282" i="12"/>
  <c r="EY187" i="12"/>
  <c r="EY284" i="12"/>
  <c r="EY191" i="12"/>
  <c r="EY338" i="12"/>
  <c r="EY331" i="12" s="1"/>
  <c r="BR275" i="12"/>
  <c r="BR223" i="12"/>
  <c r="BR300" i="12"/>
  <c r="BR326" i="12"/>
  <c r="EI308" i="12"/>
  <c r="EI196" i="12"/>
  <c r="EI306" i="12"/>
  <c r="EI296" i="12"/>
  <c r="DN304" i="12"/>
  <c r="DN284" i="12"/>
  <c r="DN243" i="12"/>
  <c r="DN184" i="12"/>
  <c r="DO228" i="12"/>
  <c r="DO259" i="12"/>
  <c r="DO194" i="12"/>
  <c r="DO244" i="12"/>
  <c r="DO288" i="12"/>
  <c r="DO189" i="12"/>
  <c r="DO274" i="12"/>
  <c r="DO273" i="12"/>
  <c r="DO202" i="12"/>
  <c r="BC209" i="12"/>
  <c r="BC318" i="12"/>
  <c r="BC182" i="12"/>
  <c r="BC237" i="12"/>
  <c r="BC266" i="12"/>
  <c r="BC191" i="12"/>
  <c r="BC224" i="12"/>
  <c r="BC273" i="12"/>
  <c r="BC185" i="12"/>
  <c r="BC311" i="12"/>
  <c r="EJ231" i="12"/>
  <c r="EJ287" i="12"/>
  <c r="EJ255" i="12"/>
  <c r="EJ282" i="12"/>
  <c r="EJ200" i="12"/>
  <c r="EJ178" i="12"/>
  <c r="EJ240" i="12"/>
  <c r="EJ285" i="12"/>
  <c r="EJ300" i="12"/>
  <c r="EJ233" i="12"/>
  <c r="L285" i="12"/>
  <c r="L310" i="12"/>
  <c r="L204" i="12"/>
  <c r="L257" i="12"/>
  <c r="L218" i="12"/>
  <c r="L325" i="12"/>
  <c r="L232" i="12"/>
  <c r="L246" i="12"/>
  <c r="G299" i="12"/>
  <c r="G272" i="12"/>
  <c r="G254" i="12"/>
  <c r="G274" i="12"/>
  <c r="G230" i="12"/>
  <c r="CI295" i="12"/>
  <c r="CI220" i="12"/>
  <c r="CI312" i="12"/>
  <c r="CI310" i="12"/>
  <c r="CI229" i="12"/>
  <c r="DJ328" i="12"/>
  <c r="DJ324" i="12"/>
  <c r="BH203" i="12"/>
  <c r="BH212" i="12"/>
  <c r="W183" i="12"/>
  <c r="W231" i="12"/>
  <c r="W252" i="12"/>
  <c r="EE229" i="12"/>
  <c r="EE322" i="12"/>
  <c r="EE210" i="12"/>
  <c r="EE312" i="12"/>
  <c r="AS317" i="12"/>
  <c r="AS212" i="12"/>
  <c r="AS268" i="12"/>
  <c r="E41" i="13"/>
  <c r="BI317" i="12"/>
  <c r="BI200" i="12"/>
  <c r="DY318" i="12"/>
  <c r="DY327" i="12"/>
  <c r="DY263" i="12"/>
  <c r="CO202" i="12"/>
  <c r="CO252" i="12"/>
  <c r="CR296" i="12"/>
  <c r="CB226" i="12"/>
  <c r="AF227" i="12"/>
  <c r="P252" i="12"/>
  <c r="F314" i="12"/>
  <c r="BW224" i="12"/>
  <c r="EY271" i="12"/>
  <c r="BX271" i="12"/>
  <c r="T304" i="12"/>
  <c r="T172" i="12"/>
  <c r="W209" i="12"/>
  <c r="W257" i="12"/>
  <c r="W281" i="12"/>
  <c r="W177" i="12"/>
  <c r="W298" i="12"/>
  <c r="W264" i="12"/>
  <c r="W322" i="12"/>
  <c r="W249" i="12"/>
  <c r="W306" i="12"/>
  <c r="W238" i="12"/>
  <c r="W255" i="12"/>
  <c r="W210" i="12"/>
  <c r="W205" i="12"/>
  <c r="W223" i="12"/>
  <c r="W208" i="12"/>
  <c r="W182" i="12"/>
  <c r="W292" i="12"/>
  <c r="W269" i="12"/>
  <c r="W286" i="12"/>
  <c r="W180" i="12"/>
  <c r="W303" i="12"/>
  <c r="W268" i="12"/>
  <c r="W287" i="12"/>
  <c r="W256" i="12"/>
  <c r="W323" i="12"/>
  <c r="W198" i="12"/>
  <c r="W285" i="12"/>
  <c r="W178" i="12"/>
  <c r="W266" i="12"/>
  <c r="W240" i="12"/>
  <c r="W273" i="12"/>
  <c r="W324" i="12"/>
  <c r="W310" i="12"/>
  <c r="W243" i="12"/>
  <c r="W247" i="12"/>
  <c r="W261" i="12"/>
  <c r="W236" i="12"/>
  <c r="W330" i="12"/>
  <c r="W288" i="12"/>
  <c r="W171" i="12"/>
  <c r="M28" i="3" s="1"/>
  <c r="BC178" i="12"/>
  <c r="BC309" i="12"/>
  <c r="BC328" i="12"/>
  <c r="CI219" i="12"/>
  <c r="CI296" i="12"/>
  <c r="CI231" i="12"/>
  <c r="CI200" i="12"/>
  <c r="CI271" i="12"/>
  <c r="CI293" i="12"/>
  <c r="CI244" i="12"/>
  <c r="CI320" i="12"/>
  <c r="DO219" i="12"/>
  <c r="DO180" i="12"/>
  <c r="C96" i="3"/>
  <c r="AS270" i="12"/>
  <c r="AS307" i="12"/>
  <c r="AS312" i="12"/>
  <c r="AS290" i="12"/>
  <c r="AS189" i="12"/>
  <c r="AS250" i="12"/>
  <c r="AS288" i="12"/>
  <c r="AS239" i="12"/>
  <c r="AS207" i="12"/>
  <c r="AS169" i="12"/>
  <c r="AS320" i="12"/>
  <c r="AS225" i="12"/>
  <c r="AS279" i="12"/>
  <c r="AS215" i="12"/>
  <c r="AS235" i="12"/>
  <c r="AS286" i="12"/>
  <c r="AS188" i="12"/>
  <c r="AS323" i="12"/>
  <c r="AS260" i="12"/>
  <c r="AS296" i="12"/>
  <c r="AS330" i="12"/>
  <c r="AS205" i="12"/>
  <c r="AS261" i="12"/>
  <c r="AS241" i="12"/>
  <c r="AS264" i="12"/>
  <c r="AS198" i="12"/>
  <c r="AS214" i="12"/>
  <c r="AS313" i="12"/>
  <c r="AS201" i="12"/>
  <c r="AS231" i="12"/>
  <c r="AS246" i="12"/>
  <c r="AS293" i="12"/>
  <c r="AS192" i="12"/>
  <c r="AS206" i="12"/>
  <c r="AS322" i="12"/>
  <c r="AS328" i="12"/>
  <c r="AS271" i="12"/>
  <c r="AS233" i="12"/>
  <c r="AS181" i="12"/>
  <c r="AS171" i="12"/>
  <c r="M96" i="3" s="1"/>
  <c r="J28" i="14" s="1"/>
  <c r="AS257" i="12"/>
  <c r="AS278" i="12"/>
  <c r="AS210" i="12"/>
  <c r="AS230" i="12"/>
  <c r="AS237" i="12"/>
  <c r="AS220" i="12"/>
  <c r="AS273" i="12"/>
  <c r="AS251" i="12"/>
  <c r="AS209" i="12"/>
  <c r="AS310" i="12"/>
  <c r="AS204" i="12"/>
  <c r="AS266" i="12"/>
  <c r="AS303" i="12"/>
  <c r="AS179" i="12"/>
  <c r="AS289" i="12"/>
  <c r="AS223" i="12"/>
  <c r="AS247" i="12"/>
  <c r="AS262" i="12"/>
  <c r="C96" i="13"/>
  <c r="DY306" i="12"/>
  <c r="DY209" i="12"/>
  <c r="DY229" i="12"/>
  <c r="DY196" i="12"/>
  <c r="DY223" i="12"/>
  <c r="DY246" i="12"/>
  <c r="DY231" i="12"/>
  <c r="DY312" i="12"/>
  <c r="DY255" i="12"/>
  <c r="DY181" i="12"/>
  <c r="DY221" i="12"/>
  <c r="DY237" i="12"/>
  <c r="DY290" i="12"/>
  <c r="DY256" i="12"/>
  <c r="DY313" i="12"/>
  <c r="DY288" i="12"/>
  <c r="DY184" i="12"/>
  <c r="DY315" i="12"/>
  <c r="DY191" i="12"/>
  <c r="DY319" i="12"/>
  <c r="DY278" i="12"/>
  <c r="DY292" i="12"/>
  <c r="DY234" i="12"/>
  <c r="DY187" i="12"/>
  <c r="DY311" i="12"/>
  <c r="DY194" i="12"/>
  <c r="DY282" i="12"/>
  <c r="DY227" i="12"/>
  <c r="DY309" i="12"/>
  <c r="DY180" i="12"/>
  <c r="DY224" i="12"/>
  <c r="DY258" i="12"/>
  <c r="DY242" i="12"/>
  <c r="DY308" i="12"/>
  <c r="DY272" i="12"/>
  <c r="DY192" i="12"/>
  <c r="DY326" i="12"/>
  <c r="DY219" i="12"/>
  <c r="I71" i="13"/>
  <c r="AI24" i="13" s="1"/>
  <c r="DY303" i="12"/>
  <c r="DY277" i="12"/>
  <c r="DY304" i="12"/>
  <c r="DY322" i="12"/>
  <c r="DY267" i="12"/>
  <c r="DY283" i="12"/>
  <c r="DY204" i="12"/>
  <c r="DY269" i="12"/>
  <c r="DY254" i="12"/>
  <c r="DY298" i="12"/>
  <c r="DY266" i="12"/>
  <c r="DY314" i="12"/>
  <c r="DY248" i="12"/>
  <c r="DY205" i="12"/>
  <c r="DY226" i="12"/>
  <c r="DY293" i="12"/>
  <c r="DY203" i="12"/>
  <c r="DY271" i="12"/>
  <c r="DY317" i="12"/>
  <c r="DY188" i="12"/>
  <c r="DY297" i="12"/>
  <c r="CR240" i="12"/>
  <c r="CR219" i="12"/>
  <c r="CR306" i="12"/>
  <c r="CR169" i="12"/>
  <c r="CR210" i="12"/>
  <c r="CR233" i="12"/>
  <c r="CR186" i="12"/>
  <c r="CR246" i="12"/>
  <c r="CR298" i="12"/>
  <c r="CR311" i="12"/>
  <c r="CR315" i="12"/>
  <c r="CR209" i="12"/>
  <c r="CR297" i="12"/>
  <c r="CR250" i="12"/>
  <c r="CR253" i="12"/>
  <c r="CR325" i="12"/>
  <c r="CR308" i="12"/>
  <c r="CR217" i="12"/>
  <c r="CR227" i="12"/>
  <c r="CR251" i="12"/>
  <c r="AF310" i="12"/>
  <c r="AF179" i="12"/>
  <c r="AF229" i="12"/>
  <c r="AF169" i="12"/>
  <c r="AF289" i="12"/>
  <c r="AF313" i="12"/>
  <c r="AF200" i="12"/>
  <c r="AF282" i="12"/>
  <c r="AF267" i="12"/>
  <c r="AF244" i="12"/>
  <c r="AF245" i="12"/>
  <c r="AF191" i="12"/>
  <c r="AF202" i="12"/>
  <c r="AF258" i="12"/>
  <c r="AF294" i="12"/>
  <c r="AF298" i="12"/>
  <c r="AF273" i="12"/>
  <c r="AF195" i="12"/>
  <c r="AF272" i="12"/>
  <c r="AF214" i="12"/>
  <c r="C71" i="13"/>
  <c r="AF307" i="12"/>
  <c r="AF269" i="12"/>
  <c r="AF215" i="12"/>
  <c r="AF198" i="12"/>
  <c r="AF323" i="12"/>
  <c r="AF228" i="12"/>
  <c r="AF230" i="12"/>
  <c r="AF261" i="12"/>
  <c r="AF232" i="12"/>
  <c r="ED211" i="12"/>
  <c r="I96" i="3"/>
  <c r="ED208" i="12"/>
  <c r="ED313" i="12"/>
  <c r="ED302" i="12"/>
  <c r="ED300" i="12"/>
  <c r="ED305" i="12"/>
  <c r="ED204" i="12"/>
  <c r="ED228" i="12"/>
  <c r="ED251" i="12"/>
  <c r="ED288" i="12"/>
  <c r="ED257" i="12"/>
  <c r="ED189" i="12"/>
  <c r="ED223" i="12"/>
  <c r="ED210" i="12"/>
  <c r="ED262" i="12"/>
  <c r="ED326" i="12"/>
  <c r="ED264" i="12"/>
  <c r="ED188" i="12"/>
  <c r="ED217" i="12"/>
  <c r="ED239" i="12"/>
  <c r="ED338" i="12"/>
  <c r="ED331" i="12" s="1"/>
  <c r="ED276" i="12"/>
  <c r="ED292" i="12"/>
  <c r="ED227" i="12"/>
  <c r="ED269" i="12"/>
  <c r="ED278" i="12"/>
  <c r="ED215" i="12"/>
  <c r="ED295" i="12"/>
  <c r="ED324" i="12"/>
  <c r="ED229" i="12"/>
  <c r="ED294" i="12"/>
  <c r="ED322" i="12"/>
  <c r="ED238" i="12"/>
  <c r="ED198" i="12"/>
  <c r="ED282" i="12"/>
  <c r="ED279" i="12"/>
  <c r="ED225" i="12"/>
  <c r="ED263" i="12"/>
  <c r="ED267" i="12"/>
  <c r="ED219" i="12"/>
  <c r="ED290" i="12"/>
  <c r="ED247" i="12"/>
  <c r="ED214" i="12"/>
  <c r="ED285" i="12"/>
  <c r="ED176" i="12"/>
  <c r="ED256" i="12"/>
  <c r="ED237" i="12"/>
  <c r="ED222" i="12"/>
  <c r="ED301" i="12"/>
  <c r="ED254" i="12"/>
  <c r="ED185" i="12"/>
  <c r="ED249" i="12"/>
  <c r="BR198" i="12"/>
  <c r="BR285" i="12"/>
  <c r="BR199" i="12"/>
  <c r="BR215" i="12"/>
  <c r="BR247" i="12"/>
  <c r="BR237" i="12"/>
  <c r="BR308" i="12"/>
  <c r="BR269" i="12"/>
  <c r="BR196" i="12"/>
  <c r="BR224" i="12"/>
  <c r="BR318" i="12"/>
  <c r="BR303" i="12"/>
  <c r="BR304" i="12"/>
  <c r="BR277" i="12"/>
  <c r="BR186" i="12"/>
  <c r="BR213" i="12"/>
  <c r="BR282" i="12"/>
  <c r="BR299" i="12"/>
  <c r="BR316" i="12"/>
  <c r="BR317" i="12"/>
  <c r="BR200" i="12"/>
  <c r="BR271" i="12"/>
  <c r="BR313" i="12"/>
  <c r="BR227" i="12"/>
  <c r="BR267" i="12"/>
  <c r="BR325" i="12"/>
  <c r="BR212" i="12"/>
  <c r="BR306" i="12"/>
  <c r="BR289" i="12"/>
  <c r="BR209" i="12"/>
  <c r="BR259" i="12"/>
  <c r="F218" i="12"/>
  <c r="F224" i="12"/>
  <c r="F311" i="12"/>
  <c r="F297" i="12"/>
  <c r="F282" i="12"/>
  <c r="F315" i="12"/>
  <c r="F192" i="12"/>
  <c r="F308" i="12"/>
  <c r="F253" i="12"/>
  <c r="F259" i="12"/>
  <c r="F225" i="12"/>
  <c r="F223" i="12"/>
  <c r="F298" i="12"/>
  <c r="F232" i="12"/>
  <c r="F201" i="12"/>
  <c r="F306" i="12"/>
  <c r="F203" i="12"/>
  <c r="F318" i="12"/>
  <c r="F299" i="12"/>
  <c r="F198" i="12"/>
  <c r="F176" i="12"/>
  <c r="F185" i="12"/>
  <c r="F277" i="12"/>
  <c r="F316" i="12"/>
  <c r="F249" i="12"/>
  <c r="F207" i="12"/>
  <c r="F240" i="12"/>
  <c r="F317" i="12"/>
  <c r="F205" i="12"/>
  <c r="F283" i="12"/>
  <c r="F268" i="12"/>
  <c r="F181" i="12"/>
  <c r="F196" i="12"/>
  <c r="F215" i="12"/>
  <c r="F186" i="12"/>
  <c r="F326" i="12"/>
  <c r="F304" i="12"/>
  <c r="F254" i="12"/>
  <c r="F287" i="12"/>
  <c r="F212" i="12"/>
  <c r="F179" i="12"/>
  <c r="F213" i="12"/>
  <c r="F200" i="12"/>
  <c r="F246" i="12"/>
  <c r="F211" i="12"/>
  <c r="F303" i="12"/>
  <c r="F206" i="12"/>
  <c r="BW281" i="12"/>
  <c r="BW299" i="12"/>
  <c r="BW208" i="12"/>
  <c r="BW285" i="12"/>
  <c r="BW326" i="12"/>
  <c r="BW241" i="12"/>
  <c r="BW276" i="12"/>
  <c r="BW191" i="12"/>
  <c r="BW225" i="12"/>
  <c r="BW289" i="12"/>
  <c r="BW267" i="12"/>
  <c r="BW217" i="12"/>
  <c r="BW305" i="12"/>
  <c r="BW288" i="12"/>
  <c r="BW246" i="12"/>
  <c r="BW298" i="12"/>
  <c r="BW181" i="12"/>
  <c r="BW228" i="12"/>
  <c r="BW261" i="12"/>
  <c r="BW235" i="12"/>
  <c r="BW294" i="12"/>
  <c r="BW319" i="12"/>
  <c r="BW209" i="12"/>
  <c r="BW278" i="12"/>
  <c r="BW250" i="12"/>
  <c r="BW254" i="12"/>
  <c r="BW190" i="12"/>
  <c r="BW269" i="12"/>
  <c r="BW322" i="12"/>
  <c r="BW245" i="12"/>
  <c r="BW312" i="12"/>
  <c r="BW214" i="12"/>
  <c r="BW329" i="12"/>
  <c r="BW318" i="12"/>
  <c r="BW203" i="12"/>
  <c r="BW180" i="12"/>
  <c r="BW226" i="12"/>
  <c r="BW295" i="12"/>
  <c r="BW176" i="12"/>
  <c r="BW212" i="12"/>
  <c r="BW265" i="12"/>
  <c r="BW182" i="12"/>
  <c r="BW220" i="12"/>
  <c r="BW171" i="12"/>
  <c r="N71" i="3" s="1"/>
  <c r="K11" i="14" s="1"/>
  <c r="EI230" i="12"/>
  <c r="EI179" i="12"/>
  <c r="EI321" i="12"/>
  <c r="EI185" i="12"/>
  <c r="EI214" i="12"/>
  <c r="EI205" i="12"/>
  <c r="EI275" i="12"/>
  <c r="EI309" i="12"/>
  <c r="EI272" i="12"/>
  <c r="EI316" i="12"/>
  <c r="EI191" i="12"/>
  <c r="EI225" i="12"/>
  <c r="EI270" i="12"/>
  <c r="EI304" i="12"/>
  <c r="EI273" i="12"/>
  <c r="EI219" i="12"/>
  <c r="EI192" i="12"/>
  <c r="EI235" i="12"/>
  <c r="EI257" i="12"/>
  <c r="EI250" i="12"/>
  <c r="EI290" i="12"/>
  <c r="EI169" i="12"/>
  <c r="EI286" i="12"/>
  <c r="EI255" i="12"/>
  <c r="EI194" i="12"/>
  <c r="EI229" i="12"/>
  <c r="EI323" i="12"/>
  <c r="EI188" i="12"/>
  <c r="EI239" i="12"/>
  <c r="EI277" i="12"/>
  <c r="EI177" i="12"/>
  <c r="EI254" i="12"/>
  <c r="BM288" i="12"/>
  <c r="BM278" i="12"/>
  <c r="BM223" i="12"/>
  <c r="BM301" i="12"/>
  <c r="BM194" i="12"/>
  <c r="BM326" i="12"/>
  <c r="BM292" i="12"/>
  <c r="BM180" i="12"/>
  <c r="CW228" i="12"/>
  <c r="CW276" i="12"/>
  <c r="CW309" i="12"/>
  <c r="CW322" i="12"/>
  <c r="CW307" i="12"/>
  <c r="CW195" i="12"/>
  <c r="CW325" i="12"/>
  <c r="CW181" i="12"/>
  <c r="CW234" i="12"/>
  <c r="CW218" i="12"/>
  <c r="CW314" i="12"/>
  <c r="CW178" i="12"/>
  <c r="CW212" i="12"/>
  <c r="CW207" i="12"/>
  <c r="CW230" i="12"/>
  <c r="CW204" i="12"/>
  <c r="CW316" i="12"/>
  <c r="CW283" i="12"/>
  <c r="CW219" i="12"/>
  <c r="CW312" i="12"/>
  <c r="CW279" i="12"/>
  <c r="CW210" i="12"/>
  <c r="CW328" i="12"/>
  <c r="CW245" i="12"/>
  <c r="CW187" i="12"/>
  <c r="CW255" i="12"/>
  <c r="CW290" i="12"/>
  <c r="CW243" i="12"/>
  <c r="CW242" i="12"/>
  <c r="CW232" i="12"/>
  <c r="CW249" i="12"/>
  <c r="CW205" i="12"/>
  <c r="CW253" i="12"/>
  <c r="CW214" i="12"/>
  <c r="CW338" i="12"/>
  <c r="CW331" i="12" s="1"/>
  <c r="BX321" i="12"/>
  <c r="BX205" i="12"/>
  <c r="BX213" i="12"/>
  <c r="BX225" i="12"/>
  <c r="BX198" i="12"/>
  <c r="BX280" i="12"/>
  <c r="BX268" i="12"/>
  <c r="BX311" i="12"/>
  <c r="BX277" i="12"/>
  <c r="BX278" i="12"/>
  <c r="BX201" i="12"/>
  <c r="BX232" i="12"/>
  <c r="BX245" i="12"/>
  <c r="BX297" i="12"/>
  <c r="BX303" i="12"/>
  <c r="BX186" i="12"/>
  <c r="BX229" i="12"/>
  <c r="BX235" i="12"/>
  <c r="BX324" i="12"/>
  <c r="BX322" i="12"/>
  <c r="BX309" i="12"/>
  <c r="BX187" i="12"/>
  <c r="BX177" i="12"/>
  <c r="BX240" i="12"/>
  <c r="BX275" i="12"/>
  <c r="BX179" i="12"/>
  <c r="BX272" i="12"/>
  <c r="BX302" i="12"/>
  <c r="BX204" i="12"/>
  <c r="BX260" i="12"/>
  <c r="BX307" i="12"/>
  <c r="BX259" i="12"/>
  <c r="BX191" i="12"/>
  <c r="BX298" i="12"/>
  <c r="BX288" i="12"/>
  <c r="BX195" i="12"/>
  <c r="BX254" i="12"/>
  <c r="E72" i="13"/>
  <c r="BX330" i="12"/>
  <c r="BX212" i="12"/>
  <c r="BX296" i="12"/>
  <c r="BX310" i="12"/>
  <c r="BX210" i="12"/>
  <c r="BX285" i="12"/>
  <c r="BX267" i="12"/>
  <c r="BX219" i="12"/>
  <c r="BX236" i="12"/>
  <c r="BX320" i="12"/>
  <c r="BX214" i="12"/>
  <c r="BX299" i="12"/>
  <c r="BX328" i="12"/>
  <c r="BX313" i="12"/>
  <c r="BX192" i="12"/>
  <c r="BX261" i="12"/>
  <c r="BX188" i="12"/>
  <c r="BX265" i="12"/>
  <c r="BX247" i="12"/>
  <c r="BX180" i="12"/>
  <c r="BX231" i="12"/>
  <c r="BX295" i="12"/>
  <c r="BX176" i="12"/>
  <c r="BX323" i="12"/>
  <c r="L249" i="12"/>
  <c r="L222" i="12"/>
  <c r="L208" i="12"/>
  <c r="DJ288" i="12"/>
  <c r="DJ206" i="12"/>
  <c r="DJ215" i="12"/>
  <c r="DJ263" i="12"/>
  <c r="DJ169" i="12"/>
  <c r="DJ233" i="12"/>
  <c r="DJ290" i="12"/>
  <c r="DJ223" i="12"/>
  <c r="DJ296" i="12"/>
  <c r="DJ196" i="12"/>
  <c r="DJ311" i="12"/>
  <c r="DJ318" i="12"/>
  <c r="DJ239" i="12"/>
  <c r="DJ306" i="12"/>
  <c r="DJ231" i="12"/>
  <c r="DJ316" i="12"/>
  <c r="DJ197" i="12"/>
  <c r="DJ315" i="12"/>
  <c r="DJ246" i="12"/>
  <c r="DJ209" i="12"/>
  <c r="DJ298" i="12"/>
  <c r="DJ232" i="12"/>
  <c r="DJ261" i="12"/>
  <c r="DJ225" i="12"/>
  <c r="DJ300" i="12"/>
  <c r="DJ192" i="12"/>
  <c r="DJ299" i="12"/>
  <c r="DJ314" i="12"/>
  <c r="DJ242" i="12"/>
  <c r="DJ325" i="12"/>
  <c r="DJ212" i="12"/>
  <c r="DJ272" i="12"/>
  <c r="DJ182" i="12"/>
  <c r="DJ241" i="12"/>
  <c r="DJ264" i="12"/>
  <c r="DJ230" i="12"/>
  <c r="DJ312" i="12"/>
  <c r="DJ203" i="12"/>
  <c r="DJ327" i="12"/>
  <c r="DJ271" i="12"/>
  <c r="DJ205" i="12"/>
  <c r="AX208" i="12"/>
  <c r="AX207" i="12"/>
  <c r="AX199" i="12"/>
  <c r="AX190" i="12"/>
  <c r="AX286" i="12"/>
  <c r="AX322" i="12"/>
  <c r="AX279" i="12"/>
  <c r="AX321" i="12"/>
  <c r="AX214" i="12"/>
  <c r="AX325" i="12"/>
  <c r="AX177" i="12"/>
  <c r="AX206" i="12"/>
  <c r="AX298" i="12"/>
  <c r="AX239" i="12"/>
  <c r="AX210" i="12"/>
  <c r="AX311" i="12"/>
  <c r="AX338" i="12"/>
  <c r="AX331" i="12" s="1"/>
  <c r="AX179" i="12"/>
  <c r="AX287" i="12"/>
  <c r="AX301" i="12"/>
  <c r="AX189" i="12"/>
  <c r="AX258" i="12"/>
  <c r="AX299" i="12"/>
  <c r="AX252" i="12"/>
  <c r="AX187" i="12"/>
  <c r="AX318" i="12"/>
  <c r="AX281" i="12"/>
  <c r="AX268" i="12"/>
  <c r="AX246" i="12"/>
  <c r="AX215" i="12"/>
  <c r="AX197" i="12"/>
  <c r="AX198" i="12"/>
  <c r="AX238" i="12"/>
  <c r="AX315" i="12"/>
  <c r="AX284" i="12"/>
  <c r="AX191" i="12"/>
  <c r="AX200" i="12"/>
  <c r="AX327" i="12"/>
  <c r="AX304" i="12"/>
  <c r="AX226" i="12"/>
  <c r="AX229" i="12"/>
  <c r="AX305" i="12"/>
  <c r="AX220" i="12"/>
  <c r="AX329" i="12"/>
  <c r="AX234" i="12"/>
  <c r="AX225" i="12"/>
  <c r="AX216" i="12"/>
  <c r="AX221" i="12"/>
  <c r="AX244" i="12"/>
  <c r="AX250" i="12"/>
  <c r="AX300" i="12"/>
  <c r="AX182" i="12"/>
  <c r="AX248" i="12"/>
  <c r="AX205" i="12"/>
  <c r="AX312" i="12"/>
  <c r="AX188" i="12"/>
  <c r="AX295" i="12"/>
  <c r="AX227" i="12"/>
  <c r="AX267" i="12"/>
  <c r="AX275" i="12"/>
  <c r="EE338" i="12"/>
  <c r="EE331" i="12" s="1"/>
  <c r="I97" i="3"/>
  <c r="EE327" i="12"/>
  <c r="EE212" i="12"/>
  <c r="EE302" i="12"/>
  <c r="EE261" i="12"/>
  <c r="EE181" i="12"/>
  <c r="EE301" i="12"/>
  <c r="EE207" i="12"/>
  <c r="EE255" i="12"/>
  <c r="EE232" i="12"/>
  <c r="EE324" i="12"/>
  <c r="EE282" i="12"/>
  <c r="EE198" i="12"/>
  <c r="EE315" i="12"/>
  <c r="EE226" i="12"/>
  <c r="EE280" i="12"/>
  <c r="EE227" i="12"/>
  <c r="EE233" i="12"/>
  <c r="EE296" i="12"/>
  <c r="EE202" i="12"/>
  <c r="EE258" i="12"/>
  <c r="EE216" i="12"/>
  <c r="EE328" i="12"/>
  <c r="EE275" i="12"/>
  <c r="EE191" i="12"/>
  <c r="EE330" i="12"/>
  <c r="EE218" i="12"/>
  <c r="EE273" i="12"/>
  <c r="EE242" i="12"/>
  <c r="EE321" i="12"/>
  <c r="EE297" i="12"/>
  <c r="EE203" i="12"/>
  <c r="EE259" i="12"/>
  <c r="EE225" i="12"/>
  <c r="EE303" i="12"/>
  <c r="EE264" i="12"/>
  <c r="EE179" i="12"/>
  <c r="EE318" i="12"/>
  <c r="EE211" i="12"/>
  <c r="I97" i="13"/>
  <c r="AJ26" i="13" s="1"/>
  <c r="EE276" i="12"/>
  <c r="EE292" i="12"/>
  <c r="EE319" i="12"/>
  <c r="EE289" i="12"/>
  <c r="EE180" i="12"/>
  <c r="EE214" i="12"/>
  <c r="EE238" i="12"/>
  <c r="EE278" i="12"/>
  <c r="EE254" i="12"/>
  <c r="EE290" i="12"/>
  <c r="EE177" i="12"/>
  <c r="EE193" i="12"/>
  <c r="EE228" i="12"/>
  <c r="EE271" i="12"/>
  <c r="EE311" i="12"/>
  <c r="EE294" i="12"/>
  <c r="EE209" i="12"/>
  <c r="EE189" i="12"/>
  <c r="EE223" i="12"/>
  <c r="EE295" i="12"/>
  <c r="EE178" i="12"/>
  <c r="EE270" i="12"/>
  <c r="EE284" i="12"/>
  <c r="EE206" i="12"/>
  <c r="EE265" i="12"/>
  <c r="EE285" i="12"/>
  <c r="EE186" i="12"/>
  <c r="EE267" i="12"/>
  <c r="EE262" i="12"/>
  <c r="EE195" i="12"/>
  <c r="BI267" i="12"/>
  <c r="BI210" i="12"/>
  <c r="BI215" i="12"/>
  <c r="BI313" i="12"/>
  <c r="BI293" i="12"/>
  <c r="BI284" i="12"/>
  <c r="BI217" i="12"/>
  <c r="BI203" i="12"/>
  <c r="BI229" i="12"/>
  <c r="BI305" i="12"/>
  <c r="BI259" i="12"/>
  <c r="BI310" i="12"/>
  <c r="BI301" i="12"/>
  <c r="BI190" i="12"/>
  <c r="BI209" i="12"/>
  <c r="BI272" i="12"/>
  <c r="BI308" i="12"/>
  <c r="BI188" i="12"/>
  <c r="BI326" i="12"/>
  <c r="BI307" i="12"/>
  <c r="BI179" i="12"/>
  <c r="BI258" i="12"/>
  <c r="BI299" i="12"/>
  <c r="BI222" i="12"/>
  <c r="BI265" i="12"/>
  <c r="BI282" i="12"/>
  <c r="BI224" i="12"/>
  <c r="BI309" i="12"/>
  <c r="BI273" i="12"/>
  <c r="BI225" i="12"/>
  <c r="BI268" i="12"/>
  <c r="BI316" i="12"/>
  <c r="BI206" i="12"/>
  <c r="BI187" i="12"/>
  <c r="BI315" i="12"/>
  <c r="BI260" i="12"/>
  <c r="BI199" i="12"/>
  <c r="BI300" i="12"/>
  <c r="BI296" i="12"/>
  <c r="BI213" i="12"/>
  <c r="BI171" i="12"/>
  <c r="N41" i="3" s="1"/>
  <c r="K35" i="14" s="1"/>
  <c r="CO217" i="12"/>
  <c r="CO279" i="12"/>
  <c r="CO216" i="12"/>
  <c r="CO296" i="12"/>
  <c r="CO233" i="12"/>
  <c r="CO285" i="12"/>
  <c r="CO330" i="12"/>
  <c r="CO186" i="12"/>
  <c r="CO291" i="12"/>
  <c r="CO221" i="12"/>
  <c r="CO295" i="12"/>
  <c r="CO312" i="12"/>
  <c r="CO169" i="12"/>
  <c r="CO201" i="12"/>
  <c r="CO224" i="12"/>
  <c r="CO240" i="12"/>
  <c r="CO326" i="12"/>
  <c r="CO256" i="12"/>
  <c r="CO289" i="12"/>
  <c r="CO301" i="12"/>
  <c r="CO243" i="12"/>
  <c r="CO205" i="12"/>
  <c r="CO261" i="12"/>
  <c r="CO220" i="12"/>
  <c r="CO316" i="12"/>
  <c r="CO242" i="12"/>
  <c r="CO281" i="12"/>
  <c r="CO286" i="12"/>
  <c r="CO189" i="12"/>
  <c r="CO228" i="12"/>
  <c r="CO193" i="12"/>
  <c r="CO207" i="12"/>
  <c r="CO214" i="12"/>
  <c r="CO290" i="12"/>
  <c r="CO299" i="12"/>
  <c r="CO273" i="12"/>
  <c r="CO246" i="12"/>
  <c r="CO197" i="12"/>
  <c r="CO272" i="12"/>
  <c r="CO268" i="12"/>
  <c r="EN208" i="12"/>
  <c r="EN259" i="12"/>
  <c r="EN216" i="12"/>
  <c r="EN264" i="12"/>
  <c r="EN249" i="12"/>
  <c r="EN282" i="12"/>
  <c r="EN261" i="12"/>
  <c r="EN294" i="12"/>
  <c r="EN190" i="12"/>
  <c r="EN197" i="12"/>
  <c r="EN241" i="12"/>
  <c r="EN184" i="12"/>
  <c r="EN212" i="12"/>
  <c r="EN272" i="12"/>
  <c r="EN178" i="12"/>
  <c r="EN189" i="12"/>
  <c r="EN256" i="12"/>
  <c r="EN224" i="12"/>
  <c r="EN206" i="12"/>
  <c r="EN242" i="12"/>
  <c r="EN338" i="12"/>
  <c r="EN331" i="12" s="1"/>
  <c r="CB218" i="12"/>
  <c r="E80" i="3"/>
  <c r="CB263" i="12"/>
  <c r="CB262" i="12"/>
  <c r="CB330" i="12"/>
  <c r="CB290" i="12"/>
  <c r="CB297" i="12"/>
  <c r="CB323" i="12"/>
  <c r="CB189" i="12"/>
  <c r="CB296" i="12"/>
  <c r="CB251" i="12"/>
  <c r="CB320" i="12"/>
  <c r="CB299" i="12"/>
  <c r="CB241" i="12"/>
  <c r="CB231" i="12"/>
  <c r="CB272" i="12"/>
  <c r="CB221" i="12"/>
  <c r="CB301" i="12"/>
  <c r="CB179" i="12"/>
  <c r="CB197" i="12"/>
  <c r="CB201" i="12"/>
  <c r="CB215" i="12"/>
  <c r="CB278" i="12"/>
  <c r="CB192" i="12"/>
  <c r="CB307" i="12"/>
  <c r="CB313" i="12"/>
  <c r="CB187" i="12"/>
  <c r="CB227" i="12"/>
  <c r="CB325" i="12"/>
  <c r="CB285" i="12"/>
  <c r="CB274" i="12"/>
  <c r="P260" i="12"/>
  <c r="P317" i="12"/>
  <c r="P226" i="12"/>
  <c r="P182" i="12"/>
  <c r="P308" i="12"/>
  <c r="P265" i="12"/>
  <c r="P271" i="12"/>
  <c r="P225" i="12"/>
  <c r="P273" i="12"/>
  <c r="P228" i="12"/>
  <c r="P312" i="12"/>
  <c r="P313" i="12"/>
  <c r="P319" i="12"/>
  <c r="P295" i="12"/>
  <c r="P322" i="12"/>
  <c r="P169" i="12"/>
  <c r="P180" i="12"/>
  <c r="P210" i="12"/>
  <c r="P200" i="12"/>
  <c r="P233" i="12"/>
  <c r="P221" i="12"/>
  <c r="P181" i="12"/>
  <c r="P195" i="12"/>
  <c r="P314" i="12"/>
  <c r="P310" i="12"/>
  <c r="P247" i="12"/>
  <c r="P196" i="12"/>
  <c r="P280" i="12"/>
  <c r="P192" i="12"/>
  <c r="P254" i="12"/>
  <c r="P263" i="12"/>
  <c r="P187" i="12"/>
  <c r="P302" i="12"/>
  <c r="P227" i="12"/>
  <c r="P303" i="12"/>
  <c r="P198" i="12"/>
  <c r="P272" i="12"/>
  <c r="P223" i="12"/>
  <c r="P251" i="12"/>
  <c r="P274" i="12"/>
  <c r="P243" i="12"/>
  <c r="P326" i="12"/>
  <c r="P282" i="12"/>
  <c r="P235" i="12"/>
  <c r="P236" i="12"/>
  <c r="P201" i="12"/>
  <c r="DN218" i="12"/>
  <c r="DN323" i="12"/>
  <c r="DN262" i="12"/>
  <c r="DN295" i="12"/>
  <c r="DN279" i="12"/>
  <c r="DN190" i="12"/>
  <c r="DN230" i="12"/>
  <c r="DN224" i="12"/>
  <c r="DN259" i="12"/>
  <c r="DN307" i="12"/>
  <c r="DN257" i="12"/>
  <c r="DN185" i="12"/>
  <c r="DN228" i="12"/>
  <c r="DN297" i="12"/>
  <c r="DN310" i="12"/>
  <c r="DN287" i="12"/>
  <c r="DN316" i="12"/>
  <c r="DN200" i="12"/>
  <c r="DN214" i="12"/>
  <c r="DN293" i="12"/>
  <c r="DN281" i="12"/>
  <c r="DN220" i="12"/>
  <c r="DN309" i="12"/>
  <c r="DN247" i="12"/>
  <c r="DN207" i="12"/>
  <c r="DN254" i="12"/>
  <c r="DN312" i="12"/>
  <c r="DN231" i="12"/>
  <c r="DN250" i="12"/>
  <c r="DN264" i="12"/>
  <c r="DN223" i="12"/>
  <c r="AA263" i="12"/>
  <c r="AA207" i="12"/>
  <c r="AA269" i="12"/>
  <c r="AA281" i="12"/>
  <c r="AA221" i="12"/>
  <c r="AA206" i="12"/>
  <c r="AA300" i="12"/>
  <c r="AA257" i="12"/>
  <c r="AA231" i="12"/>
  <c r="AA209" i="12"/>
  <c r="AA183" i="12"/>
  <c r="AA252" i="12"/>
  <c r="AA328" i="12"/>
  <c r="AA241" i="12"/>
  <c r="AA292" i="12"/>
  <c r="AA267" i="12"/>
  <c r="AA250" i="12"/>
  <c r="AA216" i="12"/>
  <c r="AA261" i="12"/>
  <c r="AA190" i="12"/>
  <c r="AA272" i="12"/>
  <c r="AA220" i="12"/>
  <c r="AA330" i="12"/>
  <c r="AA225" i="12"/>
  <c r="AA191" i="12"/>
  <c r="AA178" i="12"/>
  <c r="AA243" i="12"/>
  <c r="AA266" i="12"/>
  <c r="AA195" i="12"/>
  <c r="AA201" i="12"/>
  <c r="AA203" i="12"/>
  <c r="AA295" i="12"/>
  <c r="AA312" i="12"/>
  <c r="AA194" i="12"/>
  <c r="AA320" i="12"/>
  <c r="AA265" i="12"/>
  <c r="AA232" i="12"/>
  <c r="AA198" i="12"/>
  <c r="AA197" i="12"/>
  <c r="AA211" i="12"/>
  <c r="AA189" i="12"/>
  <c r="AA233" i="12"/>
  <c r="AA213" i="12"/>
  <c r="AA247" i="12"/>
  <c r="AA192" i="12"/>
  <c r="AA171" i="12"/>
  <c r="AA260" i="12"/>
  <c r="AA286" i="12"/>
  <c r="AA169" i="12"/>
  <c r="AA185" i="12"/>
  <c r="AA262" i="12"/>
  <c r="AA276" i="12"/>
  <c r="AA179" i="12"/>
  <c r="CM258" i="12"/>
  <c r="CM267" i="12"/>
  <c r="CM213" i="12"/>
  <c r="CM300" i="12"/>
  <c r="CM231" i="12"/>
  <c r="CM182" i="12"/>
  <c r="CM218" i="12"/>
  <c r="CM238" i="12"/>
  <c r="CM252" i="12"/>
  <c r="CM246" i="12"/>
  <c r="CM305" i="12"/>
  <c r="CM269" i="12"/>
  <c r="CM203" i="12"/>
  <c r="CM227" i="12"/>
  <c r="CM256" i="12"/>
  <c r="CM302" i="12"/>
  <c r="CM287" i="12"/>
  <c r="CM316" i="12"/>
  <c r="CM285" i="12"/>
  <c r="CM190" i="12"/>
  <c r="CM286" i="12"/>
  <c r="CM312" i="12"/>
  <c r="CM195" i="12"/>
  <c r="CM208" i="12"/>
  <c r="CM323" i="12"/>
  <c r="CM247" i="12"/>
  <c r="CM196" i="12"/>
  <c r="CM253" i="12"/>
  <c r="CM255" i="12"/>
  <c r="CM183" i="12"/>
  <c r="CM282" i="12"/>
  <c r="CM202" i="12"/>
  <c r="CM233" i="12"/>
  <c r="CM315" i="12"/>
  <c r="CM317" i="12"/>
  <c r="CM228" i="12"/>
  <c r="CM322" i="12"/>
  <c r="CM237" i="12"/>
  <c r="CM184" i="12"/>
  <c r="CM254" i="12"/>
  <c r="CM264" i="12"/>
  <c r="CM293" i="12"/>
  <c r="CM274" i="12"/>
  <c r="CM191" i="12"/>
  <c r="CM283" i="12"/>
  <c r="CM193" i="12"/>
  <c r="EY176" i="12"/>
  <c r="EY212" i="12"/>
  <c r="EY304" i="12"/>
  <c r="EY224" i="12"/>
  <c r="EY257" i="12"/>
  <c r="EY319" i="12"/>
  <c r="EY280" i="12"/>
  <c r="EY320" i="12"/>
  <c r="EY202" i="12"/>
  <c r="EY229" i="12"/>
  <c r="EY260" i="12"/>
  <c r="EY309" i="12"/>
  <c r="EY273" i="12"/>
  <c r="EY314" i="12"/>
  <c r="EY194" i="12"/>
  <c r="EY216" i="12"/>
  <c r="EY254" i="12"/>
  <c r="EY301" i="12"/>
  <c r="EY258" i="12"/>
  <c r="EY316" i="12"/>
  <c r="EY195" i="12"/>
  <c r="EY225" i="12"/>
  <c r="EY255" i="12"/>
  <c r="EY179" i="12"/>
  <c r="EY243" i="12"/>
  <c r="EY250" i="12"/>
  <c r="EY180" i="12"/>
  <c r="EY238" i="12"/>
  <c r="EY252" i="12"/>
  <c r="EY177" i="12"/>
  <c r="EY230" i="12"/>
  <c r="EY189" i="12"/>
  <c r="CG304" i="12"/>
  <c r="E89" i="3"/>
  <c r="CG282" i="12"/>
  <c r="CG287" i="12"/>
  <c r="CG328" i="12"/>
  <c r="CG179" i="12"/>
  <c r="CG212" i="12"/>
  <c r="CG242" i="12"/>
  <c r="CG185" i="12"/>
  <c r="CG241" i="12"/>
  <c r="CG280" i="12"/>
  <c r="CG188" i="12"/>
  <c r="CG269" i="12"/>
  <c r="CG194" i="12"/>
  <c r="CG227" i="12"/>
  <c r="CG326" i="12"/>
  <c r="CG250" i="12"/>
  <c r="CG312" i="12"/>
  <c r="CG219" i="12"/>
  <c r="CG270" i="12"/>
  <c r="CG284" i="12"/>
  <c r="CG317" i="12"/>
  <c r="CG231" i="12"/>
  <c r="CG327" i="12"/>
  <c r="CG200" i="12"/>
  <c r="CG276" i="12"/>
  <c r="CG315" i="12"/>
  <c r="CG261" i="12"/>
  <c r="CG210" i="12"/>
  <c r="CG217" i="12"/>
  <c r="CG305" i="12"/>
  <c r="CG252" i="12"/>
  <c r="CG294" i="12"/>
  <c r="CG236" i="12"/>
  <c r="CG323" i="12"/>
  <c r="CG316" i="12"/>
  <c r="CG273" i="12"/>
  <c r="CG186" i="12"/>
  <c r="CG275" i="12"/>
  <c r="CG288" i="12"/>
  <c r="CG223" i="12"/>
  <c r="CG263" i="12"/>
  <c r="CG325" i="12"/>
  <c r="CG235" i="12"/>
  <c r="CG226" i="12"/>
  <c r="CG296" i="12"/>
  <c r="CG201" i="12"/>
  <c r="CG285" i="12"/>
  <c r="CG307" i="12"/>
  <c r="CG204" i="12"/>
  <c r="CG266" i="12"/>
  <c r="CG208" i="12"/>
  <c r="CG193" i="12"/>
  <c r="CG314" i="12"/>
  <c r="CG195" i="12"/>
  <c r="CG220" i="12"/>
  <c r="CG274" i="12"/>
  <c r="CG192" i="12"/>
  <c r="CG258" i="12"/>
  <c r="CG214" i="12"/>
  <c r="CG253" i="12"/>
  <c r="CG271" i="12"/>
  <c r="E89" i="13"/>
  <c r="CG310" i="12"/>
  <c r="CG308" i="12"/>
  <c r="CG247" i="12"/>
  <c r="CG277" i="12"/>
  <c r="EC199" i="12"/>
  <c r="EC241" i="12"/>
  <c r="DT323" i="12"/>
  <c r="DT256" i="12"/>
  <c r="DT314" i="12"/>
  <c r="DT258" i="12"/>
  <c r="DT181" i="12"/>
  <c r="DT211" i="12"/>
  <c r="DT237" i="12"/>
  <c r="DT325" i="12"/>
  <c r="DT291" i="12"/>
  <c r="DT238" i="12"/>
  <c r="DT270" i="12"/>
  <c r="DT303" i="12"/>
  <c r="DT316" i="12"/>
  <c r="DT188" i="12"/>
  <c r="DT200" i="12"/>
  <c r="DT239" i="12"/>
  <c r="DT265" i="12"/>
  <c r="DT318" i="12"/>
  <c r="DT328" i="12"/>
  <c r="DT185" i="12"/>
  <c r="DT294" i="12"/>
  <c r="DT199" i="12"/>
  <c r="DT268" i="12"/>
  <c r="DT295" i="12"/>
  <c r="DT213" i="12"/>
  <c r="DT214" i="12"/>
  <c r="DT297" i="12"/>
  <c r="DT230" i="12"/>
  <c r="DT208" i="12"/>
  <c r="DT254" i="12"/>
  <c r="DT243" i="12"/>
  <c r="DT201" i="12"/>
  <c r="DT227" i="12"/>
  <c r="DT178" i="12"/>
  <c r="DT338" i="12"/>
  <c r="DT331" i="12" s="1"/>
  <c r="BH325" i="12"/>
  <c r="BH198" i="12"/>
  <c r="BH255" i="12"/>
  <c r="BH192" i="12"/>
  <c r="E40" i="13"/>
  <c r="BH281" i="12"/>
  <c r="BH302" i="12"/>
  <c r="BH221" i="12"/>
  <c r="BH322" i="12"/>
  <c r="BH244" i="12"/>
  <c r="BH197" i="12"/>
  <c r="BH178" i="12"/>
  <c r="BH314" i="12"/>
  <c r="BH297" i="12"/>
  <c r="BH245" i="12"/>
  <c r="BH224" i="12"/>
  <c r="BH190" i="12"/>
  <c r="BH217" i="12"/>
  <c r="BH293" i="12"/>
  <c r="BH235" i="12"/>
  <c r="BH294" i="12"/>
  <c r="BH211" i="12"/>
  <c r="BH305" i="12"/>
  <c r="BH243" i="12"/>
  <c r="BH186" i="12"/>
  <c r="BH220" i="12"/>
  <c r="BH213" i="12"/>
  <c r="BH259" i="12"/>
  <c r="BH296" i="12"/>
  <c r="BH185" i="12"/>
  <c r="BH180" i="12"/>
  <c r="BH223" i="12"/>
  <c r="BH269" i="12"/>
  <c r="BH307" i="12"/>
  <c r="BH204" i="12"/>
  <c r="BH247" i="12"/>
  <c r="BH258" i="12"/>
  <c r="BH323" i="12"/>
  <c r="BH260" i="12"/>
  <c r="BH194" i="12"/>
  <c r="BH183" i="12"/>
  <c r="BH330" i="12"/>
  <c r="BH319" i="12"/>
  <c r="BH315" i="12"/>
  <c r="BH238" i="12"/>
  <c r="BH196" i="12"/>
  <c r="BH227" i="12"/>
  <c r="BH256" i="12"/>
  <c r="BH320" i="12"/>
  <c r="G267" i="12"/>
  <c r="G208" i="12"/>
  <c r="G323" i="12"/>
  <c r="G324" i="12"/>
  <c r="G222" i="12"/>
  <c r="G253" i="12"/>
  <c r="G288" i="12"/>
  <c r="G187" i="12"/>
  <c r="CT314" i="12"/>
  <c r="CT196" i="12"/>
  <c r="CT216" i="12"/>
  <c r="CT217" i="12"/>
  <c r="CT236" i="12"/>
  <c r="CT221" i="12"/>
  <c r="CT249" i="12"/>
  <c r="CT262" i="12"/>
  <c r="CT281" i="12"/>
  <c r="CT194" i="12"/>
  <c r="CT246" i="12"/>
  <c r="CT295" i="12"/>
  <c r="CT280" i="12"/>
  <c r="CT169" i="12"/>
  <c r="CT269" i="12"/>
  <c r="CT294" i="12"/>
  <c r="CT254" i="12"/>
  <c r="CT329" i="12"/>
  <c r="CT222" i="12"/>
  <c r="CT227" i="12"/>
  <c r="CT243" i="12"/>
  <c r="CT287" i="12"/>
  <c r="CT284" i="12"/>
  <c r="CT289" i="12"/>
  <c r="CT192" i="12"/>
  <c r="CT195" i="12"/>
  <c r="CT276" i="12"/>
  <c r="CT264" i="12"/>
  <c r="CT171" i="12"/>
  <c r="CT317" i="12"/>
  <c r="CT309" i="12"/>
  <c r="CT277" i="12"/>
  <c r="CT304" i="12"/>
  <c r="CT282" i="12"/>
  <c r="CT226" i="12"/>
  <c r="CT190" i="12"/>
  <c r="CT328" i="12"/>
  <c r="CT274" i="12"/>
  <c r="CT292" i="12"/>
  <c r="CT255" i="12"/>
  <c r="CT261" i="12"/>
  <c r="CT326" i="12"/>
  <c r="CT186" i="12"/>
  <c r="AH222" i="12"/>
  <c r="AH328" i="12"/>
  <c r="AH273" i="12"/>
  <c r="AH187" i="12"/>
  <c r="AH189" i="12"/>
  <c r="AH305" i="12"/>
  <c r="AH264" i="12"/>
  <c r="AH246" i="12"/>
  <c r="AH244" i="12"/>
  <c r="AH176" i="12"/>
  <c r="AH220" i="12"/>
  <c r="AH221" i="12"/>
  <c r="AH203" i="12"/>
  <c r="AH271" i="12"/>
  <c r="AH338" i="12"/>
  <c r="AH331" i="12" s="1"/>
  <c r="AH216" i="12"/>
  <c r="AH317" i="12"/>
  <c r="AH286" i="12"/>
  <c r="AH236" i="12"/>
  <c r="C73" i="3"/>
  <c r="AH231" i="12"/>
  <c r="AH268" i="12"/>
  <c r="AH296" i="12"/>
  <c r="AH225" i="12"/>
  <c r="AH288" i="12"/>
  <c r="AH277" i="12"/>
  <c r="AH304" i="12"/>
  <c r="AH201" i="12"/>
  <c r="AH259" i="12"/>
  <c r="AH289" i="12"/>
  <c r="C73" i="13"/>
  <c r="AH253" i="12"/>
  <c r="AH242" i="12"/>
  <c r="AH302" i="12"/>
  <c r="AH326" i="12"/>
  <c r="AH309" i="12"/>
  <c r="DF338" i="12"/>
  <c r="DF331" i="12" s="1"/>
  <c r="DF176" i="12"/>
  <c r="DF254" i="12"/>
  <c r="DF311" i="12"/>
  <c r="DF242" i="12"/>
  <c r="DF206" i="12"/>
  <c r="DF180" i="12"/>
  <c r="DF268" i="12"/>
  <c r="DF276" i="12"/>
  <c r="DF229" i="12"/>
  <c r="DF214" i="12"/>
  <c r="DF213" i="12"/>
  <c r="DF313" i="12"/>
  <c r="DF316" i="12"/>
  <c r="DF307" i="12"/>
  <c r="DF239" i="12"/>
  <c r="DF185" i="12"/>
  <c r="DF252" i="12"/>
  <c r="DF256" i="12"/>
  <c r="DF235" i="12"/>
  <c r="DF309" i="12"/>
  <c r="DF210" i="12"/>
  <c r="DF263" i="12"/>
  <c r="DF179" i="12"/>
  <c r="DF245" i="12"/>
  <c r="DF274" i="12"/>
  <c r="DF278" i="12"/>
  <c r="DF325" i="12"/>
  <c r="DF273" i="12"/>
  <c r="DF253" i="12"/>
  <c r="DF198" i="12"/>
  <c r="DF315" i="12"/>
  <c r="DF261" i="12"/>
  <c r="DF233" i="12"/>
  <c r="DF267" i="12"/>
  <c r="DF217" i="12"/>
  <c r="DF281" i="12"/>
  <c r="DF190" i="12"/>
  <c r="DF287" i="12"/>
  <c r="DF294" i="12"/>
  <c r="BE277" i="12"/>
  <c r="BE208" i="12"/>
  <c r="BE211" i="12"/>
  <c r="BE230" i="12"/>
  <c r="E79" i="3"/>
  <c r="AE45" i="3"/>
  <c r="BZ142" i="3" s="1"/>
  <c r="AM36" i="3"/>
  <c r="C87" i="3"/>
  <c r="AM28" i="3"/>
  <c r="E76" i="3"/>
  <c r="BX14" i="3"/>
  <c r="K63" i="3"/>
  <c r="AE24" i="3"/>
  <c r="BN82" i="3" s="1"/>
  <c r="E36" i="3"/>
  <c r="E38" i="3" s="1"/>
  <c r="AO13" i="3"/>
  <c r="E23" i="3"/>
  <c r="E95" i="3"/>
  <c r="AD39" i="3"/>
  <c r="BU141" i="3" s="1"/>
  <c r="AG41" i="3"/>
  <c r="K55" i="3"/>
  <c r="C71" i="3"/>
  <c r="AO26" i="3"/>
  <c r="BS86" i="3" s="1"/>
  <c r="AD24" i="3"/>
  <c r="BS82" i="3" s="1"/>
  <c r="BV75" i="3"/>
  <c r="E20" i="3"/>
  <c r="BV86" i="3" s="1"/>
  <c r="AO16" i="3"/>
  <c r="BS26" i="3" s="1"/>
  <c r="E71" i="3"/>
  <c r="AM48" i="3"/>
  <c r="AM45" i="3"/>
  <c r="CC139" i="3" s="1"/>
  <c r="AH34" i="3"/>
  <c r="BP149" i="3" s="1"/>
  <c r="BP143" i="3"/>
  <c r="G60" i="3"/>
  <c r="CA164" i="3" s="1"/>
  <c r="I95" i="3"/>
  <c r="AE40" i="3"/>
  <c r="BT149" i="3" s="1"/>
  <c r="BV143" i="3"/>
  <c r="I60" i="3"/>
  <c r="I61" i="3" s="1"/>
  <c r="AG13" i="3"/>
  <c r="BB281" i="12"/>
  <c r="BB309" i="12"/>
  <c r="BB209" i="12"/>
  <c r="BB303" i="12"/>
  <c r="BB179" i="12"/>
  <c r="E176" i="12"/>
  <c r="E293" i="12"/>
  <c r="E320" i="12"/>
  <c r="E232" i="12"/>
  <c r="E310" i="12"/>
  <c r="E265" i="12"/>
  <c r="E210" i="12"/>
  <c r="E200" i="12"/>
  <c r="E186" i="12"/>
  <c r="E189" i="12"/>
  <c r="E326" i="12"/>
  <c r="E201" i="12"/>
  <c r="E311" i="12"/>
  <c r="E234" i="12"/>
  <c r="E193" i="12"/>
  <c r="E215" i="12"/>
  <c r="E245" i="12"/>
  <c r="E187" i="12"/>
  <c r="E203" i="12"/>
  <c r="E216" i="12"/>
  <c r="EC292" i="12"/>
  <c r="EC254" i="12"/>
  <c r="EC198" i="12"/>
  <c r="EC206" i="12"/>
  <c r="EC272" i="12"/>
  <c r="EC211" i="12"/>
  <c r="EC302" i="12"/>
  <c r="EC328" i="12"/>
  <c r="EC217" i="12"/>
  <c r="EC232" i="12"/>
  <c r="EC233" i="12"/>
  <c r="EC284" i="12"/>
  <c r="EC238" i="12"/>
  <c r="EC282" i="12"/>
  <c r="EC169" i="12"/>
  <c r="EC214" i="12"/>
  <c r="EC246" i="12"/>
  <c r="EC321" i="12"/>
  <c r="EC220" i="12"/>
  <c r="EC176" i="12"/>
  <c r="BM321" i="12"/>
  <c r="BM271" i="12"/>
  <c r="BM314" i="12"/>
  <c r="BM284" i="12"/>
  <c r="BM209" i="12"/>
  <c r="BM265" i="12"/>
  <c r="BM229" i="12"/>
  <c r="BM318" i="12"/>
  <c r="BM299" i="12"/>
  <c r="BM179" i="12"/>
  <c r="BM312" i="12"/>
  <c r="BM219" i="12"/>
  <c r="BM325" i="12"/>
  <c r="BM275" i="12"/>
  <c r="BM310" i="12"/>
  <c r="BM240" i="12"/>
  <c r="BM197" i="12"/>
  <c r="BM253" i="12"/>
  <c r="BM222" i="12"/>
  <c r="BM282" i="12"/>
  <c r="BM264" i="12"/>
  <c r="BM190" i="12"/>
  <c r="BM277" i="12"/>
  <c r="BM221" i="12"/>
  <c r="BM297" i="12"/>
  <c r="BM198" i="12"/>
  <c r="BM262" i="12"/>
  <c r="BM244" i="12"/>
  <c r="BM192" i="12"/>
  <c r="BM241" i="12"/>
  <c r="BM226" i="12"/>
  <c r="BM286" i="12"/>
  <c r="BM307" i="12"/>
  <c r="BM183" i="12"/>
  <c r="BM311" i="12"/>
  <c r="BM178" i="12"/>
  <c r="BM324" i="12"/>
  <c r="BM217" i="12"/>
  <c r="BM176" i="12"/>
  <c r="BM272" i="12"/>
  <c r="E180" i="12"/>
  <c r="E208" i="12"/>
  <c r="E169" i="12"/>
  <c r="E288" i="12"/>
  <c r="E247" i="12"/>
  <c r="E190" i="12"/>
  <c r="E262" i="12"/>
  <c r="E278" i="12"/>
  <c r="E211" i="12"/>
  <c r="E261" i="12"/>
  <c r="E236" i="12"/>
  <c r="E296" i="12"/>
  <c r="E267" i="12"/>
  <c r="E324" i="12"/>
  <c r="E304" i="12"/>
  <c r="E313" i="12"/>
  <c r="E235" i="12"/>
  <c r="E272" i="12"/>
  <c r="E229" i="12"/>
  <c r="E258" i="12"/>
  <c r="E315" i="12"/>
  <c r="E253" i="12"/>
  <c r="E291" i="12"/>
  <c r="E185" i="12"/>
  <c r="E295" i="12"/>
  <c r="E287" i="12"/>
  <c r="E298" i="12"/>
  <c r="E322" i="12"/>
  <c r="E195" i="12"/>
  <c r="E243" i="12"/>
  <c r="E237" i="12"/>
  <c r="E270" i="12"/>
  <c r="E219" i="12"/>
  <c r="E225" i="12"/>
  <c r="E277" i="12"/>
  <c r="E289" i="12"/>
  <c r="E171" i="12"/>
  <c r="E196" i="12"/>
  <c r="E316" i="12"/>
  <c r="BB234" i="12"/>
  <c r="BB223" i="12"/>
  <c r="BB215" i="12"/>
  <c r="BB283" i="12"/>
  <c r="BB305" i="12"/>
  <c r="BB273" i="12"/>
  <c r="BB232" i="12"/>
  <c r="BB196" i="12"/>
  <c r="BB313" i="12"/>
  <c r="BB191" i="12"/>
  <c r="BB219" i="12"/>
  <c r="BB261" i="12"/>
  <c r="BB297" i="12"/>
  <c r="BB276" i="12"/>
  <c r="BB289" i="12"/>
  <c r="BB244" i="12"/>
  <c r="BB257" i="12"/>
  <c r="BB182" i="12"/>
  <c r="BB316" i="12"/>
  <c r="BB212" i="12"/>
  <c r="E20" i="13"/>
  <c r="E22" i="13" s="1"/>
  <c r="BB295" i="12"/>
  <c r="BB207" i="12"/>
  <c r="BB189" i="12"/>
  <c r="BB286" i="12"/>
  <c r="BB195" i="12"/>
  <c r="BB169" i="12"/>
  <c r="BB326" i="12"/>
  <c r="BB293" i="12"/>
  <c r="BB319" i="12"/>
  <c r="BB238" i="12"/>
  <c r="BB171" i="12"/>
  <c r="BB314" i="12"/>
  <c r="BB237" i="12"/>
  <c r="BB229" i="12"/>
  <c r="BB193" i="12"/>
  <c r="BB299" i="12"/>
  <c r="BB311" i="12"/>
  <c r="BB328" i="12"/>
  <c r="BB254" i="12"/>
  <c r="BB236" i="12"/>
  <c r="BB220" i="12"/>
  <c r="BB255" i="12"/>
  <c r="BB187" i="12"/>
  <c r="BB247" i="12"/>
  <c r="BB294" i="12"/>
  <c r="BB307" i="12"/>
  <c r="BB206" i="12"/>
  <c r="BB203" i="12"/>
  <c r="BB288" i="12"/>
  <c r="BB253" i="12"/>
  <c r="BB282" i="12"/>
  <c r="BB285" i="12"/>
  <c r="BB290" i="12"/>
  <c r="BB192" i="12"/>
  <c r="BB256" i="12"/>
  <c r="BB268" i="12"/>
  <c r="BB327" i="12"/>
  <c r="BB221" i="12"/>
  <c r="BB291" i="12"/>
  <c r="BB177" i="12"/>
  <c r="BB240" i="12"/>
  <c r="BB323" i="12"/>
  <c r="BB241" i="12"/>
  <c r="BB262" i="12"/>
  <c r="BB249" i="12"/>
  <c r="BB274" i="12"/>
  <c r="BB186" i="12"/>
  <c r="BB210" i="12"/>
  <c r="EC307" i="12"/>
  <c r="EC171" i="12"/>
  <c r="EC215" i="12"/>
  <c r="EC197" i="12"/>
  <c r="EC317" i="12"/>
  <c r="EC256" i="12"/>
  <c r="EC322" i="12"/>
  <c r="EC262" i="12"/>
  <c r="EC210" i="12"/>
  <c r="EC208" i="12"/>
  <c r="EC329" i="12"/>
  <c r="EC300" i="12"/>
  <c r="EC222" i="12"/>
  <c r="EC247" i="12"/>
  <c r="EC187" i="12"/>
  <c r="EC294" i="12"/>
  <c r="EC309" i="12"/>
  <c r="EC239" i="12"/>
  <c r="EC278" i="12"/>
  <c r="EC223" i="12"/>
  <c r="EC315" i="12"/>
  <c r="EC185" i="12"/>
  <c r="EC325" i="12"/>
  <c r="EC287" i="12"/>
  <c r="EC286" i="12"/>
  <c r="EC248" i="12"/>
  <c r="EC295" i="12"/>
  <c r="EC237" i="12"/>
  <c r="EC225" i="12"/>
  <c r="EC186" i="12"/>
  <c r="EC245" i="12"/>
  <c r="EC240" i="12"/>
  <c r="EC267" i="12"/>
  <c r="EC226" i="12"/>
  <c r="EC279" i="12"/>
  <c r="EC202" i="12"/>
  <c r="EC253" i="12"/>
  <c r="EC193" i="12"/>
  <c r="EC281" i="12"/>
  <c r="EC244" i="12"/>
  <c r="E221" i="12"/>
  <c r="E318" i="12"/>
  <c r="E230" i="12"/>
  <c r="E286" i="12"/>
  <c r="E214" i="12"/>
  <c r="E191" i="12"/>
  <c r="E194" i="12"/>
  <c r="E301" i="12"/>
  <c r="E279" i="12"/>
  <c r="E297" i="12"/>
  <c r="BB225" i="12"/>
  <c r="BB298" i="12"/>
  <c r="EC306" i="12"/>
  <c r="EC290" i="12"/>
  <c r="EC304" i="12"/>
  <c r="EC203" i="12"/>
  <c r="EC194" i="12"/>
  <c r="EC313" i="12"/>
  <c r="EC273" i="12"/>
  <c r="EC316" i="12"/>
  <c r="EC189" i="12"/>
  <c r="EC264" i="12"/>
  <c r="E248" i="12"/>
  <c r="E205" i="12"/>
  <c r="E321" i="12"/>
  <c r="E222" i="12"/>
  <c r="E271" i="12"/>
  <c r="EC257" i="12"/>
  <c r="EC213" i="12"/>
  <c r="EC298" i="12"/>
  <c r="EC188" i="12"/>
  <c r="EC236" i="12"/>
  <c r="E317" i="12"/>
  <c r="EC268" i="12"/>
  <c r="BM257" i="12"/>
  <c r="BM186" i="12"/>
  <c r="BM202" i="12"/>
  <c r="BM261" i="12"/>
  <c r="BM266" i="12"/>
  <c r="BM303" i="12"/>
  <c r="BM320" i="12"/>
  <c r="BM250" i="12"/>
  <c r="BM243" i="12"/>
  <c r="BM260" i="12"/>
  <c r="E256" i="12"/>
  <c r="BM171" i="12"/>
  <c r="N57" i="3" s="1"/>
  <c r="K37" i="14" s="1"/>
  <c r="BM285" i="12"/>
  <c r="BM225" i="12"/>
  <c r="BM268" i="12"/>
  <c r="BM255" i="12"/>
  <c r="BM207" i="12"/>
  <c r="BM177" i="12"/>
  <c r="BM302" i="12"/>
  <c r="BM235" i="12"/>
  <c r="BM328" i="12"/>
  <c r="BM251" i="12"/>
  <c r="BM216" i="12"/>
  <c r="BM196" i="12"/>
  <c r="BM322" i="12"/>
  <c r="BM273" i="12"/>
  <c r="BM276" i="12"/>
  <c r="BM263" i="12"/>
  <c r="BM228" i="12"/>
  <c r="BM193" i="12"/>
  <c r="BM306" i="12"/>
  <c r="EC192" i="12"/>
  <c r="EC228" i="12"/>
  <c r="EC277" i="12"/>
  <c r="G95" i="13"/>
  <c r="DF209" i="12"/>
  <c r="DF177" i="12"/>
  <c r="DF277" i="12"/>
  <c r="DF225" i="12"/>
  <c r="DF265" i="12"/>
  <c r="DF246" i="12"/>
  <c r="DF186" i="12"/>
  <c r="DF238" i="12"/>
  <c r="DF219" i="12"/>
  <c r="DF193" i="12"/>
  <c r="DF310" i="12"/>
  <c r="DF285" i="12"/>
  <c r="DF258" i="12"/>
  <c r="DF292" i="12"/>
  <c r="DF288" i="12"/>
  <c r="DF295" i="12"/>
  <c r="DF234" i="12"/>
  <c r="DF207" i="12"/>
  <c r="BE271" i="12"/>
  <c r="BE298" i="12"/>
  <c r="BE205" i="12"/>
  <c r="BE261" i="12"/>
  <c r="BE182" i="12"/>
  <c r="BE248" i="12"/>
  <c r="BE314" i="12"/>
  <c r="BE224" i="12"/>
  <c r="BE304" i="12"/>
  <c r="BE200" i="12"/>
  <c r="BE280" i="12"/>
  <c r="BE273" i="12"/>
  <c r="BE283" i="12"/>
  <c r="BE236" i="12"/>
  <c r="BE223" i="12"/>
  <c r="BE282" i="12"/>
  <c r="BE181" i="12"/>
  <c r="BE220" i="12"/>
  <c r="BE239" i="12"/>
  <c r="E25" i="3"/>
  <c r="AH239" i="12"/>
  <c r="AH323" i="12"/>
  <c r="CG254" i="12"/>
  <c r="CG246" i="12"/>
  <c r="P325" i="12"/>
  <c r="P311" i="12"/>
  <c r="BX289" i="12"/>
  <c r="BX279" i="12"/>
  <c r="BX246" i="12"/>
  <c r="BX196" i="12"/>
  <c r="BX338" i="12"/>
  <c r="BX331" i="12" s="1"/>
  <c r="AA234" i="12"/>
  <c r="AA327" i="12"/>
  <c r="AA239" i="12"/>
  <c r="AA299" i="12"/>
  <c r="AA338" i="12"/>
  <c r="AA331" i="12" s="1"/>
  <c r="AX249" i="12"/>
  <c r="AX185" i="12"/>
  <c r="AX291" i="12"/>
  <c r="AX203" i="12"/>
  <c r="AX265" i="12"/>
  <c r="EE305" i="12"/>
  <c r="EE200" i="12"/>
  <c r="EE298" i="12"/>
  <c r="EE286" i="12"/>
  <c r="EE215" i="12"/>
  <c r="ED312" i="12"/>
  <c r="ED252" i="12"/>
  <c r="ED191" i="12"/>
  <c r="ED286" i="12"/>
  <c r="ED232" i="12"/>
  <c r="CM325" i="12"/>
  <c r="CM211" i="12"/>
  <c r="CM242" i="12"/>
  <c r="CM319" i="12"/>
  <c r="CM188" i="12"/>
  <c r="CM217" i="12"/>
  <c r="CM307" i="12"/>
  <c r="CM324" i="12"/>
  <c r="CM181" i="12"/>
  <c r="CM240" i="12"/>
  <c r="CB279" i="12"/>
  <c r="CB265" i="12"/>
  <c r="CB220" i="12"/>
  <c r="CB199" i="12"/>
  <c r="CB310" i="12"/>
  <c r="CB217" i="12"/>
  <c r="CB245" i="12"/>
  <c r="CB203" i="12"/>
  <c r="CB181" i="12"/>
  <c r="CB277" i="12"/>
  <c r="AS319" i="12"/>
  <c r="AS191" i="12"/>
  <c r="AS178" i="12"/>
  <c r="AS306" i="12"/>
  <c r="AS326" i="12"/>
  <c r="AS316" i="12"/>
  <c r="AS254" i="12"/>
  <c r="AS195" i="12"/>
  <c r="AS190" i="12"/>
  <c r="AS297" i="12"/>
  <c r="AF266" i="12"/>
  <c r="AF302" i="12"/>
  <c r="AF178" i="12"/>
  <c r="AF275" i="12"/>
  <c r="AF237" i="12"/>
  <c r="AF318" i="12"/>
  <c r="AF322" i="12"/>
  <c r="AF291" i="12"/>
  <c r="AF327" i="12"/>
  <c r="AF278" i="12"/>
  <c r="BW199" i="12"/>
  <c r="BW282" i="12"/>
  <c r="BW221" i="12"/>
  <c r="BW315" i="12"/>
  <c r="BW303" i="12"/>
  <c r="BW197" i="12"/>
  <c r="BW202" i="12"/>
  <c r="BW297" i="12"/>
  <c r="BW275" i="12"/>
  <c r="BW198" i="12"/>
  <c r="F289" i="12"/>
  <c r="F188" i="12"/>
  <c r="F202" i="12"/>
  <c r="F214" i="12"/>
  <c r="F234" i="12"/>
  <c r="F296" i="12"/>
  <c r="F243" i="12"/>
  <c r="F229" i="12"/>
  <c r="F183" i="12"/>
  <c r="F217" i="12"/>
  <c r="DY228" i="12"/>
  <c r="DY239" i="12"/>
  <c r="DY294" i="12"/>
  <c r="DY249" i="12"/>
  <c r="DY300" i="12"/>
  <c r="DY214" i="12"/>
  <c r="DY273" i="12"/>
  <c r="DY215" i="12"/>
  <c r="DY207" i="12"/>
  <c r="DY338" i="12"/>
  <c r="DY331" i="12" s="1"/>
  <c r="CT315" i="12"/>
  <c r="CT316" i="12"/>
  <c r="CT198" i="12"/>
  <c r="CT242" i="12"/>
  <c r="CT266" i="12"/>
  <c r="CT302" i="12"/>
  <c r="CT206" i="12"/>
  <c r="CT230" i="12"/>
  <c r="CT238" i="12"/>
  <c r="CT323" i="12"/>
  <c r="CT311" i="12"/>
  <c r="CT297" i="12"/>
  <c r="CT202" i="12"/>
  <c r="CT205" i="12"/>
  <c r="CT300" i="12"/>
  <c r="CT272" i="12"/>
  <c r="CO203" i="12"/>
  <c r="CO278" i="12"/>
  <c r="CO303" i="12"/>
  <c r="CO257" i="12"/>
  <c r="CO305" i="12"/>
  <c r="CO206" i="12"/>
  <c r="CO270" i="12"/>
  <c r="CO280" i="12"/>
  <c r="CO196" i="12"/>
  <c r="CO327" i="12"/>
  <c r="CO328" i="12"/>
  <c r="CO211" i="12"/>
  <c r="CO187" i="12"/>
  <c r="CO182" i="12"/>
  <c r="CO250" i="12"/>
  <c r="CO179" i="12"/>
  <c r="CO230" i="12"/>
  <c r="CO287" i="12"/>
  <c r="G17" i="13"/>
  <c r="AG21" i="13" s="1"/>
  <c r="CO222" i="12"/>
  <c r="W229" i="12"/>
  <c r="W283" i="12"/>
  <c r="W258" i="12"/>
  <c r="W191" i="12"/>
  <c r="W253" i="12"/>
  <c r="W220" i="12"/>
  <c r="W272" i="12"/>
  <c r="W217" i="12"/>
  <c r="W234" i="12"/>
  <c r="W294" i="12"/>
  <c r="W274" i="12"/>
  <c r="W194" i="12"/>
  <c r="W307" i="12"/>
  <c r="W215" i="12"/>
  <c r="W185" i="12"/>
  <c r="W260" i="12"/>
  <c r="W312" i="12"/>
  <c r="W313" i="12"/>
  <c r="W245" i="12"/>
  <c r="W338" i="12"/>
  <c r="W331" i="12" s="1"/>
  <c r="BI236" i="12"/>
  <c r="BI191" i="12"/>
  <c r="BI283" i="12"/>
  <c r="BI274" i="12"/>
  <c r="BI323" i="12"/>
  <c r="BI180" i="12"/>
  <c r="BI255" i="12"/>
  <c r="BI242" i="12"/>
  <c r="BI246" i="12"/>
  <c r="BI243" i="12"/>
  <c r="BI261" i="12"/>
  <c r="BI186" i="12"/>
  <c r="BI276" i="12"/>
  <c r="BI228" i="12"/>
  <c r="BI221" i="12"/>
  <c r="BI294" i="12"/>
  <c r="BI277" i="12"/>
  <c r="BI295" i="12"/>
  <c r="BI330" i="12"/>
  <c r="BI197" i="12"/>
  <c r="DT286" i="12"/>
  <c r="DT272" i="12"/>
  <c r="DT266" i="12"/>
  <c r="DT204" i="12"/>
  <c r="DT231" i="12"/>
  <c r="DT244" i="12"/>
  <c r="DT279" i="12"/>
  <c r="DT307" i="12"/>
  <c r="DT255" i="12"/>
  <c r="DT196" i="12"/>
  <c r="DT232" i="12"/>
  <c r="DT250" i="12"/>
  <c r="DT267" i="12"/>
  <c r="DT311" i="12"/>
  <c r="DT284" i="12"/>
  <c r="DT197" i="12"/>
  <c r="DT224" i="12"/>
  <c r="DT235" i="12"/>
  <c r="DT261" i="12"/>
  <c r="DT300" i="12"/>
  <c r="CW238" i="12"/>
  <c r="CW268" i="12"/>
  <c r="CW287" i="12"/>
  <c r="CW182" i="12"/>
  <c r="CW223" i="12"/>
  <c r="CW254" i="12"/>
  <c r="CW202" i="12"/>
  <c r="CW281" i="12"/>
  <c r="CW315" i="12"/>
  <c r="CW216" i="12"/>
  <c r="CW231" i="12"/>
  <c r="CW288" i="12"/>
  <c r="CW247" i="12"/>
  <c r="CW257" i="12"/>
  <c r="CW270" i="12"/>
  <c r="CW209" i="12"/>
  <c r="CW266" i="12"/>
  <c r="CW310" i="12"/>
  <c r="CW190" i="12"/>
  <c r="CW277" i="12"/>
  <c r="EN302" i="12"/>
  <c r="EN214" i="12"/>
  <c r="EN285" i="12"/>
  <c r="EN280" i="12"/>
  <c r="EN182" i="12"/>
  <c r="EN238" i="12"/>
  <c r="EN309" i="12"/>
  <c r="EN271" i="12"/>
  <c r="EN305" i="12"/>
  <c r="EN308" i="12"/>
  <c r="EN244" i="12"/>
  <c r="EN194" i="12"/>
  <c r="EN219" i="12"/>
  <c r="EN250" i="12"/>
  <c r="EN229" i="12"/>
  <c r="EN251" i="12"/>
  <c r="EN310" i="12"/>
  <c r="EN326" i="12"/>
  <c r="EN205" i="12"/>
  <c r="EN318" i="12"/>
  <c r="CR258" i="12"/>
  <c r="CR207" i="12"/>
  <c r="CR265" i="12"/>
  <c r="CR285" i="12"/>
  <c r="CR270" i="12"/>
  <c r="CR290" i="12"/>
  <c r="CR177" i="12"/>
  <c r="CR224" i="12"/>
  <c r="CR226" i="12"/>
  <c r="CR289" i="12"/>
  <c r="CR214" i="12"/>
  <c r="CR256" i="12"/>
  <c r="CR245" i="12"/>
  <c r="CR198" i="12"/>
  <c r="CR225" i="12"/>
  <c r="CR324" i="12"/>
  <c r="CR236" i="12"/>
  <c r="CR323" i="12"/>
  <c r="CR178" i="12"/>
  <c r="CR189" i="12"/>
  <c r="EY312" i="12"/>
  <c r="EY266" i="12"/>
  <c r="EY324" i="12"/>
  <c r="EY183" i="12"/>
  <c r="EY217" i="12"/>
  <c r="EY256" i="12"/>
  <c r="EY296" i="12"/>
  <c r="EY269" i="12"/>
  <c r="EY317" i="12"/>
  <c r="EY198" i="12"/>
  <c r="EY228" i="12"/>
  <c r="EY213" i="12"/>
  <c r="EY193" i="12"/>
  <c r="EY219" i="12"/>
  <c r="EY270" i="12"/>
  <c r="EY318" i="12"/>
  <c r="EY285" i="12"/>
  <c r="EY244" i="12"/>
  <c r="EY207" i="12"/>
  <c r="BR245" i="12"/>
  <c r="BR188" i="12"/>
  <c r="BR217" i="12"/>
  <c r="BR274" i="12"/>
  <c r="BR204" i="12"/>
  <c r="BR214" i="12"/>
  <c r="BR294" i="12"/>
  <c r="BR327" i="12"/>
  <c r="BR312" i="12"/>
  <c r="BR281" i="12"/>
  <c r="BR203" i="12"/>
  <c r="BR211" i="12"/>
  <c r="BR239" i="12"/>
  <c r="BR243" i="12"/>
  <c r="BR276" i="12"/>
  <c r="BR265" i="12"/>
  <c r="BR202" i="12"/>
  <c r="BR229" i="12"/>
  <c r="BR286" i="12"/>
  <c r="BR338" i="12"/>
  <c r="BR331" i="12" s="1"/>
  <c r="EI253" i="12"/>
  <c r="EI280" i="12"/>
  <c r="EI289" i="12"/>
  <c r="EI171" i="12"/>
  <c r="EI197" i="12"/>
  <c r="EI221" i="12"/>
  <c r="EI231" i="12"/>
  <c r="EI305" i="12"/>
  <c r="EI276" i="12"/>
  <c r="K17" i="13"/>
  <c r="AG31" i="13" s="1"/>
  <c r="EI210" i="12"/>
  <c r="EI200" i="12"/>
  <c r="EI267" i="12"/>
  <c r="EI252" i="12"/>
  <c r="EI310" i="12"/>
  <c r="EI180" i="12"/>
  <c r="EI187" i="12"/>
  <c r="EI226" i="12"/>
  <c r="EI283" i="12"/>
  <c r="EI318" i="12"/>
  <c r="DN283" i="12"/>
  <c r="DN186" i="12"/>
  <c r="DN226" i="12"/>
  <c r="DN236" i="12"/>
  <c r="DN255" i="12"/>
  <c r="DN318" i="12"/>
  <c r="DN270" i="12"/>
  <c r="DN181" i="12"/>
  <c r="DN225" i="12"/>
  <c r="DN239" i="12"/>
  <c r="DN280" i="12"/>
  <c r="DN327" i="12"/>
  <c r="DN320" i="12"/>
  <c r="DN205" i="12"/>
  <c r="DN208" i="12"/>
  <c r="DN248" i="12"/>
  <c r="DN277" i="12"/>
  <c r="DN265" i="12"/>
  <c r="DN321" i="12"/>
  <c r="DN306" i="12"/>
  <c r="DO314" i="12"/>
  <c r="DO268" i="12"/>
  <c r="DO185" i="12"/>
  <c r="DO216" i="12"/>
  <c r="DO214" i="12"/>
  <c r="DO276" i="12"/>
  <c r="DO242" i="12"/>
  <c r="DO315" i="12"/>
  <c r="DO292" i="12"/>
  <c r="DO197" i="12"/>
  <c r="DO236" i="12"/>
  <c r="DO212" i="12"/>
  <c r="DO289" i="12"/>
  <c r="DO256" i="12"/>
  <c r="DO177" i="12"/>
  <c r="DO241" i="12"/>
  <c r="DO215" i="12"/>
  <c r="DO269" i="12"/>
  <c r="DO235" i="12"/>
  <c r="DO176" i="12"/>
  <c r="DO251" i="12"/>
  <c r="DO192" i="12"/>
  <c r="DO263" i="12"/>
  <c r="DO227" i="12"/>
  <c r="DO311" i="12"/>
  <c r="DO287" i="12"/>
  <c r="DO196" i="12"/>
  <c r="DO329" i="12"/>
  <c r="DO209" i="12"/>
  <c r="DO298" i="12"/>
  <c r="DO261" i="12"/>
  <c r="DO181" i="12"/>
  <c r="DO316" i="12"/>
  <c r="DO207" i="12"/>
  <c r="DO266" i="12"/>
  <c r="DO234" i="12"/>
  <c r="DO327" i="12"/>
  <c r="DO282" i="12"/>
  <c r="DO199" i="12"/>
  <c r="BC302" i="12"/>
  <c r="BC283" i="12"/>
  <c r="BC262" i="12"/>
  <c r="BC301" i="12"/>
  <c r="BC194" i="12"/>
  <c r="BC314" i="12"/>
  <c r="BC243" i="12"/>
  <c r="BC240" i="12"/>
  <c r="BC327" i="12"/>
  <c r="BC234" i="12"/>
  <c r="BC274" i="12"/>
  <c r="BC183" i="12"/>
  <c r="BC278" i="12"/>
  <c r="BC192" i="12"/>
  <c r="BC233" i="12"/>
  <c r="BC323" i="12"/>
  <c r="BC320" i="12"/>
  <c r="BC312" i="12"/>
  <c r="BC198" i="12"/>
  <c r="BC245" i="12"/>
  <c r="BC251" i="12"/>
  <c r="BC310" i="12"/>
  <c r="BC258" i="12"/>
  <c r="BC180" i="12"/>
  <c r="BC257" i="12"/>
  <c r="BC193" i="12"/>
  <c r="BC294" i="12"/>
  <c r="BC295" i="12"/>
  <c r="BC249" i="12"/>
  <c r="BC317" i="12"/>
  <c r="BC199" i="12"/>
  <c r="BC221" i="12"/>
  <c r="BC255" i="12"/>
  <c r="BC289" i="12"/>
  <c r="BC242" i="12"/>
  <c r="BC181" i="12"/>
  <c r="BC219" i="12"/>
  <c r="BC203" i="12"/>
  <c r="E23" i="13"/>
  <c r="BC231" i="12"/>
  <c r="EJ317" i="12"/>
  <c r="EJ182" i="12"/>
  <c r="EJ293" i="12"/>
  <c r="EJ206" i="12"/>
  <c r="EJ263" i="12"/>
  <c r="EJ242" i="12"/>
  <c r="EJ181" i="12"/>
  <c r="EJ274" i="12"/>
  <c r="EJ208" i="12"/>
  <c r="EJ249" i="12"/>
  <c r="EJ301" i="12"/>
  <c r="EJ302" i="12"/>
  <c r="EJ187" i="12"/>
  <c r="EJ214" i="12"/>
  <c r="EJ236" i="12"/>
  <c r="EJ256" i="12"/>
  <c r="EJ314" i="12"/>
  <c r="EJ280" i="12"/>
  <c r="EJ185" i="12"/>
  <c r="EJ292" i="12"/>
  <c r="EJ203" i="12"/>
  <c r="EJ298" i="12"/>
  <c r="EJ225" i="12"/>
  <c r="EJ294" i="12"/>
  <c r="EJ271" i="12"/>
  <c r="EJ207" i="12"/>
  <c r="EJ252" i="12"/>
  <c r="EJ216" i="12"/>
  <c r="EJ238" i="12"/>
  <c r="EJ270" i="12"/>
  <c r="EJ319" i="12"/>
  <c r="EJ310" i="12"/>
  <c r="EJ196" i="12"/>
  <c r="EJ219" i="12"/>
  <c r="EJ239" i="12"/>
  <c r="EJ279" i="12"/>
  <c r="EJ323" i="12"/>
  <c r="EJ328" i="12"/>
  <c r="L226" i="12"/>
  <c r="L304" i="12"/>
  <c r="L294" i="12"/>
  <c r="L241" i="12"/>
  <c r="L211" i="12"/>
  <c r="L303" i="12"/>
  <c r="L264" i="12"/>
  <c r="L314" i="12"/>
  <c r="L201" i="12"/>
  <c r="L190" i="12"/>
  <c r="L301" i="12"/>
  <c r="L182" i="12"/>
  <c r="L323" i="12"/>
  <c r="L276" i="12"/>
  <c r="L306" i="12"/>
  <c r="L197" i="12"/>
  <c r="L283" i="12"/>
  <c r="L281" i="12"/>
  <c r="L180" i="12"/>
  <c r="L253" i="12"/>
  <c r="L327" i="12"/>
  <c r="L231" i="12"/>
  <c r="L228" i="12"/>
  <c r="L330" i="12"/>
  <c r="L213" i="12"/>
  <c r="L238" i="12"/>
  <c r="L297" i="12"/>
  <c r="L169" i="12"/>
  <c r="L194" i="12"/>
  <c r="L288" i="12"/>
  <c r="L230" i="12"/>
  <c r="L225" i="12"/>
  <c r="L321" i="12"/>
  <c r="L271" i="12"/>
  <c r="L248" i="12"/>
  <c r="L282" i="12"/>
  <c r="L316" i="12"/>
  <c r="L176" i="12"/>
  <c r="L192" i="12"/>
  <c r="G283" i="12"/>
  <c r="G221" i="12"/>
  <c r="G227" i="12"/>
  <c r="G191" i="12"/>
  <c r="G316" i="12"/>
  <c r="G239" i="12"/>
  <c r="G178" i="12"/>
  <c r="G259" i="12"/>
  <c r="G284" i="12"/>
  <c r="G307" i="12"/>
  <c r="G213" i="12"/>
  <c r="G305" i="12"/>
  <c r="G226" i="12"/>
  <c r="G205" i="12"/>
  <c r="G289" i="12"/>
  <c r="G301" i="12"/>
  <c r="G278" i="12"/>
  <c r="G217" i="12"/>
  <c r="G300" i="12"/>
  <c r="G228" i="12"/>
  <c r="G319" i="12"/>
  <c r="G313" i="12"/>
  <c r="G312" i="12"/>
  <c r="G294" i="12"/>
  <c r="G229" i="12"/>
  <c r="G248" i="12"/>
  <c r="G292" i="12"/>
  <c r="G224" i="12"/>
  <c r="G195" i="12"/>
  <c r="G220" i="12"/>
  <c r="G180" i="12"/>
  <c r="G177" i="12"/>
  <c r="G199" i="12"/>
  <c r="G320" i="12"/>
  <c r="G181" i="12"/>
  <c r="G287" i="12"/>
  <c r="G176" i="12"/>
  <c r="G214" i="12"/>
  <c r="G210" i="12"/>
  <c r="CI323" i="12"/>
  <c r="CI226" i="12"/>
  <c r="CI316" i="12"/>
  <c r="CI256" i="12"/>
  <c r="CI301" i="12"/>
  <c r="CI290" i="12"/>
  <c r="CI190" i="12"/>
  <c r="CI319" i="12"/>
  <c r="CI224" i="12"/>
  <c r="CI328" i="12"/>
  <c r="CI266" i="12"/>
  <c r="CI182" i="12"/>
  <c r="CI279" i="12"/>
  <c r="CI207" i="12"/>
  <c r="CI249" i="12"/>
  <c r="CI202" i="12"/>
  <c r="CI260" i="12"/>
  <c r="CI228" i="12"/>
  <c r="E95" i="13"/>
  <c r="CI291" i="12"/>
  <c r="CI218" i="12"/>
  <c r="CI284" i="12"/>
  <c r="CI243" i="12"/>
  <c r="CI321" i="12"/>
  <c r="CI322" i="12"/>
  <c r="CI178" i="12"/>
  <c r="CI252" i="12"/>
  <c r="CI193" i="12"/>
  <c r="CI269" i="12"/>
  <c r="CI298" i="12"/>
  <c r="CI194" i="12"/>
  <c r="CI311" i="12"/>
  <c r="CI192" i="12"/>
  <c r="CI283" i="12"/>
  <c r="CI292" i="12"/>
  <c r="CI171" i="12"/>
  <c r="N95" i="3" s="1"/>
  <c r="K14" i="14" s="1"/>
  <c r="DJ220" i="12"/>
  <c r="DJ234" i="12"/>
  <c r="DJ247" i="12"/>
  <c r="DJ285" i="12"/>
  <c r="DJ294" i="12"/>
  <c r="DJ177" i="12"/>
  <c r="DJ201" i="12"/>
  <c r="DJ218" i="12"/>
  <c r="DJ249" i="12"/>
  <c r="DJ323" i="12"/>
  <c r="DJ308" i="12"/>
  <c r="DJ297" i="12"/>
  <c r="DJ275" i="12"/>
  <c r="DJ183" i="12"/>
  <c r="DJ195" i="12"/>
  <c r="DJ214" i="12"/>
  <c r="DJ248" i="12"/>
  <c r="DJ277" i="12"/>
  <c r="DJ287" i="12"/>
  <c r="BH239" i="12"/>
  <c r="BH242" i="12"/>
  <c r="BH189" i="12"/>
  <c r="BH248" i="12"/>
  <c r="BH326" i="12"/>
  <c r="BH210" i="12"/>
  <c r="BH205" i="12"/>
  <c r="BH277" i="12"/>
  <c r="BH206" i="12"/>
  <c r="BH219" i="12"/>
  <c r="BH309" i="12"/>
  <c r="BH187" i="12"/>
  <c r="BH313" i="12"/>
  <c r="BH298" i="12"/>
  <c r="BH199" i="12"/>
  <c r="BH280" i="12"/>
  <c r="BH216" i="12"/>
  <c r="BH264" i="12"/>
  <c r="BH228" i="12"/>
  <c r="BH171" i="12"/>
  <c r="N40" i="3" s="1"/>
  <c r="K21" i="14" s="1"/>
  <c r="W181" i="12"/>
  <c r="W299" i="12"/>
  <c r="W267" i="12"/>
  <c r="W277" i="12"/>
  <c r="W207" i="12"/>
  <c r="W233" i="12"/>
  <c r="W291" i="12"/>
  <c r="W187" i="12"/>
  <c r="W254" i="12"/>
  <c r="W270" i="12"/>
  <c r="W280" i="12"/>
  <c r="W184" i="12"/>
  <c r="W311" i="12"/>
  <c r="W305" i="12"/>
  <c r="W232" i="12"/>
  <c r="W295" i="12"/>
  <c r="W282" i="12"/>
  <c r="W265" i="12"/>
  <c r="W276" i="12"/>
  <c r="C28" i="13"/>
  <c r="C29" i="13" s="1"/>
  <c r="EE326" i="12"/>
  <c r="EE317" i="12"/>
  <c r="EE219" i="12"/>
  <c r="EE221" i="12"/>
  <c r="EE246" i="12"/>
  <c r="EE237" i="12"/>
  <c r="EE247" i="12"/>
  <c r="EE187" i="12"/>
  <c r="EE253" i="12"/>
  <c r="EE260" i="12"/>
  <c r="EE194" i="12"/>
  <c r="EE277" i="12"/>
  <c r="EE257" i="12"/>
  <c r="EE197" i="12"/>
  <c r="EE171" i="12"/>
  <c r="P97" i="3" s="1"/>
  <c r="M42" i="14" s="1"/>
  <c r="EE244" i="12"/>
  <c r="EE220" i="12"/>
  <c r="EE199" i="12"/>
  <c r="EE329" i="12"/>
  <c r="EE266" i="12"/>
  <c r="EE304" i="12"/>
  <c r="EE256" i="12"/>
  <c r="EE213" i="12"/>
  <c r="EE196" i="12"/>
  <c r="EE313" i="12"/>
  <c r="EE263" i="12"/>
  <c r="EE314" i="12"/>
  <c r="EE268" i="12"/>
  <c r="EE201" i="12"/>
  <c r="EE188" i="12"/>
  <c r="EE325" i="12"/>
  <c r="EE272" i="12"/>
  <c r="EE249" i="12"/>
  <c r="EE274" i="12"/>
  <c r="AS216" i="12"/>
  <c r="AS234" i="12"/>
  <c r="AS249" i="12"/>
  <c r="AS236" i="12"/>
  <c r="AS311" i="12"/>
  <c r="AS304" i="12"/>
  <c r="AS183" i="12"/>
  <c r="AS208" i="12"/>
  <c r="AS211" i="12"/>
  <c r="AS176" i="12"/>
  <c r="AS259" i="12"/>
  <c r="AS222" i="12"/>
  <c r="AS203" i="12"/>
  <c r="AS284" i="12"/>
  <c r="AS302" i="12"/>
  <c r="AS294" i="12"/>
  <c r="AS295" i="12"/>
  <c r="AS287" i="12"/>
  <c r="AS321" i="12"/>
  <c r="AS193" i="12"/>
  <c r="AS242" i="12"/>
  <c r="AS196" i="12"/>
  <c r="AS232" i="12"/>
  <c r="AS255" i="12"/>
  <c r="AS213" i="12"/>
  <c r="AS177" i="12"/>
  <c r="AS202" i="12"/>
  <c r="AS267" i="12"/>
  <c r="AS185" i="12"/>
  <c r="BI245" i="12"/>
  <c r="BI275" i="12"/>
  <c r="BI314" i="12"/>
  <c r="BI184" i="12"/>
  <c r="BI319" i="12"/>
  <c r="BI201" i="12"/>
  <c r="BI248" i="12"/>
  <c r="BI183" i="12"/>
  <c r="BI220" i="12"/>
  <c r="BI181" i="12"/>
  <c r="BI271" i="12"/>
  <c r="BI328" i="12"/>
  <c r="BI263" i="12"/>
  <c r="BI306" i="12"/>
  <c r="BI281" i="12"/>
  <c r="BI182" i="12"/>
  <c r="BI214" i="12"/>
  <c r="BI244" i="12"/>
  <c r="BI219" i="12"/>
  <c r="BI278" i="12"/>
  <c r="DY171" i="12"/>
  <c r="DY230" i="12"/>
  <c r="DY183" i="12"/>
  <c r="DY252" i="12"/>
  <c r="DY270" i="12"/>
  <c r="DY208" i="12"/>
  <c r="DY287" i="12"/>
  <c r="DY247" i="12"/>
  <c r="DY217" i="12"/>
  <c r="DY261" i="12"/>
  <c r="DY302" i="12"/>
  <c r="DY244" i="12"/>
  <c r="DY222" i="12"/>
  <c r="DY195" i="12"/>
  <c r="DY316" i="12"/>
  <c r="DY284" i="12"/>
  <c r="DY310" i="12"/>
  <c r="DY262" i="12"/>
  <c r="DY285" i="12"/>
  <c r="DY235" i="12"/>
  <c r="DY185" i="12"/>
  <c r="DY328" i="12"/>
  <c r="DY257" i="12"/>
  <c r="DY201" i="12"/>
  <c r="DY264" i="12"/>
  <c r="DY199" i="12"/>
  <c r="DY200" i="12"/>
  <c r="DY324" i="12"/>
  <c r="DY276" i="12"/>
  <c r="DY299" i="12"/>
  <c r="CO176" i="12"/>
  <c r="CO258" i="12"/>
  <c r="CO192" i="12"/>
  <c r="CO304" i="12"/>
  <c r="CO294" i="12"/>
  <c r="CO227" i="12"/>
  <c r="CO209" i="12"/>
  <c r="CO185" i="12"/>
  <c r="CO313" i="12"/>
  <c r="CO292" i="12"/>
  <c r="CO218" i="12"/>
  <c r="CO269" i="12"/>
  <c r="CO307" i="12"/>
  <c r="CO241" i="12"/>
  <c r="CO177" i="12"/>
  <c r="CO238" i="12"/>
  <c r="CO264" i="12"/>
  <c r="CO244" i="12"/>
  <c r="CO248" i="12"/>
  <c r="EN320" i="12"/>
  <c r="EN314" i="12"/>
  <c r="EN300" i="12"/>
  <c r="EN267" i="12"/>
  <c r="EN246" i="12"/>
  <c r="EN258" i="12"/>
  <c r="EN304" i="12"/>
  <c r="EN301" i="12"/>
  <c r="EN180" i="12"/>
  <c r="EN235" i="12"/>
  <c r="CR183" i="12"/>
  <c r="CR330" i="12"/>
  <c r="CR271" i="12"/>
  <c r="CR181" i="12"/>
  <c r="CR222" i="12"/>
  <c r="CR235" i="12"/>
  <c r="CR329" i="12"/>
  <c r="CR300" i="12"/>
  <c r="CR260" i="12"/>
  <c r="CR281" i="12"/>
  <c r="CB284" i="12"/>
  <c r="CB255" i="12"/>
  <c r="CB319" i="12"/>
  <c r="CB229" i="12"/>
  <c r="CB258" i="12"/>
  <c r="CB288" i="12"/>
  <c r="CB287" i="12"/>
  <c r="CB190" i="12"/>
  <c r="CB248" i="12"/>
  <c r="CB194" i="12"/>
  <c r="CB314" i="12"/>
  <c r="CB289" i="12"/>
  <c r="CB211" i="12"/>
  <c r="CB208" i="12"/>
  <c r="CB239" i="12"/>
  <c r="AF188" i="12"/>
  <c r="AF185" i="12"/>
  <c r="AF303" i="12"/>
  <c r="AF305" i="12"/>
  <c r="AF257" i="12"/>
  <c r="AF193" i="12"/>
  <c r="AF218" i="12"/>
  <c r="AF312" i="12"/>
  <c r="AF300" i="12"/>
  <c r="AF265" i="12"/>
  <c r="AF177" i="12"/>
  <c r="AF280" i="12"/>
  <c r="AF255" i="12"/>
  <c r="AF328" i="12"/>
  <c r="AF309" i="12"/>
  <c r="P318" i="12"/>
  <c r="P206" i="12"/>
  <c r="P179" i="12"/>
  <c r="P338" i="12"/>
  <c r="P331" i="12" s="1"/>
  <c r="P220" i="12"/>
  <c r="P234" i="12"/>
  <c r="P304" i="12"/>
  <c r="P261" i="12"/>
  <c r="P171" i="12"/>
  <c r="P197" i="12"/>
  <c r="P284" i="12"/>
  <c r="P288" i="12"/>
  <c r="P239" i="12"/>
  <c r="P289" i="12"/>
  <c r="ED196" i="12"/>
  <c r="ED243" i="12"/>
  <c r="ED317" i="12"/>
  <c r="ED190" i="12"/>
  <c r="ED265" i="12"/>
  <c r="ED194" i="12"/>
  <c r="ED309" i="12"/>
  <c r="ED330" i="12"/>
  <c r="ED192" i="12"/>
  <c r="DN189" i="12"/>
  <c r="DN233" i="12"/>
  <c r="DN232" i="12"/>
  <c r="DN171" i="12"/>
  <c r="DN210" i="12"/>
  <c r="BR258" i="12"/>
  <c r="BR307" i="12"/>
  <c r="BR183" i="12"/>
  <c r="BR250" i="12"/>
  <c r="BR272" i="12"/>
  <c r="F216" i="12"/>
  <c r="F171" i="12"/>
  <c r="F261" i="12"/>
  <c r="F280" i="12"/>
  <c r="F191" i="12"/>
  <c r="F236" i="12"/>
  <c r="F197" i="12"/>
  <c r="F251" i="12"/>
  <c r="AA258" i="12"/>
  <c r="AA303" i="12"/>
  <c r="AA275" i="12"/>
  <c r="AA322" i="12"/>
  <c r="AA297" i="12"/>
  <c r="AA313" i="12"/>
  <c r="AA307" i="12"/>
  <c r="AA318" i="12"/>
  <c r="BW304" i="12"/>
  <c r="BW232" i="12"/>
  <c r="BW205" i="12"/>
  <c r="BW230" i="12"/>
  <c r="BW237" i="12"/>
  <c r="BW268" i="12"/>
  <c r="BW179" i="12"/>
  <c r="BW307" i="12"/>
  <c r="CM261" i="12"/>
  <c r="CM207" i="12"/>
  <c r="CM330" i="12"/>
  <c r="CM297" i="12"/>
  <c r="CM243" i="12"/>
  <c r="CM296" i="12"/>
  <c r="CM221" i="12"/>
  <c r="EI209" i="12"/>
  <c r="EI292" i="12"/>
  <c r="EI324" i="12"/>
  <c r="EI211" i="12"/>
  <c r="EI315" i="12"/>
  <c r="EY274" i="12"/>
  <c r="EY295" i="12"/>
  <c r="EY214" i="12"/>
  <c r="EY286" i="12"/>
  <c r="EY299" i="12"/>
  <c r="BM274" i="12"/>
  <c r="CG181" i="12"/>
  <c r="CG319" i="12"/>
  <c r="CG203" i="12"/>
  <c r="CG321" i="12"/>
  <c r="CG180" i="12"/>
  <c r="CW302" i="12"/>
  <c r="CW263" i="12"/>
  <c r="DT220" i="12"/>
  <c r="I60" i="13"/>
  <c r="I62" i="13" s="1"/>
  <c r="DT192" i="12"/>
  <c r="BX209" i="12"/>
  <c r="BX252" i="12"/>
  <c r="BX194" i="12"/>
  <c r="BX227" i="12"/>
  <c r="CT279" i="12"/>
  <c r="CT286" i="12"/>
  <c r="AX280" i="12"/>
  <c r="AX184" i="12"/>
  <c r="AH193" i="12"/>
  <c r="AH241" i="12"/>
  <c r="W301" i="12"/>
  <c r="W193" i="12"/>
  <c r="BC213" i="12"/>
  <c r="BC215" i="12"/>
  <c r="CI188" i="12"/>
  <c r="CI294" i="12"/>
  <c r="CI186" i="12"/>
  <c r="CI267" i="12"/>
  <c r="DO321" i="12"/>
  <c r="DO257" i="12"/>
  <c r="AS300" i="12"/>
  <c r="AS224" i="12"/>
  <c r="BR225" i="12"/>
  <c r="BR321" i="12"/>
  <c r="BW279" i="12"/>
  <c r="BW290" i="12"/>
  <c r="EJ183" i="12"/>
  <c r="EJ262" i="12"/>
  <c r="L177" i="12"/>
  <c r="L319" i="12"/>
  <c r="L199" i="12"/>
  <c r="DJ190" i="12"/>
  <c r="DJ322" i="12"/>
  <c r="DJ283" i="12"/>
  <c r="AX230" i="12"/>
  <c r="AX257" i="12"/>
  <c r="AX218" i="12"/>
  <c r="AX276" i="12"/>
  <c r="AX316" i="12"/>
  <c r="AX328" i="12"/>
  <c r="CO231" i="12"/>
  <c r="CO306" i="12"/>
  <c r="EY169" i="12"/>
  <c r="EY221" i="12"/>
  <c r="EY237" i="12"/>
  <c r="DT206" i="12"/>
  <c r="DT301" i="12"/>
  <c r="BH218" i="12"/>
  <c r="BH327" i="12"/>
  <c r="BH291" i="12"/>
  <c r="BH274" i="12"/>
  <c r="BH279" i="12"/>
  <c r="BH229" i="12"/>
  <c r="BH288" i="12"/>
  <c r="BH299" i="12"/>
  <c r="BH316" i="12"/>
  <c r="G309" i="12"/>
  <c r="G303" i="12"/>
  <c r="G233" i="12"/>
  <c r="G237" i="12"/>
  <c r="G234" i="12"/>
  <c r="G321" i="12"/>
  <c r="G188" i="12"/>
  <c r="G306" i="12"/>
  <c r="G326" i="12"/>
  <c r="G198" i="12"/>
  <c r="CT285" i="12"/>
  <c r="CT225" i="12"/>
  <c r="AH314" i="12"/>
  <c r="AH197" i="12"/>
  <c r="AH303" i="12"/>
  <c r="AH260" i="12"/>
  <c r="AH213" i="12"/>
  <c r="AH299" i="12"/>
  <c r="AH301" i="12"/>
  <c r="AH291" i="12"/>
  <c r="AH290" i="12"/>
  <c r="AH265" i="12"/>
  <c r="AH233" i="12"/>
  <c r="AH205" i="12"/>
  <c r="AH292" i="12"/>
  <c r="AH281" i="12"/>
  <c r="AH230" i="12"/>
  <c r="AH185" i="12"/>
  <c r="AH178" i="12"/>
  <c r="AH284" i="12"/>
  <c r="AH262" i="12"/>
  <c r="AH308" i="12"/>
  <c r="AH276" i="12"/>
  <c r="AH257" i="12"/>
  <c r="AH249" i="12"/>
  <c r="AH238" i="12"/>
  <c r="AH207" i="12"/>
  <c r="AH330" i="12"/>
  <c r="AH321" i="12"/>
  <c r="AH263" i="12"/>
  <c r="AH218" i="12"/>
  <c r="AH274" i="12"/>
  <c r="AH318" i="12"/>
  <c r="AH182" i="12"/>
  <c r="AH258" i="12"/>
  <c r="AH298" i="12"/>
  <c r="AH177" i="12"/>
  <c r="AH214" i="12"/>
  <c r="AH210" i="12"/>
  <c r="AH224" i="12"/>
  <c r="I16" i="13"/>
  <c r="AG25" i="13" s="1"/>
  <c r="AG15" i="3"/>
  <c r="EY172" i="12"/>
  <c r="H172" i="12"/>
  <c r="AM252" i="12"/>
  <c r="AM322" i="12"/>
  <c r="AM268" i="12"/>
  <c r="AM242" i="12"/>
  <c r="BS322" i="12"/>
  <c r="BS338" i="12"/>
  <c r="BS331" i="12" s="1"/>
  <c r="CY196" i="12"/>
  <c r="CY265" i="12"/>
  <c r="CY208" i="12"/>
  <c r="CY291" i="12"/>
  <c r="EU201" i="12"/>
  <c r="EU310" i="12"/>
  <c r="EU180" i="12"/>
  <c r="EU313" i="12"/>
  <c r="BY313" i="12"/>
  <c r="BY295" i="12"/>
  <c r="BY275" i="12"/>
  <c r="BY181" i="12"/>
  <c r="DX282" i="12"/>
  <c r="DX255" i="12"/>
  <c r="DX254" i="12"/>
  <c r="DX198" i="12"/>
  <c r="DX249" i="12"/>
  <c r="BL188" i="12"/>
  <c r="BL251" i="12"/>
  <c r="BL264" i="12"/>
  <c r="K278" i="12"/>
  <c r="K309" i="12"/>
  <c r="K328" i="12"/>
  <c r="CX219" i="12"/>
  <c r="CX192" i="12"/>
  <c r="AL302" i="12"/>
  <c r="AL222" i="12"/>
  <c r="AL293" i="12"/>
  <c r="DC299" i="12"/>
  <c r="DC201" i="12"/>
  <c r="Q181" i="12"/>
  <c r="Q262" i="12"/>
  <c r="Q328" i="12"/>
  <c r="DD264" i="12"/>
  <c r="DD208" i="12"/>
  <c r="AR262" i="12"/>
  <c r="AR259" i="12"/>
  <c r="CD211" i="12"/>
  <c r="CD296" i="12"/>
  <c r="CD268" i="12"/>
  <c r="R258" i="12"/>
  <c r="R304" i="12"/>
  <c r="R235" i="12"/>
  <c r="CS328" i="12"/>
  <c r="CS271" i="12"/>
  <c r="CS237" i="12"/>
  <c r="FA252" i="12"/>
  <c r="FA320" i="12"/>
  <c r="FA222" i="12"/>
  <c r="DH181" i="12"/>
  <c r="DH287" i="12"/>
  <c r="DH275" i="12"/>
  <c r="AV281" i="12"/>
  <c r="AV299" i="12"/>
  <c r="AV242" i="12"/>
  <c r="ET231" i="12"/>
  <c r="ET250" i="12"/>
  <c r="CH229" i="12"/>
  <c r="CH280" i="12"/>
  <c r="CH321" i="12"/>
  <c r="BG266" i="12"/>
  <c r="BG209" i="12"/>
  <c r="BG326" i="12"/>
  <c r="AW279" i="12"/>
  <c r="AW317" i="12"/>
  <c r="EG182" i="12"/>
  <c r="EG262" i="12"/>
  <c r="BN211" i="12"/>
  <c r="BN320" i="12"/>
  <c r="AQ241" i="12"/>
  <c r="AG39" i="3"/>
  <c r="AG33" i="3"/>
  <c r="BD172" i="12"/>
  <c r="FB172" i="12"/>
  <c r="AO172" i="12"/>
  <c r="BU196" i="12"/>
  <c r="BU172" i="12"/>
  <c r="DM172" i="12"/>
  <c r="BT172" i="12"/>
  <c r="AS172" i="12"/>
  <c r="EL172" i="12"/>
  <c r="DY172" i="12"/>
  <c r="DR172" i="12"/>
  <c r="CL172" i="12"/>
  <c r="BP192" i="12"/>
  <c r="BP169" i="12"/>
  <c r="BP287" i="12"/>
  <c r="BP278" i="12"/>
  <c r="BP282" i="12"/>
  <c r="EH312" i="12"/>
  <c r="EH172" i="12"/>
  <c r="AM180" i="12"/>
  <c r="AM233" i="12"/>
  <c r="AM254" i="12"/>
  <c r="AM182" i="12"/>
  <c r="AM261" i="12"/>
  <c r="AM246" i="12"/>
  <c r="AM191" i="12"/>
  <c r="AM320" i="12"/>
  <c r="AM302" i="12"/>
  <c r="AM188" i="12"/>
  <c r="AM219" i="12"/>
  <c r="AM280" i="12"/>
  <c r="AM218" i="12"/>
  <c r="AM193" i="12"/>
  <c r="AM240" i="12"/>
  <c r="AM286" i="12"/>
  <c r="AM249" i="12"/>
  <c r="AM185" i="12"/>
  <c r="AM294" i="12"/>
  <c r="AM221" i="12"/>
  <c r="AM207" i="12"/>
  <c r="AM239" i="12"/>
  <c r="AM225" i="12"/>
  <c r="AM189" i="12"/>
  <c r="AM310" i="12"/>
  <c r="BS285" i="12"/>
  <c r="BS294" i="12"/>
  <c r="BS196" i="12"/>
  <c r="BS257" i="12"/>
  <c r="BS246" i="12"/>
  <c r="BS206" i="12"/>
  <c r="BS261" i="12"/>
  <c r="BS262" i="12"/>
  <c r="BS194" i="12"/>
  <c r="BS260" i="12"/>
  <c r="BS314" i="12"/>
  <c r="BS217" i="12"/>
  <c r="BS184" i="12"/>
  <c r="BS282" i="12"/>
  <c r="BS234" i="12"/>
  <c r="BS320" i="12"/>
  <c r="BS207" i="12"/>
  <c r="BS245" i="12"/>
  <c r="BS307" i="12"/>
  <c r="BS259" i="12"/>
  <c r="BS240" i="12"/>
  <c r="BS275" i="12"/>
  <c r="BS212" i="12"/>
  <c r="BS195" i="12"/>
  <c r="BS239" i="12"/>
  <c r="BS244" i="12"/>
  <c r="BS288" i="12"/>
  <c r="BS303" i="12"/>
  <c r="BS253" i="12"/>
  <c r="BS186" i="12"/>
  <c r="CY254" i="12"/>
  <c r="CY314" i="12"/>
  <c r="CY257" i="12"/>
  <c r="CY262" i="12"/>
  <c r="CY322" i="12"/>
  <c r="CY214" i="12"/>
  <c r="CY292" i="12"/>
  <c r="CY290" i="12"/>
  <c r="CY202" i="12"/>
  <c r="CY268" i="12"/>
  <c r="CY278" i="12"/>
  <c r="CY249" i="12"/>
  <c r="CY178" i="12"/>
  <c r="CY181" i="12"/>
  <c r="CY209" i="12"/>
  <c r="G64" i="13"/>
  <c r="CY281" i="12"/>
  <c r="CY231" i="12"/>
  <c r="CY297" i="12"/>
  <c r="CY313" i="12"/>
  <c r="CY227" i="12"/>
  <c r="CY259" i="12"/>
  <c r="CY246" i="12"/>
  <c r="CY312" i="12"/>
  <c r="CY195" i="12"/>
  <c r="EU325" i="12"/>
  <c r="EU193" i="12"/>
  <c r="EU281" i="12"/>
  <c r="EU183" i="12"/>
  <c r="EU293" i="12"/>
  <c r="EU304" i="12"/>
  <c r="EU255" i="12"/>
  <c r="EU261" i="12"/>
  <c r="EU252" i="12"/>
  <c r="EU294" i="12"/>
  <c r="EU231" i="12"/>
  <c r="EU253" i="12"/>
  <c r="EU200" i="12"/>
  <c r="EU291" i="12"/>
  <c r="EU322" i="12"/>
  <c r="EU314" i="12"/>
  <c r="EU283" i="12"/>
  <c r="EU214" i="12"/>
  <c r="EU321" i="12"/>
  <c r="EU297" i="12"/>
  <c r="EU295" i="12"/>
  <c r="EU186" i="12"/>
  <c r="EU235" i="12"/>
  <c r="EU190" i="12"/>
  <c r="EU288" i="12"/>
  <c r="BY185" i="12"/>
  <c r="BY276" i="12"/>
  <c r="BY223" i="12"/>
  <c r="BY221" i="12"/>
  <c r="BY241" i="12"/>
  <c r="BY292" i="12"/>
  <c r="BY233" i="12"/>
  <c r="BY231" i="12"/>
  <c r="BY183" i="12"/>
  <c r="BY310" i="12"/>
  <c r="BY197" i="12"/>
  <c r="BY188" i="12"/>
  <c r="BY240" i="12"/>
  <c r="BY300" i="12"/>
  <c r="BY237" i="12"/>
  <c r="BY203" i="12"/>
  <c r="BY263" i="12"/>
  <c r="BY319" i="12"/>
  <c r="BY243" i="12"/>
  <c r="BY299" i="12"/>
  <c r="BY186" i="12"/>
  <c r="BY273" i="12"/>
  <c r="BY229" i="12"/>
  <c r="BY187" i="12"/>
  <c r="BY220" i="12"/>
  <c r="DX318" i="12"/>
  <c r="DX273" i="12"/>
  <c r="DX231" i="12"/>
  <c r="DX220" i="12"/>
  <c r="DX177" i="12"/>
  <c r="DX210" i="12"/>
  <c r="DX276" i="12"/>
  <c r="DX225" i="12"/>
  <c r="DX221" i="12"/>
  <c r="DX259" i="12"/>
  <c r="DX194" i="12"/>
  <c r="DX324" i="12"/>
  <c r="DX252" i="12"/>
  <c r="DX224" i="12"/>
  <c r="DX193" i="12"/>
  <c r="DX232" i="12"/>
  <c r="DX298" i="12"/>
  <c r="DX268" i="12"/>
  <c r="DX301" i="12"/>
  <c r="DX269" i="12"/>
  <c r="DX233" i="12"/>
  <c r="DX304" i="12"/>
  <c r="DX283" i="12"/>
  <c r="DX279" i="12"/>
  <c r="DX258" i="12"/>
  <c r="BL214" i="12"/>
  <c r="BL199" i="12"/>
  <c r="BL241" i="12"/>
  <c r="BL187" i="12"/>
  <c r="BL212" i="12"/>
  <c r="BL273" i="12"/>
  <c r="BL295" i="12"/>
  <c r="BL326" i="12"/>
  <c r="BL292" i="12"/>
  <c r="BL275" i="12"/>
  <c r="BL246" i="12"/>
  <c r="K227" i="12"/>
  <c r="K214" i="12"/>
  <c r="K257" i="12"/>
  <c r="K316" i="12"/>
  <c r="K194" i="12"/>
  <c r="K300" i="12"/>
  <c r="K188" i="12"/>
  <c r="K202" i="12"/>
  <c r="K280" i="12"/>
  <c r="K306" i="12"/>
  <c r="K249" i="12"/>
  <c r="K271" i="12"/>
  <c r="K181" i="12"/>
  <c r="K224" i="12"/>
  <c r="K228" i="12"/>
  <c r="K270" i="12"/>
  <c r="K258" i="12"/>
  <c r="K201" i="12"/>
  <c r="K275" i="12"/>
  <c r="K222" i="12"/>
  <c r="K229" i="12"/>
  <c r="K176" i="12"/>
  <c r="K205" i="12"/>
  <c r="K304" i="12"/>
  <c r="K311" i="12"/>
  <c r="K329" i="12"/>
  <c r="K288" i="12"/>
  <c r="K252" i="12"/>
  <c r="K250" i="12"/>
  <c r="CX327" i="12"/>
  <c r="CX211" i="12"/>
  <c r="CX247" i="12"/>
  <c r="CX310" i="12"/>
  <c r="CX328" i="12"/>
  <c r="CX180" i="12"/>
  <c r="CX208" i="12"/>
  <c r="CX257" i="12"/>
  <c r="CX250" i="12"/>
  <c r="CX244" i="12"/>
  <c r="AL312" i="12"/>
  <c r="AL291" i="12"/>
  <c r="C81" i="13"/>
  <c r="AL225" i="12"/>
  <c r="AL311" i="12"/>
  <c r="AL206" i="12"/>
  <c r="AL203" i="12"/>
  <c r="AL183" i="12"/>
  <c r="AL199" i="12"/>
  <c r="AL178" i="12"/>
  <c r="AL259" i="12"/>
  <c r="AL326" i="12"/>
  <c r="AQ199" i="12"/>
  <c r="AQ238" i="12"/>
  <c r="AQ236" i="12"/>
  <c r="AQ321" i="12"/>
  <c r="AQ234" i="12"/>
  <c r="AQ264" i="12"/>
  <c r="AQ275" i="12"/>
  <c r="AQ171" i="12"/>
  <c r="AQ221" i="12"/>
  <c r="AQ172" i="12"/>
  <c r="AQ315" i="12"/>
  <c r="AQ328" i="12"/>
  <c r="AQ189" i="12"/>
  <c r="AQ268" i="12"/>
  <c r="AQ249" i="12"/>
  <c r="AQ209" i="12"/>
  <c r="AQ195" i="12"/>
  <c r="AQ205" i="12"/>
  <c r="AQ278" i="12"/>
  <c r="AQ184" i="12"/>
  <c r="AQ310" i="12"/>
  <c r="AQ326" i="12"/>
  <c r="AQ182" i="12"/>
  <c r="AQ294" i="12"/>
  <c r="AQ338" i="12"/>
  <c r="AQ331" i="12" s="1"/>
  <c r="AQ210" i="12"/>
  <c r="AQ257" i="12"/>
  <c r="AQ223" i="12"/>
  <c r="AQ224" i="12"/>
  <c r="DC208" i="12"/>
  <c r="DC194" i="12"/>
  <c r="DC246" i="12"/>
  <c r="DC240" i="12"/>
  <c r="DC177" i="12"/>
  <c r="DC329" i="12"/>
  <c r="DC261" i="12"/>
  <c r="DC198" i="12"/>
  <c r="DC263" i="12"/>
  <c r="DC232" i="12"/>
  <c r="DC229" i="12"/>
  <c r="DC312" i="12"/>
  <c r="DC310" i="12"/>
  <c r="DC225" i="12"/>
  <c r="DC252" i="12"/>
  <c r="AG193" i="12"/>
  <c r="AG212" i="12"/>
  <c r="AG202" i="12"/>
  <c r="AG246" i="12"/>
  <c r="AG256" i="12"/>
  <c r="AG329" i="12"/>
  <c r="AG214" i="12"/>
  <c r="AG236" i="12"/>
  <c r="AG233" i="12"/>
  <c r="AG325" i="12"/>
  <c r="AG312" i="12"/>
  <c r="AG198" i="12"/>
  <c r="AG189" i="12"/>
  <c r="AG213" i="12"/>
  <c r="AG326" i="12"/>
  <c r="DA275" i="12"/>
  <c r="DA287" i="12"/>
  <c r="DA267" i="12"/>
  <c r="DA207" i="12"/>
  <c r="Q198" i="12"/>
  <c r="C40" i="13"/>
  <c r="Q229" i="12"/>
  <c r="Q278" i="12"/>
  <c r="Q205" i="12"/>
  <c r="Q231" i="12"/>
  <c r="Q195" i="12"/>
  <c r="Q284" i="12"/>
  <c r="Q279" i="12"/>
  <c r="Q219" i="12"/>
  <c r="Q216" i="12"/>
  <c r="Q207" i="12"/>
  <c r="Q297" i="12"/>
  <c r="Q228" i="12"/>
  <c r="Q255" i="12"/>
  <c r="DD226" i="12"/>
  <c r="DD308" i="12"/>
  <c r="DD274" i="12"/>
  <c r="DD230" i="12"/>
  <c r="DD330" i="12"/>
  <c r="DD179" i="12"/>
  <c r="DD196" i="12"/>
  <c r="DD285" i="12"/>
  <c r="DD244" i="12"/>
  <c r="DD169" i="12"/>
  <c r="DD292" i="12"/>
  <c r="DD236" i="12"/>
  <c r="DD183" i="12"/>
  <c r="DD320" i="12"/>
  <c r="AR205" i="12"/>
  <c r="AR176" i="12"/>
  <c r="AR225" i="12"/>
  <c r="AR202" i="12"/>
  <c r="AR237" i="12"/>
  <c r="AR215" i="12"/>
  <c r="AR204" i="12"/>
  <c r="AR276" i="12"/>
  <c r="AR302" i="12"/>
  <c r="AR201" i="12"/>
  <c r="AR253" i="12"/>
  <c r="EP228" i="12"/>
  <c r="EP226" i="12"/>
  <c r="EP234" i="12"/>
  <c r="EP176" i="12"/>
  <c r="EP224" i="12"/>
  <c r="EP255" i="12"/>
  <c r="EP267" i="12"/>
  <c r="EP207" i="12"/>
  <c r="EP191" i="12"/>
  <c r="CD289" i="12"/>
  <c r="CD233" i="12"/>
  <c r="CD202" i="12"/>
  <c r="CD299" i="12"/>
  <c r="CD280" i="12"/>
  <c r="CD206" i="12"/>
  <c r="CD258" i="12"/>
  <c r="CD237" i="12"/>
  <c r="CD169" i="12"/>
  <c r="CD263" i="12"/>
  <c r="CD232" i="12"/>
  <c r="R219" i="12"/>
  <c r="R250" i="12"/>
  <c r="R277" i="12"/>
  <c r="R254" i="12"/>
  <c r="R192" i="12"/>
  <c r="R221" i="12"/>
  <c r="R310" i="12"/>
  <c r="R186" i="12"/>
  <c r="R213" i="12"/>
  <c r="R217" i="12"/>
  <c r="R183" i="12"/>
  <c r="R285" i="12"/>
  <c r="CS324" i="12"/>
  <c r="CS302" i="12"/>
  <c r="CS182" i="12"/>
  <c r="CS274" i="12"/>
  <c r="CS244" i="12"/>
  <c r="CS206" i="12"/>
  <c r="CS316" i="12"/>
  <c r="CS325" i="12"/>
  <c r="CS221" i="12"/>
  <c r="CS306" i="12"/>
  <c r="CS307" i="12"/>
  <c r="CS199" i="12"/>
  <c r="CS280" i="12"/>
  <c r="CS181" i="12"/>
  <c r="CS273" i="12"/>
  <c r="CS338" i="12"/>
  <c r="CS331" i="12" s="1"/>
  <c r="CS228" i="12"/>
  <c r="CS313" i="12"/>
  <c r="CS178" i="12"/>
  <c r="CS268" i="12"/>
  <c r="CS226" i="12"/>
  <c r="CS294" i="12"/>
  <c r="CS190" i="12"/>
  <c r="CS222" i="12"/>
  <c r="CS299" i="12"/>
  <c r="FA269" i="12"/>
  <c r="FA205" i="12"/>
  <c r="FA282" i="12"/>
  <c r="FA281" i="12"/>
  <c r="FA194" i="12"/>
  <c r="FA271" i="12"/>
  <c r="FA288" i="12"/>
  <c r="FA212" i="12"/>
  <c r="FA293" i="12"/>
  <c r="FA277" i="12"/>
  <c r="FA208" i="12"/>
  <c r="DH182" i="12"/>
  <c r="DH322" i="12"/>
  <c r="DH253" i="12"/>
  <c r="DH264" i="12"/>
  <c r="DH276" i="12"/>
  <c r="DH261" i="12"/>
  <c r="DH271" i="12"/>
  <c r="DH252" i="12"/>
  <c r="DH198" i="12"/>
  <c r="DH320" i="12"/>
  <c r="DH269" i="12"/>
  <c r="DH212" i="12"/>
  <c r="DH296" i="12"/>
  <c r="DH217" i="12"/>
  <c r="DH272" i="12"/>
  <c r="DH228" i="12"/>
  <c r="DH289" i="12"/>
  <c r="DH299" i="12"/>
  <c r="DH241" i="12"/>
  <c r="DH328" i="12"/>
  <c r="DH295" i="12"/>
  <c r="DH233" i="12"/>
  <c r="DH301" i="12"/>
  <c r="DH290" i="12"/>
  <c r="AV195" i="12"/>
  <c r="AV211" i="12"/>
  <c r="AV291" i="12"/>
  <c r="AV204" i="12"/>
  <c r="AV215" i="12"/>
  <c r="AV324" i="12"/>
  <c r="AV169" i="12"/>
  <c r="AV272" i="12"/>
  <c r="AV244" i="12"/>
  <c r="AV271" i="12"/>
  <c r="AV235" i="12"/>
  <c r="AV283" i="12"/>
  <c r="AV257" i="12"/>
  <c r="AV311" i="12"/>
  <c r="AV307" i="12"/>
  <c r="AV338" i="12"/>
  <c r="AV331" i="12" s="1"/>
  <c r="AV320" i="12"/>
  <c r="AV185" i="12"/>
  <c r="AV285" i="12"/>
  <c r="AV261" i="12"/>
  <c r="AV280" i="12"/>
  <c r="AV208" i="12"/>
  <c r="AV201" i="12"/>
  <c r="AV304" i="12"/>
  <c r="AV296" i="12"/>
  <c r="AV267" i="12"/>
  <c r="ET192" i="12"/>
  <c r="ET214" i="12"/>
  <c r="ET330" i="12"/>
  <c r="ET193" i="12"/>
  <c r="ET218" i="12"/>
  <c r="ET248" i="12"/>
  <c r="ET310" i="12"/>
  <c r="ET283" i="12"/>
  <c r="ET179" i="12"/>
  <c r="ET311" i="12"/>
  <c r="CH241" i="12"/>
  <c r="CH302" i="12"/>
  <c r="CH169" i="12"/>
  <c r="CH248" i="12"/>
  <c r="CH298" i="12"/>
  <c r="CH185" i="12"/>
  <c r="CH245" i="12"/>
  <c r="CH310" i="12"/>
  <c r="CH181" i="12"/>
  <c r="CH244" i="12"/>
  <c r="CH256" i="12"/>
  <c r="CH250" i="12"/>
  <c r="CH225" i="12"/>
  <c r="CH288" i="12"/>
  <c r="CH219" i="12"/>
  <c r="CH217" i="12"/>
  <c r="CH224" i="12"/>
  <c r="CH195" i="12"/>
  <c r="CH291" i="12"/>
  <c r="CH269" i="12"/>
  <c r="CH204" i="12"/>
  <c r="CH279" i="12"/>
  <c r="CH273" i="12"/>
  <c r="CH191" i="12"/>
  <c r="CH267" i="12"/>
  <c r="CH240" i="12"/>
  <c r="V202" i="12"/>
  <c r="V232" i="12"/>
  <c r="V330" i="12"/>
  <c r="V314" i="12"/>
  <c r="V256" i="12"/>
  <c r="V210" i="12"/>
  <c r="V309" i="12"/>
  <c r="V212" i="12"/>
  <c r="V177" i="12"/>
  <c r="V303" i="12"/>
  <c r="V283" i="12"/>
  <c r="V247" i="12"/>
  <c r="V276" i="12"/>
  <c r="V318" i="12"/>
  <c r="V219" i="12"/>
  <c r="V270" i="12"/>
  <c r="V213" i="12"/>
  <c r="V249" i="12"/>
  <c r="V182" i="12"/>
  <c r="V245" i="12"/>
  <c r="V184" i="12"/>
  <c r="V321" i="12"/>
  <c r="V205" i="12"/>
  <c r="V257" i="12"/>
  <c r="V239" i="12"/>
  <c r="V235" i="12"/>
  <c r="V220" i="12"/>
  <c r="V287" i="12"/>
  <c r="V261" i="12"/>
  <c r="V281" i="12"/>
  <c r="V201" i="12"/>
  <c r="V231" i="12"/>
  <c r="BG253" i="12"/>
  <c r="BG232" i="12"/>
  <c r="BG279" i="12"/>
  <c r="BG198" i="12"/>
  <c r="BG219" i="12"/>
  <c r="BG307" i="12"/>
  <c r="BG195" i="12"/>
  <c r="BG296" i="12"/>
  <c r="BG250" i="12"/>
  <c r="BG194" i="12"/>
  <c r="BG260" i="12"/>
  <c r="DS195" i="12"/>
  <c r="DS231" i="12"/>
  <c r="DS171" i="12"/>
  <c r="P57" i="3" s="1"/>
  <c r="M37" i="14" s="1"/>
  <c r="DS320" i="12"/>
  <c r="DS236" i="12"/>
  <c r="DS244" i="12"/>
  <c r="DS254" i="12"/>
  <c r="DS259" i="12"/>
  <c r="DS191" i="12"/>
  <c r="AW325" i="12"/>
  <c r="AW248" i="12"/>
  <c r="AW237" i="12"/>
  <c r="AW198" i="12"/>
  <c r="AW283" i="12"/>
  <c r="AW183" i="12"/>
  <c r="AW256" i="12"/>
  <c r="AW270" i="12"/>
  <c r="AW284" i="12"/>
  <c r="AW287" i="12"/>
  <c r="AW240" i="12"/>
  <c r="EG212" i="12"/>
  <c r="EG205" i="12"/>
  <c r="EG193" i="12"/>
  <c r="EG217" i="12"/>
  <c r="EG268" i="12"/>
  <c r="EG183" i="12"/>
  <c r="EG235" i="12"/>
  <c r="EG245" i="12"/>
  <c r="EG188" i="12"/>
  <c r="EG284" i="12"/>
  <c r="EG227" i="12"/>
  <c r="EG259" i="12"/>
  <c r="EG195" i="12"/>
  <c r="EG267" i="12"/>
  <c r="EG296" i="12"/>
  <c r="EZ227" i="12"/>
  <c r="EZ280" i="12"/>
  <c r="CN307" i="12"/>
  <c r="CN178" i="12"/>
  <c r="CN213" i="12"/>
  <c r="CN261" i="12"/>
  <c r="CN256" i="12"/>
  <c r="CN241" i="12"/>
  <c r="CN338" i="12"/>
  <c r="CN331" i="12" s="1"/>
  <c r="CN191" i="12"/>
  <c r="CN250" i="12"/>
  <c r="CN258" i="12"/>
  <c r="CN220" i="12"/>
  <c r="AB322" i="12"/>
  <c r="AB295" i="12"/>
  <c r="AB184" i="12"/>
  <c r="AB260" i="12"/>
  <c r="AB252" i="12"/>
  <c r="AB294" i="12"/>
  <c r="AB251" i="12"/>
  <c r="AB203" i="12"/>
  <c r="AB224" i="12"/>
  <c r="AB234" i="12"/>
  <c r="AB218" i="12"/>
  <c r="AB325" i="12"/>
  <c r="BN243" i="12"/>
  <c r="BN180" i="12"/>
  <c r="BN241" i="12"/>
  <c r="BN330" i="12"/>
  <c r="BN191" i="12"/>
  <c r="BN272" i="12"/>
  <c r="BN270" i="12"/>
  <c r="BN177" i="12"/>
  <c r="BN327" i="12"/>
  <c r="BN242" i="12"/>
  <c r="BN269" i="12"/>
  <c r="BN280" i="12"/>
  <c r="BB172" i="12"/>
  <c r="BP176" i="12"/>
  <c r="BP253" i="12"/>
  <c r="BP248" i="12"/>
  <c r="BP247" i="12"/>
  <c r="BP227" i="12"/>
  <c r="BP200" i="12"/>
  <c r="BP329" i="12"/>
  <c r="BP328" i="12"/>
  <c r="BP327" i="12"/>
  <c r="BP306" i="12"/>
  <c r="BP223" i="12"/>
  <c r="BP205" i="12"/>
  <c r="BP194" i="12"/>
  <c r="BP313" i="12"/>
  <c r="BP304" i="12"/>
  <c r="BP303" i="12"/>
  <c r="BP298" i="12"/>
  <c r="BP208" i="12"/>
  <c r="BP201" i="12"/>
  <c r="BP277" i="12"/>
  <c r="AG47" i="3"/>
  <c r="AG19" i="3"/>
  <c r="AG36" i="3"/>
  <c r="AM24" i="3"/>
  <c r="BT79" i="3" s="1"/>
  <c r="AE25" i="3"/>
  <c r="BN83" i="3" s="1"/>
  <c r="AG29" i="3"/>
  <c r="AD13" i="3"/>
  <c r="CB14" i="3"/>
  <c r="K68" i="3"/>
  <c r="CA177" i="3" s="1"/>
  <c r="BP145" i="3"/>
  <c r="I63" i="3"/>
  <c r="AG45" i="3"/>
  <c r="AO41" i="3"/>
  <c r="AN13" i="3"/>
  <c r="AM30" i="3"/>
  <c r="AG24" i="3"/>
  <c r="AH35" i="3"/>
  <c r="BO156" i="3" s="1"/>
  <c r="G68" i="3"/>
  <c r="G69" i="3" s="1"/>
  <c r="AG16" i="3"/>
  <c r="CB74" i="3"/>
  <c r="E28" i="3"/>
  <c r="E30" i="3" s="1"/>
  <c r="BP274" i="12"/>
  <c r="BP188" i="12"/>
  <c r="BP226" i="12"/>
  <c r="BP257" i="12"/>
  <c r="BP214" i="12"/>
  <c r="BP275" i="12"/>
  <c r="BP309" i="12"/>
  <c r="BP203" i="12"/>
  <c r="BP311" i="12"/>
  <c r="BP325" i="12"/>
  <c r="AC194" i="12"/>
  <c r="AC238" i="12"/>
  <c r="AC229" i="12"/>
  <c r="AC283" i="12"/>
  <c r="AC244" i="12"/>
  <c r="Z172" i="12"/>
  <c r="DU281" i="12"/>
  <c r="DU258" i="12"/>
  <c r="DU275" i="12"/>
  <c r="DU197" i="12"/>
  <c r="DU257" i="12"/>
  <c r="DU219" i="12"/>
  <c r="DZ277" i="12"/>
  <c r="DZ256" i="12"/>
  <c r="DZ215" i="12"/>
  <c r="DZ288" i="12"/>
  <c r="DZ177" i="12"/>
  <c r="DZ235" i="12"/>
  <c r="DZ330" i="12"/>
  <c r="DZ185" i="12"/>
  <c r="DZ228" i="12"/>
  <c r="DZ239" i="12"/>
  <c r="DZ329" i="12"/>
  <c r="DZ338" i="12"/>
  <c r="DZ331" i="12" s="1"/>
  <c r="EZ202" i="12"/>
  <c r="EZ217" i="12"/>
  <c r="EZ249" i="12"/>
  <c r="EZ240" i="12"/>
  <c r="EZ265" i="12"/>
  <c r="EZ315" i="12"/>
  <c r="EZ273" i="12"/>
  <c r="EZ255" i="12"/>
  <c r="EZ197" i="12"/>
  <c r="EZ257" i="12"/>
  <c r="EZ305" i="12"/>
  <c r="EZ320" i="12"/>
  <c r="EZ321" i="12"/>
  <c r="EZ191" i="12"/>
  <c r="EZ180" i="12"/>
  <c r="EZ222" i="12"/>
  <c r="EZ251" i="12"/>
  <c r="EZ270" i="12"/>
  <c r="K95" i="13"/>
  <c r="AJ29" i="13" s="1"/>
  <c r="DA278" i="12"/>
  <c r="DA295" i="12"/>
  <c r="DA190" i="12"/>
  <c r="DA230" i="12"/>
  <c r="DA284" i="12"/>
  <c r="DA215" i="12"/>
  <c r="DA289" i="12"/>
  <c r="DA315" i="12"/>
  <c r="DA229" i="12"/>
  <c r="DA254" i="12"/>
  <c r="DA313" i="12"/>
  <c r="DA282" i="12"/>
  <c r="DA218" i="12"/>
  <c r="DA205" i="12"/>
  <c r="DA225" i="12"/>
  <c r="DA283" i="12"/>
  <c r="DA211" i="12"/>
  <c r="DA329" i="12"/>
  <c r="DA169" i="12"/>
  <c r="DA252" i="12"/>
  <c r="V301" i="12"/>
  <c r="V285" i="12"/>
  <c r="V223" i="12"/>
  <c r="V197" i="12"/>
  <c r="AC278" i="12"/>
  <c r="AC233" i="12"/>
  <c r="AC215" i="12"/>
  <c r="AC284" i="12"/>
  <c r="AC250" i="12"/>
  <c r="AC307" i="12"/>
  <c r="AC220" i="12"/>
  <c r="AC304" i="12"/>
  <c r="AC191" i="12"/>
  <c r="AC171" i="12"/>
  <c r="M48" i="3" s="1"/>
  <c r="J22" i="14" s="1"/>
  <c r="AC256" i="12"/>
  <c r="AC260" i="12"/>
  <c r="AC239" i="12"/>
  <c r="AC186" i="12"/>
  <c r="AC268" i="12"/>
  <c r="AC325" i="12"/>
  <c r="AC257" i="12"/>
  <c r="AC309" i="12"/>
  <c r="AC216" i="12"/>
  <c r="AC192" i="12"/>
  <c r="AC226" i="12"/>
  <c r="AC323" i="12"/>
  <c r="AC227" i="12"/>
  <c r="AC265" i="12"/>
  <c r="AC247" i="12"/>
  <c r="AC177" i="12"/>
  <c r="AC253" i="12"/>
  <c r="AC237" i="12"/>
  <c r="AC184" i="12"/>
  <c r="AC204" i="12"/>
  <c r="DU301" i="12"/>
  <c r="DU253" i="12"/>
  <c r="DU319" i="12"/>
  <c r="DU290" i="12"/>
  <c r="DU217" i="12"/>
  <c r="DU291" i="12"/>
  <c r="DU328" i="12"/>
  <c r="DU326" i="12"/>
  <c r="DU276" i="12"/>
  <c r="DU177" i="12"/>
  <c r="DU220" i="12"/>
  <c r="DU218" i="12"/>
  <c r="DU321" i="12"/>
  <c r="DU180" i="12"/>
  <c r="DU324" i="12"/>
  <c r="DU229" i="12"/>
  <c r="DU294" i="12"/>
  <c r="DU327" i="12"/>
  <c r="DU237" i="12"/>
  <c r="DU221" i="12"/>
  <c r="DU246" i="12"/>
  <c r="DU285" i="12"/>
  <c r="DU302" i="12"/>
  <c r="DU211" i="12"/>
  <c r="DU202" i="12"/>
  <c r="DU192" i="12"/>
  <c r="DU329" i="12"/>
  <c r="DZ310" i="12"/>
  <c r="DZ251" i="12"/>
  <c r="DZ258" i="12"/>
  <c r="DZ204" i="12"/>
  <c r="DZ212" i="12"/>
  <c r="DZ188" i="12"/>
  <c r="DZ274" i="12"/>
  <c r="DZ299" i="12"/>
  <c r="DZ325" i="12"/>
  <c r="DZ214" i="12"/>
  <c r="DZ206" i="12"/>
  <c r="DZ308" i="12"/>
  <c r="DZ328" i="12"/>
  <c r="DZ289" i="12"/>
  <c r="DZ249" i="12"/>
  <c r="DZ218" i="12"/>
  <c r="I72" i="3"/>
  <c r="BP222" i="12"/>
  <c r="BP179" i="12"/>
  <c r="BP264" i="12"/>
  <c r="AC320" i="12"/>
  <c r="AC213" i="12"/>
  <c r="AC190" i="12"/>
  <c r="DU209" i="12"/>
  <c r="DU223" i="12"/>
  <c r="DU172" i="12"/>
  <c r="DZ208" i="12"/>
  <c r="DZ309" i="12"/>
  <c r="DZ283" i="12"/>
  <c r="DZ189" i="12"/>
  <c r="DZ229" i="12"/>
  <c r="AC178" i="12"/>
  <c r="DU169" i="12"/>
  <c r="DU261" i="12"/>
  <c r="EZ234" i="12"/>
  <c r="EZ210" i="12"/>
  <c r="EZ307" i="12"/>
  <c r="EZ287" i="12"/>
  <c r="EZ205" i="12"/>
  <c r="EZ263" i="12"/>
  <c r="EZ254" i="12"/>
  <c r="EZ228" i="12"/>
  <c r="EZ289" i="12"/>
  <c r="DZ284" i="12"/>
  <c r="DZ223" i="12"/>
  <c r="DZ264" i="12"/>
  <c r="BP262" i="12"/>
  <c r="DU231" i="12"/>
  <c r="DZ265" i="12"/>
  <c r="EZ262" i="12"/>
  <c r="EZ178" i="12"/>
  <c r="EZ237" i="12"/>
  <c r="AC297" i="12"/>
  <c r="DU269" i="12"/>
  <c r="EZ301" i="12"/>
  <c r="EZ247" i="12"/>
  <c r="EZ314" i="12"/>
  <c r="EZ207" i="12"/>
  <c r="EZ283" i="12"/>
  <c r="DZ237" i="12"/>
  <c r="DZ182" i="12"/>
  <c r="BP268" i="12"/>
  <c r="V258" i="12"/>
  <c r="DS294" i="12"/>
  <c r="BS236" i="12"/>
  <c r="AB190" i="12"/>
  <c r="AB309" i="12"/>
  <c r="EP308" i="12"/>
  <c r="EP232" i="12"/>
  <c r="EP319" i="12"/>
  <c r="K266" i="12"/>
  <c r="K209" i="12"/>
  <c r="AW196" i="12"/>
  <c r="AW294" i="12"/>
  <c r="AW208" i="12"/>
  <c r="AQ293" i="12"/>
  <c r="AQ247" i="12"/>
  <c r="CN185" i="12"/>
  <c r="CN214" i="12"/>
  <c r="CN243" i="12"/>
  <c r="BN324" i="12"/>
  <c r="BN283" i="12"/>
  <c r="BN220" i="12"/>
  <c r="BN249" i="12"/>
  <c r="BN229" i="12"/>
  <c r="EU225" i="12"/>
  <c r="EU206" i="12"/>
  <c r="EU211" i="12"/>
  <c r="EU263" i="12"/>
  <c r="EU264" i="12"/>
  <c r="DH268" i="12"/>
  <c r="DH273" i="12"/>
  <c r="DH279" i="12"/>
  <c r="DH236" i="12"/>
  <c r="DH195" i="12"/>
  <c r="CH228" i="12"/>
  <c r="CH324" i="12"/>
  <c r="CH317" i="12"/>
  <c r="CH200" i="12"/>
  <c r="CH172" i="12"/>
  <c r="R300" i="12"/>
  <c r="R223" i="12"/>
  <c r="R329" i="12"/>
  <c r="R276" i="12"/>
  <c r="R231" i="12"/>
  <c r="BY213" i="12"/>
  <c r="BY265" i="12"/>
  <c r="BY330" i="12"/>
  <c r="BY320" i="12"/>
  <c r="BY176" i="12"/>
  <c r="CY210" i="12"/>
  <c r="CY191" i="12"/>
  <c r="CY284" i="12"/>
  <c r="CY197" i="12"/>
  <c r="CY272" i="12"/>
  <c r="CS217" i="12"/>
  <c r="CS266" i="12"/>
  <c r="CS277" i="12"/>
  <c r="CS200" i="12"/>
  <c r="CS300" i="12"/>
  <c r="EG210" i="12"/>
  <c r="EG252" i="12"/>
  <c r="EG258" i="12"/>
  <c r="EG224" i="12"/>
  <c r="EG300" i="12"/>
  <c r="DX202" i="12"/>
  <c r="DX291" i="12"/>
  <c r="DX325" i="12"/>
  <c r="DX239" i="12"/>
  <c r="DX215" i="12"/>
  <c r="AV200" i="12"/>
  <c r="AV330" i="12"/>
  <c r="AV171" i="12"/>
  <c r="AV329" i="12"/>
  <c r="AV252" i="12"/>
  <c r="Q242" i="12"/>
  <c r="Q315" i="12"/>
  <c r="Q178" i="12"/>
  <c r="Q179" i="12"/>
  <c r="Q238" i="12"/>
  <c r="AM209" i="12"/>
  <c r="AM267" i="12"/>
  <c r="AM272" i="12"/>
  <c r="AM319" i="12"/>
  <c r="AM251" i="12"/>
  <c r="DD318" i="12"/>
  <c r="DD323" i="12"/>
  <c r="DD231" i="12"/>
  <c r="DD248" i="12"/>
  <c r="DN172" i="12"/>
  <c r="AR226" i="12"/>
  <c r="AR263" i="12"/>
  <c r="AR325" i="12"/>
  <c r="AR203" i="12"/>
  <c r="AR272" i="12"/>
  <c r="AL283" i="12"/>
  <c r="AL239" i="12"/>
  <c r="AL191" i="12"/>
  <c r="AL242" i="12"/>
  <c r="AL318" i="12"/>
  <c r="CD303" i="12"/>
  <c r="CD264" i="12"/>
  <c r="CD214" i="12"/>
  <c r="CD172" i="12"/>
  <c r="K65" i="13"/>
  <c r="ET289" i="12"/>
  <c r="ET228" i="12"/>
  <c r="ET251" i="12"/>
  <c r="ET220" i="12"/>
  <c r="FA253" i="12"/>
  <c r="FA244" i="12"/>
  <c r="FA214" i="12"/>
  <c r="FA323" i="12"/>
  <c r="FA211" i="12"/>
  <c r="L172" i="12"/>
  <c r="CI172" i="12"/>
  <c r="BL256" i="12"/>
  <c r="BL298" i="12"/>
  <c r="BL228" i="12"/>
  <c r="BL274" i="12"/>
  <c r="BL271" i="12"/>
  <c r="BG204" i="12"/>
  <c r="BG196" i="12"/>
  <c r="BG236" i="12"/>
  <c r="BG325" i="12"/>
  <c r="BG215" i="12"/>
  <c r="CX307" i="12"/>
  <c r="CX269" i="12"/>
  <c r="CX234" i="12"/>
  <c r="CX297" i="12"/>
  <c r="CX338" i="12"/>
  <c r="CX331" i="12" s="1"/>
  <c r="AG316" i="12"/>
  <c r="AG270" i="12"/>
  <c r="AG181" i="12"/>
  <c r="DC245" i="12"/>
  <c r="DC189" i="12"/>
  <c r="AM244" i="12"/>
  <c r="AM234" i="12"/>
  <c r="BS309" i="12"/>
  <c r="BS319" i="12"/>
  <c r="BS233" i="12"/>
  <c r="BS312" i="12"/>
  <c r="CY338" i="12"/>
  <c r="CY331" i="12" s="1"/>
  <c r="CY239" i="12"/>
  <c r="CY193" i="12"/>
  <c r="EU268" i="12"/>
  <c r="EU318" i="12"/>
  <c r="EU176" i="12"/>
  <c r="BY309" i="12"/>
  <c r="BY214" i="12"/>
  <c r="CS232" i="12"/>
  <c r="CS171" i="12"/>
  <c r="CS253" i="12"/>
  <c r="EW172" i="12"/>
  <c r="DX192" i="12"/>
  <c r="DX183" i="12"/>
  <c r="DH294" i="12"/>
  <c r="DH285" i="12"/>
  <c r="DH325" i="12"/>
  <c r="AV193" i="12"/>
  <c r="AV212" i="12"/>
  <c r="K289" i="12"/>
  <c r="K296" i="12"/>
  <c r="K285" i="12"/>
  <c r="CH223" i="12"/>
  <c r="CH277" i="12"/>
  <c r="V338" i="12"/>
  <c r="V331" i="12" s="1"/>
  <c r="V189" i="12"/>
  <c r="AQ300" i="12"/>
  <c r="AQ190" i="12"/>
  <c r="EG202" i="12"/>
  <c r="CN225" i="12"/>
  <c r="AB247" i="12"/>
  <c r="DO238" i="12"/>
  <c r="DO313" i="12"/>
  <c r="DO187" i="12"/>
  <c r="BC223" i="12"/>
  <c r="BC297" i="12"/>
  <c r="EJ315" i="12"/>
  <c r="EJ213" i="12"/>
  <c r="L255" i="12"/>
  <c r="L268" i="12"/>
  <c r="L198" i="12"/>
  <c r="L277" i="12"/>
  <c r="CI242" i="12"/>
  <c r="CI325" i="12"/>
  <c r="CI303" i="12"/>
  <c r="CI257" i="12"/>
  <c r="DJ268" i="12"/>
  <c r="DJ307" i="12"/>
  <c r="DJ193" i="12"/>
  <c r="DJ269" i="12"/>
  <c r="BC338" i="12"/>
  <c r="BC331" i="12" s="1"/>
  <c r="F286" i="12"/>
  <c r="Z192" i="12"/>
  <c r="AT269" i="12"/>
  <c r="DW303" i="12"/>
  <c r="DW319" i="12"/>
  <c r="DT172" i="12"/>
  <c r="BY209" i="12"/>
  <c r="BY283" i="12"/>
  <c r="DX216" i="12"/>
  <c r="DX244" i="12"/>
  <c r="AQ298" i="12"/>
  <c r="AQ288" i="12"/>
  <c r="AQ259" i="12"/>
  <c r="AQ290" i="12"/>
  <c r="AG324" i="12"/>
  <c r="AG183" i="12"/>
  <c r="G68" i="13"/>
  <c r="G70" i="13" s="1"/>
  <c r="DA307" i="12"/>
  <c r="DA319" i="12"/>
  <c r="DA308" i="12"/>
  <c r="DA187" i="12"/>
  <c r="Q259" i="12"/>
  <c r="Q306" i="12"/>
  <c r="Q299" i="12"/>
  <c r="Q257" i="12"/>
  <c r="Q192" i="12"/>
  <c r="Q338" i="12"/>
  <c r="Q331" i="12" s="1"/>
  <c r="DD204" i="12"/>
  <c r="DD269" i="12"/>
  <c r="DD275" i="12"/>
  <c r="DD225" i="12"/>
  <c r="DD181" i="12"/>
  <c r="DD296" i="12"/>
  <c r="EP177" i="12"/>
  <c r="EP280" i="12"/>
  <c r="EP303" i="12"/>
  <c r="EP322" i="12"/>
  <c r="R259" i="12"/>
  <c r="R280" i="12"/>
  <c r="R338" i="12"/>
  <c r="R331" i="12" s="1"/>
  <c r="CS309" i="12"/>
  <c r="CS252" i="12"/>
  <c r="DH210" i="12"/>
  <c r="DH171" i="12"/>
  <c r="O97" i="3" s="1"/>
  <c r="L42" i="14" s="1"/>
  <c r="ET277" i="12"/>
  <c r="ET282" i="12"/>
  <c r="DS241" i="12"/>
  <c r="DS223" i="12"/>
  <c r="DS177" i="12"/>
  <c r="DS311" i="12"/>
  <c r="DS242" i="12"/>
  <c r="DS227" i="12"/>
  <c r="DS222" i="12"/>
  <c r="DS272" i="12"/>
  <c r="DS319" i="12"/>
  <c r="DS229" i="12"/>
  <c r="AW250" i="12"/>
  <c r="AW231" i="12"/>
  <c r="AW218" i="12"/>
  <c r="AW297" i="12"/>
  <c r="AW205" i="12"/>
  <c r="AW242" i="12"/>
  <c r="AW199" i="12"/>
  <c r="AW235" i="12"/>
  <c r="EG292" i="12"/>
  <c r="EG232" i="12"/>
  <c r="EG282" i="12"/>
  <c r="EG287" i="12"/>
  <c r="CN183" i="12"/>
  <c r="CN321" i="12"/>
  <c r="CN205" i="12"/>
  <c r="CN279" i="12"/>
  <c r="CN236" i="12"/>
  <c r="CN272" i="12"/>
  <c r="CN280" i="12"/>
  <c r="CN308" i="12"/>
  <c r="CN228" i="12"/>
  <c r="AB296" i="12"/>
  <c r="AB271" i="12"/>
  <c r="AB207" i="12"/>
  <c r="AB229" i="12"/>
  <c r="AB231" i="12"/>
  <c r="C47" i="13"/>
  <c r="AB244" i="12"/>
  <c r="AB176" i="12"/>
  <c r="BN285" i="12"/>
  <c r="BN300" i="12"/>
  <c r="BN305" i="12"/>
  <c r="BN231" i="12"/>
  <c r="BN338" i="12"/>
  <c r="BN331" i="12" s="1"/>
  <c r="AU172" i="12"/>
  <c r="AH172" i="12"/>
  <c r="CU325" i="12"/>
  <c r="CU295" i="12"/>
  <c r="EW306" i="12"/>
  <c r="EW206" i="12"/>
  <c r="W239" i="12"/>
  <c r="W317" i="12"/>
  <c r="W262" i="12"/>
  <c r="W230" i="12"/>
  <c r="BC205" i="12"/>
  <c r="BC186" i="12"/>
  <c r="BC232" i="12"/>
  <c r="BC171" i="12"/>
  <c r="N23" i="3" s="1"/>
  <c r="K5" i="14" s="1"/>
  <c r="BC218" i="12"/>
  <c r="BC212" i="12"/>
  <c r="BC284" i="12"/>
  <c r="BC307" i="12"/>
  <c r="CI268" i="12"/>
  <c r="CI338" i="12"/>
  <c r="CI331" i="12" s="1"/>
  <c r="CI223" i="12"/>
  <c r="CI305" i="12"/>
  <c r="CI287" i="12"/>
  <c r="CI222" i="12"/>
  <c r="CI289" i="12"/>
  <c r="CI274" i="12"/>
  <c r="CI197" i="12"/>
  <c r="CI276" i="12"/>
  <c r="CI318" i="12"/>
  <c r="DO213" i="12"/>
  <c r="DO297" i="12"/>
  <c r="DO182" i="12"/>
  <c r="DO245" i="12"/>
  <c r="DO262" i="12"/>
  <c r="DO186" i="12"/>
  <c r="DO229" i="12"/>
  <c r="DO325" i="12"/>
  <c r="AS256" i="12"/>
  <c r="AS226" i="12"/>
  <c r="DY241" i="12"/>
  <c r="DY197" i="12"/>
  <c r="DY193" i="12"/>
  <c r="CR328" i="12"/>
  <c r="CR313" i="12"/>
  <c r="CR179" i="12"/>
  <c r="AF293" i="12"/>
  <c r="AF296" i="12"/>
  <c r="BR255" i="12"/>
  <c r="BR176" i="12"/>
  <c r="BR310" i="12"/>
  <c r="BR216" i="12"/>
  <c r="EI208" i="12"/>
  <c r="EI237" i="12"/>
  <c r="EI258" i="12"/>
  <c r="EI243" i="12"/>
  <c r="EI198" i="12"/>
  <c r="CW272" i="12"/>
  <c r="CW299" i="12"/>
  <c r="CW282" i="12"/>
  <c r="EJ229" i="12"/>
  <c r="EJ316" i="12"/>
  <c r="EJ237" i="12"/>
  <c r="EJ321" i="12"/>
  <c r="EJ268" i="12"/>
  <c r="EJ204" i="12"/>
  <c r="C23" i="13"/>
  <c r="L185" i="12"/>
  <c r="L312" i="12"/>
  <c r="L315" i="12"/>
  <c r="L279" i="12"/>
  <c r="L292" i="12"/>
  <c r="L254" i="12"/>
  <c r="L329" i="12"/>
  <c r="L237" i="12"/>
  <c r="L200" i="12"/>
  <c r="L266" i="12"/>
  <c r="DJ293" i="12"/>
  <c r="DJ224" i="12"/>
  <c r="DJ171" i="12"/>
  <c r="DJ304" i="12"/>
  <c r="DJ240" i="12"/>
  <c r="DJ219" i="12"/>
  <c r="DJ302" i="12"/>
  <c r="DJ292" i="12"/>
  <c r="DJ228" i="12"/>
  <c r="DJ185" i="12"/>
  <c r="DJ320" i="12"/>
  <c r="EE230" i="12"/>
  <c r="EE269" i="12"/>
  <c r="BI269" i="12"/>
  <c r="BI327" i="12"/>
  <c r="BI251" i="12"/>
  <c r="BI192" i="12"/>
  <c r="CO198" i="12"/>
  <c r="CO234" i="12"/>
  <c r="CO311" i="12"/>
  <c r="EN313" i="12"/>
  <c r="EN315" i="12"/>
  <c r="EN265" i="12"/>
  <c r="CB232" i="12"/>
  <c r="CB291" i="12"/>
  <c r="DN288" i="12"/>
  <c r="DN237" i="12"/>
  <c r="DN179" i="12"/>
  <c r="DN302" i="12"/>
  <c r="W211" i="12"/>
  <c r="W251" i="12"/>
  <c r="W284" i="12"/>
  <c r="BC291" i="12"/>
  <c r="BC188" i="12"/>
  <c r="BC226" i="12"/>
  <c r="BC330" i="12"/>
  <c r="DO184" i="12"/>
  <c r="DO243" i="12"/>
  <c r="DO253" i="12"/>
  <c r="DO240" i="12"/>
  <c r="AS282" i="12"/>
  <c r="BI211" i="12"/>
  <c r="BI176" i="12"/>
  <c r="BI238" i="12"/>
  <c r="DY198" i="12"/>
  <c r="CO210" i="12"/>
  <c r="CO226" i="12"/>
  <c r="CO188" i="12"/>
  <c r="EN210" i="12"/>
  <c r="CR252" i="12"/>
  <c r="AF210" i="12"/>
  <c r="BW178" i="12"/>
  <c r="CM257" i="12"/>
  <c r="EY190" i="12"/>
  <c r="CW222" i="12"/>
  <c r="DF201" i="12"/>
  <c r="ES271" i="12"/>
  <c r="EM265" i="12"/>
  <c r="EM300" i="12"/>
  <c r="AI214" i="12"/>
  <c r="AI200" i="12"/>
  <c r="BE269" i="12"/>
  <c r="BE169" i="12"/>
  <c r="DR240" i="12"/>
  <c r="DR286" i="12"/>
  <c r="CL200" i="12"/>
  <c r="CL265" i="12"/>
  <c r="W315" i="12"/>
  <c r="W316" i="12"/>
  <c r="W250" i="12"/>
  <c r="W320" i="12"/>
  <c r="W259" i="12"/>
  <c r="W176" i="12"/>
  <c r="W235" i="12"/>
  <c r="W199" i="12"/>
  <c r="BC300" i="12"/>
  <c r="BC216" i="12"/>
  <c r="BC201" i="12"/>
  <c r="BC238" i="12"/>
  <c r="BC270" i="12"/>
  <c r="BC259" i="12"/>
  <c r="BC244" i="12"/>
  <c r="BC292" i="12"/>
  <c r="BC204" i="12"/>
  <c r="BC207" i="12"/>
  <c r="BC269" i="12"/>
  <c r="DO312" i="12"/>
  <c r="DO206" i="12"/>
  <c r="DO271" i="12"/>
  <c r="DO280" i="12"/>
  <c r="DO188" i="12"/>
  <c r="DO267" i="12"/>
  <c r="DO302" i="12"/>
  <c r="DO200" i="12"/>
  <c r="DO296" i="12"/>
  <c r="DO306" i="12"/>
  <c r="DO218" i="12"/>
  <c r="AS182" i="12"/>
  <c r="AS240" i="12"/>
  <c r="AS244" i="12"/>
  <c r="AS197" i="12"/>
  <c r="AS187" i="12"/>
  <c r="DY251" i="12"/>
  <c r="DY245" i="12"/>
  <c r="DY329" i="12"/>
  <c r="DY268" i="12"/>
  <c r="DY286" i="12"/>
  <c r="CR212" i="12"/>
  <c r="CR203" i="12"/>
  <c r="CR176" i="12"/>
  <c r="CR248" i="12"/>
  <c r="EE217" i="12"/>
  <c r="EE182" i="12"/>
  <c r="EE184" i="12"/>
  <c r="BI196" i="12"/>
  <c r="BI287" i="12"/>
  <c r="BI302" i="12"/>
  <c r="BI204" i="12"/>
  <c r="BI262" i="12"/>
  <c r="BI223" i="12"/>
  <c r="BI216" i="12"/>
  <c r="BI252" i="12"/>
  <c r="BI218" i="12"/>
  <c r="CO300" i="12"/>
  <c r="CO171" i="12"/>
  <c r="CO274" i="12"/>
  <c r="CO317" i="12"/>
  <c r="CO212" i="12"/>
  <c r="CO314" i="12"/>
  <c r="CO249" i="12"/>
  <c r="EN226" i="12"/>
  <c r="EN186" i="12"/>
  <c r="EN188" i="12"/>
  <c r="CB328" i="12"/>
  <c r="CB260" i="12"/>
  <c r="DN276" i="12"/>
  <c r="DN178" i="12"/>
  <c r="DN229" i="12"/>
  <c r="BH261" i="12"/>
  <c r="BH241" i="12"/>
  <c r="BH208" i="12"/>
  <c r="BX172" i="12"/>
  <c r="AU257" i="12"/>
  <c r="AU179" i="12"/>
  <c r="CA322" i="12"/>
  <c r="CA240" i="12"/>
  <c r="DG288" i="12"/>
  <c r="DG202" i="12"/>
  <c r="EM273" i="12"/>
  <c r="EM259" i="12"/>
  <c r="AK318" i="12"/>
  <c r="AK243" i="12"/>
  <c r="BQ253" i="12"/>
  <c r="BQ182" i="12"/>
  <c r="BQ237" i="12"/>
  <c r="EF296" i="12"/>
  <c r="EF221" i="12"/>
  <c r="EF172" i="12"/>
  <c r="CZ177" i="12"/>
  <c r="CZ202" i="12"/>
  <c r="H330" i="12"/>
  <c r="H300" i="12"/>
  <c r="EL285" i="12"/>
  <c r="EL299" i="12"/>
  <c r="DF290" i="12"/>
  <c r="DF196" i="12"/>
  <c r="AT228" i="12"/>
  <c r="AT317" i="12"/>
  <c r="AT249" i="12"/>
  <c r="N176" i="12"/>
  <c r="N318" i="12"/>
  <c r="AI258" i="12"/>
  <c r="AI338" i="12"/>
  <c r="AI331" i="12" s="1"/>
  <c r="AI213" i="12"/>
  <c r="EA198" i="12"/>
  <c r="EA211" i="12"/>
  <c r="Y287" i="12"/>
  <c r="Y298" i="12"/>
  <c r="BE187" i="12"/>
  <c r="BE315" i="12"/>
  <c r="BE311" i="12"/>
  <c r="CK176" i="12"/>
  <c r="CK284" i="12"/>
  <c r="ES238" i="12"/>
  <c r="ES276" i="12"/>
  <c r="DL295" i="12"/>
  <c r="DL255" i="12"/>
  <c r="CF181" i="12"/>
  <c r="CF206" i="12"/>
  <c r="AZ232" i="12"/>
  <c r="AZ320" i="12"/>
  <c r="T185" i="12"/>
  <c r="T211" i="12"/>
  <c r="EX280" i="12"/>
  <c r="EX338" i="12"/>
  <c r="EX331" i="12" s="1"/>
  <c r="EX276" i="12"/>
  <c r="DR270" i="12"/>
  <c r="DR212" i="12"/>
  <c r="CL283" i="12"/>
  <c r="CL213" i="12"/>
  <c r="BF190" i="12"/>
  <c r="BF271" i="12"/>
  <c r="Z323" i="12"/>
  <c r="Z297" i="12"/>
  <c r="Z219" i="12"/>
  <c r="Z318" i="12"/>
  <c r="CR293" i="12"/>
  <c r="CR288" i="12"/>
  <c r="CR216" i="12"/>
  <c r="CR213" i="12"/>
  <c r="CR292" i="12"/>
  <c r="CR267" i="12"/>
  <c r="CR327" i="12"/>
  <c r="CR223" i="12"/>
  <c r="AF247" i="12"/>
  <c r="AF248" i="12"/>
  <c r="AF211" i="12"/>
  <c r="AF338" i="12"/>
  <c r="AF331" i="12" s="1"/>
  <c r="ED296" i="12"/>
  <c r="ED284" i="12"/>
  <c r="BR278" i="12"/>
  <c r="BR311" i="12"/>
  <c r="BR293" i="12"/>
  <c r="BR221" i="12"/>
  <c r="F301" i="12"/>
  <c r="F255" i="12"/>
  <c r="F328" i="12"/>
  <c r="BW251" i="12"/>
  <c r="BW239" i="12"/>
  <c r="BW325" i="12"/>
  <c r="EI287" i="12"/>
  <c r="EI256" i="12"/>
  <c r="EI300" i="12"/>
  <c r="EI317" i="12"/>
  <c r="CW280" i="12"/>
  <c r="CW303" i="12"/>
  <c r="EJ192" i="12"/>
  <c r="EJ296" i="12"/>
  <c r="CO180" i="12"/>
  <c r="CO297" i="12"/>
  <c r="CO318" i="12"/>
  <c r="EN254" i="12"/>
  <c r="EN284" i="12"/>
  <c r="EN169" i="12"/>
  <c r="EN225" i="12"/>
  <c r="EN202" i="12"/>
  <c r="EN227" i="12"/>
  <c r="EN298" i="12"/>
  <c r="EN297" i="12"/>
  <c r="CB268" i="12"/>
  <c r="CB286" i="12"/>
  <c r="CB303" i="12"/>
  <c r="CB233" i="12"/>
  <c r="CB266" i="12"/>
  <c r="P209" i="12"/>
  <c r="P277" i="12"/>
  <c r="DN261" i="12"/>
  <c r="DN197" i="12"/>
  <c r="DN328" i="12"/>
  <c r="DN263" i="12"/>
  <c r="DN234" i="12"/>
  <c r="DN177" i="12"/>
  <c r="AA218" i="12"/>
  <c r="AA237" i="12"/>
  <c r="CM241" i="12"/>
  <c r="CM279" i="12"/>
  <c r="CM212" i="12"/>
  <c r="EY240" i="12"/>
  <c r="EY242" i="12"/>
  <c r="DT280" i="12"/>
  <c r="DT212" i="12"/>
  <c r="CT199" i="12"/>
  <c r="CT207" i="12"/>
  <c r="DG294" i="12"/>
  <c r="DG205" i="12"/>
  <c r="CA273" i="12"/>
  <c r="AK219" i="12"/>
  <c r="DE231" i="12"/>
  <c r="AN242" i="12"/>
  <c r="N182" i="12"/>
  <c r="EL230" i="12"/>
  <c r="AI271" i="12"/>
  <c r="AE305" i="12"/>
  <c r="AE212" i="12"/>
  <c r="AE267" i="12"/>
  <c r="BK280" i="12"/>
  <c r="BK171" i="12"/>
  <c r="N55" i="3" s="1"/>
  <c r="K9" i="14" s="1"/>
  <c r="BK218" i="12"/>
  <c r="BK240" i="12"/>
  <c r="BK297" i="12"/>
  <c r="BK216" i="12"/>
  <c r="BK281" i="12"/>
  <c r="BK238" i="12"/>
  <c r="BK241" i="12"/>
  <c r="BK303" i="12"/>
  <c r="BK250" i="12"/>
  <c r="CQ285" i="12"/>
  <c r="CQ182" i="12"/>
  <c r="CQ213" i="12"/>
  <c r="CQ323" i="12"/>
  <c r="CQ273" i="12"/>
  <c r="CQ212" i="12"/>
  <c r="CQ307" i="12"/>
  <c r="CQ300" i="12"/>
  <c r="CQ216" i="12"/>
  <c r="CQ311" i="12"/>
  <c r="CQ281" i="12"/>
  <c r="CQ194" i="12"/>
  <c r="CQ260" i="12"/>
  <c r="CQ321" i="12"/>
  <c r="CQ206" i="12"/>
  <c r="CQ276" i="12"/>
  <c r="CQ253" i="12"/>
  <c r="CQ200" i="12"/>
  <c r="CQ294" i="12"/>
  <c r="CQ234" i="12"/>
  <c r="CQ172" i="12"/>
  <c r="DW311" i="12"/>
  <c r="DW200" i="12"/>
  <c r="DW209" i="12"/>
  <c r="DW270" i="12"/>
  <c r="DW287" i="12"/>
  <c r="DW294" i="12"/>
  <c r="DW268" i="12"/>
  <c r="DW291" i="12"/>
  <c r="DW316" i="12"/>
  <c r="DW178" i="12"/>
  <c r="DW230" i="12"/>
  <c r="DW271" i="12"/>
  <c r="DW307" i="12"/>
  <c r="DW243" i="12"/>
  <c r="DW255" i="12"/>
  <c r="DW196" i="12"/>
  <c r="DW228" i="12"/>
  <c r="DW179" i="12"/>
  <c r="DW242" i="12"/>
  <c r="DW288" i="12"/>
  <c r="U233" i="12"/>
  <c r="U326" i="12"/>
  <c r="U324" i="12"/>
  <c r="U204" i="12"/>
  <c r="U308" i="12"/>
  <c r="BA284" i="12"/>
  <c r="BA184" i="12"/>
  <c r="BA322" i="12"/>
  <c r="BA276" i="12"/>
  <c r="BA316" i="12"/>
  <c r="BA224" i="12"/>
  <c r="BA293" i="12"/>
  <c r="BA264" i="12"/>
  <c r="BA181" i="12"/>
  <c r="BA214" i="12"/>
  <c r="BA273" i="12"/>
  <c r="BA231" i="12"/>
  <c r="CC265" i="12"/>
  <c r="CC254" i="12"/>
  <c r="CC247" i="12"/>
  <c r="CC198" i="12"/>
  <c r="CC329" i="12"/>
  <c r="CC288" i="12"/>
  <c r="CC268" i="12"/>
  <c r="CC270" i="12"/>
  <c r="CC187" i="12"/>
  <c r="CC195" i="12"/>
  <c r="CC272" i="12"/>
  <c r="CC172" i="12"/>
  <c r="EO209" i="12"/>
  <c r="EO327" i="12"/>
  <c r="EO261" i="12"/>
  <c r="EO251" i="12"/>
  <c r="EO320" i="12"/>
  <c r="EO182" i="12"/>
  <c r="EO287" i="12"/>
  <c r="EO281" i="12"/>
  <c r="EO210" i="12"/>
  <c r="EO253" i="12"/>
  <c r="EK298" i="12"/>
  <c r="EK277" i="12"/>
  <c r="EK316" i="12"/>
  <c r="EK289" i="12"/>
  <c r="EK216" i="12"/>
  <c r="EK192" i="12"/>
  <c r="EK306" i="12"/>
  <c r="EK231" i="12"/>
  <c r="EK304" i="12"/>
  <c r="EK203" i="12"/>
  <c r="EK225" i="12"/>
  <c r="EK242" i="12"/>
  <c r="EV321" i="12"/>
  <c r="EV232" i="12"/>
  <c r="EV294" i="12"/>
  <c r="EV278" i="12"/>
  <c r="DP201" i="12"/>
  <c r="DP207" i="12"/>
  <c r="CJ258" i="12"/>
  <c r="CJ303" i="12"/>
  <c r="CJ240" i="12"/>
  <c r="CJ286" i="12"/>
  <c r="CJ327" i="12"/>
  <c r="CJ216" i="12"/>
  <c r="CJ244" i="12"/>
  <c r="CJ306" i="12"/>
  <c r="CJ225" i="12"/>
  <c r="CJ268" i="12"/>
  <c r="CJ289" i="12"/>
  <c r="CJ169" i="12"/>
  <c r="BD214" i="12"/>
  <c r="BD176" i="12"/>
  <c r="BD282" i="12"/>
  <c r="BD312" i="12"/>
  <c r="BD182" i="12"/>
  <c r="BD311" i="12"/>
  <c r="BD184" i="12"/>
  <c r="BD304" i="12"/>
  <c r="BD235" i="12"/>
  <c r="BD204" i="12"/>
  <c r="BD294" i="12"/>
  <c r="X271" i="12"/>
  <c r="C31" i="13"/>
  <c r="X338" i="12"/>
  <c r="X331" i="12" s="1"/>
  <c r="X269" i="12"/>
  <c r="X231" i="12"/>
  <c r="X309" i="12"/>
  <c r="X242" i="12"/>
  <c r="X182" i="12"/>
  <c r="X213" i="12"/>
  <c r="X237" i="12"/>
  <c r="X207" i="12"/>
  <c r="X282" i="12"/>
  <c r="X189" i="12"/>
  <c r="X218" i="12"/>
  <c r="X311" i="12"/>
  <c r="X206" i="12"/>
  <c r="X169" i="12"/>
  <c r="X299" i="12"/>
  <c r="X310" i="12"/>
  <c r="X277" i="12"/>
  <c r="X323" i="12"/>
  <c r="FB251" i="12"/>
  <c r="FB188" i="12"/>
  <c r="FB248" i="12"/>
  <c r="FB328" i="12"/>
  <c r="FB195" i="12"/>
  <c r="FB311" i="12"/>
  <c r="FB255" i="12"/>
  <c r="FB190" i="12"/>
  <c r="DV185" i="12"/>
  <c r="DV184" i="12"/>
  <c r="DV276" i="12"/>
  <c r="DV252" i="12"/>
  <c r="DV286" i="12"/>
  <c r="DV251" i="12"/>
  <c r="DV309" i="12"/>
  <c r="DV207" i="12"/>
  <c r="CP276" i="12"/>
  <c r="CP296" i="12"/>
  <c r="CP204" i="12"/>
  <c r="CP212" i="12"/>
  <c r="CP303" i="12"/>
  <c r="CP202" i="12"/>
  <c r="CP305" i="12"/>
  <c r="CP241" i="12"/>
  <c r="CP304" i="12"/>
  <c r="CP246" i="12"/>
  <c r="BJ243" i="12"/>
  <c r="BJ246" i="12"/>
  <c r="BJ212" i="12"/>
  <c r="BJ245" i="12"/>
  <c r="BJ307" i="12"/>
  <c r="BJ322" i="12"/>
  <c r="BJ186" i="12"/>
  <c r="BJ320" i="12"/>
  <c r="BJ302" i="12"/>
  <c r="BJ198" i="12"/>
  <c r="BJ284" i="12"/>
  <c r="BJ188" i="12"/>
  <c r="BJ310" i="12"/>
  <c r="BJ285" i="12"/>
  <c r="BJ223" i="12"/>
  <c r="BJ279" i="12"/>
  <c r="BJ328" i="12"/>
  <c r="BJ299" i="12"/>
  <c r="BJ230" i="12"/>
  <c r="BJ297" i="12"/>
  <c r="AD326" i="12"/>
  <c r="AD284" i="12"/>
  <c r="AD319" i="12"/>
  <c r="AD213" i="12"/>
  <c r="AD181" i="12"/>
  <c r="S328" i="12"/>
  <c r="S216" i="12"/>
  <c r="S294" i="12"/>
  <c r="S323" i="12"/>
  <c r="S205" i="12"/>
  <c r="AY200" i="12"/>
  <c r="AY273" i="12"/>
  <c r="AY212" i="12"/>
  <c r="AY237" i="12"/>
  <c r="AY195" i="12"/>
  <c r="AY220" i="12"/>
  <c r="AY305" i="12"/>
  <c r="AY298" i="12"/>
  <c r="AY225" i="12"/>
  <c r="AY256" i="12"/>
  <c r="AY321" i="12"/>
  <c r="AY176" i="12"/>
  <c r="AY198" i="12"/>
  <c r="CE308" i="12"/>
  <c r="CE195" i="12"/>
  <c r="CE276" i="12"/>
  <c r="CE298" i="12"/>
  <c r="CE198" i="12"/>
  <c r="DK330" i="12"/>
  <c r="DK182" i="12"/>
  <c r="DK253" i="12"/>
  <c r="DK278" i="12"/>
  <c r="DK282" i="12"/>
  <c r="DK189" i="12"/>
  <c r="EQ194" i="12"/>
  <c r="EQ320" i="12"/>
  <c r="EQ312" i="12"/>
  <c r="EQ232" i="12"/>
  <c r="EQ202" i="12"/>
  <c r="AO338" i="12"/>
  <c r="AO331" i="12" s="1"/>
  <c r="AO293" i="12"/>
  <c r="AO216" i="12"/>
  <c r="AO239" i="12"/>
  <c r="AO227" i="12"/>
  <c r="AO228" i="12"/>
  <c r="AO282" i="12"/>
  <c r="AO317" i="12"/>
  <c r="AO210" i="12"/>
  <c r="AO287" i="12"/>
  <c r="AO207" i="12"/>
  <c r="AO169" i="12"/>
  <c r="AO237" i="12"/>
  <c r="AO246" i="12"/>
  <c r="AO183" i="12"/>
  <c r="AO299" i="12"/>
  <c r="AO308" i="12"/>
  <c r="AO316" i="12"/>
  <c r="AO211" i="12"/>
  <c r="BU169" i="12"/>
  <c r="BU229" i="12"/>
  <c r="BU234" i="12"/>
  <c r="BU263" i="12"/>
  <c r="BU265" i="12"/>
  <c r="BU287" i="12"/>
  <c r="BU203" i="12"/>
  <c r="BU230" i="12"/>
  <c r="BU328" i="12"/>
  <c r="DQ224" i="12"/>
  <c r="DQ208" i="12"/>
  <c r="DQ221" i="12"/>
  <c r="DQ243" i="12"/>
  <c r="DQ182" i="12"/>
  <c r="DQ306" i="12"/>
  <c r="DQ272" i="12"/>
  <c r="DQ259" i="12"/>
  <c r="DQ301" i="12"/>
  <c r="DQ209" i="12"/>
  <c r="DQ282" i="12"/>
  <c r="DQ184" i="12"/>
  <c r="DQ248" i="12"/>
  <c r="DQ199" i="12"/>
  <c r="DQ178" i="12"/>
  <c r="DQ180" i="12"/>
  <c r="DQ245" i="12"/>
  <c r="DQ256" i="12"/>
  <c r="DM227" i="12"/>
  <c r="DM253" i="12"/>
  <c r="DM208" i="12"/>
  <c r="DM210" i="12"/>
  <c r="DM314" i="12"/>
  <c r="DM189" i="12"/>
  <c r="DM228" i="12"/>
  <c r="DM242" i="12"/>
  <c r="DM285" i="12"/>
  <c r="DM198" i="12"/>
  <c r="DM226" i="12"/>
  <c r="DM183" i="12"/>
  <c r="DM230" i="12"/>
  <c r="DM325" i="12"/>
  <c r="DM245" i="12"/>
  <c r="DM171" i="12"/>
  <c r="DM257" i="12"/>
  <c r="DM222" i="12"/>
  <c r="DM239" i="12"/>
  <c r="DM178" i="12"/>
  <c r="I15" i="13"/>
  <c r="AG24" i="13" s="1"/>
  <c r="I193" i="12"/>
  <c r="I192" i="12"/>
  <c r="I231" i="12"/>
  <c r="I201" i="12"/>
  <c r="I242" i="12"/>
  <c r="EB290" i="12"/>
  <c r="EB272" i="12"/>
  <c r="EB305" i="12"/>
  <c r="EB177" i="12"/>
  <c r="EB319" i="12"/>
  <c r="EB172" i="12"/>
  <c r="CV293" i="12"/>
  <c r="CV180" i="12"/>
  <c r="CV222" i="12"/>
  <c r="CV320" i="12"/>
  <c r="CV261" i="12"/>
  <c r="G57" i="13"/>
  <c r="AJ312" i="12"/>
  <c r="AJ237" i="12"/>
  <c r="AJ287" i="12"/>
  <c r="AJ272" i="12"/>
  <c r="AJ316" i="12"/>
  <c r="AJ305" i="12"/>
  <c r="AJ279" i="12"/>
  <c r="AJ297" i="12"/>
  <c r="AJ288" i="12"/>
  <c r="AJ315" i="12"/>
  <c r="O180" i="12"/>
  <c r="O259" i="12"/>
  <c r="O272" i="12"/>
  <c r="O177" i="12"/>
  <c r="O295" i="12"/>
  <c r="O243" i="12"/>
  <c r="O321" i="12"/>
  <c r="O316" i="12"/>
  <c r="O326" i="12"/>
  <c r="O314" i="12"/>
  <c r="O189" i="12"/>
  <c r="O319" i="12"/>
  <c r="O290" i="12"/>
  <c r="O213" i="12"/>
  <c r="O203" i="12"/>
  <c r="O241" i="12"/>
  <c r="O300" i="12"/>
  <c r="O282" i="12"/>
  <c r="EH264" i="12"/>
  <c r="EH213" i="12"/>
  <c r="EH260" i="12"/>
  <c r="EH272" i="12"/>
  <c r="EH212" i="12"/>
  <c r="EH283" i="12"/>
  <c r="EH238" i="12"/>
  <c r="EH225" i="12"/>
  <c r="EH257" i="12"/>
  <c r="EH299" i="12"/>
  <c r="EH178" i="12"/>
  <c r="EH206" i="12"/>
  <c r="EH262" i="12"/>
  <c r="EH192" i="12"/>
  <c r="EH255" i="12"/>
  <c r="EH322" i="12"/>
  <c r="EH215" i="12"/>
  <c r="EH181" i="12"/>
  <c r="DB221" i="12"/>
  <c r="DB213" i="12"/>
  <c r="DB258" i="12"/>
  <c r="DB200" i="12"/>
  <c r="DB236" i="12"/>
  <c r="DB289" i="12"/>
  <c r="DB310" i="12"/>
  <c r="DB293" i="12"/>
  <c r="DB219" i="12"/>
  <c r="DB283" i="12"/>
  <c r="BV276" i="12"/>
  <c r="BV305" i="12"/>
  <c r="BV218" i="12"/>
  <c r="BV282" i="12"/>
  <c r="BV207" i="12"/>
  <c r="BV279" i="12"/>
  <c r="BV271" i="12"/>
  <c r="BV320" i="12"/>
  <c r="BV330" i="12"/>
  <c r="BV285" i="12"/>
  <c r="BV189" i="12"/>
  <c r="BV318" i="12"/>
  <c r="BV199" i="12"/>
  <c r="BV272" i="12"/>
  <c r="BV239" i="12"/>
  <c r="BV172" i="12"/>
  <c r="BV268" i="12"/>
  <c r="AP171" i="12"/>
  <c r="M89" i="3" s="1"/>
  <c r="J41" i="14" s="1"/>
  <c r="AP212" i="12"/>
  <c r="AP198" i="12"/>
  <c r="AP226" i="12"/>
  <c r="AP220" i="12"/>
  <c r="C89" i="13"/>
  <c r="AP294" i="12"/>
  <c r="AP267" i="12"/>
  <c r="AP317" i="12"/>
  <c r="AP316" i="12"/>
  <c r="AP324" i="12"/>
  <c r="AP229" i="12"/>
  <c r="AP251" i="12"/>
  <c r="AP236" i="12"/>
  <c r="AP321" i="12"/>
  <c r="AP271" i="12"/>
  <c r="AP258" i="12"/>
  <c r="AP232" i="12"/>
  <c r="AP262" i="12"/>
  <c r="J245" i="12"/>
  <c r="J305" i="12"/>
  <c r="J223" i="12"/>
  <c r="J169" i="12"/>
  <c r="J244" i="12"/>
  <c r="J185" i="12"/>
  <c r="J286" i="12"/>
  <c r="J272" i="12"/>
  <c r="J252" i="12"/>
  <c r="J232" i="12"/>
  <c r="J278" i="12"/>
  <c r="J236" i="12"/>
  <c r="J202" i="12"/>
  <c r="J201" i="12"/>
  <c r="J234" i="12"/>
  <c r="J253" i="12"/>
  <c r="J324" i="12"/>
  <c r="J291" i="12"/>
  <c r="C17" i="13"/>
  <c r="AG6" i="13" s="1"/>
  <c r="AG37" i="13" s="1"/>
  <c r="AH67" i="13" s="1"/>
  <c r="AM270" i="12"/>
  <c r="AM237" i="12"/>
  <c r="AM195" i="12"/>
  <c r="AM307" i="12"/>
  <c r="AM229" i="12"/>
  <c r="AM266" i="12"/>
  <c r="AM235" i="12"/>
  <c r="AM296" i="12"/>
  <c r="AM326" i="12"/>
  <c r="AM194" i="12"/>
  <c r="AM256" i="12"/>
  <c r="AM198" i="12"/>
  <c r="AM338" i="12"/>
  <c r="AM331" i="12" s="1"/>
  <c r="AM311" i="12"/>
  <c r="AM253" i="12"/>
  <c r="AM183" i="12"/>
  <c r="AM259" i="12"/>
  <c r="AM232" i="12"/>
  <c r="AM231" i="12"/>
  <c r="AM213" i="12"/>
  <c r="AM290" i="12"/>
  <c r="AM289" i="12"/>
  <c r="AM186" i="12"/>
  <c r="AM278" i="12"/>
  <c r="AM300" i="12"/>
  <c r="AM226" i="12"/>
  <c r="AM281" i="12"/>
  <c r="AM199" i="12"/>
  <c r="AM315" i="12"/>
  <c r="AM260" i="12"/>
  <c r="AM223" i="12"/>
  <c r="AM205" i="12"/>
  <c r="AM258" i="12"/>
  <c r="AM285" i="12"/>
  <c r="AM177" i="12"/>
  <c r="AM323" i="12"/>
  <c r="AM264" i="12"/>
  <c r="AM295" i="12"/>
  <c r="AM245" i="12"/>
  <c r="AM179" i="12"/>
  <c r="AM321" i="12"/>
  <c r="AM206" i="12"/>
  <c r="AM215" i="12"/>
  <c r="AM204" i="12"/>
  <c r="AM330" i="12"/>
  <c r="AM313" i="12"/>
  <c r="AM202" i="12"/>
  <c r="AM262" i="12"/>
  <c r="AM292" i="12"/>
  <c r="AM287" i="12"/>
  <c r="AM241" i="12"/>
  <c r="AM181" i="12"/>
  <c r="AM187" i="12"/>
  <c r="BS268" i="12"/>
  <c r="BS171" i="12"/>
  <c r="N47" i="3" s="1"/>
  <c r="K8" i="14" s="1"/>
  <c r="BS302" i="12"/>
  <c r="BS219" i="12"/>
  <c r="BS287" i="12"/>
  <c r="BS232" i="12"/>
  <c r="BS310" i="12"/>
  <c r="BS227" i="12"/>
  <c r="BS180" i="12"/>
  <c r="BS291" i="12"/>
  <c r="BS211" i="12"/>
  <c r="BS324" i="12"/>
  <c r="BS255" i="12"/>
  <c r="BS316" i="12"/>
  <c r="BS301" i="12"/>
  <c r="BS197" i="12"/>
  <c r="BS328" i="12"/>
  <c r="BS222" i="12"/>
  <c r="BS315" i="12"/>
  <c r="BS256" i="12"/>
  <c r="BS177" i="12"/>
  <c r="BS329" i="12"/>
  <c r="BS203" i="12"/>
  <c r="BS330" i="12"/>
  <c r="BS229" i="12"/>
  <c r="BS311" i="12"/>
  <c r="BS273" i="12"/>
  <c r="BS185" i="12"/>
  <c r="BS241" i="12"/>
  <c r="BS200" i="12"/>
  <c r="BS278" i="12"/>
  <c r="BS235" i="12"/>
  <c r="BS250" i="12"/>
  <c r="BS254" i="12"/>
  <c r="BS201" i="12"/>
  <c r="BS292" i="12"/>
  <c r="BS247" i="12"/>
  <c r="BS327" i="12"/>
  <c r="BS277" i="12"/>
  <c r="BS187" i="12"/>
  <c r="BS296" i="12"/>
  <c r="BS214" i="12"/>
  <c r="BS176" i="12"/>
  <c r="BS231" i="12"/>
  <c r="BS215" i="12"/>
  <c r="BS192" i="12"/>
  <c r="BS293" i="12"/>
  <c r="BS318" i="12"/>
  <c r="BS304" i="12"/>
  <c r="BS178" i="12"/>
  <c r="BS189" i="12"/>
  <c r="BS251" i="12"/>
  <c r="BS265" i="12"/>
  <c r="BS323" i="12"/>
  <c r="BS267" i="12"/>
  <c r="BS172" i="12"/>
  <c r="BS202" i="12"/>
  <c r="BS213" i="12"/>
  <c r="BS269" i="12"/>
  <c r="BS286" i="12"/>
  <c r="BS272" i="12"/>
  <c r="BS295" i="12"/>
  <c r="BS198" i="12"/>
  <c r="BS248" i="12"/>
  <c r="BS298" i="12"/>
  <c r="BS181" i="12"/>
  <c r="BS230" i="12"/>
  <c r="BS258" i="12"/>
  <c r="BS183" i="12"/>
  <c r="BS209" i="12"/>
  <c r="BS266" i="12"/>
  <c r="BS169" i="12"/>
  <c r="BS228" i="12"/>
  <c r="CY217" i="12"/>
  <c r="CY213" i="12"/>
  <c r="CY250" i="12"/>
  <c r="CY221" i="12"/>
  <c r="CY283" i="12"/>
  <c r="CY327" i="12"/>
  <c r="CY201" i="12"/>
  <c r="CY324" i="12"/>
  <c r="CY276" i="12"/>
  <c r="CY309" i="12"/>
  <c r="CY318" i="12"/>
  <c r="CY188" i="12"/>
  <c r="CY183" i="12"/>
  <c r="CY233" i="12"/>
  <c r="CY319" i="12"/>
  <c r="CY306" i="12"/>
  <c r="CY230" i="12"/>
  <c r="CY172" i="12"/>
  <c r="CY241" i="12"/>
  <c r="CY190" i="12"/>
  <c r="CY303" i="12"/>
  <c r="CY264" i="12"/>
  <c r="CY182" i="12"/>
  <c r="CY293" i="12"/>
  <c r="CY205" i="12"/>
  <c r="CY282" i="12"/>
  <c r="CY228" i="12"/>
  <c r="CY299" i="12"/>
  <c r="CY308" i="12"/>
  <c r="CY304" i="12"/>
  <c r="CY236" i="12"/>
  <c r="CY194" i="12"/>
  <c r="CY289" i="12"/>
  <c r="CY204" i="12"/>
  <c r="CY294" i="12"/>
  <c r="CY244" i="12"/>
  <c r="CY169" i="12"/>
  <c r="CY320" i="12"/>
  <c r="CY203" i="12"/>
  <c r="CY253" i="12"/>
  <c r="CY225" i="12"/>
  <c r="CY260" i="12"/>
  <c r="CY251" i="12"/>
  <c r="CY179" i="12"/>
  <c r="CY328" i="12"/>
  <c r="CY207" i="12"/>
  <c r="CY266" i="12"/>
  <c r="CY238" i="12"/>
  <c r="CY323" i="12"/>
  <c r="CY288" i="12"/>
  <c r="CY199" i="12"/>
  <c r="CY317" i="12"/>
  <c r="CY226" i="12"/>
  <c r="CY176" i="12"/>
  <c r="CY321" i="12"/>
  <c r="EU315" i="12"/>
  <c r="EU189" i="12"/>
  <c r="EU328" i="12"/>
  <c r="EU258" i="12"/>
  <c r="EU198" i="12"/>
  <c r="EU242" i="12"/>
  <c r="EU227" i="12"/>
  <c r="EU276" i="12"/>
  <c r="EU238" i="12"/>
  <c r="EU305" i="12"/>
  <c r="EU299" i="12"/>
  <c r="EU338" i="12"/>
  <c r="EU331" i="12" s="1"/>
  <c r="EU209" i="12"/>
  <c r="EU247" i="12"/>
  <c r="EU309" i="12"/>
  <c r="EU311" i="12"/>
  <c r="EU274" i="12"/>
  <c r="EU187" i="12"/>
  <c r="EU317" i="12"/>
  <c r="EU282" i="12"/>
  <c r="EU195" i="12"/>
  <c r="EU308" i="12"/>
  <c r="EU210" i="12"/>
  <c r="EU329" i="12"/>
  <c r="EU226" i="12"/>
  <c r="EU302" i="12"/>
  <c r="EU265" i="12"/>
  <c r="EU182" i="12"/>
  <c r="EU233" i="12"/>
  <c r="EU197" i="12"/>
  <c r="EU232" i="12"/>
  <c r="EU218" i="12"/>
  <c r="EU230" i="12"/>
  <c r="EU207" i="12"/>
  <c r="EU262" i="12"/>
  <c r="EU221" i="12"/>
  <c r="EU320" i="12"/>
  <c r="EU303" i="12"/>
  <c r="EU267" i="12"/>
  <c r="EU184" i="12"/>
  <c r="EU241" i="12"/>
  <c r="EU220" i="12"/>
  <c r="EU290" i="12"/>
  <c r="EU256" i="12"/>
  <c r="EU316" i="12"/>
  <c r="EU279" i="12"/>
  <c r="EU194" i="12"/>
  <c r="EU179" i="12"/>
  <c r="EU222" i="12"/>
  <c r="EU257" i="12"/>
  <c r="EU223" i="12"/>
  <c r="EU278" i="12"/>
  <c r="EU216" i="12"/>
  <c r="EU171" i="12"/>
  <c r="BY228" i="12"/>
  <c r="BY248" i="12"/>
  <c r="BY260" i="12"/>
  <c r="BY312" i="12"/>
  <c r="BY194" i="12"/>
  <c r="BY230" i="12"/>
  <c r="BY323" i="12"/>
  <c r="BY179" i="12"/>
  <c r="BY301" i="12"/>
  <c r="BY314" i="12"/>
  <c r="BY258" i="12"/>
  <c r="BY288" i="12"/>
  <c r="BY202" i="12"/>
  <c r="BY255" i="12"/>
  <c r="BY291" i="12"/>
  <c r="BY182" i="12"/>
  <c r="E73" i="3"/>
  <c r="BY272" i="12"/>
  <c r="BY274" i="12"/>
  <c r="BY246" i="12"/>
  <c r="BY193" i="12"/>
  <c r="BY224" i="12"/>
  <c r="BY279" i="12"/>
  <c r="BY218" i="12"/>
  <c r="BY318" i="12"/>
  <c r="BY277" i="12"/>
  <c r="BY177" i="12"/>
  <c r="BY285" i="12"/>
  <c r="BY286" i="12"/>
  <c r="BY326" i="12"/>
  <c r="BY254" i="12"/>
  <c r="BY280" i="12"/>
  <c r="BY232" i="12"/>
  <c r="BY239" i="12"/>
  <c r="BY303" i="12"/>
  <c r="BY200" i="12"/>
  <c r="BY217" i="12"/>
  <c r="BY253" i="12"/>
  <c r="BY294" i="12"/>
  <c r="BY234" i="12"/>
  <c r="BY266" i="12"/>
  <c r="BY262" i="12"/>
  <c r="BY191" i="12"/>
  <c r="BY284" i="12"/>
  <c r="BY227" i="12"/>
  <c r="BY329" i="12"/>
  <c r="BY302" i="12"/>
  <c r="BY219" i="12"/>
  <c r="BY225" i="12"/>
  <c r="BY293" i="12"/>
  <c r="BY204" i="12"/>
  <c r="BY251" i="12"/>
  <c r="BY235" i="12"/>
  <c r="BY189" i="12"/>
  <c r="BY216" i="12"/>
  <c r="BY171" i="12"/>
  <c r="N73" i="3" s="1"/>
  <c r="K39" i="14" s="1"/>
  <c r="DX294" i="12"/>
  <c r="DX200" i="12"/>
  <c r="DX213" i="12"/>
  <c r="DX214" i="12"/>
  <c r="DX328" i="12"/>
  <c r="DX313" i="12"/>
  <c r="DX176" i="12"/>
  <c r="DX320" i="12"/>
  <c r="DX189" i="12"/>
  <c r="DX234" i="12"/>
  <c r="DX226" i="12"/>
  <c r="DX179" i="12"/>
  <c r="DX212" i="12"/>
  <c r="DX181" i="12"/>
  <c r="DX218" i="12"/>
  <c r="DX230" i="12"/>
  <c r="DX319" i="12"/>
  <c r="DX241" i="12"/>
  <c r="DX316" i="12"/>
  <c r="DX253" i="12"/>
  <c r="DX205" i="12"/>
  <c r="DX251" i="12"/>
  <c r="DX271" i="12"/>
  <c r="DX327" i="12"/>
  <c r="DX295" i="12"/>
  <c r="DX201" i="12"/>
  <c r="DX286" i="12"/>
  <c r="DX229" i="12"/>
  <c r="DX284" i="12"/>
  <c r="DX238" i="12"/>
  <c r="DX171" i="12"/>
  <c r="DX274" i="12"/>
  <c r="DX307" i="12"/>
  <c r="DX299" i="12"/>
  <c r="DX204" i="12"/>
  <c r="DX217" i="12"/>
  <c r="DX326" i="12"/>
  <c r="DX219" i="12"/>
  <c r="DX312" i="12"/>
  <c r="DX309" i="12"/>
  <c r="DX184" i="12"/>
  <c r="DX237" i="12"/>
  <c r="DX317" i="12"/>
  <c r="DX302" i="12"/>
  <c r="DX288" i="12"/>
  <c r="DX178" i="12"/>
  <c r="DX270" i="12"/>
  <c r="DX197" i="12"/>
  <c r="DX315" i="12"/>
  <c r="DX240" i="12"/>
  <c r="DX338" i="12"/>
  <c r="DX331" i="12" s="1"/>
  <c r="BL293" i="12"/>
  <c r="BL210" i="12"/>
  <c r="BL254" i="12"/>
  <c r="BL178" i="12"/>
  <c r="BL219" i="12"/>
  <c r="BL231" i="12"/>
  <c r="BL309" i="12"/>
  <c r="BL311" i="12"/>
  <c r="BL255" i="12"/>
  <c r="BL205" i="12"/>
  <c r="BL269" i="12"/>
  <c r="BL244" i="12"/>
  <c r="BL221" i="12"/>
  <c r="BL314" i="12"/>
  <c r="BL300" i="12"/>
  <c r="BL197" i="12"/>
  <c r="BL198" i="12"/>
  <c r="BL248" i="12"/>
  <c r="E56" i="13"/>
  <c r="BL302" i="12"/>
  <c r="BL237" i="12"/>
  <c r="BL225" i="12"/>
  <c r="BL235" i="12"/>
  <c r="BL203" i="12"/>
  <c r="BL249" i="12"/>
  <c r="BL253" i="12"/>
  <c r="BL303" i="12"/>
  <c r="BL322" i="12"/>
  <c r="BL216" i="12"/>
  <c r="BL222" i="12"/>
  <c r="BL182" i="12"/>
  <c r="BL243" i="12"/>
  <c r="BL305" i="12"/>
  <c r="BL319" i="12"/>
  <c r="BL306" i="12"/>
  <c r="BL196" i="12"/>
  <c r="BL192" i="12"/>
  <c r="BL245" i="12"/>
  <c r="BL270" i="12"/>
  <c r="BL304" i="12"/>
  <c r="BL229" i="12"/>
  <c r="BL323" i="12"/>
  <c r="BL180" i="12"/>
  <c r="BL226" i="12"/>
  <c r="BL276" i="12"/>
  <c r="BL239" i="12"/>
  <c r="BL258" i="12"/>
  <c r="BL185" i="12"/>
  <c r="BL247" i="12"/>
  <c r="BL321" i="12"/>
  <c r="BL250" i="12"/>
  <c r="BL284" i="12"/>
  <c r="BL223" i="12"/>
  <c r="BL195" i="12"/>
  <c r="BL329" i="12"/>
  <c r="BL265" i="12"/>
  <c r="BL324" i="12"/>
  <c r="K238" i="12"/>
  <c r="K185" i="12"/>
  <c r="K314" i="12"/>
  <c r="K277" i="12"/>
  <c r="K223" i="12"/>
  <c r="K242" i="12"/>
  <c r="K318" i="12"/>
  <c r="K284" i="12"/>
  <c r="K326" i="12"/>
  <c r="K225" i="12"/>
  <c r="K221" i="12"/>
  <c r="K190" i="12"/>
  <c r="K330" i="12"/>
  <c r="K236" i="12"/>
  <c r="K200" i="12"/>
  <c r="K233" i="12"/>
  <c r="K235" i="12"/>
  <c r="K325" i="12"/>
  <c r="K291" i="12"/>
  <c r="K315" i="12"/>
  <c r="K259" i="12"/>
  <c r="K263" i="12"/>
  <c r="K301" i="12"/>
  <c r="K207" i="12"/>
  <c r="K230" i="12"/>
  <c r="K268" i="12"/>
  <c r="K322" i="12"/>
  <c r="K213" i="12"/>
  <c r="K305" i="12"/>
  <c r="K317" i="12"/>
  <c r="K254" i="12"/>
  <c r="K272" i="12"/>
  <c r="K169" i="12"/>
  <c r="K264" i="12"/>
  <c r="K265" i="12"/>
  <c r="K299" i="12"/>
  <c r="K210" i="12"/>
  <c r="K292" i="12"/>
  <c r="K199" i="12"/>
  <c r="K303" i="12"/>
  <c r="K220" i="12"/>
  <c r="K218" i="12"/>
  <c r="K196" i="12"/>
  <c r="K262" i="12"/>
  <c r="K255" i="12"/>
  <c r="K226" i="12"/>
  <c r="K171" i="12"/>
  <c r="K191" i="12"/>
  <c r="K327" i="12"/>
  <c r="K241" i="12"/>
  <c r="K260" i="12"/>
  <c r="K178" i="12"/>
  <c r="K261" i="12"/>
  <c r="K298" i="12"/>
  <c r="K283" i="12"/>
  <c r="K211" i="12"/>
  <c r="K244" i="12"/>
  <c r="C20" i="13"/>
  <c r="C21" i="13" s="1"/>
  <c r="K279" i="12"/>
  <c r="K282" i="12"/>
  <c r="K310" i="12"/>
  <c r="K320" i="12"/>
  <c r="K216" i="12"/>
  <c r="K312" i="12"/>
  <c r="K253" i="12"/>
  <c r="K198" i="12"/>
  <c r="K290" i="12"/>
  <c r="K195" i="12"/>
  <c r="CX308" i="12"/>
  <c r="CX236" i="12"/>
  <c r="CX182" i="12"/>
  <c r="CX251" i="12"/>
  <c r="CX293" i="12"/>
  <c r="CX193" i="12"/>
  <c r="CX329" i="12"/>
  <c r="CX254" i="12"/>
  <c r="CX206" i="12"/>
  <c r="CX187" i="12"/>
  <c r="CX260" i="12"/>
  <c r="CX225" i="12"/>
  <c r="CX239" i="12"/>
  <c r="CX197" i="12"/>
  <c r="CX176" i="12"/>
  <c r="CX295" i="12"/>
  <c r="CX200" i="12"/>
  <c r="CX270" i="12"/>
  <c r="CX276" i="12"/>
  <c r="G63" i="13"/>
  <c r="CX238" i="12"/>
  <c r="CX313" i="12"/>
  <c r="CX237" i="12"/>
  <c r="CX229" i="12"/>
  <c r="CX190" i="12"/>
  <c r="CX287" i="12"/>
  <c r="CX326" i="12"/>
  <c r="CX271" i="12"/>
  <c r="CX183" i="12"/>
  <c r="CX198" i="12"/>
  <c r="CX311" i="12"/>
  <c r="CX235" i="12"/>
  <c r="CX230" i="12"/>
  <c r="CX177" i="12"/>
  <c r="CX240" i="12"/>
  <c r="CX290" i="12"/>
  <c r="CX291" i="12"/>
  <c r="CX241" i="12"/>
  <c r="CX195" i="12"/>
  <c r="CX319" i="12"/>
  <c r="CX314" i="12"/>
  <c r="CX184" i="12"/>
  <c r="CX194" i="12"/>
  <c r="CX201" i="12"/>
  <c r="CX324" i="12"/>
  <c r="CX226" i="12"/>
  <c r="CX207" i="12"/>
  <c r="CX169" i="12"/>
  <c r="CX242" i="12"/>
  <c r="CX305" i="12"/>
  <c r="CX277" i="12"/>
  <c r="CX232" i="12"/>
  <c r="CX217" i="12"/>
  <c r="CX272" i="12"/>
  <c r="CX189" i="12"/>
  <c r="CX218" i="12"/>
  <c r="AL269" i="12"/>
  <c r="AL232" i="12"/>
  <c r="AL304" i="12"/>
  <c r="AL237" i="12"/>
  <c r="AL244" i="12"/>
  <c r="AL220" i="12"/>
  <c r="AL301" i="12"/>
  <c r="AL271" i="12"/>
  <c r="AL300" i="12"/>
  <c r="AL211" i="12"/>
  <c r="AL208" i="12"/>
  <c r="AL190" i="12"/>
  <c r="AL223" i="12"/>
  <c r="AL251" i="12"/>
  <c r="AL322" i="12"/>
  <c r="AL324" i="12"/>
  <c r="AL204" i="12"/>
  <c r="AL196" i="12"/>
  <c r="AL198" i="12"/>
  <c r="AL200" i="12"/>
  <c r="AL176" i="12"/>
  <c r="AL299" i="12"/>
  <c r="AL323" i="12"/>
  <c r="AL186" i="12"/>
  <c r="AL224" i="12"/>
  <c r="AL250" i="12"/>
  <c r="AL245" i="12"/>
  <c r="AL171" i="12"/>
  <c r="M81" i="3" s="1"/>
  <c r="J40" i="14" s="1"/>
  <c r="AL184" i="12"/>
  <c r="AL256" i="12"/>
  <c r="AL181" i="12"/>
  <c r="AL276" i="12"/>
  <c r="AL201" i="12"/>
  <c r="AL263" i="12"/>
  <c r="AL267" i="12"/>
  <c r="AL330" i="12"/>
  <c r="AL297" i="12"/>
  <c r="AL305" i="12"/>
  <c r="AL207" i="12"/>
  <c r="AL195" i="12"/>
  <c r="AL227" i="12"/>
  <c r="AL246" i="12"/>
  <c r="AL314" i="12"/>
  <c r="AL296" i="12"/>
  <c r="AL194" i="12"/>
  <c r="AL215" i="12"/>
  <c r="AL219" i="12"/>
  <c r="AL282" i="12"/>
  <c r="AL287" i="12"/>
  <c r="AL249" i="12"/>
  <c r="AL307" i="12"/>
  <c r="AL289" i="12"/>
  <c r="AL285" i="12"/>
  <c r="AL329" i="12"/>
  <c r="AL258" i="12"/>
  <c r="AL248" i="12"/>
  <c r="AL252" i="12"/>
  <c r="AL180" i="12"/>
  <c r="AL240" i="12"/>
  <c r="AL185" i="12"/>
  <c r="AL260" i="12"/>
  <c r="AL306" i="12"/>
  <c r="AL231" i="12"/>
  <c r="AL235" i="12"/>
  <c r="AL261" i="12"/>
  <c r="AL233" i="12"/>
  <c r="AL241" i="12"/>
  <c r="C92" i="13"/>
  <c r="C94" i="13" s="1"/>
  <c r="AQ197" i="12"/>
  <c r="AQ302" i="12"/>
  <c r="AQ327" i="12"/>
  <c r="AQ256" i="12"/>
  <c r="AQ318" i="12"/>
  <c r="AQ243" i="12"/>
  <c r="AQ186" i="12"/>
  <c r="AQ248" i="12"/>
  <c r="AQ250" i="12"/>
  <c r="AQ309" i="12"/>
  <c r="AQ202" i="12"/>
  <c r="AQ270" i="12"/>
  <c r="AQ292" i="12"/>
  <c r="AQ266" i="12"/>
  <c r="AQ285" i="12"/>
  <c r="AQ198" i="12"/>
  <c r="AQ299" i="12"/>
  <c r="AQ252" i="12"/>
  <c r="AQ271" i="12"/>
  <c r="AQ229" i="12"/>
  <c r="AQ322" i="12"/>
  <c r="AQ273" i="12"/>
  <c r="AQ191" i="12"/>
  <c r="AQ230" i="12"/>
  <c r="AQ272" i="12"/>
  <c r="AQ279" i="12"/>
  <c r="AQ233" i="12"/>
  <c r="AQ177" i="12"/>
  <c r="AQ227" i="12"/>
  <c r="AQ216" i="12"/>
  <c r="AQ200" i="12"/>
  <c r="AQ324" i="12"/>
  <c r="AQ282" i="12"/>
  <c r="AQ317" i="12"/>
  <c r="AQ206" i="12"/>
  <c r="AQ254" i="12"/>
  <c r="AQ284" i="12"/>
  <c r="AQ226" i="12"/>
  <c r="AQ261" i="12"/>
  <c r="AQ188" i="12"/>
  <c r="AQ283" i="12"/>
  <c r="AQ244" i="12"/>
  <c r="AQ287" i="12"/>
  <c r="AQ237" i="12"/>
  <c r="AQ179" i="12"/>
  <c r="AQ329" i="12"/>
  <c r="AQ193" i="12"/>
  <c r="AQ187" i="12"/>
  <c r="AQ245" i="12"/>
  <c r="AQ251" i="12"/>
  <c r="AQ255" i="12"/>
  <c r="AQ212" i="12"/>
  <c r="AQ203" i="12"/>
  <c r="AQ296" i="12"/>
  <c r="AQ201" i="12"/>
  <c r="AQ208" i="12"/>
  <c r="AQ286" i="12"/>
  <c r="AQ213" i="12"/>
  <c r="AQ194" i="12"/>
  <c r="AQ260" i="12"/>
  <c r="AQ253" i="12"/>
  <c r="AQ235" i="12"/>
  <c r="AQ204" i="12"/>
  <c r="AQ306" i="12"/>
  <c r="AQ192" i="12"/>
  <c r="AQ304" i="12"/>
  <c r="AQ265" i="12"/>
  <c r="AQ176" i="12"/>
  <c r="DC273" i="12"/>
  <c r="DC251" i="12"/>
  <c r="DC195" i="12"/>
  <c r="DC262" i="12"/>
  <c r="DC227" i="12"/>
  <c r="DC183" i="12"/>
  <c r="DC269" i="12"/>
  <c r="DC264" i="12"/>
  <c r="DC191" i="12"/>
  <c r="DC258" i="12"/>
  <c r="DC289" i="12"/>
  <c r="DC327" i="12"/>
  <c r="DC196" i="12"/>
  <c r="DC281" i="12"/>
  <c r="DC295" i="12"/>
  <c r="G72" i="13"/>
  <c r="AI20" i="13" s="1"/>
  <c r="DC300" i="12"/>
  <c r="DC228" i="12"/>
  <c r="DC338" i="12"/>
  <c r="DC331" i="12" s="1"/>
  <c r="DC188" i="12"/>
  <c r="DC270" i="12"/>
  <c r="DC212" i="12"/>
  <c r="DC221" i="12"/>
  <c r="DC248" i="12"/>
  <c r="DC199" i="12"/>
  <c r="DC284" i="12"/>
  <c r="DC283" i="12"/>
  <c r="DC238" i="12"/>
  <c r="DC266" i="12"/>
  <c r="DC214" i="12"/>
  <c r="DC253" i="12"/>
  <c r="DC226" i="12"/>
  <c r="DC254" i="12"/>
  <c r="DC314" i="12"/>
  <c r="DC209" i="12"/>
  <c r="DC301" i="12"/>
  <c r="DC190" i="12"/>
  <c r="DC271" i="12"/>
  <c r="DC244" i="12"/>
  <c r="DC256" i="12"/>
  <c r="DC302" i="12"/>
  <c r="DC220" i="12"/>
  <c r="DC321" i="12"/>
  <c r="DC184" i="12"/>
  <c r="DC267" i="12"/>
  <c r="DC326" i="12"/>
  <c r="DC204" i="12"/>
  <c r="DC241" i="12"/>
  <c r="DC192" i="12"/>
  <c r="DC308" i="12"/>
  <c r="DC247" i="12"/>
  <c r="DC242" i="12"/>
  <c r="DC282" i="12"/>
  <c r="DC193" i="12"/>
  <c r="DC250" i="12"/>
  <c r="DC323" i="12"/>
  <c r="DC257" i="12"/>
  <c r="DC306" i="12"/>
  <c r="AG275" i="12"/>
  <c r="AG206" i="12"/>
  <c r="AG264" i="12"/>
  <c r="AG258" i="12"/>
  <c r="AG273" i="12"/>
  <c r="AG244" i="12"/>
  <c r="AG297" i="12"/>
  <c r="AG194" i="12"/>
  <c r="AG224" i="12"/>
  <c r="AG243" i="12"/>
  <c r="AG210" i="12"/>
  <c r="AG187" i="12"/>
  <c r="AG229" i="12"/>
  <c r="AG281" i="12"/>
  <c r="AG185" i="12"/>
  <c r="AG195" i="12"/>
  <c r="AG197" i="12"/>
  <c r="AG176" i="12"/>
  <c r="AG223" i="12"/>
  <c r="AG222" i="12"/>
  <c r="AG290" i="12"/>
  <c r="AG221" i="12"/>
  <c r="AG263" i="12"/>
  <c r="AG240" i="12"/>
  <c r="AG299" i="12"/>
  <c r="AG196" i="12"/>
  <c r="AG298" i="12"/>
  <c r="AG286" i="12"/>
  <c r="AG328" i="12"/>
  <c r="AG274" i="12"/>
  <c r="AG228" i="12"/>
  <c r="AG283" i="12"/>
  <c r="AG186" i="12"/>
  <c r="AG282" i="12"/>
  <c r="AG254" i="12"/>
  <c r="AG284" i="12"/>
  <c r="AG238" i="12"/>
  <c r="AG188" i="12"/>
  <c r="AG314" i="12"/>
  <c r="AG301" i="12"/>
  <c r="AG308" i="12"/>
  <c r="AG302" i="12"/>
  <c r="AG208" i="12"/>
  <c r="AG257" i="12"/>
  <c r="AG179" i="12"/>
  <c r="AG255" i="12"/>
  <c r="AG327" i="12"/>
  <c r="AG232" i="12"/>
  <c r="AG289" i="12"/>
  <c r="AG192" i="12"/>
  <c r="AG287" i="12"/>
  <c r="AG265" i="12"/>
  <c r="AG288" i="12"/>
  <c r="AG249" i="12"/>
  <c r="AG227" i="12"/>
  <c r="AG230" i="12"/>
  <c r="AG279" i="12"/>
  <c r="DA244" i="12"/>
  <c r="DA314" i="12"/>
  <c r="DA181" i="12"/>
  <c r="DA213" i="12"/>
  <c r="DA202" i="12"/>
  <c r="DA179" i="12"/>
  <c r="DA246" i="12"/>
  <c r="DA270" i="12"/>
  <c r="DA188" i="12"/>
  <c r="DA300" i="12"/>
  <c r="DA320" i="12"/>
  <c r="DA245" i="12"/>
  <c r="DA242" i="12"/>
  <c r="DA193" i="12"/>
  <c r="DA216" i="12"/>
  <c r="DA271" i="12"/>
  <c r="DA180" i="12"/>
  <c r="DA272" i="12"/>
  <c r="DA318" i="12"/>
  <c r="DA191" i="12"/>
  <c r="DA197" i="12"/>
  <c r="DA258" i="12"/>
  <c r="DA304" i="12"/>
  <c r="DA199" i="12"/>
  <c r="DA249" i="12"/>
  <c r="DA303" i="12"/>
  <c r="DA224" i="12"/>
  <c r="DA210" i="12"/>
  <c r="DA326" i="12"/>
  <c r="DA293" i="12"/>
  <c r="DA299" i="12"/>
  <c r="DA237" i="12"/>
  <c r="DA292" i="12"/>
  <c r="DA240" i="12"/>
  <c r="DA338" i="12"/>
  <c r="DA331" i="12" s="1"/>
  <c r="DA208" i="12"/>
  <c r="DA235" i="12"/>
  <c r="DA327" i="12"/>
  <c r="DA302" i="12"/>
  <c r="DA222" i="12"/>
  <c r="DA305" i="12"/>
  <c r="DA291" i="12"/>
  <c r="DA231" i="12"/>
  <c r="DA233" i="12"/>
  <c r="DA186" i="12"/>
  <c r="DA280" i="12"/>
  <c r="DA297" i="12"/>
  <c r="DA223" i="12"/>
  <c r="DA183" i="12"/>
  <c r="DA219" i="12"/>
  <c r="DA286" i="12"/>
  <c r="DA264" i="12"/>
  <c r="DA259" i="12"/>
  <c r="DA212" i="12"/>
  <c r="DA228" i="12"/>
  <c r="DA306" i="12"/>
  <c r="DA288" i="12"/>
  <c r="DA325" i="12"/>
  <c r="DA266" i="12"/>
  <c r="Q283" i="12"/>
  <c r="Q316" i="12"/>
  <c r="Q226" i="12"/>
  <c r="Q206" i="12"/>
  <c r="Q209" i="12"/>
  <c r="Q265" i="12"/>
  <c r="Q250" i="12"/>
  <c r="Q322" i="12"/>
  <c r="Q221" i="12"/>
  <c r="Q184" i="12"/>
  <c r="Q185" i="12"/>
  <c r="Q225" i="12"/>
  <c r="C40" i="3"/>
  <c r="Q254" i="12"/>
  <c r="Q188" i="12"/>
  <c r="Q263" i="12"/>
  <c r="Q289" i="12"/>
  <c r="Q169" i="12"/>
  <c r="Q267" i="12"/>
  <c r="Q264" i="12"/>
  <c r="Q187" i="12"/>
  <c r="Q233" i="12"/>
  <c r="Q234" i="12"/>
  <c r="Q177" i="12"/>
  <c r="Q224" i="12"/>
  <c r="Q230" i="12"/>
  <c r="Q308" i="12"/>
  <c r="Q215" i="12"/>
  <c r="Q261" i="12"/>
  <c r="Q314" i="12"/>
  <c r="Q275" i="12"/>
  <c r="Q268" i="12"/>
  <c r="Q247" i="12"/>
  <c r="Q285" i="12"/>
  <c r="Q182" i="12"/>
  <c r="Q291" i="12"/>
  <c r="Q260" i="12"/>
  <c r="Q180" i="12"/>
  <c r="Q213" i="12"/>
  <c r="Q202" i="12"/>
  <c r="Q329" i="12"/>
  <c r="Q220" i="12"/>
  <c r="Q222" i="12"/>
  <c r="Q320" i="12"/>
  <c r="Q199" i="12"/>
  <c r="Q273" i="12"/>
  <c r="Q282" i="12"/>
  <c r="Q235" i="12"/>
  <c r="Q248" i="12"/>
  <c r="Q310" i="12"/>
  <c r="Q217" i="12"/>
  <c r="Q176" i="12"/>
  <c r="Q218" i="12"/>
  <c r="Q318" i="12"/>
  <c r="Q258" i="12"/>
  <c r="Q208" i="12"/>
  <c r="Q292" i="12"/>
  <c r="Q245" i="12"/>
  <c r="Q243" i="12"/>
  <c r="Q286" i="12"/>
  <c r="Q327" i="12"/>
  <c r="Q183" i="12"/>
  <c r="Q280" i="12"/>
  <c r="Q249" i="12"/>
  <c r="Q190" i="12"/>
  <c r="Q271" i="12"/>
  <c r="Q274" i="12"/>
  <c r="Q232" i="12"/>
  <c r="Q201" i="12"/>
  <c r="Q301" i="12"/>
  <c r="Q323" i="12"/>
  <c r="Q223" i="12"/>
  <c r="Q330" i="12"/>
  <c r="Q236" i="12"/>
  <c r="DD217" i="12"/>
  <c r="DD282" i="12"/>
  <c r="DD271" i="12"/>
  <c r="DD234" i="12"/>
  <c r="DD191" i="12"/>
  <c r="DD301" i="12"/>
  <c r="DD287" i="12"/>
  <c r="DD197" i="12"/>
  <c r="DD221" i="12"/>
  <c r="DD316" i="12"/>
  <c r="DD253" i="12"/>
  <c r="DD286" i="12"/>
  <c r="DD246" i="12"/>
  <c r="DD177" i="12"/>
  <c r="DD268" i="12"/>
  <c r="DD229" i="12"/>
  <c r="DD281" i="12"/>
  <c r="DD193" i="12"/>
  <c r="DD273" i="12"/>
  <c r="DD283" i="12"/>
  <c r="DD188" i="12"/>
  <c r="DD284" i="12"/>
  <c r="DD219" i="12"/>
  <c r="DD302" i="12"/>
  <c r="DD247" i="12"/>
  <c r="DD178" i="12"/>
  <c r="DD256" i="12"/>
  <c r="DD207" i="12"/>
  <c r="DD328" i="12"/>
  <c r="DD209" i="12"/>
  <c r="DD255" i="12"/>
  <c r="DD260" i="12"/>
  <c r="DD211" i="12"/>
  <c r="DD293" i="12"/>
  <c r="DD237" i="12"/>
  <c r="DD262" i="12"/>
  <c r="DD295" i="12"/>
  <c r="DD184" i="12"/>
  <c r="DD279" i="12"/>
  <c r="DD203" i="12"/>
  <c r="DD321" i="12"/>
  <c r="DD238" i="12"/>
  <c r="DD314" i="12"/>
  <c r="DD261" i="12"/>
  <c r="DD214" i="12"/>
  <c r="DD324" i="12"/>
  <c r="DD222" i="12"/>
  <c r="DD277" i="12"/>
  <c r="DD251" i="12"/>
  <c r="DD186" i="12"/>
  <c r="DD338" i="12"/>
  <c r="DD331" i="12" s="1"/>
  <c r="DD278" i="12"/>
  <c r="DD233" i="12"/>
  <c r="G73" i="3"/>
  <c r="DD199" i="12"/>
  <c r="DD239" i="12"/>
  <c r="DD327" i="12"/>
  <c r="DD312" i="12"/>
  <c r="DD258" i="12"/>
  <c r="DD187" i="12"/>
  <c r="DD206" i="12"/>
  <c r="DD240" i="12"/>
  <c r="DD299" i="12"/>
  <c r="DD305" i="12"/>
  <c r="DD266" i="12"/>
  <c r="DD202" i="12"/>
  <c r="DD198" i="12"/>
  <c r="DD243" i="12"/>
  <c r="DD267" i="12"/>
  <c r="DD309" i="12"/>
  <c r="DD326" i="12"/>
  <c r="DD201" i="12"/>
  <c r="DD213" i="12"/>
  <c r="DD171" i="12"/>
  <c r="O73" i="3" s="1"/>
  <c r="L39" i="14" s="1"/>
  <c r="DD257" i="12"/>
  <c r="DD242" i="12"/>
  <c r="AR230" i="12"/>
  <c r="AR266" i="12"/>
  <c r="AR241" i="12"/>
  <c r="AR298" i="12"/>
  <c r="AR299" i="12"/>
  <c r="AR329" i="12"/>
  <c r="AR287" i="12"/>
  <c r="AR250" i="12"/>
  <c r="AR265" i="12"/>
  <c r="AR221" i="12"/>
  <c r="AR171" i="12"/>
  <c r="M95" i="3" s="1"/>
  <c r="J14" i="14" s="1"/>
  <c r="AR235" i="12"/>
  <c r="AR254" i="12"/>
  <c r="AR311" i="12"/>
  <c r="AR186" i="12"/>
  <c r="AR270" i="12"/>
  <c r="AR292" i="12"/>
  <c r="AR195" i="12"/>
  <c r="AR213" i="12"/>
  <c r="AR268" i="12"/>
  <c r="AR279" i="12"/>
  <c r="AR198" i="12"/>
  <c r="AR322" i="12"/>
  <c r="AR179" i="12"/>
  <c r="AR258" i="12"/>
  <c r="AR280" i="12"/>
  <c r="AR338" i="12"/>
  <c r="AR331" i="12" s="1"/>
  <c r="AR181" i="12"/>
  <c r="AR286" i="12"/>
  <c r="AR194" i="12"/>
  <c r="AR296" i="12"/>
  <c r="AR214" i="12"/>
  <c r="AR188" i="12"/>
  <c r="AR281" i="12"/>
  <c r="AR261" i="12"/>
  <c r="AR328" i="12"/>
  <c r="AR244" i="12"/>
  <c r="AR184" i="12"/>
  <c r="AR288" i="12"/>
  <c r="AR289" i="12"/>
  <c r="AR199" i="12"/>
  <c r="AR293" i="12"/>
  <c r="AR223" i="12"/>
  <c r="AR212" i="12"/>
  <c r="AR182" i="12"/>
  <c r="AR260" i="12"/>
  <c r="AR294" i="12"/>
  <c r="AR304" i="12"/>
  <c r="AR220" i="12"/>
  <c r="AR239" i="12"/>
  <c r="AR196" i="12"/>
  <c r="AR326" i="12"/>
  <c r="AR222" i="12"/>
  <c r="AR274" i="12"/>
  <c r="AR264" i="12"/>
  <c r="AR267" i="12"/>
  <c r="AR183" i="12"/>
  <c r="AR256" i="12"/>
  <c r="AR318" i="12"/>
  <c r="AR307" i="12"/>
  <c r="AR229" i="12"/>
  <c r="AR180" i="12"/>
  <c r="AR312" i="12"/>
  <c r="AR233" i="12"/>
  <c r="AR228" i="12"/>
  <c r="EP212" i="12"/>
  <c r="EP309" i="12"/>
  <c r="EP189" i="12"/>
  <c r="EP252" i="12"/>
  <c r="EP288" i="12"/>
  <c r="EP269" i="12"/>
  <c r="EP274" i="12"/>
  <c r="EP193" i="12"/>
  <c r="EP261" i="12"/>
  <c r="EP278" i="12"/>
  <c r="EP192" i="12"/>
  <c r="EP327" i="12"/>
  <c r="EP293" i="12"/>
  <c r="EP281" i="12"/>
  <c r="EP324" i="12"/>
  <c r="EP246" i="12"/>
  <c r="EP202" i="12"/>
  <c r="EP205" i="12"/>
  <c r="EP236" i="12"/>
  <c r="EP266" i="12"/>
  <c r="EP204" i="12"/>
  <c r="EP268" i="12"/>
  <c r="EP194" i="12"/>
  <c r="EP216" i="12"/>
  <c r="EP243" i="12"/>
  <c r="EP272" i="12"/>
  <c r="EP183" i="12"/>
  <c r="EP304" i="12"/>
  <c r="EP198" i="12"/>
  <c r="EP247" i="12"/>
  <c r="EP285" i="12"/>
  <c r="EP227" i="12"/>
  <c r="EP253" i="12"/>
  <c r="EP294" i="12"/>
  <c r="EP263" i="12"/>
  <c r="EP307" i="12"/>
  <c r="EP171" i="12"/>
  <c r="Q57" i="3" s="1"/>
  <c r="N37" i="14" s="1"/>
  <c r="EP213" i="12"/>
  <c r="EP316" i="12"/>
  <c r="EP239" i="12"/>
  <c r="EP229" i="12"/>
  <c r="EP328" i="12"/>
  <c r="EP206" i="12"/>
  <c r="EP256" i="12"/>
  <c r="EP264" i="12"/>
  <c r="EP190" i="12"/>
  <c r="EP180" i="12"/>
  <c r="EP270" i="12"/>
  <c r="EP295" i="12"/>
  <c r="EP282" i="12"/>
  <c r="EP290" i="12"/>
  <c r="EP210" i="12"/>
  <c r="EP271" i="12"/>
  <c r="EP231" i="12"/>
  <c r="CD217" i="12"/>
  <c r="CD273" i="12"/>
  <c r="CD312" i="12"/>
  <c r="CD218" i="12"/>
  <c r="CD267" i="12"/>
  <c r="CD181" i="12"/>
  <c r="CD236" i="12"/>
  <c r="CD310" i="12"/>
  <c r="CD182" i="12"/>
  <c r="CD210" i="12"/>
  <c r="CD269" i="12"/>
  <c r="CD177" i="12"/>
  <c r="CD198" i="12"/>
  <c r="CD229" i="12"/>
  <c r="CD315" i="12"/>
  <c r="E84" i="13"/>
  <c r="E86" i="13" s="1"/>
  <c r="CD314" i="12"/>
  <c r="CD243" i="12"/>
  <c r="CD216" i="12"/>
  <c r="CD327" i="12"/>
  <c r="CD242" i="12"/>
  <c r="CD266" i="12"/>
  <c r="CD209" i="12"/>
  <c r="CD316" i="12"/>
  <c r="CD213" i="12"/>
  <c r="CD205" i="12"/>
  <c r="CD201" i="12"/>
  <c r="CD219" i="12"/>
  <c r="CD208" i="12"/>
  <c r="CD305" i="12"/>
  <c r="CD191" i="12"/>
  <c r="CD247" i="12"/>
  <c r="CD324" i="12"/>
  <c r="CD238" i="12"/>
  <c r="CD250" i="12"/>
  <c r="CD207" i="12"/>
  <c r="CD317" i="12"/>
  <c r="CD185" i="12"/>
  <c r="CD260" i="12"/>
  <c r="CD261" i="12"/>
  <c r="CD215" i="12"/>
  <c r="CD302" i="12"/>
  <c r="CD194" i="12"/>
  <c r="CD257" i="12"/>
  <c r="CD271" i="12"/>
  <c r="CD228" i="12"/>
  <c r="CD281" i="12"/>
  <c r="CD178" i="12"/>
  <c r="CD249" i="12"/>
  <c r="CD319" i="12"/>
  <c r="CD231" i="12"/>
  <c r="CD285" i="12"/>
  <c r="CD222" i="12"/>
  <c r="CD313" i="12"/>
  <c r="CD184" i="12"/>
  <c r="CD256" i="12"/>
  <c r="CD204" i="12"/>
  <c r="CD212" i="12"/>
  <c r="CD321" i="12"/>
  <c r="CD180" i="12"/>
  <c r="CD252" i="12"/>
  <c r="CD282" i="12"/>
  <c r="CD193" i="12"/>
  <c r="CD290" i="12"/>
  <c r="CD196" i="12"/>
  <c r="CD262" i="12"/>
  <c r="R228" i="12"/>
  <c r="R181" i="12"/>
  <c r="R249" i="12"/>
  <c r="R204" i="12"/>
  <c r="R208" i="12"/>
  <c r="R245" i="12"/>
  <c r="R283" i="12"/>
  <c r="R200" i="12"/>
  <c r="R193" i="12"/>
  <c r="R222" i="12"/>
  <c r="R288" i="12"/>
  <c r="C41" i="13"/>
  <c r="R299" i="12"/>
  <c r="R248" i="12"/>
  <c r="R262" i="12"/>
  <c r="R210" i="12"/>
  <c r="R325" i="12"/>
  <c r="R187" i="12"/>
  <c r="R287" i="12"/>
  <c r="R252" i="12"/>
  <c r="R270" i="12"/>
  <c r="R289" i="12"/>
  <c r="R298" i="12"/>
  <c r="R189" i="12"/>
  <c r="R291" i="12"/>
  <c r="R256" i="12"/>
  <c r="R214" i="12"/>
  <c r="R233" i="12"/>
  <c r="R261" i="12"/>
  <c r="R179" i="12"/>
  <c r="R295" i="12"/>
  <c r="R241" i="12"/>
  <c r="R323" i="12"/>
  <c r="R305" i="12"/>
  <c r="R225" i="12"/>
  <c r="R169" i="12"/>
  <c r="R224" i="12"/>
  <c r="R318" i="12"/>
  <c r="R177" i="12"/>
  <c r="R196" i="12"/>
  <c r="R326" i="12"/>
  <c r="R309" i="12"/>
  <c r="R319" i="12"/>
  <c r="R182" i="12"/>
  <c r="CS284" i="12"/>
  <c r="CS205" i="12"/>
  <c r="CS301" i="12"/>
  <c r="CS317" i="12"/>
  <c r="CS258" i="12"/>
  <c r="CS216" i="12"/>
  <c r="CS183" i="12"/>
  <c r="CS326" i="12"/>
  <c r="CS219" i="12"/>
  <c r="CS242" i="12"/>
  <c r="CS240" i="12"/>
  <c r="CS257" i="12"/>
  <c r="CS260" i="12"/>
  <c r="CS211" i="12"/>
  <c r="CS319" i="12"/>
  <c r="CS312" i="12"/>
  <c r="CS180" i="12"/>
  <c r="CS285" i="12"/>
  <c r="CS195" i="12"/>
  <c r="CS246" i="12"/>
  <c r="CS224" i="12"/>
  <c r="CS267" i="12"/>
  <c r="CS275" i="12"/>
  <c r="CS201" i="12"/>
  <c r="CS203" i="12"/>
  <c r="CS230" i="12"/>
  <c r="CS293" i="12"/>
  <c r="CS282" i="12"/>
  <c r="CS318" i="12"/>
  <c r="CS295" i="12"/>
  <c r="CS192" i="12"/>
  <c r="CS247" i="12"/>
  <c r="CS276" i="12"/>
  <c r="CS185" i="12"/>
  <c r="CS329" i="12"/>
  <c r="CS220" i="12"/>
  <c r="CS270" i="12"/>
  <c r="CS202" i="12"/>
  <c r="CS322" i="12"/>
  <c r="CS245" i="12"/>
  <c r="CS169" i="12"/>
  <c r="CS223" i="12"/>
  <c r="CS263" i="12"/>
  <c r="CS250" i="12"/>
  <c r="CS321" i="12"/>
  <c r="CS303" i="12"/>
  <c r="CS193" i="12"/>
  <c r="CS229" i="12"/>
  <c r="CS231" i="12"/>
  <c r="CS225" i="12"/>
  <c r="CS292" i="12"/>
  <c r="FA190" i="12"/>
  <c r="FA310" i="12"/>
  <c r="FA327" i="12"/>
  <c r="FA218" i="12"/>
  <c r="FA325" i="12"/>
  <c r="FA197" i="12"/>
  <c r="FA265" i="12"/>
  <c r="FA240" i="12"/>
  <c r="FA187" i="12"/>
  <c r="FA248" i="12"/>
  <c r="FA264" i="12"/>
  <c r="FA184" i="12"/>
  <c r="FA258" i="12"/>
  <c r="FA191" i="12"/>
  <c r="FA256" i="12"/>
  <c r="FA315" i="12"/>
  <c r="FA223" i="12"/>
  <c r="FA196" i="12"/>
  <c r="FA268" i="12"/>
  <c r="FA224" i="12"/>
  <c r="FA304" i="12"/>
  <c r="FA317" i="12"/>
  <c r="K96" i="13"/>
  <c r="AJ30" i="13" s="1"/>
  <c r="FA229" i="12"/>
  <c r="FA275" i="12"/>
  <c r="FA213" i="12"/>
  <c r="FA316" i="12"/>
  <c r="FA178" i="12"/>
  <c r="FA266" i="12"/>
  <c r="FA296" i="12"/>
  <c r="FA215" i="12"/>
  <c r="FA234" i="12"/>
  <c r="FA192" i="12"/>
  <c r="FA280" i="12"/>
  <c r="FA318" i="12"/>
  <c r="FA225" i="12"/>
  <c r="FA260" i="12"/>
  <c r="FA209" i="12"/>
  <c r="FA307" i="12"/>
  <c r="FA246" i="12"/>
  <c r="FA255" i="12"/>
  <c r="FA286" i="12"/>
  <c r="FA203" i="12"/>
  <c r="FA261" i="12"/>
  <c r="FA204" i="12"/>
  <c r="FA302" i="12"/>
  <c r="FA235" i="12"/>
  <c r="FA242" i="12"/>
  <c r="FA279" i="12"/>
  <c r="FA198" i="12"/>
  <c r="FA330" i="12"/>
  <c r="FA181" i="12"/>
  <c r="FA262" i="12"/>
  <c r="FA300" i="12"/>
  <c r="FA230" i="12"/>
  <c r="FA254" i="12"/>
  <c r="FA186" i="12"/>
  <c r="FA290" i="12"/>
  <c r="FA322" i="12"/>
  <c r="FA233" i="12"/>
  <c r="FA270" i="12"/>
  <c r="DH238" i="12"/>
  <c r="DH218" i="12"/>
  <c r="DH267" i="12"/>
  <c r="DH188" i="12"/>
  <c r="DH200" i="12"/>
  <c r="DH183" i="12"/>
  <c r="DH281" i="12"/>
  <c r="DH260" i="12"/>
  <c r="DH199" i="12"/>
  <c r="DH329" i="12"/>
  <c r="DH265" i="12"/>
  <c r="DH309" i="12"/>
  <c r="DH239" i="12"/>
  <c r="DH307" i="12"/>
  <c r="DH298" i="12"/>
  <c r="G97" i="3"/>
  <c r="DH215" i="12"/>
  <c r="DH235" i="12"/>
  <c r="DH303" i="12"/>
  <c r="DH300" i="12"/>
  <c r="DH258" i="12"/>
  <c r="DH311" i="12"/>
  <c r="DH201" i="12"/>
  <c r="DH292" i="12"/>
  <c r="DH229" i="12"/>
  <c r="DH305" i="12"/>
  <c r="DH262" i="12"/>
  <c r="DH193" i="12"/>
  <c r="DH202" i="12"/>
  <c r="DH243" i="12"/>
  <c r="DH313" i="12"/>
  <c r="DH227" i="12"/>
  <c r="DH259" i="12"/>
  <c r="DH315" i="12"/>
  <c r="DH204" i="12"/>
  <c r="DH319" i="12"/>
  <c r="DH316" i="12"/>
  <c r="DH321" i="12"/>
  <c r="DH330" i="12"/>
  <c r="DH203" i="12"/>
  <c r="DH288" i="12"/>
  <c r="DH216" i="12"/>
  <c r="DH255" i="12"/>
  <c r="DH226" i="12"/>
  <c r="DH169" i="12"/>
  <c r="DH221" i="12"/>
  <c r="DH186" i="12"/>
  <c r="DH189" i="12"/>
  <c r="DH220" i="12"/>
  <c r="DH248" i="12"/>
  <c r="DH222" i="12"/>
  <c r="DH263" i="12"/>
  <c r="DH249" i="12"/>
  <c r="DH180" i="12"/>
  <c r="DH338" i="12"/>
  <c r="DH331" i="12" s="1"/>
  <c r="AV253" i="12"/>
  <c r="AV192" i="12"/>
  <c r="AV216" i="12"/>
  <c r="AV268" i="12"/>
  <c r="AV315" i="12"/>
  <c r="AV254" i="12"/>
  <c r="AV301" i="12"/>
  <c r="AV234" i="12"/>
  <c r="AV184" i="12"/>
  <c r="AV313" i="12"/>
  <c r="AV298" i="12"/>
  <c r="AV246" i="12"/>
  <c r="AV266" i="12"/>
  <c r="AV279" i="12"/>
  <c r="AV243" i="12"/>
  <c r="AV322" i="12"/>
  <c r="AV286" i="12"/>
  <c r="AV190" i="12"/>
  <c r="AV293" i="12"/>
  <c r="AV191" i="12"/>
  <c r="AV239" i="12"/>
  <c r="AV240" i="12"/>
  <c r="AV221" i="12"/>
  <c r="AV305" i="12"/>
  <c r="AV258" i="12"/>
  <c r="AV238" i="12"/>
  <c r="AV182" i="12"/>
  <c r="AV207" i="12"/>
  <c r="AV203" i="12"/>
  <c r="AV206" i="12"/>
  <c r="AV288" i="12"/>
  <c r="AV290" i="12"/>
  <c r="AV278" i="12"/>
  <c r="AV180" i="12"/>
  <c r="AV276" i="12"/>
  <c r="AV225" i="12"/>
  <c r="AV197" i="12"/>
  <c r="AV209" i="12"/>
  <c r="AV302" i="12"/>
  <c r="AV265" i="12"/>
  <c r="AV186" i="12"/>
  <c r="AV292" i="12"/>
  <c r="AV241" i="12"/>
  <c r="AV247" i="12"/>
  <c r="AV213" i="12"/>
  <c r="AV306" i="12"/>
  <c r="AV316" i="12"/>
  <c r="AV323" i="12"/>
  <c r="AV249" i="12"/>
  <c r="AV176" i="12"/>
  <c r="AV223" i="12"/>
  <c r="AV177" i="12"/>
  <c r="ET291" i="12"/>
  <c r="ET329" i="12"/>
  <c r="ET255" i="12"/>
  <c r="ET241" i="12"/>
  <c r="ET216" i="12"/>
  <c r="ET258" i="12"/>
  <c r="ET239" i="12"/>
  <c r="ET207" i="12"/>
  <c r="ET181" i="12"/>
  <c r="ET300" i="12"/>
  <c r="ET236" i="12"/>
  <c r="ET223" i="12"/>
  <c r="ET263" i="12"/>
  <c r="ET309" i="12"/>
  <c r="ET287" i="12"/>
  <c r="ET280" i="12"/>
  <c r="ET321" i="12"/>
  <c r="ET215" i="12"/>
  <c r="ET278" i="12"/>
  <c r="ET213" i="12"/>
  <c r="ET209" i="12"/>
  <c r="ET249" i="12"/>
  <c r="ET191" i="12"/>
  <c r="ET242" i="12"/>
  <c r="ET226" i="12"/>
  <c r="ET176" i="12"/>
  <c r="ET266" i="12"/>
  <c r="ET318" i="12"/>
  <c r="ET171" i="12"/>
  <c r="Q65" i="3" s="1"/>
  <c r="N38" i="14" s="1"/>
  <c r="ET208" i="12"/>
  <c r="ET313" i="12"/>
  <c r="ET205" i="12"/>
  <c r="ET187" i="12"/>
  <c r="ET259" i="12"/>
  <c r="ET315" i="12"/>
  <c r="ET238" i="12"/>
  <c r="ET256" i="12"/>
  <c r="ET307" i="12"/>
  <c r="ET178" i="12"/>
  <c r="ET224" i="12"/>
  <c r="ET264" i="12"/>
  <c r="ET210" i="12"/>
  <c r="ET198" i="12"/>
  <c r="ET316" i="12"/>
  <c r="ET194" i="12"/>
  <c r="ET262" i="12"/>
  <c r="ET296" i="12"/>
  <c r="ET319" i="12"/>
  <c r="ET225" i="12"/>
  <c r="ET298" i="12"/>
  <c r="ET190" i="12"/>
  <c r="ET185" i="12"/>
  <c r="ET252" i="12"/>
  <c r="ET268" i="12"/>
  <c r="ET197" i="12"/>
  <c r="ET317" i="12"/>
  <c r="ET290" i="12"/>
  <c r="ET177" i="12"/>
  <c r="ET240" i="12"/>
  <c r="ET270" i="12"/>
  <c r="ET206" i="12"/>
  <c r="ET221" i="12"/>
  <c r="ET302" i="12"/>
  <c r="ET183" i="12"/>
  <c r="ET254" i="12"/>
  <c r="ET274" i="12"/>
  <c r="ET301" i="12"/>
  <c r="CH242" i="12"/>
  <c r="CH203" i="12"/>
  <c r="CH275" i="12"/>
  <c r="CH233" i="12"/>
  <c r="CH190" i="12"/>
  <c r="CH293" i="12"/>
  <c r="CH295" i="12"/>
  <c r="CH187" i="12"/>
  <c r="CH239" i="12"/>
  <c r="CH271" i="12"/>
  <c r="CH205" i="12"/>
  <c r="CH318" i="12"/>
  <c r="CH263" i="12"/>
  <c r="CH287" i="12"/>
  <c r="CH328" i="12"/>
  <c r="E92" i="13"/>
  <c r="E94" i="13" s="1"/>
  <c r="CH262" i="12"/>
  <c r="CH209" i="12"/>
  <c r="CH322" i="12"/>
  <c r="CH214" i="12"/>
  <c r="CH272" i="12"/>
  <c r="CH254" i="12"/>
  <c r="CH178" i="12"/>
  <c r="CH282" i="12"/>
  <c r="CH221" i="12"/>
  <c r="CH327" i="12"/>
  <c r="CH249" i="12"/>
  <c r="CH179" i="12"/>
  <c r="CH274" i="12"/>
  <c r="CH216" i="12"/>
  <c r="CH303" i="12"/>
  <c r="CH237" i="12"/>
  <c r="CH316" i="12"/>
  <c r="CH251" i="12"/>
  <c r="CH188" i="12"/>
  <c r="CH294" i="12"/>
  <c r="CH226" i="12"/>
  <c r="CH284" i="12"/>
  <c r="CH194" i="12"/>
  <c r="CH184" i="12"/>
  <c r="CH270" i="12"/>
  <c r="CH213" i="12"/>
  <c r="CH299" i="12"/>
  <c r="CH236" i="12"/>
  <c r="CH304" i="12"/>
  <c r="CH265" i="12"/>
  <c r="CH186" i="12"/>
  <c r="CH306" i="12"/>
  <c r="CH201" i="12"/>
  <c r="CH268" i="12"/>
  <c r="CH253" i="12"/>
  <c r="CH182" i="12"/>
  <c r="CH266" i="12"/>
  <c r="CH212" i="12"/>
  <c r="CH338" i="12"/>
  <c r="CH331" i="12" s="1"/>
  <c r="V226" i="12"/>
  <c r="V214" i="12"/>
  <c r="C57" i="3"/>
  <c r="V312" i="12"/>
  <c r="V323" i="12"/>
  <c r="V228" i="12"/>
  <c r="V302" i="12"/>
  <c r="V190" i="12"/>
  <c r="V311" i="12"/>
  <c r="V229" i="12"/>
  <c r="V269" i="12"/>
  <c r="V196" i="12"/>
  <c r="V307" i="12"/>
  <c r="V271" i="12"/>
  <c r="V322" i="12"/>
  <c r="V262" i="12"/>
  <c r="V179" i="12"/>
  <c r="V278" i="12"/>
  <c r="V325" i="12"/>
  <c r="V244" i="12"/>
  <c r="V192" i="12"/>
  <c r="V290" i="12"/>
  <c r="V260" i="12"/>
  <c r="V315" i="12"/>
  <c r="V295" i="12"/>
  <c r="V293" i="12"/>
  <c r="V292" i="12"/>
  <c r="V324" i="12"/>
  <c r="V204" i="12"/>
  <c r="V319" i="12"/>
  <c r="V286" i="12"/>
  <c r="V248" i="12"/>
  <c r="V217" i="12"/>
  <c r="V299" i="12"/>
  <c r="V279" i="12"/>
  <c r="V193" i="12"/>
  <c r="V308" i="12"/>
  <c r="V221" i="12"/>
  <c r="V211" i="12"/>
  <c r="V188" i="12"/>
  <c r="V265" i="12"/>
  <c r="V304" i="12"/>
  <c r="V300" i="12"/>
  <c r="V180" i="12"/>
  <c r="V176" i="12"/>
  <c r="V237" i="12"/>
  <c r="V317" i="12"/>
  <c r="V224" i="12"/>
  <c r="V329" i="12"/>
  <c r="V209" i="12"/>
  <c r="V320" i="12"/>
  <c r="V289" i="12"/>
  <c r="V297" i="12"/>
  <c r="V272" i="12"/>
  <c r="V187" i="12"/>
  <c r="V316" i="12"/>
  <c r="V275" i="12"/>
  <c r="V326" i="12"/>
  <c r="V253" i="12"/>
  <c r="V199" i="12"/>
  <c r="V250" i="12"/>
  <c r="V264" i="12"/>
  <c r="V251" i="12"/>
  <c r="V328" i="12"/>
  <c r="V240" i="12"/>
  <c r="V305" i="12"/>
  <c r="V254" i="12"/>
  <c r="V327" i="12"/>
  <c r="V207" i="12"/>
  <c r="V291" i="12"/>
  <c r="V218" i="12"/>
  <c r="V171" i="12"/>
  <c r="M57" i="3" s="1"/>
  <c r="J37" i="14" s="1"/>
  <c r="V280" i="12"/>
  <c r="BG180" i="12"/>
  <c r="BG241" i="12"/>
  <c r="BG237" i="12"/>
  <c r="BG222" i="12"/>
  <c r="BG318" i="12"/>
  <c r="BG258" i="12"/>
  <c r="BG259" i="12"/>
  <c r="BG242" i="12"/>
  <c r="BG208" i="12"/>
  <c r="BG255" i="12"/>
  <c r="BG289" i="12"/>
  <c r="BG177" i="12"/>
  <c r="BG261" i="12"/>
  <c r="BG274" i="12"/>
  <c r="BG315" i="12"/>
  <c r="BG207" i="12"/>
  <c r="BG235" i="12"/>
  <c r="BG171" i="12"/>
  <c r="N39" i="3" s="1"/>
  <c r="K7" i="14" s="1"/>
  <c r="BG206" i="12"/>
  <c r="BG316" i="12"/>
  <c r="BG181" i="12"/>
  <c r="BG304" i="12"/>
  <c r="BG213" i="12"/>
  <c r="BG234" i="12"/>
  <c r="BG290" i="12"/>
  <c r="BG271" i="12"/>
  <c r="BG223" i="12"/>
  <c r="BG188" i="12"/>
  <c r="BG288" i="12"/>
  <c r="BG257" i="12"/>
  <c r="BG295" i="12"/>
  <c r="BG268" i="12"/>
  <c r="BG202" i="12"/>
  <c r="BG216" i="12"/>
  <c r="BG249" i="12"/>
  <c r="BG229" i="12"/>
  <c r="BG254" i="12"/>
  <c r="BG267" i="12"/>
  <c r="BG246" i="12"/>
  <c r="BG178" i="12"/>
  <c r="BG217" i="12"/>
  <c r="BG300" i="12"/>
  <c r="BG323" i="12"/>
  <c r="BG233" i="12"/>
  <c r="BG239" i="12"/>
  <c r="BG294" i="12"/>
  <c r="BG169" i="12"/>
  <c r="BG245" i="12"/>
  <c r="BG276" i="12"/>
  <c r="BG263" i="12"/>
  <c r="BG212" i="12"/>
  <c r="BG191" i="12"/>
  <c r="BG298" i="12"/>
  <c r="BG292" i="12"/>
  <c r="BG319" i="12"/>
  <c r="BG310" i="12"/>
  <c r="DS268" i="12"/>
  <c r="DS280" i="12"/>
  <c r="I57" i="3"/>
  <c r="DS273" i="12"/>
  <c r="DS208" i="12"/>
  <c r="DS245" i="12"/>
  <c r="DS274" i="12"/>
  <c r="DS194" i="12"/>
  <c r="DS246" i="12"/>
  <c r="DS204" i="12"/>
  <c r="DS296" i="12"/>
  <c r="DS240" i="12"/>
  <c r="DS313" i="12"/>
  <c r="DS287" i="12"/>
  <c r="DS202" i="12"/>
  <c r="DS258" i="12"/>
  <c r="DS226" i="12"/>
  <c r="DS321" i="12"/>
  <c r="DS283" i="12"/>
  <c r="DS183" i="12"/>
  <c r="DS253" i="12"/>
  <c r="DS209" i="12"/>
  <c r="DS289" i="12"/>
  <c r="DS238" i="12"/>
  <c r="DS309" i="12"/>
  <c r="DS291" i="12"/>
  <c r="DS203" i="12"/>
  <c r="DS269" i="12"/>
  <c r="DS234" i="12"/>
  <c r="DS328" i="12"/>
  <c r="DS264" i="12"/>
  <c r="DS182" i="12"/>
  <c r="DS314" i="12"/>
  <c r="DS200" i="12"/>
  <c r="DS276" i="12"/>
  <c r="DS239" i="12"/>
  <c r="DS297" i="12"/>
  <c r="DS306" i="12"/>
  <c r="DS187" i="12"/>
  <c r="DS327" i="12"/>
  <c r="DS217" i="12"/>
  <c r="DS176" i="12"/>
  <c r="DS299" i="12"/>
  <c r="DS249" i="12"/>
  <c r="DS197" i="12"/>
  <c r="DS233" i="12"/>
  <c r="DS278" i="12"/>
  <c r="DS315" i="12"/>
  <c r="DS290" i="12"/>
  <c r="DS169" i="12"/>
  <c r="DS201" i="12"/>
  <c r="DS219" i="12"/>
  <c r="DS265" i="12"/>
  <c r="DS303" i="12"/>
  <c r="DS308" i="12"/>
  <c r="DS178" i="12"/>
  <c r="DS207" i="12"/>
  <c r="DS221" i="12"/>
  <c r="DS267" i="12"/>
  <c r="DS323" i="12"/>
  <c r="DS288" i="12"/>
  <c r="I57" i="13"/>
  <c r="DS215" i="12"/>
  <c r="DS322" i="12"/>
  <c r="DS232" i="12"/>
  <c r="DS218" i="12"/>
  <c r="DS286" i="12"/>
  <c r="DS304" i="12"/>
  <c r="DS196" i="12"/>
  <c r="DS271" i="12"/>
  <c r="DS324" i="12"/>
  <c r="DS193" i="12"/>
  <c r="DS329" i="12"/>
  <c r="DS250" i="12"/>
  <c r="DS237" i="12"/>
  <c r="DS199" i="12"/>
  <c r="DS189" i="12"/>
  <c r="DS275" i="12"/>
  <c r="DS326" i="12"/>
  <c r="DS281" i="12"/>
  <c r="DS305" i="12"/>
  <c r="DS181" i="12"/>
  <c r="DS212" i="12"/>
  <c r="DS256" i="12"/>
  <c r="DS298" i="12"/>
  <c r="DS266" i="12"/>
  <c r="DS325" i="12"/>
  <c r="DS206" i="12"/>
  <c r="DS225" i="12"/>
  <c r="DS224" i="12"/>
  <c r="DS302" i="12"/>
  <c r="DS277" i="12"/>
  <c r="DS317" i="12"/>
  <c r="DS190" i="12"/>
  <c r="DS316" i="12"/>
  <c r="DS285" i="12"/>
  <c r="DS198" i="12"/>
  <c r="DS251" i="12"/>
  <c r="DS262" i="12"/>
  <c r="DS184" i="12"/>
  <c r="DS261" i="12"/>
  <c r="DS263" i="12"/>
  <c r="DS186" i="12"/>
  <c r="DS243" i="12"/>
  <c r="DS230" i="12"/>
  <c r="DS179" i="12"/>
  <c r="DS255" i="12"/>
  <c r="DS235" i="12"/>
  <c r="DS188" i="12"/>
  <c r="DS205" i="12"/>
  <c r="DS228" i="12"/>
  <c r="DS213" i="12"/>
  <c r="DS310" i="12"/>
  <c r="AW197" i="12"/>
  <c r="AW296" i="12"/>
  <c r="AW188" i="12"/>
  <c r="AW267" i="12"/>
  <c r="AW319" i="12"/>
  <c r="AW254" i="12"/>
  <c r="AW232" i="12"/>
  <c r="AW239" i="12"/>
  <c r="AW207" i="12"/>
  <c r="AW314" i="12"/>
  <c r="AW316" i="12"/>
  <c r="AW322" i="12"/>
  <c r="AW320" i="12"/>
  <c r="AW243" i="12"/>
  <c r="AW203" i="12"/>
  <c r="AW206" i="12"/>
  <c r="AW328" i="12"/>
  <c r="AW291" i="12"/>
  <c r="AW245" i="12"/>
  <c r="AW230" i="12"/>
  <c r="AW313" i="12"/>
  <c r="AW200" i="12"/>
  <c r="AW327" i="12"/>
  <c r="AW244" i="12"/>
  <c r="AW315" i="12"/>
  <c r="AW257" i="12"/>
  <c r="AW181" i="12"/>
  <c r="AW247" i="12"/>
  <c r="AW187" i="12"/>
  <c r="AW258" i="12"/>
  <c r="AW288" i="12"/>
  <c r="AW307" i="12"/>
  <c r="AW253" i="12"/>
  <c r="AW169" i="12"/>
  <c r="AW271" i="12"/>
  <c r="AW217" i="12"/>
  <c r="AW227" i="12"/>
  <c r="AW191" i="12"/>
  <c r="AW310" i="12"/>
  <c r="AW281" i="12"/>
  <c r="AW177" i="12"/>
  <c r="AW263" i="12"/>
  <c r="AW194" i="12"/>
  <c r="AW338" i="12"/>
  <c r="AW331" i="12" s="1"/>
  <c r="AW224" i="12"/>
  <c r="AW228" i="12"/>
  <c r="AW280" i="12"/>
  <c r="AW261" i="12"/>
  <c r="AW265" i="12"/>
  <c r="AW285" i="12"/>
  <c r="AW211" i="12"/>
  <c r="AW282" i="12"/>
  <c r="AW299" i="12"/>
  <c r="AW262" i="12"/>
  <c r="AW201" i="12"/>
  <c r="AW312" i="12"/>
  <c r="AW293" i="12"/>
  <c r="AW255" i="12"/>
  <c r="AW298" i="12"/>
  <c r="AW222" i="12"/>
  <c r="AW189" i="12"/>
  <c r="AW268" i="12"/>
  <c r="AW195" i="12"/>
  <c r="AW301" i="12"/>
  <c r="AW260" i="12"/>
  <c r="AW264" i="12"/>
  <c r="AW213" i="12"/>
  <c r="AW251" i="12"/>
  <c r="AW326" i="12"/>
  <c r="AW184" i="12"/>
  <c r="AW190" i="12"/>
  <c r="AW209" i="12"/>
  <c r="AW185" i="12"/>
  <c r="AW212" i="12"/>
  <c r="AW304" i="12"/>
  <c r="AW269" i="12"/>
  <c r="AW303" i="12"/>
  <c r="AW259" i="12"/>
  <c r="AW286" i="12"/>
  <c r="AW192" i="12"/>
  <c r="AW216" i="12"/>
  <c r="AW241" i="12"/>
  <c r="AW220" i="12"/>
  <c r="AW226" i="12"/>
  <c r="AW275" i="12"/>
  <c r="AW176" i="12"/>
  <c r="AW236" i="12"/>
  <c r="AW323" i="12"/>
  <c r="AW215" i="12"/>
  <c r="AW180" i="12"/>
  <c r="AW249" i="12"/>
  <c r="AW306" i="12"/>
  <c r="AW186" i="12"/>
  <c r="AW308" i="12"/>
  <c r="AW214" i="12"/>
  <c r="AW210" i="12"/>
  <c r="AW178" i="12"/>
  <c r="EG261" i="12"/>
  <c r="EG221" i="12"/>
  <c r="EG251" i="12"/>
  <c r="EG294" i="12"/>
  <c r="EG271" i="12"/>
  <c r="EG177" i="12"/>
  <c r="EG323" i="12"/>
  <c r="EG200" i="12"/>
  <c r="EG286" i="12"/>
  <c r="EG322" i="12"/>
  <c r="EG317" i="12"/>
  <c r="EG198" i="12"/>
  <c r="EG203" i="12"/>
  <c r="EG246" i="12"/>
  <c r="EG277" i="12"/>
  <c r="EG297" i="12"/>
  <c r="EG272" i="12"/>
  <c r="EG192" i="12"/>
  <c r="EG248" i="12"/>
  <c r="EG216" i="12"/>
  <c r="EG276" i="12"/>
  <c r="EG326" i="12"/>
  <c r="EG299" i="12"/>
  <c r="EG257" i="12"/>
  <c r="EG313" i="12"/>
  <c r="EG295" i="12"/>
  <c r="EG190" i="12"/>
  <c r="EG254" i="12"/>
  <c r="EG211" i="12"/>
  <c r="EG234" i="12"/>
  <c r="EG265" i="12"/>
  <c r="EG264" i="12"/>
  <c r="EG304" i="12"/>
  <c r="EG169" i="12"/>
  <c r="EG330" i="12"/>
  <c r="EG213" i="12"/>
  <c r="EG275" i="12"/>
  <c r="EG241" i="12"/>
  <c r="EG270" i="12"/>
  <c r="EG171" i="12"/>
  <c r="EG187" i="12"/>
  <c r="EG185" i="12"/>
  <c r="EG231" i="12"/>
  <c r="EG274" i="12"/>
  <c r="EG218" i="12"/>
  <c r="EG250" i="12"/>
  <c r="EG306" i="12"/>
  <c r="EG194" i="12"/>
  <c r="EG311" i="12"/>
  <c r="EG263" i="12"/>
  <c r="EG278" i="12"/>
  <c r="EG279" i="12"/>
  <c r="EG290" i="12"/>
  <c r="EG293" i="12"/>
  <c r="EG197" i="12"/>
  <c r="EG206" i="12"/>
  <c r="EG255" i="12"/>
  <c r="EG196" i="12"/>
  <c r="EG199" i="12"/>
  <c r="EG260" i="12"/>
  <c r="EG324" i="12"/>
  <c r="EG179" i="12"/>
  <c r="EG237" i="12"/>
  <c r="EG230" i="12"/>
  <c r="EG253" i="12"/>
  <c r="EG318" i="12"/>
  <c r="EG229" i="12"/>
  <c r="EG244" i="12"/>
  <c r="EG249" i="12"/>
  <c r="EG184" i="12"/>
  <c r="EG233" i="12"/>
  <c r="EG316" i="12"/>
  <c r="EZ223" i="12"/>
  <c r="EZ326" i="12"/>
  <c r="EZ177" i="12"/>
  <c r="EZ169" i="12"/>
  <c r="EZ311" i="12"/>
  <c r="EZ312" i="12"/>
  <c r="EZ214" i="12"/>
  <c r="EZ181" i="12"/>
  <c r="CN169" i="12"/>
  <c r="CN212" i="12"/>
  <c r="CN263" i="12"/>
  <c r="CN287" i="12"/>
  <c r="CN244" i="12"/>
  <c r="CN323" i="12"/>
  <c r="CN330" i="12"/>
  <c r="CN315" i="12"/>
  <c r="CN240" i="12"/>
  <c r="CN320" i="12"/>
  <c r="CN277" i="12"/>
  <c r="CN184" i="12"/>
  <c r="CN260" i="12"/>
  <c r="CN211" i="12"/>
  <c r="CN295" i="12"/>
  <c r="CN237" i="12"/>
  <c r="CN259" i="12"/>
  <c r="CN247" i="12"/>
  <c r="CN177" i="12"/>
  <c r="CN325" i="12"/>
  <c r="CN202" i="12"/>
  <c r="CN291" i="12"/>
  <c r="CN230" i="12"/>
  <c r="CN324" i="12"/>
  <c r="CN301" i="12"/>
  <c r="CN196" i="12"/>
  <c r="CN266" i="12"/>
  <c r="CN215" i="12"/>
  <c r="CN303" i="12"/>
  <c r="CN233" i="12"/>
  <c r="CN248" i="12"/>
  <c r="CN313" i="12"/>
  <c r="CN198" i="12"/>
  <c r="CN253" i="12"/>
  <c r="CN226" i="12"/>
  <c r="CN328" i="12"/>
  <c r="CN227" i="12"/>
  <c r="CN171" i="12"/>
  <c r="CN293" i="12"/>
  <c r="CN201" i="12"/>
  <c r="CN252" i="12"/>
  <c r="CN217" i="12"/>
  <c r="CN316" i="12"/>
  <c r="CN269" i="12"/>
  <c r="CN187" i="12"/>
  <c r="CN283" i="12"/>
  <c r="CN267" i="12"/>
  <c r="CN219" i="12"/>
  <c r="CN234" i="12"/>
  <c r="CN281" i="12"/>
  <c r="CN294" i="12"/>
  <c r="CN299" i="12"/>
  <c r="CN262" i="12"/>
  <c r="CN182" i="12"/>
  <c r="CN224" i="12"/>
  <c r="CN246" i="12"/>
  <c r="CN289" i="12"/>
  <c r="CN286" i="12"/>
  <c r="CN296" i="12"/>
  <c r="CN186" i="12"/>
  <c r="CN208" i="12"/>
  <c r="CN231" i="12"/>
  <c r="CN242" i="12"/>
  <c r="CN274" i="12"/>
  <c r="CN311" i="12"/>
  <c r="G16" i="13"/>
  <c r="AG20" i="13" s="1"/>
  <c r="CN221" i="12"/>
  <c r="CN278" i="12"/>
  <c r="CN180" i="12"/>
  <c r="CN194" i="12"/>
  <c r="CN232" i="12"/>
  <c r="CN235" i="12"/>
  <c r="CN317" i="12"/>
  <c r="CN282" i="12"/>
  <c r="CN319" i="12"/>
  <c r="CN255" i="12"/>
  <c r="CN207" i="12"/>
  <c r="CN222" i="12"/>
  <c r="CN239" i="12"/>
  <c r="CN309" i="12"/>
  <c r="CN275" i="12"/>
  <c r="CN288" i="12"/>
  <c r="CN190" i="12"/>
  <c r="CN195" i="12"/>
  <c r="CN216" i="12"/>
  <c r="CN297" i="12"/>
  <c r="CN326" i="12"/>
  <c r="CN176" i="12"/>
  <c r="CN298" i="12"/>
  <c r="CN300" i="12"/>
  <c r="CN229" i="12"/>
  <c r="CN245" i="12"/>
  <c r="CN312" i="12"/>
  <c r="CN197" i="12"/>
  <c r="CN251" i="12"/>
  <c r="CN314" i="12"/>
  <c r="CN179" i="12"/>
  <c r="CN210" i="12"/>
  <c r="AB193" i="12"/>
  <c r="AB297" i="12"/>
  <c r="AB240" i="12"/>
  <c r="AB237" i="12"/>
  <c r="AB209" i="12"/>
  <c r="AB269" i="12"/>
  <c r="AB311" i="12"/>
  <c r="AB211" i="12"/>
  <c r="AB308" i="12"/>
  <c r="AB250" i="12"/>
  <c r="AB328" i="12"/>
  <c r="AB255" i="12"/>
  <c r="AB181" i="12"/>
  <c r="AB228" i="12"/>
  <c r="AB226" i="12"/>
  <c r="AB304" i="12"/>
  <c r="AB326" i="12"/>
  <c r="AB277" i="12"/>
  <c r="AB267" i="12"/>
  <c r="AB177" i="12"/>
  <c r="AB316" i="12"/>
  <c r="AB197" i="12"/>
  <c r="AB293" i="12"/>
  <c r="AB306" i="12"/>
  <c r="AB305" i="12"/>
  <c r="AB195" i="12"/>
  <c r="AB189" i="12"/>
  <c r="AB318" i="12"/>
  <c r="AB291" i="12"/>
  <c r="AB300" i="12"/>
  <c r="AB232" i="12"/>
  <c r="AB248" i="12"/>
  <c r="AB183" i="12"/>
  <c r="AB242" i="12"/>
  <c r="AB220" i="12"/>
  <c r="AB212" i="12"/>
  <c r="AB320" i="12"/>
  <c r="AB283" i="12"/>
  <c r="AB185" i="12"/>
  <c r="AB199" i="12"/>
  <c r="AB286" i="12"/>
  <c r="AB256" i="12"/>
  <c r="AB259" i="12"/>
  <c r="AB182" i="12"/>
  <c r="AB236" i="12"/>
  <c r="AB230" i="12"/>
  <c r="AB272" i="12"/>
  <c r="AB298" i="12"/>
  <c r="AB285" i="12"/>
  <c r="AB239" i="12"/>
  <c r="AB172" i="12"/>
  <c r="AB180" i="12"/>
  <c r="AB205" i="12"/>
  <c r="AB171" i="12"/>
  <c r="M47" i="3" s="1"/>
  <c r="J8" i="14" s="1"/>
  <c r="AB188" i="12"/>
  <c r="AB314" i="12"/>
  <c r="AB249" i="12"/>
  <c r="AB257" i="12"/>
  <c r="AB270" i="12"/>
  <c r="AB265" i="12"/>
  <c r="AB178" i="12"/>
  <c r="AB216" i="12"/>
  <c r="AB222" i="12"/>
  <c r="AB323" i="12"/>
  <c r="AB214" i="12"/>
  <c r="AB317" i="12"/>
  <c r="AB329" i="12"/>
  <c r="AB219" i="12"/>
  <c r="AB274" i="12"/>
  <c r="AB202" i="12"/>
  <c r="AB186" i="12"/>
  <c r="AB261" i="12"/>
  <c r="AB233" i="12"/>
  <c r="AB179" i="12"/>
  <c r="AB254" i="12"/>
  <c r="AB227" i="12"/>
  <c r="AB327" i="12"/>
  <c r="AB194" i="12"/>
  <c r="AB245" i="12"/>
  <c r="AB280" i="12"/>
  <c r="AB223" i="12"/>
  <c r="AB315" i="12"/>
  <c r="AB225" i="12"/>
  <c r="AB262" i="12"/>
  <c r="AB192" i="12"/>
  <c r="AB213" i="12"/>
  <c r="AB210" i="12"/>
  <c r="AB282" i="12"/>
  <c r="AB287" i="12"/>
  <c r="AB292" i="12"/>
  <c r="AB264" i="12"/>
  <c r="AB312" i="12"/>
  <c r="AB215" i="12"/>
  <c r="AB238" i="12"/>
  <c r="AB206" i="12"/>
  <c r="AB201" i="12"/>
  <c r="AB319" i="12"/>
  <c r="AB196" i="12"/>
  <c r="AB279" i="12"/>
  <c r="AB241" i="12"/>
  <c r="AB191" i="12"/>
  <c r="AB235" i="12"/>
  <c r="AB324" i="12"/>
  <c r="DZ268" i="12"/>
  <c r="DZ306" i="12"/>
  <c r="BN217" i="12"/>
  <c r="BN273" i="12"/>
  <c r="BN299" i="12"/>
  <c r="BN193" i="12"/>
  <c r="BN181" i="12"/>
  <c r="BN254" i="12"/>
  <c r="BN252" i="12"/>
  <c r="BN267" i="12"/>
  <c r="BN218" i="12"/>
  <c r="BN271" i="12"/>
  <c r="BN329" i="12"/>
  <c r="BN311" i="12"/>
  <c r="BN310" i="12"/>
  <c r="BN289" i="12"/>
  <c r="BN281" i="12"/>
  <c r="BN196" i="12"/>
  <c r="BN215" i="12"/>
  <c r="BN306" i="12"/>
  <c r="BN236" i="12"/>
  <c r="BN276" i="12"/>
  <c r="BN265" i="12"/>
  <c r="BN194" i="12"/>
  <c r="BN200" i="12"/>
  <c r="BN228" i="12"/>
  <c r="BN233" i="12"/>
  <c r="BN257" i="12"/>
  <c r="BN182" i="12"/>
  <c r="BN213" i="12"/>
  <c r="BN286" i="12"/>
  <c r="BN295" i="12"/>
  <c r="BN288" i="12"/>
  <c r="BN313" i="12"/>
  <c r="BN199" i="12"/>
  <c r="BN216" i="12"/>
  <c r="E28" i="13"/>
  <c r="E29" i="13" s="1"/>
  <c r="BN212" i="12"/>
  <c r="BN302" i="12"/>
  <c r="BN240" i="12"/>
  <c r="BN188" i="12"/>
  <c r="BN234" i="12"/>
  <c r="BN237" i="12"/>
  <c r="BN192" i="12"/>
  <c r="BN294" i="12"/>
  <c r="BN328" i="12"/>
  <c r="BN207" i="12"/>
  <c r="BN255" i="12"/>
  <c r="BP338" i="12"/>
  <c r="BP331" i="12" s="1"/>
  <c r="BP215" i="12"/>
  <c r="BP319" i="12"/>
  <c r="BP182" i="12"/>
  <c r="BP314" i="12"/>
  <c r="BP245" i="12"/>
  <c r="BP217" i="12"/>
  <c r="BP260" i="12"/>
  <c r="BP193" i="12"/>
  <c r="BP259" i="12"/>
  <c r="BP225" i="12"/>
  <c r="BP237" i="12"/>
  <c r="BP284" i="12"/>
  <c r="BP209" i="12"/>
  <c r="BP299" i="12"/>
  <c r="BP178" i="12"/>
  <c r="BP294" i="12"/>
  <c r="BP285" i="12"/>
  <c r="BP212" i="12"/>
  <c r="BP231" i="12"/>
  <c r="BP190" i="12"/>
  <c r="BP318" i="12"/>
  <c r="BP289" i="12"/>
  <c r="BP221" i="12"/>
  <c r="BP280" i="12"/>
  <c r="BP246" i="12"/>
  <c r="BP292" i="12"/>
  <c r="BP197" i="12"/>
  <c r="BP291" i="12"/>
  <c r="BP230" i="12"/>
  <c r="BP270" i="12"/>
  <c r="BP316" i="12"/>
  <c r="BP229" i="12"/>
  <c r="BP235" i="12"/>
  <c r="BP180" i="12"/>
  <c r="BP326" i="12"/>
  <c r="BP321" i="12"/>
  <c r="BP216" i="12"/>
  <c r="BP256" i="12"/>
  <c r="AO17" i="3"/>
  <c r="BP34" i="3" s="1"/>
  <c r="AG28" i="3"/>
  <c r="K71" i="3"/>
  <c r="AD40" i="3"/>
  <c r="BU148" i="3" s="1"/>
  <c r="I52" i="3"/>
  <c r="I53" i="3" s="1"/>
  <c r="BQ76" i="3"/>
  <c r="AN25" i="3"/>
  <c r="E52" i="3"/>
  <c r="E54" i="3" s="1"/>
  <c r="AH15" i="3"/>
  <c r="BQ32" i="3" s="1"/>
  <c r="AN15" i="3"/>
  <c r="C52" i="3"/>
  <c r="C53" i="3" s="1"/>
  <c r="E87" i="3"/>
  <c r="AE46" i="3"/>
  <c r="BZ149" i="3" s="1"/>
  <c r="AN46" i="3"/>
  <c r="K60" i="3"/>
  <c r="CA176" i="3" s="1"/>
  <c r="I55" i="3"/>
  <c r="AM39" i="3"/>
  <c r="BW139" i="3" s="1"/>
  <c r="C79" i="3"/>
  <c r="AD15" i="3"/>
  <c r="BP23" i="3" s="1"/>
  <c r="AN14" i="3"/>
  <c r="C36" i="3"/>
  <c r="C38" i="3" s="1"/>
  <c r="AG35" i="3"/>
  <c r="AO25" i="3"/>
  <c r="E68" i="3"/>
  <c r="E69" i="3" s="1"/>
  <c r="C84" i="3"/>
  <c r="C86" i="3" s="1"/>
  <c r="AG23" i="3"/>
  <c r="AG26" i="3"/>
  <c r="AG30" i="3"/>
  <c r="AO47" i="3"/>
  <c r="CC150" i="3"/>
  <c r="AD34" i="3"/>
  <c r="BO148" i="3" s="1"/>
  <c r="AE33" i="3"/>
  <c r="BN142" i="3" s="1"/>
  <c r="AD25" i="3"/>
  <c r="BP83" i="3" s="1"/>
  <c r="G52" i="3"/>
  <c r="G53" i="3" s="1"/>
  <c r="AG40" i="3"/>
  <c r="AO40" i="3"/>
  <c r="I68" i="3"/>
  <c r="CA171" i="3" s="1"/>
  <c r="AG17" i="3"/>
  <c r="AE13" i="3"/>
  <c r="BN21" i="3" s="1"/>
  <c r="BV15" i="3"/>
  <c r="C20" i="3"/>
  <c r="C21" i="3" s="1"/>
  <c r="G63" i="3"/>
  <c r="BZ74" i="3"/>
  <c r="BZ14" i="3"/>
  <c r="C92" i="3"/>
  <c r="C93" i="3" s="1"/>
  <c r="E39" i="3"/>
  <c r="AO35" i="3"/>
  <c r="AO34" i="3"/>
  <c r="K95" i="3"/>
  <c r="C95" i="3"/>
  <c r="C47" i="3"/>
  <c r="AM29" i="3"/>
  <c r="AO23" i="3"/>
  <c r="BP307" i="12"/>
  <c r="BP206" i="12"/>
  <c r="BP295" i="12"/>
  <c r="BP296" i="12"/>
  <c r="BP261" i="12"/>
  <c r="BP198" i="12"/>
  <c r="BP232" i="12"/>
  <c r="BP310" i="12"/>
  <c r="BP315" i="12"/>
  <c r="BP300" i="12"/>
  <c r="BP249" i="12"/>
  <c r="BP184" i="12"/>
  <c r="BP233" i="12"/>
  <c r="BP330" i="12"/>
  <c r="BP207" i="12"/>
  <c r="BP269" i="12"/>
  <c r="BP181" i="12"/>
  <c r="BP202" i="12"/>
  <c r="BP250" i="12"/>
  <c r="BP255" i="12"/>
  <c r="BP171" i="12"/>
  <c r="N32" i="3" s="1"/>
  <c r="K20" i="14" s="1"/>
  <c r="AC294" i="12"/>
  <c r="AC246" i="12"/>
  <c r="AC255" i="12"/>
  <c r="AC222" i="12"/>
  <c r="AC254" i="12"/>
  <c r="AC180" i="12"/>
  <c r="AC208" i="12"/>
  <c r="AC188" i="12"/>
  <c r="AC330" i="12"/>
  <c r="DU214" i="12"/>
  <c r="DU311" i="12"/>
  <c r="DU185" i="12"/>
  <c r="DU310" i="12"/>
  <c r="DU315" i="12"/>
  <c r="DU313" i="12"/>
  <c r="DU284" i="12"/>
  <c r="DU216" i="12"/>
  <c r="DU330" i="12"/>
  <c r="DU316" i="12"/>
  <c r="DU184" i="12"/>
  <c r="DU241" i="12"/>
  <c r="DU274" i="12"/>
  <c r="DZ207" i="12"/>
  <c r="DZ238" i="12"/>
  <c r="DZ255" i="12"/>
  <c r="DZ318" i="12"/>
  <c r="DZ293" i="12"/>
  <c r="DZ178" i="12"/>
  <c r="DZ219" i="12"/>
  <c r="DZ236" i="12"/>
  <c r="DZ266" i="12"/>
  <c r="DZ319" i="12"/>
  <c r="DZ296" i="12"/>
  <c r="DZ191" i="12"/>
  <c r="DZ193" i="12"/>
  <c r="DZ245" i="12"/>
  <c r="DZ285" i="12"/>
  <c r="DZ261" i="12"/>
  <c r="DZ271" i="12"/>
  <c r="DZ263" i="12"/>
  <c r="DZ200" i="12"/>
  <c r="DZ250" i="12"/>
  <c r="DZ210" i="12"/>
  <c r="I72" i="13"/>
  <c r="AI25" i="13" s="1"/>
  <c r="EZ317" i="12"/>
  <c r="EZ241" i="12"/>
  <c r="EZ269" i="12"/>
  <c r="EZ267" i="12"/>
  <c r="EZ204" i="12"/>
  <c r="EZ318" i="12"/>
  <c r="EZ231" i="12"/>
  <c r="EZ278" i="12"/>
  <c r="EZ199" i="12"/>
  <c r="EZ252" i="12"/>
  <c r="EZ216" i="12"/>
  <c r="EZ324" i="12"/>
  <c r="EZ245" i="12"/>
  <c r="EZ188" i="12"/>
  <c r="EZ300" i="12"/>
  <c r="EZ229" i="12"/>
  <c r="EZ327" i="12"/>
  <c r="EZ206" i="12"/>
  <c r="EZ266" i="12"/>
  <c r="EZ322" i="12"/>
  <c r="EZ220" i="12"/>
  <c r="EZ295" i="12"/>
  <c r="EZ250" i="12"/>
  <c r="EZ186" i="12"/>
  <c r="EZ292" i="12"/>
  <c r="EZ215" i="12"/>
  <c r="EZ319" i="12"/>
  <c r="EZ232" i="12"/>
  <c r="EZ258" i="12"/>
  <c r="EZ233" i="12"/>
  <c r="EZ294" i="12"/>
  <c r="EZ260" i="12"/>
  <c r="EZ189" i="12"/>
  <c r="EZ308" i="12"/>
  <c r="EZ213" i="12"/>
  <c r="EZ281" i="12"/>
  <c r="EZ225" i="12"/>
  <c r="EZ171" i="12"/>
  <c r="EZ338" i="12"/>
  <c r="EZ331" i="12" s="1"/>
  <c r="DK172" i="12"/>
  <c r="DA281" i="12"/>
  <c r="DA209" i="12"/>
  <c r="DA265" i="12"/>
  <c r="DA232" i="12"/>
  <c r="DA323" i="12"/>
  <c r="DA312" i="12"/>
  <c r="DA195" i="12"/>
  <c r="DA238" i="12"/>
  <c r="DA220" i="12"/>
  <c r="DA256" i="12"/>
  <c r="DA330" i="12"/>
  <c r="DA192" i="12"/>
  <c r="DA184" i="12"/>
  <c r="DA236" i="12"/>
  <c r="DA234" i="12"/>
  <c r="DA257" i="12"/>
  <c r="DA311" i="12"/>
  <c r="DA194" i="12"/>
  <c r="DA214" i="12"/>
  <c r="DA310" i="12"/>
  <c r="DA262" i="12"/>
  <c r="DA178" i="12"/>
  <c r="DA285" i="12"/>
  <c r="DA185" i="12"/>
  <c r="DA274" i="12"/>
  <c r="DA241" i="12"/>
  <c r="DA172" i="12"/>
  <c r="DA316" i="12"/>
  <c r="DA198" i="12"/>
  <c r="DA253" i="12"/>
  <c r="DA239" i="12"/>
  <c r="DA251" i="12"/>
  <c r="DA322" i="12"/>
  <c r="DA182" i="12"/>
  <c r="DA203" i="12"/>
  <c r="DA255" i="12"/>
  <c r="DA321" i="12"/>
  <c r="DA290" i="12"/>
  <c r="DA171" i="12"/>
  <c r="CE172" i="12"/>
  <c r="V233" i="12"/>
  <c r="V298" i="12"/>
  <c r="V246" i="12"/>
  <c r="V198" i="12"/>
  <c r="V234" i="12"/>
  <c r="V178" i="12"/>
  <c r="AC189" i="12"/>
  <c r="AC327" i="12"/>
  <c r="AC259" i="12"/>
  <c r="AC210" i="12"/>
  <c r="AC301" i="12"/>
  <c r="AC274" i="12"/>
  <c r="AC195" i="12"/>
  <c r="AC317" i="12"/>
  <c r="AC264" i="12"/>
  <c r="AC223" i="12"/>
  <c r="AC221" i="12"/>
  <c r="AC217" i="12"/>
  <c r="AC182" i="12"/>
  <c r="AC290" i="12"/>
  <c r="AC277" i="12"/>
  <c r="AC200" i="12"/>
  <c r="AC202" i="12"/>
  <c r="AC212" i="12"/>
  <c r="AC267" i="12"/>
  <c r="AC273" i="12"/>
  <c r="AC176" i="12"/>
  <c r="AC263" i="12"/>
  <c r="AC293" i="12"/>
  <c r="AC183" i="12"/>
  <c r="AC209" i="12"/>
  <c r="AC206" i="12"/>
  <c r="AC245" i="12"/>
  <c r="AC203" i="12"/>
  <c r="AC312" i="12"/>
  <c r="AC285" i="12"/>
  <c r="AC179" i="12"/>
  <c r="AC272" i="12"/>
  <c r="AC313" i="12"/>
  <c r="AC292" i="12"/>
  <c r="AC275" i="12"/>
  <c r="AC271" i="12"/>
  <c r="AC187" i="12"/>
  <c r="AC318" i="12"/>
  <c r="AC326" i="12"/>
  <c r="AC193" i="12"/>
  <c r="AC295" i="12"/>
  <c r="AC214" i="12"/>
  <c r="AC211" i="12"/>
  <c r="AC305" i="12"/>
  <c r="AC225" i="12"/>
  <c r="AC230" i="12"/>
  <c r="AC289" i="12"/>
  <c r="AC248" i="12"/>
  <c r="AC228" i="12"/>
  <c r="AC169" i="12"/>
  <c r="AC240" i="12"/>
  <c r="AC249" i="12"/>
  <c r="AC236" i="12"/>
  <c r="AC185" i="12"/>
  <c r="AC207" i="12"/>
  <c r="AC242" i="12"/>
  <c r="AC308" i="12"/>
  <c r="AC321" i="12"/>
  <c r="AC280" i="12"/>
  <c r="AC276" i="12"/>
  <c r="C48" i="3"/>
  <c r="DU299" i="12"/>
  <c r="DU338" i="12"/>
  <c r="DU331" i="12" s="1"/>
  <c r="DU318" i="12"/>
  <c r="DU255" i="12"/>
  <c r="DU210" i="12"/>
  <c r="DU205" i="12"/>
  <c r="DU194" i="12"/>
  <c r="DU252" i="12"/>
  <c r="DU278" i="12"/>
  <c r="DU245" i="12"/>
  <c r="DU247" i="12"/>
  <c r="DU213" i="12"/>
  <c r="DU243" i="12"/>
  <c r="DU226" i="12"/>
  <c r="DU206" i="12"/>
  <c r="DU178" i="12"/>
  <c r="DU305" i="12"/>
  <c r="DU225" i="12"/>
  <c r="DU183" i="12"/>
  <c r="DU287" i="12"/>
  <c r="DU288" i="12"/>
  <c r="DU179" i="12"/>
  <c r="DU296" i="12"/>
  <c r="DU256" i="12"/>
  <c r="DU295" i="12"/>
  <c r="DU228" i="12"/>
  <c r="DU279" i="12"/>
  <c r="DU207" i="12"/>
  <c r="DU323" i="12"/>
  <c r="DU193" i="12"/>
  <c r="DU280" i="12"/>
  <c r="DU320" i="12"/>
  <c r="DU190" i="12"/>
  <c r="DU282" i="12"/>
  <c r="DU230" i="12"/>
  <c r="DU186" i="12"/>
  <c r="DU238" i="12"/>
  <c r="DU268" i="12"/>
  <c r="DU267" i="12"/>
  <c r="DU254" i="12"/>
  <c r="DU273" i="12"/>
  <c r="DU222" i="12"/>
  <c r="DU200" i="12"/>
  <c r="DU325" i="12"/>
  <c r="DU233" i="12"/>
  <c r="DU265" i="12"/>
  <c r="DU212" i="12"/>
  <c r="DU251" i="12"/>
  <c r="DU181" i="12"/>
  <c r="DU262" i="12"/>
  <c r="DU292" i="12"/>
  <c r="DU195" i="12"/>
  <c r="DU260" i="12"/>
  <c r="DZ183" i="12"/>
  <c r="DZ305" i="12"/>
  <c r="DZ316" i="12"/>
  <c r="DZ211" i="12"/>
  <c r="DZ303" i="12"/>
  <c r="DZ234" i="12"/>
  <c r="DZ315" i="12"/>
  <c r="DZ220" i="12"/>
  <c r="DZ273" i="12"/>
  <c r="DZ169" i="12"/>
  <c r="DZ233" i="12"/>
  <c r="DZ297" i="12"/>
  <c r="DZ225" i="12"/>
  <c r="DZ294" i="12"/>
  <c r="DZ187" i="12"/>
  <c r="DZ253" i="12"/>
  <c r="DZ275" i="12"/>
  <c r="DZ209" i="12"/>
  <c r="DZ311" i="12"/>
  <c r="DZ199" i="12"/>
  <c r="DZ254" i="12"/>
  <c r="DZ301" i="12"/>
  <c r="DZ243" i="12"/>
  <c r="DZ260" i="12"/>
  <c r="DZ222" i="12"/>
  <c r="DZ276" i="12"/>
  <c r="DZ184" i="12"/>
  <c r="DZ244" i="12"/>
  <c r="DZ291" i="12"/>
  <c r="DZ226" i="12"/>
  <c r="DZ295" i="12"/>
  <c r="DZ192" i="12"/>
  <c r="DZ317" i="12"/>
  <c r="DZ278" i="12"/>
  <c r="BP308" i="12"/>
  <c r="BP199" i="12"/>
  <c r="BP322" i="12"/>
  <c r="BP301" i="12"/>
  <c r="BP196" i="12"/>
  <c r="BP263" i="12"/>
  <c r="BP317" i="12"/>
  <c r="BP218" i="12"/>
  <c r="AC232" i="12"/>
  <c r="AC282" i="12"/>
  <c r="AC314" i="12"/>
  <c r="AC311" i="12"/>
  <c r="DU176" i="12"/>
  <c r="DU236" i="12"/>
  <c r="DU283" i="12"/>
  <c r="DU314" i="12"/>
  <c r="DU264" i="12"/>
  <c r="DU224" i="12"/>
  <c r="DU322" i="12"/>
  <c r="DZ314" i="12"/>
  <c r="DZ180" i="12"/>
  <c r="DZ290" i="12"/>
  <c r="DZ224" i="12"/>
  <c r="DZ300" i="12"/>
  <c r="DZ281" i="12"/>
  <c r="DZ231" i="12"/>
  <c r="DZ320" i="12"/>
  <c r="DZ262" i="12"/>
  <c r="AC269" i="12"/>
  <c r="AC231" i="12"/>
  <c r="AC234" i="12"/>
  <c r="DU272" i="12"/>
  <c r="DU239" i="12"/>
  <c r="DU317" i="12"/>
  <c r="S172" i="12"/>
  <c r="EZ248" i="12"/>
  <c r="EZ302" i="12"/>
  <c r="EZ304" i="12"/>
  <c r="EZ286" i="12"/>
  <c r="EZ261" i="12"/>
  <c r="EZ236" i="12"/>
  <c r="EZ211" i="12"/>
  <c r="EZ259" i="12"/>
  <c r="EZ293" i="12"/>
  <c r="EZ268" i="12"/>
  <c r="EZ195" i="12"/>
  <c r="EZ219" i="12"/>
  <c r="EZ185" i="12"/>
  <c r="EZ285" i="12"/>
  <c r="EZ276" i="12"/>
  <c r="EZ297" i="12"/>
  <c r="EZ244" i="12"/>
  <c r="EZ284" i="12"/>
  <c r="DZ216" i="12"/>
  <c r="DZ179" i="12"/>
  <c r="DZ272" i="12"/>
  <c r="DZ304" i="12"/>
  <c r="DZ213" i="12"/>
  <c r="DZ313" i="12"/>
  <c r="DZ286" i="12"/>
  <c r="BP252" i="12"/>
  <c r="AC319" i="12"/>
  <c r="DZ242" i="12"/>
  <c r="DZ176" i="12"/>
  <c r="EZ208" i="12"/>
  <c r="EZ272" i="12"/>
  <c r="EZ274" i="12"/>
  <c r="EZ183" i="12"/>
  <c r="EZ246" i="12"/>
  <c r="AC338" i="12"/>
  <c r="AC331" i="12" s="1"/>
  <c r="AC235" i="12"/>
  <c r="DU244" i="12"/>
  <c r="EZ316" i="12"/>
  <c r="EZ194" i="12"/>
  <c r="EZ193" i="12"/>
  <c r="EZ291" i="12"/>
  <c r="EZ230" i="12"/>
  <c r="EZ198" i="12"/>
  <c r="EZ313" i="12"/>
  <c r="EZ221" i="12"/>
  <c r="EZ179" i="12"/>
  <c r="EZ309" i="12"/>
  <c r="EZ242" i="12"/>
  <c r="DZ298" i="12"/>
  <c r="DZ227" i="12"/>
  <c r="DZ326" i="12"/>
  <c r="DZ232" i="12"/>
  <c r="BP305" i="12"/>
  <c r="BP191" i="12"/>
  <c r="E32" i="13"/>
  <c r="BP283" i="12"/>
  <c r="BP323" i="12"/>
  <c r="BP297" i="12"/>
  <c r="E32" i="3"/>
  <c r="V215" i="12"/>
  <c r="DS211" i="12"/>
  <c r="DS260" i="12"/>
  <c r="DS338" i="12"/>
  <c r="DS331" i="12" s="1"/>
  <c r="BS283" i="12"/>
  <c r="BS249" i="12"/>
  <c r="BS188" i="12"/>
  <c r="BS237" i="12"/>
  <c r="BS252" i="12"/>
  <c r="AB313" i="12"/>
  <c r="AB263" i="12"/>
  <c r="AB169" i="12"/>
  <c r="AB217" i="12"/>
  <c r="AB204" i="12"/>
  <c r="AB187" i="12"/>
  <c r="AB302" i="12"/>
  <c r="AB338" i="12"/>
  <c r="AB331" i="12" s="1"/>
  <c r="EP323" i="12"/>
  <c r="EP184" i="12"/>
  <c r="EP311" i="12"/>
  <c r="EP313" i="12"/>
  <c r="EP178" i="12"/>
  <c r="EP317" i="12"/>
  <c r="EP299" i="12"/>
  <c r="EP169" i="12"/>
  <c r="EP211" i="12"/>
  <c r="EP338" i="12"/>
  <c r="EP331" i="12" s="1"/>
  <c r="K251" i="12"/>
  <c r="K319" i="12"/>
  <c r="K215" i="12"/>
  <c r="K294" i="12"/>
  <c r="K302" i="12"/>
  <c r="K237" i="12"/>
  <c r="K274" i="12"/>
  <c r="K321" i="12"/>
  <c r="K217" i="12"/>
  <c r="K187" i="12"/>
  <c r="AW246" i="12"/>
  <c r="AW219" i="12"/>
  <c r="AW276" i="12"/>
  <c r="AW309" i="12"/>
  <c r="AW330" i="12"/>
  <c r="AW204" i="12"/>
  <c r="AW233" i="12"/>
  <c r="AW274" i="12"/>
  <c r="AW182" i="12"/>
  <c r="AW292" i="12"/>
  <c r="AQ291" i="12"/>
  <c r="AQ169" i="12"/>
  <c r="AQ316" i="12"/>
  <c r="AQ219" i="12"/>
  <c r="AQ242" i="12"/>
  <c r="AQ280" i="12"/>
  <c r="AQ307" i="12"/>
  <c r="AQ218" i="12"/>
  <c r="AQ308" i="12"/>
  <c r="AQ222" i="12"/>
  <c r="CN304" i="12"/>
  <c r="CN200" i="12"/>
  <c r="CN254" i="12"/>
  <c r="CN302" i="12"/>
  <c r="CN188" i="12"/>
  <c r="CN206" i="12"/>
  <c r="CN290" i="12"/>
  <c r="CN276" i="12"/>
  <c r="CN218" i="12"/>
  <c r="CN249" i="12"/>
  <c r="BN235" i="12"/>
  <c r="BN282" i="12"/>
  <c r="BN291" i="12"/>
  <c r="BN284" i="12"/>
  <c r="BN317" i="12"/>
  <c r="BN208" i="12"/>
  <c r="BN225" i="12"/>
  <c r="BN278" i="12"/>
  <c r="BN287" i="12"/>
  <c r="BN312" i="12"/>
  <c r="BN253" i="12"/>
  <c r="BN206" i="12"/>
  <c r="BN232" i="12"/>
  <c r="BN239" i="12"/>
  <c r="BN264" i="12"/>
  <c r="BN309" i="12"/>
  <c r="BN189" i="12"/>
  <c r="BN230" i="12"/>
  <c r="BN290" i="12"/>
  <c r="BN226" i="12"/>
  <c r="EU280" i="12"/>
  <c r="EU248" i="12"/>
  <c r="EU245" i="12"/>
  <c r="EU275" i="12"/>
  <c r="EU301" i="12"/>
  <c r="EU269" i="12"/>
  <c r="EU300" i="12"/>
  <c r="EU326" i="12"/>
  <c r="EU169" i="12"/>
  <c r="EU243" i="12"/>
  <c r="EU260" i="12"/>
  <c r="EU246" i="12"/>
  <c r="EU202" i="12"/>
  <c r="EU228" i="12"/>
  <c r="EU286" i="12"/>
  <c r="EU312" i="12"/>
  <c r="EU224" i="12"/>
  <c r="EU324" i="12"/>
  <c r="EU250" i="12"/>
  <c r="EU185" i="12"/>
  <c r="DH242" i="12"/>
  <c r="DH312" i="12"/>
  <c r="DH184" i="12"/>
  <c r="DH211" i="12"/>
  <c r="DH224" i="12"/>
  <c r="DH196" i="12"/>
  <c r="DH250" i="12"/>
  <c r="DH306" i="12"/>
  <c r="DH190" i="12"/>
  <c r="DH214" i="12"/>
  <c r="DH245" i="12"/>
  <c r="DH209" i="12"/>
  <c r="DH297" i="12"/>
  <c r="DH310" i="12"/>
  <c r="DH191" i="12"/>
  <c r="DH283" i="12"/>
  <c r="DH277" i="12"/>
  <c r="DH278" i="12"/>
  <c r="DH317" i="12"/>
  <c r="DH176" i="12"/>
  <c r="CH326" i="12"/>
  <c r="CH307" i="12"/>
  <c r="CH264" i="12"/>
  <c r="CH220" i="12"/>
  <c r="CH218" i="12"/>
  <c r="CH297" i="12"/>
  <c r="CH259" i="12"/>
  <c r="CH247" i="12"/>
  <c r="CH192" i="12"/>
  <c r="CH207" i="12"/>
  <c r="CH238" i="12"/>
  <c r="CH309" i="12"/>
  <c r="CH246" i="12"/>
  <c r="CH320" i="12"/>
  <c r="CH189" i="12"/>
  <c r="CH196" i="12"/>
  <c r="CH243" i="12"/>
  <c r="CH305" i="12"/>
  <c r="CH330" i="12"/>
  <c r="CH171" i="12"/>
  <c r="R246" i="12"/>
  <c r="R265" i="12"/>
  <c r="R237" i="12"/>
  <c r="R195" i="12"/>
  <c r="R311" i="12"/>
  <c r="R244" i="12"/>
  <c r="R328" i="12"/>
  <c r="R273" i="12"/>
  <c r="R293" i="12"/>
  <c r="R199" i="12"/>
  <c r="R267" i="12"/>
  <c r="R216" i="12"/>
  <c r="R198" i="12"/>
  <c r="R281" i="12"/>
  <c r="R282" i="12"/>
  <c r="R178" i="12"/>
  <c r="R255" i="12"/>
  <c r="R220" i="12"/>
  <c r="R206" i="12"/>
  <c r="R171" i="12"/>
  <c r="M41" i="3" s="1"/>
  <c r="J35" i="14" s="1"/>
  <c r="BY317" i="12"/>
  <c r="BY328" i="12"/>
  <c r="BY304" i="12"/>
  <c r="BY327" i="12"/>
  <c r="BY290" i="12"/>
  <c r="BY269" i="12"/>
  <c r="BY267" i="12"/>
  <c r="BY311" i="12"/>
  <c r="BY208" i="12"/>
  <c r="BY297" i="12"/>
  <c r="BY259" i="12"/>
  <c r="BY205" i="12"/>
  <c r="BY195" i="12"/>
  <c r="BY198" i="12"/>
  <c r="BY190" i="12"/>
  <c r="BY247" i="12"/>
  <c r="BY315" i="12"/>
  <c r="BY222" i="12"/>
  <c r="BY261" i="12"/>
  <c r="CY280" i="12"/>
  <c r="CY325" i="12"/>
  <c r="CY315" i="12"/>
  <c r="CY189" i="12"/>
  <c r="CY232" i="12"/>
  <c r="CY274" i="12"/>
  <c r="CY301" i="12"/>
  <c r="CY229" i="12"/>
  <c r="CY263" i="12"/>
  <c r="CY240" i="12"/>
  <c r="CY198" i="12"/>
  <c r="CY224" i="12"/>
  <c r="CY247" i="12"/>
  <c r="CY286" i="12"/>
  <c r="CY237" i="12"/>
  <c r="CY326" i="12"/>
  <c r="CY184" i="12"/>
  <c r="CY215" i="12"/>
  <c r="CY242" i="12"/>
  <c r="CY279" i="12"/>
  <c r="CS251" i="12"/>
  <c r="CS297" i="12"/>
  <c r="CS256" i="12"/>
  <c r="CS290" i="12"/>
  <c r="CS323" i="12"/>
  <c r="CS233" i="12"/>
  <c r="CS320" i="12"/>
  <c r="CS327" i="12"/>
  <c r="CS212" i="12"/>
  <c r="CS311" i="12"/>
  <c r="CS208" i="12"/>
  <c r="CS241" i="12"/>
  <c r="CS255" i="12"/>
  <c r="CS304" i="12"/>
  <c r="CS259" i="12"/>
  <c r="CS286" i="12"/>
  <c r="CS177" i="12"/>
  <c r="CS296" i="12"/>
  <c r="CS289" i="12"/>
  <c r="CS234" i="12"/>
  <c r="EG256" i="12"/>
  <c r="EG189" i="12"/>
  <c r="EG222" i="12"/>
  <c r="EG240" i="12"/>
  <c r="EG298" i="12"/>
  <c r="EG220" i="12"/>
  <c r="EG236" i="12"/>
  <c r="EG291" i="12"/>
  <c r="EG178" i="12"/>
  <c r="EG191" i="12"/>
  <c r="EG302" i="12"/>
  <c r="EG239" i="12"/>
  <c r="EG288" i="12"/>
  <c r="EG238" i="12"/>
  <c r="EG307" i="12"/>
  <c r="EG172" i="12"/>
  <c r="EG186" i="12"/>
  <c r="EG207" i="12"/>
  <c r="EG273" i="12"/>
  <c r="EG312" i="12"/>
  <c r="I172" i="12"/>
  <c r="DX182" i="12"/>
  <c r="DX243" i="12"/>
  <c r="DX281" i="12"/>
  <c r="DX187" i="12"/>
  <c r="DX228" i="12"/>
  <c r="DX266" i="12"/>
  <c r="DX203" i="12"/>
  <c r="DX303" i="12"/>
  <c r="DX263" i="12"/>
  <c r="DX185" i="12"/>
  <c r="DX262" i="12"/>
  <c r="DX206" i="12"/>
  <c r="DX285" i="12"/>
  <c r="DX280" i="12"/>
  <c r="DX196" i="12"/>
  <c r="DX314" i="12"/>
  <c r="DX188" i="12"/>
  <c r="DX310" i="12"/>
  <c r="DX272" i="12"/>
  <c r="DX186" i="12"/>
  <c r="AV181" i="12"/>
  <c r="AV199" i="12"/>
  <c r="AV274" i="12"/>
  <c r="AV250" i="12"/>
  <c r="AV217" i="12"/>
  <c r="AV294" i="12"/>
  <c r="AV264" i="12"/>
  <c r="AV284" i="12"/>
  <c r="AV218" i="12"/>
  <c r="AV198" i="12"/>
  <c r="AV269" i="12"/>
  <c r="AV270" i="12"/>
  <c r="AV183" i="12"/>
  <c r="AV194" i="12"/>
  <c r="AV319" i="12"/>
  <c r="AV178" i="12"/>
  <c r="AV295" i="12"/>
  <c r="AV282" i="12"/>
  <c r="E15" i="13"/>
  <c r="AG9" i="13" s="1"/>
  <c r="AG39" i="13" s="1"/>
  <c r="AH90" i="13" s="1"/>
  <c r="AV231" i="12"/>
  <c r="Q253" i="12"/>
  <c r="Q227" i="12"/>
  <c r="Q270" i="12"/>
  <c r="Q295" i="12"/>
  <c r="Q186" i="12"/>
  <c r="Q288" i="12"/>
  <c r="Q241" i="12"/>
  <c r="Q325" i="12"/>
  <c r="Q246" i="12"/>
  <c r="Q210" i="12"/>
  <c r="Q240" i="12"/>
  <c r="Q324" i="12"/>
  <c r="Q277" i="12"/>
  <c r="Q307" i="12"/>
  <c r="Q191" i="12"/>
  <c r="Q266" i="12"/>
  <c r="Q212" i="12"/>
  <c r="Q312" i="12"/>
  <c r="Q281" i="12"/>
  <c r="Q193" i="12"/>
  <c r="AM316" i="12"/>
  <c r="AM297" i="12"/>
  <c r="AM230" i="12"/>
  <c r="AM255" i="12"/>
  <c r="AM169" i="12"/>
  <c r="AM236" i="12"/>
  <c r="AM217" i="12"/>
  <c r="AM325" i="12"/>
  <c r="AM222" i="12"/>
  <c r="AM247" i="12"/>
  <c r="AM172" i="12"/>
  <c r="AM210" i="12"/>
  <c r="AM308" i="12"/>
  <c r="AM257" i="12"/>
  <c r="AM214" i="12"/>
  <c r="AM303" i="12"/>
  <c r="AM184" i="12"/>
  <c r="AM228" i="12"/>
  <c r="AM304" i="12"/>
  <c r="AM176" i="12"/>
  <c r="DD294" i="12"/>
  <c r="DD205" i="12"/>
  <c r="DD220" i="12"/>
  <c r="DD250" i="12"/>
  <c r="DD265" i="12"/>
  <c r="DD289" i="12"/>
  <c r="DD310" i="12"/>
  <c r="DD180" i="12"/>
  <c r="DD224" i="12"/>
  <c r="DD235" i="12"/>
  <c r="DD300" i="12"/>
  <c r="DD263" i="12"/>
  <c r="DD185" i="12"/>
  <c r="DD215" i="12"/>
  <c r="DD216" i="12"/>
  <c r="DD303" i="12"/>
  <c r="DD304" i="12"/>
  <c r="DD329" i="12"/>
  <c r="DD195" i="12"/>
  <c r="AR219" i="12"/>
  <c r="AR319" i="12"/>
  <c r="AR300" i="12"/>
  <c r="AR314" i="12"/>
  <c r="AR245" i="12"/>
  <c r="AR187" i="12"/>
  <c r="AR211" i="12"/>
  <c r="AR234" i="12"/>
  <c r="AR297" i="12"/>
  <c r="AR290" i="12"/>
  <c r="AR317" i="12"/>
  <c r="AR305" i="12"/>
  <c r="AR207" i="12"/>
  <c r="AR295" i="12"/>
  <c r="AR273" i="12"/>
  <c r="AR323" i="12"/>
  <c r="AR309" i="12"/>
  <c r="AR197" i="12"/>
  <c r="AR240" i="12"/>
  <c r="AL266" i="12"/>
  <c r="AL279" i="12"/>
  <c r="AL254" i="12"/>
  <c r="AL310" i="12"/>
  <c r="AL270" i="12"/>
  <c r="AL290" i="12"/>
  <c r="AL179" i="12"/>
  <c r="AL327" i="12"/>
  <c r="AL308" i="12"/>
  <c r="AL288" i="12"/>
  <c r="AL230" i="12"/>
  <c r="AL325" i="12"/>
  <c r="AL202" i="12"/>
  <c r="AL228" i="12"/>
  <c r="AL209" i="12"/>
  <c r="AL315" i="12"/>
  <c r="AL273" i="12"/>
  <c r="AL298" i="12"/>
  <c r="AL275" i="12"/>
  <c r="AL255" i="12"/>
  <c r="EQ172" i="12"/>
  <c r="CD326" i="12"/>
  <c r="CD300" i="12"/>
  <c r="CD179" i="12"/>
  <c r="CD223" i="12"/>
  <c r="CD241" i="12"/>
  <c r="CD274" i="12"/>
  <c r="CD295" i="12"/>
  <c r="CD246" i="12"/>
  <c r="CD188" i="12"/>
  <c r="CD221" i="12"/>
  <c r="CD301" i="12"/>
  <c r="CD322" i="12"/>
  <c r="CD320" i="12"/>
  <c r="CD183" i="12"/>
  <c r="CD227" i="12"/>
  <c r="CD240" i="12"/>
  <c r="CD278" i="12"/>
  <c r="CD318" i="12"/>
  <c r="CD286" i="12"/>
  <c r="CD171" i="12"/>
  <c r="ET284" i="12"/>
  <c r="ET211" i="12"/>
  <c r="ET244" i="12"/>
  <c r="ET189" i="12"/>
  <c r="ET217" i="12"/>
  <c r="ET293" i="12"/>
  <c r="ET203" i="12"/>
  <c r="ET227" i="12"/>
  <c r="ET304" i="12"/>
  <c r="ET182" i="12"/>
  <c r="ET328" i="12"/>
  <c r="ET292" i="12"/>
  <c r="ET186" i="12"/>
  <c r="ET306" i="12"/>
  <c r="ET267" i="12"/>
  <c r="ET272" i="12"/>
  <c r="ET324" i="12"/>
  <c r="ET234" i="12"/>
  <c r="ET323" i="12"/>
  <c r="ET326" i="12"/>
  <c r="FA306" i="12"/>
  <c r="FA257" i="12"/>
  <c r="FA305" i="12"/>
  <c r="FA189" i="12"/>
  <c r="FA188" i="12"/>
  <c r="FA263" i="12"/>
  <c r="FA314" i="12"/>
  <c r="FA267" i="12"/>
  <c r="FA326" i="12"/>
  <c r="FA200" i="12"/>
  <c r="FA217" i="12"/>
  <c r="FA236" i="12"/>
  <c r="FA294" i="12"/>
  <c r="FA250" i="12"/>
  <c r="FA309" i="12"/>
  <c r="FA193" i="12"/>
  <c r="FA202" i="12"/>
  <c r="FA247" i="12"/>
  <c r="FA303" i="12"/>
  <c r="FA171" i="12"/>
  <c r="Q96" i="3" s="1"/>
  <c r="N28" i="14" s="1"/>
  <c r="BL290" i="12"/>
  <c r="BL267" i="12"/>
  <c r="BL281" i="12"/>
  <c r="BL189" i="12"/>
  <c r="BL213" i="12"/>
  <c r="BL325" i="12"/>
  <c r="BL233" i="12"/>
  <c r="BL224" i="12"/>
  <c r="BL179" i="12"/>
  <c r="BL209" i="12"/>
  <c r="BL206" i="12"/>
  <c r="BL177" i="12"/>
  <c r="BL252" i="12"/>
  <c r="BL301" i="12"/>
  <c r="BL317" i="12"/>
  <c r="BL211" i="12"/>
  <c r="BL287" i="12"/>
  <c r="BL330" i="12"/>
  <c r="BL327" i="12"/>
  <c r="BL176" i="12"/>
  <c r="BG187" i="12"/>
  <c r="BG275" i="12"/>
  <c r="BG282" i="12"/>
  <c r="BG286" i="12"/>
  <c r="BG284" i="12"/>
  <c r="BG182" i="12"/>
  <c r="BG210" i="12"/>
  <c r="BG311" i="12"/>
  <c r="BG309" i="12"/>
  <c r="BG265" i="12"/>
  <c r="BG317" i="12"/>
  <c r="BG321" i="12"/>
  <c r="BG203" i="12"/>
  <c r="BG251" i="12"/>
  <c r="BG293" i="12"/>
  <c r="BG273" i="12"/>
  <c r="BG238" i="12"/>
  <c r="BG305" i="12"/>
  <c r="E39" i="13"/>
  <c r="CX304" i="12"/>
  <c r="CX265" i="12"/>
  <c r="CX317" i="12"/>
  <c r="CX222" i="12"/>
  <c r="CX220" i="12"/>
  <c r="CX288" i="12"/>
  <c r="CX279" i="12"/>
  <c r="CX306" i="12"/>
  <c r="CX289" i="12"/>
  <c r="CX261" i="12"/>
  <c r="CX202" i="12"/>
  <c r="CX213" i="12"/>
  <c r="CX325" i="12"/>
  <c r="CX215" i="12"/>
  <c r="CX280" i="12"/>
  <c r="CX316" i="12"/>
  <c r="CX301" i="12"/>
  <c r="CX318" i="12"/>
  <c r="CX205" i="12"/>
  <c r="CX278" i="12"/>
  <c r="AG323" i="12"/>
  <c r="AG209" i="12"/>
  <c r="AG180" i="12"/>
  <c r="AG260" i="12"/>
  <c r="AG250" i="12"/>
  <c r="AG294" i="12"/>
  <c r="AG253" i="12"/>
  <c r="AG311" i="12"/>
  <c r="AG219" i="12"/>
  <c r="AG280" i="12"/>
  <c r="AG319" i="12"/>
  <c r="AG321" i="12"/>
  <c r="AG306" i="12"/>
  <c r="AG178" i="12"/>
  <c r="AG201" i="12"/>
  <c r="AG268" i="12"/>
  <c r="AG261" i="12"/>
  <c r="AG262" i="12"/>
  <c r="AG231" i="12"/>
  <c r="C72" i="13"/>
  <c r="DC297" i="12"/>
  <c r="DC277" i="12"/>
  <c r="DC172" i="12"/>
  <c r="DC206" i="12"/>
  <c r="DC235" i="12"/>
  <c r="DC280" i="12"/>
  <c r="DC317" i="12"/>
  <c r="DC330" i="12"/>
  <c r="DC179" i="12"/>
  <c r="DC200" i="12"/>
  <c r="DC216" i="12"/>
  <c r="DC260" i="12"/>
  <c r="DC305" i="12"/>
  <c r="DC286" i="12"/>
  <c r="DC291" i="12"/>
  <c r="DC202" i="12"/>
  <c r="DC205" i="12"/>
  <c r="DC288" i="12"/>
  <c r="DC325" i="12"/>
  <c r="DC176" i="12"/>
  <c r="AM171" i="12"/>
  <c r="AM275" i="12"/>
  <c r="AM293" i="12"/>
  <c r="AM312" i="12"/>
  <c r="AM201" i="12"/>
  <c r="AM274" i="12"/>
  <c r="AM318" i="12"/>
  <c r="AM283" i="12"/>
  <c r="AM265" i="12"/>
  <c r="AM284" i="12"/>
  <c r="AM208" i="12"/>
  <c r="AM190" i="12"/>
  <c r="AM327" i="12"/>
  <c r="AM238" i="12"/>
  <c r="AM301" i="12"/>
  <c r="AM288" i="12"/>
  <c r="AM212" i="12"/>
  <c r="AM178" i="12"/>
  <c r="AM271" i="12"/>
  <c r="AM299" i="12"/>
  <c r="BS210" i="12"/>
  <c r="BS281" i="12"/>
  <c r="BS326" i="12"/>
  <c r="BS220" i="12"/>
  <c r="BS305" i="12"/>
  <c r="BS297" i="12"/>
  <c r="BS208" i="12"/>
  <c r="BS284" i="12"/>
  <c r="BS325" i="12"/>
  <c r="BS226" i="12"/>
  <c r="BS263" i="12"/>
  <c r="BS321" i="12"/>
  <c r="BS205" i="12"/>
  <c r="BS274" i="12"/>
  <c r="BS280" i="12"/>
  <c r="E47" i="13"/>
  <c r="BS299" i="12"/>
  <c r="BS276" i="12"/>
  <c r="BS289" i="12"/>
  <c r="BS238" i="12"/>
  <c r="BS193" i="12"/>
  <c r="BS182" i="12"/>
  <c r="BS221" i="12"/>
  <c r="BS271" i="12"/>
  <c r="BS317" i="12"/>
  <c r="BS216" i="12"/>
  <c r="BS204" i="12"/>
  <c r="BS179" i="12"/>
  <c r="BS306" i="12"/>
  <c r="BS308" i="12"/>
  <c r="BS313" i="12"/>
  <c r="BS242" i="12"/>
  <c r="BS218" i="12"/>
  <c r="BS199" i="12"/>
  <c r="BS290" i="12"/>
  <c r="CY185" i="12"/>
  <c r="CY287" i="12"/>
  <c r="CY252" i="12"/>
  <c r="CY316" i="12"/>
  <c r="CY243" i="12"/>
  <c r="CY222" i="12"/>
  <c r="CY186" i="12"/>
  <c r="CY248" i="12"/>
  <c r="CY269" i="12"/>
  <c r="CY277" i="12"/>
  <c r="CY256" i="12"/>
  <c r="CY219" i="12"/>
  <c r="CY234" i="12"/>
  <c r="CY200" i="12"/>
  <c r="CY180" i="12"/>
  <c r="CY310" i="12"/>
  <c r="CY305" i="12"/>
  <c r="CY212" i="12"/>
  <c r="CY211" i="12"/>
  <c r="G64" i="3"/>
  <c r="EU319" i="12"/>
  <c r="EU191" i="12"/>
  <c r="EU177" i="12"/>
  <c r="EU249" i="12"/>
  <c r="EU213" i="12"/>
  <c r="EU192" i="12"/>
  <c r="EU178" i="12"/>
  <c r="EU298" i="12"/>
  <c r="EU254" i="12"/>
  <c r="EU188" i="12"/>
  <c r="EU330" i="12"/>
  <c r="EU284" i="12"/>
  <c r="EU259" i="12"/>
  <c r="EU239" i="12"/>
  <c r="EU251" i="12"/>
  <c r="EU270" i="12"/>
  <c r="EU229" i="12"/>
  <c r="EU219" i="12"/>
  <c r="EU306" i="12"/>
  <c r="EU236" i="12"/>
  <c r="E73" i="13"/>
  <c r="BY305" i="12"/>
  <c r="BY211" i="12"/>
  <c r="BY238" i="12"/>
  <c r="BY178" i="12"/>
  <c r="BY192" i="12"/>
  <c r="BY298" i="12"/>
  <c r="BY322" i="12"/>
  <c r="BY206" i="12"/>
  <c r="BY264" i="12"/>
  <c r="BY325" i="12"/>
  <c r="BY242" i="12"/>
  <c r="BY236" i="12"/>
  <c r="BY250" i="12"/>
  <c r="BY207" i="12"/>
  <c r="BY244" i="12"/>
  <c r="BY321" i="12"/>
  <c r="BY252" i="12"/>
  <c r="BY215" i="12"/>
  <c r="BY308" i="12"/>
  <c r="CS262" i="12"/>
  <c r="CS264" i="12"/>
  <c r="CS308" i="12"/>
  <c r="CS204" i="12"/>
  <c r="CS314" i="12"/>
  <c r="CS213" i="12"/>
  <c r="CS187" i="12"/>
  <c r="CS186" i="12"/>
  <c r="CS330" i="12"/>
  <c r="CS191" i="12"/>
  <c r="CS288" i="12"/>
  <c r="CS238" i="12"/>
  <c r="CS283" i="12"/>
  <c r="CS243" i="12"/>
  <c r="CS227" i="12"/>
  <c r="CS272" i="12"/>
  <c r="CS218" i="12"/>
  <c r="CS214" i="12"/>
  <c r="CS188" i="12"/>
  <c r="CS239" i="12"/>
  <c r="DU232" i="12"/>
  <c r="EK172" i="12"/>
  <c r="DX261" i="12"/>
  <c r="DX227" i="12"/>
  <c r="DX242" i="12"/>
  <c r="DX191" i="12"/>
  <c r="DX311" i="12"/>
  <c r="DX306" i="12"/>
  <c r="DX329" i="12"/>
  <c r="DX330" i="12"/>
  <c r="DX236" i="12"/>
  <c r="I68" i="13"/>
  <c r="AI23" i="13" s="1"/>
  <c r="DX275" i="12"/>
  <c r="DX247" i="12"/>
  <c r="DX265" i="12"/>
  <c r="DX209" i="12"/>
  <c r="DX245" i="12"/>
  <c r="DX248" i="12"/>
  <c r="DX264" i="12"/>
  <c r="DX290" i="12"/>
  <c r="DX250" i="12"/>
  <c r="G97" i="13"/>
  <c r="AJ21" i="13" s="1"/>
  <c r="DH308" i="12"/>
  <c r="DH327" i="12"/>
  <c r="DH231" i="12"/>
  <c r="DH251" i="12"/>
  <c r="DH197" i="12"/>
  <c r="DH187" i="12"/>
  <c r="DH244" i="12"/>
  <c r="DH234" i="12"/>
  <c r="DH205" i="12"/>
  <c r="DH219" i="12"/>
  <c r="DH194" i="12"/>
  <c r="DH280" i="12"/>
  <c r="DH282" i="12"/>
  <c r="DH240" i="12"/>
  <c r="DH247" i="12"/>
  <c r="DH213" i="12"/>
  <c r="DH225" i="12"/>
  <c r="DH326" i="12"/>
  <c r="DH274" i="12"/>
  <c r="AV255" i="12"/>
  <c r="AV256" i="12"/>
  <c r="AV205" i="12"/>
  <c r="AV328" i="12"/>
  <c r="AV179" i="12"/>
  <c r="AV226" i="12"/>
  <c r="AV303" i="12"/>
  <c r="AV325" i="12"/>
  <c r="AV275" i="12"/>
  <c r="AV273" i="12"/>
  <c r="AV189" i="12"/>
  <c r="AV222" i="12"/>
  <c r="AV219" i="12"/>
  <c r="AV308" i="12"/>
  <c r="AV326" i="12"/>
  <c r="AV233" i="12"/>
  <c r="AV300" i="12"/>
  <c r="AV289" i="12"/>
  <c r="AV214" i="12"/>
  <c r="K231" i="12"/>
  <c r="K287" i="12"/>
  <c r="K293" i="12"/>
  <c r="K247" i="12"/>
  <c r="K193" i="12"/>
  <c r="K313" i="12"/>
  <c r="K184" i="12"/>
  <c r="K256" i="12"/>
  <c r="K234" i="12"/>
  <c r="K204" i="12"/>
  <c r="K245" i="12"/>
  <c r="K281" i="12"/>
  <c r="K179" i="12"/>
  <c r="K286" i="12"/>
  <c r="K206" i="12"/>
  <c r="K192" i="12"/>
  <c r="K246" i="12"/>
  <c r="K186" i="12"/>
  <c r="K323" i="12"/>
  <c r="K239" i="12"/>
  <c r="K267" i="12"/>
  <c r="K232" i="12"/>
  <c r="K208" i="12"/>
  <c r="K269" i="12"/>
  <c r="K197" i="12"/>
  <c r="K295" i="12"/>
  <c r="K307" i="12"/>
  <c r="K276" i="12"/>
  <c r="K219" i="12"/>
  <c r="CH176" i="12"/>
  <c r="CH315" i="12"/>
  <c r="CH286" i="12"/>
  <c r="CH261" i="12"/>
  <c r="CH206" i="12"/>
  <c r="CH197" i="12"/>
  <c r="CH177" i="12"/>
  <c r="CH319" i="12"/>
  <c r="CH290" i="12"/>
  <c r="CH232" i="12"/>
  <c r="CH227" i="12"/>
  <c r="CH198" i="12"/>
  <c r="CH180" i="12"/>
  <c r="CH323" i="12"/>
  <c r="CH278" i="12"/>
  <c r="CH252" i="12"/>
  <c r="CH231" i="12"/>
  <c r="CH183" i="12"/>
  <c r="CH257" i="12"/>
  <c r="CH311" i="12"/>
  <c r="V296" i="12"/>
  <c r="V274" i="12"/>
  <c r="V288" i="12"/>
  <c r="V268" i="12"/>
  <c r="V255" i="12"/>
  <c r="V252" i="12"/>
  <c r="V206" i="12"/>
  <c r="V266" i="12"/>
  <c r="V306" i="12"/>
  <c r="V236" i="12"/>
  <c r="V241" i="12"/>
  <c r="C57" i="13"/>
  <c r="V243" i="12"/>
  <c r="V195" i="12"/>
  <c r="V263" i="12"/>
  <c r="V191" i="12"/>
  <c r="V313" i="12"/>
  <c r="V183" i="12"/>
  <c r="V208" i="12"/>
  <c r="V185" i="12"/>
  <c r="V222" i="12"/>
  <c r="V186" i="12"/>
  <c r="V242" i="12"/>
  <c r="V216" i="12"/>
  <c r="V181" i="12"/>
  <c r="V277" i="12"/>
  <c r="V225" i="12"/>
  <c r="V230" i="12"/>
  <c r="V200" i="12"/>
  <c r="V169" i="12"/>
  <c r="V310" i="12"/>
  <c r="V282" i="12"/>
  <c r="V203" i="12"/>
  <c r="V294" i="12"/>
  <c r="V238" i="12"/>
  <c r="AQ258" i="12"/>
  <c r="AQ305" i="12"/>
  <c r="AQ220" i="12"/>
  <c r="AQ319" i="12"/>
  <c r="AQ277" i="12"/>
  <c r="AQ211" i="12"/>
  <c r="AQ231" i="12"/>
  <c r="AQ313" i="12"/>
  <c r="AQ228" i="12"/>
  <c r="AQ303" i="12"/>
  <c r="AQ196" i="12"/>
  <c r="AQ240" i="12"/>
  <c r="AQ180" i="12"/>
  <c r="AQ295" i="12"/>
  <c r="AQ323" i="12"/>
  <c r="AQ281" i="12"/>
  <c r="AQ320" i="12"/>
  <c r="AQ207" i="12"/>
  <c r="AQ314" i="12"/>
  <c r="AQ239" i="12"/>
  <c r="AQ267" i="12"/>
  <c r="AQ269" i="12"/>
  <c r="AQ276" i="12"/>
  <c r="AQ232" i="12"/>
  <c r="AQ178" i="12"/>
  <c r="AQ311" i="12"/>
  <c r="AQ262" i="12"/>
  <c r="AQ289" i="12"/>
  <c r="AQ312" i="12"/>
  <c r="G15" i="13"/>
  <c r="AG19" i="13" s="1"/>
  <c r="DS307" i="12"/>
  <c r="DS330" i="12"/>
  <c r="DS180" i="12"/>
  <c r="DS248" i="12"/>
  <c r="DS216" i="12"/>
  <c r="DS293" i="12"/>
  <c r="DS247" i="12"/>
  <c r="DS220" i="12"/>
  <c r="DS318" i="12"/>
  <c r="DS270" i="12"/>
  <c r="DS185" i="12"/>
  <c r="DS300" i="12"/>
  <c r="DS292" i="12"/>
  <c r="DS210" i="12"/>
  <c r="DS312" i="12"/>
  <c r="DS282" i="12"/>
  <c r="DS214" i="12"/>
  <c r="DS301" i="12"/>
  <c r="DS279" i="12"/>
  <c r="AW193" i="12"/>
  <c r="AW305" i="12"/>
  <c r="AW278" i="12"/>
  <c r="AW300" i="12"/>
  <c r="AW302" i="12"/>
  <c r="AW252" i="12"/>
  <c r="AW272" i="12"/>
  <c r="AW171" i="12"/>
  <c r="AW295" i="12"/>
  <c r="AW229" i="12"/>
  <c r="AW179" i="12"/>
  <c r="AW290" i="12"/>
  <c r="AW202" i="12"/>
  <c r="AW329" i="12"/>
  <c r="AW225" i="12"/>
  <c r="DA177" i="12"/>
  <c r="DA189" i="12"/>
  <c r="DA317" i="12"/>
  <c r="DA200" i="12"/>
  <c r="DA248" i="12"/>
  <c r="DA301" i="12"/>
  <c r="DA309" i="12"/>
  <c r="DA279" i="12"/>
  <c r="DA206" i="12"/>
  <c r="DA263" i="12"/>
  <c r="EG176" i="12"/>
  <c r="EG314" i="12"/>
  <c r="EG285" i="12"/>
  <c r="EG321" i="12"/>
  <c r="EG214" i="12"/>
  <c r="EG289" i="12"/>
  <c r="EG219" i="12"/>
  <c r="EG301" i="12"/>
  <c r="EG319" i="12"/>
  <c r="EG315" i="12"/>
  <c r="Q211" i="12"/>
  <c r="Q276" i="12"/>
  <c r="Q311" i="12"/>
  <c r="Q203" i="12"/>
  <c r="Q304" i="12"/>
  <c r="Q239" i="12"/>
  <c r="Q305" i="12"/>
  <c r="Q252" i="12"/>
  <c r="Q287" i="12"/>
  <c r="Q317" i="12"/>
  <c r="EZ282" i="12"/>
  <c r="G73" i="13"/>
  <c r="AI21" i="13" s="1"/>
  <c r="DD311" i="12"/>
  <c r="DD228" i="12"/>
  <c r="DD172" i="12"/>
  <c r="DD249" i="12"/>
  <c r="DD189" i="12"/>
  <c r="DD297" i="12"/>
  <c r="DD254" i="12"/>
  <c r="DD192" i="12"/>
  <c r="DD325" i="12"/>
  <c r="CN271" i="12"/>
  <c r="CN172" i="12"/>
  <c r="CN203" i="12"/>
  <c r="CN306" i="12"/>
  <c r="CN189" i="12"/>
  <c r="CN310" i="12"/>
  <c r="CN204" i="12"/>
  <c r="CN209" i="12"/>
  <c r="CN285" i="12"/>
  <c r="CN192" i="12"/>
  <c r="CN268" i="12"/>
  <c r="CN329" i="12"/>
  <c r="CN199" i="12"/>
  <c r="CN292" i="12"/>
  <c r="CN318" i="12"/>
  <c r="AB303" i="12"/>
  <c r="AB289" i="12"/>
  <c r="AB243" i="12"/>
  <c r="AB246" i="12"/>
  <c r="AB253" i="12"/>
  <c r="AB299" i="12"/>
  <c r="AB258" i="12"/>
  <c r="AB288" i="12"/>
  <c r="AB198" i="12"/>
  <c r="AB330" i="12"/>
  <c r="AB281" i="12"/>
  <c r="AB307" i="12"/>
  <c r="AB266" i="12"/>
  <c r="AB321" i="12"/>
  <c r="AB284" i="12"/>
  <c r="AB310" i="12"/>
  <c r="EP196" i="12"/>
  <c r="EP287" i="12"/>
  <c r="EP306" i="12"/>
  <c r="EP298" i="12"/>
  <c r="EP330" i="12"/>
  <c r="EP214" i="12"/>
  <c r="EP238" i="12"/>
  <c r="EP182" i="12"/>
  <c r="BN246" i="12"/>
  <c r="BN303" i="12"/>
  <c r="BN325" i="12"/>
  <c r="BN195" i="12"/>
  <c r="BN247" i="12"/>
  <c r="R284" i="12"/>
  <c r="R202" i="12"/>
  <c r="R263" i="12"/>
  <c r="R308" i="12"/>
  <c r="R306" i="12"/>
  <c r="EU272" i="12"/>
  <c r="CY245" i="12"/>
  <c r="EG281" i="12"/>
  <c r="C95" i="13"/>
  <c r="CD294" i="12"/>
  <c r="FA237" i="12"/>
  <c r="BL283" i="12"/>
  <c r="BG189" i="12"/>
  <c r="BG328" i="12"/>
  <c r="CX245" i="12"/>
  <c r="AG191" i="12"/>
  <c r="DC319" i="12"/>
  <c r="BS225" i="12"/>
  <c r="CY307" i="12"/>
  <c r="EU327" i="12"/>
  <c r="CS197" i="12"/>
  <c r="K96" i="3"/>
  <c r="DX208" i="12"/>
  <c r="DH286" i="12"/>
  <c r="AV318" i="12"/>
  <c r="ET257" i="12"/>
  <c r="CH285" i="12"/>
  <c r="AL294" i="12"/>
  <c r="DD190" i="12"/>
  <c r="AR191" i="12"/>
  <c r="AR246" i="12"/>
  <c r="EP225" i="12"/>
  <c r="CD203" i="12"/>
  <c r="BN244" i="12"/>
  <c r="R317" i="12"/>
  <c r="EB313" i="12"/>
  <c r="AJ294" i="12"/>
  <c r="CP232" i="12"/>
  <c r="DB198" i="12"/>
  <c r="O212" i="12"/>
  <c r="EH239" i="12"/>
  <c r="BJ207" i="12"/>
  <c r="AO200" i="12"/>
  <c r="DQ274" i="12"/>
  <c r="DV206" i="12"/>
  <c r="FB235" i="12"/>
  <c r="AF219" i="12"/>
  <c r="AF238" i="12"/>
  <c r="AF319" i="12"/>
  <c r="ED289" i="12"/>
  <c r="ED184" i="12"/>
  <c r="BR249" i="12"/>
  <c r="BR205" i="12"/>
  <c r="BR291" i="12"/>
  <c r="BR309" i="12"/>
  <c r="BR226" i="12"/>
  <c r="F222" i="12"/>
  <c r="F266" i="12"/>
  <c r="F237" i="12"/>
  <c r="F242" i="12"/>
  <c r="F260" i="12"/>
  <c r="AA229" i="12"/>
  <c r="AA224" i="12"/>
  <c r="BW323" i="12"/>
  <c r="BW200" i="12"/>
  <c r="BW328" i="12"/>
  <c r="BW177" i="12"/>
  <c r="CM278" i="12"/>
  <c r="CM266" i="12"/>
  <c r="CM199" i="12"/>
  <c r="CM225" i="12"/>
  <c r="CM301" i="12"/>
  <c r="EI227" i="12"/>
  <c r="EI327" i="12"/>
  <c r="EI247" i="12"/>
  <c r="EI193" i="12"/>
  <c r="EI322" i="12"/>
  <c r="EY235" i="12"/>
  <c r="EY329" i="12"/>
  <c r="EY248" i="12"/>
  <c r="CW301" i="12"/>
  <c r="EJ303" i="12"/>
  <c r="EJ261" i="12"/>
  <c r="DT273" i="12"/>
  <c r="CT200" i="12"/>
  <c r="DF178" i="12"/>
  <c r="BE267" i="12"/>
  <c r="BE297" i="12"/>
  <c r="BE198" i="12"/>
  <c r="BE284" i="12"/>
  <c r="Z280" i="12"/>
  <c r="BE274" i="12"/>
  <c r="Z234" i="12"/>
  <c r="Z327" i="12"/>
  <c r="EW291" i="12"/>
  <c r="DL203" i="12"/>
  <c r="DL278" i="12"/>
  <c r="EX289" i="12"/>
  <c r="ES226" i="12"/>
  <c r="EL320" i="12"/>
  <c r="EL254" i="12"/>
  <c r="CK262" i="12"/>
  <c r="CK235" i="12"/>
  <c r="BQ230" i="12"/>
  <c r="EM206" i="12"/>
  <c r="CF297" i="12"/>
  <c r="CF328" i="12"/>
  <c r="AZ195" i="12"/>
  <c r="AZ235" i="12"/>
  <c r="T260" i="12"/>
  <c r="AI280" i="12"/>
  <c r="AI323" i="12"/>
  <c r="AT312" i="12"/>
  <c r="AT319" i="12"/>
  <c r="AT185" i="12"/>
  <c r="CL329" i="12"/>
  <c r="Y184" i="12"/>
  <c r="Y206" i="12"/>
  <c r="DG308" i="12"/>
  <c r="EA287" i="12"/>
  <c r="EA297" i="12"/>
  <c r="CA262" i="12"/>
  <c r="DR262" i="12"/>
  <c r="EF250" i="12"/>
  <c r="AU312" i="12"/>
  <c r="AU275" i="12"/>
  <c r="AU300" i="12"/>
  <c r="AU251" i="12"/>
  <c r="AU277" i="12"/>
  <c r="AU238" i="12"/>
  <c r="AU324" i="12"/>
  <c r="AU327" i="12"/>
  <c r="CA215" i="12"/>
  <c r="E79" i="13"/>
  <c r="CA313" i="12"/>
  <c r="CA202" i="12"/>
  <c r="CA294" i="12"/>
  <c r="CA307" i="12"/>
  <c r="CA212" i="12"/>
  <c r="CA284" i="12"/>
  <c r="CA302" i="12"/>
  <c r="CA201" i="12"/>
  <c r="CA241" i="12"/>
  <c r="CA234" i="12"/>
  <c r="CA255" i="12"/>
  <c r="CA193" i="12"/>
  <c r="CA301" i="12"/>
  <c r="CA256" i="12"/>
  <c r="DG171" i="12"/>
  <c r="O96" i="3" s="1"/>
  <c r="L28" i="14" s="1"/>
  <c r="DG237" i="12"/>
  <c r="DG180" i="12"/>
  <c r="DG245" i="12"/>
  <c r="DG216" i="12"/>
  <c r="DG311" i="12"/>
  <c r="DG254" i="12"/>
  <c r="DG325" i="12"/>
  <c r="DG231" i="12"/>
  <c r="DG169" i="12"/>
  <c r="DG250" i="12"/>
  <c r="DG338" i="12"/>
  <c r="DG331" i="12" s="1"/>
  <c r="DG310" i="12"/>
  <c r="DG206" i="12"/>
  <c r="DG281" i="12"/>
  <c r="DG214" i="12"/>
  <c r="EM261" i="12"/>
  <c r="EM226" i="12"/>
  <c r="EM244" i="12"/>
  <c r="EM211" i="12"/>
  <c r="EM177" i="12"/>
  <c r="EM239" i="12"/>
  <c r="AK319" i="12"/>
  <c r="AK302" i="12"/>
  <c r="AK239" i="12"/>
  <c r="AK281" i="12"/>
  <c r="BQ198" i="12"/>
  <c r="BQ283" i="12"/>
  <c r="BQ180" i="12"/>
  <c r="BQ189" i="12"/>
  <c r="BQ214" i="12"/>
  <c r="BQ219" i="12"/>
  <c r="DI202" i="12"/>
  <c r="DI255" i="12"/>
  <c r="DI338" i="12"/>
  <c r="DI331" i="12" s="1"/>
  <c r="DE206" i="12"/>
  <c r="DE261" i="12"/>
  <c r="M327" i="12"/>
  <c r="M192" i="12"/>
  <c r="M240" i="12"/>
  <c r="EF179" i="12"/>
  <c r="EF219" i="12"/>
  <c r="EF220" i="12"/>
  <c r="EF187" i="12"/>
  <c r="EF256" i="12"/>
  <c r="EF230" i="12"/>
  <c r="EF185" i="12"/>
  <c r="EF300" i="12"/>
  <c r="CZ281" i="12"/>
  <c r="CZ288" i="12"/>
  <c r="CZ234" i="12"/>
  <c r="BT178" i="12"/>
  <c r="BT323" i="12"/>
  <c r="H226" i="12"/>
  <c r="H288" i="12"/>
  <c r="H250" i="12"/>
  <c r="EL329" i="12"/>
  <c r="EL180" i="12"/>
  <c r="EL201" i="12"/>
  <c r="EL305" i="12"/>
  <c r="EL188" i="12"/>
  <c r="EL295" i="12"/>
  <c r="DF255" i="12"/>
  <c r="DF184" i="12"/>
  <c r="DF247" i="12"/>
  <c r="DF284" i="12"/>
  <c r="DF251" i="12"/>
  <c r="BZ241" i="12"/>
  <c r="BZ184" i="12"/>
  <c r="AT187" i="12"/>
  <c r="AT328" i="12"/>
  <c r="AT282" i="12"/>
  <c r="AT268" i="12"/>
  <c r="AT235" i="12"/>
  <c r="AT204" i="12"/>
  <c r="AT296" i="12"/>
  <c r="AT322" i="12"/>
  <c r="AT280" i="12"/>
  <c r="AT195" i="12"/>
  <c r="AT313" i="12"/>
  <c r="AT216" i="12"/>
  <c r="AI197" i="12"/>
  <c r="AI286" i="12"/>
  <c r="AI272" i="12"/>
  <c r="AI180" i="12"/>
  <c r="AI316" i="12"/>
  <c r="AI297" i="12"/>
  <c r="AI182" i="12"/>
  <c r="BO262" i="12"/>
  <c r="BO307" i="12"/>
  <c r="CU266" i="12"/>
  <c r="CU222" i="12"/>
  <c r="CU312" i="12"/>
  <c r="CU177" i="12"/>
  <c r="CU238" i="12"/>
  <c r="CU300" i="12"/>
  <c r="CU232" i="12"/>
  <c r="EA176" i="12"/>
  <c r="EA220" i="12"/>
  <c r="EA328" i="12"/>
  <c r="EA260" i="12"/>
  <c r="EA177" i="12"/>
  <c r="EA259" i="12"/>
  <c r="EA271" i="12"/>
  <c r="EA238" i="12"/>
  <c r="EA191" i="12"/>
  <c r="EA249" i="12"/>
  <c r="EA235" i="12"/>
  <c r="EA314" i="12"/>
  <c r="EA288" i="12"/>
  <c r="EA224" i="12"/>
  <c r="EA316" i="12"/>
  <c r="Y316" i="12"/>
  <c r="Y263" i="12"/>
  <c r="Y259" i="12"/>
  <c r="Y204" i="12"/>
  <c r="Y237" i="12"/>
  <c r="Y190" i="12"/>
  <c r="Y232" i="12"/>
  <c r="Y315" i="12"/>
  <c r="Y313" i="12"/>
  <c r="Y183" i="12"/>
  <c r="Y305" i="12"/>
  <c r="C32" i="13"/>
  <c r="Y304" i="12"/>
  <c r="Y303" i="12"/>
  <c r="Y289" i="12"/>
  <c r="Y312" i="12"/>
  <c r="BE232" i="12"/>
  <c r="BE180" i="12"/>
  <c r="BE328" i="12"/>
  <c r="BE249" i="12"/>
  <c r="BE193" i="12"/>
  <c r="BE272" i="12"/>
  <c r="BE177" i="12"/>
  <c r="BE262" i="12"/>
  <c r="BE209" i="12"/>
  <c r="BE296" i="12"/>
  <c r="BE250" i="12"/>
  <c r="BE216" i="12"/>
  <c r="BE233" i="12"/>
  <c r="E97" i="3"/>
  <c r="CK179" i="12"/>
  <c r="CK197" i="12"/>
  <c r="CK316" i="12"/>
  <c r="CK245" i="12"/>
  <c r="CK180" i="12"/>
  <c r="EW313" i="12"/>
  <c r="EW179" i="12"/>
  <c r="EW180" i="12"/>
  <c r="ES279" i="12"/>
  <c r="ES329" i="12"/>
  <c r="ES305" i="12"/>
  <c r="ES232" i="12"/>
  <c r="ES227" i="12"/>
  <c r="ES197" i="12"/>
  <c r="ER202" i="12"/>
  <c r="ER305" i="12"/>
  <c r="ER325" i="12"/>
  <c r="DL311" i="12"/>
  <c r="DL271" i="12"/>
  <c r="DL290" i="12"/>
  <c r="DL202" i="12"/>
  <c r="DL261" i="12"/>
  <c r="DL171" i="12"/>
  <c r="CF293" i="12"/>
  <c r="CF197" i="12"/>
  <c r="CF241" i="12"/>
  <c r="CF202" i="12"/>
  <c r="CF248" i="12"/>
  <c r="CF312" i="12"/>
  <c r="AZ243" i="12"/>
  <c r="AZ190" i="12"/>
  <c r="AZ318" i="12"/>
  <c r="AZ169" i="12"/>
  <c r="AZ327" i="12"/>
  <c r="AZ316" i="12"/>
  <c r="T200" i="12"/>
  <c r="T247" i="12"/>
  <c r="T218" i="12"/>
  <c r="T238" i="12"/>
  <c r="T207" i="12"/>
  <c r="T296" i="12"/>
  <c r="EX249" i="12"/>
  <c r="EX282" i="12"/>
  <c r="EX209" i="12"/>
  <c r="EX191" i="12"/>
  <c r="EX267" i="12"/>
  <c r="EX223" i="12"/>
  <c r="DR196" i="12"/>
  <c r="DR259" i="12"/>
  <c r="DR230" i="12"/>
  <c r="DR179" i="12"/>
  <c r="DR326" i="12"/>
  <c r="DR197" i="12"/>
  <c r="DR183" i="12"/>
  <c r="DR295" i="12"/>
  <c r="DR228" i="12"/>
  <c r="DR186" i="12"/>
  <c r="DR307" i="12"/>
  <c r="DR171" i="12"/>
  <c r="P56" i="3" s="1"/>
  <c r="M23" i="14" s="1"/>
  <c r="DR203" i="12"/>
  <c r="DR255" i="12"/>
  <c r="DR304" i="12"/>
  <c r="DR225" i="12"/>
  <c r="CL269" i="12"/>
  <c r="CL325" i="12"/>
  <c r="CL217" i="12"/>
  <c r="CL324" i="12"/>
  <c r="CL298" i="12"/>
  <c r="CL277" i="12"/>
  <c r="CL202" i="12"/>
  <c r="CL247" i="12"/>
  <c r="CL273" i="12"/>
  <c r="CL225" i="12"/>
  <c r="CL338" i="12"/>
  <c r="CL331" i="12" s="1"/>
  <c r="CL187" i="12"/>
  <c r="CL301" i="12"/>
  <c r="CL292" i="12"/>
  <c r="CL236" i="12"/>
  <c r="BF171" i="12"/>
  <c r="BF279" i="12"/>
  <c r="BF252" i="12"/>
  <c r="BF298" i="12"/>
  <c r="BF276" i="12"/>
  <c r="BF261" i="12"/>
  <c r="BF179" i="12"/>
  <c r="BF286" i="12"/>
  <c r="Z328" i="12"/>
  <c r="Z288" i="12"/>
  <c r="Z300" i="12"/>
  <c r="Z287" i="12"/>
  <c r="Z210" i="12"/>
  <c r="Z204" i="12"/>
  <c r="Z261" i="12"/>
  <c r="Z296" i="12"/>
  <c r="Z195" i="12"/>
  <c r="Z250" i="12"/>
  <c r="Z239" i="12"/>
  <c r="CW295" i="12"/>
  <c r="CW320" i="12"/>
  <c r="CW171" i="12"/>
  <c r="O60" i="3" s="1"/>
  <c r="O61" i="3" s="1"/>
  <c r="O62" i="3" s="1"/>
  <c r="CW250" i="12"/>
  <c r="CW224" i="12"/>
  <c r="CW251" i="12"/>
  <c r="EJ284" i="12"/>
  <c r="EJ288" i="12"/>
  <c r="EJ313" i="12"/>
  <c r="EJ220" i="12"/>
  <c r="EJ273" i="12"/>
  <c r="EJ195" i="12"/>
  <c r="K15" i="13"/>
  <c r="AG29" i="13" s="1"/>
  <c r="BX199" i="12"/>
  <c r="BX266" i="12"/>
  <c r="AX282" i="12"/>
  <c r="AX171" i="12"/>
  <c r="EY287" i="12"/>
  <c r="EY259" i="12"/>
  <c r="EY239" i="12"/>
  <c r="EY184" i="12"/>
  <c r="CG238" i="12"/>
  <c r="CG233" i="12"/>
  <c r="CG218" i="12"/>
  <c r="DT271" i="12"/>
  <c r="DT260" i="12"/>
  <c r="DT277" i="12"/>
  <c r="DT179" i="12"/>
  <c r="CT321" i="12"/>
  <c r="CT239" i="12"/>
  <c r="CT322" i="12"/>
  <c r="CT232" i="12"/>
  <c r="AH229" i="12"/>
  <c r="AH245" i="12"/>
  <c r="DI248" i="12"/>
  <c r="DI198" i="12"/>
  <c r="M269" i="12"/>
  <c r="M224" i="12"/>
  <c r="EM208" i="12"/>
  <c r="EM327" i="12"/>
  <c r="AK202" i="12"/>
  <c r="EM248" i="12"/>
  <c r="EM302" i="12"/>
  <c r="EM296" i="12"/>
  <c r="AK218" i="12"/>
  <c r="BQ255" i="12"/>
  <c r="DE214" i="12"/>
  <c r="DI279" i="12"/>
  <c r="DI288" i="12"/>
  <c r="DI208" i="12"/>
  <c r="DI217" i="12"/>
  <c r="M222" i="12"/>
  <c r="M228" i="12"/>
  <c r="M252" i="12"/>
  <c r="M217" i="12"/>
  <c r="EM274" i="12"/>
  <c r="EM284" i="12"/>
  <c r="EM231" i="12"/>
  <c r="EM220" i="12"/>
  <c r="AK169" i="12"/>
  <c r="AK254" i="12"/>
  <c r="AK228" i="12"/>
  <c r="DE251" i="12"/>
  <c r="AU262" i="12"/>
  <c r="AU258" i="12"/>
  <c r="AU215" i="12"/>
  <c r="AU286" i="12"/>
  <c r="AU323" i="12"/>
  <c r="AU256" i="12"/>
  <c r="AU214" i="12"/>
  <c r="AU318" i="12"/>
  <c r="AU316" i="12"/>
  <c r="AU225" i="12"/>
  <c r="AU237" i="12"/>
  <c r="K52" i="13"/>
  <c r="K54" i="13" s="1"/>
  <c r="EM278" i="12"/>
  <c r="EM213" i="12"/>
  <c r="EM257" i="12"/>
  <c r="EM230" i="12"/>
  <c r="EM180" i="12"/>
  <c r="EM280" i="12"/>
  <c r="EM320" i="12"/>
  <c r="EM323" i="12"/>
  <c r="EM255" i="12"/>
  <c r="EM308" i="12"/>
  <c r="AK280" i="12"/>
  <c r="AK200" i="12"/>
  <c r="AK207" i="12"/>
  <c r="AK253" i="12"/>
  <c r="AK212" i="12"/>
  <c r="AK246" i="12"/>
  <c r="AK311" i="12"/>
  <c r="AK316" i="12"/>
  <c r="BQ224" i="12"/>
  <c r="BQ262" i="12"/>
  <c r="BQ257" i="12"/>
  <c r="BQ177" i="12"/>
  <c r="DI171" i="12"/>
  <c r="DI229" i="12"/>
  <c r="DI263" i="12"/>
  <c r="DI177" i="12"/>
  <c r="DI234" i="12"/>
  <c r="DI222" i="12"/>
  <c r="DI299" i="12"/>
  <c r="DI316" i="12"/>
  <c r="DI227" i="12"/>
  <c r="DI303" i="12"/>
  <c r="DI305" i="12"/>
  <c r="DE221" i="12"/>
  <c r="DE237" i="12"/>
  <c r="DE312" i="12"/>
  <c r="DE191" i="12"/>
  <c r="DE267" i="12"/>
  <c r="M178" i="12"/>
  <c r="M338" i="12"/>
  <c r="M331" i="12" s="1"/>
  <c r="M219" i="12"/>
  <c r="M296" i="12"/>
  <c r="M187" i="12"/>
  <c r="M302" i="12"/>
  <c r="M260" i="12"/>
  <c r="M241" i="12"/>
  <c r="M191" i="12"/>
  <c r="M292" i="12"/>
  <c r="M181" i="12"/>
  <c r="EF338" i="12"/>
  <c r="EF331" i="12" s="1"/>
  <c r="EF208" i="12"/>
  <c r="EF280" i="12"/>
  <c r="EF244" i="12"/>
  <c r="EF209" i="12"/>
  <c r="EF284" i="12"/>
  <c r="EF254" i="12"/>
  <c r="EF214" i="12"/>
  <c r="EF255" i="12"/>
  <c r="CZ231" i="12"/>
  <c r="CZ251" i="12"/>
  <c r="CZ233" i="12"/>
  <c r="BT313" i="12"/>
  <c r="BT316" i="12"/>
  <c r="BT301" i="12"/>
  <c r="CU294" i="12"/>
  <c r="CU176" i="12"/>
  <c r="CU321" i="12"/>
  <c r="CU243" i="12"/>
  <c r="CU190" i="12"/>
  <c r="CU254" i="12"/>
  <c r="CU292" i="12"/>
  <c r="CU181" i="12"/>
  <c r="CU302" i="12"/>
  <c r="CU288" i="12"/>
  <c r="CU214" i="12"/>
  <c r="BF242" i="12"/>
  <c r="BF205" i="12"/>
  <c r="BF189" i="12"/>
  <c r="BF282" i="12"/>
  <c r="BF169" i="12"/>
  <c r="BF243" i="12"/>
  <c r="BF327" i="12"/>
  <c r="BF178" i="12"/>
  <c r="BF236" i="12"/>
  <c r="BF245" i="12"/>
  <c r="AK225" i="12"/>
  <c r="AK187" i="12"/>
  <c r="AK241" i="12"/>
  <c r="AK322" i="12"/>
  <c r="BQ309" i="12"/>
  <c r="BQ247" i="12"/>
  <c r="BQ191" i="12"/>
  <c r="BQ302" i="12"/>
  <c r="BQ234" i="12"/>
  <c r="DE187" i="12"/>
  <c r="DE273" i="12"/>
  <c r="DE304" i="12"/>
  <c r="DE212" i="12"/>
  <c r="DE325" i="12"/>
  <c r="DE235" i="12"/>
  <c r="DE181" i="12"/>
  <c r="CZ275" i="12"/>
  <c r="CZ272" i="12"/>
  <c r="CZ199" i="12"/>
  <c r="CZ305" i="12"/>
  <c r="BT258" i="12"/>
  <c r="BT196" i="12"/>
  <c r="BT213" i="12"/>
  <c r="AN169" i="12"/>
  <c r="DE180" i="12"/>
  <c r="DE249" i="12"/>
  <c r="DE256" i="12"/>
  <c r="G92" i="13"/>
  <c r="AJ18" i="13" s="1"/>
  <c r="CZ178" i="12"/>
  <c r="CZ300" i="12"/>
  <c r="CZ192" i="12"/>
  <c r="CZ246" i="12"/>
  <c r="CZ277" i="12"/>
  <c r="CZ194" i="12"/>
  <c r="CZ279" i="12"/>
  <c r="BT287" i="12"/>
  <c r="BT212" i="12"/>
  <c r="BT200" i="12"/>
  <c r="BT233" i="12"/>
  <c r="BT249" i="12"/>
  <c r="BT246" i="12"/>
  <c r="AN180" i="12"/>
  <c r="AN265" i="12"/>
  <c r="AN317" i="12"/>
  <c r="H242" i="12"/>
  <c r="BT286" i="12"/>
  <c r="BT202" i="12"/>
  <c r="AN208" i="12"/>
  <c r="AN237" i="12"/>
  <c r="AN279" i="12"/>
  <c r="AN304" i="12"/>
  <c r="AN318" i="12"/>
  <c r="H192" i="12"/>
  <c r="H329" i="12"/>
  <c r="EL301" i="12"/>
  <c r="BZ234" i="12"/>
  <c r="BT276" i="12"/>
  <c r="BT298" i="12"/>
  <c r="BT299" i="12"/>
  <c r="AN281" i="12"/>
  <c r="AN269" i="12"/>
  <c r="AN236" i="12"/>
  <c r="AN329" i="12"/>
  <c r="AN296" i="12"/>
  <c r="AN249" i="12"/>
  <c r="AN259" i="12"/>
  <c r="AN257" i="12"/>
  <c r="AN240" i="12"/>
  <c r="H321" i="12"/>
  <c r="H244" i="12"/>
  <c r="H293" i="12"/>
  <c r="EL296" i="12"/>
  <c r="BZ199" i="12"/>
  <c r="H225" i="12"/>
  <c r="H239" i="12"/>
  <c r="EL190" i="12"/>
  <c r="EL197" i="12"/>
  <c r="BZ282" i="12"/>
  <c r="BZ222" i="12"/>
  <c r="BO203" i="12"/>
  <c r="CK330" i="12"/>
  <c r="AN223" i="12"/>
  <c r="H246" i="12"/>
  <c r="H283" i="12"/>
  <c r="H208" i="12"/>
  <c r="H247" i="12"/>
  <c r="H270" i="12"/>
  <c r="H262" i="12"/>
  <c r="H228" i="12"/>
  <c r="EL253" i="12"/>
  <c r="EL191" i="12"/>
  <c r="EL233" i="12"/>
  <c r="EL171" i="12"/>
  <c r="EL281" i="12"/>
  <c r="BZ307" i="12"/>
  <c r="BZ185" i="12"/>
  <c r="BZ205" i="12"/>
  <c r="N265" i="12"/>
  <c r="BO328" i="12"/>
  <c r="EW228" i="12"/>
  <c r="ES185" i="12"/>
  <c r="BZ299" i="12"/>
  <c r="BZ203" i="12"/>
  <c r="BZ304" i="12"/>
  <c r="BZ269" i="12"/>
  <c r="BZ259" i="12"/>
  <c r="BZ212" i="12"/>
  <c r="N271" i="12"/>
  <c r="N223" i="12"/>
  <c r="N200" i="12"/>
  <c r="AI194" i="12"/>
  <c r="BO225" i="12"/>
  <c r="BO319" i="12"/>
  <c r="CK185" i="12"/>
  <c r="EW213" i="12"/>
  <c r="ES284" i="12"/>
  <c r="BZ237" i="12"/>
  <c r="N178" i="12"/>
  <c r="N283" i="12"/>
  <c r="N231" i="12"/>
  <c r="N250" i="12"/>
  <c r="AI321" i="12"/>
  <c r="AI221" i="12"/>
  <c r="BO204" i="12"/>
  <c r="BO330" i="12"/>
  <c r="BO200" i="12"/>
  <c r="BO293" i="12"/>
  <c r="BE313" i="12"/>
  <c r="CK190" i="12"/>
  <c r="CK320" i="12"/>
  <c r="CK229" i="12"/>
  <c r="EW305" i="12"/>
  <c r="EW253" i="12"/>
  <c r="ES297" i="12"/>
  <c r="ER259" i="12"/>
  <c r="ER224" i="12"/>
  <c r="DL191" i="12"/>
  <c r="AW172" i="12"/>
  <c r="U172" i="12"/>
  <c r="EA172" i="12"/>
  <c r="BA172" i="12"/>
  <c r="CF172" i="12"/>
  <c r="O172" i="12"/>
  <c r="BK172" i="12"/>
  <c r="CZ172" i="12"/>
  <c r="AY172" i="12"/>
  <c r="CP172" i="12"/>
  <c r="AJ172" i="12"/>
  <c r="E207" i="12"/>
  <c r="E303" i="12"/>
  <c r="EN317" i="12"/>
  <c r="EN176" i="12"/>
  <c r="EN228" i="12"/>
  <c r="EN291" i="12"/>
  <c r="EN191" i="12"/>
  <c r="EN257" i="12"/>
  <c r="EN322" i="12"/>
  <c r="EN207" i="12"/>
  <c r="EN201" i="12"/>
  <c r="EN262" i="12"/>
  <c r="EN330" i="12"/>
  <c r="EN233" i="12"/>
  <c r="EN325" i="12"/>
  <c r="EN218" i="12"/>
  <c r="EN296" i="12"/>
  <c r="EN177" i="12"/>
  <c r="EN263" i="12"/>
  <c r="EN329" i="12"/>
  <c r="EN286" i="12"/>
  <c r="EN323" i="12"/>
  <c r="EN203" i="12"/>
  <c r="EN274" i="12"/>
  <c r="EN181" i="12"/>
  <c r="EN247" i="12"/>
  <c r="EN303" i="12"/>
  <c r="EN327" i="12"/>
  <c r="EN236" i="12"/>
  <c r="EN215" i="12"/>
  <c r="EN195" i="12"/>
  <c r="EN295" i="12"/>
  <c r="EN234" i="12"/>
  <c r="EN290" i="12"/>
  <c r="EN217" i="12"/>
  <c r="EN312" i="12"/>
  <c r="EN198" i="12"/>
  <c r="EN273" i="12"/>
  <c r="EN288" i="12"/>
  <c r="EN324" i="12"/>
  <c r="EN275" i="12"/>
  <c r="DX172" i="12"/>
  <c r="CR284" i="12"/>
  <c r="CR208" i="12"/>
  <c r="CR286" i="12"/>
  <c r="CR201" i="12"/>
  <c r="CR301" i="12"/>
  <c r="CR276" i="12"/>
  <c r="CR294" i="12"/>
  <c r="CR309" i="12"/>
  <c r="CR237" i="12"/>
  <c r="CR193" i="12"/>
  <c r="CR312" i="12"/>
  <c r="CR220" i="12"/>
  <c r="CR295" i="12"/>
  <c r="CR202" i="12"/>
  <c r="CR282" i="12"/>
  <c r="CR192" i="12"/>
  <c r="CR263" i="12"/>
  <c r="CR299" i="12"/>
  <c r="CR257" i="12"/>
  <c r="CR238" i="12"/>
  <c r="CR211" i="12"/>
  <c r="CR261" i="12"/>
  <c r="CR180" i="12"/>
  <c r="CR269" i="12"/>
  <c r="CR194" i="12"/>
  <c r="CR171" i="12"/>
  <c r="CR230" i="12"/>
  <c r="CR278" i="12"/>
  <c r="CR254" i="12"/>
  <c r="CR204" i="12"/>
  <c r="CR305" i="12"/>
  <c r="CR280" i="12"/>
  <c r="CR234" i="12"/>
  <c r="CR307" i="12"/>
  <c r="CR239" i="12"/>
  <c r="CR232" i="12"/>
  <c r="CR190" i="12"/>
  <c r="CR304" i="12"/>
  <c r="CR322" i="12"/>
  <c r="CB214" i="12"/>
  <c r="CB184" i="12"/>
  <c r="CB321" i="12"/>
  <c r="CB247" i="12"/>
  <c r="CB180" i="12"/>
  <c r="CB224" i="12"/>
  <c r="CB216" i="12"/>
  <c r="CB200" i="12"/>
  <c r="CB280" i="12"/>
  <c r="CB256" i="12"/>
  <c r="CB236" i="12"/>
  <c r="CB223" i="12"/>
  <c r="CB267" i="12"/>
  <c r="CB324" i="12"/>
  <c r="CB295" i="12"/>
  <c r="CB300" i="12"/>
  <c r="CB327" i="12"/>
  <c r="CB292" i="12"/>
  <c r="CB234" i="12"/>
  <c r="CB338" i="12"/>
  <c r="CB331" i="12" s="1"/>
  <c r="CB176" i="12"/>
  <c r="CB213" i="12"/>
  <c r="CB275" i="12"/>
  <c r="CB235" i="12"/>
  <c r="CB271" i="12"/>
  <c r="CB242" i="12"/>
  <c r="CB202" i="12"/>
  <c r="CB183" i="12"/>
  <c r="CB309" i="12"/>
  <c r="CB322" i="12"/>
  <c r="CB196" i="12"/>
  <c r="CB254" i="12"/>
  <c r="CB193" i="12"/>
  <c r="CB249" i="12"/>
  <c r="CB315" i="12"/>
  <c r="CB329" i="12"/>
  <c r="CB182" i="12"/>
  <c r="CB281" i="12"/>
  <c r="CB237" i="12"/>
  <c r="CB318" i="12"/>
  <c r="CB228" i="12"/>
  <c r="CB311" i="12"/>
  <c r="CB205" i="12"/>
  <c r="CB283" i="12"/>
  <c r="CB302" i="12"/>
  <c r="CB312" i="12"/>
  <c r="CB240" i="12"/>
  <c r="CB198" i="12"/>
  <c r="CB304" i="12"/>
  <c r="CB326" i="12"/>
  <c r="CB243" i="12"/>
  <c r="CB293" i="12"/>
  <c r="CB264" i="12"/>
  <c r="CB276" i="12"/>
  <c r="CB204" i="12"/>
  <c r="CB230" i="12"/>
  <c r="CB210" i="12"/>
  <c r="CB178" i="12"/>
  <c r="CB282" i="12"/>
  <c r="AF206" i="12"/>
  <c r="AF271" i="12"/>
  <c r="AF306" i="12"/>
  <c r="AF329" i="12"/>
  <c r="AF286" i="12"/>
  <c r="AF197" i="12"/>
  <c r="AF212" i="12"/>
  <c r="AF315" i="12"/>
  <c r="AF243" i="12"/>
  <c r="AF253" i="12"/>
  <c r="AF184" i="12"/>
  <c r="AF233" i="12"/>
  <c r="AF270" i="12"/>
  <c r="AF325" i="12"/>
  <c r="AF234" i="12"/>
  <c r="AF326" i="12"/>
  <c r="AF226" i="12"/>
  <c r="AF221" i="12"/>
  <c r="AF172" i="12"/>
  <c r="AF284" i="12"/>
  <c r="AF205" i="12"/>
  <c r="AF176" i="12"/>
  <c r="AF207" i="12"/>
  <c r="AF301" i="12"/>
  <c r="AF242" i="12"/>
  <c r="AF268" i="12"/>
  <c r="AF285" i="12"/>
  <c r="AF194" i="12"/>
  <c r="AF183" i="12"/>
  <c r="AF264" i="12"/>
  <c r="AF213" i="12"/>
  <c r="AF187" i="12"/>
  <c r="AF287" i="12"/>
  <c r="AF304" i="12"/>
  <c r="AF251" i="12"/>
  <c r="AF231" i="12"/>
  <c r="AF250" i="12"/>
  <c r="AF216" i="12"/>
  <c r="AF311" i="12"/>
  <c r="AF330" i="12"/>
  <c r="AF249" i="12"/>
  <c r="AF239" i="12"/>
  <c r="AF225" i="12"/>
  <c r="AF274" i="12"/>
  <c r="AF199" i="12"/>
  <c r="AF321" i="12"/>
  <c r="AF316" i="12"/>
  <c r="AF222" i="12"/>
  <c r="AF288" i="12"/>
  <c r="AF277" i="12"/>
  <c r="AF262" i="12"/>
  <c r="AF276" i="12"/>
  <c r="AF186" i="12"/>
  <c r="AF283" i="12"/>
  <c r="AF295" i="12"/>
  <c r="AF314" i="12"/>
  <c r="AF217" i="12"/>
  <c r="AF260" i="12"/>
  <c r="AF259" i="12"/>
  <c r="AF224" i="12"/>
  <c r="P294" i="12"/>
  <c r="P281" i="12"/>
  <c r="P246" i="12"/>
  <c r="P186" i="12"/>
  <c r="P270" i="12"/>
  <c r="P306" i="12"/>
  <c r="P213" i="12"/>
  <c r="P232" i="12"/>
  <c r="P321" i="12"/>
  <c r="P250" i="12"/>
  <c r="P292" i="12"/>
  <c r="P279" i="12"/>
  <c r="P202" i="12"/>
  <c r="P256" i="12"/>
  <c r="P185" i="12"/>
  <c r="P216" i="12"/>
  <c r="P315" i="12"/>
  <c r="P278" i="12"/>
  <c r="P285" i="12"/>
  <c r="P229" i="12"/>
  <c r="P222" i="12"/>
  <c r="P276" i="12"/>
  <c r="P224" i="12"/>
  <c r="P230" i="12"/>
  <c r="P257" i="12"/>
  <c r="P266" i="12"/>
  <c r="P215" i="12"/>
  <c r="P199" i="12"/>
  <c r="P184" i="12"/>
  <c r="P328" i="12"/>
  <c r="P244" i="12"/>
  <c r="P283" i="12"/>
  <c r="P267" i="12"/>
  <c r="P293" i="12"/>
  <c r="P189" i="12"/>
  <c r="C39" i="13"/>
  <c r="P286" i="12"/>
  <c r="P237" i="12"/>
  <c r="P324" i="12"/>
  <c r="P253" i="12"/>
  <c r="P208" i="12"/>
  <c r="P298" i="12"/>
  <c r="P178" i="12"/>
  <c r="P291" i="12"/>
  <c r="P258" i="12"/>
  <c r="P296" i="12"/>
  <c r="P330" i="12"/>
  <c r="P212" i="12"/>
  <c r="P218" i="12"/>
  <c r="P219" i="12"/>
  <c r="P297" i="12"/>
  <c r="P194" i="12"/>
  <c r="P300" i="12"/>
  <c r="P231" i="12"/>
  <c r="P177" i="12"/>
  <c r="P329" i="12"/>
  <c r="P269" i="12"/>
  <c r="P217" i="12"/>
  <c r="P193" i="12"/>
  <c r="P240" i="12"/>
  <c r="P255" i="12"/>
  <c r="P241" i="12"/>
  <c r="P249" i="12"/>
  <c r="P299" i="12"/>
  <c r="P264" i="12"/>
  <c r="P287" i="12"/>
  <c r="P183" i="12"/>
  <c r="P323" i="12"/>
  <c r="P301" i="12"/>
  <c r="P320" i="12"/>
  <c r="P242" i="12"/>
  <c r="P204" i="12"/>
  <c r="P207" i="12"/>
  <c r="P305" i="12"/>
  <c r="ED187" i="12"/>
  <c r="ED281" i="12"/>
  <c r="ED197" i="12"/>
  <c r="ED275" i="12"/>
  <c r="ED250" i="12"/>
  <c r="ED216" i="12"/>
  <c r="ED297" i="12"/>
  <c r="ED259" i="12"/>
  <c r="ED221" i="12"/>
  <c r="ED186" i="12"/>
  <c r="ED268" i="12"/>
  <c r="ED319" i="12"/>
  <c r="ED266" i="12"/>
  <c r="ED236" i="12"/>
  <c r="ED226" i="12"/>
  <c r="ED183" i="12"/>
  <c r="ED291" i="12"/>
  <c r="ED315" i="12"/>
  <c r="ED273" i="12"/>
  <c r="ED206" i="12"/>
  <c r="ED207" i="12"/>
  <c r="ED177" i="12"/>
  <c r="ED270" i="12"/>
  <c r="ED298" i="12"/>
  <c r="ED321" i="12"/>
  <c r="ED218" i="12"/>
  <c r="ED195" i="12"/>
  <c r="ED178" i="12"/>
  <c r="ED261" i="12"/>
  <c r="I96" i="13"/>
  <c r="AJ25" i="13" s="1"/>
  <c r="ED220" i="12"/>
  <c r="ED272" i="12"/>
  <c r="ED180" i="12"/>
  <c r="ED240" i="12"/>
  <c r="ED283" i="12"/>
  <c r="ED230" i="12"/>
  <c r="ED299" i="12"/>
  <c r="ED202" i="12"/>
  <c r="ED325" i="12"/>
  <c r="ED274" i="12"/>
  <c r="ED224" i="12"/>
  <c r="ED323" i="12"/>
  <c r="ED209" i="12"/>
  <c r="ED277" i="12"/>
  <c r="ED179" i="12"/>
  <c r="ED245" i="12"/>
  <c r="ED304" i="12"/>
  <c r="ED199" i="12"/>
  <c r="ED310" i="12"/>
  <c r="ED169" i="12"/>
  <c r="ED241" i="12"/>
  <c r="ED260" i="12"/>
  <c r="ED231" i="12"/>
  <c r="ED318" i="12"/>
  <c r="ED203" i="12"/>
  <c r="ED329" i="12"/>
  <c r="ED320" i="12"/>
  <c r="ED234" i="12"/>
  <c r="ED327" i="12"/>
  <c r="ED212" i="12"/>
  <c r="ED280" i="12"/>
  <c r="ED182" i="12"/>
  <c r="ED248" i="12"/>
  <c r="ED316" i="12"/>
  <c r="ED201" i="12"/>
  <c r="ED314" i="12"/>
  <c r="ED193" i="12"/>
  <c r="ED255" i="12"/>
  <c r="ED293" i="12"/>
  <c r="DN169" i="12"/>
  <c r="DN241" i="12"/>
  <c r="DN260" i="12"/>
  <c r="DN199" i="12"/>
  <c r="DN326" i="12"/>
  <c r="DN202" i="12"/>
  <c r="DN313" i="12"/>
  <c r="DN267" i="12"/>
  <c r="DN215" i="12"/>
  <c r="DN299" i="12"/>
  <c r="DN216" i="12"/>
  <c r="DN273" i="12"/>
  <c r="DN188" i="12"/>
  <c r="DN252" i="12"/>
  <c r="DN296" i="12"/>
  <c r="DN201" i="12"/>
  <c r="DN314" i="12"/>
  <c r="DN203" i="12"/>
  <c r="DN317" i="12"/>
  <c r="DN268" i="12"/>
  <c r="DN198" i="12"/>
  <c r="DN322" i="12"/>
  <c r="DN193" i="12"/>
  <c r="DN325" i="12"/>
  <c r="DN275" i="12"/>
  <c r="DN235" i="12"/>
  <c r="DN311" i="12"/>
  <c r="DN213" i="12"/>
  <c r="DN272" i="12"/>
  <c r="DN180" i="12"/>
  <c r="DN249" i="12"/>
  <c r="DN286" i="12"/>
  <c r="DN211" i="12"/>
  <c r="DN291" i="12"/>
  <c r="DN195" i="12"/>
  <c r="DN329" i="12"/>
  <c r="DN300" i="12"/>
  <c r="DN238" i="12"/>
  <c r="DN315" i="12"/>
  <c r="BR230" i="12"/>
  <c r="E44" i="13"/>
  <c r="E46" i="13" s="1"/>
  <c r="BR210" i="12"/>
  <c r="BR280" i="12"/>
  <c r="BR197" i="12"/>
  <c r="BR295" i="12"/>
  <c r="BR169" i="12"/>
  <c r="BR262" i="12"/>
  <c r="BR320" i="12"/>
  <c r="BR219" i="12"/>
  <c r="BR319" i="12"/>
  <c r="BR180" i="12"/>
  <c r="BR270" i="12"/>
  <c r="BR328" i="12"/>
  <c r="BR231" i="12"/>
  <c r="BR240" i="12"/>
  <c r="BR207" i="12"/>
  <c r="BR283" i="12"/>
  <c r="BR177" i="12"/>
  <c r="BR266" i="12"/>
  <c r="BR324" i="12"/>
  <c r="BR228" i="12"/>
  <c r="BR248" i="12"/>
  <c r="BR194" i="12"/>
  <c r="BR263" i="12"/>
  <c r="BR301" i="12"/>
  <c r="BR234" i="12"/>
  <c r="BR288" i="12"/>
  <c r="BR220" i="12"/>
  <c r="BR287" i="12"/>
  <c r="BR181" i="12"/>
  <c r="BR302" i="12"/>
  <c r="BR261" i="12"/>
  <c r="BR208" i="12"/>
  <c r="BR268" i="12"/>
  <c r="BR193" i="12"/>
  <c r="BR251" i="12"/>
  <c r="BR329" i="12"/>
  <c r="BR235" i="12"/>
  <c r="BR292" i="12"/>
  <c r="F189" i="12"/>
  <c r="C16" i="13"/>
  <c r="AG5" i="13" s="1"/>
  <c r="AG36" i="13" s="1"/>
  <c r="AH66" i="13" s="1"/>
  <c r="F310" i="12"/>
  <c r="F302" i="12"/>
  <c r="F233" i="12"/>
  <c r="F247" i="12"/>
  <c r="F194" i="12"/>
  <c r="F284" i="12"/>
  <c r="F169" i="12"/>
  <c r="F273" i="12"/>
  <c r="F321" i="12"/>
  <c r="F265" i="12"/>
  <c r="F279" i="12"/>
  <c r="F312" i="12"/>
  <c r="F244" i="12"/>
  <c r="F241" i="12"/>
  <c r="F293" i="12"/>
  <c r="F257" i="12"/>
  <c r="F210" i="12"/>
  <c r="F226" i="12"/>
  <c r="F193" i="12"/>
  <c r="F221" i="12"/>
  <c r="F338" i="12"/>
  <c r="F331" i="12" s="1"/>
  <c r="F272" i="12"/>
  <c r="F307" i="12"/>
  <c r="F204" i="12"/>
  <c r="F322" i="12"/>
  <c r="F305" i="12"/>
  <c r="F295" i="12"/>
  <c r="F330" i="12"/>
  <c r="F190" i="12"/>
  <c r="F278" i="12"/>
  <c r="F288" i="12"/>
  <c r="F329" i="12"/>
  <c r="F220" i="12"/>
  <c r="F238" i="12"/>
  <c r="F319" i="12"/>
  <c r="F231" i="12"/>
  <c r="F271" i="12"/>
  <c r="F292" i="12"/>
  <c r="F313" i="12"/>
  <c r="F177" i="12"/>
  <c r="F327" i="12"/>
  <c r="F230" i="12"/>
  <c r="F187" i="12"/>
  <c r="F239" i="12"/>
  <c r="F248" i="12"/>
  <c r="F275" i="12"/>
  <c r="F180" i="12"/>
  <c r="F290" i="12"/>
  <c r="F309" i="12"/>
  <c r="F320" i="12"/>
  <c r="F267" i="12"/>
  <c r="F252" i="12"/>
  <c r="F281" i="12"/>
  <c r="F172" i="12"/>
  <c r="F274" i="12"/>
  <c r="F245" i="12"/>
  <c r="F324" i="12"/>
  <c r="F235" i="12"/>
  <c r="AA208" i="12"/>
  <c r="AA325" i="12"/>
  <c r="AA298" i="12"/>
  <c r="AA228" i="12"/>
  <c r="AA264" i="12"/>
  <c r="AA246" i="12"/>
  <c r="AA181" i="12"/>
  <c r="AA236" i="12"/>
  <c r="AA273" i="12"/>
  <c r="AA321" i="12"/>
  <c r="AA176" i="12"/>
  <c r="AA196" i="12"/>
  <c r="AA285" i="12"/>
  <c r="AA280" i="12"/>
  <c r="AA204" i="12"/>
  <c r="AA215" i="12"/>
  <c r="AA230" i="12"/>
  <c r="AA253" i="12"/>
  <c r="AA278" i="12"/>
  <c r="AA316" i="12"/>
  <c r="AA279" i="12"/>
  <c r="AA294" i="12"/>
  <c r="AA317" i="12"/>
  <c r="AA205" i="12"/>
  <c r="AA305" i="12"/>
  <c r="AA254" i="12"/>
  <c r="AA306" i="12"/>
  <c r="AA255" i="12"/>
  <c r="AA227" i="12"/>
  <c r="AA187" i="12"/>
  <c r="AA177" i="12"/>
  <c r="AA289" i="12"/>
  <c r="AA271" i="12"/>
  <c r="AA308" i="12"/>
  <c r="AA259" i="12"/>
  <c r="AA283" i="12"/>
  <c r="AA287" i="12"/>
  <c r="AA214" i="12"/>
  <c r="AA223" i="12"/>
  <c r="AA268" i="12"/>
  <c r="AA256" i="12"/>
  <c r="AA301" i="12"/>
  <c r="AA184" i="12"/>
  <c r="AA315" i="12"/>
  <c r="AA202" i="12"/>
  <c r="AA193" i="12"/>
  <c r="AA200" i="12"/>
  <c r="AA226" i="12"/>
  <c r="AA222" i="12"/>
  <c r="AA210" i="12"/>
  <c r="AA304" i="12"/>
  <c r="AA249" i="12"/>
  <c r="AA212" i="12"/>
  <c r="AA242" i="12"/>
  <c r="AA319" i="12"/>
  <c r="AA323" i="12"/>
  <c r="AA248" i="12"/>
  <c r="AA290" i="12"/>
  <c r="AA188" i="12"/>
  <c r="AA182" i="12"/>
  <c r="AA310" i="12"/>
  <c r="AA329" i="12"/>
  <c r="AA324" i="12"/>
  <c r="AA302" i="12"/>
  <c r="AA326" i="12"/>
  <c r="AA277" i="12"/>
  <c r="AA235" i="12"/>
  <c r="AA282" i="12"/>
  <c r="AA284" i="12"/>
  <c r="BW204" i="12"/>
  <c r="BW210" i="12"/>
  <c r="BW169" i="12"/>
  <c r="BW291" i="12"/>
  <c r="BW263" i="12"/>
  <c r="BW309" i="12"/>
  <c r="BW243" i="12"/>
  <c r="BW211" i="12"/>
  <c r="BW293" i="12"/>
  <c r="BW213" i="12"/>
  <c r="BW207" i="12"/>
  <c r="BW287" i="12"/>
  <c r="BW286" i="12"/>
  <c r="BW258" i="12"/>
  <c r="BW233" i="12"/>
  <c r="BW234" i="12"/>
  <c r="BW206" i="12"/>
  <c r="BW292" i="12"/>
  <c r="BW327" i="12"/>
  <c r="BW338" i="12"/>
  <c r="BW331" i="12" s="1"/>
  <c r="BW215" i="12"/>
  <c r="BW310" i="12"/>
  <c r="BW188" i="12"/>
  <c r="BW321" i="12"/>
  <c r="BW314" i="12"/>
  <c r="BW227" i="12"/>
  <c r="BW311" i="12"/>
  <c r="BW183" i="12"/>
  <c r="BW272" i="12"/>
  <c r="BW266" i="12"/>
  <c r="BW231" i="12"/>
  <c r="BW280" i="12"/>
  <c r="BW196" i="12"/>
  <c r="BW274" i="12"/>
  <c r="BW194" i="12"/>
  <c r="BW317" i="12"/>
  <c r="BW238" i="12"/>
  <c r="BW259" i="12"/>
  <c r="BW201" i="12"/>
  <c r="BW252" i="12"/>
  <c r="BW186" i="12"/>
  <c r="BW301" i="12"/>
  <c r="BW236" i="12"/>
  <c r="BW216" i="12"/>
  <c r="BW306" i="12"/>
  <c r="BW187" i="12"/>
  <c r="BW240" i="12"/>
  <c r="BW324" i="12"/>
  <c r="BW273" i="12"/>
  <c r="BW296" i="12"/>
  <c r="BW222" i="12"/>
  <c r="BW223" i="12"/>
  <c r="BW184" i="12"/>
  <c r="BW313" i="12"/>
  <c r="BW271" i="12"/>
  <c r="BW270" i="12"/>
  <c r="BW218" i="12"/>
  <c r="BW219" i="12"/>
  <c r="E71" i="13"/>
  <c r="CM265" i="12"/>
  <c r="CM311" i="12"/>
  <c r="CM310" i="12"/>
  <c r="CM224" i="12"/>
  <c r="CM210" i="12"/>
  <c r="CM198" i="12"/>
  <c r="CM180" i="12"/>
  <c r="CM273" i="12"/>
  <c r="CM303" i="12"/>
  <c r="CM318" i="12"/>
  <c r="CM234" i="12"/>
  <c r="CM197" i="12"/>
  <c r="CM186" i="12"/>
  <c r="CM277" i="12"/>
  <c r="CM292" i="12"/>
  <c r="CM295" i="12"/>
  <c r="CM294" i="12"/>
  <c r="CM226" i="12"/>
  <c r="CM222" i="12"/>
  <c r="CM220" i="12"/>
  <c r="CM309" i="12"/>
  <c r="CM338" i="12"/>
  <c r="CM331" i="12" s="1"/>
  <c r="CM205" i="12"/>
  <c r="CM272" i="12"/>
  <c r="CM209" i="12"/>
  <c r="CM291" i="12"/>
  <c r="CM169" i="12"/>
  <c r="CM251" i="12"/>
  <c r="CM328" i="12"/>
  <c r="CM229" i="12"/>
  <c r="CM262" i="12"/>
  <c r="CM215" i="12"/>
  <c r="CM327" i="12"/>
  <c r="CM206" i="12"/>
  <c r="CM326" i="12"/>
  <c r="CM171" i="12"/>
  <c r="CM223" i="12"/>
  <c r="CM280" i="12"/>
  <c r="CM200" i="12"/>
  <c r="CM299" i="12"/>
  <c r="CM177" i="12"/>
  <c r="CM298" i="12"/>
  <c r="CM281" i="12"/>
  <c r="CM239" i="12"/>
  <c r="CM284" i="12"/>
  <c r="CM185" i="12"/>
  <c r="CM250" i="12"/>
  <c r="CM172" i="12"/>
  <c r="CM249" i="12"/>
  <c r="CM244" i="12"/>
  <c r="CM216" i="12"/>
  <c r="CM259" i="12"/>
  <c r="CM214" i="12"/>
  <c r="CM275" i="12"/>
  <c r="CM194" i="12"/>
  <c r="CM290" i="12"/>
  <c r="CM245" i="12"/>
  <c r="CM219" i="12"/>
  <c r="CM308" i="12"/>
  <c r="DS172" i="12"/>
  <c r="EI314" i="12"/>
  <c r="EI338" i="12"/>
  <c r="EI331" i="12" s="1"/>
  <c r="EI218" i="12"/>
  <c r="EI326" i="12"/>
  <c r="EI178" i="12"/>
  <c r="EI260" i="12"/>
  <c r="EI298" i="12"/>
  <c r="EI201" i="12"/>
  <c r="EI248" i="12"/>
  <c r="EI202" i="12"/>
  <c r="EI293" i="12"/>
  <c r="EI329" i="12"/>
  <c r="EI234" i="12"/>
  <c r="EI266" i="12"/>
  <c r="EI206" i="12"/>
  <c r="EI297" i="12"/>
  <c r="EI325" i="12"/>
  <c r="EI238" i="12"/>
  <c r="EI295" i="12"/>
  <c r="EI228" i="12"/>
  <c r="EI246" i="12"/>
  <c r="EI186" i="12"/>
  <c r="EI268" i="12"/>
  <c r="EI307" i="12"/>
  <c r="EI216" i="12"/>
  <c r="EI232" i="12"/>
  <c r="EI190" i="12"/>
  <c r="EI279" i="12"/>
  <c r="EI244" i="12"/>
  <c r="EI240" i="12"/>
  <c r="EI294" i="12"/>
  <c r="EI217" i="12"/>
  <c r="EI241" i="12"/>
  <c r="EI199" i="12"/>
  <c r="EI282" i="12"/>
  <c r="EI223" i="12"/>
  <c r="EI249" i="12"/>
  <c r="EI312" i="12"/>
  <c r="EI213" i="12"/>
  <c r="EI269" i="12"/>
  <c r="EY315" i="12"/>
  <c r="EY182" i="12"/>
  <c r="EY261" i="12"/>
  <c r="EY303" i="12"/>
  <c r="EY205" i="12"/>
  <c r="EY246" i="12"/>
  <c r="EY181" i="12"/>
  <c r="EY279" i="12"/>
  <c r="EY321" i="12"/>
  <c r="EY226" i="12"/>
  <c r="EY281" i="12"/>
  <c r="EY201" i="12"/>
  <c r="EY322" i="12"/>
  <c r="EY188" i="12"/>
  <c r="EY267" i="12"/>
  <c r="EY310" i="12"/>
  <c r="EY204" i="12"/>
  <c r="EY241" i="12"/>
  <c r="EY185" i="12"/>
  <c r="EY293" i="12"/>
  <c r="EY245" i="12"/>
  <c r="EY233" i="12"/>
  <c r="EY288" i="12"/>
  <c r="EY222" i="12"/>
  <c r="EY328" i="12"/>
  <c r="EY186" i="12"/>
  <c r="EY265" i="12"/>
  <c r="EY307" i="12"/>
  <c r="EY223" i="12"/>
  <c r="EY263" i="12"/>
  <c r="EY200" i="12"/>
  <c r="EY300" i="12"/>
  <c r="EY247" i="12"/>
  <c r="EY251" i="12"/>
  <c r="EY294" i="12"/>
  <c r="EY220" i="12"/>
  <c r="EY326" i="12"/>
  <c r="EY199" i="12"/>
  <c r="EY278" i="12"/>
  <c r="EY330" i="12"/>
  <c r="BM270" i="12"/>
  <c r="BM323" i="12"/>
  <c r="BM188" i="12"/>
  <c r="BM293" i="12"/>
  <c r="BM279" i="12"/>
  <c r="BM200" i="12"/>
  <c r="BM280" i="12"/>
  <c r="BM181" i="12"/>
  <c r="BM210" i="12"/>
  <c r="CG187" i="12"/>
  <c r="CG262" i="12"/>
  <c r="CG313" i="12"/>
  <c r="CG302" i="12"/>
  <c r="CG318" i="12"/>
  <c r="CG176" i="12"/>
  <c r="CG189" i="12"/>
  <c r="CG234" i="12"/>
  <c r="CG244" i="12"/>
  <c r="CG286" i="12"/>
  <c r="CG311" i="12"/>
  <c r="CG182" i="12"/>
  <c r="CG228" i="12"/>
  <c r="CG229" i="12"/>
  <c r="CG265" i="12"/>
  <c r="CG338" i="12"/>
  <c r="CG331" i="12" s="1"/>
  <c r="CG184" i="12"/>
  <c r="CG303" i="12"/>
  <c r="CG249" i="12"/>
  <c r="CG169" i="12"/>
  <c r="CG320" i="12"/>
  <c r="CG295" i="12"/>
  <c r="CG290" i="12"/>
  <c r="CG215" i="12"/>
  <c r="CG197" i="12"/>
  <c r="CG225" i="12"/>
  <c r="CG301" i="12"/>
  <c r="CG256" i="12"/>
  <c r="CG206" i="12"/>
  <c r="CG309" i="12"/>
  <c r="CG207" i="12"/>
  <c r="CG198" i="12"/>
  <c r="CG281" i="12"/>
  <c r="CG260" i="12"/>
  <c r="CG245" i="12"/>
  <c r="CG171" i="12"/>
  <c r="N89" i="3" s="1"/>
  <c r="K41" i="14" s="1"/>
  <c r="CG240" i="12"/>
  <c r="CG190" i="12"/>
  <c r="CG183" i="12"/>
  <c r="CG289" i="12"/>
  <c r="CG243" i="12"/>
  <c r="CG279" i="12"/>
  <c r="CG239" i="12"/>
  <c r="CG216" i="12"/>
  <c r="CG177" i="12"/>
  <c r="CG299" i="12"/>
  <c r="CG230" i="12"/>
  <c r="CG268" i="12"/>
  <c r="CG199" i="12"/>
  <c r="CG259" i="12"/>
  <c r="CG251" i="12"/>
  <c r="CG211" i="12"/>
  <c r="CG292" i="12"/>
  <c r="CG213" i="12"/>
  <c r="CG298" i="12"/>
  <c r="CG278" i="12"/>
  <c r="CG237" i="12"/>
  <c r="CG205" i="12"/>
  <c r="CG329" i="12"/>
  <c r="CG330" i="12"/>
  <c r="CG248" i="12"/>
  <c r="CG306" i="12"/>
  <c r="CG222" i="12"/>
  <c r="CG191" i="12"/>
  <c r="CG293" i="12"/>
  <c r="CG232" i="12"/>
  <c r="CG300" i="12"/>
  <c r="CG202" i="12"/>
  <c r="CG291" i="12"/>
  <c r="CG178" i="12"/>
  <c r="CG255" i="12"/>
  <c r="CG324" i="12"/>
  <c r="CG224" i="12"/>
  <c r="CG272" i="12"/>
  <c r="CG267" i="12"/>
  <c r="CW319" i="12"/>
  <c r="CW186" i="12"/>
  <c r="CW244" i="12"/>
  <c r="CW306" i="12"/>
  <c r="CW293" i="12"/>
  <c r="CW292" i="12"/>
  <c r="CW194" i="12"/>
  <c r="CW198" i="12"/>
  <c r="CW275" i="12"/>
  <c r="CW278" i="12"/>
  <c r="CW324" i="12"/>
  <c r="CW199" i="12"/>
  <c r="CW285" i="12"/>
  <c r="CW188" i="12"/>
  <c r="CW252" i="12"/>
  <c r="CW323" i="12"/>
  <c r="CW227" i="12"/>
  <c r="CW294" i="12"/>
  <c r="CW221" i="12"/>
  <c r="CW297" i="12"/>
  <c r="CW176" i="12"/>
  <c r="CW318" i="12"/>
  <c r="CW260" i="12"/>
  <c r="CW304" i="12"/>
  <c r="CW298" i="12"/>
  <c r="CW246" i="12"/>
  <c r="CW259" i="12"/>
  <c r="CW225" i="12"/>
  <c r="CW183" i="12"/>
  <c r="CW330" i="12"/>
  <c r="CW233" i="12"/>
  <c r="CW271" i="12"/>
  <c r="CW217" i="12"/>
  <c r="CW305" i="12"/>
  <c r="CW180" i="12"/>
  <c r="CW262" i="12"/>
  <c r="CW326" i="12"/>
  <c r="CW206" i="12"/>
  <c r="CW329" i="12"/>
  <c r="EC274" i="12"/>
  <c r="DT292" i="12"/>
  <c r="DT171" i="12"/>
  <c r="DT219" i="12"/>
  <c r="DT306" i="12"/>
  <c r="DT189" i="12"/>
  <c r="DT313" i="12"/>
  <c r="DT285" i="12"/>
  <c r="DT240" i="12"/>
  <c r="DT319" i="12"/>
  <c r="DT229" i="12"/>
  <c r="DT278" i="12"/>
  <c r="DT169" i="12"/>
  <c r="DT246" i="12"/>
  <c r="DT263" i="12"/>
  <c r="DT226" i="12"/>
  <c r="DT302" i="12"/>
  <c r="DT198" i="12"/>
  <c r="DT257" i="12"/>
  <c r="DT304" i="12"/>
  <c r="DT209" i="12"/>
  <c r="DT308" i="12"/>
  <c r="DT228" i="12"/>
  <c r="DT275" i="12"/>
  <c r="DT187" i="12"/>
  <c r="DT251" i="12"/>
  <c r="DT312" i="12"/>
  <c r="DT216" i="12"/>
  <c r="DT330" i="12"/>
  <c r="DT207" i="12"/>
  <c r="DT264" i="12"/>
  <c r="DT269" i="12"/>
  <c r="DT210" i="12"/>
  <c r="DT288" i="12"/>
  <c r="DT195" i="12"/>
  <c r="DT282" i="12"/>
  <c r="DT184" i="12"/>
  <c r="DT309" i="12"/>
  <c r="DT262" i="12"/>
  <c r="DT225" i="12"/>
  <c r="DT299" i="12"/>
  <c r="BX305" i="12"/>
  <c r="BX317" i="12"/>
  <c r="BX222" i="12"/>
  <c r="BX283" i="12"/>
  <c r="BX249" i="12"/>
  <c r="BX228" i="12"/>
  <c r="BX257" i="12"/>
  <c r="BX244" i="12"/>
  <c r="BX243" i="12"/>
  <c r="BX230" i="12"/>
  <c r="BX208" i="12"/>
  <c r="BX178" i="12"/>
  <c r="BX319" i="12"/>
  <c r="BX270" i="12"/>
  <c r="BX300" i="12"/>
  <c r="BX221" i="12"/>
  <c r="BX218" i="12"/>
  <c r="BX190" i="12"/>
  <c r="BX251" i="12"/>
  <c r="BX263" i="12"/>
  <c r="BX239" i="12"/>
  <c r="BX226" i="12"/>
  <c r="BX202" i="12"/>
  <c r="BX326" i="12"/>
  <c r="BX329" i="12"/>
  <c r="BX207" i="12"/>
  <c r="BX293" i="12"/>
  <c r="BX171" i="12"/>
  <c r="N72" i="3" s="1"/>
  <c r="K25" i="14" s="1"/>
  <c r="BX206" i="12"/>
  <c r="BX306" i="12"/>
  <c r="BX182" i="12"/>
  <c r="BX264" i="12"/>
  <c r="BX325" i="12"/>
  <c r="BX217" i="12"/>
  <c r="BX318" i="12"/>
  <c r="BX215" i="12"/>
  <c r="BX269" i="12"/>
  <c r="BX181" i="12"/>
  <c r="BX242" i="12"/>
  <c r="BX287" i="12"/>
  <c r="BX203" i="12"/>
  <c r="BX301" i="12"/>
  <c r="BX197" i="12"/>
  <c r="BX308" i="12"/>
  <c r="BX262" i="12"/>
  <c r="BX241" i="12"/>
  <c r="BX250" i="12"/>
  <c r="BX189" i="12"/>
  <c r="BX284" i="12"/>
  <c r="BX315" i="12"/>
  <c r="BX220" i="12"/>
  <c r="BX281" i="12"/>
  <c r="BX200" i="12"/>
  <c r="BX274" i="12"/>
  <c r="BX185" i="12"/>
  <c r="BX256" i="12"/>
  <c r="BX314" i="12"/>
  <c r="BX223" i="12"/>
  <c r="BX327" i="12"/>
  <c r="BX184" i="12"/>
  <c r="BX294" i="12"/>
  <c r="BX255" i="12"/>
  <c r="BX290" i="12"/>
  <c r="BX211" i="12"/>
  <c r="BX258" i="12"/>
  <c r="BX183" i="12"/>
  <c r="BX276" i="12"/>
  <c r="BX273" i="12"/>
  <c r="BX216" i="12"/>
  <c r="BX291" i="12"/>
  <c r="E72" i="3"/>
  <c r="CT271" i="12"/>
  <c r="CT176" i="12"/>
  <c r="CT275" i="12"/>
  <c r="CT209" i="12"/>
  <c r="CT179" i="12"/>
  <c r="CT189" i="12"/>
  <c r="CT310" i="12"/>
  <c r="CT250" i="12"/>
  <c r="CT228" i="12"/>
  <c r="CT299" i="12"/>
  <c r="CT204" i="12"/>
  <c r="CT188" i="12"/>
  <c r="CT252" i="12"/>
  <c r="CT290" i="12"/>
  <c r="CT231" i="12"/>
  <c r="CT312" i="12"/>
  <c r="CT208" i="12"/>
  <c r="CT263" i="12"/>
  <c r="CT181" i="12"/>
  <c r="CT253" i="12"/>
  <c r="CT267" i="12"/>
  <c r="CT251" i="12"/>
  <c r="CT233" i="12"/>
  <c r="CT223" i="12"/>
  <c r="CT193" i="12"/>
  <c r="CT178" i="12"/>
  <c r="CT296" i="12"/>
  <c r="CT245" i="12"/>
  <c r="CT291" i="12"/>
  <c r="CT214" i="12"/>
  <c r="CT211" i="12"/>
  <c r="CT213" i="12"/>
  <c r="CT219" i="12"/>
  <c r="CT185" i="12"/>
  <c r="CT278" i="12"/>
  <c r="CT325" i="12"/>
  <c r="CT288" i="12"/>
  <c r="CT212" i="12"/>
  <c r="CT259" i="12"/>
  <c r="CT180" i="12"/>
  <c r="CT241" i="12"/>
  <c r="CT257" i="12"/>
  <c r="CT248" i="12"/>
  <c r="CT268" i="12"/>
  <c r="CT210" i="12"/>
  <c r="CT273" i="12"/>
  <c r="AX233" i="12"/>
  <c r="AX240" i="12"/>
  <c r="AX303" i="12"/>
  <c r="AX278" i="12"/>
  <c r="AX264" i="12"/>
  <c r="AX211" i="12"/>
  <c r="AX243" i="12"/>
  <c r="AX266" i="12"/>
  <c r="AX181" i="12"/>
  <c r="AX317" i="12"/>
  <c r="AX237" i="12"/>
  <c r="AX262" i="12"/>
  <c r="AX192" i="12"/>
  <c r="AX320" i="12"/>
  <c r="AX308" i="12"/>
  <c r="AX289" i="12"/>
  <c r="AX263" i="12"/>
  <c r="AX306" i="12"/>
  <c r="AX270" i="12"/>
  <c r="AX202" i="12"/>
  <c r="AX296" i="12"/>
  <c r="AX269" i="12"/>
  <c r="AX273" i="12"/>
  <c r="AX195" i="12"/>
  <c r="AX251" i="12"/>
  <c r="AX231" i="12"/>
  <c r="AX274" i="12"/>
  <c r="AX196" i="12"/>
  <c r="AX183" i="12"/>
  <c r="AX256" i="12"/>
  <c r="AX261" i="12"/>
  <c r="AX253" i="12"/>
  <c r="AX176" i="12"/>
  <c r="AX326" i="12"/>
  <c r="AX292" i="12"/>
  <c r="AX217" i="12"/>
  <c r="AX293" i="12"/>
  <c r="AX254" i="12"/>
  <c r="AX297" i="12"/>
  <c r="AX194" i="12"/>
  <c r="AX283" i="12"/>
  <c r="AX209" i="12"/>
  <c r="AX212" i="12"/>
  <c r="AX324" i="12"/>
  <c r="AX242" i="12"/>
  <c r="AX241" i="12"/>
  <c r="AX201" i="12"/>
  <c r="AX319" i="12"/>
  <c r="AX180" i="12"/>
  <c r="AX235" i="12"/>
  <c r="AX272" i="12"/>
  <c r="AX294" i="12"/>
  <c r="AX228" i="12"/>
  <c r="AX178" i="12"/>
  <c r="AX307" i="12"/>
  <c r="AX186" i="12"/>
  <c r="AX271" i="12"/>
  <c r="AX288" i="12"/>
  <c r="AX330" i="12"/>
  <c r="AX245" i="12"/>
  <c r="AX310" i="12"/>
  <c r="AX260" i="12"/>
  <c r="AX193" i="12"/>
  <c r="AX323" i="12"/>
  <c r="AX169" i="12"/>
  <c r="AX223" i="12"/>
  <c r="AX232" i="12"/>
  <c r="AX213" i="12"/>
  <c r="AX277" i="12"/>
  <c r="AH267" i="12"/>
  <c r="AH186" i="12"/>
  <c r="AH171" i="12"/>
  <c r="M73" i="3" s="1"/>
  <c r="J39" i="14" s="1"/>
  <c r="AH313" i="12"/>
  <c r="AH217" i="12"/>
  <c r="AH254" i="12"/>
  <c r="AH310" i="12"/>
  <c r="AH194" i="12"/>
  <c r="AH200" i="12"/>
  <c r="AH285" i="12"/>
  <c r="AH248" i="12"/>
  <c r="AH252" i="12"/>
  <c r="AH232" i="12"/>
  <c r="AH227" i="12"/>
  <c r="AH235" i="12"/>
  <c r="AH312" i="12"/>
  <c r="AH270" i="12"/>
  <c r="AH300" i="12"/>
  <c r="AH196" i="12"/>
  <c r="AH199" i="12"/>
  <c r="AH234" i="12"/>
  <c r="AH188" i="12"/>
  <c r="AH181" i="12"/>
  <c r="AH169" i="12"/>
  <c r="AH297" i="12"/>
  <c r="AH329" i="12"/>
  <c r="AH272" i="12"/>
  <c r="AH240" i="12"/>
  <c r="AH215" i="12"/>
  <c r="AH325" i="12"/>
  <c r="AH223" i="12"/>
  <c r="AH208" i="12"/>
  <c r="AH320" i="12"/>
  <c r="AH295" i="12"/>
  <c r="AH243" i="12"/>
  <c r="AH237" i="12"/>
  <c r="AH251" i="12"/>
  <c r="AH209" i="12"/>
  <c r="AH311" i="12"/>
  <c r="AH202" i="12"/>
  <c r="AH319" i="12"/>
  <c r="AH179" i="12"/>
  <c r="AH293" i="12"/>
  <c r="AH269" i="12"/>
  <c r="AH275" i="12"/>
  <c r="AH280" i="12"/>
  <c r="AH283" i="12"/>
  <c r="AH294" i="12"/>
  <c r="AH247" i="12"/>
  <c r="AH180" i="12"/>
  <c r="AH255" i="12"/>
  <c r="AH184" i="12"/>
  <c r="AH278" i="12"/>
  <c r="AH327" i="12"/>
  <c r="AH211" i="12"/>
  <c r="AH190" i="12"/>
  <c r="AH219" i="12"/>
  <c r="AH250" i="12"/>
  <c r="AH279" i="12"/>
  <c r="AH324" i="12"/>
  <c r="AH183" i="12"/>
  <c r="AH306" i="12"/>
  <c r="AH287" i="12"/>
  <c r="AH198" i="12"/>
  <c r="AH192" i="12"/>
  <c r="AH195" i="12"/>
  <c r="AH261" i="12"/>
  <c r="AH282" i="12"/>
  <c r="AH226" i="12"/>
  <c r="AH266" i="12"/>
  <c r="AH307" i="12"/>
  <c r="AH191" i="12"/>
  <c r="AH322" i="12"/>
  <c r="AH204" i="12"/>
  <c r="AH315" i="12"/>
  <c r="AH316" i="12"/>
  <c r="AH256" i="12"/>
  <c r="I17" i="13"/>
  <c r="AG26" i="13" s="1"/>
  <c r="P316" i="12"/>
  <c r="CB298" i="12"/>
  <c r="AS200" i="12"/>
  <c r="BW257" i="12"/>
  <c r="DY186" i="12"/>
  <c r="CT203" i="12"/>
  <c r="CO309" i="12"/>
  <c r="CO282" i="12"/>
  <c r="W228" i="12"/>
  <c r="W246" i="12"/>
  <c r="BI241" i="12"/>
  <c r="BI185" i="12"/>
  <c r="BI237" i="12"/>
  <c r="DT276" i="12"/>
  <c r="DT180" i="12"/>
  <c r="DT245" i="12"/>
  <c r="CW258" i="12"/>
  <c r="CW311" i="12"/>
  <c r="EN231" i="12"/>
  <c r="EN277" i="12"/>
  <c r="EN209" i="12"/>
  <c r="CR310" i="12"/>
  <c r="CR318" i="12"/>
  <c r="CR187" i="12"/>
  <c r="EY236" i="12"/>
  <c r="EY323" i="12"/>
  <c r="EY208" i="12"/>
  <c r="EY325" i="12"/>
  <c r="EY305" i="12"/>
  <c r="BR273" i="12"/>
  <c r="BR314" i="12"/>
  <c r="BR222" i="12"/>
  <c r="BR264" i="12"/>
  <c r="BR322" i="12"/>
  <c r="EI302" i="12"/>
  <c r="EI233" i="12"/>
  <c r="EI313" i="12"/>
  <c r="EI319" i="12"/>
  <c r="EI224" i="12"/>
  <c r="DN182" i="12"/>
  <c r="DN298" i="12"/>
  <c r="DN240" i="12"/>
  <c r="DN187" i="12"/>
  <c r="DN303" i="12"/>
  <c r="DO278" i="12"/>
  <c r="DO294" i="12"/>
  <c r="DO211" i="12"/>
  <c r="DO279" i="12"/>
  <c r="DO323" i="12"/>
  <c r="DO220" i="12"/>
  <c r="DO324" i="12"/>
  <c r="DO318" i="12"/>
  <c r="DO222" i="12"/>
  <c r="BC304" i="12"/>
  <c r="BC211" i="12"/>
  <c r="BC290" i="12"/>
  <c r="BC281" i="12"/>
  <c r="BC195" i="12"/>
  <c r="BC315" i="12"/>
  <c r="BC260" i="12"/>
  <c r="BC177" i="12"/>
  <c r="BC319" i="12"/>
  <c r="BC321" i="12"/>
  <c r="EJ275" i="12"/>
  <c r="EJ269" i="12"/>
  <c r="EJ226" i="12"/>
  <c r="EJ212" i="12"/>
  <c r="EJ306" i="12"/>
  <c r="EJ217" i="12"/>
  <c r="EJ304" i="12"/>
  <c r="EJ177" i="12"/>
  <c r="EJ318" i="12"/>
  <c r="EJ234" i="12"/>
  <c r="L195" i="12"/>
  <c r="L240" i="12"/>
  <c r="L324" i="12"/>
  <c r="L309" i="12"/>
  <c r="L186" i="12"/>
  <c r="L278" i="12"/>
  <c r="L270" i="12"/>
  <c r="L212" i="12"/>
  <c r="L280" i="12"/>
  <c r="L217" i="12"/>
  <c r="L191" i="12"/>
  <c r="L202" i="12"/>
  <c r="L267" i="12"/>
  <c r="L179" i="12"/>
  <c r="L236" i="12"/>
  <c r="L205" i="12"/>
  <c r="L289" i="12"/>
  <c r="L242" i="12"/>
  <c r="L322" i="12"/>
  <c r="G200" i="12"/>
  <c r="G275" i="12"/>
  <c r="G241" i="12"/>
  <c r="G261" i="12"/>
  <c r="G219" i="12"/>
  <c r="G252" i="12"/>
  <c r="G223" i="12"/>
  <c r="G215" i="12"/>
  <c r="G245" i="12"/>
  <c r="G318" i="12"/>
  <c r="G308" i="12"/>
  <c r="G243" i="12"/>
  <c r="G204" i="12"/>
  <c r="G212" i="12"/>
  <c r="G298" i="12"/>
  <c r="G325" i="12"/>
  <c r="G280" i="12"/>
  <c r="G202" i="12"/>
  <c r="G190" i="12"/>
  <c r="CI280" i="12"/>
  <c r="CI246" i="12"/>
  <c r="CI195" i="12"/>
  <c r="CI210" i="12"/>
  <c r="CI239" i="12"/>
  <c r="CI330" i="12"/>
  <c r="CI237" i="12"/>
  <c r="CI313" i="12"/>
  <c r="CI179" i="12"/>
  <c r="CI205" i="12"/>
  <c r="CI314" i="12"/>
  <c r="CI327" i="12"/>
  <c r="CI240" i="12"/>
  <c r="CI180" i="12"/>
  <c r="CI215" i="12"/>
  <c r="CI230" i="12"/>
  <c r="CI241" i="12"/>
  <c r="CI258" i="12"/>
  <c r="CI329" i="12"/>
  <c r="CI191" i="12"/>
  <c r="DJ210" i="12"/>
  <c r="DJ245" i="12"/>
  <c r="DJ266" i="12"/>
  <c r="DJ301" i="12"/>
  <c r="DJ282" i="12"/>
  <c r="DJ194" i="12"/>
  <c r="DJ227" i="12"/>
  <c r="DJ229" i="12"/>
  <c r="DJ259" i="12"/>
  <c r="DJ280" i="12"/>
  <c r="DJ270" i="12"/>
  <c r="DJ257" i="12"/>
  <c r="DJ180" i="12"/>
  <c r="DJ208" i="12"/>
  <c r="DJ226" i="12"/>
  <c r="DJ237" i="12"/>
  <c r="DJ258" i="12"/>
  <c r="DJ250" i="12"/>
  <c r="DJ176" i="12"/>
  <c r="BH253" i="12"/>
  <c r="BH215" i="12"/>
  <c r="BH169" i="12"/>
  <c r="BH263" i="12"/>
  <c r="BH262" i="12"/>
  <c r="BH329" i="12"/>
  <c r="BH181" i="12"/>
  <c r="BH292" i="12"/>
  <c r="BH282" i="12"/>
  <c r="BH200" i="12"/>
  <c r="BH265" i="12"/>
  <c r="BH268" i="12"/>
  <c r="BH328" i="12"/>
  <c r="BH234" i="12"/>
  <c r="BH191" i="12"/>
  <c r="BH295" i="12"/>
  <c r="BH286" i="12"/>
  <c r="BH230" i="12"/>
  <c r="BH201" i="12"/>
  <c r="BH338" i="12"/>
  <c r="BH331" i="12" s="1"/>
  <c r="W190" i="12"/>
  <c r="W179" i="12"/>
  <c r="W201" i="12"/>
  <c r="W222" i="12"/>
  <c r="W189" i="12"/>
  <c r="W225" i="12"/>
  <c r="W329" i="12"/>
  <c r="W304" i="12"/>
  <c r="W327" i="12"/>
  <c r="W204" i="12"/>
  <c r="W326" i="12"/>
  <c r="W275" i="12"/>
  <c r="W244" i="12"/>
  <c r="W200" i="12"/>
  <c r="BC184" i="12"/>
  <c r="BC325" i="12"/>
  <c r="BC288" i="12"/>
  <c r="BC217" i="12"/>
  <c r="BC276" i="12"/>
  <c r="BC293" i="12"/>
  <c r="BC306" i="12"/>
  <c r="BC303" i="12"/>
  <c r="BC208" i="12"/>
  <c r="BC169" i="12"/>
  <c r="BC268" i="12"/>
  <c r="BC230" i="12"/>
  <c r="BC322" i="12"/>
  <c r="BC299" i="12"/>
  <c r="BC263" i="12"/>
  <c r="BC210" i="12"/>
  <c r="BC277" i="12"/>
  <c r="BC254" i="12"/>
  <c r="DO307" i="12"/>
  <c r="DO249" i="12"/>
  <c r="DO265" i="12"/>
  <c r="DO226" i="12"/>
  <c r="DO179" i="12"/>
  <c r="DO233" i="12"/>
  <c r="DO277" i="12"/>
  <c r="DO293" i="12"/>
  <c r="DO264" i="12"/>
  <c r="DO217" i="12"/>
  <c r="DO183" i="12"/>
  <c r="DO310" i="12"/>
  <c r="DO250" i="12"/>
  <c r="DO286" i="12"/>
  <c r="DO225" i="12"/>
  <c r="DO204" i="12"/>
  <c r="DO190" i="12"/>
  <c r="DO322" i="12"/>
  <c r="DO237" i="12"/>
  <c r="EE185" i="12"/>
  <c r="EE236" i="12"/>
  <c r="EE323" i="12"/>
  <c r="EE245" i="12"/>
  <c r="AS324" i="12"/>
  <c r="AS199" i="12"/>
  <c r="AS318" i="12"/>
  <c r="AS277" i="12"/>
  <c r="AS221" i="12"/>
  <c r="AS309" i="12"/>
  <c r="AS272" i="12"/>
  <c r="AS281" i="12"/>
  <c r="BI325" i="12"/>
  <c r="BI286" i="12"/>
  <c r="BI264" i="12"/>
  <c r="BI303" i="12"/>
  <c r="BI288" i="12"/>
  <c r="BI257" i="12"/>
  <c r="BI231" i="12"/>
  <c r="BI177" i="12"/>
  <c r="BI247" i="12"/>
  <c r="BI249" i="12"/>
  <c r="BI290" i="12"/>
  <c r="BI250" i="12"/>
  <c r="BI227" i="12"/>
  <c r="BI169" i="12"/>
  <c r="DY275" i="12"/>
  <c r="DY265" i="12"/>
  <c r="DY289" i="12"/>
  <c r="DY176" i="12"/>
  <c r="DY259" i="12"/>
  <c r="DY213" i="12"/>
  <c r="DY189" i="12"/>
  <c r="DY238" i="12"/>
  <c r="CO190" i="12"/>
  <c r="CO199" i="12"/>
  <c r="CO178" i="12"/>
  <c r="CO194" i="12"/>
  <c r="CO338" i="12"/>
  <c r="CO331" i="12" s="1"/>
  <c r="CO321" i="12"/>
  <c r="CO215" i="12"/>
  <c r="CO320" i="12"/>
  <c r="CO283" i="12"/>
  <c r="CO275" i="12"/>
  <c r="CO267" i="12"/>
  <c r="CO315" i="12"/>
  <c r="CO183" i="12"/>
  <c r="CO262" i="12"/>
  <c r="CO266" i="12"/>
  <c r="CO200" i="12"/>
  <c r="EN270" i="12"/>
  <c r="EN299" i="12"/>
  <c r="EN293" i="12"/>
  <c r="EN255" i="12"/>
  <c r="EN200" i="12"/>
  <c r="K55" i="13"/>
  <c r="EN287" i="12"/>
  <c r="EN245" i="12"/>
  <c r="EN204" i="12"/>
  <c r="EN253" i="12"/>
  <c r="EN319" i="12"/>
  <c r="EN232" i="12"/>
  <c r="EN248" i="12"/>
  <c r="EN279" i="12"/>
  <c r="CR218" i="12"/>
  <c r="CR273" i="12"/>
  <c r="CR264" i="12"/>
  <c r="CR247" i="12"/>
  <c r="CR184" i="12"/>
  <c r="CR279" i="12"/>
  <c r="CR316" i="12"/>
  <c r="CR188" i="12"/>
  <c r="CR275" i="12"/>
  <c r="CR303" i="12"/>
  <c r="CR196" i="12"/>
  <c r="CR274" i="12"/>
  <c r="CR243" i="12"/>
  <c r="CR215" i="12"/>
  <c r="CB316" i="12"/>
  <c r="CB238" i="12"/>
  <c r="CB219" i="12"/>
  <c r="CB191" i="12"/>
  <c r="CB212" i="12"/>
  <c r="CB253" i="12"/>
  <c r="CB317" i="12"/>
  <c r="CB177" i="12"/>
  <c r="CB209" i="12"/>
  <c r="AF220" i="12"/>
  <c r="AF324" i="12"/>
  <c r="AF292" i="12"/>
  <c r="AF308" i="12"/>
  <c r="AF256" i="12"/>
  <c r="AF201" i="12"/>
  <c r="AF240" i="12"/>
  <c r="AF190" i="12"/>
  <c r="P245" i="12"/>
  <c r="ED235" i="12"/>
  <c r="ED246" i="12"/>
  <c r="ED303" i="12"/>
  <c r="ED242" i="12"/>
  <c r="ED308" i="12"/>
  <c r="DN209" i="12"/>
  <c r="DN271" i="12"/>
  <c r="DN305" i="12"/>
  <c r="DN212" i="12"/>
  <c r="DN282" i="12"/>
  <c r="DN244" i="12"/>
  <c r="DN183" i="12"/>
  <c r="DN319" i="12"/>
  <c r="DN245" i="12"/>
  <c r="BR190" i="12"/>
  <c r="BR256" i="12"/>
  <c r="BR206" i="12"/>
  <c r="BR189" i="12"/>
  <c r="BR260" i="12"/>
  <c r="BR290" i="12"/>
  <c r="BR192" i="12"/>
  <c r="BR296" i="12"/>
  <c r="F227" i="12"/>
  <c r="F195" i="12"/>
  <c r="F300" i="12"/>
  <c r="F209" i="12"/>
  <c r="F276" i="12"/>
  <c r="F199" i="12"/>
  <c r="F184" i="12"/>
  <c r="AA219" i="12"/>
  <c r="AA311" i="12"/>
  <c r="AA274" i="12"/>
  <c r="AA309" i="12"/>
  <c r="BW300" i="12"/>
  <c r="BW249" i="12"/>
  <c r="BW253" i="12"/>
  <c r="BW256" i="12"/>
  <c r="BW189" i="12"/>
  <c r="BW283" i="12"/>
  <c r="BW242" i="12"/>
  <c r="BW316" i="12"/>
  <c r="CM176" i="12"/>
  <c r="CM320" i="12"/>
  <c r="CM289" i="12"/>
  <c r="CM276" i="12"/>
  <c r="CM271" i="12"/>
  <c r="CM235" i="12"/>
  <c r="CM321" i="12"/>
  <c r="CM189" i="12"/>
  <c r="EI265" i="12"/>
  <c r="EI183" i="12"/>
  <c r="EI288" i="12"/>
  <c r="EI261" i="12"/>
  <c r="EI182" i="12"/>
  <c r="EI285" i="12"/>
  <c r="EI212" i="12"/>
  <c r="EI195" i="12"/>
  <c r="EI284" i="12"/>
  <c r="EY308" i="12"/>
  <c r="EY211" i="12"/>
  <c r="EY290" i="12"/>
  <c r="EY283" i="12"/>
  <c r="EY210" i="12"/>
  <c r="EY306" i="12"/>
  <c r="EY291" i="12"/>
  <c r="EY209" i="12"/>
  <c r="EY311" i="12"/>
  <c r="E16" i="13"/>
  <c r="AG10" i="13" s="1"/>
  <c r="AG40" i="13" s="1"/>
  <c r="AH91" i="13" s="1"/>
  <c r="CG196" i="12"/>
  <c r="CW296" i="12"/>
  <c r="CW235" i="12"/>
  <c r="CW248" i="12"/>
  <c r="CW169" i="12"/>
  <c r="CW226" i="12"/>
  <c r="CW269" i="12"/>
  <c r="CW274" i="12"/>
  <c r="CW220" i="12"/>
  <c r="CW213" i="12"/>
  <c r="EJ198" i="12"/>
  <c r="EJ254" i="12"/>
  <c r="EJ248" i="12"/>
  <c r="EJ190" i="12"/>
  <c r="EJ309" i="12"/>
  <c r="EJ297" i="12"/>
  <c r="EJ169" i="12"/>
  <c r="EJ210" i="12"/>
  <c r="EJ222" i="12"/>
  <c r="DT176" i="12"/>
  <c r="DT287" i="12"/>
  <c r="DT217" i="12"/>
  <c r="DT218" i="12"/>
  <c r="DT249" i="12"/>
  <c r="DT289" i="12"/>
  <c r="DT223" i="12"/>
  <c r="BX316" i="12"/>
  <c r="CT320" i="12"/>
  <c r="CT293" i="12"/>
  <c r="CT305" i="12"/>
  <c r="CT338" i="12"/>
  <c r="CT331" i="12" s="1"/>
  <c r="CT224" i="12"/>
  <c r="CT283" i="12"/>
  <c r="AX259" i="12"/>
  <c r="AX290" i="12"/>
  <c r="DF302" i="12"/>
  <c r="DF240" i="12"/>
  <c r="DF293" i="12"/>
  <c r="DF194" i="12"/>
  <c r="DF249" i="12"/>
  <c r="DF223" i="12"/>
  <c r="E25" i="13"/>
  <c r="BE320" i="12"/>
  <c r="BE254" i="12"/>
  <c r="BE323" i="12"/>
  <c r="BE206" i="12"/>
  <c r="BE197" i="12"/>
  <c r="BE225" i="12"/>
  <c r="BE227" i="12"/>
  <c r="BE214" i="12"/>
  <c r="BE300" i="12"/>
  <c r="BE184" i="12"/>
  <c r="BE212" i="12"/>
  <c r="BE238" i="12"/>
  <c r="BE276" i="12"/>
  <c r="Z248" i="12"/>
  <c r="Z241" i="12"/>
  <c r="Z263" i="12"/>
  <c r="C33" i="3"/>
  <c r="DF303" i="12"/>
  <c r="BE312" i="12"/>
  <c r="BE201" i="12"/>
  <c r="BE186" i="12"/>
  <c r="BE247" i="12"/>
  <c r="BE322" i="12"/>
  <c r="BE324" i="12"/>
  <c r="BE217" i="12"/>
  <c r="Z206" i="12"/>
  <c r="Z184" i="12"/>
  <c r="Z275" i="12"/>
  <c r="Z236" i="12"/>
  <c r="Z242" i="12"/>
  <c r="Z302" i="12"/>
  <c r="DF319" i="12"/>
  <c r="BE330" i="12"/>
  <c r="BE219" i="12"/>
  <c r="BE326" i="12"/>
  <c r="Z194" i="12"/>
  <c r="Z196" i="12"/>
  <c r="Z177" i="12"/>
  <c r="Z228" i="12"/>
  <c r="Z282" i="12"/>
  <c r="Z213" i="12"/>
  <c r="AN194" i="12"/>
  <c r="DE255" i="12"/>
  <c r="N267" i="12"/>
  <c r="BT235" i="12"/>
  <c r="BT229" i="12"/>
  <c r="BT338" i="12"/>
  <c r="BT331" i="12" s="1"/>
  <c r="E76" i="13"/>
  <c r="E77" i="13" s="1"/>
  <c r="BZ201" i="12"/>
  <c r="BZ328" i="12"/>
  <c r="BO237" i="12"/>
  <c r="BO202" i="12"/>
  <c r="BO213" i="12"/>
  <c r="ER254" i="12"/>
  <c r="ER286" i="12"/>
  <c r="ER176" i="12"/>
  <c r="EW211" i="12"/>
  <c r="EW319" i="12"/>
  <c r="EW232" i="12"/>
  <c r="EW311" i="12"/>
  <c r="K72" i="13"/>
  <c r="AI30" i="13" s="1"/>
  <c r="AK197" i="12"/>
  <c r="AK248" i="12"/>
  <c r="AK307" i="12"/>
  <c r="AK188" i="12"/>
  <c r="AK338" i="12"/>
  <c r="AK331" i="12" s="1"/>
  <c r="H218" i="12"/>
  <c r="H253" i="12"/>
  <c r="H183" i="12"/>
  <c r="H181" i="12"/>
  <c r="H184" i="12"/>
  <c r="CZ291" i="12"/>
  <c r="CZ185" i="12"/>
  <c r="CZ316" i="12"/>
  <c r="CZ241" i="12"/>
  <c r="CZ181" i="12"/>
  <c r="DL321" i="12"/>
  <c r="DL199" i="12"/>
  <c r="DL238" i="12"/>
  <c r="DL286" i="12"/>
  <c r="DL177" i="12"/>
  <c r="DL247" i="12"/>
  <c r="DL244" i="12"/>
  <c r="DL181" i="12"/>
  <c r="DL225" i="12"/>
  <c r="DL301" i="12"/>
  <c r="EX294" i="12"/>
  <c r="EX260" i="12"/>
  <c r="EX217" i="12"/>
  <c r="EX187" i="12"/>
  <c r="EX236" i="12"/>
  <c r="EX317" i="12"/>
  <c r="EX285" i="12"/>
  <c r="EX312" i="12"/>
  <c r="EX221" i="12"/>
  <c r="ES315" i="12"/>
  <c r="ES217" i="12"/>
  <c r="ES308" i="12"/>
  <c r="ES209" i="12"/>
  <c r="ES208" i="12"/>
  <c r="ES298" i="12"/>
  <c r="ES286" i="12"/>
  <c r="ES195" i="12"/>
  <c r="ES255" i="12"/>
  <c r="ES338" i="12"/>
  <c r="ES331" i="12" s="1"/>
  <c r="EL211" i="12"/>
  <c r="EL283" i="12"/>
  <c r="EL238" i="12"/>
  <c r="EL243" i="12"/>
  <c r="EL258" i="12"/>
  <c r="EL255" i="12"/>
  <c r="EL246" i="12"/>
  <c r="EL297" i="12"/>
  <c r="EL298" i="12"/>
  <c r="EL204" i="12"/>
  <c r="CK250" i="12"/>
  <c r="CK206" i="12"/>
  <c r="CK267" i="12"/>
  <c r="CK290" i="12"/>
  <c r="CK259" i="12"/>
  <c r="CK225" i="12"/>
  <c r="CK313" i="12"/>
  <c r="CK216" i="12"/>
  <c r="CK238" i="12"/>
  <c r="CK234" i="12"/>
  <c r="BQ298" i="12"/>
  <c r="BQ226" i="12"/>
  <c r="BQ261" i="12"/>
  <c r="BQ270" i="12"/>
  <c r="BQ295" i="12"/>
  <c r="BQ194" i="12"/>
  <c r="BQ228" i="12"/>
  <c r="BQ199" i="12"/>
  <c r="BQ200" i="12"/>
  <c r="BQ321" i="12"/>
  <c r="EM221" i="12"/>
  <c r="EM190" i="12"/>
  <c r="EM235" i="12"/>
  <c r="EM215" i="12"/>
  <c r="EM176" i="12"/>
  <c r="EM329" i="12"/>
  <c r="EM282" i="12"/>
  <c r="EM263" i="12"/>
  <c r="EM286" i="12"/>
  <c r="EM319" i="12"/>
  <c r="CF231" i="12"/>
  <c r="CF177" i="12"/>
  <c r="CF242" i="12"/>
  <c r="CF244" i="12"/>
  <c r="CF188" i="12"/>
  <c r="CF225" i="12"/>
  <c r="CF294" i="12"/>
  <c r="CF306" i="12"/>
  <c r="CF327" i="12"/>
  <c r="CF171" i="12"/>
  <c r="N88" i="3" s="1"/>
  <c r="K27" i="14" s="1"/>
  <c r="AZ330" i="12"/>
  <c r="AZ280" i="12"/>
  <c r="AZ259" i="12"/>
  <c r="AZ308" i="12"/>
  <c r="AZ305" i="12"/>
  <c r="AZ214" i="12"/>
  <c r="AZ303" i="12"/>
  <c r="AZ309" i="12"/>
  <c r="AZ237" i="12"/>
  <c r="T252" i="12"/>
  <c r="T302" i="12"/>
  <c r="T310" i="12"/>
  <c r="T323" i="12"/>
  <c r="T306" i="12"/>
  <c r="T281" i="12"/>
  <c r="T212" i="12"/>
  <c r="T312" i="12"/>
  <c r="T294" i="12"/>
  <c r="AI241" i="12"/>
  <c r="AI228" i="12"/>
  <c r="AI290" i="12"/>
  <c r="AI250" i="12"/>
  <c r="AI203" i="12"/>
  <c r="AI317" i="12"/>
  <c r="AI219" i="12"/>
  <c r="AI183" i="12"/>
  <c r="AI201" i="12"/>
  <c r="AI209" i="12"/>
  <c r="AI177" i="12"/>
  <c r="AI232" i="12"/>
  <c r="AT234" i="12"/>
  <c r="AT229" i="12"/>
  <c r="AT181" i="12"/>
  <c r="AT327" i="12"/>
  <c r="AT288" i="12"/>
  <c r="AT297" i="12"/>
  <c r="AT245" i="12"/>
  <c r="AT200" i="12"/>
  <c r="AT295" i="12"/>
  <c r="AT256" i="12"/>
  <c r="AT303" i="12"/>
  <c r="AT281" i="12"/>
  <c r="AT203" i="12"/>
  <c r="AT275" i="12"/>
  <c r="AT270" i="12"/>
  <c r="AT254" i="12"/>
  <c r="AT184" i="12"/>
  <c r="AT260" i="12"/>
  <c r="AT215" i="12"/>
  <c r="CL313" i="12"/>
  <c r="CL326" i="12"/>
  <c r="CL311" i="12"/>
  <c r="CL257" i="12"/>
  <c r="CL192" i="12"/>
  <c r="CL199" i="12"/>
  <c r="CL231" i="12"/>
  <c r="CL305" i="12"/>
  <c r="CL270" i="12"/>
  <c r="CL261" i="12"/>
  <c r="CL186" i="12"/>
  <c r="CL191" i="12"/>
  <c r="CL226" i="12"/>
  <c r="CL214" i="12"/>
  <c r="CL297" i="12"/>
  <c r="CL310" i="12"/>
  <c r="CL272" i="12"/>
  <c r="CL185" i="12"/>
  <c r="CL196" i="12"/>
  <c r="Y211" i="12"/>
  <c r="Y323" i="12"/>
  <c r="Y198" i="12"/>
  <c r="Y310" i="12"/>
  <c r="Y182" i="12"/>
  <c r="Y272" i="12"/>
  <c r="Y217" i="12"/>
  <c r="Y245" i="12"/>
  <c r="Y294" i="12"/>
  <c r="Y214" i="12"/>
  <c r="Y193" i="12"/>
  <c r="Y276" i="12"/>
  <c r="Y286" i="12"/>
  <c r="Y207" i="12"/>
  <c r="Y186" i="12"/>
  <c r="Y290" i="12"/>
  <c r="Y215" i="12"/>
  <c r="Y264" i="12"/>
  <c r="DG306" i="12"/>
  <c r="DG222" i="12"/>
  <c r="DG252" i="12"/>
  <c r="DG248" i="12"/>
  <c r="DG276" i="12"/>
  <c r="DG315" i="12"/>
  <c r="DG189" i="12"/>
  <c r="DG223" i="12"/>
  <c r="DG236" i="12"/>
  <c r="DG304" i="12"/>
  <c r="DG265" i="12"/>
  <c r="DG312" i="12"/>
  <c r="DG273" i="12"/>
  <c r="DG323" i="12"/>
  <c r="DG187" i="12"/>
  <c r="DG219" i="12"/>
  <c r="DG260" i="12"/>
  <c r="DG297" i="12"/>
  <c r="DG286" i="12"/>
  <c r="EA262" i="12"/>
  <c r="EA250" i="12"/>
  <c r="EA192" i="12"/>
  <c r="EA225" i="12"/>
  <c r="EA268" i="12"/>
  <c r="EA301" i="12"/>
  <c r="EA263" i="12"/>
  <c r="EA233" i="12"/>
  <c r="EA308" i="12"/>
  <c r="EA195" i="12"/>
  <c r="EA206" i="12"/>
  <c r="EA213" i="12"/>
  <c r="EA256" i="12"/>
  <c r="EA322" i="12"/>
  <c r="EA290" i="12"/>
  <c r="EA180" i="12"/>
  <c r="EA183" i="12"/>
  <c r="EA274" i="12"/>
  <c r="EA245" i="12"/>
  <c r="CA227" i="12"/>
  <c r="CA264" i="12"/>
  <c r="CA298" i="12"/>
  <c r="CA249" i="12"/>
  <c r="CA181" i="12"/>
  <c r="CA209" i="12"/>
  <c r="CA229" i="12"/>
  <c r="CA250" i="12"/>
  <c r="CA282" i="12"/>
  <c r="CA299" i="12"/>
  <c r="CA178" i="12"/>
  <c r="CA188" i="12"/>
  <c r="CA208" i="12"/>
  <c r="CA269" i="12"/>
  <c r="CA259" i="12"/>
  <c r="CA314" i="12"/>
  <c r="CA295" i="12"/>
  <c r="CA194" i="12"/>
  <c r="DR224" i="12"/>
  <c r="DR305" i="12"/>
  <c r="DR290" i="12"/>
  <c r="DR312" i="12"/>
  <c r="DR324" i="12"/>
  <c r="DR199" i="12"/>
  <c r="DR208" i="12"/>
  <c r="DR250" i="12"/>
  <c r="DR277" i="12"/>
  <c r="DR275" i="12"/>
  <c r="DR257" i="12"/>
  <c r="DR200" i="12"/>
  <c r="DR204" i="12"/>
  <c r="DR241" i="12"/>
  <c r="DR317" i="12"/>
  <c r="DR306" i="12"/>
  <c r="DR300" i="12"/>
  <c r="DR178" i="12"/>
  <c r="EF305" i="12"/>
  <c r="EF289" i="12"/>
  <c r="EF294" i="12"/>
  <c r="EF192" i="12"/>
  <c r="EF217" i="12"/>
  <c r="EF309" i="12"/>
  <c r="EF279" i="12"/>
  <c r="EF314" i="12"/>
  <c r="EF273" i="12"/>
  <c r="EF181" i="12"/>
  <c r="EF231" i="12"/>
  <c r="EF321" i="12"/>
  <c r="EF301" i="12"/>
  <c r="EF326" i="12"/>
  <c r="EF316" i="12"/>
  <c r="EF194" i="12"/>
  <c r="EF210" i="12"/>
  <c r="EF247" i="12"/>
  <c r="EF275" i="12"/>
  <c r="CU245" i="12"/>
  <c r="CU274" i="12"/>
  <c r="CU287" i="12"/>
  <c r="CU193" i="12"/>
  <c r="CU224" i="12"/>
  <c r="CU248" i="12"/>
  <c r="CU247" i="12"/>
  <c r="CU255" i="12"/>
  <c r="CU315" i="12"/>
  <c r="CU200" i="12"/>
  <c r="CU202" i="12"/>
  <c r="CU225" i="12"/>
  <c r="CU265" i="12"/>
  <c r="CU293" i="12"/>
  <c r="CU269" i="12"/>
  <c r="CU250" i="12"/>
  <c r="CU192" i="12"/>
  <c r="CU221" i="12"/>
  <c r="CU242" i="12"/>
  <c r="AU200" i="12"/>
  <c r="AU267" i="12"/>
  <c r="AU319" i="12"/>
  <c r="AU216" i="12"/>
  <c r="AU217" i="12"/>
  <c r="AU202" i="12"/>
  <c r="AU287" i="12"/>
  <c r="AU244" i="12"/>
  <c r="AU282" i="12"/>
  <c r="AU208" i="12"/>
  <c r="AU281" i="12"/>
  <c r="AU184" i="12"/>
  <c r="AU206" i="12"/>
  <c r="AU311" i="12"/>
  <c r="AU245" i="12"/>
  <c r="AU169" i="12"/>
  <c r="AU190" i="12"/>
  <c r="AU209" i="12"/>
  <c r="BF300" i="12"/>
  <c r="BF308" i="12"/>
  <c r="BF184" i="12"/>
  <c r="BF210" i="12"/>
  <c r="BF250" i="12"/>
  <c r="BF280" i="12"/>
  <c r="BF209" i="12"/>
  <c r="BF208" i="12"/>
  <c r="BF316" i="12"/>
  <c r="BF212" i="12"/>
  <c r="BF254" i="12"/>
  <c r="BF322" i="12"/>
  <c r="BF214" i="12"/>
  <c r="BF292" i="12"/>
  <c r="BF273" i="12"/>
  <c r="BF268" i="12"/>
  <c r="BF227" i="12"/>
  <c r="BF306" i="12"/>
  <c r="BF264" i="12"/>
  <c r="DI223" i="12"/>
  <c r="DI241" i="12"/>
  <c r="DI289" i="12"/>
  <c r="DI323" i="12"/>
  <c r="DI311" i="12"/>
  <c r="DI190" i="12"/>
  <c r="DI271" i="12"/>
  <c r="DI245" i="12"/>
  <c r="DI312" i="12"/>
  <c r="DI243" i="12"/>
  <c r="DI306" i="12"/>
  <c r="DI181" i="12"/>
  <c r="DI200" i="12"/>
  <c r="DI258" i="12"/>
  <c r="DI328" i="12"/>
  <c r="DI194" i="12"/>
  <c r="DI329" i="12"/>
  <c r="DI261" i="12"/>
  <c r="M195" i="12"/>
  <c r="M294" i="12"/>
  <c r="M287" i="12"/>
  <c r="M291" i="12"/>
  <c r="M239" i="12"/>
  <c r="M290" i="12"/>
  <c r="M245" i="12"/>
  <c r="M286" i="12"/>
  <c r="M284" i="12"/>
  <c r="M232" i="12"/>
  <c r="M246" i="12"/>
  <c r="M300" i="12"/>
  <c r="M201" i="12"/>
  <c r="M301" i="12"/>
  <c r="M214" i="12"/>
  <c r="M265" i="12"/>
  <c r="M313" i="12"/>
  <c r="M278" i="12"/>
  <c r="EM194" i="12"/>
  <c r="EM318" i="12"/>
  <c r="EM212" i="12"/>
  <c r="EM202" i="12"/>
  <c r="EM232" i="12"/>
  <c r="EM214" i="12"/>
  <c r="EM210" i="12"/>
  <c r="EM236" i="12"/>
  <c r="EM312" i="12"/>
  <c r="EM258" i="12"/>
  <c r="EM260" i="12"/>
  <c r="EM328" i="12"/>
  <c r="EM247" i="12"/>
  <c r="EM179" i="12"/>
  <c r="EM299" i="12"/>
  <c r="EM246" i="12"/>
  <c r="EM181" i="12"/>
  <c r="EM295" i="12"/>
  <c r="EM203" i="12"/>
  <c r="AK296" i="12"/>
  <c r="AK272" i="12"/>
  <c r="AK274" i="12"/>
  <c r="AK260" i="12"/>
  <c r="AK293" i="12"/>
  <c r="AK294" i="12"/>
  <c r="AK298" i="12"/>
  <c r="AK171" i="12"/>
  <c r="M80" i="3" s="1"/>
  <c r="J26" i="14" s="1"/>
  <c r="AK279" i="12"/>
  <c r="AK315" i="12"/>
  <c r="AK233" i="12"/>
  <c r="AK263" i="12"/>
  <c r="AK247" i="12"/>
  <c r="AK229" i="12"/>
  <c r="AK199" i="12"/>
  <c r="AK203" i="12"/>
  <c r="BQ229" i="12"/>
  <c r="BQ231" i="12"/>
  <c r="BQ211" i="12"/>
  <c r="BQ264" i="12"/>
  <c r="BQ259" i="12"/>
  <c r="BQ329" i="12"/>
  <c r="BQ207" i="12"/>
  <c r="BQ288" i="12"/>
  <c r="BQ290" i="12"/>
  <c r="DE229" i="12"/>
  <c r="DE233" i="12"/>
  <c r="DE223" i="12"/>
  <c r="DE244" i="12"/>
  <c r="DE280" i="12"/>
  <c r="DE210" i="12"/>
  <c r="DE307" i="12"/>
  <c r="DE318" i="12"/>
  <c r="DE222" i="12"/>
  <c r="DE319" i="12"/>
  <c r="DE298" i="12"/>
  <c r="DE195" i="12"/>
  <c r="DE250" i="12"/>
  <c r="DE184" i="12"/>
  <c r="DE236" i="12"/>
  <c r="DE257" i="12"/>
  <c r="DE320" i="12"/>
  <c r="CZ282" i="12"/>
  <c r="CZ219" i="12"/>
  <c r="CZ274" i="12"/>
  <c r="CZ298" i="12"/>
  <c r="CZ240" i="12"/>
  <c r="CZ197" i="12"/>
  <c r="CZ310" i="12"/>
  <c r="CZ244" i="12"/>
  <c r="CZ216" i="12"/>
  <c r="CZ255" i="12"/>
  <c r="CZ265" i="12"/>
  <c r="CZ227" i="12"/>
  <c r="CZ278" i="12"/>
  <c r="CZ296" i="12"/>
  <c r="BT308" i="12"/>
  <c r="BT231" i="12"/>
  <c r="BT327" i="12"/>
  <c r="BT315" i="12"/>
  <c r="BT227" i="12"/>
  <c r="BT226" i="12"/>
  <c r="BT232" i="12"/>
  <c r="BT195" i="12"/>
  <c r="BT282" i="12"/>
  <c r="BT284" i="12"/>
  <c r="BT205" i="12"/>
  <c r="BT255" i="12"/>
  <c r="BT322" i="12"/>
  <c r="BT188" i="12"/>
  <c r="BT198" i="12"/>
  <c r="BT252" i="12"/>
  <c r="BT191" i="12"/>
  <c r="AN239" i="12"/>
  <c r="AN289" i="12"/>
  <c r="AN245" i="12"/>
  <c r="AN327" i="12"/>
  <c r="AN213" i="12"/>
  <c r="AN191" i="12"/>
  <c r="AN308" i="12"/>
  <c r="AN187" i="12"/>
  <c r="AN229" i="12"/>
  <c r="AN211" i="12"/>
  <c r="AN201" i="12"/>
  <c r="AN285" i="12"/>
  <c r="AN224" i="12"/>
  <c r="AN326" i="12"/>
  <c r="AN287" i="12"/>
  <c r="AN195" i="12"/>
  <c r="AN274" i="12"/>
  <c r="AN275" i="12"/>
  <c r="H279" i="12"/>
  <c r="H265" i="12"/>
  <c r="H312" i="12"/>
  <c r="H316" i="12"/>
  <c r="H182" i="12"/>
  <c r="H272" i="12"/>
  <c r="H263" i="12"/>
  <c r="H327" i="12"/>
  <c r="H237" i="12"/>
  <c r="H302" i="12"/>
  <c r="H255" i="12"/>
  <c r="H245" i="12"/>
  <c r="H320" i="12"/>
  <c r="H290" i="12"/>
  <c r="EL294" i="12"/>
  <c r="EL324" i="12"/>
  <c r="EL284" i="12"/>
  <c r="EL315" i="12"/>
  <c r="EL176" i="12"/>
  <c r="EL218" i="12"/>
  <c r="EL303" i="12"/>
  <c r="EL250" i="12"/>
  <c r="BZ223" i="12"/>
  <c r="BZ189" i="12"/>
  <c r="BZ251" i="12"/>
  <c r="BZ187" i="12"/>
  <c r="BZ214" i="12"/>
  <c r="BZ277" i="12"/>
  <c r="BZ243" i="12"/>
  <c r="BZ315" i="12"/>
  <c r="BZ281" i="12"/>
  <c r="BZ327" i="12"/>
  <c r="BZ267" i="12"/>
  <c r="BZ264" i="12"/>
  <c r="BZ179" i="12"/>
  <c r="N206" i="12"/>
  <c r="N244" i="12"/>
  <c r="N187" i="12"/>
  <c r="N297" i="12"/>
  <c r="N329" i="12"/>
  <c r="N228" i="12"/>
  <c r="N181" i="12"/>
  <c r="N242" i="12"/>
  <c r="N246" i="12"/>
  <c r="AI192" i="12"/>
  <c r="AI269" i="12"/>
  <c r="AI267" i="12"/>
  <c r="BO268" i="12"/>
  <c r="BO313" i="12"/>
  <c r="BO296" i="12"/>
  <c r="BO224" i="12"/>
  <c r="BO275" i="12"/>
  <c r="BO329" i="12"/>
  <c r="BO196" i="12"/>
  <c r="BO248" i="12"/>
  <c r="CK228" i="12"/>
  <c r="CK212" i="12"/>
  <c r="CK193" i="12"/>
  <c r="CK301" i="12"/>
  <c r="EW182" i="12"/>
  <c r="EW212" i="12"/>
  <c r="EW323" i="12"/>
  <c r="ES268" i="12"/>
  <c r="ER283" i="12"/>
  <c r="ER217" i="12"/>
  <c r="ER188" i="12"/>
  <c r="AU326" i="12"/>
  <c r="AU234" i="12"/>
  <c r="AU254" i="12"/>
  <c r="AU338" i="12"/>
  <c r="AU331" i="12" s="1"/>
  <c r="AU253" i="12"/>
  <c r="AU266" i="12"/>
  <c r="AU290" i="12"/>
  <c r="AU264" i="12"/>
  <c r="AU259" i="12"/>
  <c r="AU228" i="12"/>
  <c r="AU271" i="12"/>
  <c r="AU185" i="12"/>
  <c r="AU241" i="12"/>
  <c r="AU325" i="12"/>
  <c r="AU171" i="12"/>
  <c r="AU307" i="12"/>
  <c r="AU317" i="12"/>
  <c r="AU239" i="12"/>
  <c r="AU330" i="12"/>
  <c r="AU191" i="12"/>
  <c r="AU268" i="12"/>
  <c r="AU289" i="12"/>
  <c r="AU232" i="12"/>
  <c r="AU294" i="12"/>
  <c r="AU227" i="12"/>
  <c r="AU306" i="12"/>
  <c r="AU187" i="12"/>
  <c r="AU304" i="12"/>
  <c r="AU273" i="12"/>
  <c r="AU299" i="12"/>
  <c r="AU301" i="12"/>
  <c r="AU196" i="12"/>
  <c r="AU201" i="12"/>
  <c r="AU213" i="12"/>
  <c r="AU188" i="12"/>
  <c r="AU223" i="12"/>
  <c r="AU199" i="12"/>
  <c r="AU284" i="12"/>
  <c r="AU233" i="12"/>
  <c r="AU295" i="12"/>
  <c r="CA247" i="12"/>
  <c r="CA231" i="12"/>
  <c r="CA176" i="12"/>
  <c r="CA285" i="12"/>
  <c r="CA315" i="12"/>
  <c r="CA223" i="12"/>
  <c r="CA276" i="12"/>
  <c r="CA199" i="12"/>
  <c r="CA237" i="12"/>
  <c r="CA258" i="12"/>
  <c r="CA239" i="12"/>
  <c r="CA330" i="12"/>
  <c r="CA192" i="12"/>
  <c r="CA318" i="12"/>
  <c r="CA184" i="12"/>
  <c r="CA297" i="12"/>
  <c r="CA311" i="12"/>
  <c r="CA261" i="12"/>
  <c r="CA283" i="12"/>
  <c r="CA218" i="12"/>
  <c r="CA323" i="12"/>
  <c r="CA183" i="12"/>
  <c r="CA317" i="12"/>
  <c r="CA217" i="12"/>
  <c r="CA235" i="12"/>
  <c r="CA319" i="12"/>
  <c r="CA203" i="12"/>
  <c r="CA286" i="12"/>
  <c r="CA263" i="12"/>
  <c r="CA257" i="12"/>
  <c r="CA278" i="12"/>
  <c r="CA220" i="12"/>
  <c r="CA260" i="12"/>
  <c r="CA186" i="12"/>
  <c r="CA329" i="12"/>
  <c r="CA279" i="12"/>
  <c r="CA242" i="12"/>
  <c r="CA244" i="12"/>
  <c r="CA210" i="12"/>
  <c r="CA280" i="12"/>
  <c r="G96" i="13"/>
  <c r="AJ20" i="13" s="1"/>
  <c r="DG197" i="12"/>
  <c r="DG233" i="12"/>
  <c r="DG181" i="12"/>
  <c r="DG261" i="12"/>
  <c r="DG314" i="12"/>
  <c r="DG204" i="12"/>
  <c r="DG293" i="12"/>
  <c r="DG191" i="12"/>
  <c r="DG279" i="12"/>
  <c r="DG241" i="12"/>
  <c r="DG234" i="12"/>
  <c r="DG258" i="12"/>
  <c r="DG207" i="12"/>
  <c r="DG316" i="12"/>
  <c r="DG327" i="12"/>
  <c r="DG201" i="12"/>
  <c r="DG272" i="12"/>
  <c r="DG209" i="12"/>
  <c r="DG287" i="12"/>
  <c r="DG242" i="12"/>
  <c r="DG266" i="12"/>
  <c r="DG192" i="12"/>
  <c r="DG230" i="12"/>
  <c r="DG194" i="12"/>
  <c r="DG274" i="12"/>
  <c r="DG303" i="12"/>
  <c r="DG235" i="12"/>
  <c r="DG269" i="12"/>
  <c r="DG210" i="12"/>
  <c r="DG320" i="12"/>
  <c r="DG299" i="12"/>
  <c r="DG253" i="12"/>
  <c r="DG298" i="12"/>
  <c r="DG211" i="12"/>
  <c r="DG246" i="12"/>
  <c r="DG184" i="12"/>
  <c r="DG324" i="12"/>
  <c r="DG289" i="12"/>
  <c r="EM195" i="12"/>
  <c r="EM276" i="12"/>
  <c r="EM243" i="12"/>
  <c r="EM313" i="12"/>
  <c r="EM198" i="12"/>
  <c r="EM217" i="12"/>
  <c r="EM205" i="12"/>
  <c r="EM317" i="12"/>
  <c r="EM310" i="12"/>
  <c r="EM267" i="12"/>
  <c r="EM184" i="12"/>
  <c r="EM240" i="12"/>
  <c r="EM197" i="12"/>
  <c r="EM233" i="12"/>
  <c r="EM322" i="12"/>
  <c r="EM283" i="12"/>
  <c r="EM185" i="12"/>
  <c r="EM218" i="12"/>
  <c r="EM201" i="12"/>
  <c r="EM204" i="12"/>
  <c r="EM330" i="12"/>
  <c r="EM279" i="12"/>
  <c r="EM199" i="12"/>
  <c r="EM209" i="12"/>
  <c r="EM309" i="12"/>
  <c r="EM192" i="12"/>
  <c r="EM301" i="12"/>
  <c r="EM294" i="12"/>
  <c r="EM252" i="12"/>
  <c r="EM169" i="12"/>
  <c r="EM304" i="12"/>
  <c r="EM188" i="12"/>
  <c r="EM293" i="12"/>
  <c r="EM303" i="12"/>
  <c r="EM268" i="12"/>
  <c r="EM183" i="12"/>
  <c r="EM234" i="12"/>
  <c r="EM325" i="12"/>
  <c r="EM223" i="12"/>
  <c r="EM269" i="12"/>
  <c r="EM171" i="12"/>
  <c r="AH45" i="3" s="1"/>
  <c r="CC143" i="3" s="1"/>
  <c r="EM285" i="12"/>
  <c r="EM207" i="12"/>
  <c r="EM251" i="12"/>
  <c r="EM219" i="12"/>
  <c r="EM186" i="12"/>
  <c r="EM249" i="12"/>
  <c r="EM224" i="12"/>
  <c r="EM237" i="12"/>
  <c r="EM316" i="12"/>
  <c r="EM238" i="12"/>
  <c r="EM256" i="12"/>
  <c r="EM324" i="12"/>
  <c r="EM298" i="12"/>
  <c r="EM266" i="12"/>
  <c r="EM297" i="12"/>
  <c r="EM306" i="12"/>
  <c r="EM262" i="12"/>
  <c r="EM182" i="12"/>
  <c r="EM307" i="12"/>
  <c r="AK310" i="12"/>
  <c r="C80" i="3"/>
  <c r="AK237" i="12"/>
  <c r="AK242" i="12"/>
  <c r="AK186" i="12"/>
  <c r="AK326" i="12"/>
  <c r="AK314" i="12"/>
  <c r="AK181" i="12"/>
  <c r="AK264" i="12"/>
  <c r="AK262" i="12"/>
  <c r="AK300" i="12"/>
  <c r="AK180" i="12"/>
  <c r="AK234" i="12"/>
  <c r="AK261" i="12"/>
  <c r="AK232" i="12"/>
  <c r="AK292" i="12"/>
  <c r="AK290" i="12"/>
  <c r="AK238" i="12"/>
  <c r="AK299" i="12"/>
  <c r="AK295" i="12"/>
  <c r="AK192" i="12"/>
  <c r="AK249" i="12"/>
  <c r="AK327" i="12"/>
  <c r="AK194" i="12"/>
  <c r="AK235" i="12"/>
  <c r="AK182" i="12"/>
  <c r="AK204" i="12"/>
  <c r="AK328" i="12"/>
  <c r="AK213" i="12"/>
  <c r="AK185" i="12"/>
  <c r="AK287" i="12"/>
  <c r="AK208" i="12"/>
  <c r="AK276" i="12"/>
  <c r="AK251" i="12"/>
  <c r="AK265" i="12"/>
  <c r="AK330" i="12"/>
  <c r="AK309" i="12"/>
  <c r="AK198" i="12"/>
  <c r="AK297" i="12"/>
  <c r="AK252" i="12"/>
  <c r="C80" i="13"/>
  <c r="AK206" i="12"/>
  <c r="AK291" i="12"/>
  <c r="AK201" i="12"/>
  <c r="AK258" i="12"/>
  <c r="AK231" i="12"/>
  <c r="AK271" i="12"/>
  <c r="AK217" i="12"/>
  <c r="AK273" i="12"/>
  <c r="AK224" i="12"/>
  <c r="AK177" i="12"/>
  <c r="AK324" i="12"/>
  <c r="AK270" i="12"/>
  <c r="AK317" i="12"/>
  <c r="AK312" i="12"/>
  <c r="AK289" i="12"/>
  <c r="AK325" i="12"/>
  <c r="AK240" i="12"/>
  <c r="AK284" i="12"/>
  <c r="AK282" i="12"/>
  <c r="AK269" i="12"/>
  <c r="AK313" i="12"/>
  <c r="AK303" i="12"/>
  <c r="AK205" i="12"/>
  <c r="AK329" i="12"/>
  <c r="AK178" i="12"/>
  <c r="AK320" i="12"/>
  <c r="AK214" i="12"/>
  <c r="AK179" i="12"/>
  <c r="AK286" i="12"/>
  <c r="AK288" i="12"/>
  <c r="AK227" i="12"/>
  <c r="AK306" i="12"/>
  <c r="AK189" i="12"/>
  <c r="AK220" i="12"/>
  <c r="AK283" i="12"/>
  <c r="AK191" i="12"/>
  <c r="AK215" i="12"/>
  <c r="AK257" i="12"/>
  <c r="AK183" i="12"/>
  <c r="AK285" i="12"/>
  <c r="AK277" i="12"/>
  <c r="AK184" i="12"/>
  <c r="AK305" i="12"/>
  <c r="AK176" i="12"/>
  <c r="AK211" i="12"/>
  <c r="AK221" i="12"/>
  <c r="AK304" i="12"/>
  <c r="AK267" i="12"/>
  <c r="AK308" i="12"/>
  <c r="AK255" i="12"/>
  <c r="AK321" i="12"/>
  <c r="AK236" i="12"/>
  <c r="AK223" i="12"/>
  <c r="AK193" i="12"/>
  <c r="BQ221" i="12"/>
  <c r="E33" i="3"/>
  <c r="BQ215" i="12"/>
  <c r="BQ307" i="12"/>
  <c r="BQ249" i="12"/>
  <c r="BQ326" i="12"/>
  <c r="BQ183" i="12"/>
  <c r="BQ308" i="12"/>
  <c r="BQ190" i="12"/>
  <c r="BQ325" i="12"/>
  <c r="BQ267" i="12"/>
  <c r="BQ310" i="12"/>
  <c r="BQ179" i="12"/>
  <c r="BQ185" i="12"/>
  <c r="BQ269" i="12"/>
  <c r="BQ252" i="12"/>
  <c r="BQ277" i="12"/>
  <c r="BQ246" i="12"/>
  <c r="BQ212" i="12"/>
  <c r="BQ225" i="12"/>
  <c r="BQ315" i="12"/>
  <c r="BQ279" i="12"/>
  <c r="BQ256" i="12"/>
  <c r="BQ276" i="12"/>
  <c r="BQ301" i="12"/>
  <c r="BQ258" i="12"/>
  <c r="BQ268" i="12"/>
  <c r="BQ201" i="12"/>
  <c r="BQ293" i="12"/>
  <c r="BQ218" i="12"/>
  <c r="BQ297" i="12"/>
  <c r="BQ250" i="12"/>
  <c r="BQ192" i="12"/>
  <c r="BQ240" i="12"/>
  <c r="BQ303" i="12"/>
  <c r="BQ312" i="12"/>
  <c r="BQ316" i="12"/>
  <c r="BQ274" i="12"/>
  <c r="BQ209" i="12"/>
  <c r="BQ251" i="12"/>
  <c r="BQ171" i="12"/>
  <c r="N33" i="3" s="1"/>
  <c r="K34" i="14" s="1"/>
  <c r="BQ265" i="12"/>
  <c r="BQ178" i="12"/>
  <c r="BQ323" i="12"/>
  <c r="BQ287" i="12"/>
  <c r="BQ296" i="12"/>
  <c r="BQ311" i="12"/>
  <c r="BQ244" i="12"/>
  <c r="BQ187" i="12"/>
  <c r="BQ300" i="12"/>
  <c r="BQ235" i="12"/>
  <c r="BQ286" i="12"/>
  <c r="BQ205" i="12"/>
  <c r="BQ305" i="12"/>
  <c r="BQ318" i="12"/>
  <c r="BQ196" i="12"/>
  <c r="BQ227" i="12"/>
  <c r="BQ278" i="12"/>
  <c r="BQ208" i="12"/>
  <c r="BQ284" i="12"/>
  <c r="E33" i="13"/>
  <c r="BQ338" i="12"/>
  <c r="BQ331" i="12" s="1"/>
  <c r="BQ322" i="12"/>
  <c r="BQ213" i="12"/>
  <c r="BQ217" i="12"/>
  <c r="BQ281" i="12"/>
  <c r="BQ260" i="12"/>
  <c r="BQ328" i="12"/>
  <c r="BQ319" i="12"/>
  <c r="BQ272" i="12"/>
  <c r="BQ243" i="12"/>
  <c r="BQ216" i="12"/>
  <c r="BQ266" i="12"/>
  <c r="BQ248" i="12"/>
  <c r="BQ222" i="12"/>
  <c r="BQ317" i="12"/>
  <c r="BQ223" i="12"/>
  <c r="BQ197" i="12"/>
  <c r="BQ330" i="12"/>
  <c r="BQ327" i="12"/>
  <c r="BQ193" i="12"/>
  <c r="DI210" i="12"/>
  <c r="DI304" i="12"/>
  <c r="DI176" i="12"/>
  <c r="DI197" i="12"/>
  <c r="DI277" i="12"/>
  <c r="DI186" i="12"/>
  <c r="DI266" i="12"/>
  <c r="DI185" i="12"/>
  <c r="DI322" i="12"/>
  <c r="DI318" i="12"/>
  <c r="DI237" i="12"/>
  <c r="DI283" i="12"/>
  <c r="DI203" i="12"/>
  <c r="DI313" i="12"/>
  <c r="DI293" i="12"/>
  <c r="DI280" i="12"/>
  <c r="DI310" i="12"/>
  <c r="DI191" i="12"/>
  <c r="DI309" i="12"/>
  <c r="DI192" i="12"/>
  <c r="DI272" i="12"/>
  <c r="DI291" i="12"/>
  <c r="DI215" i="12"/>
  <c r="DI275" i="12"/>
  <c r="DI219" i="12"/>
  <c r="DI297" i="12"/>
  <c r="DI233" i="12"/>
  <c r="DI209" i="12"/>
  <c r="DI315" i="12"/>
  <c r="DI206" i="12"/>
  <c r="DI268" i="12"/>
  <c r="DI212" i="12"/>
  <c r="DI249" i="12"/>
  <c r="DI211" i="12"/>
  <c r="DI216" i="12"/>
  <c r="DI252" i="12"/>
  <c r="DI207" i="12"/>
  <c r="DI242" i="12"/>
  <c r="DI179" i="12"/>
  <c r="DI254" i="12"/>
  <c r="DE216" i="12"/>
  <c r="DE310" i="12"/>
  <c r="DE258" i="12"/>
  <c r="DE177" i="12"/>
  <c r="DE243" i="12"/>
  <c r="DE204" i="12"/>
  <c r="DE268" i="12"/>
  <c r="DE232" i="12"/>
  <c r="DE299" i="12"/>
  <c r="DE292" i="12"/>
  <c r="DE196" i="12"/>
  <c r="DE218" i="12"/>
  <c r="DE259" i="12"/>
  <c r="DE301" i="12"/>
  <c r="DE278" i="12"/>
  <c r="DE303" i="12"/>
  <c r="DE201" i="12"/>
  <c r="DE227" i="12"/>
  <c r="DE276" i="12"/>
  <c r="DE305" i="12"/>
  <c r="DE279" i="12"/>
  <c r="DE246" i="12"/>
  <c r="DE200" i="12"/>
  <c r="DE230" i="12"/>
  <c r="DE266" i="12"/>
  <c r="DE213" i="12"/>
  <c r="DE185" i="12"/>
  <c r="DE272" i="12"/>
  <c r="DE275" i="12"/>
  <c r="DE186" i="12"/>
  <c r="DE203" i="12"/>
  <c r="DE247" i="12"/>
  <c r="DE285" i="12"/>
  <c r="DE270" i="12"/>
  <c r="DE294" i="12"/>
  <c r="DE199" i="12"/>
  <c r="DE277" i="12"/>
  <c r="DE282" i="12"/>
  <c r="DE205" i="12"/>
  <c r="DE171" i="12"/>
  <c r="DE238" i="12"/>
  <c r="DE194" i="12"/>
  <c r="DE224" i="12"/>
  <c r="DE263" i="12"/>
  <c r="DE289" i="12"/>
  <c r="DE296" i="12"/>
  <c r="DE302" i="12"/>
  <c r="DE208" i="12"/>
  <c r="DE284" i="12"/>
  <c r="DE306" i="12"/>
  <c r="DE209" i="12"/>
  <c r="DE288" i="12"/>
  <c r="DE293" i="12"/>
  <c r="DE326" i="12"/>
  <c r="DE308" i="12"/>
  <c r="DE297" i="12"/>
  <c r="DE287" i="12"/>
  <c r="DE316" i="12"/>
  <c r="DE207" i="12"/>
  <c r="DE176" i="12"/>
  <c r="DE225" i="12"/>
  <c r="DE317" i="12"/>
  <c r="DE315" i="12"/>
  <c r="DE245" i="12"/>
  <c r="DE182" i="12"/>
  <c r="DE283" i="12"/>
  <c r="DE234" i="12"/>
  <c r="DE189" i="12"/>
  <c r="DE242" i="12"/>
  <c r="DE264" i="12"/>
  <c r="DE179" i="12"/>
  <c r="DE248" i="12"/>
  <c r="DE260" i="12"/>
  <c r="DE311" i="12"/>
  <c r="DE240" i="12"/>
  <c r="DE309" i="12"/>
  <c r="DE274" i="12"/>
  <c r="DE252" i="12"/>
  <c r="DE188" i="12"/>
  <c r="DE215" i="12"/>
  <c r="DE314" i="12"/>
  <c r="DE217" i="12"/>
  <c r="DE328" i="12"/>
  <c r="DE253" i="12"/>
  <c r="DE219" i="12"/>
  <c r="DE300" i="12"/>
  <c r="DE322" i="12"/>
  <c r="DE226" i="12"/>
  <c r="DE254" i="12"/>
  <c r="DE239" i="12"/>
  <c r="DE169" i="12"/>
  <c r="DE211" i="12"/>
  <c r="DE220" i="12"/>
  <c r="DE291" i="12"/>
  <c r="DE269" i="12"/>
  <c r="DE329" i="12"/>
  <c r="DE178" i="12"/>
  <c r="DE313" i="12"/>
  <c r="DE228" i="12"/>
  <c r="DE323" i="12"/>
  <c r="DE321" i="12"/>
  <c r="DE198" i="12"/>
  <c r="DE286" i="12"/>
  <c r="DE295" i="12"/>
  <c r="DE262" i="12"/>
  <c r="DE290" i="12"/>
  <c r="DE327" i="12"/>
  <c r="DE202" i="12"/>
  <c r="DE241" i="12"/>
  <c r="DE265" i="12"/>
  <c r="DE192" i="12"/>
  <c r="DE324" i="12"/>
  <c r="DE183" i="12"/>
  <c r="DE197" i="12"/>
  <c r="M198" i="12"/>
  <c r="M189" i="12"/>
  <c r="M171" i="12"/>
  <c r="M24" i="3" s="1"/>
  <c r="J19" i="14" s="1"/>
  <c r="M317" i="12"/>
  <c r="M230" i="12"/>
  <c r="M225" i="12"/>
  <c r="M267" i="12"/>
  <c r="M190" i="12"/>
  <c r="M208" i="12"/>
  <c r="M314" i="12"/>
  <c r="M295" i="12"/>
  <c r="M307" i="12"/>
  <c r="M169" i="12"/>
  <c r="M306" i="12"/>
  <c r="M235" i="12"/>
  <c r="M318" i="12"/>
  <c r="M273" i="12"/>
  <c r="M277" i="12"/>
  <c r="M209" i="12"/>
  <c r="M200" i="12"/>
  <c r="M276" i="12"/>
  <c r="M207" i="12"/>
  <c r="M285" i="12"/>
  <c r="M312" i="12"/>
  <c r="M177" i="12"/>
  <c r="M330" i="12"/>
  <c r="M279" i="12"/>
  <c r="M259" i="12"/>
  <c r="M308" i="12"/>
  <c r="M210" i="12"/>
  <c r="M289" i="12"/>
  <c r="M243" i="12"/>
  <c r="M263" i="12"/>
  <c r="M298" i="12"/>
  <c r="M254" i="12"/>
  <c r="M329" i="12"/>
  <c r="M188" i="12"/>
  <c r="M311" i="12"/>
  <c r="M197" i="12"/>
  <c r="M299" i="12"/>
  <c r="M297" i="12"/>
  <c r="EF267" i="12"/>
  <c r="EF327" i="12"/>
  <c r="EF176" i="12"/>
  <c r="EF238" i="12"/>
  <c r="EF277" i="12"/>
  <c r="EF228" i="12"/>
  <c r="EF293" i="12"/>
  <c r="EF186" i="12"/>
  <c r="EF248" i="12"/>
  <c r="EF328" i="12"/>
  <c r="EF213" i="12"/>
  <c r="EF322" i="12"/>
  <c r="EF199" i="12"/>
  <c r="EF245" i="12"/>
  <c r="EF183" i="12"/>
  <c r="EF222" i="12"/>
  <c r="EF312" i="12"/>
  <c r="EF227" i="12"/>
  <c r="EF304" i="12"/>
  <c r="EF204" i="12"/>
  <c r="EF260" i="12"/>
  <c r="EF298" i="12"/>
  <c r="EF202" i="12"/>
  <c r="EF292" i="12"/>
  <c r="EF184" i="12"/>
  <c r="EF317" i="12"/>
  <c r="EF269" i="12"/>
  <c r="EF242" i="12"/>
  <c r="EF259" i="12"/>
  <c r="EF216" i="12"/>
  <c r="EF297" i="12"/>
  <c r="EF180" i="12"/>
  <c r="EF313" i="12"/>
  <c r="EF306" i="12"/>
  <c r="EF224" i="12"/>
  <c r="EF330" i="12"/>
  <c r="EF229" i="12"/>
  <c r="EF287" i="12"/>
  <c r="EF190" i="12"/>
  <c r="EF325" i="12"/>
  <c r="CZ201" i="12"/>
  <c r="G65" i="3"/>
  <c r="CZ260" i="12"/>
  <c r="CZ206" i="12"/>
  <c r="CZ292" i="12"/>
  <c r="CZ210" i="12"/>
  <c r="CZ259" i="12"/>
  <c r="CZ243" i="12"/>
  <c r="CZ179" i="12"/>
  <c r="CZ257" i="12"/>
  <c r="CZ203" i="12"/>
  <c r="CZ320" i="12"/>
  <c r="CZ224" i="12"/>
  <c r="CZ290" i="12"/>
  <c r="CZ295" i="12"/>
  <c r="CZ191" i="12"/>
  <c r="CZ312" i="12"/>
  <c r="CZ198" i="12"/>
  <c r="CZ321" i="12"/>
  <c r="CZ238" i="12"/>
  <c r="CZ314" i="12"/>
  <c r="CZ323" i="12"/>
  <c r="CZ204" i="12"/>
  <c r="CZ324" i="12"/>
  <c r="CZ212" i="12"/>
  <c r="CZ266" i="12"/>
  <c r="CZ283" i="12"/>
  <c r="CZ184" i="12"/>
  <c r="CZ271" i="12"/>
  <c r="CZ218" i="12"/>
  <c r="CZ293" i="12"/>
  <c r="CZ237" i="12"/>
  <c r="CZ294" i="12"/>
  <c r="CZ327" i="12"/>
  <c r="CZ205" i="12"/>
  <c r="CZ285" i="12"/>
  <c r="CZ230" i="12"/>
  <c r="CZ289" i="12"/>
  <c r="CZ236" i="12"/>
  <c r="G65" i="13"/>
  <c r="CZ280" i="12"/>
  <c r="CZ304" i="12"/>
  <c r="CZ297" i="12"/>
  <c r="CZ330" i="12"/>
  <c r="CZ200" i="12"/>
  <c r="CZ217" i="12"/>
  <c r="CZ239" i="12"/>
  <c r="CZ261" i="12"/>
  <c r="CZ317" i="12"/>
  <c r="CZ269" i="12"/>
  <c r="CZ193" i="12"/>
  <c r="CZ228" i="12"/>
  <c r="CZ242" i="12"/>
  <c r="CZ264" i="12"/>
  <c r="CZ249" i="12"/>
  <c r="CZ273" i="12"/>
  <c r="CZ187" i="12"/>
  <c r="CZ229" i="12"/>
  <c r="CZ235" i="12"/>
  <c r="CZ254" i="12"/>
  <c r="CZ338" i="12"/>
  <c r="CZ331" i="12" s="1"/>
  <c r="CZ309" i="12"/>
  <c r="CZ252" i="12"/>
  <c r="CZ180" i="12"/>
  <c r="CZ215" i="12"/>
  <c r="CZ226" i="12"/>
  <c r="CZ307" i="12"/>
  <c r="CZ308" i="12"/>
  <c r="CZ306" i="12"/>
  <c r="CZ183" i="12"/>
  <c r="CZ208" i="12"/>
  <c r="CZ223" i="12"/>
  <c r="CZ311" i="12"/>
  <c r="CZ328" i="12"/>
  <c r="CZ263" i="12"/>
  <c r="CZ253" i="12"/>
  <c r="CZ182" i="12"/>
  <c r="CZ225" i="12"/>
  <c r="CZ299" i="12"/>
  <c r="CZ220" i="12"/>
  <c r="CZ171" i="12"/>
  <c r="O65" i="3" s="1"/>
  <c r="L38" i="14" s="1"/>
  <c r="CZ221" i="12"/>
  <c r="CZ315" i="12"/>
  <c r="CZ325" i="12"/>
  <c r="CZ195" i="12"/>
  <c r="CZ303" i="12"/>
  <c r="CZ329" i="12"/>
  <c r="CZ189" i="12"/>
  <c r="CZ248" i="12"/>
  <c r="CZ318" i="12"/>
  <c r="CZ186" i="12"/>
  <c r="CZ322" i="12"/>
  <c r="CZ207" i="12"/>
  <c r="CZ302" i="12"/>
  <c r="CZ319" i="12"/>
  <c r="CZ214" i="12"/>
  <c r="CZ286" i="12"/>
  <c r="CZ256" i="12"/>
  <c r="CZ211" i="12"/>
  <c r="CZ262" i="12"/>
  <c r="CZ245" i="12"/>
  <c r="BT248" i="12"/>
  <c r="BT310" i="12"/>
  <c r="BT320" i="12"/>
  <c r="BT204" i="12"/>
  <c r="BT275" i="12"/>
  <c r="BT230" i="12"/>
  <c r="BT330" i="12"/>
  <c r="BT280" i="12"/>
  <c r="BT183" i="12"/>
  <c r="BT306" i="12"/>
  <c r="BT218" i="12"/>
  <c r="BT277" i="12"/>
  <c r="BT256" i="12"/>
  <c r="BT274" i="12"/>
  <c r="BT245" i="12"/>
  <c r="BT326" i="12"/>
  <c r="BT201" i="12"/>
  <c r="BT304" i="12"/>
  <c r="BT194" i="12"/>
  <c r="BT254" i="12"/>
  <c r="BT216" i="12"/>
  <c r="BT309" i="12"/>
  <c r="BT264" i="12"/>
  <c r="BT179" i="12"/>
  <c r="BT300" i="12"/>
  <c r="BT193" i="12"/>
  <c r="BT269" i="12"/>
  <c r="BT206" i="12"/>
  <c r="BT318" i="12"/>
  <c r="BT225" i="12"/>
  <c r="BT305" i="12"/>
  <c r="BT312" i="12"/>
  <c r="BT192" i="12"/>
  <c r="BT265" i="12"/>
  <c r="BT221" i="12"/>
  <c r="BT319" i="12"/>
  <c r="BT272" i="12"/>
  <c r="BT187" i="12"/>
  <c r="BT295" i="12"/>
  <c r="BT214" i="12"/>
  <c r="BT266" i="12"/>
  <c r="BT238" i="12"/>
  <c r="BT289" i="12"/>
  <c r="BT220" i="12"/>
  <c r="BT197" i="12"/>
  <c r="BT171" i="12"/>
  <c r="N48" i="3" s="1"/>
  <c r="K22" i="14" s="1"/>
  <c r="BT311" i="12"/>
  <c r="BT273" i="12"/>
  <c r="BT219" i="12"/>
  <c r="BT211" i="12"/>
  <c r="BT237" i="12"/>
  <c r="BT328" i="12"/>
  <c r="BT285" i="12"/>
  <c r="BT270" i="12"/>
  <c r="BT303" i="12"/>
  <c r="BT181" i="12"/>
  <c r="BT207" i="12"/>
  <c r="BT241" i="12"/>
  <c r="BT247" i="12"/>
  <c r="BT297" i="12"/>
  <c r="BT321" i="12"/>
  <c r="BT184" i="12"/>
  <c r="BT209" i="12"/>
  <c r="BT228" i="12"/>
  <c r="BT262" i="12"/>
  <c r="BT189" i="12"/>
  <c r="BT239" i="12"/>
  <c r="BT317" i="12"/>
  <c r="BT294" i="12"/>
  <c r="BT236" i="12"/>
  <c r="BT281" i="12"/>
  <c r="BT186" i="12"/>
  <c r="E48" i="3"/>
  <c r="BT223" i="12"/>
  <c r="BT292" i="12"/>
  <c r="BT259" i="12"/>
  <c r="BT293" i="12"/>
  <c r="BT169" i="12"/>
  <c r="BT177" i="12"/>
  <c r="BT240" i="12"/>
  <c r="BT291" i="12"/>
  <c r="BT325" i="12"/>
  <c r="BT180" i="12"/>
  <c r="BT215" i="12"/>
  <c r="BT224" i="12"/>
  <c r="BT234" i="12"/>
  <c r="BT324" i="12"/>
  <c r="BT302" i="12"/>
  <c r="BT257" i="12"/>
  <c r="BT185" i="12"/>
  <c r="BT210" i="12"/>
  <c r="BT243" i="12"/>
  <c r="BT279" i="12"/>
  <c r="BT329" i="12"/>
  <c r="E48" i="13"/>
  <c r="BT261" i="12"/>
  <c r="BT290" i="12"/>
  <c r="BT267" i="12"/>
  <c r="BT208" i="12"/>
  <c r="BT260" i="12"/>
  <c r="BT250" i="12"/>
  <c r="BT182" i="12"/>
  <c r="BT296" i="12"/>
  <c r="BT176" i="12"/>
  <c r="BT251" i="12"/>
  <c r="BT288" i="12"/>
  <c r="BT203" i="12"/>
  <c r="BT314" i="12"/>
  <c r="BT217" i="12"/>
  <c r="BT263" i="12"/>
  <c r="BT278" i="12"/>
  <c r="BT242" i="12"/>
  <c r="AN246" i="12"/>
  <c r="AN306" i="12"/>
  <c r="AN251" i="12"/>
  <c r="AN230" i="12"/>
  <c r="AN216" i="12"/>
  <c r="AN233" i="12"/>
  <c r="AN268" i="12"/>
  <c r="AN185" i="12"/>
  <c r="AN266" i="12"/>
  <c r="AN247" i="12"/>
  <c r="AN286" i="12"/>
  <c r="AN244" i="12"/>
  <c r="AN179" i="12"/>
  <c r="AN328" i="12"/>
  <c r="AN203" i="12"/>
  <c r="AN293" i="12"/>
  <c r="AN323" i="12"/>
  <c r="AN324" i="12"/>
  <c r="AN221" i="12"/>
  <c r="AN325" i="12"/>
  <c r="AN225" i="12"/>
  <c r="AN204" i="12"/>
  <c r="AN299" i="12"/>
  <c r="AN264" i="12"/>
  <c r="AN290" i="12"/>
  <c r="AN186" i="12"/>
  <c r="AN234" i="12"/>
  <c r="AN231" i="12"/>
  <c r="AN254" i="12"/>
  <c r="AN228" i="12"/>
  <c r="AN321" i="12"/>
  <c r="AN312" i="12"/>
  <c r="AN196" i="12"/>
  <c r="AN261" i="12"/>
  <c r="AN307" i="12"/>
  <c r="AN273" i="12"/>
  <c r="AN272" i="12"/>
  <c r="AN190" i="12"/>
  <c r="AN210" i="12"/>
  <c r="AN198" i="12"/>
  <c r="AN253" i="12"/>
  <c r="AN303" i="12"/>
  <c r="AN241" i="12"/>
  <c r="AN284" i="12"/>
  <c r="AN193" i="12"/>
  <c r="AN298" i="12"/>
  <c r="AN263" i="12"/>
  <c r="AN176" i="12"/>
  <c r="AN309" i="12"/>
  <c r="AN192" i="12"/>
  <c r="AN311" i="12"/>
  <c r="AN314" i="12"/>
  <c r="AN197" i="12"/>
  <c r="AN295" i="12"/>
  <c r="AN292" i="12"/>
  <c r="AN282" i="12"/>
  <c r="AN270" i="12"/>
  <c r="AN177" i="12"/>
  <c r="AN215" i="12"/>
  <c r="AN267" i="12"/>
  <c r="AN232" i="12"/>
  <c r="AN226" i="12"/>
  <c r="AN301" i="12"/>
  <c r="C87" i="13"/>
  <c r="AN280" i="12"/>
  <c r="AN199" i="12"/>
  <c r="AN288" i="12"/>
  <c r="AN294" i="12"/>
  <c r="AN243" i="12"/>
  <c r="AN276" i="12"/>
  <c r="AN238" i="12"/>
  <c r="AN188" i="12"/>
  <c r="AN313" i="12"/>
  <c r="AN283" i="12"/>
  <c r="AN297" i="12"/>
  <c r="AN320" i="12"/>
  <c r="AN248" i="12"/>
  <c r="AN338" i="12"/>
  <c r="AN331" i="12" s="1"/>
  <c r="AN260" i="12"/>
  <c r="AN218" i="12"/>
  <c r="AN322" i="12"/>
  <c r="AN310" i="12"/>
  <c r="AN181" i="12"/>
  <c r="AN235" i="12"/>
  <c r="AN189" i="12"/>
  <c r="AN316" i="12"/>
  <c r="AN205" i="12"/>
  <c r="AN207" i="12"/>
  <c r="AN277" i="12"/>
  <c r="AN184" i="12"/>
  <c r="AN278" i="12"/>
  <c r="AN178" i="12"/>
  <c r="AN219" i="12"/>
  <c r="AN319" i="12"/>
  <c r="AN300" i="12"/>
  <c r="AN330" i="12"/>
  <c r="AN222" i="12"/>
  <c r="AN217" i="12"/>
  <c r="AN200" i="12"/>
  <c r="AN291" i="12"/>
  <c r="AN256" i="12"/>
  <c r="AN171" i="12"/>
  <c r="M87" i="3" s="1"/>
  <c r="J13" i="14" s="1"/>
  <c r="AN206" i="12"/>
  <c r="AN302" i="12"/>
  <c r="AN305" i="12"/>
  <c r="AN255" i="12"/>
  <c r="AN209" i="12"/>
  <c r="AN262" i="12"/>
  <c r="AN227" i="12"/>
  <c r="AN214" i="12"/>
  <c r="AN252" i="12"/>
  <c r="AN183" i="12"/>
  <c r="AN250" i="12"/>
  <c r="AN315" i="12"/>
  <c r="AN258" i="12"/>
  <c r="AN271" i="12"/>
  <c r="AN220" i="12"/>
  <c r="H305" i="12"/>
  <c r="H325" i="12"/>
  <c r="H323" i="12"/>
  <c r="H277" i="12"/>
  <c r="H291" i="12"/>
  <c r="H294" i="12"/>
  <c r="H205" i="12"/>
  <c r="H319" i="12"/>
  <c r="H297" i="12"/>
  <c r="H241" i="12"/>
  <c r="H303" i="12"/>
  <c r="H210" i="12"/>
  <c r="H266" i="12"/>
  <c r="H295" i="12"/>
  <c r="H311" i="12"/>
  <c r="H317" i="12"/>
  <c r="H196" i="12"/>
  <c r="H190" i="12"/>
  <c r="H304" i="12"/>
  <c r="H248" i="12"/>
  <c r="H284" i="12"/>
  <c r="H199" i="12"/>
  <c r="H236" i="12"/>
  <c r="H306" i="12"/>
  <c r="H251" i="12"/>
  <c r="H260" i="12"/>
  <c r="H286" i="12"/>
  <c r="H201" i="12"/>
  <c r="H296" i="12"/>
  <c r="H235" i="12"/>
  <c r="H238" i="12"/>
  <c r="H309" i="12"/>
  <c r="H206" i="12"/>
  <c r="H326" i="12"/>
  <c r="H221" i="12"/>
  <c r="H282" i="12"/>
  <c r="H249" i="12"/>
  <c r="H193" i="12"/>
  <c r="H188" i="12"/>
  <c r="H212" i="12"/>
  <c r="H223" i="12"/>
  <c r="H314" i="12"/>
  <c r="H269" i="12"/>
  <c r="H243" i="12"/>
  <c r="H178" i="12"/>
  <c r="H274" i="12"/>
  <c r="H171" i="12"/>
  <c r="H276" i="12"/>
  <c r="H217" i="12"/>
  <c r="H261" i="12"/>
  <c r="H213" i="12"/>
  <c r="H230" i="12"/>
  <c r="H191" i="12"/>
  <c r="H209" i="12"/>
  <c r="H215" i="12"/>
  <c r="H287" i="12"/>
  <c r="H285" i="12"/>
  <c r="H313" i="12"/>
  <c r="H176" i="12"/>
  <c r="H220" i="12"/>
  <c r="H179" i="12"/>
  <c r="H187" i="12"/>
  <c r="H222" i="12"/>
  <c r="H264" i="12"/>
  <c r="H259" i="12"/>
  <c r="H227" i="12"/>
  <c r="H189" i="12"/>
  <c r="H281" i="12"/>
  <c r="H299" i="12"/>
  <c r="H203" i="12"/>
  <c r="H234" i="12"/>
  <c r="H258" i="12"/>
  <c r="H224" i="12"/>
  <c r="H252" i="12"/>
  <c r="H204" i="12"/>
  <c r="H219" i="12"/>
  <c r="H275" i="12"/>
  <c r="H200" i="12"/>
  <c r="H278" i="12"/>
  <c r="H207" i="12"/>
  <c r="H256" i="12"/>
  <c r="H268" i="12"/>
  <c r="H318" i="12"/>
  <c r="H195" i="12"/>
  <c r="H324" i="12"/>
  <c r="H202" i="12"/>
  <c r="H271" i="12"/>
  <c r="H169" i="12"/>
  <c r="H280" i="12"/>
  <c r="H198" i="12"/>
  <c r="H229" i="12"/>
  <c r="H177" i="12"/>
  <c r="H310" i="12"/>
  <c r="H211" i="12"/>
  <c r="H186" i="12"/>
  <c r="H328" i="12"/>
  <c r="H315" i="12"/>
  <c r="H197" i="12"/>
  <c r="EL217" i="12"/>
  <c r="EL302" i="12"/>
  <c r="EL247" i="12"/>
  <c r="EL214" i="12"/>
  <c r="EL275" i="12"/>
  <c r="EL179" i="12"/>
  <c r="EL220" i="12"/>
  <c r="EL242" i="12"/>
  <c r="EL267" i="12"/>
  <c r="EL228" i="12"/>
  <c r="EL264" i="12"/>
  <c r="EL199" i="12"/>
  <c r="EL223" i="12"/>
  <c r="EL292" i="12"/>
  <c r="EL280" i="12"/>
  <c r="EL319" i="12"/>
  <c r="EL260" i="12"/>
  <c r="EL203" i="12"/>
  <c r="EL290" i="12"/>
  <c r="EL212" i="12"/>
  <c r="EL225" i="12"/>
  <c r="EL293" i="12"/>
  <c r="EL169" i="12"/>
  <c r="EL186" i="12"/>
  <c r="EL215" i="12"/>
  <c r="EL321" i="12"/>
  <c r="EL310" i="12"/>
  <c r="EL309" i="12"/>
  <c r="EL229" i="12"/>
  <c r="EL304" i="12"/>
  <c r="EL234" i="12"/>
  <c r="EL235" i="12"/>
  <c r="EL177" i="12"/>
  <c r="EL311" i="12"/>
  <c r="EL278" i="12"/>
  <c r="EL182" i="12"/>
  <c r="EL213" i="12"/>
  <c r="EL307" i="12"/>
  <c r="EL226" i="12"/>
  <c r="EL330" i="12"/>
  <c r="EL252" i="12"/>
  <c r="EL198" i="12"/>
  <c r="EL241" i="12"/>
  <c r="EL268" i="12"/>
  <c r="EL266" i="12"/>
  <c r="EL286" i="12"/>
  <c r="EL289" i="12"/>
  <c r="EL210" i="12"/>
  <c r="EL259" i="12"/>
  <c r="EL237" i="12"/>
  <c r="EL248" i="12"/>
  <c r="EL200" i="12"/>
  <c r="EL282" i="12"/>
  <c r="EL227" i="12"/>
  <c r="EL222" i="12"/>
  <c r="EL257" i="12"/>
  <c r="EL181" i="12"/>
  <c r="EL244" i="12"/>
  <c r="EL287" i="12"/>
  <c r="EL187" i="12"/>
  <c r="EL276" i="12"/>
  <c r="EL316" i="12"/>
  <c r="EL317" i="12"/>
  <c r="EL183" i="12"/>
  <c r="EL273" i="12"/>
  <c r="EL251" i="12"/>
  <c r="EL231" i="12"/>
  <c r="EL270" i="12"/>
  <c r="EL288" i="12"/>
  <c r="EL202" i="12"/>
  <c r="EL261" i="12"/>
  <c r="EL263" i="12"/>
  <c r="EL232" i="12"/>
  <c r="EL312" i="12"/>
  <c r="EL219" i="12"/>
  <c r="EL205" i="12"/>
  <c r="EL279" i="12"/>
  <c r="EL300" i="12"/>
  <c r="EL221" i="12"/>
  <c r="DF205" i="12"/>
  <c r="DF275" i="12"/>
  <c r="DF189" i="12"/>
  <c r="DF191" i="12"/>
  <c r="DF171" i="12"/>
  <c r="DF183" i="12"/>
  <c r="DF204" i="12"/>
  <c r="DF328" i="12"/>
  <c r="DF312" i="12"/>
  <c r="DF262" i="12"/>
  <c r="DF330" i="12"/>
  <c r="DF231" i="12"/>
  <c r="DF269" i="12"/>
  <c r="DF326" i="12"/>
  <c r="DF296" i="12"/>
  <c r="DF237" i="12"/>
  <c r="DF192" i="12"/>
  <c r="DF236" i="12"/>
  <c r="DF169" i="12"/>
  <c r="DF197" i="12"/>
  <c r="DF306" i="12"/>
  <c r="DF323" i="12"/>
  <c r="BZ287" i="12"/>
  <c r="BZ256" i="12"/>
  <c r="BZ276" i="12"/>
  <c r="BZ254" i="12"/>
  <c r="BZ322" i="12"/>
  <c r="BZ190" i="12"/>
  <c r="BZ283" i="12"/>
  <c r="BZ178" i="12"/>
  <c r="BZ247" i="12"/>
  <c r="BZ226" i="12"/>
  <c r="BZ275" i="12"/>
  <c r="BZ302" i="12"/>
  <c r="BZ191" i="12"/>
  <c r="BZ218" i="12"/>
  <c r="BZ224" i="12"/>
  <c r="BZ265" i="12"/>
  <c r="BZ233" i="12"/>
  <c r="BZ313" i="12"/>
  <c r="BZ252" i="12"/>
  <c r="BZ181" i="12"/>
  <c r="BZ182" i="12"/>
  <c r="BZ272" i="12"/>
  <c r="BZ329" i="12"/>
  <c r="BZ271" i="12"/>
  <c r="BZ217" i="12"/>
  <c r="BZ301" i="12"/>
  <c r="BZ303" i="12"/>
  <c r="BZ229" i="12"/>
  <c r="BZ286" i="12"/>
  <c r="BZ261" i="12"/>
  <c r="BZ210" i="12"/>
  <c r="BZ248" i="12"/>
  <c r="BZ279" i="12"/>
  <c r="BZ262" i="12"/>
  <c r="BZ310" i="12"/>
  <c r="BZ298" i="12"/>
  <c r="BZ260" i="12"/>
  <c r="BZ300" i="12"/>
  <c r="BZ188" i="12"/>
  <c r="BZ183" i="12"/>
  <c r="BZ177" i="12"/>
  <c r="BZ194" i="12"/>
  <c r="BZ317" i="12"/>
  <c r="BZ200" i="12"/>
  <c r="BZ221" i="12"/>
  <c r="BZ242" i="12"/>
  <c r="BZ244" i="12"/>
  <c r="BZ288" i="12"/>
  <c r="BZ297" i="12"/>
  <c r="BZ196" i="12"/>
  <c r="BZ206" i="12"/>
  <c r="BZ211" i="12"/>
  <c r="BZ219" i="12"/>
  <c r="BZ258" i="12"/>
  <c r="BZ193" i="12"/>
  <c r="BZ285" i="12"/>
  <c r="BZ207" i="12"/>
  <c r="BZ195" i="12"/>
  <c r="BZ220" i="12"/>
  <c r="BZ292" i="12"/>
  <c r="BZ280" i="12"/>
  <c r="BZ316" i="12"/>
  <c r="BZ320" i="12"/>
  <c r="BZ204" i="12"/>
  <c r="BZ215" i="12"/>
  <c r="BZ294" i="12"/>
  <c r="BZ270" i="12"/>
  <c r="BZ238" i="12"/>
  <c r="BZ319" i="12"/>
  <c r="BZ186" i="12"/>
  <c r="BZ245" i="12"/>
  <c r="BZ266" i="12"/>
  <c r="BZ216" i="12"/>
  <c r="BZ330" i="12"/>
  <c r="BZ192" i="12"/>
  <c r="BZ309" i="12"/>
  <c r="BZ311" i="12"/>
  <c r="BZ323" i="12"/>
  <c r="BZ228" i="12"/>
  <c r="BZ176" i="12"/>
  <c r="BZ289" i="12"/>
  <c r="BZ249" i="12"/>
  <c r="BZ318" i="12"/>
  <c r="BZ239" i="12"/>
  <c r="BZ268" i="12"/>
  <c r="BZ295" i="12"/>
  <c r="BZ202" i="12"/>
  <c r="BZ198" i="12"/>
  <c r="BZ274" i="12"/>
  <c r="BZ312" i="12"/>
  <c r="BZ171" i="12"/>
  <c r="BZ227" i="12"/>
  <c r="BZ291" i="12"/>
  <c r="BZ308" i="12"/>
  <c r="BZ305" i="12"/>
  <c r="BZ338" i="12"/>
  <c r="BZ331" i="12" s="1"/>
  <c r="BZ169" i="12"/>
  <c r="BZ209" i="12"/>
  <c r="BZ197" i="12"/>
  <c r="BZ325" i="12"/>
  <c r="BZ180" i="12"/>
  <c r="BZ225" i="12"/>
  <c r="BZ306" i="12"/>
  <c r="BZ253" i="12"/>
  <c r="BZ314" i="12"/>
  <c r="BZ208" i="12"/>
  <c r="BZ255" i="12"/>
  <c r="BZ263" i="12"/>
  <c r="BZ290" i="12"/>
  <c r="BZ321" i="12"/>
  <c r="BZ230" i="12"/>
  <c r="BZ240" i="12"/>
  <c r="BZ236" i="12"/>
  <c r="BZ257" i="12"/>
  <c r="BZ293" i="12"/>
  <c r="BZ324" i="12"/>
  <c r="AT217" i="12"/>
  <c r="AT171" i="12"/>
  <c r="M97" i="3" s="1"/>
  <c r="J42" i="14" s="1"/>
  <c r="AT304" i="12"/>
  <c r="AT212" i="12"/>
  <c r="AT205" i="12"/>
  <c r="AT192" i="12"/>
  <c r="AT330" i="12"/>
  <c r="AT211" i="12"/>
  <c r="AT236" i="12"/>
  <c r="AT243" i="12"/>
  <c r="AT180" i="12"/>
  <c r="AT191" i="12"/>
  <c r="AT193" i="12"/>
  <c r="AT237" i="12"/>
  <c r="AT318" i="12"/>
  <c r="AT324" i="12"/>
  <c r="AT272" i="12"/>
  <c r="AT311" i="12"/>
  <c r="AT196" i="12"/>
  <c r="AT253" i="12"/>
  <c r="AT265" i="12"/>
  <c r="AT251" i="12"/>
  <c r="AT302" i="12"/>
  <c r="AT202" i="12"/>
  <c r="AT284" i="12"/>
  <c r="AT277" i="12"/>
  <c r="AT291" i="12"/>
  <c r="AT241" i="12"/>
  <c r="AT183" i="12"/>
  <c r="AT308" i="12"/>
  <c r="AT325" i="12"/>
  <c r="AT283" i="12"/>
  <c r="AT257" i="12"/>
  <c r="AT186" i="12"/>
  <c r="AT316" i="12"/>
  <c r="AT261" i="12"/>
  <c r="AT323" i="12"/>
  <c r="AT305" i="12"/>
  <c r="AT223" i="12"/>
  <c r="AT214" i="12"/>
  <c r="C97" i="13"/>
  <c r="N225" i="12"/>
  <c r="C25" i="3"/>
  <c r="N214" i="12"/>
  <c r="N219" i="12"/>
  <c r="N319" i="12"/>
  <c r="N260" i="12"/>
  <c r="N237" i="12"/>
  <c r="N218" i="12"/>
  <c r="N221" i="12"/>
  <c r="N326" i="12"/>
  <c r="N311" i="12"/>
  <c r="N179" i="12"/>
  <c r="N189" i="12"/>
  <c r="N201" i="12"/>
  <c r="N323" i="12"/>
  <c r="N183" i="12"/>
  <c r="N298" i="12"/>
  <c r="N270" i="12"/>
  <c r="N252" i="12"/>
  <c r="N289" i="12"/>
  <c r="N320" i="12"/>
  <c r="N239" i="12"/>
  <c r="N287" i="12"/>
  <c r="N232" i="12"/>
  <c r="N324" i="12"/>
  <c r="N322" i="12"/>
  <c r="N303" i="12"/>
  <c r="N263" i="12"/>
  <c r="N191" i="12"/>
  <c r="N233" i="12"/>
  <c r="N208" i="12"/>
  <c r="N276" i="12"/>
  <c r="N258" i="12"/>
  <c r="N238" i="12"/>
  <c r="N310" i="12"/>
  <c r="N309" i="12"/>
  <c r="N227" i="12"/>
  <c r="N220" i="12"/>
  <c r="N203" i="12"/>
  <c r="N288" i="12"/>
  <c r="N171" i="12"/>
  <c r="M25" i="3" s="1"/>
  <c r="J33" i="14" s="1"/>
  <c r="N317" i="12"/>
  <c r="N282" i="12"/>
  <c r="N216" i="12"/>
  <c r="N300" i="12"/>
  <c r="N226" i="12"/>
  <c r="N212" i="12"/>
  <c r="N295" i="12"/>
  <c r="N273" i="12"/>
  <c r="N188" i="12"/>
  <c r="N256" i="12"/>
  <c r="N207" i="12"/>
  <c r="N196" i="12"/>
  <c r="N278" i="12"/>
  <c r="N241" i="12"/>
  <c r="N325" i="12"/>
  <c r="N264" i="12"/>
  <c r="N222" i="12"/>
  <c r="N285" i="12"/>
  <c r="N254" i="12"/>
  <c r="N338" i="12"/>
  <c r="N331" i="12" s="1"/>
  <c r="N296" i="12"/>
  <c r="N306" i="12"/>
  <c r="N217" i="12"/>
  <c r="N248" i="12"/>
  <c r="N247" i="12"/>
  <c r="N195" i="12"/>
  <c r="N204" i="12"/>
  <c r="N286" i="12"/>
  <c r="N313" i="12"/>
  <c r="C25" i="13"/>
  <c r="N230" i="12"/>
  <c r="N177" i="12"/>
  <c r="N215" i="12"/>
  <c r="N274" i="12"/>
  <c r="N205" i="12"/>
  <c r="N308" i="12"/>
  <c r="N281" i="12"/>
  <c r="N330" i="12"/>
  <c r="N236" i="12"/>
  <c r="N304" i="12"/>
  <c r="N305" i="12"/>
  <c r="N292" i="12"/>
  <c r="N261" i="12"/>
  <c r="N202" i="12"/>
  <c r="N192" i="12"/>
  <c r="N243" i="12"/>
  <c r="N262" i="12"/>
  <c r="N291" i="12"/>
  <c r="N229" i="12"/>
  <c r="N302" i="12"/>
  <c r="N245" i="12"/>
  <c r="N312" i="12"/>
  <c r="N199" i="12"/>
  <c r="N290" i="12"/>
  <c r="N194" i="12"/>
  <c r="N213" i="12"/>
  <c r="N314" i="12"/>
  <c r="N328" i="12"/>
  <c r="N327" i="12"/>
  <c r="N259" i="12"/>
  <c r="N280" i="12"/>
  <c r="N269" i="12"/>
  <c r="N210" i="12"/>
  <c r="N234" i="12"/>
  <c r="N251" i="12"/>
  <c r="N275" i="12"/>
  <c r="N316" i="12"/>
  <c r="N315" i="12"/>
  <c r="N266" i="12"/>
  <c r="N184" i="12"/>
  <c r="N198" i="12"/>
  <c r="N185" i="12"/>
  <c r="N301" i="12"/>
  <c r="N249" i="12"/>
  <c r="N299" i="12"/>
  <c r="N279" i="12"/>
  <c r="N211" i="12"/>
  <c r="N257" i="12"/>
  <c r="N268" i="12"/>
  <c r="N293" i="12"/>
  <c r="N321" i="12"/>
  <c r="N169" i="12"/>
  <c r="N193" i="12"/>
  <c r="N307" i="12"/>
  <c r="N294" i="12"/>
  <c r="N255" i="12"/>
  <c r="N224" i="12"/>
  <c r="N209" i="12"/>
  <c r="N272" i="12"/>
  <c r="N240" i="12"/>
  <c r="N284" i="12"/>
  <c r="N277" i="12"/>
  <c r="N253" i="12"/>
  <c r="C76" i="13"/>
  <c r="C78" i="13" s="1"/>
  <c r="AI270" i="12"/>
  <c r="AI220" i="12"/>
  <c r="AI310" i="12"/>
  <c r="AI320" i="12"/>
  <c r="AI223" i="12"/>
  <c r="AI322" i="12"/>
  <c r="AI185" i="12"/>
  <c r="AI265" i="12"/>
  <c r="AI216" i="12"/>
  <c r="AI229" i="12"/>
  <c r="AI181" i="12"/>
  <c r="AI234" i="12"/>
  <c r="AI211" i="12"/>
  <c r="AI188" i="12"/>
  <c r="AI204" i="12"/>
  <c r="AI276" i="12"/>
  <c r="AI262" i="12"/>
  <c r="AI285" i="12"/>
  <c r="AI178" i="12"/>
  <c r="AI313" i="12"/>
  <c r="AI252" i="12"/>
  <c r="AI282" i="12"/>
  <c r="AI231" i="12"/>
  <c r="AI330" i="12"/>
  <c r="AI238" i="12"/>
  <c r="AI202" i="12"/>
  <c r="AI289" i="12"/>
  <c r="AI312" i="12"/>
  <c r="AI309" i="12"/>
  <c r="AI226" i="12"/>
  <c r="AI233" i="12"/>
  <c r="AI235" i="12"/>
  <c r="AI261" i="12"/>
  <c r="AI255" i="12"/>
  <c r="AI206" i="12"/>
  <c r="AI304" i="12"/>
  <c r="AI301" i="12"/>
  <c r="AI329" i="12"/>
  <c r="AI230" i="12"/>
  <c r="AI179" i="12"/>
  <c r="AI224" i="12"/>
  <c r="AI324" i="12"/>
  <c r="AI222" i="12"/>
  <c r="AI287" i="12"/>
  <c r="AI292" i="12"/>
  <c r="AI249" i="12"/>
  <c r="AI294" i="12"/>
  <c r="AI264" i="12"/>
  <c r="AI275" i="12"/>
  <c r="AI319" i="12"/>
  <c r="AI171" i="12"/>
  <c r="AI242" i="12"/>
  <c r="AI303" i="12"/>
  <c r="AI244" i="12"/>
  <c r="AI302" i="12"/>
  <c r="AI191" i="12"/>
  <c r="AI295" i="12"/>
  <c r="AI283" i="12"/>
  <c r="AI300" i="12"/>
  <c r="AI257" i="12"/>
  <c r="AI263" i="12"/>
  <c r="AI260" i="12"/>
  <c r="AI199" i="12"/>
  <c r="AI326" i="12"/>
  <c r="AI299" i="12"/>
  <c r="AI243" i="12"/>
  <c r="AI215" i="12"/>
  <c r="AI240" i="12"/>
  <c r="AI190" i="12"/>
  <c r="AI273" i="12"/>
  <c r="AI205" i="12"/>
  <c r="AI281" i="12"/>
  <c r="AI274" i="12"/>
  <c r="AI284" i="12"/>
  <c r="E31" i="3"/>
  <c r="BO300" i="12"/>
  <c r="BO211" i="12"/>
  <c r="BO309" i="12"/>
  <c r="BO259" i="12"/>
  <c r="BO306" i="12"/>
  <c r="BO276" i="12"/>
  <c r="BO206" i="12"/>
  <c r="BO269" i="12"/>
  <c r="BO221" i="12"/>
  <c r="BO321" i="12"/>
  <c r="BO271" i="12"/>
  <c r="BO242" i="12"/>
  <c r="BO272" i="12"/>
  <c r="BO192" i="12"/>
  <c r="BO281" i="12"/>
  <c r="BO247" i="12"/>
  <c r="BO314" i="12"/>
  <c r="BO235" i="12"/>
  <c r="BO179" i="12"/>
  <c r="BO212" i="12"/>
  <c r="BO201" i="12"/>
  <c r="BO278" i="12"/>
  <c r="BO291" i="12"/>
  <c r="BO169" i="12"/>
  <c r="BO308" i="12"/>
  <c r="BO215" i="12"/>
  <c r="BO301" i="12"/>
  <c r="BO251" i="12"/>
  <c r="BO326" i="12"/>
  <c r="BO303" i="12"/>
  <c r="BO177" i="12"/>
  <c r="BO304" i="12"/>
  <c r="BO181" i="12"/>
  <c r="BO249" i="12"/>
  <c r="BO217" i="12"/>
  <c r="BO310" i="12"/>
  <c r="BO299" i="12"/>
  <c r="BO176" i="12"/>
  <c r="BO240" i="12"/>
  <c r="BO273" i="12"/>
  <c r="BO282" i="12"/>
  <c r="BO184" i="12"/>
  <c r="BO205" i="12"/>
  <c r="BO283" i="12"/>
  <c r="BO231" i="12"/>
  <c r="BO219" i="12"/>
  <c r="BO294" i="12"/>
  <c r="BO180" i="12"/>
  <c r="BO197" i="12"/>
  <c r="BO255" i="12"/>
  <c r="BO256" i="12"/>
  <c r="BO265" i="12"/>
  <c r="BO250" i="12"/>
  <c r="BO290" i="12"/>
  <c r="BO188" i="12"/>
  <c r="BO216" i="12"/>
  <c r="BO279" i="12"/>
  <c r="BO264" i="12"/>
  <c r="BO338" i="12"/>
  <c r="BO331" i="12" s="1"/>
  <c r="BO185" i="12"/>
  <c r="BO327" i="12"/>
  <c r="BO257" i="12"/>
  <c r="BO178" i="12"/>
  <c r="BO267" i="12"/>
  <c r="BO277" i="12"/>
  <c r="BO193" i="12"/>
  <c r="BO226" i="12"/>
  <c r="BO292" i="12"/>
  <c r="BO171" i="12"/>
  <c r="N31" i="3" s="1"/>
  <c r="K6" i="14" s="1"/>
  <c r="BO287" i="12"/>
  <c r="BO288" i="12"/>
  <c r="BO297" i="12"/>
  <c r="BO254" i="12"/>
  <c r="BO191" i="12"/>
  <c r="BO210" i="12"/>
  <c r="BO243" i="12"/>
  <c r="BO260" i="12"/>
  <c r="BO253" i="12"/>
  <c r="BO266" i="12"/>
  <c r="BO182" i="12"/>
  <c r="BO214" i="12"/>
  <c r="BO295" i="12"/>
  <c r="BO280" i="12"/>
  <c r="BO316" i="12"/>
  <c r="BO325" i="12"/>
  <c r="BO298" i="12"/>
  <c r="BO198" i="12"/>
  <c r="BO189" i="12"/>
  <c r="BO241" i="12"/>
  <c r="BO323" i="12"/>
  <c r="BO246" i="12"/>
  <c r="BO194" i="12"/>
  <c r="BO311" i="12"/>
  <c r="BO305" i="12"/>
  <c r="BO187" i="12"/>
  <c r="BO315" i="12"/>
  <c r="BO261" i="12"/>
  <c r="BO318" i="12"/>
  <c r="BO270" i="12"/>
  <c r="BO312" i="12"/>
  <c r="BO222" i="12"/>
  <c r="BO233" i="12"/>
  <c r="BO232" i="12"/>
  <c r="BO274" i="12"/>
  <c r="BO263" i="12"/>
  <c r="BO284" i="12"/>
  <c r="BO302" i="12"/>
  <c r="BO183" i="12"/>
  <c r="BO320" i="12"/>
  <c r="BO258" i="12"/>
  <c r="BO208" i="12"/>
  <c r="BO234" i="12"/>
  <c r="E31" i="13"/>
  <c r="BO223" i="12"/>
  <c r="BO220" i="12"/>
  <c r="BO286" i="12"/>
  <c r="BO252" i="12"/>
  <c r="BO199" i="12"/>
  <c r="BO236" i="12"/>
  <c r="BO218" i="12"/>
  <c r="BO195" i="12"/>
  <c r="BO244" i="12"/>
  <c r="BO317" i="12"/>
  <c r="BO207" i="12"/>
  <c r="BO238" i="12"/>
  <c r="CU285" i="12"/>
  <c r="CU236" i="12"/>
  <c r="CU171" i="12"/>
  <c r="O56" i="3" s="1"/>
  <c r="L23" i="14" s="1"/>
  <c r="CU207" i="12"/>
  <c r="CU324" i="12"/>
  <c r="CU198" i="12"/>
  <c r="CU272" i="12"/>
  <c r="CU299" i="12"/>
  <c r="CU229" i="12"/>
  <c r="CU262" i="12"/>
  <c r="CU210" i="12"/>
  <c r="CU328" i="12"/>
  <c r="CU178" i="12"/>
  <c r="CU260" i="12"/>
  <c r="CU314" i="12"/>
  <c r="CU227" i="12"/>
  <c r="CU305" i="12"/>
  <c r="CU187" i="12"/>
  <c r="CU284" i="12"/>
  <c r="CU253" i="12"/>
  <c r="CU235" i="12"/>
  <c r="CU259" i="12"/>
  <c r="CU228" i="12"/>
  <c r="CU249" i="12"/>
  <c r="CU196" i="12"/>
  <c r="CU304" i="12"/>
  <c r="CU323" i="12"/>
  <c r="CU212" i="12"/>
  <c r="CU290" i="12"/>
  <c r="CU201" i="12"/>
  <c r="CU281" i="12"/>
  <c r="CU199" i="12"/>
  <c r="CU276" i="12"/>
  <c r="CU311" i="12"/>
  <c r="CU213" i="12"/>
  <c r="CU240" i="12"/>
  <c r="CU203" i="12"/>
  <c r="CU316" i="12"/>
  <c r="CU291" i="12"/>
  <c r="CU226" i="12"/>
  <c r="CU286" i="12"/>
  <c r="EA221" i="12"/>
  <c r="EA338" i="12"/>
  <c r="EA331" i="12" s="1"/>
  <c r="EA179" i="12"/>
  <c r="EA261" i="12"/>
  <c r="EA302" i="12"/>
  <c r="EA217" i="12"/>
  <c r="EA327" i="12"/>
  <c r="EA187" i="12"/>
  <c r="EA223" i="12"/>
  <c r="EA285" i="12"/>
  <c r="EA208" i="12"/>
  <c r="EA244" i="12"/>
  <c r="EA184" i="12"/>
  <c r="EA241" i="12"/>
  <c r="EA281" i="12"/>
  <c r="EA218" i="12"/>
  <c r="EA236" i="12"/>
  <c r="EA200" i="12"/>
  <c r="EA283" i="12"/>
  <c r="EA321" i="12"/>
  <c r="EA239" i="12"/>
  <c r="EA266" i="12"/>
  <c r="EA216" i="12"/>
  <c r="EA323" i="12"/>
  <c r="EA185" i="12"/>
  <c r="EA278" i="12"/>
  <c r="EA320" i="12"/>
  <c r="EA296" i="12"/>
  <c r="EA229" i="12"/>
  <c r="EA243" i="12"/>
  <c r="EA272" i="12"/>
  <c r="EA227" i="12"/>
  <c r="EA315" i="12"/>
  <c r="EA193" i="12"/>
  <c r="EA282" i="12"/>
  <c r="EA305" i="12"/>
  <c r="EA231" i="12"/>
  <c r="EA255" i="12"/>
  <c r="EA202" i="12"/>
  <c r="EA293" i="12"/>
  <c r="EA325" i="12"/>
  <c r="Y223" i="12"/>
  <c r="Y338" i="12"/>
  <c r="Y331" i="12" s="1"/>
  <c r="Y192" i="12"/>
  <c r="Y271" i="12"/>
  <c r="Y317" i="12"/>
  <c r="Y265" i="12"/>
  <c r="Y306" i="12"/>
  <c r="Y260" i="12"/>
  <c r="Y282" i="12"/>
  <c r="Y179" i="12"/>
  <c r="Y318" i="12"/>
  <c r="Y322" i="12"/>
  <c r="Y180" i="12"/>
  <c r="Y251" i="12"/>
  <c r="Y280" i="12"/>
  <c r="Y309" i="12"/>
  <c r="Y169" i="12"/>
  <c r="Y281" i="12"/>
  <c r="Y225" i="12"/>
  <c r="Y320" i="12"/>
  <c r="Y219" i="12"/>
  <c r="Y220" i="12"/>
  <c r="Y229" i="12"/>
  <c r="Y311" i="12"/>
  <c r="Y222" i="12"/>
  <c r="Y326" i="12"/>
  <c r="Y228" i="12"/>
  <c r="Y239" i="12"/>
  <c r="Y231" i="12"/>
  <c r="Y275" i="12"/>
  <c r="Y210" i="12"/>
  <c r="Y300" i="12"/>
  <c r="Y188" i="12"/>
  <c r="Y177" i="12"/>
  <c r="Y329" i="12"/>
  <c r="Y191" i="12"/>
  <c r="Y308" i="12"/>
  <c r="Y189" i="12"/>
  <c r="Y224" i="12"/>
  <c r="Y234" i="12"/>
  <c r="Y327" i="12"/>
  <c r="BE266" i="12"/>
  <c r="BE189" i="12"/>
  <c r="BE210" i="12"/>
  <c r="BE321" i="12"/>
  <c r="BE196" i="12"/>
  <c r="BE192" i="12"/>
  <c r="BE207" i="12"/>
  <c r="BE319" i="12"/>
  <c r="BE285" i="12"/>
  <c r="BE256" i="12"/>
  <c r="BE176" i="12"/>
  <c r="BE226" i="12"/>
  <c r="BE287" i="12"/>
  <c r="BE190" i="12"/>
  <c r="BE241" i="12"/>
  <c r="BE263" i="12"/>
  <c r="BE294" i="12"/>
  <c r="BE289" i="12"/>
  <c r="BE243" i="12"/>
  <c r="BE245" i="12"/>
  <c r="BE203" i="12"/>
  <c r="BE171" i="12"/>
  <c r="N25" i="3" s="1"/>
  <c r="K33" i="14" s="1"/>
  <c r="BE318" i="12"/>
  <c r="BE290" i="12"/>
  <c r="BE259" i="12"/>
  <c r="BE199" i="12"/>
  <c r="BE288" i="12"/>
  <c r="BE293" i="12"/>
  <c r="BE218" i="12"/>
  <c r="BE264" i="12"/>
  <c r="BE268" i="12"/>
  <c r="BE295" i="12"/>
  <c r="BE281" i="12"/>
  <c r="BE234" i="12"/>
  <c r="BE275" i="12"/>
  <c r="BE258" i="12"/>
  <c r="BE185" i="12"/>
  <c r="BE279" i="12"/>
  <c r="BE253" i="12"/>
  <c r="BE240" i="12"/>
  <c r="BE305" i="12"/>
  <c r="BE309" i="12"/>
  <c r="BE204" i="12"/>
  <c r="BE235" i="12"/>
  <c r="BE191" i="12"/>
  <c r="BE215" i="12"/>
  <c r="BE307" i="12"/>
  <c r="BE316" i="12"/>
  <c r="BE228" i="12"/>
  <c r="BE188" i="12"/>
  <c r="BE292" i="12"/>
  <c r="BE251" i="12"/>
  <c r="BE329" i="12"/>
  <c r="BE237" i="12"/>
  <c r="BE178" i="12"/>
  <c r="BE246" i="12"/>
  <c r="BE213" i="12"/>
  <c r="BE257" i="12"/>
  <c r="BE327" i="12"/>
  <c r="BE260" i="12"/>
  <c r="BE317" i="12"/>
  <c r="BE195" i="12"/>
  <c r="BE338" i="12"/>
  <c r="BE331" i="12" s="1"/>
  <c r="CK207" i="12"/>
  <c r="CK277" i="12"/>
  <c r="CK271" i="12"/>
  <c r="CK210" i="12"/>
  <c r="CK260" i="12"/>
  <c r="CK237" i="12"/>
  <c r="CK249" i="12"/>
  <c r="CK326" i="12"/>
  <c r="CK194" i="12"/>
  <c r="CK244" i="12"/>
  <c r="CK177" i="12"/>
  <c r="CK304" i="12"/>
  <c r="CK258" i="12"/>
  <c r="CK323" i="12"/>
  <c r="CK296" i="12"/>
  <c r="CK242" i="12"/>
  <c r="CK199" i="12"/>
  <c r="CK291" i="12"/>
  <c r="CK328" i="12"/>
  <c r="CK189" i="12"/>
  <c r="CK184" i="12"/>
  <c r="CK303" i="12"/>
  <c r="CK203" i="12"/>
  <c r="CK292" i="12"/>
  <c r="CK252" i="12"/>
  <c r="CK169" i="12"/>
  <c r="CK263" i="12"/>
  <c r="CK186" i="12"/>
  <c r="CK268" i="12"/>
  <c r="CK227" i="12"/>
  <c r="CK281" i="12"/>
  <c r="CK286" i="12"/>
  <c r="CK276" i="12"/>
  <c r="CK285" i="12"/>
  <c r="CK195" i="12"/>
  <c r="CK223" i="12"/>
  <c r="CK322" i="12"/>
  <c r="CK264" i="12"/>
  <c r="CK273" i="12"/>
  <c r="CK200" i="12"/>
  <c r="CK338" i="12"/>
  <c r="CK331" i="12" s="1"/>
  <c r="CK288" i="12"/>
  <c r="CK305" i="12"/>
  <c r="CK204" i="12"/>
  <c r="CK232" i="12"/>
  <c r="CK298" i="12"/>
  <c r="CK287" i="12"/>
  <c r="CK220" i="12"/>
  <c r="CK239" i="12"/>
  <c r="CK219" i="12"/>
  <c r="CK283" i="12"/>
  <c r="CK270" i="12"/>
  <c r="CK275" i="12"/>
  <c r="CK280" i="12"/>
  <c r="CK293" i="12"/>
  <c r="CK198" i="12"/>
  <c r="CK217" i="12"/>
  <c r="CK310" i="12"/>
  <c r="CK209" i="12"/>
  <c r="CK240" i="12"/>
  <c r="E97" i="13"/>
  <c r="CK246" i="12"/>
  <c r="CK254" i="12"/>
  <c r="CK192" i="12"/>
  <c r="CK253" i="12"/>
  <c r="CK278" i="12"/>
  <c r="CK183" i="12"/>
  <c r="CK231" i="12"/>
  <c r="CK319" i="12"/>
  <c r="CK315" i="12"/>
  <c r="CK314" i="12"/>
  <c r="CK233" i="12"/>
  <c r="CK256" i="12"/>
  <c r="CK226" i="12"/>
  <c r="CK329" i="12"/>
  <c r="CK248" i="12"/>
  <c r="CK272" i="12"/>
  <c r="CK299" i="12"/>
  <c r="CK294" i="12"/>
  <c r="CK214" i="12"/>
  <c r="CK201" i="12"/>
  <c r="CK289" i="12"/>
  <c r="CK311" i="12"/>
  <c r="CK191" i="12"/>
  <c r="CK279" i="12"/>
  <c r="CK218" i="12"/>
  <c r="CK208" i="12"/>
  <c r="CK181" i="12"/>
  <c r="CK312" i="12"/>
  <c r="CK307" i="12"/>
  <c r="CK302" i="12"/>
  <c r="EW202" i="12"/>
  <c r="EW247" i="12"/>
  <c r="EW292" i="12"/>
  <c r="EW181" i="12"/>
  <c r="EW221" i="12"/>
  <c r="EW241" i="12"/>
  <c r="EW278" i="12"/>
  <c r="EW243" i="12"/>
  <c r="EW225" i="12"/>
  <c r="EW290" i="12"/>
  <c r="EW198" i="12"/>
  <c r="EW210" i="12"/>
  <c r="EW280" i="12"/>
  <c r="EW235" i="12"/>
  <c r="EW283" i="12"/>
  <c r="EW169" i="12"/>
  <c r="EW320" i="12"/>
  <c r="EW217" i="12"/>
  <c r="EW271" i="12"/>
  <c r="EW237" i="12"/>
  <c r="EW250" i="12"/>
  <c r="EW201" i="12"/>
  <c r="EW233" i="12"/>
  <c r="EW294" i="12"/>
  <c r="EW248" i="12"/>
  <c r="EW330" i="12"/>
  <c r="EW298" i="12"/>
  <c r="EW194" i="12"/>
  <c r="EW245" i="12"/>
  <c r="EW220" i="12"/>
  <c r="EW316" i="12"/>
  <c r="EW275" i="12"/>
  <c r="EW230" i="12"/>
  <c r="EW209" i="12"/>
  <c r="EW227" i="12"/>
  <c r="EW329" i="12"/>
  <c r="EW191" i="12"/>
  <c r="EW287" i="12"/>
  <c r="EW246" i="12"/>
  <c r="EW176" i="12"/>
  <c r="EW321" i="12"/>
  <c r="EW177" i="12"/>
  <c r="EW259" i="12"/>
  <c r="EW309" i="12"/>
  <c r="EW197" i="12"/>
  <c r="EW219" i="12"/>
  <c r="EW238" i="12"/>
  <c r="EW193" i="12"/>
  <c r="EW256" i="12"/>
  <c r="EW304" i="12"/>
  <c r="EW183" i="12"/>
  <c r="EW224" i="12"/>
  <c r="EW324" i="12"/>
  <c r="EW242" i="12"/>
  <c r="EW188" i="12"/>
  <c r="EW226" i="12"/>
  <c r="EW308" i="12"/>
  <c r="EW222" i="12"/>
  <c r="EW286" i="12"/>
  <c r="EW327" i="12"/>
  <c r="EW199" i="12"/>
  <c r="EW261" i="12"/>
  <c r="EW185" i="12"/>
  <c r="EW264" i="12"/>
  <c r="EW312" i="12"/>
  <c r="EW192" i="12"/>
  <c r="EW231" i="12"/>
  <c r="EW254" i="12"/>
  <c r="EW273" i="12"/>
  <c r="EW314" i="12"/>
  <c r="EW171" i="12"/>
  <c r="Q72" i="3" s="1"/>
  <c r="N25" i="14" s="1"/>
  <c r="EW223" i="12"/>
  <c r="EW281" i="12"/>
  <c r="EW285" i="12"/>
  <c r="EW216" i="12"/>
  <c r="EW266" i="12"/>
  <c r="EW295" i="12"/>
  <c r="EW300" i="12"/>
  <c r="EW234" i="12"/>
  <c r="EW279" i="12"/>
  <c r="EW282" i="12"/>
  <c r="EW186" i="12"/>
  <c r="EW288" i="12"/>
  <c r="EW207" i="12"/>
  <c r="EW284" i="12"/>
  <c r="EW338" i="12"/>
  <c r="EW331" i="12" s="1"/>
  <c r="K72" i="3"/>
  <c r="EW268" i="12"/>
  <c r="EW265" i="12"/>
  <c r="EW196" i="12"/>
  <c r="EW255" i="12"/>
  <c r="EW302" i="12"/>
  <c r="EW184" i="12"/>
  <c r="EW276" i="12"/>
  <c r="EW310" i="12"/>
  <c r="EW189" i="12"/>
  <c r="EW297" i="12"/>
  <c r="EW239" i="12"/>
  <c r="EW218" i="12"/>
  <c r="EW260" i="12"/>
  <c r="EW203" i="12"/>
  <c r="EW249" i="12"/>
  <c r="EW270" i="12"/>
  <c r="EW200" i="12"/>
  <c r="EW262" i="12"/>
  <c r="EW251" i="12"/>
  <c r="EW299" i="12"/>
  <c r="EW236" i="12"/>
  <c r="EW301" i="12"/>
  <c r="EW303" i="12"/>
  <c r="EW240" i="12"/>
  <c r="EW215" i="12"/>
  <c r="EW322" i="12"/>
  <c r="EW257" i="12"/>
  <c r="EW318" i="12"/>
  <c r="EW208" i="12"/>
  <c r="EW293" i="12"/>
  <c r="EW326" i="12"/>
  <c r="EW195" i="12"/>
  <c r="EW277" i="12"/>
  <c r="EW258" i="12"/>
  <c r="EW204" i="12"/>
  <c r="EW269" i="12"/>
  <c r="ES249" i="12"/>
  <c r="ES304" i="12"/>
  <c r="ES262" i="12"/>
  <c r="ES181" i="12"/>
  <c r="ES313" i="12"/>
  <c r="ES216" i="12"/>
  <c r="ES261" i="12"/>
  <c r="ES222" i="12"/>
  <c r="ES301" i="12"/>
  <c r="ES296" i="12"/>
  <c r="ES243" i="12"/>
  <c r="ES186" i="12"/>
  <c r="ES187" i="12"/>
  <c r="ES277" i="12"/>
  <c r="ES193" i="12"/>
  <c r="ES241" i="12"/>
  <c r="ES289" i="12"/>
  <c r="ES248" i="12"/>
  <c r="ES278" i="12"/>
  <c r="ES225" i="12"/>
  <c r="ES322" i="12"/>
  <c r="ES280" i="12"/>
  <c r="ES196" i="12"/>
  <c r="ES235" i="12"/>
  <c r="ES190" i="12"/>
  <c r="ES283" i="12"/>
  <c r="ES237" i="12"/>
  <c r="ES319" i="12"/>
  <c r="ES323" i="12"/>
  <c r="ES182" i="12"/>
  <c r="ES210" i="12"/>
  <c r="ES229" i="12"/>
  <c r="ES294" i="12"/>
  <c r="ES198" i="12"/>
  <c r="ES272" i="12"/>
  <c r="ES320" i="12"/>
  <c r="ES292" i="12"/>
  <c r="ES309" i="12"/>
  <c r="ES214" i="12"/>
  <c r="ES176" i="12"/>
  <c r="ES325" i="12"/>
  <c r="ES252" i="12"/>
  <c r="ES282" i="12"/>
  <c r="ES254" i="12"/>
  <c r="ES200" i="12"/>
  <c r="ES250" i="12"/>
  <c r="ES324" i="12"/>
  <c r="ES218" i="12"/>
  <c r="ES326" i="12"/>
  <c r="ES215" i="12"/>
  <c r="ES184" i="12"/>
  <c r="ES207" i="12"/>
  <c r="ES263" i="12"/>
  <c r="ES299" i="12"/>
  <c r="ES256" i="12"/>
  <c r="ES253" i="12"/>
  <c r="ES244" i="12"/>
  <c r="ES312" i="12"/>
  <c r="ES223" i="12"/>
  <c r="ES285" i="12"/>
  <c r="ES171" i="12"/>
  <c r="Q64" i="3" s="1"/>
  <c r="N24" i="14" s="1"/>
  <c r="K64" i="3"/>
  <c r="ES234" i="12"/>
  <c r="ES246" i="12"/>
  <c r="ES293" i="12"/>
  <c r="ES191" i="12"/>
  <c r="ES257" i="12"/>
  <c r="ES180" i="12"/>
  <c r="ES288" i="12"/>
  <c r="ES230" i="12"/>
  <c r="ES211" i="12"/>
  <c r="ES224" i="12"/>
  <c r="ES306" i="12"/>
  <c r="ES269" i="12"/>
  <c r="ES205" i="12"/>
  <c r="ES188" i="12"/>
  <c r="ES317" i="12"/>
  <c r="ES219" i="12"/>
  <c r="ES307" i="12"/>
  <c r="ES203" i="12"/>
  <c r="ES259" i="12"/>
  <c r="ES189" i="12"/>
  <c r="ES265" i="12"/>
  <c r="ES199" i="12"/>
  <c r="ES204" i="12"/>
  <c r="ES245" i="12"/>
  <c r="ES287" i="12"/>
  <c r="ES310" i="12"/>
  <c r="ES231" i="12"/>
  <c r="ES251" i="12"/>
  <c r="ES178" i="12"/>
  <c r="ES274" i="12"/>
  <c r="ES270" i="12"/>
  <c r="ES314" i="12"/>
  <c r="ES281" i="12"/>
  <c r="ES233" i="12"/>
  <c r="ER294" i="12"/>
  <c r="ER263" i="12"/>
  <c r="ER309" i="12"/>
  <c r="ER223" i="12"/>
  <c r="ER255" i="12"/>
  <c r="ER227" i="12"/>
  <c r="ER266" i="12"/>
  <c r="ER226" i="12"/>
  <c r="ER302" i="12"/>
  <c r="ER275" i="12"/>
  <c r="ER192" i="12"/>
  <c r="ER284" i="12"/>
  <c r="ER251" i="12"/>
  <c r="ER187" i="12"/>
  <c r="ER271" i="12"/>
  <c r="ER184" i="12"/>
  <c r="ER252" i="12"/>
  <c r="ER180" i="12"/>
  <c r="ER300" i="12"/>
  <c r="ER196" i="12"/>
  <c r="ER276" i="12"/>
  <c r="ER264" i="12"/>
  <c r="ER205" i="12"/>
  <c r="ER296" i="12"/>
  <c r="ER228" i="12"/>
  <c r="ER315" i="12"/>
  <c r="ER229" i="12"/>
  <c r="ER231" i="12"/>
  <c r="ER242" i="12"/>
  <c r="ER179" i="12"/>
  <c r="ER319" i="12"/>
  <c r="ER323" i="12"/>
  <c r="ER279" i="12"/>
  <c r="ER297" i="12"/>
  <c r="ER280" i="12"/>
  <c r="ER299" i="12"/>
  <c r="ER203" i="12"/>
  <c r="ER240" i="12"/>
  <c r="ER213" i="12"/>
  <c r="ER250" i="12"/>
  <c r="ER245" i="12"/>
  <c r="ER310" i="12"/>
  <c r="ER169" i="12"/>
  <c r="ER183" i="12"/>
  <c r="ER215" i="12"/>
  <c r="K63" i="13"/>
  <c r="ER225" i="12"/>
  <c r="ER327" i="12"/>
  <c r="ER260" i="12"/>
  <c r="ER308" i="12"/>
  <c r="ER326" i="12"/>
  <c r="ER200" i="12"/>
  <c r="ER212" i="12"/>
  <c r="ER185" i="12"/>
  <c r="ER236" i="12"/>
  <c r="ER293" i="12"/>
  <c r="ER295" i="12"/>
  <c r="ER306" i="12"/>
  <c r="ER303" i="12"/>
  <c r="ER204" i="12"/>
  <c r="ER256" i="12"/>
  <c r="ER195" i="12"/>
  <c r="ER287" i="12"/>
  <c r="ER211" i="12"/>
  <c r="ER267" i="12"/>
  <c r="ER201" i="12"/>
  <c r="ER318" i="12"/>
  <c r="ER220" i="12"/>
  <c r="ER171" i="12"/>
  <c r="ER321" i="12"/>
  <c r="ER290" i="12"/>
  <c r="ER232" i="12"/>
  <c r="ER253" i="12"/>
  <c r="ER288" i="12"/>
  <c r="ER277" i="12"/>
  <c r="ER243" i="12"/>
  <c r="ER282" i="12"/>
  <c r="ER314" i="12"/>
  <c r="ER258" i="12"/>
  <c r="ER198" i="12"/>
  <c r="ER178" i="12"/>
  <c r="ER206" i="12"/>
  <c r="ER324" i="12"/>
  <c r="ER190" i="12"/>
  <c r="ER209" i="12"/>
  <c r="ER301" i="12"/>
  <c r="ER328" i="12"/>
  <c r="ER186" i="12"/>
  <c r="ER246" i="12"/>
  <c r="ER292" i="12"/>
  <c r="ER289" i="12"/>
  <c r="ER191" i="12"/>
  <c r="ER219" i="12"/>
  <c r="ER304" i="12"/>
  <c r="ER329" i="12"/>
  <c r="ER218" i="12"/>
  <c r="ER233" i="12"/>
  <c r="ER313" i="12"/>
  <c r="ER285" i="12"/>
  <c r="ER273" i="12"/>
  <c r="ER272" i="12"/>
  <c r="ER189" i="12"/>
  <c r="ER316" i="12"/>
  <c r="ER207" i="12"/>
  <c r="ER181" i="12"/>
  <c r="ER265" i="12"/>
  <c r="ER235" i="12"/>
  <c r="ER239" i="12"/>
  <c r="ER338" i="12"/>
  <c r="ER331" i="12" s="1"/>
  <c r="ER307" i="12"/>
  <c r="ER208" i="12"/>
  <c r="ER269" i="12"/>
  <c r="ER247" i="12"/>
  <c r="ER317" i="12"/>
  <c r="ER270" i="12"/>
  <c r="ER298" i="12"/>
  <c r="ER261" i="12"/>
  <c r="ER238" i="12"/>
  <c r="ER248" i="12"/>
  <c r="ER197" i="12"/>
  <c r="ER199" i="12"/>
  <c r="ER257" i="12"/>
  <c r="ER330" i="12"/>
  <c r="ER281" i="12"/>
  <c r="ER291" i="12"/>
  <c r="ER222" i="12"/>
  <c r="ER274" i="12"/>
  <c r="ER244" i="12"/>
  <c r="ER311" i="12"/>
  <c r="ER262" i="12"/>
  <c r="ER194" i="12"/>
  <c r="ER268" i="12"/>
  <c r="ER182" i="12"/>
  <c r="ER278" i="12"/>
  <c r="DL270" i="12"/>
  <c r="DL303" i="12"/>
  <c r="DL300" i="12"/>
  <c r="DL285" i="12"/>
  <c r="DL258" i="12"/>
  <c r="DL315" i="12"/>
  <c r="DL198" i="12"/>
  <c r="DL296" i="12"/>
  <c r="DL213" i="12"/>
  <c r="DL293" i="12"/>
  <c r="DL221" i="12"/>
  <c r="DL263" i="12"/>
  <c r="DL257" i="12"/>
  <c r="DL205" i="12"/>
  <c r="DL324" i="12"/>
  <c r="DL232" i="12"/>
  <c r="DL330" i="12"/>
  <c r="DL248" i="12"/>
  <c r="DL194" i="12"/>
  <c r="DL227" i="12"/>
  <c r="DL220" i="12"/>
  <c r="DL280" i="12"/>
  <c r="DL235" i="12"/>
  <c r="DL314" i="12"/>
  <c r="DL267" i="12"/>
  <c r="DL184" i="12"/>
  <c r="DL328" i="12"/>
  <c r="DL217" i="12"/>
  <c r="DL322" i="12"/>
  <c r="DL253" i="12"/>
  <c r="DL182" i="12"/>
  <c r="DL320" i="12"/>
  <c r="DL223" i="12"/>
  <c r="DL266" i="12"/>
  <c r="DL246" i="12"/>
  <c r="DL176" i="12"/>
  <c r="DL291" i="12"/>
  <c r="DL306" i="12"/>
  <c r="DL229" i="12"/>
  <c r="DL245" i="12"/>
  <c r="DL269" i="12"/>
  <c r="DL180" i="12"/>
  <c r="DL204" i="12"/>
  <c r="DL224" i="12"/>
  <c r="DL299" i="12"/>
  <c r="DL289" i="12"/>
  <c r="DL310" i="12"/>
  <c r="DL189" i="12"/>
  <c r="DL196" i="12"/>
  <c r="DL240" i="12"/>
  <c r="DL319" i="12"/>
  <c r="DL316" i="12"/>
  <c r="DL272" i="12"/>
  <c r="DL190" i="12"/>
  <c r="DL218" i="12"/>
  <c r="DL188" i="12"/>
  <c r="DL216" i="12"/>
  <c r="DL256" i="12"/>
  <c r="DL281" i="12"/>
  <c r="DL233" i="12"/>
  <c r="DL279" i="12"/>
  <c r="DL294" i="12"/>
  <c r="DL219" i="12"/>
  <c r="DL292" i="12"/>
  <c r="DL237" i="12"/>
  <c r="DL297" i="12"/>
  <c r="DL323" i="12"/>
  <c r="DL201" i="12"/>
  <c r="DL307" i="12"/>
  <c r="DL252" i="12"/>
  <c r="DL317" i="12"/>
  <c r="DL226" i="12"/>
  <c r="DL185" i="12"/>
  <c r="DL169" i="12"/>
  <c r="DL325" i="12"/>
  <c r="DL275" i="12"/>
  <c r="DL254" i="12"/>
  <c r="DL222" i="12"/>
  <c r="DL210" i="12"/>
  <c r="DL183" i="12"/>
  <c r="DL318" i="12"/>
  <c r="DL274" i="12"/>
  <c r="DL243" i="12"/>
  <c r="DL214" i="12"/>
  <c r="DL192" i="12"/>
  <c r="DL298" i="12"/>
  <c r="DL302" i="12"/>
  <c r="DL313" i="12"/>
  <c r="DL264" i="12"/>
  <c r="DL230" i="12"/>
  <c r="E88" i="3"/>
  <c r="CF311" i="12"/>
  <c r="CF200" i="12"/>
  <c r="CF281" i="12"/>
  <c r="CF315" i="12"/>
  <c r="CF196" i="12"/>
  <c r="CF253" i="12"/>
  <c r="CF271" i="12"/>
  <c r="CF255" i="12"/>
  <c r="CF182" i="12"/>
  <c r="CF227" i="12"/>
  <c r="CF176" i="12"/>
  <c r="CF179" i="12"/>
  <c r="CF318" i="12"/>
  <c r="CF207" i="12"/>
  <c r="CF313" i="12"/>
  <c r="CF229" i="12"/>
  <c r="CF292" i="12"/>
  <c r="CF218" i="12"/>
  <c r="CF258" i="12"/>
  <c r="CF216" i="12"/>
  <c r="CF230" i="12"/>
  <c r="CF186" i="12"/>
  <c r="CF298" i="12"/>
  <c r="CF319" i="12"/>
  <c r="CF301" i="12"/>
  <c r="CF184" i="12"/>
  <c r="CF191" i="12"/>
  <c r="CF316" i="12"/>
  <c r="CF279" i="12"/>
  <c r="CF329" i="12"/>
  <c r="CF261" i="12"/>
  <c r="CF224" i="12"/>
  <c r="CF209" i="12"/>
  <c r="CF178" i="12"/>
  <c r="CF307" i="12"/>
  <c r="CF262" i="12"/>
  <c r="CF254" i="12"/>
  <c r="CF221" i="12"/>
  <c r="CF194" i="12"/>
  <c r="CF288" i="12"/>
  <c r="AZ285" i="12"/>
  <c r="AZ289" i="12"/>
  <c r="AZ302" i="12"/>
  <c r="AZ198" i="12"/>
  <c r="AZ282" i="12"/>
  <c r="AZ202" i="12"/>
  <c r="AZ300" i="12"/>
  <c r="AZ269" i="12"/>
  <c r="AZ206" i="12"/>
  <c r="AZ260" i="12"/>
  <c r="AZ299" i="12"/>
  <c r="AZ228" i="12"/>
  <c r="AZ304" i="12"/>
  <c r="AZ292" i="12"/>
  <c r="AZ315" i="12"/>
  <c r="AZ231" i="12"/>
  <c r="AZ193" i="12"/>
  <c r="AZ296" i="12"/>
  <c r="AZ321" i="12"/>
  <c r="AZ293" i="12"/>
  <c r="AZ288" i="12"/>
  <c r="AZ213" i="12"/>
  <c r="AZ218" i="12"/>
  <c r="AZ204" i="12"/>
  <c r="AZ301" i="12"/>
  <c r="AZ310" i="12"/>
  <c r="AZ325" i="12"/>
  <c r="AZ313" i="12"/>
  <c r="AZ203" i="12"/>
  <c r="AZ247" i="12"/>
  <c r="T313" i="12"/>
  <c r="T256" i="12"/>
  <c r="T291" i="12"/>
  <c r="T176" i="12"/>
  <c r="T329" i="12"/>
  <c r="T301" i="12"/>
  <c r="T208" i="12"/>
  <c r="T239" i="12"/>
  <c r="T178" i="12"/>
  <c r="T217" i="12"/>
  <c r="T206" i="12"/>
  <c r="T234" i="12"/>
  <c r="T220" i="12"/>
  <c r="T219" i="12"/>
  <c r="T201" i="12"/>
  <c r="T230" i="12"/>
  <c r="T297" i="12"/>
  <c r="T258" i="12"/>
  <c r="T280" i="12"/>
  <c r="T327" i="12"/>
  <c r="T243" i="12"/>
  <c r="T265" i="12"/>
  <c r="T198" i="12"/>
  <c r="EX263" i="12"/>
  <c r="EX201" i="12"/>
  <c r="EX240" i="12"/>
  <c r="EX184" i="12"/>
  <c r="EX234" i="12"/>
  <c r="EX318" i="12"/>
  <c r="EX197" i="12"/>
  <c r="EX274" i="12"/>
  <c r="EX231" i="12"/>
  <c r="EX290" i="12"/>
  <c r="EX292" i="12"/>
  <c r="EX215" i="12"/>
  <c r="EX324" i="12"/>
  <c r="EX255" i="12"/>
  <c r="EX261" i="12"/>
  <c r="EX220" i="12"/>
  <c r="EX262" i="12"/>
  <c r="EX313" i="12"/>
  <c r="EX195" i="12"/>
  <c r="EX293" i="12"/>
  <c r="EX205" i="12"/>
  <c r="EX303" i="12"/>
  <c r="EX268" i="12"/>
  <c r="DR298" i="12"/>
  <c r="DR271" i="12"/>
  <c r="DR176" i="12"/>
  <c r="DR238" i="12"/>
  <c r="DR254" i="12"/>
  <c r="DR217" i="12"/>
  <c r="DR284" i="12"/>
  <c r="DR181" i="12"/>
  <c r="DR253" i="12"/>
  <c r="DR260" i="12"/>
  <c r="DR206" i="12"/>
  <c r="DR247" i="12"/>
  <c r="DR219" i="12"/>
  <c r="DR285" i="12"/>
  <c r="DR191" i="12"/>
  <c r="DR309" i="12"/>
  <c r="DR279" i="12"/>
  <c r="DR234" i="12"/>
  <c r="DR311" i="12"/>
  <c r="DR220" i="12"/>
  <c r="DR272" i="12"/>
  <c r="DR291" i="12"/>
  <c r="DR233" i="12"/>
  <c r="DR316" i="12"/>
  <c r="DR231" i="12"/>
  <c r="DR310" i="12"/>
  <c r="DR187" i="12"/>
  <c r="DR321" i="12"/>
  <c r="DR293" i="12"/>
  <c r="DR239" i="12"/>
  <c r="DR323" i="12"/>
  <c r="DR209" i="12"/>
  <c r="DR269" i="12"/>
  <c r="DR184" i="12"/>
  <c r="DR248" i="12"/>
  <c r="DR261" i="12"/>
  <c r="DR218" i="12"/>
  <c r="DR322" i="12"/>
  <c r="DR198" i="12"/>
  <c r="DR246" i="12"/>
  <c r="DR274" i="12"/>
  <c r="CL308" i="12"/>
  <c r="G12" i="13"/>
  <c r="G13" i="13" s="1"/>
  <c r="CL235" i="12"/>
  <c r="CL299" i="12"/>
  <c r="CL197" i="12"/>
  <c r="CL314" i="12"/>
  <c r="CL178" i="12"/>
  <c r="CL241" i="12"/>
  <c r="CL256" i="12"/>
  <c r="CL206" i="12"/>
  <c r="CL271" i="12"/>
  <c r="CL198" i="12"/>
  <c r="CL309" i="12"/>
  <c r="CL179" i="12"/>
  <c r="CL252" i="12"/>
  <c r="CL284" i="12"/>
  <c r="CL218" i="12"/>
  <c r="CL275" i="12"/>
  <c r="CL215" i="12"/>
  <c r="CL322" i="12"/>
  <c r="CL177" i="12"/>
  <c r="CL237" i="12"/>
  <c r="CL300" i="12"/>
  <c r="CL211" i="12"/>
  <c r="CL263" i="12"/>
  <c r="CL183" i="12"/>
  <c r="CL250" i="12"/>
  <c r="CL276" i="12"/>
  <c r="CL238" i="12"/>
  <c r="CL303" i="12"/>
  <c r="CL207" i="12"/>
  <c r="CL318" i="12"/>
  <c r="CL209" i="12"/>
  <c r="CL266" i="12"/>
  <c r="CL184" i="12"/>
  <c r="CL249" i="12"/>
  <c r="CL320" i="12"/>
  <c r="CL224" i="12"/>
  <c r="CL287" i="12"/>
  <c r="BF234" i="12"/>
  <c r="BF338" i="12"/>
  <c r="BF331" i="12" s="1"/>
  <c r="BF266" i="12"/>
  <c r="BF195" i="12"/>
  <c r="BF253" i="12"/>
  <c r="BF229" i="12"/>
  <c r="BF329" i="12"/>
  <c r="BF312" i="12"/>
  <c r="BF293" i="12"/>
  <c r="BF274" i="12"/>
  <c r="BF207" i="12"/>
  <c r="BF198" i="12"/>
  <c r="BF320" i="12"/>
  <c r="BF275" i="12"/>
  <c r="BF310" i="12"/>
  <c r="BF231" i="12"/>
  <c r="BF197" i="12"/>
  <c r="BF241" i="12"/>
  <c r="BF186" i="12"/>
  <c r="BF283" i="12"/>
  <c r="BF317" i="12"/>
  <c r="BF255" i="12"/>
  <c r="BF251" i="12"/>
  <c r="BF238" i="12"/>
  <c r="BF199" i="12"/>
  <c r="BF311" i="12"/>
  <c r="BF321" i="12"/>
  <c r="BF248" i="12"/>
  <c r="BF215" i="12"/>
  <c r="BF270" i="12"/>
  <c r="BF192" i="12"/>
  <c r="BF277" i="12"/>
  <c r="BF289" i="12"/>
  <c r="BF218" i="12"/>
  <c r="BF287" i="12"/>
  <c r="BF225" i="12"/>
  <c r="BF297" i="12"/>
  <c r="BF200" i="12"/>
  <c r="BF325" i="12"/>
  <c r="Z289" i="12"/>
  <c r="Z221" i="12"/>
  <c r="Z281" i="12"/>
  <c r="Z314" i="12"/>
  <c r="Z254" i="12"/>
  <c r="Z321" i="12"/>
  <c r="Z303" i="12"/>
  <c r="Z322" i="12"/>
  <c r="Z182" i="12"/>
  <c r="Z193" i="12"/>
  <c r="Z244" i="12"/>
  <c r="Z312" i="12"/>
  <c r="Z305" i="12"/>
  <c r="Z311" i="12"/>
  <c r="Z211" i="12"/>
  <c r="Z298" i="12"/>
  <c r="Z326" i="12"/>
  <c r="Z223" i="12"/>
  <c r="Z226" i="12"/>
  <c r="Z245" i="12"/>
  <c r="Z220" i="12"/>
  <c r="Z197" i="12"/>
  <c r="Z247" i="12"/>
  <c r="Z258" i="12"/>
  <c r="Z276" i="12"/>
  <c r="Z273" i="12"/>
  <c r="Z212" i="12"/>
  <c r="Z310" i="12"/>
  <c r="Z299" i="12"/>
  <c r="Z199" i="12"/>
  <c r="Z293" i="12"/>
  <c r="Z257" i="12"/>
  <c r="Z330" i="12"/>
  <c r="Z264" i="12"/>
  <c r="Z235" i="12"/>
  <c r="Z208" i="12"/>
  <c r="Z225" i="12"/>
  <c r="R172" i="12"/>
  <c r="CW229" i="12"/>
  <c r="CW267" i="12"/>
  <c r="CW179" i="12"/>
  <c r="CW286" i="12"/>
  <c r="CW284" i="12"/>
  <c r="CW191" i="12"/>
  <c r="CW203" i="12"/>
  <c r="CW240" i="12"/>
  <c r="CW184" i="12"/>
  <c r="CW265" i="12"/>
  <c r="EJ289" i="12"/>
  <c r="EJ227" i="12"/>
  <c r="EJ264" i="12"/>
  <c r="EJ330" i="12"/>
  <c r="EJ311" i="12"/>
  <c r="EJ191" i="12"/>
  <c r="EJ244" i="12"/>
  <c r="EJ324" i="12"/>
  <c r="EJ199" i="12"/>
  <c r="EJ325" i="12"/>
  <c r="EJ290" i="12"/>
  <c r="EJ180" i="12"/>
  <c r="EJ232" i="12"/>
  <c r="EJ245" i="12"/>
  <c r="EJ291" i="12"/>
  <c r="EJ283" i="12"/>
  <c r="EJ307" i="12"/>
  <c r="EJ209" i="12"/>
  <c r="EJ286" i="12"/>
  <c r="EJ171" i="12"/>
  <c r="BX193" i="12"/>
  <c r="BX312" i="12"/>
  <c r="BX292" i="12"/>
  <c r="BX253" i="12"/>
  <c r="BX224" i="12"/>
  <c r="AX236" i="12"/>
  <c r="AX313" i="12"/>
  <c r="AX204" i="12"/>
  <c r="AX255" i="12"/>
  <c r="DT247" i="12"/>
  <c r="DT252" i="12"/>
  <c r="DT190" i="12"/>
  <c r="DT242" i="12"/>
  <c r="DT253" i="12"/>
  <c r="DT191" i="12"/>
  <c r="DT241" i="12"/>
  <c r="DT326" i="12"/>
  <c r="DT182" i="12"/>
  <c r="DT236" i="12"/>
  <c r="DT183" i="12"/>
  <c r="DT293" i="12"/>
  <c r="DT222" i="12"/>
  <c r="DT290" i="12"/>
  <c r="DT274" i="12"/>
  <c r="CT215" i="12"/>
  <c r="CT177" i="12"/>
  <c r="CT182" i="12"/>
  <c r="CT184" i="12"/>
  <c r="CT234" i="12"/>
  <c r="CT258" i="12"/>
  <c r="CT318" i="12"/>
  <c r="CT307" i="12"/>
  <c r="CT191" i="12"/>
  <c r="CT260" i="12"/>
  <c r="CT265" i="12"/>
  <c r="CT187" i="12"/>
  <c r="CT229" i="12"/>
  <c r="CT197" i="12"/>
  <c r="CT220" i="12"/>
  <c r="AE186" i="12"/>
  <c r="AE322" i="12"/>
  <c r="BK262" i="12"/>
  <c r="BK190" i="12"/>
  <c r="BK267" i="12"/>
  <c r="CQ195" i="12"/>
  <c r="CQ242" i="12"/>
  <c r="DW181" i="12"/>
  <c r="DW317" i="12"/>
  <c r="U291" i="12"/>
  <c r="U272" i="12"/>
  <c r="U244" i="12"/>
  <c r="U316" i="12"/>
  <c r="U328" i="12"/>
  <c r="BA243" i="12"/>
  <c r="BA253" i="12"/>
  <c r="CC278" i="12"/>
  <c r="CC316" i="12"/>
  <c r="EO250" i="12"/>
  <c r="EO270" i="12"/>
  <c r="EV171" i="12"/>
  <c r="EV302" i="12"/>
  <c r="EV235" i="12"/>
  <c r="EV247" i="12"/>
  <c r="EV228" i="12"/>
  <c r="DP287" i="12"/>
  <c r="DP322" i="12"/>
  <c r="DP182" i="12"/>
  <c r="FB216" i="12"/>
  <c r="FB287" i="12"/>
  <c r="FB272" i="12"/>
  <c r="FB213" i="12"/>
  <c r="FB312" i="12"/>
  <c r="FB294" i="12"/>
  <c r="FB227" i="12"/>
  <c r="FB301" i="12"/>
  <c r="FB314" i="12"/>
  <c r="FB207" i="12"/>
  <c r="DV220" i="12"/>
  <c r="DV281" i="12"/>
  <c r="DV290" i="12"/>
  <c r="DV316" i="12"/>
  <c r="DV266" i="12"/>
  <c r="DV292" i="12"/>
  <c r="DV259" i="12"/>
  <c r="DV324" i="12"/>
  <c r="DV285" i="12"/>
  <c r="DV192" i="12"/>
  <c r="AD314" i="12"/>
  <c r="AD224" i="12"/>
  <c r="AD301" i="12"/>
  <c r="AD274" i="12"/>
  <c r="AD208" i="12"/>
  <c r="DK226" i="12"/>
  <c r="DK257" i="12"/>
  <c r="EQ242" i="12"/>
  <c r="EQ255" i="12"/>
  <c r="EQ191" i="12"/>
  <c r="EQ246" i="12"/>
  <c r="EQ316" i="12"/>
  <c r="I215" i="12"/>
  <c r="I294" i="12"/>
  <c r="I176" i="12"/>
  <c r="I220" i="12"/>
  <c r="I221" i="12"/>
  <c r="CV221" i="12"/>
  <c r="CV294" i="12"/>
  <c r="CV268" i="12"/>
  <c r="CV300" i="12"/>
  <c r="CV239" i="12"/>
  <c r="CV210" i="12"/>
  <c r="BV242" i="12"/>
  <c r="BV213" i="12"/>
  <c r="BV265" i="12"/>
  <c r="CZ268" i="12"/>
  <c r="DL200" i="12"/>
  <c r="DL304" i="12"/>
  <c r="DL186" i="12"/>
  <c r="DL250" i="12"/>
  <c r="DL284" i="12"/>
  <c r="DL207" i="12"/>
  <c r="DL312" i="12"/>
  <c r="CF338" i="12"/>
  <c r="CF331" i="12" s="1"/>
  <c r="CF193" i="12"/>
  <c r="CF272" i="12"/>
  <c r="CF283" i="12"/>
  <c r="CF286" i="12"/>
  <c r="CF280" i="12"/>
  <c r="CF187" i="12"/>
  <c r="CF263" i="12"/>
  <c r="CF240" i="12"/>
  <c r="CF210" i="12"/>
  <c r="CF190" i="12"/>
  <c r="CF296" i="12"/>
  <c r="CF314" i="12"/>
  <c r="CF325" i="12"/>
  <c r="CF246" i="12"/>
  <c r="CF220" i="12"/>
  <c r="CF204" i="12"/>
  <c r="CF284" i="12"/>
  <c r="CF326" i="12"/>
  <c r="CF305" i="12"/>
  <c r="CF243" i="12"/>
  <c r="CF282" i="12"/>
  <c r="AZ307" i="12"/>
  <c r="AZ180" i="12"/>
  <c r="AZ268" i="12"/>
  <c r="AZ270" i="12"/>
  <c r="AZ279" i="12"/>
  <c r="AZ312" i="12"/>
  <c r="AZ272" i="12"/>
  <c r="AZ323" i="12"/>
  <c r="AZ189" i="12"/>
  <c r="T221" i="12"/>
  <c r="T273" i="12"/>
  <c r="T324" i="12"/>
  <c r="EX226" i="12"/>
  <c r="EX259" i="12"/>
  <c r="EX213" i="12"/>
  <c r="Z216" i="12"/>
  <c r="Z227" i="12"/>
  <c r="N197" i="12"/>
  <c r="EX225" i="12"/>
  <c r="CF228" i="12"/>
  <c r="AZ176" i="12"/>
  <c r="AZ262" i="12"/>
  <c r="AZ277" i="12"/>
  <c r="AZ265" i="12"/>
  <c r="AZ295" i="12"/>
  <c r="AZ227" i="12"/>
  <c r="AZ186" i="12"/>
  <c r="AZ274" i="12"/>
  <c r="AZ273" i="12"/>
  <c r="AZ246" i="12"/>
  <c r="AZ297" i="12"/>
  <c r="AZ287" i="12"/>
  <c r="AZ215" i="12"/>
  <c r="AZ188" i="12"/>
  <c r="AZ317" i="12"/>
  <c r="AZ284" i="12"/>
  <c r="AZ298" i="12"/>
  <c r="AZ253" i="12"/>
  <c r="T171" i="12"/>
  <c r="M55" i="3" s="1"/>
  <c r="J9" i="14" s="1"/>
  <c r="T188" i="12"/>
  <c r="T183" i="12"/>
  <c r="T330" i="12"/>
  <c r="C55" i="13"/>
  <c r="T268" i="12"/>
  <c r="T325" i="12"/>
  <c r="EX181" i="12"/>
  <c r="EX275" i="12"/>
  <c r="EX247" i="12"/>
  <c r="EX179" i="12"/>
  <c r="EX328" i="12"/>
  <c r="Z272" i="12"/>
  <c r="Z291" i="12"/>
  <c r="Z179" i="12"/>
  <c r="Z215" i="12"/>
  <c r="DE193" i="12"/>
  <c r="EW190" i="12"/>
  <c r="ES302" i="12"/>
  <c r="Y236" i="12"/>
  <c r="AZ286" i="12"/>
  <c r="AZ311" i="12"/>
  <c r="T267" i="12"/>
  <c r="T187" i="12"/>
  <c r="T209" i="12"/>
  <c r="T237" i="12"/>
  <c r="T194" i="12"/>
  <c r="T248" i="12"/>
  <c r="T245" i="12"/>
  <c r="T287" i="12"/>
  <c r="T241" i="12"/>
  <c r="T317" i="12"/>
  <c r="T216" i="12"/>
  <c r="T186" i="12"/>
  <c r="K73" i="13"/>
  <c r="AI31" i="13" s="1"/>
  <c r="EX329" i="12"/>
  <c r="EX283" i="12"/>
  <c r="EX258" i="12"/>
  <c r="EX222" i="12"/>
  <c r="EX233" i="12"/>
  <c r="EX192" i="12"/>
  <c r="EX330" i="12"/>
  <c r="EX297" i="12"/>
  <c r="EX272" i="12"/>
  <c r="Z189" i="12"/>
  <c r="Z178" i="12"/>
  <c r="Z240" i="12"/>
  <c r="Z229" i="12"/>
  <c r="Z268" i="12"/>
  <c r="Z180" i="12"/>
  <c r="Z246" i="12"/>
  <c r="Z325" i="12"/>
  <c r="AK266" i="12"/>
  <c r="EM227" i="12"/>
  <c r="EL291" i="12"/>
  <c r="DL242" i="12"/>
  <c r="CQ231" i="12"/>
  <c r="CQ192" i="12"/>
  <c r="CQ289" i="12"/>
  <c r="CQ259" i="12"/>
  <c r="CQ169" i="12"/>
  <c r="CQ295" i="12"/>
  <c r="CQ197" i="12"/>
  <c r="CQ226" i="12"/>
  <c r="CQ284" i="12"/>
  <c r="CQ305" i="12"/>
  <c r="CQ302" i="12"/>
  <c r="CQ322" i="12"/>
  <c r="CQ179" i="12"/>
  <c r="CQ204" i="12"/>
  <c r="CQ221" i="12"/>
  <c r="CQ293" i="12"/>
  <c r="CQ274" i="12"/>
  <c r="CQ249" i="12"/>
  <c r="CQ203" i="12"/>
  <c r="CQ208" i="12"/>
  <c r="CQ264" i="12"/>
  <c r="CQ248" i="12"/>
  <c r="CQ278" i="12"/>
  <c r="CQ291" i="12"/>
  <c r="CQ193" i="12"/>
  <c r="CQ246" i="12"/>
  <c r="CQ287" i="12"/>
  <c r="CQ185" i="12"/>
  <c r="CQ257" i="12"/>
  <c r="CQ282" i="12"/>
  <c r="CQ220" i="12"/>
  <c r="CQ316" i="12"/>
  <c r="CQ241" i="12"/>
  <c r="CQ209" i="12"/>
  <c r="CQ304" i="12"/>
  <c r="CQ178" i="12"/>
  <c r="CQ314" i="12"/>
  <c r="CQ317" i="12"/>
  <c r="CQ280" i="12"/>
  <c r="CQ239" i="12"/>
  <c r="CQ214" i="12"/>
  <c r="CQ180" i="12"/>
  <c r="CQ326" i="12"/>
  <c r="CQ313" i="12"/>
  <c r="CQ308" i="12"/>
  <c r="CQ219" i="12"/>
  <c r="CQ189" i="12"/>
  <c r="CQ275" i="12"/>
  <c r="CQ262" i="12"/>
  <c r="CQ245" i="12"/>
  <c r="CQ320" i="12"/>
  <c r="CQ232" i="12"/>
  <c r="CQ218" i="12"/>
  <c r="CQ191" i="12"/>
  <c r="CQ251" i="12"/>
  <c r="DW234" i="12"/>
  <c r="DW279" i="12"/>
  <c r="DW244" i="12"/>
  <c r="DW262" i="12"/>
  <c r="I65" i="3"/>
  <c r="DW214" i="12"/>
  <c r="DW247" i="12"/>
  <c r="DW328" i="12"/>
  <c r="DW195" i="12"/>
  <c r="DW266" i="12"/>
  <c r="DW325" i="12"/>
  <c r="DW260" i="12"/>
  <c r="DW318" i="12"/>
  <c r="DW221" i="12"/>
  <c r="DW293" i="12"/>
  <c r="DW259" i="12"/>
  <c r="DW213" i="12"/>
  <c r="DW257" i="12"/>
  <c r="DW211" i="12"/>
  <c r="DW226" i="12"/>
  <c r="DW329" i="12"/>
  <c r="DW198" i="12"/>
  <c r="DW212" i="12"/>
  <c r="DW177" i="12"/>
  <c r="DW322" i="12"/>
  <c r="DW225" i="12"/>
  <c r="DW192" i="12"/>
  <c r="DW308" i="12"/>
  <c r="DW215" i="12"/>
  <c r="DW210" i="12"/>
  <c r="DW298" i="12"/>
  <c r="DW290" i="12"/>
  <c r="DW274" i="12"/>
  <c r="DW253" i="12"/>
  <c r="DW338" i="12"/>
  <c r="DW331" i="12" s="1"/>
  <c r="DW283" i="12"/>
  <c r="DW273" i="12"/>
  <c r="DW314" i="12"/>
  <c r="DW194" i="12"/>
  <c r="DW254" i="12"/>
  <c r="DW203" i="12"/>
  <c r="DW241" i="12"/>
  <c r="DW272" i="12"/>
  <c r="DW201" i="12"/>
  <c r="DW191" i="12"/>
  <c r="DW217" i="12"/>
  <c r="DW206" i="12"/>
  <c r="DW326" i="12"/>
  <c r="DW256" i="12"/>
  <c r="DW238" i="12"/>
  <c r="DW310" i="12"/>
  <c r="DW252" i="12"/>
  <c r="DW320" i="12"/>
  <c r="DW258" i="12"/>
  <c r="U305" i="12"/>
  <c r="U188" i="12"/>
  <c r="U171" i="12"/>
  <c r="M56" i="3" s="1"/>
  <c r="J23" i="14" s="1"/>
  <c r="U256" i="12"/>
  <c r="U285" i="12"/>
  <c r="U252" i="12"/>
  <c r="U223" i="12"/>
  <c r="U319" i="12"/>
  <c r="U227" i="12"/>
  <c r="U187" i="12"/>
  <c r="U294" i="12"/>
  <c r="U289" i="12"/>
  <c r="U169" i="12"/>
  <c r="U283" i="12"/>
  <c r="U213" i="12"/>
  <c r="U278" i="12"/>
  <c r="U260" i="12"/>
  <c r="U264" i="12"/>
  <c r="U178" i="12"/>
  <c r="U322" i="12"/>
  <c r="U243" i="12"/>
  <c r="U218" i="12"/>
  <c r="U224" i="12"/>
  <c r="U242" i="12"/>
  <c r="U330" i="12"/>
  <c r="U211" i="12"/>
  <c r="U205" i="12"/>
  <c r="U315" i="12"/>
  <c r="U310" i="12"/>
  <c r="U216" i="12"/>
  <c r="U287" i="12"/>
  <c r="U194" i="12"/>
  <c r="U304" i="12"/>
  <c r="U222" i="12"/>
  <c r="U228" i="12"/>
  <c r="U261" i="12"/>
  <c r="U323" i="12"/>
  <c r="U286" i="12"/>
  <c r="U190" i="12"/>
  <c r="U251" i="12"/>
  <c r="U214" i="12"/>
  <c r="U236" i="12"/>
  <c r="U262" i="12"/>
  <c r="U279" i="12"/>
  <c r="U230" i="12"/>
  <c r="U177" i="12"/>
  <c r="U284" i="12"/>
  <c r="U306" i="12"/>
  <c r="U259" i="12"/>
  <c r="U295" i="12"/>
  <c r="U312" i="12"/>
  <c r="U234" i="12"/>
  <c r="U206" i="12"/>
  <c r="U293" i="12"/>
  <c r="U197" i="12"/>
  <c r="U231" i="12"/>
  <c r="U183" i="12"/>
  <c r="U239" i="12"/>
  <c r="U203" i="12"/>
  <c r="U268" i="12"/>
  <c r="U270" i="12"/>
  <c r="BA325" i="12"/>
  <c r="BA299" i="12"/>
  <c r="BA226" i="12"/>
  <c r="BA269" i="12"/>
  <c r="BA247" i="12"/>
  <c r="BA216" i="12"/>
  <c r="BA220" i="12"/>
  <c r="BA255" i="12"/>
  <c r="BA230" i="12"/>
  <c r="BA295" i="12"/>
  <c r="BA217" i="12"/>
  <c r="BA195" i="12"/>
  <c r="BA242" i="12"/>
  <c r="BA235" i="12"/>
  <c r="BA177" i="12"/>
  <c r="BA283" i="12"/>
  <c r="BA315" i="12"/>
  <c r="BA258" i="12"/>
  <c r="BA254" i="12"/>
  <c r="BA197" i="12"/>
  <c r="BA270" i="12"/>
  <c r="BA256" i="12"/>
  <c r="BA323" i="12"/>
  <c r="BA241" i="12"/>
  <c r="BA234" i="12"/>
  <c r="BA288" i="12"/>
  <c r="BA183" i="12"/>
  <c r="BA209" i="12"/>
  <c r="BA233" i="12"/>
  <c r="BA302" i="12"/>
  <c r="BA222" i="12"/>
  <c r="BA227" i="12"/>
  <c r="BA180" i="12"/>
  <c r="BA249" i="12"/>
  <c r="BA250" i="12"/>
  <c r="BA200" i="12"/>
  <c r="BA186" i="12"/>
  <c r="BA311" i="12"/>
  <c r="BA219" i="12"/>
  <c r="BA204" i="12"/>
  <c r="BA304" i="12"/>
  <c r="BA211" i="12"/>
  <c r="BA329" i="12"/>
  <c r="BA280" i="12"/>
  <c r="BA328" i="12"/>
  <c r="BA309" i="12"/>
  <c r="BA169" i="12"/>
  <c r="BA198" i="12"/>
  <c r="BA213" i="12"/>
  <c r="BA201" i="12"/>
  <c r="BA305" i="12"/>
  <c r="BA182" i="12"/>
  <c r="BA199" i="12"/>
  <c r="BA193" i="12"/>
  <c r="BA262" i="12"/>
  <c r="BA251" i="12"/>
  <c r="BA308" i="12"/>
  <c r="BA313" i="12"/>
  <c r="BA238" i="12"/>
  <c r="BA245" i="12"/>
  <c r="BA274" i="12"/>
  <c r="BA319" i="12"/>
  <c r="BA248" i="12"/>
  <c r="BA320" i="12"/>
  <c r="BA265" i="12"/>
  <c r="E17" i="13"/>
  <c r="AG11" i="13" s="1"/>
  <c r="AG41" i="13" s="1"/>
  <c r="AH92" i="13" s="1"/>
  <c r="CC267" i="12"/>
  <c r="CC275" i="12"/>
  <c r="CC206" i="12"/>
  <c r="CC228" i="12"/>
  <c r="CC305" i="12"/>
  <c r="CC249" i="12"/>
  <c r="CC283" i="12"/>
  <c r="CC300" i="12"/>
  <c r="CC188" i="12"/>
  <c r="CC229" i="12"/>
  <c r="CC309" i="12"/>
  <c r="CC328" i="12"/>
  <c r="CC290" i="12"/>
  <c r="CC178" i="12"/>
  <c r="CC221" i="12"/>
  <c r="CC261" i="12"/>
  <c r="CC264" i="12"/>
  <c r="CC276" i="12"/>
  <c r="CC315" i="12"/>
  <c r="CC183" i="12"/>
  <c r="CC223" i="12"/>
  <c r="CC240" i="12"/>
  <c r="CC233" i="12"/>
  <c r="CC236" i="12"/>
  <c r="CC292" i="12"/>
  <c r="CC284" i="12"/>
  <c r="CC237" i="12"/>
  <c r="CC246" i="12"/>
  <c r="CC184" i="12"/>
  <c r="CC297" i="12"/>
  <c r="CC324" i="12"/>
  <c r="CC190" i="12"/>
  <c r="CC234" i="12"/>
  <c r="CC194" i="12"/>
  <c r="CC251" i="12"/>
  <c r="CC239" i="12"/>
  <c r="CC191" i="12"/>
  <c r="CC318" i="12"/>
  <c r="CC327" i="12"/>
  <c r="CC202" i="12"/>
  <c r="CC323" i="12"/>
  <c r="CC176" i="12"/>
  <c r="CC259" i="12"/>
  <c r="CC213" i="12"/>
  <c r="CC295" i="12"/>
  <c r="CC291" i="12"/>
  <c r="CC226" i="12"/>
  <c r="CC189" i="12"/>
  <c r="CC282" i="12"/>
  <c r="CC301" i="12"/>
  <c r="CC209" i="12"/>
  <c r="CC262" i="12"/>
  <c r="CC310" i="12"/>
  <c r="CC231" i="12"/>
  <c r="CC193" i="12"/>
  <c r="CC308" i="12"/>
  <c r="CC241" i="12"/>
  <c r="CC200" i="12"/>
  <c r="CC303" i="12"/>
  <c r="CC218" i="12"/>
  <c r="CC306" i="12"/>
  <c r="CC230" i="12"/>
  <c r="CC210" i="12"/>
  <c r="CC322" i="12"/>
  <c r="EO300" i="12"/>
  <c r="EO218" i="12"/>
  <c r="EO258" i="12"/>
  <c r="EO212" i="12"/>
  <c r="EO248" i="12"/>
  <c r="EO268" i="12"/>
  <c r="EO293" i="12"/>
  <c r="EO223" i="12"/>
  <c r="EO257" i="12"/>
  <c r="EO274" i="12"/>
  <c r="EO318" i="12"/>
  <c r="EO228" i="12"/>
  <c r="EO316" i="12"/>
  <c r="EO262" i="12"/>
  <c r="EO313" i="12"/>
  <c r="EO299" i="12"/>
  <c r="EO234" i="12"/>
  <c r="EO202" i="12"/>
  <c r="EO220" i="12"/>
  <c r="EO255" i="12"/>
  <c r="EO216" i="12"/>
  <c r="EO307" i="12"/>
  <c r="EO326" i="12"/>
  <c r="EO200" i="12"/>
  <c r="EO203" i="12"/>
  <c r="EO321" i="12"/>
  <c r="EO183" i="12"/>
  <c r="EO206" i="12"/>
  <c r="EO178" i="12"/>
  <c r="EO304" i="12"/>
  <c r="EO213" i="12"/>
  <c r="EO204" i="12"/>
  <c r="EO291" i="12"/>
  <c r="EO235" i="12"/>
  <c r="EO280" i="12"/>
  <c r="EO171" i="12"/>
  <c r="Q56" i="3" s="1"/>
  <c r="N23" i="14" s="1"/>
  <c r="K56" i="13"/>
  <c r="EO298" i="12"/>
  <c r="EO238" i="12"/>
  <c r="EO285" i="12"/>
  <c r="EO207" i="12"/>
  <c r="EO283" i="12"/>
  <c r="EO260" i="12"/>
  <c r="EO303" i="12"/>
  <c r="EO322" i="12"/>
  <c r="EO294" i="12"/>
  <c r="EO188" i="12"/>
  <c r="EO315" i="12"/>
  <c r="EO265" i="12"/>
  <c r="EO226" i="12"/>
  <c r="EO309" i="12"/>
  <c r="EO222" i="12"/>
  <c r="EO219" i="12"/>
  <c r="EO180" i="12"/>
  <c r="EO292" i="12"/>
  <c r="EO266" i="12"/>
  <c r="EO236" i="12"/>
  <c r="EO276" i="12"/>
  <c r="EO264" i="12"/>
  <c r="EO179" i="12"/>
  <c r="EO249" i="12"/>
  <c r="EO232" i="12"/>
  <c r="EO241" i="12"/>
  <c r="EO194" i="12"/>
  <c r="EO189" i="12"/>
  <c r="EO233" i="12"/>
  <c r="EO227" i="12"/>
  <c r="EO197" i="12"/>
  <c r="EO329" i="12"/>
  <c r="EO181" i="12"/>
  <c r="EK194" i="12"/>
  <c r="EK265" i="12"/>
  <c r="EK249" i="12"/>
  <c r="EK296" i="12"/>
  <c r="EK177" i="12"/>
  <c r="EK213" i="12"/>
  <c r="EK232" i="12"/>
  <c r="EK281" i="12"/>
  <c r="EK195" i="12"/>
  <c r="EK244" i="12"/>
  <c r="EK323" i="12"/>
  <c r="EK222" i="12"/>
  <c r="EK243" i="12"/>
  <c r="EK311" i="12"/>
  <c r="EK270" i="12"/>
  <c r="EK214" i="12"/>
  <c r="EK196" i="12"/>
  <c r="EK188" i="12"/>
  <c r="EK310" i="12"/>
  <c r="EK314" i="12"/>
  <c r="EK207" i="12"/>
  <c r="EK307" i="12"/>
  <c r="EK176" i="12"/>
  <c r="EK199" i="12"/>
  <c r="EK266" i="12"/>
  <c r="EK288" i="12"/>
  <c r="EK205" i="12"/>
  <c r="EK297" i="12"/>
  <c r="EK301" i="12"/>
  <c r="EK212" i="12"/>
  <c r="EK278" i="12"/>
  <c r="EK272" i="12"/>
  <c r="EK185" i="12"/>
  <c r="EK262" i="12"/>
  <c r="EK275" i="12"/>
  <c r="EK193" i="12"/>
  <c r="EK282" i="12"/>
  <c r="EK276" i="12"/>
  <c r="EK179" i="12"/>
  <c r="EK284" i="12"/>
  <c r="EK248" i="12"/>
  <c r="EK184" i="12"/>
  <c r="EK267" i="12"/>
  <c r="EK218" i="12"/>
  <c r="EK300" i="12"/>
  <c r="EK239" i="12"/>
  <c r="EK190" i="12"/>
  <c r="EK283" i="12"/>
  <c r="EK330" i="12"/>
  <c r="EK204" i="12"/>
  <c r="EK211" i="12"/>
  <c r="EK268" i="12"/>
  <c r="EK238" i="12"/>
  <c r="EK294" i="12"/>
  <c r="EK186" i="12"/>
  <c r="EK221" i="12"/>
  <c r="EK290" i="12"/>
  <c r="EK263" i="12"/>
  <c r="EK202" i="12"/>
  <c r="EK312" i="12"/>
  <c r="EK235" i="12"/>
  <c r="EK227" i="12"/>
  <c r="EK291" i="12"/>
  <c r="EK285" i="12"/>
  <c r="EV311" i="12"/>
  <c r="EV272" i="12"/>
  <c r="EV267" i="12"/>
  <c r="EV220" i="12"/>
  <c r="EV338" i="12"/>
  <c r="EV331" i="12" s="1"/>
  <c r="EV176" i="12"/>
  <c r="EV330" i="12"/>
  <c r="EV291" i="12"/>
  <c r="EV257" i="12"/>
  <c r="EV241" i="12"/>
  <c r="EV253" i="12"/>
  <c r="EV274" i="12"/>
  <c r="EV223" i="12"/>
  <c r="EV215" i="12"/>
  <c r="EV249" i="12"/>
  <c r="EV189" i="12"/>
  <c r="EV275" i="12"/>
  <c r="EV298" i="12"/>
  <c r="EV222" i="12"/>
  <c r="EV262" i="12"/>
  <c r="EV210" i="12"/>
  <c r="EV296" i="12"/>
  <c r="EV193" i="12"/>
  <c r="EV256" i="12"/>
  <c r="EV290" i="12"/>
  <c r="EV318" i="12"/>
  <c r="EV260" i="12"/>
  <c r="EV287" i="12"/>
  <c r="EV183" i="12"/>
  <c r="EV306" i="12"/>
  <c r="EV305" i="12"/>
  <c r="EV243" i="12"/>
  <c r="EV219" i="12"/>
  <c r="EV299" i="12"/>
  <c r="EV214" i="12"/>
  <c r="EV292" i="12"/>
  <c r="EV181" i="12"/>
  <c r="EV246" i="12"/>
  <c r="EV252" i="12"/>
  <c r="EV202" i="12"/>
  <c r="EV312" i="12"/>
  <c r="EV196" i="12"/>
  <c r="EV270" i="12"/>
  <c r="EV320" i="12"/>
  <c r="EV231" i="12"/>
  <c r="EV190" i="12"/>
  <c r="EV226" i="12"/>
  <c r="EV317" i="12"/>
  <c r="EV264" i="12"/>
  <c r="EV240" i="12"/>
  <c r="EV206" i="12"/>
  <c r="EV169" i="12"/>
  <c r="EV313" i="12"/>
  <c r="EV319" i="12"/>
  <c r="EV199" i="12"/>
  <c r="EV185" i="12"/>
  <c r="EV216" i="12"/>
  <c r="EV269" i="12"/>
  <c r="EV179" i="12"/>
  <c r="EV273" i="12"/>
  <c r="EV297" i="12"/>
  <c r="EV251" i="12"/>
  <c r="EV233" i="12"/>
  <c r="DP258" i="12"/>
  <c r="DP312" i="12"/>
  <c r="DP189" i="12"/>
  <c r="DP228" i="12"/>
  <c r="DP229" i="12"/>
  <c r="DP309" i="12"/>
  <c r="DP261" i="12"/>
  <c r="DP276" i="12"/>
  <c r="DP259" i="12"/>
  <c r="DP190" i="12"/>
  <c r="DP293" i="12"/>
  <c r="DP245" i="12"/>
  <c r="DP231" i="12"/>
  <c r="DP277" i="12"/>
  <c r="DP187" i="12"/>
  <c r="DP202" i="12"/>
  <c r="DP219" i="12"/>
  <c r="DP264" i="12"/>
  <c r="DP265" i="12"/>
  <c r="DP269" i="12"/>
  <c r="DP327" i="12"/>
  <c r="DP191" i="12"/>
  <c r="DP234" i="12"/>
  <c r="DP330" i="12"/>
  <c r="DP178" i="12"/>
  <c r="DP251" i="12"/>
  <c r="DP318" i="12"/>
  <c r="DP199" i="12"/>
  <c r="DP254" i="12"/>
  <c r="DP296" i="12"/>
  <c r="DP223" i="12"/>
  <c r="DP316" i="12"/>
  <c r="DP283" i="12"/>
  <c r="DP233" i="12"/>
  <c r="DP171" i="12"/>
  <c r="DP230" i="12"/>
  <c r="DP249" i="12"/>
  <c r="DP317" i="12"/>
  <c r="DP242" i="12"/>
  <c r="DP286" i="12"/>
  <c r="DP255" i="12"/>
  <c r="DP203" i="12"/>
  <c r="DP239" i="12"/>
  <c r="DP300" i="12"/>
  <c r="DP222" i="12"/>
  <c r="DP282" i="12"/>
  <c r="DP169" i="12"/>
  <c r="DP196" i="12"/>
  <c r="DP184" i="12"/>
  <c r="DP297" i="12"/>
  <c r="DP241" i="12"/>
  <c r="DP281" i="12"/>
  <c r="DP248" i="12"/>
  <c r="DP267" i="12"/>
  <c r="DP284" i="12"/>
  <c r="DP299" i="12"/>
  <c r="DP221" i="12"/>
  <c r="DP313" i="12"/>
  <c r="DP272" i="12"/>
  <c r="DP262" i="12"/>
  <c r="DP226" i="12"/>
  <c r="DP205" i="12"/>
  <c r="DP193" i="12"/>
  <c r="DP314" i="12"/>
  <c r="DP180" i="12"/>
  <c r="DP298" i="12"/>
  <c r="DP263" i="12"/>
  <c r="DP305" i="12"/>
  <c r="CJ277" i="12"/>
  <c r="CJ300" i="12"/>
  <c r="CJ198" i="12"/>
  <c r="CJ313" i="12"/>
  <c r="CJ319" i="12"/>
  <c r="CJ195" i="12"/>
  <c r="CJ278" i="12"/>
  <c r="CJ324" i="12"/>
  <c r="CJ210" i="12"/>
  <c r="CJ298" i="12"/>
  <c r="CJ276" i="12"/>
  <c r="CJ222" i="12"/>
  <c r="CJ187" i="12"/>
  <c r="CJ274" i="12"/>
  <c r="CJ314" i="12"/>
  <c r="CJ186" i="12"/>
  <c r="CJ238" i="12"/>
  <c r="CJ249" i="12"/>
  <c r="CJ190" i="12"/>
  <c r="CJ180" i="12"/>
  <c r="CJ294" i="12"/>
  <c r="CJ223" i="12"/>
  <c r="CJ196" i="12"/>
  <c r="CJ323" i="12"/>
  <c r="CJ318" i="12"/>
  <c r="CJ301" i="12"/>
  <c r="CJ211" i="12"/>
  <c r="CJ328" i="12"/>
  <c r="CJ235" i="12"/>
  <c r="CJ179" i="12"/>
  <c r="CJ285" i="12"/>
  <c r="CJ213" i="12"/>
  <c r="CJ321" i="12"/>
  <c r="CJ171" i="12"/>
  <c r="N96" i="3" s="1"/>
  <c r="K28" i="14" s="1"/>
  <c r="CJ293" i="12"/>
  <c r="CJ206" i="12"/>
  <c r="CJ311" i="12"/>
  <c r="CJ273" i="12"/>
  <c r="CJ177" i="12"/>
  <c r="CJ302" i="12"/>
  <c r="CJ237" i="12"/>
  <c r="CJ193" i="12"/>
  <c r="CJ271" i="12"/>
  <c r="E24" i="13"/>
  <c r="BD199" i="12"/>
  <c r="BD220" i="12"/>
  <c r="BD219" i="12"/>
  <c r="BD192" i="12"/>
  <c r="BD280" i="12"/>
  <c r="BD215" i="12"/>
  <c r="BD295" i="12"/>
  <c r="BD285" i="12"/>
  <c r="BD188" i="12"/>
  <c r="BD330" i="12"/>
  <c r="BD320" i="12"/>
  <c r="BD186" i="12"/>
  <c r="BD202" i="12"/>
  <c r="BD243" i="12"/>
  <c r="BD181" i="12"/>
  <c r="BD210" i="12"/>
  <c r="BD230" i="12"/>
  <c r="BD329" i="12"/>
  <c r="BD233" i="12"/>
  <c r="BD240" i="12"/>
  <c r="BD326" i="12"/>
  <c r="BD274" i="12"/>
  <c r="BD191" i="12"/>
  <c r="BD275" i="12"/>
  <c r="BD249" i="12"/>
  <c r="BD209" i="12"/>
  <c r="BD268" i="12"/>
  <c r="BD254" i="12"/>
  <c r="BD190" i="12"/>
  <c r="BD245" i="12"/>
  <c r="BD299" i="12"/>
  <c r="BD291" i="12"/>
  <c r="BD241" i="12"/>
  <c r="BD250" i="12"/>
  <c r="BD211" i="12"/>
  <c r="BD200" i="12"/>
  <c r="BD309" i="12"/>
  <c r="BD256" i="12"/>
  <c r="BD321" i="12"/>
  <c r="BD227" i="12"/>
  <c r="BD212" i="12"/>
  <c r="BD171" i="12"/>
  <c r="N24" i="3" s="1"/>
  <c r="K19" i="14" s="1"/>
  <c r="BD244" i="12"/>
  <c r="BD284" i="12"/>
  <c r="BD196" i="12"/>
  <c r="BD323" i="12"/>
  <c r="BD279" i="12"/>
  <c r="BD242" i="12"/>
  <c r="BD287" i="12"/>
  <c r="BD269" i="12"/>
  <c r="BD286" i="12"/>
  <c r="BD260" i="12"/>
  <c r="X312" i="12"/>
  <c r="X317" i="12"/>
  <c r="X209" i="12"/>
  <c r="X219" i="12"/>
  <c r="X232" i="12"/>
  <c r="X292" i="12"/>
  <c r="X289" i="12"/>
  <c r="X216" i="12"/>
  <c r="X318" i="12"/>
  <c r="X179" i="12"/>
  <c r="X221" i="12"/>
  <c r="X281" i="12"/>
  <c r="X324" i="12"/>
  <c r="X208" i="12"/>
  <c r="X273" i="12"/>
  <c r="X322" i="12"/>
  <c r="X243" i="12"/>
  <c r="X252" i="12"/>
  <c r="X212" i="12"/>
  <c r="X262" i="12"/>
  <c r="X295" i="12"/>
  <c r="X211" i="12"/>
  <c r="X178" i="12"/>
  <c r="X240" i="12"/>
  <c r="X202" i="12"/>
  <c r="X222" i="12"/>
  <c r="X193" i="12"/>
  <c r="X239" i="12"/>
  <c r="X316" i="12"/>
  <c r="X305" i="12"/>
  <c r="X329" i="12"/>
  <c r="X296" i="12"/>
  <c r="X319" i="12"/>
  <c r="X203" i="12"/>
  <c r="X300" i="12"/>
  <c r="X293" i="12"/>
  <c r="X224" i="12"/>
  <c r="X276" i="12"/>
  <c r="X285" i="12"/>
  <c r="X190" i="12"/>
  <c r="FB203" i="12"/>
  <c r="FB228" i="12"/>
  <c r="FB177" i="12"/>
  <c r="FB231" i="12"/>
  <c r="FB290" i="12"/>
  <c r="FB316" i="12"/>
  <c r="FB265" i="12"/>
  <c r="FB288" i="12"/>
  <c r="K97" i="13"/>
  <c r="AJ31" i="13" s="1"/>
  <c r="FB184" i="12"/>
  <c r="FB241" i="12"/>
  <c r="FB327" i="12"/>
  <c r="FB211" i="12"/>
  <c r="FB321" i="12"/>
  <c r="FB202" i="12"/>
  <c r="FB263" i="12"/>
  <c r="FB323" i="12"/>
  <c r="FB218" i="12"/>
  <c r="FB257" i="12"/>
  <c r="FB197" i="12"/>
  <c r="FB285" i="12"/>
  <c r="FB297" i="12"/>
  <c r="FB240" i="12"/>
  <c r="FB278" i="12"/>
  <c r="FB221" i="12"/>
  <c r="FB306" i="12"/>
  <c r="FB179" i="12"/>
  <c r="FB252" i="12"/>
  <c r="FB271" i="12"/>
  <c r="FB243" i="12"/>
  <c r="FB315" i="12"/>
  <c r="FB223" i="12"/>
  <c r="FB307" i="12"/>
  <c r="FB187" i="12"/>
  <c r="FB253" i="12"/>
  <c r="FB250" i="12"/>
  <c r="FB201" i="12"/>
  <c r="FB317" i="12"/>
  <c r="FB198" i="12"/>
  <c r="FB269" i="12"/>
  <c r="FB189" i="12"/>
  <c r="FB246" i="12"/>
  <c r="FB256" i="12"/>
  <c r="FB209" i="12"/>
  <c r="FB320" i="12"/>
  <c r="FB200" i="12"/>
  <c r="FB262" i="12"/>
  <c r="FB319" i="12"/>
  <c r="FB171" i="12"/>
  <c r="Q97" i="3" s="1"/>
  <c r="N42" i="14" s="1"/>
  <c r="FB310" i="12"/>
  <c r="FB258" i="12"/>
  <c r="FB224" i="12"/>
  <c r="FB186" i="12"/>
  <c r="FB304" i="12"/>
  <c r="FB292" i="12"/>
  <c r="FB299" i="12"/>
  <c r="FB245" i="12"/>
  <c r="FB226" i="12"/>
  <c r="FB204" i="12"/>
  <c r="FB182" i="12"/>
  <c r="FB322" i="12"/>
  <c r="FB313" i="12"/>
  <c r="FB247" i="12"/>
  <c r="FB214" i="12"/>
  <c r="FB230" i="12"/>
  <c r="FB193" i="12"/>
  <c r="FB282" i="12"/>
  <c r="FB325" i="12"/>
  <c r="I64" i="3"/>
  <c r="DV264" i="12"/>
  <c r="DV248" i="12"/>
  <c r="DV246" i="12"/>
  <c r="DV196" i="12"/>
  <c r="DV265" i="12"/>
  <c r="DV304" i="12"/>
  <c r="DV280" i="12"/>
  <c r="DV275" i="12"/>
  <c r="DV176" i="12"/>
  <c r="DV202" i="12"/>
  <c r="DV218" i="12"/>
  <c r="DV235" i="12"/>
  <c r="DV256" i="12"/>
  <c r="DV188" i="12"/>
  <c r="DV272" i="12"/>
  <c r="DV299" i="12"/>
  <c r="DV325" i="12"/>
  <c r="DV181" i="12"/>
  <c r="DV186" i="12"/>
  <c r="DV228" i="12"/>
  <c r="DV295" i="12"/>
  <c r="DV210" i="12"/>
  <c r="DV291" i="12"/>
  <c r="DV216" i="12"/>
  <c r="DV204" i="12"/>
  <c r="DV327" i="12"/>
  <c r="DV240" i="12"/>
  <c r="I64" i="13"/>
  <c r="DV209" i="12"/>
  <c r="DV258" i="12"/>
  <c r="DV253" i="12"/>
  <c r="DV180" i="12"/>
  <c r="DV199" i="12"/>
  <c r="DV314" i="12"/>
  <c r="DV267" i="12"/>
  <c r="DV194" i="12"/>
  <c r="DV238" i="12"/>
  <c r="DV191" i="12"/>
  <c r="DV187" i="12"/>
  <c r="DV330" i="12"/>
  <c r="DV231" i="12"/>
  <c r="DV300" i="12"/>
  <c r="DV230" i="12"/>
  <c r="DV227" i="12"/>
  <c r="DV279" i="12"/>
  <c r="DV329" i="12"/>
  <c r="DV270" i="12"/>
  <c r="DV294" i="12"/>
  <c r="DV338" i="12"/>
  <c r="DV331" i="12" s="1"/>
  <c r="DV303" i="12"/>
  <c r="DV244" i="12"/>
  <c r="DV249" i="12"/>
  <c r="DV203" i="12"/>
  <c r="DV257" i="12"/>
  <c r="DV234" i="12"/>
  <c r="DV269" i="12"/>
  <c r="DV245" i="12"/>
  <c r="DV283" i="12"/>
  <c r="DV201" i="12"/>
  <c r="DV189" i="12"/>
  <c r="DV307" i="12"/>
  <c r="DV217" i="12"/>
  <c r="DV311" i="12"/>
  <c r="DV239" i="12"/>
  <c r="DV320" i="12"/>
  <c r="DV195" i="12"/>
  <c r="DV284" i="12"/>
  <c r="DV323" i="12"/>
  <c r="CP267" i="12"/>
  <c r="CP222" i="12"/>
  <c r="CP254" i="12"/>
  <c r="CP291" i="12"/>
  <c r="CP190" i="12"/>
  <c r="CP229" i="12"/>
  <c r="CP185" i="12"/>
  <c r="CP249" i="12"/>
  <c r="CP319" i="12"/>
  <c r="CP315" i="12"/>
  <c r="CP196" i="12"/>
  <c r="CP238" i="12"/>
  <c r="CP272" i="12"/>
  <c r="CP281" i="12"/>
  <c r="CP317" i="12"/>
  <c r="CP265" i="12"/>
  <c r="CP252" i="12"/>
  <c r="CP208" i="12"/>
  <c r="CP320" i="12"/>
  <c r="CP207" i="12"/>
  <c r="CP227" i="12"/>
  <c r="CP327" i="12"/>
  <c r="CP194" i="12"/>
  <c r="CP219" i="12"/>
  <c r="CP264" i="12"/>
  <c r="CP301" i="12"/>
  <c r="CP298" i="12"/>
  <c r="CP205" i="12"/>
  <c r="CP223" i="12"/>
  <c r="CP188" i="12"/>
  <c r="CP326" i="12"/>
  <c r="CP330" i="12"/>
  <c r="CP235" i="12"/>
  <c r="CP263" i="12"/>
  <c r="CP201" i="12"/>
  <c r="CP328" i="12"/>
  <c r="CP171" i="12"/>
  <c r="CP262" i="12"/>
  <c r="BJ187" i="12"/>
  <c r="BJ327" i="12"/>
  <c r="BJ277" i="12"/>
  <c r="BJ318" i="12"/>
  <c r="BJ241" i="12"/>
  <c r="BJ199" i="12"/>
  <c r="BJ235" i="12"/>
  <c r="BJ321" i="12"/>
  <c r="BJ206" i="12"/>
  <c r="BJ242" i="12"/>
  <c r="BJ264" i="12"/>
  <c r="BJ253" i="12"/>
  <c r="BJ204" i="12"/>
  <c r="BJ257" i="12"/>
  <c r="BJ317" i="12"/>
  <c r="BJ256" i="12"/>
  <c r="BJ258" i="12"/>
  <c r="BJ300" i="12"/>
  <c r="BJ191" i="12"/>
  <c r="BJ315" i="12"/>
  <c r="BJ184" i="12"/>
  <c r="BJ181" i="12"/>
  <c r="BJ171" i="12"/>
  <c r="BJ260" i="12"/>
  <c r="BJ319" i="12"/>
  <c r="BJ306" i="12"/>
  <c r="BJ270" i="12"/>
  <c r="BJ222" i="12"/>
  <c r="BJ182" i="12"/>
  <c r="BJ261" i="12"/>
  <c r="BJ309" i="12"/>
  <c r="BJ280" i="12"/>
  <c r="BJ259" i="12"/>
  <c r="BJ262" i="12"/>
  <c r="BJ210" i="12"/>
  <c r="BJ185" i="12"/>
  <c r="BJ233" i="12"/>
  <c r="BJ244" i="12"/>
  <c r="BJ239" i="12"/>
  <c r="BJ224" i="12"/>
  <c r="BJ183" i="12"/>
  <c r="AD241" i="12"/>
  <c r="AD171" i="12"/>
  <c r="M49" i="3" s="1"/>
  <c r="J36" i="14" s="1"/>
  <c r="AD179" i="12"/>
  <c r="AD287" i="12"/>
  <c r="AD253" i="12"/>
  <c r="AD194" i="12"/>
  <c r="AD305" i="12"/>
  <c r="AD242" i="12"/>
  <c r="AD201" i="12"/>
  <c r="AD309" i="12"/>
  <c r="AD227" i="12"/>
  <c r="AD220" i="12"/>
  <c r="AD298" i="12"/>
  <c r="AD312" i="12"/>
  <c r="AD198" i="12"/>
  <c r="AD299" i="12"/>
  <c r="AD205" i="12"/>
  <c r="AD199" i="12"/>
  <c r="AD297" i="12"/>
  <c r="AD238" i="12"/>
  <c r="AD191" i="12"/>
  <c r="AD277" i="12"/>
  <c r="AD196" i="12"/>
  <c r="AD281" i="12"/>
  <c r="AD246" i="12"/>
  <c r="AD240" i="12"/>
  <c r="AD169" i="12"/>
  <c r="AD247" i="12"/>
  <c r="AD260" i="12"/>
  <c r="AD286" i="12"/>
  <c r="AD288" i="12"/>
  <c r="AD200" i="12"/>
  <c r="AD303" i="12"/>
  <c r="AD261" i="12"/>
  <c r="AD203" i="12"/>
  <c r="AD204" i="12"/>
  <c r="AD322" i="12"/>
  <c r="AD233" i="12"/>
  <c r="AD206" i="12"/>
  <c r="AD307" i="12"/>
  <c r="AD293" i="12"/>
  <c r="AD176" i="12"/>
  <c r="AD217" i="12"/>
  <c r="AD315" i="12"/>
  <c r="AD215" i="12"/>
  <c r="AD254" i="12"/>
  <c r="AD188" i="12"/>
  <c r="AD308" i="12"/>
  <c r="AD273" i="12"/>
  <c r="AD327" i="12"/>
  <c r="AD211" i="12"/>
  <c r="AD218" i="12"/>
  <c r="AD237" i="12"/>
  <c r="AD236" i="12"/>
  <c r="AD264" i="12"/>
  <c r="AD259" i="12"/>
  <c r="AD330" i="12"/>
  <c r="AD230" i="12"/>
  <c r="AD195" i="12"/>
  <c r="AD317" i="12"/>
  <c r="AD257" i="12"/>
  <c r="AD172" i="12"/>
  <c r="S209" i="12"/>
  <c r="S325" i="12"/>
  <c r="S219" i="12"/>
  <c r="S289" i="12"/>
  <c r="S316" i="12"/>
  <c r="S260" i="12"/>
  <c r="S200" i="12"/>
  <c r="S253" i="12"/>
  <c r="S212" i="12"/>
  <c r="S210" i="12"/>
  <c r="S250" i="12"/>
  <c r="S181" i="12"/>
  <c r="S179" i="12"/>
  <c r="S217" i="12"/>
  <c r="S306" i="12"/>
  <c r="S262" i="12"/>
  <c r="S303" i="12"/>
  <c r="S237" i="12"/>
  <c r="S187" i="12"/>
  <c r="S279" i="12"/>
  <c r="S308" i="12"/>
  <c r="S269" i="12"/>
  <c r="S300" i="12"/>
  <c r="S207" i="12"/>
  <c r="S313" i="12"/>
  <c r="S259" i="12"/>
  <c r="S256" i="12"/>
  <c r="S273" i="12"/>
  <c r="S324" i="12"/>
  <c r="S249" i="12"/>
  <c r="S257" i="12"/>
  <c r="S192" i="12"/>
  <c r="S318" i="12"/>
  <c r="S193" i="12"/>
  <c r="S236" i="12"/>
  <c r="S319" i="12"/>
  <c r="AY217" i="12"/>
  <c r="AY270" i="12"/>
  <c r="AY263" i="12"/>
  <c r="AY216" i="12"/>
  <c r="AY320" i="12"/>
  <c r="AY201" i="12"/>
  <c r="AY243" i="12"/>
  <c r="AY272" i="12"/>
  <c r="AY199" i="12"/>
  <c r="AY222" i="12"/>
  <c r="AY232" i="12"/>
  <c r="AY177" i="12"/>
  <c r="AY319" i="12"/>
  <c r="AY190" i="12"/>
  <c r="AY203" i="12"/>
  <c r="AY287" i="12"/>
  <c r="AY255" i="12"/>
  <c r="AY317" i="12"/>
  <c r="AY282" i="12"/>
  <c r="AY314" i="12"/>
  <c r="AY299" i="12"/>
  <c r="AY215" i="12"/>
  <c r="AY302" i="12"/>
  <c r="AY209" i="12"/>
  <c r="AY293" i="12"/>
  <c r="AY326" i="12"/>
  <c r="AY230" i="12"/>
  <c r="AY227" i="12"/>
  <c r="AY283" i="12"/>
  <c r="AY306" i="12"/>
  <c r="AY186" i="12"/>
  <c r="AY191" i="12"/>
  <c r="AY196" i="12"/>
  <c r="AY252" i="12"/>
  <c r="AY277" i="12"/>
  <c r="AY274" i="12"/>
  <c r="AY260" i="12"/>
  <c r="AY304" i="12"/>
  <c r="AY275" i="12"/>
  <c r="CE185" i="12"/>
  <c r="CE307" i="12"/>
  <c r="CE178" i="12"/>
  <c r="CE213" i="12"/>
  <c r="CE249" i="12"/>
  <c r="CE305" i="12"/>
  <c r="CE211" i="12"/>
  <c r="CE245" i="12"/>
  <c r="CE321" i="12"/>
  <c r="CE204" i="12"/>
  <c r="CE287" i="12"/>
  <c r="CE202" i="12"/>
  <c r="CE320" i="12"/>
  <c r="CE238" i="12"/>
  <c r="CE191" i="12"/>
  <c r="CE280" i="12"/>
  <c r="CE192" i="12"/>
  <c r="CE221" i="12"/>
  <c r="CE254" i="12"/>
  <c r="CE324" i="12"/>
  <c r="CE322" i="12"/>
  <c r="CE194" i="12"/>
  <c r="CE268" i="12"/>
  <c r="CE266" i="12"/>
  <c r="CE314" i="12"/>
  <c r="CE327" i="12"/>
  <c r="CE200" i="12"/>
  <c r="CE182" i="12"/>
  <c r="CE215" i="12"/>
  <c r="CE242" i="12"/>
  <c r="CE171" i="12"/>
  <c r="N87" i="3" s="1"/>
  <c r="K13" i="14" s="1"/>
  <c r="CE239" i="12"/>
  <c r="CE196" i="12"/>
  <c r="CE270" i="12"/>
  <c r="CE240" i="12"/>
  <c r="CE201" i="12"/>
  <c r="CE326" i="12"/>
  <c r="DK293" i="12"/>
  <c r="DK227" i="12"/>
  <c r="DK237" i="12"/>
  <c r="DK250" i="12"/>
  <c r="DK230" i="12"/>
  <c r="DK292" i="12"/>
  <c r="DK177" i="12"/>
  <c r="DK205" i="12"/>
  <c r="DK275" i="12"/>
  <c r="DK255" i="12"/>
  <c r="DK185" i="12"/>
  <c r="DK315" i="12"/>
  <c r="DK316" i="12"/>
  <c r="DK219" i="12"/>
  <c r="DK277" i="12"/>
  <c r="DK213" i="12"/>
  <c r="DK297" i="12"/>
  <c r="DK171" i="12"/>
  <c r="DK266" i="12"/>
  <c r="DK243" i="12"/>
  <c r="DK191" i="12"/>
  <c r="DK286" i="12"/>
  <c r="DK312" i="12"/>
  <c r="DK298" i="12"/>
  <c r="DK180" i="12"/>
  <c r="DK222" i="12"/>
  <c r="DK202" i="12"/>
  <c r="DK246" i="12"/>
  <c r="DK209" i="12"/>
  <c r="DK303" i="12"/>
  <c r="DK247" i="12"/>
  <c r="DK203" i="12"/>
  <c r="DK271" i="12"/>
  <c r="DK314" i="12"/>
  <c r="EQ254" i="12"/>
  <c r="EQ273" i="12"/>
  <c r="EQ183" i="12"/>
  <c r="EQ301" i="12"/>
  <c r="EQ177" i="12"/>
  <c r="EQ248" i="12"/>
  <c r="EQ294" i="12"/>
  <c r="EQ209" i="12"/>
  <c r="EQ329" i="12"/>
  <c r="EQ192" i="12"/>
  <c r="EQ287" i="12"/>
  <c r="EQ250" i="12"/>
  <c r="EQ224" i="12"/>
  <c r="EQ233" i="12"/>
  <c r="EQ197" i="12"/>
  <c r="EQ292" i="12"/>
  <c r="EQ327" i="12"/>
  <c r="EQ213" i="12"/>
  <c r="EQ284" i="12"/>
  <c r="EQ205" i="12"/>
  <c r="EQ244" i="12"/>
  <c r="EQ178" i="12"/>
  <c r="EQ256" i="12"/>
  <c r="EQ288" i="12"/>
  <c r="EQ227" i="12"/>
  <c r="EQ247" i="12"/>
  <c r="EQ218" i="12"/>
  <c r="EQ328" i="12"/>
  <c r="EQ199" i="12"/>
  <c r="EQ271" i="12"/>
  <c r="EQ313" i="12"/>
  <c r="EQ234" i="12"/>
  <c r="EQ262" i="12"/>
  <c r="EQ221" i="12"/>
  <c r="EQ251" i="12"/>
  <c r="EQ196" i="12"/>
  <c r="EQ291" i="12"/>
  <c r="EQ252" i="12"/>
  <c r="EQ241" i="12"/>
  <c r="EQ289" i="12"/>
  <c r="EQ176" i="12"/>
  <c r="EQ272" i="12"/>
  <c r="EQ318" i="12"/>
  <c r="EQ267" i="12"/>
  <c r="EQ229" i="12"/>
  <c r="EQ179" i="12"/>
  <c r="EQ311" i="12"/>
  <c r="EQ269" i="12"/>
  <c r="EQ305" i="12"/>
  <c r="EQ265" i="12"/>
  <c r="EQ208" i="12"/>
  <c r="EQ195" i="12"/>
  <c r="EQ310" i="12"/>
  <c r="EQ290" i="12"/>
  <c r="EQ325" i="12"/>
  <c r="EQ293" i="12"/>
  <c r="EQ275" i="12"/>
  <c r="EQ226" i="12"/>
  <c r="EQ215" i="12"/>
  <c r="AO212" i="12"/>
  <c r="AO271" i="12"/>
  <c r="AO258" i="12"/>
  <c r="AO219" i="12"/>
  <c r="AO290" i="12"/>
  <c r="AO244" i="12"/>
  <c r="AO259" i="12"/>
  <c r="AO322" i="12"/>
  <c r="AO296" i="12"/>
  <c r="AO309" i="12"/>
  <c r="AO226" i="12"/>
  <c r="AO252" i="12"/>
  <c r="AO203" i="12"/>
  <c r="AO189" i="12"/>
  <c r="AO231" i="12"/>
  <c r="AO273" i="12"/>
  <c r="AO198" i="12"/>
  <c r="AO329" i="12"/>
  <c r="AO253" i="12"/>
  <c r="AO230" i="12"/>
  <c r="AO171" i="12"/>
  <c r="M88" i="3" s="1"/>
  <c r="J27" i="14" s="1"/>
  <c r="AO278" i="12"/>
  <c r="AO229" i="12"/>
  <c r="AO260" i="12"/>
  <c r="AO190" i="12"/>
  <c r="AO298" i="12"/>
  <c r="AO310" i="12"/>
  <c r="AO251" i="12"/>
  <c r="AO217" i="12"/>
  <c r="AO240" i="12"/>
  <c r="AO191" i="12"/>
  <c r="AO182" i="12"/>
  <c r="AO279" i="12"/>
  <c r="AO275" i="12"/>
  <c r="AO261" i="12"/>
  <c r="AO284" i="12"/>
  <c r="AO208" i="12"/>
  <c r="AO242" i="12"/>
  <c r="AO294" i="12"/>
  <c r="AO235" i="12"/>
  <c r="AO241" i="12"/>
  <c r="AO264" i="12"/>
  <c r="C88" i="13"/>
  <c r="BU268" i="12"/>
  <c r="E49" i="13"/>
  <c r="BU308" i="12"/>
  <c r="BU177" i="12"/>
  <c r="BU226" i="12"/>
  <c r="BU280" i="12"/>
  <c r="BU242" i="12"/>
  <c r="BU240" i="12"/>
  <c r="BU276" i="12"/>
  <c r="BU193" i="12"/>
  <c r="BU214" i="12"/>
  <c r="BU282" i="12"/>
  <c r="BU218" i="12"/>
  <c r="BU232" i="12"/>
  <c r="BU183" i="12"/>
  <c r="BU238" i="12"/>
  <c r="BU257" i="12"/>
  <c r="BU310" i="12"/>
  <c r="BU281" i="12"/>
  <c r="BU190" i="12"/>
  <c r="BU320" i="12"/>
  <c r="BU321" i="12"/>
  <c r="BU181" i="12"/>
  <c r="BU253" i="12"/>
  <c r="BU176" i="12"/>
  <c r="BU186" i="12"/>
  <c r="BU317" i="12"/>
  <c r="BU171" i="12"/>
  <c r="N49" i="3" s="1"/>
  <c r="K36" i="14" s="1"/>
  <c r="BU179" i="12"/>
  <c r="BU297" i="12"/>
  <c r="BU191" i="12"/>
  <c r="BU233" i="12"/>
  <c r="BU212" i="12"/>
  <c r="BU288" i="12"/>
  <c r="BU270" i="12"/>
  <c r="BU208" i="12"/>
  <c r="BU326" i="12"/>
  <c r="BU289" i="12"/>
  <c r="BU194" i="12"/>
  <c r="BU278" i="12"/>
  <c r="BU259" i="12"/>
  <c r="DQ201" i="12"/>
  <c r="DQ255" i="12"/>
  <c r="DQ313" i="12"/>
  <c r="DQ322" i="12"/>
  <c r="DQ206" i="12"/>
  <c r="DQ320" i="12"/>
  <c r="DQ203" i="12"/>
  <c r="DQ207" i="12"/>
  <c r="DQ254" i="12"/>
  <c r="DQ317" i="12"/>
  <c r="DQ232" i="12"/>
  <c r="DQ214" i="12"/>
  <c r="DQ249" i="12"/>
  <c r="DQ191" i="12"/>
  <c r="DQ215" i="12"/>
  <c r="DQ257" i="12"/>
  <c r="DQ264" i="12"/>
  <c r="DQ281" i="12"/>
  <c r="DQ195" i="12"/>
  <c r="DQ314" i="12"/>
  <c r="DQ258" i="12"/>
  <c r="DQ171" i="12"/>
  <c r="DQ318" i="12"/>
  <c r="DQ253" i="12"/>
  <c r="DQ217" i="12"/>
  <c r="DQ197" i="12"/>
  <c r="DQ295" i="12"/>
  <c r="DQ294" i="12"/>
  <c r="DQ321" i="12"/>
  <c r="DQ252" i="12"/>
  <c r="DQ190" i="12"/>
  <c r="DQ328" i="12"/>
  <c r="DQ275" i="12"/>
  <c r="DQ303" i="12"/>
  <c r="DQ300" i="12"/>
  <c r="DQ299" i="12"/>
  <c r="DQ219" i="12"/>
  <c r="DQ189" i="12"/>
  <c r="DQ304" i="12"/>
  <c r="DQ290" i="12"/>
  <c r="DQ246" i="12"/>
  <c r="DQ302" i="12"/>
  <c r="DQ225" i="12"/>
  <c r="DQ237" i="12"/>
  <c r="DQ196" i="12"/>
  <c r="DQ296" i="12"/>
  <c r="DM269" i="12"/>
  <c r="DM310" i="12"/>
  <c r="DM250" i="12"/>
  <c r="DM274" i="12"/>
  <c r="DM223" i="12"/>
  <c r="DM330" i="12"/>
  <c r="DM287" i="12"/>
  <c r="DM205" i="12"/>
  <c r="DM284" i="12"/>
  <c r="DM300" i="12"/>
  <c r="DM187" i="12"/>
  <c r="DM181" i="12"/>
  <c r="DM199" i="12"/>
  <c r="DM243" i="12"/>
  <c r="DM203" i="12"/>
  <c r="DM240" i="12"/>
  <c r="DM302" i="12"/>
  <c r="DM246" i="12"/>
  <c r="DM307" i="12"/>
  <c r="DM296" i="12"/>
  <c r="DM328" i="12"/>
  <c r="DM186" i="12"/>
  <c r="DM278" i="12"/>
  <c r="DM276" i="12"/>
  <c r="DM195" i="12"/>
  <c r="DM254" i="12"/>
  <c r="DM290" i="12"/>
  <c r="DM313" i="12"/>
  <c r="DM272" i="12"/>
  <c r="DM218" i="12"/>
  <c r="DM219" i="12"/>
  <c r="DM326" i="12"/>
  <c r="DM292" i="12"/>
  <c r="DM221" i="12"/>
  <c r="DM298" i="12"/>
  <c r="DM202" i="12"/>
  <c r="DM197" i="12"/>
  <c r="DM311" i="12"/>
  <c r="DM256" i="12"/>
  <c r="DM308" i="12"/>
  <c r="I303" i="12"/>
  <c r="I317" i="12"/>
  <c r="I271" i="12"/>
  <c r="I325" i="12"/>
  <c r="BH172" i="12"/>
  <c r="I185" i="12"/>
  <c r="I169" i="12"/>
  <c r="I280" i="12"/>
  <c r="I202" i="12"/>
  <c r="I196" i="12"/>
  <c r="I265" i="12"/>
  <c r="I291" i="12"/>
  <c r="I310" i="12"/>
  <c r="I207" i="12"/>
  <c r="I316" i="12"/>
  <c r="I314" i="12"/>
  <c r="I264" i="12"/>
  <c r="I274" i="12"/>
  <c r="I327" i="12"/>
  <c r="I233" i="12"/>
  <c r="I211" i="12"/>
  <c r="I320" i="12"/>
  <c r="I245" i="12"/>
  <c r="I236" i="12"/>
  <c r="I179" i="12"/>
  <c r="I267" i="12"/>
  <c r="I262" i="12"/>
  <c r="I183" i="12"/>
  <c r="I292" i="12"/>
  <c r="I258" i="12"/>
  <c r="I323" i="12"/>
  <c r="I257" i="12"/>
  <c r="I239" i="12"/>
  <c r="I206" i="12"/>
  <c r="I187" i="12"/>
  <c r="I296" i="12"/>
  <c r="I330" i="12"/>
  <c r="I212" i="12"/>
  <c r="I297" i="12"/>
  <c r="I243" i="12"/>
  <c r="I214" i="12"/>
  <c r="I197" i="12"/>
  <c r="I268" i="12"/>
  <c r="I213" i="12"/>
  <c r="I326" i="12"/>
  <c r="I324" i="12"/>
  <c r="I272" i="12"/>
  <c r="I188" i="12"/>
  <c r="I283" i="12"/>
  <c r="I199" i="12"/>
  <c r="I322" i="12"/>
  <c r="I289" i="12"/>
  <c r="I238" i="12"/>
  <c r="I248" i="12"/>
  <c r="I311" i="12"/>
  <c r="I195" i="12"/>
  <c r="I266" i="12"/>
  <c r="I269" i="12"/>
  <c r="I241" i="12"/>
  <c r="I190" i="12"/>
  <c r="I224" i="12"/>
  <c r="I287" i="12"/>
  <c r="CT172" i="12"/>
  <c r="DG172" i="12"/>
  <c r="DO172" i="12"/>
  <c r="AT172" i="12"/>
  <c r="AI172" i="12"/>
  <c r="AZ172" i="12"/>
  <c r="AX172" i="12"/>
  <c r="EB296" i="12"/>
  <c r="EB182" i="12"/>
  <c r="EB226" i="12"/>
  <c r="EB287" i="12"/>
  <c r="EB179" i="12"/>
  <c r="EB325" i="12"/>
  <c r="EB273" i="12"/>
  <c r="EB185" i="12"/>
  <c r="EB234" i="12"/>
  <c r="EB318" i="12"/>
  <c r="EB184" i="12"/>
  <c r="EB245" i="12"/>
  <c r="EB254" i="12"/>
  <c r="EB220" i="12"/>
  <c r="EB294" i="12"/>
  <c r="EB311" i="12"/>
  <c r="EB211" i="12"/>
  <c r="EB238" i="12"/>
  <c r="EB197" i="12"/>
  <c r="EB308" i="12"/>
  <c r="EB279" i="12"/>
  <c r="EB232" i="12"/>
  <c r="EB338" i="12"/>
  <c r="EB331" i="12" s="1"/>
  <c r="EB194" i="12"/>
  <c r="EB270" i="12"/>
  <c r="EB227" i="12"/>
  <c r="EB247" i="12"/>
  <c r="EB302" i="12"/>
  <c r="EB260" i="12"/>
  <c r="EB206" i="12"/>
  <c r="EB326" i="12"/>
  <c r="EB200" i="12"/>
  <c r="EB298" i="12"/>
  <c r="EB324" i="12"/>
  <c r="EB218" i="12"/>
  <c r="EB278" i="12"/>
  <c r="EB307" i="12"/>
  <c r="EB188" i="12"/>
  <c r="CV204" i="12"/>
  <c r="CV190" i="12"/>
  <c r="CV285" i="12"/>
  <c r="CV299" i="12"/>
  <c r="CV237" i="12"/>
  <c r="CV338" i="12"/>
  <c r="CV331" i="12" s="1"/>
  <c r="CV217" i="12"/>
  <c r="CV193" i="12"/>
  <c r="CV278" i="12"/>
  <c r="CV325" i="12"/>
  <c r="CV225" i="12"/>
  <c r="CV248" i="12"/>
  <c r="CV227" i="12"/>
  <c r="CV224" i="12"/>
  <c r="CV192" i="12"/>
  <c r="CV282" i="12"/>
  <c r="CV233" i="12"/>
  <c r="CV245" i="12"/>
  <c r="CV184" i="12"/>
  <c r="CV260" i="12"/>
  <c r="CV187" i="12"/>
  <c r="CV279" i="12"/>
  <c r="CV274" i="12"/>
  <c r="CV236" i="12"/>
  <c r="CV273" i="12"/>
  <c r="CV211" i="12"/>
  <c r="CV181" i="12"/>
  <c r="CV329" i="12"/>
  <c r="CV226" i="12"/>
  <c r="CV270" i="12"/>
  <c r="CV253" i="12"/>
  <c r="CV232" i="12"/>
  <c r="CV215" i="12"/>
  <c r="CV219" i="12"/>
  <c r="CV169" i="12"/>
  <c r="CV234" i="12"/>
  <c r="CV301" i="12"/>
  <c r="CV206" i="12"/>
  <c r="CV292" i="12"/>
  <c r="CV198" i="12"/>
  <c r="CV327" i="12"/>
  <c r="CV298" i="12"/>
  <c r="CV235" i="12"/>
  <c r="CV305" i="12"/>
  <c r="CV269" i="12"/>
  <c r="CV295" i="12"/>
  <c r="CV328" i="12"/>
  <c r="CV238" i="12"/>
  <c r="CV188" i="12"/>
  <c r="CV255" i="12"/>
  <c r="CV256" i="12"/>
  <c r="CV319" i="12"/>
  <c r="CV240" i="12"/>
  <c r="CV203" i="12"/>
  <c r="CV199" i="12"/>
  <c r="CV310" i="12"/>
  <c r="CV247" i="12"/>
  <c r="CV214" i="12"/>
  <c r="CV302" i="12"/>
  <c r="CV304" i="12"/>
  <c r="CV209" i="12"/>
  <c r="CV258" i="12"/>
  <c r="CV286" i="12"/>
  <c r="CV277" i="12"/>
  <c r="CV264" i="12"/>
  <c r="BP288" i="12"/>
  <c r="BP228" i="12"/>
  <c r="BP324" i="12"/>
  <c r="BP204" i="12"/>
  <c r="BP224" i="12"/>
  <c r="BP302" i="12"/>
  <c r="AJ198" i="12"/>
  <c r="AJ324" i="12"/>
  <c r="AJ186" i="12"/>
  <c r="AJ192" i="12"/>
  <c r="AJ285" i="12"/>
  <c r="AJ181" i="12"/>
  <c r="AJ222" i="12"/>
  <c r="AJ277" i="12"/>
  <c r="AJ220" i="12"/>
  <c r="AJ291" i="12"/>
  <c r="AJ261" i="12"/>
  <c r="AJ176" i="12"/>
  <c r="AJ325" i="12"/>
  <c r="AJ327" i="12"/>
  <c r="AJ326" i="12"/>
  <c r="AJ250" i="12"/>
  <c r="AJ271" i="12"/>
  <c r="AJ215" i="12"/>
  <c r="AJ258" i="12"/>
  <c r="AJ313" i="12"/>
  <c r="AJ223" i="12"/>
  <c r="AJ317" i="12"/>
  <c r="AJ179" i="12"/>
  <c r="AJ299" i="12"/>
  <c r="AJ248" i="12"/>
  <c r="AJ251" i="12"/>
  <c r="AJ212" i="12"/>
  <c r="AJ232" i="12"/>
  <c r="AJ329" i="12"/>
  <c r="AJ188" i="12"/>
  <c r="AJ183" i="12"/>
  <c r="AJ221" i="12"/>
  <c r="AJ202" i="12"/>
  <c r="AJ195" i="12"/>
  <c r="AJ296" i="12"/>
  <c r="AJ308" i="12"/>
  <c r="AJ194" i="12"/>
  <c r="AJ321" i="12"/>
  <c r="AJ281" i="12"/>
  <c r="AJ211" i="12"/>
  <c r="O181" i="12"/>
  <c r="O302" i="12"/>
  <c r="O317" i="12"/>
  <c r="O204" i="12"/>
  <c r="O252" i="12"/>
  <c r="O329" i="12"/>
  <c r="O267" i="12"/>
  <c r="O306" i="12"/>
  <c r="O325" i="12"/>
  <c r="O283" i="12"/>
  <c r="O280" i="12"/>
  <c r="O289" i="12"/>
  <c r="O183" i="12"/>
  <c r="O279" i="12"/>
  <c r="O292" i="12"/>
  <c r="O249" i="12"/>
  <c r="O215" i="12"/>
  <c r="O239" i="12"/>
  <c r="O264" i="12"/>
  <c r="O237" i="12"/>
  <c r="O308" i="12"/>
  <c r="O296" i="12"/>
  <c r="O199" i="12"/>
  <c r="O324" i="12"/>
  <c r="O202" i="12"/>
  <c r="O245" i="12"/>
  <c r="O220" i="12"/>
  <c r="O248" i="12"/>
  <c r="O254" i="12"/>
  <c r="O246" i="12"/>
  <c r="O271" i="12"/>
  <c r="O313" i="12"/>
  <c r="O169" i="12"/>
  <c r="O311" i="12"/>
  <c r="O222" i="12"/>
  <c r="O230" i="12"/>
  <c r="O276" i="12"/>
  <c r="O301" i="12"/>
  <c r="O209" i="12"/>
  <c r="O312" i="12"/>
  <c r="O238" i="12"/>
  <c r="O328" i="12"/>
  <c r="EH200" i="12"/>
  <c r="EH329" i="12"/>
  <c r="EH249" i="12"/>
  <c r="EH233" i="12"/>
  <c r="EH305" i="12"/>
  <c r="EH179" i="12"/>
  <c r="EH234" i="12"/>
  <c r="EH252" i="12"/>
  <c r="EH308" i="12"/>
  <c r="EH205" i="12"/>
  <c r="EH303" i="12"/>
  <c r="EH309" i="12"/>
  <c r="EH199" i="12"/>
  <c r="EH317" i="12"/>
  <c r="EH171" i="12"/>
  <c r="EH297" i="12"/>
  <c r="EH243" i="12"/>
  <c r="EH201" i="12"/>
  <c r="EH251" i="12"/>
  <c r="EH253" i="12"/>
  <c r="EH321" i="12"/>
  <c r="EH289" i="12"/>
  <c r="EH295" i="12"/>
  <c r="EH198" i="12"/>
  <c r="EH259" i="12"/>
  <c r="EH176" i="12"/>
  <c r="EH328" i="12"/>
  <c r="EH302" i="12"/>
  <c r="EH241" i="12"/>
  <c r="EH204" i="12"/>
  <c r="EH186" i="12"/>
  <c r="EH293" i="12"/>
  <c r="EH300" i="12"/>
  <c r="EH284" i="12"/>
  <c r="EH229" i="12"/>
  <c r="EH193" i="12"/>
  <c r="EH279" i="12"/>
  <c r="EH265" i="12"/>
  <c r="EH307" i="12"/>
  <c r="EH298" i="12"/>
  <c r="EH246" i="12"/>
  <c r="EH224" i="12"/>
  <c r="EH226" i="12"/>
  <c r="EH195" i="12"/>
  <c r="EH267" i="12"/>
  <c r="DB329" i="12"/>
  <c r="DB209" i="12"/>
  <c r="DB233" i="12"/>
  <c r="DB328" i="12"/>
  <c r="DB184" i="12"/>
  <c r="DB228" i="12"/>
  <c r="DB250" i="12"/>
  <c r="DB317" i="12"/>
  <c r="DB190" i="12"/>
  <c r="DB295" i="12"/>
  <c r="DB171" i="12"/>
  <c r="DB251" i="12"/>
  <c r="DB323" i="12"/>
  <c r="DB268" i="12"/>
  <c r="DB296" i="12"/>
  <c r="DB218" i="12"/>
  <c r="DB212" i="12"/>
  <c r="DB256" i="12"/>
  <c r="DB299" i="12"/>
  <c r="DB223" i="12"/>
  <c r="DB304" i="12"/>
  <c r="DB205" i="12"/>
  <c r="DB321" i="12"/>
  <c r="DB294" i="12"/>
  <c r="DB169" i="12"/>
  <c r="DB265" i="12"/>
  <c r="DB267" i="12"/>
  <c r="DB217" i="12"/>
  <c r="DB214" i="12"/>
  <c r="DB238" i="12"/>
  <c r="DB279" i="12"/>
  <c r="DB208" i="12"/>
  <c r="DB182" i="12"/>
  <c r="DB308" i="12"/>
  <c r="DB243" i="12"/>
  <c r="DB225" i="12"/>
  <c r="DB302" i="12"/>
  <c r="DB262" i="12"/>
  <c r="DB207" i="12"/>
  <c r="DB181" i="12"/>
  <c r="BV304" i="12"/>
  <c r="BV178" i="12"/>
  <c r="BV220" i="12"/>
  <c r="BV197" i="12"/>
  <c r="BV256" i="12"/>
  <c r="BV230" i="12"/>
  <c r="BV180" i="12"/>
  <c r="BV211" i="12"/>
  <c r="BV311" i="12"/>
  <c r="BV182" i="12"/>
  <c r="BV338" i="12"/>
  <c r="BV331" i="12" s="1"/>
  <c r="BV194" i="12"/>
  <c r="BV328" i="12"/>
  <c r="BV183" i="12"/>
  <c r="BV250" i="12"/>
  <c r="BV329" i="12"/>
  <c r="BV244" i="12"/>
  <c r="BV291" i="12"/>
  <c r="BV278" i="12"/>
  <c r="BV233" i="12"/>
  <c r="BV179" i="12"/>
  <c r="BV248" i="12"/>
  <c r="BV302" i="12"/>
  <c r="BV299" i="12"/>
  <c r="BV243" i="12"/>
  <c r="BV191" i="12"/>
  <c r="BV288" i="12"/>
  <c r="BV314" i="12"/>
  <c r="BV322" i="12"/>
  <c r="BV316" i="12"/>
  <c r="BV203" i="12"/>
  <c r="BV296" i="12"/>
  <c r="BV277" i="12"/>
  <c r="BV254" i="12"/>
  <c r="BV290" i="12"/>
  <c r="BV227" i="12"/>
  <c r="BV253" i="12"/>
  <c r="BV204" i="12"/>
  <c r="BV192" i="12"/>
  <c r="BV293" i="12"/>
  <c r="BV231" i="12"/>
  <c r="BV263" i="12"/>
  <c r="BV214" i="12"/>
  <c r="BV188" i="12"/>
  <c r="BV298" i="12"/>
  <c r="BV238" i="12"/>
  <c r="BV317" i="12"/>
  <c r="BV260" i="12"/>
  <c r="BV219" i="12"/>
  <c r="BV281" i="12"/>
  <c r="E68" i="13"/>
  <c r="E69" i="13" s="1"/>
  <c r="BV327" i="12"/>
  <c r="BV241" i="12"/>
  <c r="BV294" i="12"/>
  <c r="BV287" i="12"/>
  <c r="BV217" i="12"/>
  <c r="BV216" i="12"/>
  <c r="BV286" i="12"/>
  <c r="BV274" i="12"/>
  <c r="BV186" i="12"/>
  <c r="BV205" i="12"/>
  <c r="BV228" i="12"/>
  <c r="BV181" i="12"/>
  <c r="BV229" i="12"/>
  <c r="BV284" i="12"/>
  <c r="BV280" i="12"/>
  <c r="BV301" i="12"/>
  <c r="BV187" i="12"/>
  <c r="BV184" i="12"/>
  <c r="BV310" i="12"/>
  <c r="AP297" i="12"/>
  <c r="AP209" i="12"/>
  <c r="AP282" i="12"/>
  <c r="AP239" i="12"/>
  <c r="AP299" i="12"/>
  <c r="AP283" i="12"/>
  <c r="AP326" i="12"/>
  <c r="AP184" i="12"/>
  <c r="AP303" i="12"/>
  <c r="AP265" i="12"/>
  <c r="AP194" i="12"/>
  <c r="AP288" i="12"/>
  <c r="AP298" i="12"/>
  <c r="AP199" i="12"/>
  <c r="AP260" i="12"/>
  <c r="C89" i="3"/>
  <c r="AP290" i="12"/>
  <c r="AP304" i="12"/>
  <c r="AP287" i="12"/>
  <c r="AP178" i="12"/>
  <c r="AP252" i="12"/>
  <c r="AP325" i="12"/>
  <c r="AP275" i="12"/>
  <c r="AP233" i="12"/>
  <c r="AP187" i="12"/>
  <c r="AP208" i="12"/>
  <c r="AP218" i="12"/>
  <c r="AP217" i="12"/>
  <c r="AP312" i="12"/>
  <c r="AP213" i="12"/>
  <c r="AP227" i="12"/>
  <c r="AP169" i="12"/>
  <c r="AP242" i="12"/>
  <c r="AP205" i="12"/>
  <c r="AP228" i="12"/>
  <c r="AP243" i="12"/>
  <c r="AP179" i="12"/>
  <c r="AP274" i="12"/>
  <c r="AP241" i="12"/>
  <c r="AP308" i="12"/>
  <c r="AP323" i="12"/>
  <c r="AP197" i="12"/>
  <c r="AP261" i="12"/>
  <c r="AP266" i="12"/>
  <c r="J307" i="12"/>
  <c r="J194" i="12"/>
  <c r="J306" i="12"/>
  <c r="J171" i="12"/>
  <c r="J310" i="12"/>
  <c r="J323" i="12"/>
  <c r="J246" i="12"/>
  <c r="J274" i="12"/>
  <c r="J220" i="12"/>
  <c r="J293" i="12"/>
  <c r="J270" i="12"/>
  <c r="J315" i="12"/>
  <c r="J200" i="12"/>
  <c r="J226" i="12"/>
  <c r="J271" i="12"/>
  <c r="J217" i="12"/>
  <c r="J237" i="12"/>
  <c r="J205" i="12"/>
  <c r="J215" i="12"/>
  <c r="J304" i="12"/>
  <c r="J186" i="12"/>
  <c r="J266" i="12"/>
  <c r="J326" i="12"/>
  <c r="J210" i="12"/>
  <c r="J255" i="12"/>
  <c r="J190" i="12"/>
  <c r="J193" i="12"/>
  <c r="J235" i="12"/>
  <c r="J290" i="12"/>
  <c r="J178" i="12"/>
  <c r="J301" i="12"/>
  <c r="J184" i="12"/>
  <c r="J281" i="12"/>
  <c r="J279" i="12"/>
  <c r="J181" i="12"/>
  <c r="J330" i="12"/>
  <c r="J230" i="12"/>
  <c r="J320" i="12"/>
  <c r="J216" i="12"/>
  <c r="J297" i="12"/>
  <c r="J319" i="12"/>
  <c r="J219" i="12"/>
  <c r="J183" i="12"/>
  <c r="J238" i="12"/>
  <c r="J309" i="12"/>
  <c r="AM317" i="12"/>
  <c r="AM314" i="12"/>
  <c r="AM224" i="12"/>
  <c r="AM227" i="12"/>
  <c r="AM282" i="12"/>
  <c r="AM220" i="12"/>
  <c r="AM309" i="12"/>
  <c r="AM250" i="12"/>
  <c r="AM248" i="12"/>
  <c r="AM305" i="12"/>
  <c r="AM291" i="12"/>
  <c r="AM298" i="12"/>
  <c r="AM324" i="12"/>
  <c r="AM243" i="12"/>
  <c r="AM306" i="12"/>
  <c r="BS300" i="12"/>
  <c r="BS224" i="12"/>
  <c r="BS270" i="12"/>
  <c r="BS264" i="12"/>
  <c r="BS279" i="12"/>
  <c r="CY223" i="12"/>
  <c r="CY273" i="12"/>
  <c r="CY177" i="12"/>
  <c r="CY261" i="12"/>
  <c r="CY296" i="12"/>
  <c r="CY330" i="12"/>
  <c r="CY218" i="12"/>
  <c r="CY270" i="12"/>
  <c r="CY298" i="12"/>
  <c r="CY206" i="12"/>
  <c r="CY255" i="12"/>
  <c r="CY300" i="12"/>
  <c r="CY295" i="12"/>
  <c r="CY285" i="12"/>
  <c r="CY192" i="12"/>
  <c r="CY220" i="12"/>
  <c r="CY329" i="12"/>
  <c r="EU296" i="12"/>
  <c r="EU208" i="12"/>
  <c r="EU237" i="12"/>
  <c r="EU240" i="12"/>
  <c r="EU234" i="12"/>
  <c r="EU277" i="12"/>
  <c r="EU289" i="12"/>
  <c r="EU292" i="12"/>
  <c r="EU285" i="12"/>
  <c r="EU181" i="12"/>
  <c r="EU271" i="12"/>
  <c r="EU215" i="12"/>
  <c r="EU203" i="12"/>
  <c r="EU205" i="12"/>
  <c r="EU217" i="12"/>
  <c r="EU212" i="12"/>
  <c r="EU244" i="12"/>
  <c r="EU287" i="12"/>
  <c r="BY296" i="12"/>
  <c r="BY196" i="12"/>
  <c r="BY257" i="12"/>
  <c r="BY307" i="12"/>
  <c r="BY201" i="12"/>
  <c r="BY306" i="12"/>
  <c r="BY226" i="12"/>
  <c r="BY180" i="12"/>
  <c r="BY281" i="12"/>
  <c r="BY316" i="12"/>
  <c r="BY169" i="12"/>
  <c r="BY287" i="12"/>
  <c r="BY256" i="12"/>
  <c r="BY278" i="12"/>
  <c r="BY282" i="12"/>
  <c r="BY338" i="12"/>
  <c r="BY331" i="12" s="1"/>
  <c r="BY289" i="12"/>
  <c r="BY199" i="12"/>
  <c r="DX322" i="12"/>
  <c r="DX321" i="12"/>
  <c r="DX199" i="12"/>
  <c r="DX246" i="12"/>
  <c r="DX267" i="12"/>
  <c r="DX195" i="12"/>
  <c r="DX235" i="12"/>
  <c r="DX180" i="12"/>
  <c r="DX222" i="12"/>
  <c r="DX305" i="12"/>
  <c r="DX190" i="12"/>
  <c r="DX296" i="12"/>
  <c r="DX207" i="12"/>
  <c r="DX277" i="12"/>
  <c r="DX256" i="12"/>
  <c r="DX308" i="12"/>
  <c r="BL193" i="12"/>
  <c r="BL320" i="12"/>
  <c r="BL202" i="12"/>
  <c r="BL294" i="12"/>
  <c r="BL338" i="12"/>
  <c r="BL331" i="12" s="1"/>
  <c r="BL263" i="12"/>
  <c r="BL266" i="12"/>
  <c r="BL262" i="12"/>
  <c r="BL169" i="12"/>
  <c r="BL227" i="12"/>
  <c r="BL288" i="12"/>
  <c r="BL307" i="12"/>
  <c r="BL328" i="12"/>
  <c r="BL310" i="12"/>
  <c r="BL184" i="12"/>
  <c r="BL257" i="12"/>
  <c r="BL268" i="12"/>
  <c r="BL190" i="12"/>
  <c r="BL280" i="12"/>
  <c r="BL215" i="12"/>
  <c r="BL183" i="12"/>
  <c r="BL285" i="12"/>
  <c r="BL242" i="12"/>
  <c r="BL218" i="12"/>
  <c r="K189" i="12"/>
  <c r="K273" i="12"/>
  <c r="K240" i="12"/>
  <c r="K177" i="12"/>
  <c r="K203" i="12"/>
  <c r="K180" i="12"/>
  <c r="K308" i="12"/>
  <c r="K297" i="12"/>
  <c r="K338" i="12"/>
  <c r="K331" i="12" s="1"/>
  <c r="K324" i="12"/>
  <c r="CX267" i="12"/>
  <c r="CX292" i="12"/>
  <c r="CX275" i="12"/>
  <c r="CX227" i="12"/>
  <c r="CX212" i="12"/>
  <c r="CX286" i="12"/>
  <c r="CX321" i="12"/>
  <c r="CX255" i="12"/>
  <c r="CX248" i="12"/>
  <c r="CX323" i="12"/>
  <c r="CX203" i="12"/>
  <c r="CX282" i="12"/>
  <c r="CX296" i="12"/>
  <c r="CX284" i="12"/>
  <c r="CX249" i="12"/>
  <c r="CX224" i="12"/>
  <c r="CX253" i="12"/>
  <c r="CX178" i="12"/>
  <c r="CX302" i="12"/>
  <c r="CX233" i="12"/>
  <c r="CX246" i="12"/>
  <c r="CX285" i="12"/>
  <c r="AL221" i="12"/>
  <c r="C81" i="3"/>
  <c r="AL192" i="12"/>
  <c r="AL268" i="12"/>
  <c r="AL317" i="12"/>
  <c r="AL197" i="12"/>
  <c r="AL187" i="12"/>
  <c r="AL286" i="12"/>
  <c r="AL205" i="12"/>
  <c r="AL274" i="12"/>
  <c r="AL234" i="12"/>
  <c r="AL169" i="12"/>
  <c r="AL216" i="12"/>
  <c r="AL265" i="12"/>
  <c r="AL257" i="12"/>
  <c r="AL217" i="12"/>
  <c r="AL253" i="12"/>
  <c r="AL193" i="12"/>
  <c r="AL264" i="12"/>
  <c r="AL214" i="12"/>
  <c r="AL320" i="12"/>
  <c r="AL338" i="12"/>
  <c r="AL331" i="12" s="1"/>
  <c r="AL313" i="12"/>
  <c r="AL189" i="12"/>
  <c r="AL182" i="12"/>
  <c r="AL213" i="12"/>
  <c r="AL218" i="12"/>
  <c r="AL243" i="12"/>
  <c r="AL262" i="12"/>
  <c r="AL303" i="12"/>
  <c r="AL172" i="12"/>
  <c r="AL284" i="12"/>
  <c r="AQ297" i="12"/>
  <c r="AQ225" i="12"/>
  <c r="AQ181" i="12"/>
  <c r="AQ246" i="12"/>
  <c r="AQ217" i="12"/>
  <c r="AQ183" i="12"/>
  <c r="AQ214" i="12"/>
  <c r="AQ325" i="12"/>
  <c r="AQ330" i="12"/>
  <c r="AQ274" i="12"/>
  <c r="DC217" i="12"/>
  <c r="DC210" i="12"/>
  <c r="DC275" i="12"/>
  <c r="DC243" i="12"/>
  <c r="DC211" i="12"/>
  <c r="DC169" i="12"/>
  <c r="DC294" i="12"/>
  <c r="DC313" i="12"/>
  <c r="DC278" i="12"/>
  <c r="DC231" i="12"/>
  <c r="DC178" i="12"/>
  <c r="DC236" i="12"/>
  <c r="DC276" i="12"/>
  <c r="DC255" i="12"/>
  <c r="DC320" i="12"/>
  <c r="DC239" i="12"/>
  <c r="DC215" i="12"/>
  <c r="DC180" i="12"/>
  <c r="DC318" i="12"/>
  <c r="DC223" i="12"/>
  <c r="DC274" i="12"/>
  <c r="DC213" i="12"/>
  <c r="AG272" i="12"/>
  <c r="AG171" i="12"/>
  <c r="M72" i="3" s="1"/>
  <c r="J25" i="14" s="1"/>
  <c r="AG271" i="12"/>
  <c r="AG276" i="12"/>
  <c r="AG215" i="12"/>
  <c r="AG269" i="12"/>
  <c r="AG242" i="12"/>
  <c r="AG226" i="12"/>
  <c r="AG330" i="12"/>
  <c r="AG320" i="12"/>
  <c r="AG220" i="12"/>
  <c r="AG169" i="12"/>
  <c r="AG317" i="12"/>
  <c r="AG305" i="12"/>
  <c r="AG303" i="12"/>
  <c r="AG300" i="12"/>
  <c r="AG207" i="12"/>
  <c r="AG237" i="12"/>
  <c r="AG217" i="12"/>
  <c r="AG278" i="12"/>
  <c r="AG277" i="12"/>
  <c r="Q300" i="12"/>
  <c r="Q326" i="12"/>
  <c r="Q200" i="12"/>
  <c r="Q269" i="12"/>
  <c r="Q302" i="12"/>
  <c r="Q204" i="12"/>
  <c r="Q321" i="12"/>
  <c r="Q303" i="12"/>
  <c r="Q256" i="12"/>
  <c r="Q293" i="12"/>
  <c r="Q171" i="12"/>
  <c r="M40" i="3" s="1"/>
  <c r="J21" i="14" s="1"/>
  <c r="Q294" i="12"/>
  <c r="Q196" i="12"/>
  <c r="Q197" i="12"/>
  <c r="Q214" i="12"/>
  <c r="Q172" i="12"/>
  <c r="DD288" i="12"/>
  <c r="DD307" i="12"/>
  <c r="DD317" i="12"/>
  <c r="DD194" i="12"/>
  <c r="DD245" i="12"/>
  <c r="DD290" i="12"/>
  <c r="DD223" i="12"/>
  <c r="DD315" i="12"/>
  <c r="DD306" i="12"/>
  <c r="DD200" i="12"/>
  <c r="DD276" i="12"/>
  <c r="DD291" i="12"/>
  <c r="DD313" i="12"/>
  <c r="DD182" i="12"/>
  <c r="DD241" i="12"/>
  <c r="DD252" i="12"/>
  <c r="AR303" i="12"/>
  <c r="AR190" i="12"/>
  <c r="AR313" i="12"/>
  <c r="AR189" i="12"/>
  <c r="AR255" i="12"/>
  <c r="AR236" i="12"/>
  <c r="AR320" i="12"/>
  <c r="AR308" i="12"/>
  <c r="AR278" i="12"/>
  <c r="AR208" i="12"/>
  <c r="AR232" i="12"/>
  <c r="AR269" i="12"/>
  <c r="AR324" i="12"/>
  <c r="AR330" i="12"/>
  <c r="AR310" i="12"/>
  <c r="AR185" i="12"/>
  <c r="AR231" i="12"/>
  <c r="AR285" i="12"/>
  <c r="AR192" i="12"/>
  <c r="AR206" i="12"/>
  <c r="AR249" i="12"/>
  <c r="AR247" i="12"/>
  <c r="AR284" i="12"/>
  <c r="AR209" i="12"/>
  <c r="AR169" i="12"/>
  <c r="AR306" i="12"/>
  <c r="AR315" i="12"/>
  <c r="AR178" i="12"/>
  <c r="AR252" i="12"/>
  <c r="AR327" i="12"/>
  <c r="AR177" i="12"/>
  <c r="AR210" i="12"/>
  <c r="EP277" i="12"/>
  <c r="EP296" i="12"/>
  <c r="EP284" i="12"/>
  <c r="EP230" i="12"/>
  <c r="EP312" i="12"/>
  <c r="EP219" i="12"/>
  <c r="EP221" i="12"/>
  <c r="EP245" i="12"/>
  <c r="EP321" i="12"/>
  <c r="EP286" i="12"/>
  <c r="EP187" i="12"/>
  <c r="K57" i="3"/>
  <c r="EP218" i="12"/>
  <c r="EP249" i="12"/>
  <c r="EP310" i="12"/>
  <c r="EP257" i="12"/>
  <c r="EP300" i="12"/>
  <c r="EP273" i="12"/>
  <c r="EP203" i="12"/>
  <c r="EP314" i="12"/>
  <c r="EP215" i="12"/>
  <c r="EP329" i="12"/>
  <c r="EP265" i="12"/>
  <c r="EP186" i="12"/>
  <c r="EP209" i="12"/>
  <c r="EP241" i="12"/>
  <c r="EP297" i="12"/>
  <c r="EP242" i="12"/>
  <c r="EP326" i="12"/>
  <c r="EP258" i="12"/>
  <c r="EP197" i="12"/>
  <c r="EP240" i="12"/>
  <c r="EP262" i="12"/>
  <c r="EP283" i="12"/>
  <c r="EP305" i="12"/>
  <c r="EP179" i="12"/>
  <c r="EP289" i="12"/>
  <c r="EP195" i="12"/>
  <c r="EP325" i="12"/>
  <c r="EP235" i="12"/>
  <c r="EP292" i="12"/>
  <c r="EP188" i="12"/>
  <c r="EP222" i="12"/>
  <c r="EP248" i="12"/>
  <c r="EP254" i="12"/>
  <c r="EP279" i="12"/>
  <c r="EP244" i="12"/>
  <c r="EP301" i="12"/>
  <c r="EP276" i="12"/>
  <c r="EP208" i="12"/>
  <c r="K57" i="13"/>
  <c r="EP251" i="12"/>
  <c r="EP315" i="12"/>
  <c r="EP201" i="12"/>
  <c r="EP223" i="12"/>
  <c r="EP237" i="12"/>
  <c r="EP200" i="12"/>
  <c r="EP259" i="12"/>
  <c r="EP275" i="12"/>
  <c r="EP181" i="12"/>
  <c r="EP217" i="12"/>
  <c r="EP250" i="12"/>
  <c r="EP220" i="12"/>
  <c r="EP320" i="12"/>
  <c r="EP291" i="12"/>
  <c r="EP185" i="12"/>
  <c r="EP233" i="12"/>
  <c r="EP260" i="12"/>
  <c r="CD292" i="12"/>
  <c r="CD251" i="12"/>
  <c r="CD275" i="12"/>
  <c r="CD328" i="12"/>
  <c r="CD199" i="12"/>
  <c r="CD195" i="12"/>
  <c r="CD283" i="12"/>
  <c r="CD306" i="12"/>
  <c r="CD291" i="12"/>
  <c r="CD308" i="12"/>
  <c r="CD197" i="12"/>
  <c r="CD272" i="12"/>
  <c r="CD329" i="12"/>
  <c r="CD307" i="12"/>
  <c r="CD255" i="12"/>
  <c r="CD190" i="12"/>
  <c r="CD224" i="12"/>
  <c r="CD253" i="12"/>
  <c r="CD325" i="12"/>
  <c r="CD298" i="12"/>
  <c r="CD338" i="12"/>
  <c r="CD331" i="12" s="1"/>
  <c r="CD187" i="12"/>
  <c r="CD323" i="12"/>
  <c r="CD288" i="12"/>
  <c r="CD220" i="12"/>
  <c r="CD311" i="12"/>
  <c r="CD234" i="12"/>
  <c r="CD186" i="12"/>
  <c r="CD259" i="12"/>
  <c r="CD235" i="12"/>
  <c r="CD277" i="12"/>
  <c r="R297" i="12"/>
  <c r="R312" i="12"/>
  <c r="R330" i="12"/>
  <c r="R251" i="12"/>
  <c r="R316" i="12"/>
  <c r="R218" i="12"/>
  <c r="R239" i="12"/>
  <c r="R320" i="12"/>
  <c r="R242" i="12"/>
  <c r="R243" i="12"/>
  <c r="R205" i="12"/>
  <c r="R278" i="12"/>
  <c r="R327" i="12"/>
  <c r="R269" i="12"/>
  <c r="R230" i="12"/>
  <c r="R232" i="12"/>
  <c r="R211" i="12"/>
  <c r="R226" i="12"/>
  <c r="C41" i="3"/>
  <c r="R197" i="12"/>
  <c r="R292" i="12"/>
  <c r="R188" i="12"/>
  <c r="R286" i="12"/>
  <c r="R271" i="12"/>
  <c r="R322" i="12"/>
  <c r="R236" i="12"/>
  <c r="R253" i="12"/>
  <c r="R238" i="12"/>
  <c r="R247" i="12"/>
  <c r="R257" i="12"/>
  <c r="R315" i="12"/>
  <c r="R234" i="12"/>
  <c r="R264" i="12"/>
  <c r="R180" i="12"/>
  <c r="R294" i="12"/>
  <c r="R275" i="12"/>
  <c r="R274" i="12"/>
  <c r="R240" i="12"/>
  <c r="R301" i="12"/>
  <c r="R324" i="12"/>
  <c r="R203" i="12"/>
  <c r="R201" i="12"/>
  <c r="R303" i="12"/>
  <c r="R314" i="12"/>
  <c r="R268" i="12"/>
  <c r="R184" i="12"/>
  <c r="R302" i="12"/>
  <c r="R279" i="12"/>
  <c r="R321" i="12"/>
  <c r="R212" i="12"/>
  <c r="R229" i="12"/>
  <c r="R296" i="12"/>
  <c r="R191" i="12"/>
  <c r="R209" i="12"/>
  <c r="R307" i="12"/>
  <c r="R266" i="12"/>
  <c r="R272" i="12"/>
  <c r="R185" i="12"/>
  <c r="R194" i="12"/>
  <c r="G52" i="13"/>
  <c r="G54" i="13" s="1"/>
  <c r="CS254" i="12"/>
  <c r="CS215" i="12"/>
  <c r="CS279" i="12"/>
  <c r="CS261" i="12"/>
  <c r="CS235" i="12"/>
  <c r="CS176" i="12"/>
  <c r="CS249" i="12"/>
  <c r="CS265" i="12"/>
  <c r="CS194" i="12"/>
  <c r="CS248" i="12"/>
  <c r="CS315" i="12"/>
  <c r="CS198" i="12"/>
  <c r="CS179" i="12"/>
  <c r="CS172" i="12"/>
  <c r="CS184" i="12"/>
  <c r="CS298" i="12"/>
  <c r="FA319" i="12"/>
  <c r="FA259" i="12"/>
  <c r="FA245" i="12"/>
  <c r="FA287" i="12"/>
  <c r="FA169" i="12"/>
  <c r="FA182" i="12"/>
  <c r="FA228" i="12"/>
  <c r="FA298" i="12"/>
  <c r="FA239" i="12"/>
  <c r="FA297" i="12"/>
  <c r="FA179" i="12"/>
  <c r="FA216" i="12"/>
  <c r="FA220" i="12"/>
  <c r="FA176" i="12"/>
  <c r="FA226" i="12"/>
  <c r="FA285" i="12"/>
  <c r="FA232" i="12"/>
  <c r="FA206" i="12"/>
  <c r="FA328" i="12"/>
  <c r="FA283" i="12"/>
  <c r="FA324" i="12"/>
  <c r="FA276" i="12"/>
  <c r="FA289" i="12"/>
  <c r="FA207" i="12"/>
  <c r="FA312" i="12"/>
  <c r="FA295" i="12"/>
  <c r="FA221" i="12"/>
  <c r="FA301" i="12"/>
  <c r="DH266" i="12"/>
  <c r="DH291" i="12"/>
  <c r="DH257" i="12"/>
  <c r="DH318" i="12"/>
  <c r="DH232" i="12"/>
  <c r="DH223" i="12"/>
  <c r="DH314" i="12"/>
  <c r="DH206" i="12"/>
  <c r="DH230" i="12"/>
  <c r="DH177" i="12"/>
  <c r="DH179" i="12"/>
  <c r="DH185" i="12"/>
  <c r="DH302" i="12"/>
  <c r="DH256" i="12"/>
  <c r="DH323" i="12"/>
  <c r="DH207" i="12"/>
  <c r="DH304" i="12"/>
  <c r="AV310" i="12"/>
  <c r="AV196" i="12"/>
  <c r="AV262" i="12"/>
  <c r="AV312" i="12"/>
  <c r="AV277" i="12"/>
  <c r="AV317" i="12"/>
  <c r="AV232" i="12"/>
  <c r="AV210" i="12"/>
  <c r="AV237" i="12"/>
  <c r="AV230" i="12"/>
  <c r="AV227" i="12"/>
  <c r="AV263" i="12"/>
  <c r="AV321" i="12"/>
  <c r="AV327" i="12"/>
  <c r="AV188" i="12"/>
  <c r="AV297" i="12"/>
  <c r="ET233" i="12"/>
  <c r="K65" i="3"/>
  <c r="ET232" i="12"/>
  <c r="ET212" i="12"/>
  <c r="ET196" i="12"/>
  <c r="ET308" i="12"/>
  <c r="ET202" i="12"/>
  <c r="ET261" i="12"/>
  <c r="ET180" i="12"/>
  <c r="ET204" i="12"/>
  <c r="ET246" i="12"/>
  <c r="ET172" i="12"/>
  <c r="ET295" i="12"/>
  <c r="ET260" i="12"/>
  <c r="ET245" i="12"/>
  <c r="ET273" i="12"/>
  <c r="ET271" i="12"/>
  <c r="ET253" i="12"/>
  <c r="ET294" i="12"/>
  <c r="ET230" i="12"/>
  <c r="ET243" i="12"/>
  <c r="ET276" i="12"/>
  <c r="ET188" i="12"/>
  <c r="ET201" i="12"/>
  <c r="ET235" i="12"/>
  <c r="ET285" i="12"/>
  <c r="ET325" i="12"/>
  <c r="ET237" i="12"/>
  <c r="ET288" i="12"/>
  <c r="ET320" i="12"/>
  <c r="ET312" i="12"/>
  <c r="CH260" i="12"/>
  <c r="CH199" i="12"/>
  <c r="CH301" i="12"/>
  <c r="CH308" i="12"/>
  <c r="CH211" i="12"/>
  <c r="CH313" i="12"/>
  <c r="CH292" i="12"/>
  <c r="CH208" i="12"/>
  <c r="CH325" i="12"/>
  <c r="CH276" i="12"/>
  <c r="CH281" i="12"/>
  <c r="CH193" i="12"/>
  <c r="CH283" i="12"/>
  <c r="CH289" i="12"/>
  <c r="CH222" i="12"/>
  <c r="CH230" i="12"/>
  <c r="CH235" i="12"/>
  <c r="CH312" i="12"/>
  <c r="BG248" i="12"/>
  <c r="BG218" i="12"/>
  <c r="BG338" i="12"/>
  <c r="BG331" i="12" s="1"/>
  <c r="BG221" i="12"/>
  <c r="BG225" i="12"/>
  <c r="BG291" i="12"/>
  <c r="BG214" i="12"/>
  <c r="BG172" i="12"/>
  <c r="BG224" i="12"/>
  <c r="BG280" i="12"/>
  <c r="BG256" i="12"/>
  <c r="BG287" i="12"/>
  <c r="BG211" i="12"/>
  <c r="BG186" i="12"/>
  <c r="BG297" i="12"/>
  <c r="BG329" i="12"/>
  <c r="BG201" i="12"/>
  <c r="BG283" i="12"/>
  <c r="BG200" i="12"/>
  <c r="BG278" i="12"/>
  <c r="BG262" i="12"/>
  <c r="BG322" i="12"/>
  <c r="DS257" i="12"/>
  <c r="DS284" i="12"/>
  <c r="DS192" i="12"/>
  <c r="AW234" i="12"/>
  <c r="AW289" i="12"/>
  <c r="AW238" i="12"/>
  <c r="AW324" i="12"/>
  <c r="AW318" i="12"/>
  <c r="AW223" i="12"/>
  <c r="AW311" i="12"/>
  <c r="AW321" i="12"/>
  <c r="AW266" i="12"/>
  <c r="AW277" i="12"/>
  <c r="EG269" i="12"/>
  <c r="EG303" i="12"/>
  <c r="EG327" i="12"/>
  <c r="EG181" i="12"/>
  <c r="EG243" i="12"/>
  <c r="EG180" i="12"/>
  <c r="EG308" i="12"/>
  <c r="EG215" i="12"/>
  <c r="EG280" i="12"/>
  <c r="EG338" i="12"/>
  <c r="EG331" i="12" s="1"/>
  <c r="EG310" i="12"/>
  <c r="EG266" i="12"/>
  <c r="EG209" i="12"/>
  <c r="EG247" i="12"/>
  <c r="EG204" i="12"/>
  <c r="CN322" i="12"/>
  <c r="CN223" i="12"/>
  <c r="CN284" i="12"/>
  <c r="CN273" i="12"/>
  <c r="CN193" i="12"/>
  <c r="CN265" i="12"/>
  <c r="CN270" i="12"/>
  <c r="CN257" i="12"/>
  <c r="CN181" i="12"/>
  <c r="AB208" i="12"/>
  <c r="AB301" i="12"/>
  <c r="AB276" i="12"/>
  <c r="AB268" i="12"/>
  <c r="AB221" i="12"/>
  <c r="AB273" i="12"/>
  <c r="AB290" i="12"/>
  <c r="BN185" i="12"/>
  <c r="BN262" i="12"/>
  <c r="BN296" i="12"/>
  <c r="BN184" i="12"/>
  <c r="BN258" i="12"/>
  <c r="BN292" i="12"/>
  <c r="BN202" i="12"/>
  <c r="BN251" i="12"/>
  <c r="BN321" i="12"/>
  <c r="BN221" i="12"/>
  <c r="BN172" i="12"/>
  <c r="BN307" i="12"/>
  <c r="BN250" i="12"/>
  <c r="BN197" i="12"/>
  <c r="BN171" i="12"/>
  <c r="N30" i="3" s="1"/>
  <c r="N29" i="3" s="1"/>
  <c r="BN201" i="12"/>
  <c r="BN259" i="12"/>
  <c r="BN319" i="12"/>
  <c r="BN304" i="12"/>
  <c r="BN204" i="12"/>
  <c r="BN190" i="12"/>
  <c r="BN260" i="12"/>
  <c r="BN210" i="12"/>
  <c r="BN293" i="12"/>
  <c r="BN326" i="12"/>
  <c r="BN186" i="12"/>
  <c r="BN205" i="12"/>
  <c r="BN227" i="12"/>
  <c r="BN261" i="12"/>
  <c r="BN318" i="12"/>
  <c r="BN187" i="12"/>
  <c r="BN263" i="12"/>
  <c r="BN203" i="12"/>
  <c r="BN256" i="12"/>
  <c r="BN209" i="12"/>
  <c r="BN277" i="12"/>
  <c r="BN322" i="12"/>
  <c r="BN183" i="12"/>
  <c r="BN248" i="12"/>
  <c r="BN224" i="12"/>
  <c r="BN245" i="12"/>
  <c r="BN314" i="12"/>
  <c r="BN179" i="12"/>
  <c r="BN323" i="12"/>
  <c r="BN223" i="12"/>
  <c r="BN316" i="12"/>
  <c r="BN274" i="12"/>
  <c r="BN169" i="12"/>
  <c r="BN315" i="12"/>
  <c r="BN219" i="12"/>
  <c r="BN308" i="12"/>
  <c r="BN266" i="12"/>
  <c r="BN301" i="12"/>
  <c r="BN275" i="12"/>
  <c r="BN198" i="12"/>
  <c r="BN268" i="12"/>
  <c r="BN214" i="12"/>
  <c r="BN176" i="12"/>
  <c r="AE260" i="12"/>
  <c r="AE191" i="12"/>
  <c r="AE277" i="12"/>
  <c r="AE292" i="12"/>
  <c r="AE202" i="12"/>
  <c r="AE215" i="12"/>
  <c r="AE266" i="12"/>
  <c r="AE294" i="12"/>
  <c r="AE253" i="12"/>
  <c r="AE280" i="12"/>
  <c r="AE295" i="12"/>
  <c r="C68" i="13"/>
  <c r="C70" i="13" s="1"/>
  <c r="AE201" i="12"/>
  <c r="AE324" i="12"/>
  <c r="AE232" i="12"/>
  <c r="AE247" i="12"/>
  <c r="AE198" i="12"/>
  <c r="AE282" i="12"/>
  <c r="AE302" i="12"/>
  <c r="AE261" i="12"/>
  <c r="AE316" i="12"/>
  <c r="AE190" i="12"/>
  <c r="AE278" i="12"/>
  <c r="AE208" i="12"/>
  <c r="AE181" i="12"/>
  <c r="AE196" i="12"/>
  <c r="AE207" i="12"/>
  <c r="AE209" i="12"/>
  <c r="AE304" i="12"/>
  <c r="AE259" i="12"/>
  <c r="BK256" i="12"/>
  <c r="BK181" i="12"/>
  <c r="BK276" i="12"/>
  <c r="BK290" i="12"/>
  <c r="BK236" i="12"/>
  <c r="BK226" i="12"/>
  <c r="BK313" i="12"/>
  <c r="BK266" i="12"/>
  <c r="BK197" i="12"/>
  <c r="BK279" i="12"/>
  <c r="BK299" i="12"/>
  <c r="BK208" i="12"/>
  <c r="BK328" i="12"/>
  <c r="BK318" i="12"/>
  <c r="BK179" i="12"/>
  <c r="BK211" i="12"/>
  <c r="BK255" i="12"/>
  <c r="BK248" i="12"/>
  <c r="BK273" i="12"/>
  <c r="BK309" i="12"/>
  <c r="BK294" i="12"/>
  <c r="BK193" i="12"/>
  <c r="BK228" i="12"/>
  <c r="BK192" i="12"/>
  <c r="BK194" i="12"/>
  <c r="BK287" i="12"/>
  <c r="BK305" i="12"/>
  <c r="BK258" i="12"/>
  <c r="BK207" i="12"/>
  <c r="BK304" i="12"/>
  <c r="BK310" i="12"/>
  <c r="BK230" i="12"/>
  <c r="BK244" i="12"/>
  <c r="BK176" i="12"/>
  <c r="BK270" i="12"/>
  <c r="BK215" i="12"/>
  <c r="BK178" i="12"/>
  <c r="BK329" i="12"/>
  <c r="BK245" i="12"/>
  <c r="BK316" i="12"/>
  <c r="BK307" i="12"/>
  <c r="BK222" i="12"/>
  <c r="BK195" i="12"/>
  <c r="BK278" i="12"/>
  <c r="BK289" i="12"/>
  <c r="BK264" i="12"/>
  <c r="BK271" i="12"/>
  <c r="BK233" i="12"/>
  <c r="BK196" i="12"/>
  <c r="BK191" i="12"/>
  <c r="BK274" i="12"/>
  <c r="BK249" i="12"/>
  <c r="BK272" i="12"/>
  <c r="BK295" i="12"/>
  <c r="AC172" i="12"/>
  <c r="BP172" i="12"/>
  <c r="AO15" i="3"/>
  <c r="AG25" i="3"/>
  <c r="DP172" i="12"/>
  <c r="EZ172" i="12"/>
  <c r="BZ172" i="12"/>
  <c r="N172" i="12"/>
  <c r="E172" i="12"/>
  <c r="AN172" i="12"/>
  <c r="DF172" i="12"/>
  <c r="EC172" i="12"/>
  <c r="DZ172" i="12"/>
  <c r="DE172" i="12"/>
  <c r="CG172" i="12"/>
  <c r="J172" i="12"/>
  <c r="X172" i="12"/>
  <c r="Y172" i="12"/>
  <c r="CV172" i="12"/>
  <c r="BR172" i="12"/>
  <c r="EJ172" i="12"/>
  <c r="BF172" i="12"/>
  <c r="AE172" i="12"/>
  <c r="CX172" i="12"/>
  <c r="W172" i="12"/>
  <c r="EE172" i="12"/>
  <c r="EU172" i="12"/>
  <c r="BI172" i="12"/>
  <c r="BY172" i="12"/>
  <c r="CO172" i="12"/>
  <c r="CU172" i="12"/>
  <c r="CA172" i="12"/>
  <c r="DV172" i="12"/>
  <c r="EO172" i="12"/>
  <c r="DQ172" i="12"/>
  <c r="DW172" i="12"/>
  <c r="BQ172" i="12"/>
  <c r="ES172" i="12"/>
  <c r="AP172" i="12"/>
  <c r="EM172" i="12"/>
  <c r="CK172" i="12"/>
  <c r="DL172" i="12"/>
  <c r="D172" i="12"/>
  <c r="EX172" i="12"/>
  <c r="DB172" i="12"/>
  <c r="CJ172" i="12"/>
  <c r="AK172" i="12"/>
  <c r="BO172" i="12"/>
  <c r="ER172" i="12"/>
  <c r="EN172" i="12"/>
  <c r="DH172" i="12"/>
  <c r="CR172" i="12"/>
  <c r="CB172" i="12"/>
  <c r="AV172" i="12"/>
  <c r="P172" i="12"/>
  <c r="K172" i="12"/>
  <c r="ED172" i="12"/>
  <c r="V172" i="12"/>
  <c r="AA172" i="12"/>
  <c r="BW172" i="12"/>
  <c r="CW172" i="12"/>
  <c r="G172" i="12"/>
  <c r="DI172" i="12"/>
  <c r="M172" i="12"/>
  <c r="BC172" i="12"/>
  <c r="BJ172" i="12"/>
  <c r="EP172" i="12"/>
  <c r="BK321" i="12"/>
  <c r="BK203" i="12"/>
  <c r="BK217" i="12"/>
  <c r="BK277" i="12"/>
  <c r="BK298" i="12"/>
  <c r="BK263" i="12"/>
  <c r="BK324" i="12"/>
  <c r="BK177" i="12"/>
  <c r="BK212" i="12"/>
  <c r="BK296" i="12"/>
  <c r="CV297" i="12"/>
  <c r="CV223" i="12"/>
  <c r="CV323" i="12"/>
  <c r="CV313" i="12"/>
  <c r="CV194" i="12"/>
  <c r="CV330" i="12"/>
  <c r="CV315" i="12"/>
  <c r="I302" i="12"/>
  <c r="I277" i="12"/>
  <c r="I315" i="12"/>
  <c r="I304" i="12"/>
  <c r="I210" i="12"/>
  <c r="I255" i="12"/>
  <c r="I308" i="12"/>
  <c r="I313" i="12"/>
  <c r="I298" i="12"/>
  <c r="I299" i="12"/>
  <c r="U303" i="12"/>
  <c r="U247" i="12"/>
  <c r="U301" i="12"/>
  <c r="U182" i="12"/>
  <c r="U219" i="12"/>
  <c r="U318" i="12"/>
  <c r="U180" i="12"/>
  <c r="U255" i="12"/>
  <c r="U246" i="12"/>
  <c r="C56" i="13"/>
  <c r="EQ266" i="12"/>
  <c r="EQ187" i="12"/>
  <c r="EQ216" i="12"/>
  <c r="EQ268" i="12"/>
  <c r="EQ306" i="12"/>
  <c r="EQ210" i="12"/>
  <c r="EQ278" i="12"/>
  <c r="EQ307" i="12"/>
  <c r="EQ201" i="12"/>
  <c r="EQ323" i="12"/>
  <c r="AD295" i="12"/>
  <c r="AD249" i="12"/>
  <c r="AD189" i="12"/>
  <c r="AD219" i="12"/>
  <c r="AD321" i="12"/>
  <c r="AD226" i="12"/>
  <c r="AD271" i="12"/>
  <c r="AD329" i="12"/>
  <c r="AD214" i="12"/>
  <c r="EV258" i="12"/>
  <c r="EV187" i="12"/>
  <c r="EV239" i="12"/>
  <c r="EV177" i="12"/>
  <c r="EV203" i="12"/>
  <c r="EV224" i="12"/>
  <c r="EV282" i="12"/>
  <c r="EV314" i="12"/>
  <c r="EV182" i="12"/>
  <c r="EV211" i="12"/>
  <c r="AE188" i="12"/>
  <c r="AE237" i="12"/>
  <c r="AE299" i="12"/>
  <c r="AE255" i="12"/>
  <c r="AE329" i="12"/>
  <c r="BK253" i="12"/>
  <c r="BK200" i="12"/>
  <c r="BK327" i="12"/>
  <c r="BK282" i="12"/>
  <c r="BK220" i="12"/>
  <c r="CQ243" i="12"/>
  <c r="CQ244" i="12"/>
  <c r="CQ176" i="12"/>
  <c r="CQ237" i="12"/>
  <c r="CQ247" i="12"/>
  <c r="DW248" i="12"/>
  <c r="DW180" i="12"/>
  <c r="I65" i="13"/>
  <c r="DW229" i="12"/>
  <c r="DW277" i="12"/>
  <c r="BA310" i="12"/>
  <c r="BA252" i="12"/>
  <c r="BA301" i="12"/>
  <c r="BA207" i="12"/>
  <c r="CC245" i="12"/>
  <c r="CC289" i="12"/>
  <c r="CC192" i="12"/>
  <c r="CC298" i="12"/>
  <c r="EO325" i="12"/>
  <c r="EO240" i="12"/>
  <c r="EK180" i="12"/>
  <c r="EK259" i="12"/>
  <c r="EK315" i="12"/>
  <c r="EK324" i="12"/>
  <c r="DP186" i="12"/>
  <c r="DP303" i="12"/>
  <c r="DP326" i="12"/>
  <c r="DP238" i="12"/>
  <c r="CJ203" i="12"/>
  <c r="CJ234" i="12"/>
  <c r="BD317" i="12"/>
  <c r="X328" i="12"/>
  <c r="CP277" i="12"/>
  <c r="CP329" i="12"/>
  <c r="BJ229" i="12"/>
  <c r="S186" i="12"/>
  <c r="S293" i="12"/>
  <c r="AY202" i="12"/>
  <c r="CE214" i="12"/>
  <c r="CE312" i="12"/>
  <c r="DK304" i="12"/>
  <c r="DK285" i="12"/>
  <c r="AO194" i="12"/>
  <c r="BU235" i="12"/>
  <c r="DM211" i="12"/>
  <c r="EB267" i="12"/>
  <c r="AJ300" i="12"/>
  <c r="O320" i="12"/>
  <c r="DB269" i="12"/>
  <c r="AP196" i="12"/>
  <c r="J204" i="12"/>
  <c r="BD305" i="12"/>
  <c r="DQ186" i="12"/>
  <c r="BG272" i="12"/>
  <c r="AK210" i="12"/>
  <c r="BQ202" i="12"/>
  <c r="EX254" i="12"/>
  <c r="Y269" i="12"/>
  <c r="EM291" i="12"/>
  <c r="DR229" i="12"/>
  <c r="CA308" i="12"/>
  <c r="CA300" i="12"/>
  <c r="CA290" i="12"/>
  <c r="CA224" i="12"/>
  <c r="DG326" i="12"/>
  <c r="DG295" i="12"/>
  <c r="DG296" i="12"/>
  <c r="DG275" i="12"/>
  <c r="EM314" i="12"/>
  <c r="EM311" i="12"/>
  <c r="EM200" i="12"/>
  <c r="EM288" i="12"/>
  <c r="EM281" i="12"/>
  <c r="EM271" i="12"/>
  <c r="EM196" i="12"/>
  <c r="EM241" i="12"/>
  <c r="EM229" i="12"/>
  <c r="AK323" i="12"/>
  <c r="AK245" i="12"/>
  <c r="AK195" i="12"/>
  <c r="AK230" i="12"/>
  <c r="AK226" i="12"/>
  <c r="AK190" i="12"/>
  <c r="AK275" i="12"/>
  <c r="BQ233" i="12"/>
  <c r="BQ181" i="12"/>
  <c r="BT222" i="12"/>
  <c r="BT307" i="12"/>
  <c r="BT268" i="12"/>
  <c r="H289" i="12"/>
  <c r="H185" i="12"/>
  <c r="H292" i="12"/>
  <c r="H194" i="12"/>
  <c r="H216" i="12"/>
  <c r="H322" i="12"/>
  <c r="H298" i="12"/>
  <c r="EL184" i="12"/>
  <c r="EL216" i="12"/>
  <c r="EL265" i="12"/>
  <c r="BZ273" i="12"/>
  <c r="BZ213" i="12"/>
  <c r="BZ232" i="12"/>
  <c r="AT244" i="12"/>
  <c r="AT239" i="12"/>
  <c r="AT188" i="12"/>
  <c r="AI278" i="12"/>
  <c r="AI218" i="12"/>
  <c r="AI327" i="12"/>
  <c r="AI251" i="12"/>
  <c r="BO230" i="12"/>
  <c r="BO190" i="12"/>
  <c r="BO227" i="12"/>
  <c r="BO228" i="12"/>
  <c r="BO209" i="12"/>
  <c r="EA329" i="12"/>
  <c r="EA295" i="12"/>
  <c r="CK274" i="12"/>
  <c r="CK247" i="12"/>
  <c r="CK213" i="12"/>
  <c r="EW252" i="12"/>
  <c r="EW328" i="12"/>
  <c r="EW315" i="12"/>
  <c r="EW178" i="12"/>
  <c r="EW267" i="12"/>
  <c r="EW205" i="12"/>
  <c r="EW263" i="12"/>
  <c r="EW307" i="12"/>
  <c r="ES295" i="12"/>
  <c r="ES318" i="12"/>
  <c r="ES177" i="12"/>
  <c r="ES247" i="12"/>
  <c r="ER216" i="12"/>
  <c r="ER193" i="12"/>
  <c r="ER237" i="12"/>
  <c r="ER214" i="12"/>
  <c r="DL262" i="12"/>
  <c r="DL236" i="12"/>
  <c r="DL305" i="12"/>
  <c r="CF239" i="12"/>
  <c r="CF285" i="12"/>
  <c r="CF251" i="12"/>
  <c r="CF199" i="12"/>
  <c r="CF291" i="12"/>
  <c r="CF323" i="12"/>
  <c r="CF250" i="12"/>
  <c r="CF183" i="12"/>
  <c r="CF270" i="12"/>
  <c r="CF214" i="12"/>
  <c r="CF267" i="12"/>
  <c r="CF237" i="12"/>
  <c r="CF268" i="12"/>
  <c r="CF277" i="12"/>
  <c r="CF201" i="12"/>
  <c r="CF330" i="12"/>
  <c r="CF217" i="12"/>
  <c r="CF249" i="12"/>
  <c r="CF269" i="12"/>
  <c r="CF195" i="12"/>
  <c r="CF274" i="12"/>
  <c r="CF215" i="12"/>
  <c r="CF287" i="12"/>
  <c r="CF226" i="12"/>
  <c r="CF308" i="12"/>
  <c r="CF265" i="12"/>
  <c r="CF189" i="12"/>
  <c r="CF302" i="12"/>
  <c r="CF219" i="12"/>
  <c r="CF299" i="12"/>
  <c r="CF238" i="12"/>
  <c r="CF260" i="12"/>
  <c r="CF309" i="12"/>
  <c r="CF324" i="12"/>
  <c r="CF185" i="12"/>
  <c r="CF236" i="12"/>
  <c r="CF257" i="12"/>
  <c r="CF278" i="12"/>
  <c r="CF212" i="12"/>
  <c r="CF252" i="12"/>
  <c r="AZ250" i="12"/>
  <c r="AZ229" i="12"/>
  <c r="AZ230" i="12"/>
  <c r="AZ245" i="12"/>
  <c r="AZ192" i="12"/>
  <c r="AZ216" i="12"/>
  <c r="AZ267" i="12"/>
  <c r="AZ328" i="12"/>
  <c r="AZ212" i="12"/>
  <c r="AZ171" i="12"/>
  <c r="AZ240" i="12"/>
  <c r="AZ209" i="12"/>
  <c r="AZ225" i="12"/>
  <c r="AZ263" i="12"/>
  <c r="AZ208" i="12"/>
  <c r="AZ223" i="12"/>
  <c r="AZ179" i="12"/>
  <c r="AZ207" i="12"/>
  <c r="AZ205" i="12"/>
  <c r="AZ221" i="12"/>
  <c r="AZ275" i="12"/>
  <c r="AZ258" i="12"/>
  <c r="AZ324" i="12"/>
  <c r="AZ201" i="12"/>
  <c r="AZ329" i="12"/>
  <c r="AZ199" i="12"/>
  <c r="AZ217" i="12"/>
  <c r="AZ239" i="12"/>
  <c r="AZ326" i="12"/>
  <c r="AZ233" i="12"/>
  <c r="AZ181" i="12"/>
  <c r="AZ222" i="12"/>
  <c r="AZ194" i="12"/>
  <c r="AZ314" i="12"/>
  <c r="AZ251" i="12"/>
  <c r="AZ242" i="12"/>
  <c r="AZ319" i="12"/>
  <c r="AZ322" i="12"/>
  <c r="AZ220" i="12"/>
  <c r="AZ184" i="12"/>
  <c r="AZ252" i="12"/>
  <c r="AZ236" i="12"/>
  <c r="T270" i="12"/>
  <c r="T255" i="12"/>
  <c r="T319" i="12"/>
  <c r="T288" i="12"/>
  <c r="T322" i="12"/>
  <c r="T222" i="12"/>
  <c r="T262" i="12"/>
  <c r="T233" i="12"/>
  <c r="T259" i="12"/>
  <c r="T196" i="12"/>
  <c r="T189" i="12"/>
  <c r="T261" i="12"/>
  <c r="T214" i="12"/>
  <c r="T169" i="12"/>
  <c r="T295" i="12"/>
  <c r="T328" i="12"/>
  <c r="T251" i="12"/>
  <c r="T292" i="12"/>
  <c r="T303" i="12"/>
  <c r="T278" i="12"/>
  <c r="T272" i="12"/>
  <c r="T177" i="12"/>
  <c r="T277" i="12"/>
  <c r="T311" i="12"/>
  <c r="T246" i="12"/>
  <c r="T264" i="12"/>
  <c r="T338" i="12"/>
  <c r="T331" i="12" s="1"/>
  <c r="T235" i="12"/>
  <c r="EX212" i="12"/>
  <c r="EX269" i="12"/>
  <c r="EX278" i="12"/>
  <c r="EX279" i="12"/>
  <c r="EX200" i="12"/>
  <c r="EX306" i="12"/>
  <c r="EX244" i="12"/>
  <c r="EX193" i="12"/>
  <c r="EX300" i="12"/>
  <c r="EX228" i="12"/>
  <c r="EX304" i="12"/>
  <c r="EX204" i="12"/>
  <c r="EX301" i="12"/>
  <c r="EX288" i="12"/>
  <c r="EX227" i="12"/>
  <c r="EX291" i="12"/>
  <c r="EX189" i="12"/>
  <c r="EX281" i="12"/>
  <c r="EX250" i="12"/>
  <c r="EX198" i="12"/>
  <c r="EX314" i="12"/>
  <c r="EX229" i="12"/>
  <c r="EX322" i="12"/>
  <c r="DR223" i="12"/>
  <c r="DR318" i="12"/>
  <c r="CL244" i="12"/>
  <c r="CL180" i="12"/>
  <c r="CL323" i="12"/>
  <c r="Z238" i="12"/>
  <c r="Z270" i="12"/>
  <c r="Z259" i="12"/>
  <c r="Z329" i="12"/>
  <c r="Z203" i="12"/>
  <c r="Z183" i="12"/>
  <c r="Z316" i="12"/>
  <c r="Z301" i="12"/>
  <c r="Z285" i="12"/>
  <c r="Z265" i="12"/>
  <c r="Z304" i="12"/>
  <c r="Z256" i="12"/>
  <c r="Z214" i="12"/>
  <c r="Z260" i="12"/>
  <c r="Z185" i="12"/>
  <c r="Z251" i="12"/>
  <c r="Z232" i="12"/>
  <c r="Z176" i="12"/>
  <c r="Z252" i="12"/>
  <c r="Z267" i="12"/>
  <c r="Z253" i="12"/>
  <c r="Z249" i="12"/>
  <c r="Z181" i="12"/>
  <c r="Z201" i="12"/>
  <c r="Z271" i="12"/>
  <c r="Z217" i="12"/>
  <c r="Z284" i="12"/>
  <c r="C33" i="13"/>
  <c r="Z294" i="12"/>
  <c r="BC272" i="12"/>
  <c r="BC253" i="12"/>
  <c r="BC225" i="12"/>
  <c r="CI253" i="12"/>
  <c r="CI169" i="12"/>
  <c r="DO285" i="12"/>
  <c r="DO195" i="12"/>
  <c r="L210" i="12"/>
  <c r="L247" i="12"/>
  <c r="DJ216" i="12"/>
  <c r="DJ199" i="12"/>
  <c r="EY268" i="12"/>
  <c r="EY192" i="12"/>
  <c r="CA195" i="12"/>
  <c r="CA196" i="12"/>
  <c r="CA327" i="12"/>
  <c r="CA281" i="12"/>
  <c r="CA191" i="12"/>
  <c r="CA328" i="12"/>
  <c r="DG221" i="12"/>
  <c r="DG259" i="12"/>
  <c r="DG251" i="12"/>
  <c r="DG330" i="12"/>
  <c r="EM270" i="12"/>
  <c r="EM338" i="12"/>
  <c r="EM331" i="12" s="1"/>
  <c r="EM222" i="12"/>
  <c r="BQ294" i="12"/>
  <c r="BQ324" i="12"/>
  <c r="BQ320" i="12"/>
  <c r="BQ203" i="12"/>
  <c r="BQ239" i="12"/>
  <c r="CZ213" i="12"/>
  <c r="CZ176" i="12"/>
  <c r="CZ250" i="12"/>
  <c r="EL272" i="12"/>
  <c r="EL326" i="12"/>
  <c r="EL323" i="12"/>
  <c r="EL192" i="12"/>
  <c r="EL185" i="12"/>
  <c r="AT222" i="12"/>
  <c r="AT294" i="12"/>
  <c r="AT307" i="12"/>
  <c r="AT289" i="12"/>
  <c r="AT290" i="12"/>
  <c r="AI328" i="12"/>
  <c r="AI311" i="12"/>
  <c r="AI298" i="12"/>
  <c r="AI296" i="12"/>
  <c r="EA276" i="12"/>
  <c r="EA212" i="12"/>
  <c r="EA300" i="12"/>
  <c r="EA286" i="12"/>
  <c r="Y258" i="12"/>
  <c r="Y201" i="12"/>
  <c r="Y297" i="12"/>
  <c r="Y253" i="12"/>
  <c r="Y196" i="12"/>
  <c r="CK178" i="12"/>
  <c r="CK306" i="12"/>
  <c r="CK297" i="12"/>
  <c r="CK269" i="12"/>
  <c r="CK202" i="12"/>
  <c r="ES330" i="12"/>
  <c r="ES202" i="12"/>
  <c r="K64" i="13"/>
  <c r="DL326" i="12"/>
  <c r="DL276" i="12"/>
  <c r="DL228" i="12"/>
  <c r="DL260" i="12"/>
  <c r="DL195" i="12"/>
  <c r="DL277" i="12"/>
  <c r="CF300" i="12"/>
  <c r="CF203" i="12"/>
  <c r="CF211" i="12"/>
  <c r="CF208" i="12"/>
  <c r="AZ200" i="12"/>
  <c r="AZ249" i="12"/>
  <c r="AZ219" i="12"/>
  <c r="AZ254" i="12"/>
  <c r="AZ271" i="12"/>
  <c r="T232" i="12"/>
  <c r="T308" i="12"/>
  <c r="T184" i="12"/>
  <c r="EX241" i="12"/>
  <c r="EX178" i="12"/>
  <c r="EX323" i="12"/>
  <c r="EX186" i="12"/>
  <c r="EX206" i="12"/>
  <c r="DR193" i="12"/>
  <c r="DR236" i="12"/>
  <c r="DR327" i="12"/>
  <c r="DR189" i="12"/>
  <c r="DR188" i="12"/>
  <c r="CL233" i="12"/>
  <c r="CL193" i="12"/>
  <c r="CL317" i="12"/>
  <c r="CL229" i="12"/>
  <c r="CL258" i="12"/>
  <c r="CL302" i="12"/>
  <c r="BF177" i="12"/>
  <c r="BF194" i="12"/>
  <c r="EJ224" i="12"/>
  <c r="EJ176" i="12"/>
  <c r="G302" i="12"/>
  <c r="G185" i="12"/>
  <c r="DG307" i="12"/>
  <c r="EF268" i="12"/>
  <c r="CU251" i="12"/>
  <c r="CU326" i="12"/>
  <c r="CA233" i="12"/>
  <c r="CA219" i="12"/>
  <c r="CA305" i="12"/>
  <c r="CA169" i="12"/>
  <c r="CA272" i="12"/>
  <c r="CA277" i="12"/>
  <c r="CA245" i="12"/>
  <c r="CA205" i="12"/>
  <c r="CA275" i="12"/>
  <c r="CA213" i="12"/>
  <c r="CA312" i="12"/>
  <c r="CA252" i="12"/>
  <c r="CA197" i="12"/>
  <c r="CA324" i="12"/>
  <c r="CA236" i="12"/>
  <c r="CA204" i="12"/>
  <c r="CA293" i="12"/>
  <c r="CA198" i="12"/>
  <c r="CA296" i="12"/>
  <c r="CA274" i="12"/>
  <c r="CA206" i="12"/>
  <c r="CA289" i="12"/>
  <c r="CA267" i="12"/>
  <c r="CA185" i="12"/>
  <c r="DG238" i="12"/>
  <c r="DG317" i="12"/>
  <c r="DG244" i="12"/>
  <c r="DG196" i="12"/>
  <c r="DG277" i="12"/>
  <c r="DG249" i="12"/>
  <c r="DG212" i="12"/>
  <c r="DG318" i="12"/>
  <c r="DG213" i="12"/>
  <c r="DG243" i="12"/>
  <c r="DG255" i="12"/>
  <c r="DG190" i="12"/>
  <c r="DG217" i="12"/>
  <c r="DG301" i="12"/>
  <c r="DG309" i="12"/>
  <c r="DG183" i="12"/>
  <c r="DG232" i="12"/>
  <c r="DG263" i="12"/>
  <c r="DG198" i="12"/>
  <c r="DG188" i="12"/>
  <c r="DG240" i="12"/>
  <c r="DG328" i="12"/>
  <c r="DG282" i="12"/>
  <c r="DG218" i="12"/>
  <c r="DG321" i="12"/>
  <c r="DG215" i="12"/>
  <c r="DG225" i="12"/>
  <c r="EM305" i="12"/>
  <c r="EM292" i="12"/>
  <c r="EM253" i="12"/>
  <c r="EM191" i="12"/>
  <c r="EM216" i="12"/>
  <c r="EM254" i="12"/>
  <c r="EM277" i="12"/>
  <c r="EM189" i="12"/>
  <c r="EM289" i="12"/>
  <c r="EM290" i="12"/>
  <c r="EM275" i="12"/>
  <c r="EM228" i="12"/>
  <c r="EM242" i="12"/>
  <c r="EM187" i="12"/>
  <c r="AK244" i="12"/>
  <c r="AK216" i="12"/>
  <c r="AK259" i="12"/>
  <c r="AK196" i="12"/>
  <c r="AK278" i="12"/>
  <c r="AK222" i="12"/>
  <c r="AK301" i="12"/>
  <c r="AK256" i="12"/>
  <c r="AK268" i="12"/>
  <c r="AK250" i="12"/>
  <c r="BQ210" i="12"/>
  <c r="BQ242" i="12"/>
  <c r="BQ285" i="12"/>
  <c r="BQ238" i="12"/>
  <c r="BQ245" i="12"/>
  <c r="BQ169" i="12"/>
  <c r="BQ304" i="12"/>
  <c r="BQ273" i="12"/>
  <c r="BQ289" i="12"/>
  <c r="BQ313" i="12"/>
  <c r="BQ195" i="12"/>
  <c r="BQ280" i="12"/>
  <c r="DE271" i="12"/>
  <c r="DE190" i="12"/>
  <c r="DE338" i="12"/>
  <c r="DE331" i="12" s="1"/>
  <c r="EF251" i="12"/>
  <c r="EF290" i="12"/>
  <c r="EF282" i="12"/>
  <c r="EF212" i="12"/>
  <c r="EF225" i="12"/>
  <c r="EF307" i="12"/>
  <c r="EF291" i="12"/>
  <c r="EF218" i="12"/>
  <c r="EF266" i="12"/>
  <c r="EF232" i="12"/>
  <c r="EF286" i="12"/>
  <c r="EF276" i="12"/>
  <c r="EF203" i="12"/>
  <c r="EF265" i="12"/>
  <c r="EF177" i="12"/>
  <c r="EF281" i="12"/>
  <c r="CZ258" i="12"/>
  <c r="CZ287" i="12"/>
  <c r="CZ169" i="12"/>
  <c r="CZ209" i="12"/>
  <c r="CZ313" i="12"/>
  <c r="CZ222" i="12"/>
  <c r="BT190" i="12"/>
  <c r="BT253" i="12"/>
  <c r="BT271" i="12"/>
  <c r="BT199" i="12"/>
  <c r="H231" i="12"/>
  <c r="H233" i="12"/>
  <c r="H232" i="12"/>
  <c r="H267" i="12"/>
  <c r="H273" i="12"/>
  <c r="H214" i="12"/>
  <c r="H240" i="12"/>
  <c r="H307" i="12"/>
  <c r="H308" i="12"/>
  <c r="EL189" i="12"/>
  <c r="EL328" i="12"/>
  <c r="EL308" i="12"/>
  <c r="EL207" i="12"/>
  <c r="EL274" i="12"/>
  <c r="EL206" i="12"/>
  <c r="EL327" i="12"/>
  <c r="EL239" i="12"/>
  <c r="EL208" i="12"/>
  <c r="EL193" i="12"/>
  <c r="BZ231" i="12"/>
  <c r="BZ278" i="12"/>
  <c r="BZ296" i="12"/>
  <c r="BZ326" i="12"/>
  <c r="BZ284" i="12"/>
  <c r="AT273" i="12"/>
  <c r="AT276" i="12"/>
  <c r="AT286" i="12"/>
  <c r="AT210" i="12"/>
  <c r="AT209" i="12"/>
  <c r="AT199" i="12"/>
  <c r="C97" i="3"/>
  <c r="AT248" i="12"/>
  <c r="AT258" i="12"/>
  <c r="AT255" i="12"/>
  <c r="AT230" i="12"/>
  <c r="AT266" i="12"/>
  <c r="AT225" i="12"/>
  <c r="AT279" i="12"/>
  <c r="AT262" i="12"/>
  <c r="AT208" i="12"/>
  <c r="AT301" i="12"/>
  <c r="AT238" i="12"/>
  <c r="AT220" i="12"/>
  <c r="AT299" i="12"/>
  <c r="AT247" i="12"/>
  <c r="AT326" i="12"/>
  <c r="AT287" i="12"/>
  <c r="AT221" i="12"/>
  <c r="AT321" i="12"/>
  <c r="AT207" i="12"/>
  <c r="AT178" i="12"/>
  <c r="AT259" i="12"/>
  <c r="AT292" i="12"/>
  <c r="AT169" i="12"/>
  <c r="N180" i="12"/>
  <c r="N190" i="12"/>
  <c r="N235" i="12"/>
  <c r="AI198" i="12"/>
  <c r="AI293" i="12"/>
  <c r="AI253" i="12"/>
  <c r="AI196" i="12"/>
  <c r="AI314" i="12"/>
  <c r="AI315" i="12"/>
  <c r="AI212" i="12"/>
  <c r="AI236" i="12"/>
  <c r="AI189" i="12"/>
  <c r="AI237" i="12"/>
  <c r="AI208" i="12"/>
  <c r="AI195" i="12"/>
  <c r="AI279" i="12"/>
  <c r="AI306" i="12"/>
  <c r="AI277" i="12"/>
  <c r="AI225" i="12"/>
  <c r="BO245" i="12"/>
  <c r="BO322" i="12"/>
  <c r="BO324" i="12"/>
  <c r="BO229" i="12"/>
  <c r="CU182" i="12"/>
  <c r="CU330" i="12"/>
  <c r="CU219" i="12"/>
  <c r="CU289" i="12"/>
  <c r="CU237" i="12"/>
  <c r="CU303" i="12"/>
  <c r="CU195" i="12"/>
  <c r="CU296" i="12"/>
  <c r="CU186" i="12"/>
  <c r="CU241" i="12"/>
  <c r="CU191" i="12"/>
  <c r="CU258" i="12"/>
  <c r="CU216" i="12"/>
  <c r="CU279" i="12"/>
  <c r="CU185" i="12"/>
  <c r="CU298" i="12"/>
  <c r="G56" i="13"/>
  <c r="EA226" i="12"/>
  <c r="EA279" i="12"/>
  <c r="EA292" i="12"/>
  <c r="EA270" i="12"/>
  <c r="EA197" i="12"/>
  <c r="EA232" i="12"/>
  <c r="EA330" i="12"/>
  <c r="EA204" i="12"/>
  <c r="EA326" i="12"/>
  <c r="EA182" i="12"/>
  <c r="EA246" i="12"/>
  <c r="EA319" i="12"/>
  <c r="EA280" i="12"/>
  <c r="EA181" i="12"/>
  <c r="EA248" i="12"/>
  <c r="EA240" i="12"/>
  <c r="EA196" i="12"/>
  <c r="EA310" i="12"/>
  <c r="I73" i="13"/>
  <c r="AI26" i="13" s="1"/>
  <c r="EA199" i="12"/>
  <c r="EA178" i="12"/>
  <c r="EA324" i="12"/>
  <c r="EA304" i="12"/>
  <c r="EA201" i="12"/>
  <c r="EA298" i="12"/>
  <c r="EA205" i="12"/>
  <c r="EA252" i="12"/>
  <c r="EA269" i="12"/>
  <c r="Y283" i="12"/>
  <c r="Y321" i="12"/>
  <c r="Y209" i="12"/>
  <c r="Y213" i="12"/>
  <c r="Y252" i="12"/>
  <c r="Y255" i="12"/>
  <c r="Y285" i="12"/>
  <c r="Y292" i="12"/>
  <c r="Y266" i="12"/>
  <c r="C32" i="3"/>
  <c r="Y261" i="12"/>
  <c r="Y246" i="12"/>
  <c r="Y187" i="12"/>
  <c r="Y330" i="12"/>
  <c r="Y274" i="12"/>
  <c r="Y195" i="12"/>
  <c r="Y293" i="12"/>
  <c r="Y226" i="12"/>
  <c r="Y328" i="12"/>
  <c r="Y185" i="12"/>
  <c r="Y242" i="12"/>
  <c r="Y314" i="12"/>
  <c r="Y247" i="12"/>
  <c r="Y302" i="12"/>
  <c r="Y256" i="12"/>
  <c r="Y221" i="12"/>
  <c r="Y249" i="12"/>
  <c r="CK265" i="12"/>
  <c r="CK255" i="12"/>
  <c r="CK243" i="12"/>
  <c r="CK182" i="12"/>
  <c r="CK327" i="12"/>
  <c r="CK230" i="12"/>
  <c r="CK171" i="12"/>
  <c r="N97" i="3" s="1"/>
  <c r="K42" i="14" s="1"/>
  <c r="CK300" i="12"/>
  <c r="CK221" i="12"/>
  <c r="CK224" i="12"/>
  <c r="CK222" i="12"/>
  <c r="CK282" i="12"/>
  <c r="EW244" i="12"/>
  <c r="EW214" i="12"/>
  <c r="EW187" i="12"/>
  <c r="EW229" i="12"/>
  <c r="EW296" i="12"/>
  <c r="EW289" i="12"/>
  <c r="EW272" i="12"/>
  <c r="EW274" i="12"/>
  <c r="ES300" i="12"/>
  <c r="ES221" i="12"/>
  <c r="ES213" i="12"/>
  <c r="ES220" i="12"/>
  <c r="ES328" i="12"/>
  <c r="ES311" i="12"/>
  <c r="ES228" i="12"/>
  <c r="ES194" i="12"/>
  <c r="ES258" i="12"/>
  <c r="ES316" i="12"/>
  <c r="ER312" i="12"/>
  <c r="ER234" i="12"/>
  <c r="ER249" i="12"/>
  <c r="ER241" i="12"/>
  <c r="ER210" i="12"/>
  <c r="ER322" i="12"/>
  <c r="DL215" i="12"/>
  <c r="DL268" i="12"/>
  <c r="DL206" i="12"/>
  <c r="DL259" i="12"/>
  <c r="DL327" i="12"/>
  <c r="DL197" i="12"/>
  <c r="DL209" i="12"/>
  <c r="DL208" i="12"/>
  <c r="DL329" i="12"/>
  <c r="DL283" i="12"/>
  <c r="CF232" i="12"/>
  <c r="CF321" i="12"/>
  <c r="CF247" i="12"/>
  <c r="CF259" i="12"/>
  <c r="CF198" i="12"/>
  <c r="CF317" i="12"/>
  <c r="E88" i="13"/>
  <c r="CF303" i="12"/>
  <c r="CF289" i="12"/>
  <c r="CF192" i="12"/>
  <c r="CF223" i="12"/>
  <c r="AZ283" i="12"/>
  <c r="AZ238" i="12"/>
  <c r="AZ226" i="12"/>
  <c r="AZ183" i="12"/>
  <c r="AZ278" i="12"/>
  <c r="AZ177" i="12"/>
  <c r="AZ234" i="12"/>
  <c r="AZ197" i="12"/>
  <c r="AZ182" i="12"/>
  <c r="AZ266" i="12"/>
  <c r="T223" i="12"/>
  <c r="T298" i="12"/>
  <c r="T197" i="12"/>
  <c r="T195" i="12"/>
  <c r="T318" i="12"/>
  <c r="T236" i="12"/>
  <c r="T182" i="12"/>
  <c r="T316" i="12"/>
  <c r="T228" i="12"/>
  <c r="T274" i="12"/>
  <c r="T283" i="12"/>
  <c r="T231" i="12"/>
  <c r="T190" i="12"/>
  <c r="T199" i="12"/>
  <c r="T210" i="12"/>
  <c r="T249" i="12"/>
  <c r="T226" i="12"/>
  <c r="T180" i="12"/>
  <c r="T269" i="12"/>
  <c r="T307" i="12"/>
  <c r="T320" i="12"/>
  <c r="T244" i="12"/>
  <c r="T289" i="12"/>
  <c r="T282" i="12"/>
  <c r="T203" i="12"/>
  <c r="T229" i="12"/>
  <c r="T271" i="12"/>
  <c r="T309" i="12"/>
  <c r="T240" i="12"/>
  <c r="T305" i="12"/>
  <c r="T242" i="12"/>
  <c r="T215" i="12"/>
  <c r="T285" i="12"/>
  <c r="T299" i="12"/>
  <c r="T314" i="12"/>
  <c r="T284" i="12"/>
  <c r="T179" i="12"/>
  <c r="T205" i="12"/>
  <c r="T275" i="12"/>
  <c r="T293" i="12"/>
  <c r="T276" i="12"/>
  <c r="T181" i="12"/>
  <c r="EX171" i="12"/>
  <c r="Q73" i="3" s="1"/>
  <c r="N39" i="14" s="1"/>
  <c r="EX190" i="12"/>
  <c r="EX185" i="12"/>
  <c r="EX252" i="12"/>
  <c r="EX264" i="12"/>
  <c r="EX320" i="12"/>
  <c r="EX214" i="12"/>
  <c r="EX230" i="12"/>
  <c r="EX311" i="12"/>
  <c r="EX310" i="12"/>
  <c r="EX308" i="12"/>
  <c r="EX239" i="12"/>
  <c r="EX207" i="12"/>
  <c r="EX321" i="12"/>
  <c r="EX256" i="12"/>
  <c r="EX188" i="12"/>
  <c r="EX253" i="12"/>
  <c r="EX232" i="12"/>
  <c r="EX265" i="12"/>
  <c r="EX257" i="12"/>
  <c r="EX194" i="12"/>
  <c r="EX202" i="12"/>
  <c r="EX266" i="12"/>
  <c r="EX309" i="12"/>
  <c r="EX271" i="12"/>
  <c r="EX210" i="12"/>
  <c r="EX216" i="12"/>
  <c r="EX295" i="12"/>
  <c r="EX277" i="12"/>
  <c r="EX286" i="12"/>
  <c r="EX208" i="12"/>
  <c r="EX219" i="12"/>
  <c r="EX307" i="12"/>
  <c r="EX316" i="12"/>
  <c r="EX177" i="12"/>
  <c r="EX237" i="12"/>
  <c r="EX224" i="12"/>
  <c r="EX251" i="12"/>
  <c r="EX287" i="12"/>
  <c r="K73" i="3"/>
  <c r="Z295" i="12"/>
  <c r="Z290" i="12"/>
  <c r="Z319" i="12"/>
  <c r="Z222" i="12"/>
  <c r="Z277" i="12"/>
  <c r="Z266" i="12"/>
  <c r="Z200" i="12"/>
  <c r="Z230" i="12"/>
  <c r="Z169" i="12"/>
  <c r="Z202" i="12"/>
  <c r="Z338" i="12"/>
  <c r="Z331" i="12" s="1"/>
  <c r="Z317" i="12"/>
  <c r="Z187" i="12"/>
  <c r="Z315" i="12"/>
  <c r="Z279" i="12"/>
  <c r="Z243" i="12"/>
  <c r="Z218" i="12"/>
  <c r="Z320" i="12"/>
  <c r="Z306" i="12"/>
  <c r="Z237" i="12"/>
  <c r="Z283" i="12"/>
  <c r="Z186" i="12"/>
  <c r="Z171" i="12"/>
  <c r="M33" i="3" s="1"/>
  <c r="J34" i="14" s="1"/>
  <c r="Z209" i="12"/>
  <c r="Z313" i="12"/>
  <c r="Z255" i="12"/>
  <c r="Z269" i="12"/>
  <c r="Z233" i="12"/>
  <c r="Z262" i="12"/>
  <c r="Z308" i="12"/>
  <c r="Z278" i="12"/>
  <c r="Z224" i="12"/>
  <c r="Z307" i="12"/>
  <c r="Z190" i="12"/>
  <c r="Z207" i="12"/>
  <c r="Z205" i="12"/>
  <c r="Z286" i="12"/>
  <c r="Z191" i="12"/>
  <c r="Z292" i="12"/>
  <c r="Z231" i="12"/>
  <c r="Z324" i="12"/>
  <c r="Z274" i="12"/>
  <c r="Z188" i="12"/>
  <c r="EX183" i="12"/>
  <c r="EX176" i="12"/>
  <c r="EX305" i="12"/>
  <c r="EX169" i="12"/>
  <c r="EX270" i="12"/>
  <c r="EX246" i="12"/>
  <c r="EX243" i="12"/>
  <c r="EX315" i="12"/>
  <c r="EX284" i="12"/>
  <c r="EX299" i="12"/>
  <c r="DR243" i="12"/>
  <c r="DR330" i="12"/>
  <c r="I56" i="3"/>
  <c r="CL208" i="12"/>
  <c r="CL279" i="12"/>
  <c r="CL212" i="12"/>
  <c r="CL255" i="12"/>
  <c r="CL290" i="12"/>
  <c r="CL315" i="12"/>
  <c r="CL280" i="12"/>
  <c r="CL281" i="12"/>
  <c r="DR303" i="12"/>
  <c r="DR329" i="12"/>
  <c r="CL328" i="12"/>
  <c r="CO237" i="12"/>
  <c r="G257" i="12"/>
  <c r="CI302" i="12"/>
  <c r="BF318" i="12"/>
  <c r="DR338" i="12"/>
  <c r="DR331" i="12" s="1"/>
  <c r="DR245" i="12"/>
  <c r="DR287" i="12"/>
  <c r="DR185" i="12"/>
  <c r="DR211" i="12"/>
  <c r="DR282" i="12"/>
  <c r="DR235" i="12"/>
  <c r="DR276" i="12"/>
  <c r="DR226" i="12"/>
  <c r="DR308" i="12"/>
  <c r="DR280" i="12"/>
  <c r="DR232" i="12"/>
  <c r="DR192" i="12"/>
  <c r="DR237" i="12"/>
  <c r="DR315" i="12"/>
  <c r="DR221" i="12"/>
  <c r="DR258" i="12"/>
  <c r="DR251" i="12"/>
  <c r="DR216" i="12"/>
  <c r="DR313" i="12"/>
  <c r="CL204" i="12"/>
  <c r="CL203" i="12"/>
  <c r="CL321" i="12"/>
  <c r="CL243" i="12"/>
  <c r="CL260" i="12"/>
  <c r="CL221" i="12"/>
  <c r="CL319" i="12"/>
  <c r="CL181" i="12"/>
  <c r="CL259" i="12"/>
  <c r="CL248" i="12"/>
  <c r="CL289" i="12"/>
  <c r="CL306" i="12"/>
  <c r="CL169" i="12"/>
  <c r="CL205" i="12"/>
  <c r="CL294" i="12"/>
  <c r="CL288" i="12"/>
  <c r="CL216" i="12"/>
  <c r="CL246" i="12"/>
  <c r="CL171" i="12"/>
  <c r="BF267" i="12"/>
  <c r="BF307" i="12"/>
  <c r="BF201" i="12"/>
  <c r="BF256" i="12"/>
  <c r="BF228" i="12"/>
  <c r="BF183" i="12"/>
  <c r="BF314" i="12"/>
  <c r="BF301" i="12"/>
  <c r="BF309" i="12"/>
  <c r="BF180" i="12"/>
  <c r="BF326" i="12"/>
  <c r="W213" i="12"/>
  <c r="W300" i="12"/>
  <c r="BC298" i="12"/>
  <c r="BC190" i="12"/>
  <c r="BC285" i="12"/>
  <c r="BC287" i="12"/>
  <c r="CI309" i="12"/>
  <c r="CI204" i="12"/>
  <c r="CI235" i="12"/>
  <c r="CI299" i="12"/>
  <c r="CI324" i="12"/>
  <c r="CI203" i="12"/>
  <c r="CI254" i="12"/>
  <c r="CI245" i="12"/>
  <c r="CI264" i="12"/>
  <c r="CI227" i="12"/>
  <c r="CI217" i="12"/>
  <c r="CI304" i="12"/>
  <c r="DO246" i="12"/>
  <c r="DO290" i="12"/>
  <c r="DO328" i="12"/>
  <c r="DO178" i="12"/>
  <c r="DO283" i="12"/>
  <c r="CR314" i="12"/>
  <c r="CR241" i="12"/>
  <c r="BR178" i="12"/>
  <c r="BR238" i="12"/>
  <c r="BR233" i="12"/>
  <c r="EI222" i="12"/>
  <c r="EI245" i="12"/>
  <c r="EI281" i="12"/>
  <c r="CW193" i="12"/>
  <c r="CW308" i="12"/>
  <c r="EJ215" i="12"/>
  <c r="EJ326" i="12"/>
  <c r="EJ265" i="12"/>
  <c r="EJ322" i="12"/>
  <c r="L290" i="12"/>
  <c r="L178" i="12"/>
  <c r="L305" i="12"/>
  <c r="L214" i="12"/>
  <c r="L243" i="12"/>
  <c r="L308" i="12"/>
  <c r="L296" i="12"/>
  <c r="L275" i="12"/>
  <c r="L183" i="12"/>
  <c r="L265" i="12"/>
  <c r="L326" i="12"/>
  <c r="L221" i="12"/>
  <c r="DJ319" i="12"/>
  <c r="DJ186" i="12"/>
  <c r="DJ235" i="12"/>
  <c r="DJ252" i="12"/>
  <c r="DJ184" i="12"/>
  <c r="DJ253" i="12"/>
  <c r="DJ329" i="12"/>
  <c r="DJ265" i="12"/>
  <c r="DJ238" i="12"/>
  <c r="DJ330" i="12"/>
  <c r="DJ317" i="12"/>
  <c r="DJ291" i="12"/>
  <c r="BI193" i="12"/>
  <c r="BI329" i="12"/>
  <c r="EN193" i="12"/>
  <c r="EN237" i="12"/>
  <c r="DN308" i="12"/>
  <c r="DN217" i="12"/>
  <c r="DN222" i="12"/>
  <c r="EY277" i="12"/>
  <c r="EY203" i="12"/>
  <c r="DT215" i="12"/>
  <c r="DT324" i="12"/>
  <c r="DT305" i="12"/>
  <c r="BH271" i="12"/>
  <c r="BH266" i="12"/>
  <c r="BH184" i="12"/>
  <c r="BH275" i="12"/>
  <c r="BH237" i="12"/>
  <c r="BH312" i="12"/>
  <c r="BH306" i="12"/>
  <c r="G276" i="12"/>
  <c r="G242" i="12"/>
  <c r="G311" i="12"/>
  <c r="G268" i="12"/>
  <c r="G281" i="12"/>
  <c r="G285" i="12"/>
  <c r="G260" i="12"/>
  <c r="G263" i="12"/>
  <c r="EF288" i="12"/>
  <c r="DI232" i="12"/>
  <c r="M266" i="12"/>
  <c r="AU240" i="12"/>
  <c r="AU285" i="12"/>
  <c r="AU309" i="12"/>
  <c r="AU297" i="12"/>
  <c r="DI226" i="12"/>
  <c r="DI250" i="12"/>
  <c r="M218" i="12"/>
  <c r="M250" i="12"/>
  <c r="AU265" i="12"/>
  <c r="CU209" i="12"/>
  <c r="M238" i="12"/>
  <c r="AE224" i="12"/>
  <c r="AE301" i="12"/>
  <c r="AE194" i="12"/>
  <c r="AE269" i="12"/>
  <c r="AE297" i="12"/>
  <c r="AE251" i="12"/>
  <c r="AE296" i="12"/>
  <c r="AE326" i="12"/>
  <c r="AE220" i="12"/>
  <c r="AE238" i="12"/>
  <c r="AE179" i="12"/>
  <c r="AE264" i="12"/>
  <c r="AE262" i="12"/>
  <c r="AE273" i="12"/>
  <c r="AE227" i="12"/>
  <c r="AE271" i="12"/>
  <c r="AE245" i="12"/>
  <c r="AE176" i="12"/>
  <c r="AE276" i="12"/>
  <c r="AE222" i="12"/>
  <c r="AE263" i="12"/>
  <c r="AE193" i="12"/>
  <c r="AE258" i="12"/>
  <c r="AE180" i="12"/>
  <c r="AE285" i="12"/>
  <c r="AE185" i="12"/>
  <c r="AE279" i="12"/>
  <c r="AE338" i="12"/>
  <c r="AE331" i="12" s="1"/>
  <c r="AE239" i="12"/>
  <c r="AE318" i="12"/>
  <c r="AE323" i="12"/>
  <c r="AE189" i="12"/>
  <c r="AE290" i="12"/>
  <c r="AE192" i="12"/>
  <c r="AE293" i="12"/>
  <c r="AE268" i="12"/>
  <c r="AE283" i="12"/>
  <c r="AE199" i="12"/>
  <c r="AE314" i="12"/>
  <c r="AE310" i="12"/>
  <c r="AE205" i="12"/>
  <c r="AE235" i="12"/>
  <c r="AE274" i="12"/>
  <c r="AE265" i="12"/>
  <c r="AE214" i="12"/>
  <c r="AE300" i="12"/>
  <c r="AE240" i="12"/>
  <c r="AE287" i="12"/>
  <c r="AE182" i="12"/>
  <c r="AE226" i="12"/>
  <c r="AE249" i="12"/>
  <c r="AE178" i="12"/>
  <c r="AE311" i="12"/>
  <c r="AE289" i="12"/>
  <c r="AE218" i="12"/>
  <c r="AE320" i="12"/>
  <c r="AE275" i="12"/>
  <c r="AE281" i="12"/>
  <c r="AE308" i="12"/>
  <c r="AE231" i="12"/>
  <c r="AE213" i="12"/>
  <c r="AE307" i="12"/>
  <c r="AE250" i="12"/>
  <c r="AE317" i="12"/>
  <c r="AE252" i="12"/>
  <c r="AE171" i="12"/>
  <c r="AE228" i="12"/>
  <c r="AE309" i="12"/>
  <c r="AE242" i="12"/>
  <c r="AE195" i="12"/>
  <c r="AE312" i="12"/>
  <c r="AE319" i="12"/>
  <c r="AE221" i="12"/>
  <c r="AE272" i="12"/>
  <c r="AE216" i="12"/>
  <c r="AE225" i="12"/>
  <c r="BK231" i="12"/>
  <c r="BK225" i="12"/>
  <c r="BK300" i="12"/>
  <c r="BK219" i="12"/>
  <c r="BK285" i="12"/>
  <c r="BK319" i="12"/>
  <c r="BK183" i="12"/>
  <c r="BK198" i="12"/>
  <c r="BK224" i="12"/>
  <c r="BK247" i="12"/>
  <c r="BK251" i="12"/>
  <c r="BK237" i="12"/>
  <c r="BK184" i="12"/>
  <c r="BK185" i="12"/>
  <c r="BK268" i="12"/>
  <c r="BK286" i="12"/>
  <c r="BK204" i="12"/>
  <c r="BK227" i="12"/>
  <c r="BK317" i="12"/>
  <c r="BK293" i="12"/>
  <c r="BK312" i="12"/>
  <c r="BK322" i="12"/>
  <c r="BK202" i="12"/>
  <c r="BK291" i="12"/>
  <c r="BK306" i="12"/>
  <c r="BK229" i="12"/>
  <c r="BK189" i="12"/>
  <c r="BK261" i="12"/>
  <c r="BK311" i="12"/>
  <c r="BK169" i="12"/>
  <c r="CQ329" i="12"/>
  <c r="CQ217" i="12"/>
  <c r="CQ199" i="12"/>
  <c r="CQ236" i="12"/>
  <c r="CQ266" i="12"/>
  <c r="CQ306" i="12"/>
  <c r="CQ211" i="12"/>
  <c r="CQ292" i="12"/>
  <c r="CQ255" i="12"/>
  <c r="CQ190" i="12"/>
  <c r="CQ265" i="12"/>
  <c r="CQ298" i="12"/>
  <c r="CQ207" i="12"/>
  <c r="CQ268" i="12"/>
  <c r="CQ283" i="12"/>
  <c r="CQ269" i="12"/>
  <c r="CQ202" i="12"/>
  <c r="CQ227" i="12"/>
  <c r="CQ324" i="12"/>
  <c r="CQ205" i="12"/>
  <c r="CQ250" i="12"/>
  <c r="CQ183" i="12"/>
  <c r="CQ325" i="12"/>
  <c r="CQ238" i="12"/>
  <c r="CQ315" i="12"/>
  <c r="CQ301" i="12"/>
  <c r="CQ196" i="12"/>
  <c r="CQ223" i="12"/>
  <c r="CQ272" i="12"/>
  <c r="CQ299" i="12"/>
  <c r="DW251" i="12"/>
  <c r="DW235" i="12"/>
  <c r="DW223" i="12"/>
  <c r="DW233" i="12"/>
  <c r="DW219" i="12"/>
  <c r="DW330" i="12"/>
  <c r="DW285" i="12"/>
  <c r="DW264" i="12"/>
  <c r="DW199" i="12"/>
  <c r="DW186" i="12"/>
  <c r="DW323" i="12"/>
  <c r="DW232" i="12"/>
  <c r="DW205" i="12"/>
  <c r="DW249" i="12"/>
  <c r="DW309" i="12"/>
  <c r="DW297" i="12"/>
  <c r="DW275" i="12"/>
  <c r="DW304" i="12"/>
  <c r="DW296" i="12"/>
  <c r="DW276" i="12"/>
  <c r="DW188" i="12"/>
  <c r="DW281" i="12"/>
  <c r="DW176" i="12"/>
  <c r="DW292" i="12"/>
  <c r="DW185" i="12"/>
  <c r="DW278" i="12"/>
  <c r="DW207" i="12"/>
  <c r="DW189" i="12"/>
  <c r="DW263" i="12"/>
  <c r="DW231" i="12"/>
  <c r="U185" i="12"/>
  <c r="U257" i="12"/>
  <c r="U267" i="12"/>
  <c r="U288" i="12"/>
  <c r="U220" i="12"/>
  <c r="U217" i="12"/>
  <c r="U176" i="12"/>
  <c r="U292" i="12"/>
  <c r="C56" i="3"/>
  <c r="U229" i="12"/>
  <c r="U258" i="12"/>
  <c r="U237" i="12"/>
  <c r="U207" i="12"/>
  <c r="U240" i="12"/>
  <c r="U329" i="12"/>
  <c r="U212" i="12"/>
  <c r="U300" i="12"/>
  <c r="U298" i="12"/>
  <c r="U179" i="12"/>
  <c r="U191" i="12"/>
  <c r="U313" i="12"/>
  <c r="U250" i="12"/>
  <c r="U307" i="12"/>
  <c r="U297" i="12"/>
  <c r="U280" i="12"/>
  <c r="U253" i="12"/>
  <c r="U195" i="12"/>
  <c r="U199" i="12"/>
  <c r="U338" i="12"/>
  <c r="U331" i="12" s="1"/>
  <c r="U202" i="12"/>
  <c r="U249" i="12"/>
  <c r="U209" i="12"/>
  <c r="U277" i="12"/>
  <c r="U235" i="12"/>
  <c r="U273" i="12"/>
  <c r="U221" i="12"/>
  <c r="U215" i="12"/>
  <c r="U225" i="12"/>
  <c r="U271" i="12"/>
  <c r="U321" i="12"/>
  <c r="U196" i="12"/>
  <c r="U241" i="12"/>
  <c r="U254" i="12"/>
  <c r="U245" i="12"/>
  <c r="U317" i="12"/>
  <c r="U269" i="12"/>
  <c r="U210" i="12"/>
  <c r="U263" i="12"/>
  <c r="U281" i="12"/>
  <c r="U299" i="12"/>
  <c r="U226" i="12"/>
  <c r="U309" i="12"/>
  <c r="U198" i="12"/>
  <c r="U186" i="12"/>
  <c r="U325" i="12"/>
  <c r="U274" i="12"/>
  <c r="U314" i="12"/>
  <c r="U327" i="12"/>
  <c r="U311" i="12"/>
  <c r="U232" i="12"/>
  <c r="U265" i="12"/>
  <c r="U282" i="12"/>
  <c r="U200" i="12"/>
  <c r="U275" i="12"/>
  <c r="U296" i="12"/>
  <c r="U181" i="12"/>
  <c r="U189" i="12"/>
  <c r="U192" i="12"/>
  <c r="U201" i="12"/>
  <c r="U238" i="12"/>
  <c r="U302" i="12"/>
  <c r="U266" i="12"/>
  <c r="U276" i="12"/>
  <c r="U184" i="12"/>
  <c r="U320" i="12"/>
  <c r="U208" i="12"/>
  <c r="BA324" i="12"/>
  <c r="BA279" i="12"/>
  <c r="BA289" i="12"/>
  <c r="BA303" i="12"/>
  <c r="BA228" i="12"/>
  <c r="BA291" i="12"/>
  <c r="BA263" i="12"/>
  <c r="BA259" i="12"/>
  <c r="BA196" i="12"/>
  <c r="BA282" i="12"/>
  <c r="BA314" i="12"/>
  <c r="BA194" i="12"/>
  <c r="BA271" i="12"/>
  <c r="BA208" i="12"/>
  <c r="BA176" i="12"/>
  <c r="BA244" i="12"/>
  <c r="BA272" i="12"/>
  <c r="BA294" i="12"/>
  <c r="BA221" i="12"/>
  <c r="BA237" i="12"/>
  <c r="BA212" i="12"/>
  <c r="BA266" i="12"/>
  <c r="BA277" i="12"/>
  <c r="BA203" i="12"/>
  <c r="BA275" i="12"/>
  <c r="BA210" i="12"/>
  <c r="BA292" i="12"/>
  <c r="BA268" i="12"/>
  <c r="BA178" i="12"/>
  <c r="CC314" i="12"/>
  <c r="CC330" i="12"/>
  <c r="CC204" i="12"/>
  <c r="CC313" i="12"/>
  <c r="CC325" i="12"/>
  <c r="CC205" i="12"/>
  <c r="CC248" i="12"/>
  <c r="CC280" i="12"/>
  <c r="CC199" i="12"/>
  <c r="CC232" i="12"/>
  <c r="CC338" i="12"/>
  <c r="CC331" i="12" s="1"/>
  <c r="CC257" i="12"/>
  <c r="CC177" i="12"/>
  <c r="CC219" i="12"/>
  <c r="CC250" i="12"/>
  <c r="EO310" i="12"/>
  <c r="EO169" i="12"/>
  <c r="EO302" i="12"/>
  <c r="EO230" i="12"/>
  <c r="EO239" i="12"/>
  <c r="EO201" i="12"/>
  <c r="EO267" i="12"/>
  <c r="EO211" i="12"/>
  <c r="EO330" i="12"/>
  <c r="EO254" i="12"/>
  <c r="EO176" i="12"/>
  <c r="EO186" i="12"/>
  <c r="EO296" i="12"/>
  <c r="EO193" i="12"/>
  <c r="EO301" i="12"/>
  <c r="EO252" i="12"/>
  <c r="EO205" i="12"/>
  <c r="EO237" i="12"/>
  <c r="EO245" i="12"/>
  <c r="EO184" i="12"/>
  <c r="EO215" i="12"/>
  <c r="EO273" i="12"/>
  <c r="EO279" i="12"/>
  <c r="EO191" i="12"/>
  <c r="EO311" i="12"/>
  <c r="EO305" i="12"/>
  <c r="EO295" i="12"/>
  <c r="EO269" i="12"/>
  <c r="EO275" i="12"/>
  <c r="EO271" i="12"/>
  <c r="EK183" i="12"/>
  <c r="EK200" i="12"/>
  <c r="EK305" i="12"/>
  <c r="EK198" i="12"/>
  <c r="EK321" i="12"/>
  <c r="EK317" i="12"/>
  <c r="EK322" i="12"/>
  <c r="EK240" i="12"/>
  <c r="EK197" i="12"/>
  <c r="EK258" i="12"/>
  <c r="EK280" i="12"/>
  <c r="EK178" i="12"/>
  <c r="EK237" i="12"/>
  <c r="EV301" i="12"/>
  <c r="EV213" i="12"/>
  <c r="EV230" i="12"/>
  <c r="EV323" i="12"/>
  <c r="EV195" i="12"/>
  <c r="EV205" i="12"/>
  <c r="EV229" i="12"/>
  <c r="EV194" i="12"/>
  <c r="EV204" i="12"/>
  <c r="EV326" i="12"/>
  <c r="EV293" i="12"/>
  <c r="EV284" i="12"/>
  <c r="EV268" i="12"/>
  <c r="EV259" i="12"/>
  <c r="EV192" i="12"/>
  <c r="EV227" i="12"/>
  <c r="EV288" i="12"/>
  <c r="EV238" i="12"/>
  <c r="EV237" i="12"/>
  <c r="EV184" i="12"/>
  <c r="EV315" i="12"/>
  <c r="EV234" i="12"/>
  <c r="EV289" i="12"/>
  <c r="EV304" i="12"/>
  <c r="EV328" i="12"/>
  <c r="EV236" i="12"/>
  <c r="EV248" i="12"/>
  <c r="EV316" i="12"/>
  <c r="EV198" i="12"/>
  <c r="EV255" i="12"/>
  <c r="EV285" i="12"/>
  <c r="EV266" i="12"/>
  <c r="EV303" i="12"/>
  <c r="EV250" i="12"/>
  <c r="EV279" i="12"/>
  <c r="EV329" i="12"/>
  <c r="EV310" i="12"/>
  <c r="EV200" i="12"/>
  <c r="EV201" i="12"/>
  <c r="EV254" i="12"/>
  <c r="EV221" i="12"/>
  <c r="EV212" i="12"/>
  <c r="EV286" i="12"/>
  <c r="EV263" i="12"/>
  <c r="EV307" i="12"/>
  <c r="EV191" i="12"/>
  <c r="EV217" i="12"/>
  <c r="EV242" i="12"/>
  <c r="EV276" i="12"/>
  <c r="EV188" i="12"/>
  <c r="EV295" i="12"/>
  <c r="EV207" i="12"/>
  <c r="EV283" i="12"/>
  <c r="EV281" i="12"/>
  <c r="EV180" i="12"/>
  <c r="EV186" i="12"/>
  <c r="EV225" i="12"/>
  <c r="EV309" i="12"/>
  <c r="EV300" i="12"/>
  <c r="EV245" i="12"/>
  <c r="EV209" i="12"/>
  <c r="EV308" i="12"/>
  <c r="EV271" i="12"/>
  <c r="EV322" i="12"/>
  <c r="EV325" i="12"/>
  <c r="EV265" i="12"/>
  <c r="EV197" i="12"/>
  <c r="EV218" i="12"/>
  <c r="EV208" i="12"/>
  <c r="EV280" i="12"/>
  <c r="EV178" i="12"/>
  <c r="DP288" i="12"/>
  <c r="DP217" i="12"/>
  <c r="DP268" i="12"/>
  <c r="CJ182" i="12"/>
  <c r="CJ288" i="12"/>
  <c r="CJ200" i="12"/>
  <c r="CJ262" i="12"/>
  <c r="CJ283" i="12"/>
  <c r="CJ243" i="12"/>
  <c r="CJ290" i="12"/>
  <c r="CJ227" i="12"/>
  <c r="CJ192" i="12"/>
  <c r="CJ287" i="12"/>
  <c r="CJ259" i="12"/>
  <c r="CJ202" i="12"/>
  <c r="CJ226" i="12"/>
  <c r="CJ267" i="12"/>
  <c r="CJ201" i="12"/>
  <c r="E96" i="3"/>
  <c r="CJ310" i="12"/>
  <c r="CJ217" i="12"/>
  <c r="CJ253" i="12"/>
  <c r="CJ247" i="12"/>
  <c r="CJ183" i="12"/>
  <c r="CJ256" i="12"/>
  <c r="CJ208" i="12"/>
  <c r="CJ279" i="12"/>
  <c r="CJ236" i="12"/>
  <c r="CJ292" i="12"/>
  <c r="CJ254" i="12"/>
  <c r="CJ181" i="12"/>
  <c r="CJ266" i="12"/>
  <c r="CJ215" i="12"/>
  <c r="CJ291" i="12"/>
  <c r="CJ241" i="12"/>
  <c r="CJ252" i="12"/>
  <c r="CJ297" i="12"/>
  <c r="CJ204" i="12"/>
  <c r="CJ280" i="12"/>
  <c r="CJ246" i="12"/>
  <c r="CJ178" i="12"/>
  <c r="CJ245" i="12"/>
  <c r="CJ207" i="12"/>
  <c r="CJ275" i="12"/>
  <c r="CJ233" i="12"/>
  <c r="CJ284" i="12"/>
  <c r="CJ281" i="12"/>
  <c r="CJ194" i="12"/>
  <c r="CJ326" i="12"/>
  <c r="CJ212" i="12"/>
  <c r="CJ296" i="12"/>
  <c r="CJ248" i="12"/>
  <c r="CJ184" i="12"/>
  <c r="CJ270" i="12"/>
  <c r="CJ218" i="12"/>
  <c r="CJ295" i="12"/>
  <c r="CJ220" i="12"/>
  <c r="CJ176" i="12"/>
  <c r="CJ299" i="12"/>
  <c r="CJ272" i="12"/>
  <c r="CJ188" i="12"/>
  <c r="CJ209" i="12"/>
  <c r="CJ251" i="12"/>
  <c r="CJ317" i="12"/>
  <c r="CJ330" i="12"/>
  <c r="CJ312" i="12"/>
  <c r="CJ185" i="12"/>
  <c r="CJ228" i="12"/>
  <c r="BD263" i="12"/>
  <c r="BD290" i="12"/>
  <c r="BD277" i="12"/>
  <c r="BD216" i="12"/>
  <c r="BD183" i="12"/>
  <c r="BD319" i="12"/>
  <c r="BD270" i="12"/>
  <c r="BD281" i="12"/>
  <c r="BD201" i="12"/>
  <c r="BD289" i="12"/>
  <c r="BD194" i="12"/>
  <c r="BD298" i="12"/>
  <c r="BD264" i="12"/>
  <c r="BD308" i="12"/>
  <c r="BD238" i="12"/>
  <c r="BD316" i="12"/>
  <c r="BD315" i="12"/>
  <c r="BD258" i="12"/>
  <c r="BD300" i="12"/>
  <c r="BD303" i="12"/>
  <c r="BD206" i="12"/>
  <c r="BD283" i="12"/>
  <c r="BD253" i="12"/>
  <c r="BD257" i="12"/>
  <c r="BD293" i="12"/>
  <c r="BD272" i="12"/>
  <c r="BD247" i="12"/>
  <c r="BD180" i="12"/>
  <c r="BD222" i="12"/>
  <c r="E24" i="3"/>
  <c r="BD276" i="12"/>
  <c r="BD234" i="12"/>
  <c r="BD259" i="12"/>
  <c r="BD221" i="12"/>
  <c r="BD179" i="12"/>
  <c r="BD261" i="12"/>
  <c r="BD218" i="12"/>
  <c r="BD271" i="12"/>
  <c r="BD278" i="12"/>
  <c r="BD307" i="12"/>
  <c r="BD314" i="12"/>
  <c r="BD288" i="12"/>
  <c r="BD327" i="12"/>
  <c r="BD205" i="12"/>
  <c r="BD292" i="12"/>
  <c r="BD306" i="12"/>
  <c r="BD301" i="12"/>
  <c r="BD231" i="12"/>
  <c r="BD177" i="12"/>
  <c r="BD223" i="12"/>
  <c r="BD198" i="12"/>
  <c r="BD313" i="12"/>
  <c r="BD318" i="12"/>
  <c r="BD296" i="12"/>
  <c r="BD213" i="12"/>
  <c r="BD203" i="12"/>
  <c r="BD325" i="12"/>
  <c r="BD246" i="12"/>
  <c r="BD251" i="12"/>
  <c r="BD217" i="12"/>
  <c r="BD178" i="12"/>
  <c r="BD225" i="12"/>
  <c r="BD207" i="12"/>
  <c r="BD237" i="12"/>
  <c r="BD195" i="12"/>
  <c r="BD239" i="12"/>
  <c r="BD273" i="12"/>
  <c r="BD185" i="12"/>
  <c r="BD338" i="12"/>
  <c r="BD331" i="12" s="1"/>
  <c r="X183" i="12"/>
  <c r="X180" i="12"/>
  <c r="X205" i="12"/>
  <c r="X191" i="12"/>
  <c r="X321" i="12"/>
  <c r="X313" i="12"/>
  <c r="X263" i="12"/>
  <c r="X325" i="12"/>
  <c r="X217" i="12"/>
  <c r="X287" i="12"/>
  <c r="X215" i="12"/>
  <c r="X248" i="12"/>
  <c r="X265" i="12"/>
  <c r="X257" i="12"/>
  <c r="X307" i="12"/>
  <c r="X270" i="12"/>
  <c r="X326" i="12"/>
  <c r="X194" i="12"/>
  <c r="X297" i="12"/>
  <c r="X171" i="12"/>
  <c r="M31" i="3" s="1"/>
  <c r="J6" i="14" s="1"/>
  <c r="X201" i="12"/>
  <c r="X177" i="12"/>
  <c r="X185" i="12"/>
  <c r="X214" i="12"/>
  <c r="X251" i="12"/>
  <c r="X197" i="12"/>
  <c r="X283" i="12"/>
  <c r="X288" i="12"/>
  <c r="X301" i="12"/>
  <c r="X227" i="12"/>
  <c r="X266" i="12"/>
  <c r="C31" i="3"/>
  <c r="X286" i="12"/>
  <c r="X279" i="12"/>
  <c r="X330" i="12"/>
  <c r="X200" i="12"/>
  <c r="X314" i="12"/>
  <c r="X188" i="12"/>
  <c r="X204" i="12"/>
  <c r="X260" i="12"/>
  <c r="X259" i="12"/>
  <c r="X234" i="12"/>
  <c r="X327" i="12"/>
  <c r="X225" i="12"/>
  <c r="X264" i="12"/>
  <c r="X261" i="12"/>
  <c r="X254" i="12"/>
  <c r="X255" i="12"/>
  <c r="X220" i="12"/>
  <c r="X210" i="12"/>
  <c r="X246" i="12"/>
  <c r="X244" i="12"/>
  <c r="X247" i="12"/>
  <c r="X245" i="12"/>
  <c r="X315" i="12"/>
  <c r="X294" i="12"/>
  <c r="X290" i="12"/>
  <c r="X181" i="12"/>
  <c r="X302" i="12"/>
  <c r="X291" i="12"/>
  <c r="X268" i="12"/>
  <c r="X280" i="12"/>
  <c r="X304" i="12"/>
  <c r="X249" i="12"/>
  <c r="X235" i="12"/>
  <c r="X298" i="12"/>
  <c r="X192" i="12"/>
  <c r="X272" i="12"/>
  <c r="X253" i="12"/>
  <c r="X176" i="12"/>
  <c r="X198" i="12"/>
  <c r="FB234" i="12"/>
  <c r="FB298" i="12"/>
  <c r="FB295" i="12"/>
  <c r="FB284" i="12"/>
  <c r="FB183" i="12"/>
  <c r="FB264" i="12"/>
  <c r="FB244" i="12"/>
  <c r="FB181" i="12"/>
  <c r="FB261" i="12"/>
  <c r="FB225" i="12"/>
  <c r="FB208" i="12"/>
  <c r="FB259" i="12"/>
  <c r="FB309" i="12"/>
  <c r="FB280" i="12"/>
  <c r="FB277" i="12"/>
  <c r="FB212" i="12"/>
  <c r="FB329" i="12"/>
  <c r="FB266" i="12"/>
  <c r="FB199" i="12"/>
  <c r="FB300" i="12"/>
  <c r="FB281" i="12"/>
  <c r="FB206" i="12"/>
  <c r="FB286" i="12"/>
  <c r="K97" i="3"/>
  <c r="FB236" i="12"/>
  <c r="FB289" i="12"/>
  <c r="FB291" i="12"/>
  <c r="FB296" i="12"/>
  <c r="FB169" i="12"/>
  <c r="FB205" i="12"/>
  <c r="FB239" i="12"/>
  <c r="FB276" i="12"/>
  <c r="FB324" i="12"/>
  <c r="FB274" i="12"/>
  <c r="FB283" i="12"/>
  <c r="FB194" i="12"/>
  <c r="FB210" i="12"/>
  <c r="FB249" i="12"/>
  <c r="FB303" i="12"/>
  <c r="FB275" i="12"/>
  <c r="FB180" i="12"/>
  <c r="FB222" i="12"/>
  <c r="FB215" i="12"/>
  <c r="FB318" i="12"/>
  <c r="FB326" i="12"/>
  <c r="FB293" i="12"/>
  <c r="FB232" i="12"/>
  <c r="FB338" i="12"/>
  <c r="FB331" i="12" s="1"/>
  <c r="FB185" i="12"/>
  <c r="FB219" i="12"/>
  <c r="FB267" i="12"/>
  <c r="FB191" i="12"/>
  <c r="FB305" i="12"/>
  <c r="FB220" i="12"/>
  <c r="FB233" i="12"/>
  <c r="FB279" i="12"/>
  <c r="FB196" i="12"/>
  <c r="FB238" i="12"/>
  <c r="FB254" i="12"/>
  <c r="FB178" i="12"/>
  <c r="FB237" i="12"/>
  <c r="FB268" i="12"/>
  <c r="DV288" i="12"/>
  <c r="DV287" i="12"/>
  <c r="DV225" i="12"/>
  <c r="DV243" i="12"/>
  <c r="DV229" i="12"/>
  <c r="DV224" i="12"/>
  <c r="DV318" i="12"/>
  <c r="DV313" i="12"/>
  <c r="DV169" i="12"/>
  <c r="DV310" i="12"/>
  <c r="DV212" i="12"/>
  <c r="DV273" i="12"/>
  <c r="DV177" i="12"/>
  <c r="DV278" i="12"/>
  <c r="DV254" i="12"/>
  <c r="DV205" i="12"/>
  <c r="DV198" i="12"/>
  <c r="DV301" i="12"/>
  <c r="DV261" i="12"/>
  <c r="DV277" i="12"/>
  <c r="DV282" i="12"/>
  <c r="DV223" i="12"/>
  <c r="DV317" i="12"/>
  <c r="DV208" i="12"/>
  <c r="DV255" i="12"/>
  <c r="DV326" i="12"/>
  <c r="DV262" i="12"/>
  <c r="DV178" i="12"/>
  <c r="DV211" i="12"/>
  <c r="DV222" i="12"/>
  <c r="DV322" i="12"/>
  <c r="DV297" i="12"/>
  <c r="DV171" i="12"/>
  <c r="P64" i="3" s="1"/>
  <c r="M24" i="14" s="1"/>
  <c r="DV289" i="12"/>
  <c r="DV260" i="12"/>
  <c r="DV226" i="12"/>
  <c r="DV271" i="12"/>
  <c r="DV328" i="12"/>
  <c r="DV296" i="12"/>
  <c r="DV232" i="12"/>
  <c r="DV263" i="12"/>
  <c r="DV219" i="12"/>
  <c r="DV321" i="12"/>
  <c r="DV242" i="12"/>
  <c r="DV250" i="12"/>
  <c r="DV213" i="12"/>
  <c r="DV214" i="12"/>
  <c r="DV315" i="12"/>
  <c r="DV190" i="12"/>
  <c r="DV236" i="12"/>
  <c r="DV197" i="12"/>
  <c r="DV306" i="12"/>
  <c r="DV308" i="12"/>
  <c r="DV312" i="12"/>
  <c r="DV293" i="12"/>
  <c r="DV233" i="12"/>
  <c r="DV305" i="12"/>
  <c r="DV247" i="12"/>
  <c r="DV200" i="12"/>
  <c r="DV179" i="12"/>
  <c r="DV182" i="12"/>
  <c r="CP189" i="12"/>
  <c r="CP218" i="12"/>
  <c r="CP323" i="12"/>
  <c r="CP186" i="12"/>
  <c r="CP322" i="12"/>
  <c r="CP293" i="12"/>
  <c r="CP250" i="12"/>
  <c r="CP274" i="12"/>
  <c r="CP247" i="12"/>
  <c r="CP282" i="12"/>
  <c r="CP248" i="12"/>
  <c r="CP295" i="12"/>
  <c r="CP284" i="12"/>
  <c r="CP225" i="12"/>
  <c r="CP176" i="12"/>
  <c r="CP308" i="12"/>
  <c r="CP285" i="12"/>
  <c r="CP198" i="12"/>
  <c r="CP242" i="12"/>
  <c r="CP261" i="12"/>
  <c r="CP316" i="12"/>
  <c r="CP237" i="12"/>
  <c r="CP180" i="12"/>
  <c r="CP230" i="12"/>
  <c r="CP300" i="12"/>
  <c r="CP279" i="12"/>
  <c r="CP224" i="12"/>
  <c r="CP259" i="12"/>
  <c r="CP220" i="12"/>
  <c r="CP307" i="12"/>
  <c r="CP302" i="12"/>
  <c r="CP217" i="12"/>
  <c r="CP289" i="12"/>
  <c r="CP200" i="12"/>
  <c r="CP299" i="12"/>
  <c r="CP294" i="12"/>
  <c r="CP221" i="12"/>
  <c r="CP297" i="12"/>
  <c r="CP203" i="12"/>
  <c r="CP251" i="12"/>
  <c r="CP325" i="12"/>
  <c r="CP183" i="12"/>
  <c r="CP244" i="12"/>
  <c r="CP184" i="12"/>
  <c r="CP256" i="12"/>
  <c r="CP269" i="12"/>
  <c r="CP192" i="12"/>
  <c r="CP234" i="12"/>
  <c r="CP312" i="12"/>
  <c r="CP271" i="12"/>
  <c r="CP231" i="12"/>
  <c r="CP321" i="12"/>
  <c r="CP199" i="12"/>
  <c r="CP324" i="12"/>
  <c r="CP233" i="12"/>
  <c r="CP226" i="12"/>
  <c r="CP287" i="12"/>
  <c r="CP255" i="12"/>
  <c r="CP283" i="12"/>
  <c r="CP213" i="12"/>
  <c r="CP195" i="12"/>
  <c r="CP309" i="12"/>
  <c r="CP236" i="12"/>
  <c r="CP280" i="12"/>
  <c r="CP197" i="12"/>
  <c r="CP178" i="12"/>
  <c r="CP253" i="12"/>
  <c r="CP215" i="12"/>
  <c r="CP311" i="12"/>
  <c r="CP290" i="12"/>
  <c r="CP268" i="12"/>
  <c r="CP210" i="12"/>
  <c r="CP179" i="12"/>
  <c r="BJ249" i="12"/>
  <c r="BJ216" i="12"/>
  <c r="BJ251" i="12"/>
  <c r="BJ282" i="12"/>
  <c r="BJ272" i="12"/>
  <c r="BJ274" i="12"/>
  <c r="BJ202" i="12"/>
  <c r="BJ295" i="12"/>
  <c r="BJ190" i="12"/>
  <c r="BJ287" i="12"/>
  <c r="BJ236" i="12"/>
  <c r="BJ312" i="12"/>
  <c r="BJ203" i="12"/>
  <c r="BJ314" i="12"/>
  <c r="BJ228" i="12"/>
  <c r="BJ201" i="12"/>
  <c r="BJ247" i="12"/>
  <c r="BJ240" i="12"/>
  <c r="BJ177" i="12"/>
  <c r="BJ217" i="12"/>
  <c r="BJ330" i="12"/>
  <c r="BJ329" i="12"/>
  <c r="BJ254" i="12"/>
  <c r="BJ292" i="12"/>
  <c r="BJ305" i="12"/>
  <c r="BJ226" i="12"/>
  <c r="BJ211" i="12"/>
  <c r="BJ169" i="12"/>
  <c r="BJ252" i="12"/>
  <c r="BJ205" i="12"/>
  <c r="BJ219" i="12"/>
  <c r="BJ248" i="12"/>
  <c r="BJ225" i="12"/>
  <c r="BJ289" i="12"/>
  <c r="BJ290" i="12"/>
  <c r="BJ178" i="12"/>
  <c r="BJ303" i="12"/>
  <c r="BJ220" i="12"/>
  <c r="BJ308" i="12"/>
  <c r="BJ250" i="12"/>
  <c r="BJ237" i="12"/>
  <c r="BJ263" i="12"/>
  <c r="BJ194" i="12"/>
  <c r="BJ268" i="12"/>
  <c r="BJ209" i="12"/>
  <c r="BJ325" i="12"/>
  <c r="BJ326" i="12"/>
  <c r="BJ179" i="12"/>
  <c r="BJ323" i="12"/>
  <c r="BJ213" i="12"/>
  <c r="BJ273" i="12"/>
  <c r="BJ286" i="12"/>
  <c r="BJ180" i="12"/>
  <c r="BJ283" i="12"/>
  <c r="BJ192" i="12"/>
  <c r="BJ271" i="12"/>
  <c r="BJ197" i="12"/>
  <c r="BJ276" i="12"/>
  <c r="BJ214" i="12"/>
  <c r="BJ265" i="12"/>
  <c r="BJ232" i="12"/>
  <c r="BJ193" i="12"/>
  <c r="BJ267" i="12"/>
  <c r="BJ196" i="12"/>
  <c r="BJ288" i="12"/>
  <c r="BJ215" i="12"/>
  <c r="BJ324" i="12"/>
  <c r="BJ266" i="12"/>
  <c r="E52" i="13"/>
  <c r="E54" i="13" s="1"/>
  <c r="BJ338" i="12"/>
  <c r="BJ331" i="12" s="1"/>
  <c r="AD294" i="12"/>
  <c r="AD296" i="12"/>
  <c r="AD252" i="12"/>
  <c r="AD239" i="12"/>
  <c r="AD178" i="12"/>
  <c r="AD268" i="12"/>
  <c r="AD279" i="12"/>
  <c r="AD304" i="12"/>
  <c r="AD282" i="12"/>
  <c r="AD180" i="12"/>
  <c r="AD318" i="12"/>
  <c r="AD243" i="12"/>
  <c r="AD265" i="12"/>
  <c r="AD234" i="12"/>
  <c r="AD245" i="12"/>
  <c r="AD223" i="12"/>
  <c r="AD192" i="12"/>
  <c r="AD225" i="12"/>
  <c r="AD235" i="12"/>
  <c r="AD187" i="12"/>
  <c r="AD280" i="12"/>
  <c r="AD186" i="12"/>
  <c r="AD269" i="12"/>
  <c r="AD209" i="12"/>
  <c r="C49" i="3"/>
  <c r="AD270" i="12"/>
  <c r="AD231" i="12"/>
  <c r="AD267" i="12"/>
  <c r="AD248" i="12"/>
  <c r="AD289" i="12"/>
  <c r="AD325" i="12"/>
  <c r="AD210" i="12"/>
  <c r="AD310" i="12"/>
  <c r="AD255" i="12"/>
  <c r="AD320" i="12"/>
  <c r="AD292" i="12"/>
  <c r="AD184" i="12"/>
  <c r="AD262" i="12"/>
  <c r="AD207" i="12"/>
  <c r="AD291" i="12"/>
  <c r="AD328" i="12"/>
  <c r="AD300" i="12"/>
  <c r="C49" i="13"/>
  <c r="AD258" i="12"/>
  <c r="AD212" i="12"/>
  <c r="AD190" i="12"/>
  <c r="AD324" i="12"/>
  <c r="AD290" i="12"/>
  <c r="AD283" i="12"/>
  <c r="AD244" i="12"/>
  <c r="AD256" i="12"/>
  <c r="AD221" i="12"/>
  <c r="AD266" i="12"/>
  <c r="AD311" i="12"/>
  <c r="AD276" i="12"/>
  <c r="AD302" i="12"/>
  <c r="AD272" i="12"/>
  <c r="AD285" i="12"/>
  <c r="AD306" i="12"/>
  <c r="AD185" i="12"/>
  <c r="AD250" i="12"/>
  <c r="AD229" i="12"/>
  <c r="AD275" i="12"/>
  <c r="AD278" i="12"/>
  <c r="AD316" i="12"/>
  <c r="AD232" i="12"/>
  <c r="AD228" i="12"/>
  <c r="AD197" i="12"/>
  <c r="AD177" i="12"/>
  <c r="AD313" i="12"/>
  <c r="AD251" i="12"/>
  <c r="AD338" i="12"/>
  <c r="AD331" i="12" s="1"/>
  <c r="AD183" i="12"/>
  <c r="AD182" i="12"/>
  <c r="AD263" i="12"/>
  <c r="AD216" i="12"/>
  <c r="S185" i="12"/>
  <c r="S226" i="12"/>
  <c r="S312" i="12"/>
  <c r="S194" i="12"/>
  <c r="S214" i="12"/>
  <c r="S280" i="12"/>
  <c r="S321" i="12"/>
  <c r="S255" i="12"/>
  <c r="S248" i="12"/>
  <c r="S275" i="12"/>
  <c r="S268" i="12"/>
  <c r="S199" i="12"/>
  <c r="S221" i="12"/>
  <c r="S266" i="12"/>
  <c r="S299" i="12"/>
  <c r="S310" i="12"/>
  <c r="S244" i="12"/>
  <c r="S309" i="12"/>
  <c r="S202" i="12"/>
  <c r="S297" i="12"/>
  <c r="S190" i="12"/>
  <c r="S315" i="12"/>
  <c r="S288" i="12"/>
  <c r="S239" i="12"/>
  <c r="S195" i="12"/>
  <c r="S278" i="12"/>
  <c r="S228" i="12"/>
  <c r="S277" i="12"/>
  <c r="S271" i="12"/>
  <c r="S281" i="12"/>
  <c r="S178" i="12"/>
  <c r="S283" i="12"/>
  <c r="S272" i="12"/>
  <c r="S282" i="12"/>
  <c r="S189" i="12"/>
  <c r="S241" i="12"/>
  <c r="S286" i="12"/>
  <c r="S184" i="12"/>
  <c r="S307" i="12"/>
  <c r="S284" i="12"/>
  <c r="S238" i="12"/>
  <c r="S320" i="12"/>
  <c r="S176" i="12"/>
  <c r="S298" i="12"/>
  <c r="S225" i="12"/>
  <c r="S330" i="12"/>
  <c r="S204" i="12"/>
  <c r="S304" i="12"/>
  <c r="S229" i="12"/>
  <c r="S182" i="12"/>
  <c r="S247" i="12"/>
  <c r="S290" i="12"/>
  <c r="S224" i="12"/>
  <c r="S197" i="12"/>
  <c r="S322" i="12"/>
  <c r="S326" i="12"/>
  <c r="S218" i="12"/>
  <c r="S208" i="12"/>
  <c r="S183" i="12"/>
  <c r="S235" i="12"/>
  <c r="S329" i="12"/>
  <c r="S251" i="12"/>
  <c r="S338" i="12"/>
  <c r="S331" i="12" s="1"/>
  <c r="S196" i="12"/>
  <c r="S287" i="12"/>
  <c r="S242" i="12"/>
  <c r="S243" i="12"/>
  <c r="C52" i="13"/>
  <c r="C53" i="13" s="1"/>
  <c r="S267" i="12"/>
  <c r="S270" i="12"/>
  <c r="S227" i="12"/>
  <c r="S201" i="12"/>
  <c r="S234" i="12"/>
  <c r="S285" i="12"/>
  <c r="S252" i="12"/>
  <c r="S314" i="12"/>
  <c r="S274" i="12"/>
  <c r="AY233" i="12"/>
  <c r="AY322" i="12"/>
  <c r="AY226" i="12"/>
  <c r="AY280" i="12"/>
  <c r="AY246" i="12"/>
  <c r="AY250" i="12"/>
  <c r="AY229" i="12"/>
  <c r="AY251" i="12"/>
  <c r="AY323" i="12"/>
  <c r="AY241" i="12"/>
  <c r="AY218" i="12"/>
  <c r="AY303" i="12"/>
  <c r="AY324" i="12"/>
  <c r="AY300" i="12"/>
  <c r="AY294" i="12"/>
  <c r="AY169" i="12"/>
  <c r="AY325" i="12"/>
  <c r="AY197" i="12"/>
  <c r="AY329" i="12"/>
  <c r="AY279" i="12"/>
  <c r="AY178" i="12"/>
  <c r="AY204" i="12"/>
  <c r="AY187" i="12"/>
  <c r="AY312" i="12"/>
  <c r="AY290" i="12"/>
  <c r="AY313" i="12"/>
  <c r="AY267" i="12"/>
  <c r="AY292" i="12"/>
  <c r="AY327" i="12"/>
  <c r="AY181" i="12"/>
  <c r="AY301" i="12"/>
  <c r="AY210" i="12"/>
  <c r="AY289" i="12"/>
  <c r="AY239" i="12"/>
  <c r="AY213" i="12"/>
  <c r="AY315" i="12"/>
  <c r="AY194" i="12"/>
  <c r="AY264" i="12"/>
  <c r="AY266" i="12"/>
  <c r="AY265" i="12"/>
  <c r="AY310" i="12"/>
  <c r="AY236" i="12"/>
  <c r="AY261" i="12"/>
  <c r="AY207" i="12"/>
  <c r="AY240" i="12"/>
  <c r="AY238" i="12"/>
  <c r="AY308" i="12"/>
  <c r="AY268" i="12"/>
  <c r="AY192" i="12"/>
  <c r="AY214" i="12"/>
  <c r="AY271" i="12"/>
  <c r="AY188" i="12"/>
  <c r="AY309" i="12"/>
  <c r="AY288" i="12"/>
  <c r="AY228" i="12"/>
  <c r="AY185" i="12"/>
  <c r="AY206" i="12"/>
  <c r="AY247" i="12"/>
  <c r="AY307" i="12"/>
  <c r="AY248" i="12"/>
  <c r="AY249" i="12"/>
  <c r="AY171" i="12"/>
  <c r="AY208" i="12"/>
  <c r="AY276" i="12"/>
  <c r="AY291" i="12"/>
  <c r="AY180" i="12"/>
  <c r="AY221" i="12"/>
  <c r="AY242" i="12"/>
  <c r="AY328" i="12"/>
  <c r="AY286" i="12"/>
  <c r="AY259" i="12"/>
  <c r="AY231" i="12"/>
  <c r="CE205" i="12"/>
  <c r="CE232" i="12"/>
  <c r="CE285" i="12"/>
  <c r="CE264" i="12"/>
  <c r="CE228" i="12"/>
  <c r="CE212" i="12"/>
  <c r="CE247" i="12"/>
  <c r="CE259" i="12"/>
  <c r="CE301" i="12"/>
  <c r="CE274" i="12"/>
  <c r="CE184" i="12"/>
  <c r="CE295" i="12"/>
  <c r="CE208" i="12"/>
  <c r="CE328" i="12"/>
  <c r="CE246" i="12"/>
  <c r="CE269" i="12"/>
  <c r="CE271" i="12"/>
  <c r="CE183" i="12"/>
  <c r="CE256" i="12"/>
  <c r="CE219" i="12"/>
  <c r="CE293" i="12"/>
  <c r="CE310" i="12"/>
  <c r="CE181" i="12"/>
  <c r="CE267" i="12"/>
  <c r="CE188" i="12"/>
  <c r="CE319" i="12"/>
  <c r="CE209" i="12"/>
  <c r="CE304" i="12"/>
  <c r="CE231" i="12"/>
  <c r="CE253" i="12"/>
  <c r="CE263" i="12"/>
  <c r="CE179" i="12"/>
  <c r="CE296" i="12"/>
  <c r="CE235" i="12"/>
  <c r="CE297" i="12"/>
  <c r="CE236" i="12"/>
  <c r="CE197" i="12"/>
  <c r="CE323" i="12"/>
  <c r="CE227" i="12"/>
  <c r="CE273" i="12"/>
  <c r="CE278" i="12"/>
  <c r="CE190" i="12"/>
  <c r="CE299" i="12"/>
  <c r="CE220" i="12"/>
  <c r="CE316" i="12"/>
  <c r="CE248" i="12"/>
  <c r="CE169" i="12"/>
  <c r="CE257" i="12"/>
  <c r="CE237" i="12"/>
  <c r="CE260" i="12"/>
  <c r="CE281" i="12"/>
  <c r="CE193" i="12"/>
  <c r="CE217" i="12"/>
  <c r="CE258" i="12"/>
  <c r="CE279" i="12"/>
  <c r="CE251" i="12"/>
  <c r="CE284" i="12"/>
  <c r="CE277" i="12"/>
  <c r="CE187" i="12"/>
  <c r="CE230" i="12"/>
  <c r="CE282" i="12"/>
  <c r="CE303" i="12"/>
  <c r="CE288" i="12"/>
  <c r="CE329" i="12"/>
  <c r="CE203" i="12"/>
  <c r="CE229" i="12"/>
  <c r="CE318" i="12"/>
  <c r="CE338" i="12"/>
  <c r="CE331" i="12" s="1"/>
  <c r="CE265" i="12"/>
  <c r="CE225" i="12"/>
  <c r="CE291" i="12"/>
  <c r="CE309" i="12"/>
  <c r="CE207" i="12"/>
  <c r="CE294" i="12"/>
  <c r="CE250" i="12"/>
  <c r="CE210" i="12"/>
  <c r="CE330" i="12"/>
  <c r="CE176" i="12"/>
  <c r="DK242" i="12"/>
  <c r="DK240" i="12"/>
  <c r="DK211" i="12"/>
  <c r="DK195" i="12"/>
  <c r="DK235" i="12"/>
  <c r="DK328" i="12"/>
  <c r="DK239" i="12"/>
  <c r="DK310" i="12"/>
  <c r="DK318" i="12"/>
  <c r="DK268" i="12"/>
  <c r="DK198" i="12"/>
  <c r="DK236" i="12"/>
  <c r="DK215" i="12"/>
  <c r="DK281" i="12"/>
  <c r="DK241" i="12"/>
  <c r="DK323" i="12"/>
  <c r="DK308" i="12"/>
  <c r="DK207" i="12"/>
  <c r="DK259" i="12"/>
  <c r="DK232" i="12"/>
  <c r="DK299" i="12"/>
  <c r="DK270" i="12"/>
  <c r="DK199" i="12"/>
  <c r="DK320" i="12"/>
  <c r="DK183" i="12"/>
  <c r="DK258" i="12"/>
  <c r="DK228" i="12"/>
  <c r="DK338" i="12"/>
  <c r="DK331" i="12" s="1"/>
  <c r="DK245" i="12"/>
  <c r="DK201" i="12"/>
  <c r="DK262" i="12"/>
  <c r="DK204" i="12"/>
  <c r="DK326" i="12"/>
  <c r="DK265" i="12"/>
  <c r="DK194" i="12"/>
  <c r="DK244" i="12"/>
  <c r="DK188" i="12"/>
  <c r="DK329" i="12"/>
  <c r="DK221" i="12"/>
  <c r="DK254" i="12"/>
  <c r="DK223" i="12"/>
  <c r="DK319" i="12"/>
  <c r="DK288" i="12"/>
  <c r="DK196" i="12"/>
  <c r="DK325" i="12"/>
  <c r="DK217" i="12"/>
  <c r="DK294" i="12"/>
  <c r="DK291" i="12"/>
  <c r="DK210" i="12"/>
  <c r="DK224" i="12"/>
  <c r="DK279" i="12"/>
  <c r="DK309" i="12"/>
  <c r="DK302" i="12"/>
  <c r="DK190" i="12"/>
  <c r="DK178" i="12"/>
  <c r="DK216" i="12"/>
  <c r="DK260" i="12"/>
  <c r="DK251" i="12"/>
  <c r="DK311" i="12"/>
  <c r="DK307" i="12"/>
  <c r="DK206" i="12"/>
  <c r="DK212" i="12"/>
  <c r="DK229" i="12"/>
  <c r="DK256" i="12"/>
  <c r="DK289" i="12"/>
  <c r="DK276" i="12"/>
  <c r="DK176" i="12"/>
  <c r="DK269" i="12"/>
  <c r="DK181" i="12"/>
  <c r="DK267" i="12"/>
  <c r="DK272" i="12"/>
  <c r="DK179" i="12"/>
  <c r="DK283" i="12"/>
  <c r="DK263" i="12"/>
  <c r="DK200" i="12"/>
  <c r="DK208" i="12"/>
  <c r="DK324" i="12"/>
  <c r="EQ198" i="12"/>
  <c r="EQ279" i="12"/>
  <c r="EQ237" i="12"/>
  <c r="EQ223" i="12"/>
  <c r="EQ259" i="12"/>
  <c r="EQ193" i="12"/>
  <c r="EQ303" i="12"/>
  <c r="EQ214" i="12"/>
  <c r="EQ296" i="12"/>
  <c r="EQ326" i="12"/>
  <c r="EQ281" i="12"/>
  <c r="EQ257" i="12"/>
  <c r="EQ302" i="12"/>
  <c r="K60" i="13"/>
  <c r="EQ181" i="12"/>
  <c r="EQ231" i="12"/>
  <c r="EQ295" i="12"/>
  <c r="EQ190" i="12"/>
  <c r="EQ188" i="12"/>
  <c r="EQ212" i="12"/>
  <c r="EQ239" i="12"/>
  <c r="EQ286" i="12"/>
  <c r="EQ263" i="12"/>
  <c r="EQ314" i="12"/>
  <c r="EQ185" i="12"/>
  <c r="EQ189" i="12"/>
  <c r="EQ228" i="12"/>
  <c r="EQ324" i="12"/>
  <c r="EQ276" i="12"/>
  <c r="EQ330" i="12"/>
  <c r="EQ200" i="12"/>
  <c r="EQ230" i="12"/>
  <c r="EQ315" i="12"/>
  <c r="EQ338" i="12"/>
  <c r="EQ331" i="12" s="1"/>
  <c r="EQ219" i="12"/>
  <c r="EQ180" i="12"/>
  <c r="EQ309" i="12"/>
  <c r="EQ217" i="12"/>
  <c r="EQ253" i="12"/>
  <c r="EQ300" i="12"/>
  <c r="EQ243" i="12"/>
  <c r="EQ285" i="12"/>
  <c r="EQ297" i="12"/>
  <c r="EQ322" i="12"/>
  <c r="EQ245" i="12"/>
  <c r="EQ304" i="12"/>
  <c r="EQ277" i="12"/>
  <c r="EQ186" i="12"/>
  <c r="EQ274" i="12"/>
  <c r="EQ280" i="12"/>
  <c r="EQ220" i="12"/>
  <c r="EQ283" i="12"/>
  <c r="EQ171" i="12"/>
  <c r="EQ270" i="12"/>
  <c r="EQ298" i="12"/>
  <c r="EQ203" i="12"/>
  <c r="EQ282" i="12"/>
  <c r="EQ308" i="12"/>
  <c r="EQ260" i="12"/>
  <c r="EQ225" i="12"/>
  <c r="EQ264" i="12"/>
  <c r="EQ317" i="12"/>
  <c r="EQ236" i="12"/>
  <c r="EQ238" i="12"/>
  <c r="EQ261" i="12"/>
  <c r="EQ204" i="12"/>
  <c r="EQ182" i="12"/>
  <c r="EQ240" i="12"/>
  <c r="EQ184" i="12"/>
  <c r="EQ258" i="12"/>
  <c r="EQ169" i="12"/>
  <c r="EQ206" i="12"/>
  <c r="EQ299" i="12"/>
  <c r="AO269" i="12"/>
  <c r="AO265" i="12"/>
  <c r="AO289" i="12"/>
  <c r="AO245" i="12"/>
  <c r="AO205" i="12"/>
  <c r="AO291" i="12"/>
  <c r="AO312" i="12"/>
  <c r="AO181" i="12"/>
  <c r="AO243" i="12"/>
  <c r="AO288" i="12"/>
  <c r="AO187" i="12"/>
  <c r="AO206" i="12"/>
  <c r="AO302" i="12"/>
  <c r="AO186" i="12"/>
  <c r="AO233" i="12"/>
  <c r="AO223" i="12"/>
  <c r="AO192" i="12"/>
  <c r="AO221" i="12"/>
  <c r="AO286" i="12"/>
  <c r="AO180" i="12"/>
  <c r="AO263" i="12"/>
  <c r="AO209" i="12"/>
  <c r="AO222" i="12"/>
  <c r="AO274" i="12"/>
  <c r="AO218" i="12"/>
  <c r="AO313" i="12"/>
  <c r="AO256" i="12"/>
  <c r="AO327" i="12"/>
  <c r="AO321" i="12"/>
  <c r="C88" i="3"/>
  <c r="AO215" i="12"/>
  <c r="AO328" i="12"/>
  <c r="AO266" i="12"/>
  <c r="AO305" i="12"/>
  <c r="AO201" i="12"/>
  <c r="AO254" i="12"/>
  <c r="AO272" i="12"/>
  <c r="AO303" i="12"/>
  <c r="AO249" i="12"/>
  <c r="AO193" i="12"/>
  <c r="AO315" i="12"/>
  <c r="AO248" i="12"/>
  <c r="AO255" i="12"/>
  <c r="AO225" i="12"/>
  <c r="AO177" i="12"/>
  <c r="AO325" i="12"/>
  <c r="AO179" i="12"/>
  <c r="AO262" i="12"/>
  <c r="AO292" i="12"/>
  <c r="AO234" i="12"/>
  <c r="AO301" i="12"/>
  <c r="AO199" i="12"/>
  <c r="AO214" i="12"/>
  <c r="AO268" i="12"/>
  <c r="AO318" i="12"/>
  <c r="AO304" i="12"/>
  <c r="AO314" i="12"/>
  <c r="AO281" i="12"/>
  <c r="AO195" i="12"/>
  <c r="AO238" i="12"/>
  <c r="AO280" i="12"/>
  <c r="AO319" i="12"/>
  <c r="AO257" i="12"/>
  <c r="AO197" i="12"/>
  <c r="AO267" i="12"/>
  <c r="AO224" i="12"/>
  <c r="AO326" i="12"/>
  <c r="AO324" i="12"/>
  <c r="AO176" i="12"/>
  <c r="BU221" i="12"/>
  <c r="BU307" i="12"/>
  <c r="BU327" i="12"/>
  <c r="BU211" i="12"/>
  <c r="BU315" i="12"/>
  <c r="BU283" i="12"/>
  <c r="BU261" i="12"/>
  <c r="BU192" i="12"/>
  <c r="BU251" i="12"/>
  <c r="BU269" i="12"/>
  <c r="BU219" i="12"/>
  <c r="BU254" i="12"/>
  <c r="BU302" i="12"/>
  <c r="BU271" i="12"/>
  <c r="BU204" i="12"/>
  <c r="BU300" i="12"/>
  <c r="BU329" i="12"/>
  <c r="BU195" i="12"/>
  <c r="BU250" i="12"/>
  <c r="BU217" i="12"/>
  <c r="BU319" i="12"/>
  <c r="BU228" i="12"/>
  <c r="BU279" i="12"/>
  <c r="BU325" i="12"/>
  <c r="BU188" i="12"/>
  <c r="BU239" i="12"/>
  <c r="BU223" i="12"/>
  <c r="BU246" i="12"/>
  <c r="BU241" i="12"/>
  <c r="BU306" i="12"/>
  <c r="BU264" i="12"/>
  <c r="BU201" i="12"/>
  <c r="BU324" i="12"/>
  <c r="BU231" i="12"/>
  <c r="BU247" i="12"/>
  <c r="BU275" i="12"/>
  <c r="BU205" i="12"/>
  <c r="BU292" i="12"/>
  <c r="BU220" i="12"/>
  <c r="BU252" i="12"/>
  <c r="BU305" i="12"/>
  <c r="BU200" i="12"/>
  <c r="BU260" i="12"/>
  <c r="BU224" i="12"/>
  <c r="BU262" i="12"/>
  <c r="BU249" i="12"/>
  <c r="BU284" i="12"/>
  <c r="BU227" i="12"/>
  <c r="BU180" i="12"/>
  <c r="BU298" i="12"/>
  <c r="BU215" i="12"/>
  <c r="BU274" i="12"/>
  <c r="BU309" i="12"/>
  <c r="BU178" i="12"/>
  <c r="BU338" i="12"/>
  <c r="BU331" i="12" s="1"/>
  <c r="BU216" i="12"/>
  <c r="BU225" i="12"/>
  <c r="BU273" i="12"/>
  <c r="BU312" i="12"/>
  <c r="BU330" i="12"/>
  <c r="BU316" i="12"/>
  <c r="BU189" i="12"/>
  <c r="BU206" i="12"/>
  <c r="BU277" i="12"/>
  <c r="BU266" i="12"/>
  <c r="BU267" i="12"/>
  <c r="BU290" i="12"/>
  <c r="BU209" i="12"/>
  <c r="BU237" i="12"/>
  <c r="BU313" i="12"/>
  <c r="BU323" i="12"/>
  <c r="BU272" i="12"/>
  <c r="BU311" i="12"/>
  <c r="BU184" i="12"/>
  <c r="DQ265" i="12"/>
  <c r="DQ261" i="12"/>
  <c r="DQ279" i="12"/>
  <c r="DQ212" i="12"/>
  <c r="DQ179" i="12"/>
  <c r="DQ330" i="12"/>
  <c r="DQ228" i="12"/>
  <c r="DQ220" i="12"/>
  <c r="DQ326" i="12"/>
  <c r="I55" i="13"/>
  <c r="DQ266" i="12"/>
  <c r="DQ250" i="12"/>
  <c r="DQ233" i="12"/>
  <c r="DQ185" i="12"/>
  <c r="DQ283" i="12"/>
  <c r="DQ188" i="12"/>
  <c r="DQ262" i="12"/>
  <c r="DQ284" i="12"/>
  <c r="DQ169" i="12"/>
  <c r="DQ241" i="12"/>
  <c r="DQ291" i="12"/>
  <c r="DQ268" i="12"/>
  <c r="DQ278" i="12"/>
  <c r="DQ177" i="12"/>
  <c r="DQ210" i="12"/>
  <c r="DQ319" i="12"/>
  <c r="DQ269" i="12"/>
  <c r="DQ327" i="12"/>
  <c r="DQ270" i="12"/>
  <c r="DQ311" i="12"/>
  <c r="DQ271" i="12"/>
  <c r="DQ312" i="12"/>
  <c r="DQ329" i="12"/>
  <c r="DQ204" i="12"/>
  <c r="DQ235" i="12"/>
  <c r="DQ202" i="12"/>
  <c r="DQ292" i="12"/>
  <c r="DQ263" i="12"/>
  <c r="DQ183" i="12"/>
  <c r="DQ213" i="12"/>
  <c r="DQ223" i="12"/>
  <c r="DQ229" i="12"/>
  <c r="DQ285" i="12"/>
  <c r="DQ267" i="12"/>
  <c r="DQ240" i="12"/>
  <c r="DQ309" i="12"/>
  <c r="DQ289" i="12"/>
  <c r="DQ198" i="12"/>
  <c r="DQ236" i="12"/>
  <c r="DQ227" i="12"/>
  <c r="DQ276" i="12"/>
  <c r="DQ315" i="12"/>
  <c r="DQ242" i="12"/>
  <c r="DQ298" i="12"/>
  <c r="DQ194" i="12"/>
  <c r="DQ238" i="12"/>
  <c r="DQ211" i="12"/>
  <c r="DQ244" i="12"/>
  <c r="DQ287" i="12"/>
  <c r="DQ325" i="12"/>
  <c r="DQ181" i="12"/>
  <c r="DQ216" i="12"/>
  <c r="DQ251" i="12"/>
  <c r="DQ231" i="12"/>
  <c r="DQ308" i="12"/>
  <c r="DQ273" i="12"/>
  <c r="DQ192" i="12"/>
  <c r="DQ338" i="12"/>
  <c r="DQ331" i="12" s="1"/>
  <c r="DQ297" i="12"/>
  <c r="DM304" i="12"/>
  <c r="DM293" i="12"/>
  <c r="DM220" i="12"/>
  <c r="DM180" i="12"/>
  <c r="DM190" i="12"/>
  <c r="DM200" i="12"/>
  <c r="DM297" i="12"/>
  <c r="DM281" i="12"/>
  <c r="DM212" i="12"/>
  <c r="DM206" i="12"/>
  <c r="DM288" i="12"/>
  <c r="DM322" i="12"/>
  <c r="DM262" i="12"/>
  <c r="DM185" i="12"/>
  <c r="DM251" i="12"/>
  <c r="DM224" i="12"/>
  <c r="DM238" i="12"/>
  <c r="DM261" i="12"/>
  <c r="DM232" i="12"/>
  <c r="DM327" i="12"/>
  <c r="DM317" i="12"/>
  <c r="DM217" i="12"/>
  <c r="DM271" i="12"/>
  <c r="DM215" i="12"/>
  <c r="DM295" i="12"/>
  <c r="DM248" i="12"/>
  <c r="DM282" i="12"/>
  <c r="DM193" i="12"/>
  <c r="DM324" i="12"/>
  <c r="DM267" i="12"/>
  <c r="DM318" i="12"/>
  <c r="DM263" i="12"/>
  <c r="DM179" i="12"/>
  <c r="DM252" i="12"/>
  <c r="DM216" i="12"/>
  <c r="DM283" i="12"/>
  <c r="DM249" i="12"/>
  <c r="DM323" i="12"/>
  <c r="DM312" i="12"/>
  <c r="DM201" i="12"/>
  <c r="DM273" i="12"/>
  <c r="DM301" i="12"/>
  <c r="DM294" i="12"/>
  <c r="DM177" i="12"/>
  <c r="DM209" i="12"/>
  <c r="DM214" i="12"/>
  <c r="DM280" i="12"/>
  <c r="DM329" i="12"/>
  <c r="DM306" i="12"/>
  <c r="DM176" i="12"/>
  <c r="DM235" i="12"/>
  <c r="DM194" i="12"/>
  <c r="DM270" i="12"/>
  <c r="DM241" i="12"/>
  <c r="DM319" i="12"/>
  <c r="DM316" i="12"/>
  <c r="DM204" i="12"/>
  <c r="DM260" i="12"/>
  <c r="DM207" i="12"/>
  <c r="DM279" i="12"/>
  <c r="DM264" i="12"/>
  <c r="DM315" i="12"/>
  <c r="DM191" i="12"/>
  <c r="DM225" i="12"/>
  <c r="DM255" i="12"/>
  <c r="DM229" i="12"/>
  <c r="DM275" i="12"/>
  <c r="DM303" i="12"/>
  <c r="DM182" i="12"/>
  <c r="I225" i="12"/>
  <c r="I235" i="12"/>
  <c r="I240" i="12"/>
  <c r="I244" i="12"/>
  <c r="I251" i="12"/>
  <c r="I321" i="12"/>
  <c r="I275" i="12"/>
  <c r="I222" i="12"/>
  <c r="I171" i="12"/>
  <c r="I229" i="12"/>
  <c r="I307" i="12"/>
  <c r="I230" i="12"/>
  <c r="I285" i="12"/>
  <c r="I247" i="12"/>
  <c r="I300" i="12"/>
  <c r="I237" i="12"/>
  <c r="I219" i="12"/>
  <c r="I208" i="12"/>
  <c r="I198" i="12"/>
  <c r="I205" i="12"/>
  <c r="I306" i="12"/>
  <c r="I177" i="12"/>
  <c r="I295" i="12"/>
  <c r="I232" i="12"/>
  <c r="I284" i="12"/>
  <c r="I246" i="12"/>
  <c r="I329" i="12"/>
  <c r="I309" i="12"/>
  <c r="I203" i="12"/>
  <c r="I319" i="12"/>
  <c r="I256" i="12"/>
  <c r="I254" i="12"/>
  <c r="I305" i="12"/>
  <c r="I226" i="12"/>
  <c r="I218" i="12"/>
  <c r="I227" i="12"/>
  <c r="I279" i="12"/>
  <c r="I216" i="12"/>
  <c r="I209" i="12"/>
  <c r="I191" i="12"/>
  <c r="I194" i="12"/>
  <c r="I270" i="12"/>
  <c r="I301" i="12"/>
  <c r="I178" i="12"/>
  <c r="I261" i="12"/>
  <c r="I186" i="12"/>
  <c r="I223" i="12"/>
  <c r="I249" i="12"/>
  <c r="I184" i="12"/>
  <c r="I282" i="12"/>
  <c r="I260" i="12"/>
  <c r="I204" i="12"/>
  <c r="I318" i="12"/>
  <c r="I234" i="12"/>
  <c r="I259" i="12"/>
  <c r="I312" i="12"/>
  <c r="I180" i="12"/>
  <c r="I263" i="12"/>
  <c r="I252" i="12"/>
  <c r="I286" i="12"/>
  <c r="I217" i="12"/>
  <c r="DJ172" i="12"/>
  <c r="I273" i="12"/>
  <c r="I328" i="12"/>
  <c r="I276" i="12"/>
  <c r="I278" i="12"/>
  <c r="I189" i="12"/>
  <c r="I288" i="12"/>
  <c r="I293" i="12"/>
  <c r="I281" i="12"/>
  <c r="I200" i="12"/>
  <c r="I253" i="12"/>
  <c r="EB256" i="12"/>
  <c r="EB198" i="12"/>
  <c r="EB203" i="12"/>
  <c r="EB303" i="12"/>
  <c r="EB231" i="12"/>
  <c r="EB300" i="12"/>
  <c r="EB233" i="12"/>
  <c r="EB171" i="12"/>
  <c r="EB284" i="12"/>
  <c r="EB230" i="12"/>
  <c r="EB180" i="12"/>
  <c r="EB297" i="12"/>
  <c r="EB213" i="12"/>
  <c r="EB266" i="12"/>
  <c r="EB251" i="12"/>
  <c r="EB186" i="12"/>
  <c r="EB268" i="12"/>
  <c r="EB196" i="12"/>
  <c r="EB286" i="12"/>
  <c r="EB228" i="12"/>
  <c r="EB255" i="12"/>
  <c r="EB250" i="12"/>
  <c r="EB183" i="12"/>
  <c r="EB282" i="12"/>
  <c r="EB215" i="12"/>
  <c r="EB315" i="12"/>
  <c r="EB236" i="12"/>
  <c r="EB176" i="12"/>
  <c r="EB322" i="12"/>
  <c r="EB216" i="12"/>
  <c r="EB295" i="12"/>
  <c r="EB242" i="12"/>
  <c r="EB178" i="12"/>
  <c r="EB274" i="12"/>
  <c r="EB210" i="12"/>
  <c r="EB244" i="12"/>
  <c r="EB224" i="12"/>
  <c r="EB328" i="12"/>
  <c r="EB309" i="12"/>
  <c r="EB189" i="12"/>
  <c r="EB271" i="12"/>
  <c r="EB209" i="12"/>
  <c r="EB327" i="12"/>
  <c r="EB241" i="12"/>
  <c r="EB316" i="12"/>
  <c r="EB321" i="12"/>
  <c r="EB201" i="12"/>
  <c r="EB285" i="12"/>
  <c r="EB264" i="12"/>
  <c r="EB323" i="12"/>
  <c r="EB299" i="12"/>
  <c r="EB199" i="12"/>
  <c r="EB223" i="12"/>
  <c r="EB207" i="12"/>
  <c r="EB257" i="12"/>
  <c r="EB330" i="12"/>
  <c r="EB312" i="12"/>
  <c r="EB187" i="12"/>
  <c r="EB239" i="12"/>
  <c r="EB329" i="12"/>
  <c r="EB314" i="12"/>
  <c r="EB269" i="12"/>
  <c r="EB169" i="12"/>
  <c r="EB202" i="12"/>
  <c r="EB208" i="12"/>
  <c r="EB253" i="12"/>
  <c r="EB275" i="12"/>
  <c r="EB292" i="12"/>
  <c r="EB265" i="12"/>
  <c r="EB281" i="12"/>
  <c r="EB193" i="12"/>
  <c r="EB225" i="12"/>
  <c r="I92" i="13"/>
  <c r="AJ23" i="13" s="1"/>
  <c r="EB217" i="12"/>
  <c r="EB283" i="12"/>
  <c r="EB249" i="12"/>
  <c r="EB219" i="12"/>
  <c r="CV316" i="12"/>
  <c r="CV178" i="12"/>
  <c r="CV280" i="12"/>
  <c r="CV262" i="12"/>
  <c r="CV185" i="12"/>
  <c r="CV243" i="12"/>
  <c r="CV306" i="12"/>
  <c r="CV289" i="12"/>
  <c r="CV229" i="12"/>
  <c r="CV191" i="12"/>
  <c r="CV263" i="12"/>
  <c r="CV246" i="12"/>
  <c r="CV312" i="12"/>
  <c r="CV314" i="12"/>
  <c r="CV311" i="12"/>
  <c r="CV284" i="12"/>
  <c r="CV290" i="12"/>
  <c r="CV228" i="12"/>
  <c r="CV202" i="12"/>
  <c r="CV244" i="12"/>
  <c r="G57" i="3"/>
  <c r="CV291" i="12"/>
  <c r="CV288" i="12"/>
  <c r="CV281" i="12"/>
  <c r="CV266" i="12"/>
  <c r="CV189" i="12"/>
  <c r="CV254" i="12"/>
  <c r="CV296" i="12"/>
  <c r="CV179" i="12"/>
  <c r="CV218" i="12"/>
  <c r="CV259" i="12"/>
  <c r="CV186" i="12"/>
  <c r="CV200" i="12"/>
  <c r="CV212" i="12"/>
  <c r="CV250" i="12"/>
  <c r="CV207" i="12"/>
  <c r="CV308" i="12"/>
  <c r="CV322" i="12"/>
  <c r="CV196" i="12"/>
  <c r="CV303" i="12"/>
  <c r="CV276" i="12"/>
  <c r="CV171" i="12"/>
  <c r="O57" i="3" s="1"/>
  <c r="L37" i="14" s="1"/>
  <c r="CV201" i="12"/>
  <c r="CV241" i="12"/>
  <c r="CV267" i="12"/>
  <c r="CV220" i="12"/>
  <c r="CV318" i="12"/>
  <c r="CV317" i="12"/>
  <c r="CV177" i="12"/>
  <c r="CV307" i="12"/>
  <c r="CV195" i="12"/>
  <c r="CV216" i="12"/>
  <c r="CV275" i="12"/>
  <c r="CV321" i="12"/>
  <c r="CV242" i="12"/>
  <c r="CV265" i="12"/>
  <c r="CV249" i="12"/>
  <c r="CV257" i="12"/>
  <c r="CV205" i="12"/>
  <c r="CV176" i="12"/>
  <c r="CV271" i="12"/>
  <c r="CV230" i="12"/>
  <c r="CV208" i="12"/>
  <c r="CV213" i="12"/>
  <c r="CV326" i="12"/>
  <c r="CV197" i="12"/>
  <c r="CV283" i="12"/>
  <c r="CV251" i="12"/>
  <c r="CV183" i="12"/>
  <c r="CV231" i="12"/>
  <c r="AJ243" i="12"/>
  <c r="AJ265" i="12"/>
  <c r="AJ269" i="12"/>
  <c r="AJ229" i="12"/>
  <c r="AJ236" i="12"/>
  <c r="AJ191" i="12"/>
  <c r="AJ322" i="12"/>
  <c r="AJ182" i="12"/>
  <c r="AJ306" i="12"/>
  <c r="AJ311" i="12"/>
  <c r="AJ273" i="12"/>
  <c r="AJ338" i="12"/>
  <c r="AJ331" i="12" s="1"/>
  <c r="AJ213" i="12"/>
  <c r="AJ255" i="12"/>
  <c r="AJ249" i="12"/>
  <c r="AJ330" i="12"/>
  <c r="AJ314" i="12"/>
  <c r="AJ275" i="12"/>
  <c r="AJ246" i="12"/>
  <c r="AJ189" i="12"/>
  <c r="AJ207" i="12"/>
  <c r="AJ240" i="12"/>
  <c r="AJ199" i="12"/>
  <c r="AJ274" i="12"/>
  <c r="AJ319" i="12"/>
  <c r="AJ284" i="12"/>
  <c r="AJ206" i="12"/>
  <c r="AJ193" i="12"/>
  <c r="AJ298" i="12"/>
  <c r="AJ263" i="12"/>
  <c r="AJ226" i="12"/>
  <c r="AJ260" i="12"/>
  <c r="AJ178" i="12"/>
  <c r="AJ266" i="12"/>
  <c r="AJ239" i="12"/>
  <c r="AJ242" i="12"/>
  <c r="AJ307" i="12"/>
  <c r="AJ216" i="12"/>
  <c r="AJ233" i="12"/>
  <c r="AJ169" i="12"/>
  <c r="AJ282" i="12"/>
  <c r="AJ235" i="12"/>
  <c r="AJ225" i="12"/>
  <c r="AJ196" i="12"/>
  <c r="AJ290" i="12"/>
  <c r="AJ292" i="12"/>
  <c r="AJ190" i="12"/>
  <c r="AJ256" i="12"/>
  <c r="AJ231" i="12"/>
  <c r="AJ257" i="12"/>
  <c r="AJ217" i="12"/>
  <c r="AJ252" i="12"/>
  <c r="AJ224" i="12"/>
  <c r="AJ200" i="12"/>
  <c r="AJ171" i="12"/>
  <c r="M79" i="3" s="1"/>
  <c r="J12" i="14" s="1"/>
  <c r="AJ328" i="12"/>
  <c r="AJ301" i="12"/>
  <c r="AJ187" i="12"/>
  <c r="AJ267" i="12"/>
  <c r="AJ244" i="12"/>
  <c r="AJ293" i="12"/>
  <c r="AJ197" i="12"/>
  <c r="AJ209" i="12"/>
  <c r="AJ205" i="12"/>
  <c r="AJ303" i="12"/>
  <c r="AJ228" i="12"/>
  <c r="AJ318" i="12"/>
  <c r="AJ264" i="12"/>
  <c r="AJ280" i="12"/>
  <c r="AJ180" i="12"/>
  <c r="AJ227" i="12"/>
  <c r="AJ295" i="12"/>
  <c r="AJ302" i="12"/>
  <c r="AJ309" i="12"/>
  <c r="C79" i="13"/>
  <c r="O293" i="12"/>
  <c r="O193" i="12"/>
  <c r="O205" i="12"/>
  <c r="O318" i="12"/>
  <c r="O190" i="12"/>
  <c r="O216" i="12"/>
  <c r="O265" i="12"/>
  <c r="O330" i="12"/>
  <c r="O291" i="12"/>
  <c r="O261" i="12"/>
  <c r="O198" i="12"/>
  <c r="O247" i="12"/>
  <c r="O225" i="12"/>
  <c r="O191" i="12"/>
  <c r="O184" i="12"/>
  <c r="O270" i="12"/>
  <c r="O294" i="12"/>
  <c r="O297" i="12"/>
  <c r="O176" i="12"/>
  <c r="O194" i="12"/>
  <c r="O210" i="12"/>
  <c r="O192" i="12"/>
  <c r="O235" i="12"/>
  <c r="O178" i="12"/>
  <c r="O304" i="12"/>
  <c r="O223" i="12"/>
  <c r="O274" i="12"/>
  <c r="O217" i="12"/>
  <c r="O285" i="12"/>
  <c r="O224" i="12"/>
  <c r="O206" i="12"/>
  <c r="O298" i="12"/>
  <c r="O242" i="12"/>
  <c r="O251" i="12"/>
  <c r="O229" i="12"/>
  <c r="O288" i="12"/>
  <c r="O273" i="12"/>
  <c r="O185" i="12"/>
  <c r="O218" i="12"/>
  <c r="O188" i="12"/>
  <c r="O214" i="12"/>
  <c r="O201" i="12"/>
  <c r="O315" i="12"/>
  <c r="O277" i="12"/>
  <c r="O236" i="12"/>
  <c r="O244" i="12"/>
  <c r="O231" i="12"/>
  <c r="O219" i="12"/>
  <c r="O221" i="12"/>
  <c r="O258" i="12"/>
  <c r="O255" i="12"/>
  <c r="O323" i="12"/>
  <c r="O208" i="12"/>
  <c r="O197" i="12"/>
  <c r="O186" i="12"/>
  <c r="O305" i="12"/>
  <c r="O268" i="12"/>
  <c r="O260" i="12"/>
  <c r="O327" i="12"/>
  <c r="O256" i="12"/>
  <c r="O233" i="12"/>
  <c r="O232" i="12"/>
  <c r="O309" i="12"/>
  <c r="O322" i="12"/>
  <c r="O287" i="12"/>
  <c r="O263" i="12"/>
  <c r="O262" i="12"/>
  <c r="O253" i="12"/>
  <c r="O338" i="12"/>
  <c r="O331" i="12" s="1"/>
  <c r="EH247" i="12"/>
  <c r="EH194" i="12"/>
  <c r="EH169" i="12"/>
  <c r="EH208" i="12"/>
  <c r="EH182" i="12"/>
  <c r="EH311" i="12"/>
  <c r="EH184" i="12"/>
  <c r="EH196" i="12"/>
  <c r="EH250" i="12"/>
  <c r="EH323" i="12"/>
  <c r="EH231" i="12"/>
  <c r="EH294" i="12"/>
  <c r="EH320" i="12"/>
  <c r="EH219" i="12"/>
  <c r="EH280" i="12"/>
  <c r="EH211" i="12"/>
  <c r="EH316" i="12"/>
  <c r="EH207" i="12"/>
  <c r="EH220" i="12"/>
  <c r="EH261" i="12"/>
  <c r="EH290" i="12"/>
  <c r="EH306" i="12"/>
  <c r="EH286" i="12"/>
  <c r="EH248" i="12"/>
  <c r="K16" i="13"/>
  <c r="AG30" i="13" s="1"/>
  <c r="EH278" i="12"/>
  <c r="EH236" i="12"/>
  <c r="EH277" i="12"/>
  <c r="EH287" i="12"/>
  <c r="EH197" i="12"/>
  <c r="EH282" i="12"/>
  <c r="EH240" i="12"/>
  <c r="EH324" i="12"/>
  <c r="EH266" i="12"/>
  <c r="EH190" i="12"/>
  <c r="EH314" i="12"/>
  <c r="EH221" i="12"/>
  <c r="EH271" i="12"/>
  <c r="EH228" i="12"/>
  <c r="EH292" i="12"/>
  <c r="EH263" i="12"/>
  <c r="EH187" i="12"/>
  <c r="EH276" i="12"/>
  <c r="EH209" i="12"/>
  <c r="EH330" i="12"/>
  <c r="EH227" i="12"/>
  <c r="EH301" i="12"/>
  <c r="EH237" i="12"/>
  <c r="EH177" i="12"/>
  <c r="EH296" i="12"/>
  <c r="EH242" i="12"/>
  <c r="EH268" i="12"/>
  <c r="EH325" i="12"/>
  <c r="EH202" i="12"/>
  <c r="EH319" i="12"/>
  <c r="EH218" i="12"/>
  <c r="EH270" i="12"/>
  <c r="EH245" i="12"/>
  <c r="EH180" i="12"/>
  <c r="EH281" i="12"/>
  <c r="EH210" i="12"/>
  <c r="EH315" i="12"/>
  <c r="EH214" i="12"/>
  <c r="EH274" i="12"/>
  <c r="EH269" i="12"/>
  <c r="EH203" i="12"/>
  <c r="EH318" i="12"/>
  <c r="EH230" i="12"/>
  <c r="EH338" i="12"/>
  <c r="EH331" i="12" s="1"/>
  <c r="EH313" i="12"/>
  <c r="DB312" i="12"/>
  <c r="DB253" i="12"/>
  <c r="DB231" i="12"/>
  <c r="DB307" i="12"/>
  <c r="DB192" i="12"/>
  <c r="DB245" i="12"/>
  <c r="DB327" i="12"/>
  <c r="DB309" i="12"/>
  <c r="DB235" i="12"/>
  <c r="DB281" i="12"/>
  <c r="DB314" i="12"/>
  <c r="DB318" i="12"/>
  <c r="DB197" i="12"/>
  <c r="DB177" i="12"/>
  <c r="DB272" i="12"/>
  <c r="DB242" i="12"/>
  <c r="DB306" i="12"/>
  <c r="DB240" i="12"/>
  <c r="DB178" i="12"/>
  <c r="DB276" i="12"/>
  <c r="DB216" i="12"/>
  <c r="DB285" i="12"/>
  <c r="DB211" i="12"/>
  <c r="DB330" i="12"/>
  <c r="DB287" i="12"/>
  <c r="DB191" i="12"/>
  <c r="DB284" i="12"/>
  <c r="DB227" i="12"/>
  <c r="DB271" i="12"/>
  <c r="DB241" i="12"/>
  <c r="DB179" i="12"/>
  <c r="DB315" i="12"/>
  <c r="DB186" i="12"/>
  <c r="DB303" i="12"/>
  <c r="DB195" i="12"/>
  <c r="DB300" i="12"/>
  <c r="DB199" i="12"/>
  <c r="DB260" i="12"/>
  <c r="DB249" i="12"/>
  <c r="DB185" i="12"/>
  <c r="DB259" i="12"/>
  <c r="DB201" i="12"/>
  <c r="DB305" i="12"/>
  <c r="DB234" i="12"/>
  <c r="DB282" i="12"/>
  <c r="DB291" i="12"/>
  <c r="DB202" i="12"/>
  <c r="DB320" i="12"/>
  <c r="DB215" i="12"/>
  <c r="DB275" i="12"/>
  <c r="DB229" i="12"/>
  <c r="G71" i="13"/>
  <c r="AI19" i="13" s="1"/>
  <c r="DB338" i="12"/>
  <c r="DB331" i="12" s="1"/>
  <c r="DB286" i="12"/>
  <c r="DB196" i="12"/>
  <c r="DB224" i="12"/>
  <c r="DB311" i="12"/>
  <c r="DB277" i="12"/>
  <c r="DB290" i="12"/>
  <c r="DB264" i="12"/>
  <c r="DB194" i="12"/>
  <c r="DB187" i="12"/>
  <c r="DB244" i="12"/>
  <c r="DB237" i="12"/>
  <c r="DB255" i="12"/>
  <c r="DB313" i="12"/>
  <c r="DB261" i="12"/>
  <c r="DB188" i="12"/>
  <c r="DB226" i="12"/>
  <c r="DB232" i="12"/>
  <c r="DB266" i="12"/>
  <c r="DB324" i="12"/>
  <c r="DB176" i="12"/>
  <c r="BV232" i="12"/>
  <c r="BV313" i="12"/>
  <c r="BV209" i="12"/>
  <c r="BV206" i="12"/>
  <c r="BV252" i="12"/>
  <c r="BV200" i="12"/>
  <c r="BV249" i="12"/>
  <c r="BV171" i="12"/>
  <c r="BV275" i="12"/>
  <c r="BV273" i="12"/>
  <c r="BV325" i="12"/>
  <c r="BV308" i="12"/>
  <c r="BV307" i="12"/>
  <c r="BV223" i="12"/>
  <c r="BV221" i="12"/>
  <c r="BV261" i="12"/>
  <c r="BV262" i="12"/>
  <c r="BV269" i="12"/>
  <c r="BV202" i="12"/>
  <c r="BV201" i="12"/>
  <c r="BV257" i="12"/>
  <c r="BV240" i="12"/>
  <c r="BV235" i="12"/>
  <c r="BV270" i="12"/>
  <c r="BV309" i="12"/>
  <c r="BV245" i="12"/>
  <c r="BV224" i="12"/>
  <c r="BV222" i="12"/>
  <c r="BV295" i="12"/>
  <c r="BV289" i="12"/>
  <c r="BV323" i="12"/>
  <c r="BV185" i="12"/>
  <c r="BV321" i="12"/>
  <c r="BV226" i="12"/>
  <c r="BV177" i="12"/>
  <c r="BV208" i="12"/>
  <c r="BV283" i="12"/>
  <c r="BV190" i="12"/>
  <c r="BV297" i="12"/>
  <c r="BV267" i="12"/>
  <c r="BV195" i="12"/>
  <c r="BV225" i="12"/>
  <c r="BV303" i="12"/>
  <c r="BV212" i="12"/>
  <c r="BV210" i="12"/>
  <c r="BV176" i="12"/>
  <c r="BV315" i="12"/>
  <c r="BV198" i="12"/>
  <c r="BV255" i="12"/>
  <c r="BV300" i="12"/>
  <c r="BV169" i="12"/>
  <c r="BV236" i="12"/>
  <c r="BV306" i="12"/>
  <c r="BV237" i="12"/>
  <c r="BV258" i="12"/>
  <c r="BV234" i="12"/>
  <c r="BV259" i="12"/>
  <c r="BV193" i="12"/>
  <c r="BV196" i="12"/>
  <c r="BV319" i="12"/>
  <c r="AP319" i="12"/>
  <c r="AP240" i="12"/>
  <c r="AP223" i="12"/>
  <c r="AP238" i="12"/>
  <c r="AP182" i="12"/>
  <c r="AP278" i="12"/>
  <c r="AP293" i="12"/>
  <c r="AP311" i="12"/>
  <c r="AP286" i="12"/>
  <c r="AP180" i="12"/>
  <c r="AP264" i="12"/>
  <c r="AP250" i="12"/>
  <c r="AP215" i="12"/>
  <c r="AP268" i="12"/>
  <c r="AP329" i="12"/>
  <c r="AP219" i="12"/>
  <c r="AP301" i="12"/>
  <c r="AP270" i="12"/>
  <c r="AP224" i="12"/>
  <c r="AP183" i="12"/>
  <c r="AP206" i="12"/>
  <c r="AP330" i="12"/>
  <c r="AP313" i="12"/>
  <c r="AP280" i="12"/>
  <c r="AP231" i="12"/>
  <c r="AP177" i="12"/>
  <c r="AP230" i="12"/>
  <c r="AP320" i="12"/>
  <c r="AP185" i="12"/>
  <c r="AP327" i="12"/>
  <c r="AP221" i="12"/>
  <c r="AP296" i="12"/>
  <c r="AP202" i="12"/>
  <c r="AP318" i="12"/>
  <c r="AP255" i="12"/>
  <c r="AP314" i="12"/>
  <c r="AP256" i="12"/>
  <c r="AP189" i="12"/>
  <c r="AP302" i="12"/>
  <c r="AP247" i="12"/>
  <c r="AP234" i="12"/>
  <c r="AP216" i="12"/>
  <c r="AP253" i="12"/>
  <c r="AP300" i="12"/>
  <c r="AP200" i="12"/>
  <c r="AP289" i="12"/>
  <c r="AP307" i="12"/>
  <c r="AP309" i="12"/>
  <c r="AP292" i="12"/>
  <c r="AP195" i="12"/>
  <c r="AP207" i="12"/>
  <c r="AP315" i="12"/>
  <c r="AP245" i="12"/>
  <c r="AP284" i="12"/>
  <c r="AP203" i="12"/>
  <c r="AP257" i="12"/>
  <c r="AP291" i="12"/>
  <c r="AP269" i="12"/>
  <c r="AP276" i="12"/>
  <c r="AP191" i="12"/>
  <c r="AP310" i="12"/>
  <c r="AP235" i="12"/>
  <c r="AP211" i="12"/>
  <c r="AP210" i="12"/>
  <c r="AP237" i="12"/>
  <c r="AP272" i="12"/>
  <c r="AP192" i="12"/>
  <c r="AP204" i="12"/>
  <c r="AP263" i="12"/>
  <c r="AP338" i="12"/>
  <c r="AP331" i="12" s="1"/>
  <c r="J311" i="12"/>
  <c r="J250" i="12"/>
  <c r="J229" i="12"/>
  <c r="J300" i="12"/>
  <c r="J211" i="12"/>
  <c r="J328" i="12"/>
  <c r="J303" i="12"/>
  <c r="J197" i="12"/>
  <c r="J249" i="12"/>
  <c r="J268" i="12"/>
  <c r="J296" i="12"/>
  <c r="J308" i="12"/>
  <c r="J277" i="12"/>
  <c r="J191" i="12"/>
  <c r="J241" i="12"/>
  <c r="J208" i="12"/>
  <c r="J206" i="12"/>
  <c r="J251" i="12"/>
  <c r="J212" i="12"/>
  <c r="J261" i="12"/>
  <c r="J207" i="12"/>
  <c r="J258" i="12"/>
  <c r="J318" i="12"/>
  <c r="J203" i="12"/>
  <c r="J240" i="12"/>
  <c r="J259" i="12"/>
  <c r="J224" i="12"/>
  <c r="J225" i="12"/>
  <c r="J262" i="12"/>
  <c r="J176" i="12"/>
  <c r="J329" i="12"/>
  <c r="J302" i="12"/>
  <c r="J280" i="12"/>
  <c r="J247" i="12"/>
  <c r="J269" i="12"/>
  <c r="J283" i="12"/>
  <c r="J177" i="12"/>
  <c r="J289" i="12"/>
  <c r="J282" i="12"/>
  <c r="J276" i="12"/>
  <c r="J195" i="12"/>
  <c r="J317" i="12"/>
  <c r="J295" i="12"/>
  <c r="J179" i="12"/>
  <c r="J313" i="12"/>
  <c r="J294" i="12"/>
  <c r="J248" i="12"/>
  <c r="J239" i="12"/>
  <c r="J264" i="12"/>
  <c r="J243" i="12"/>
  <c r="J213" i="12"/>
  <c r="J209" i="12"/>
  <c r="J242" i="12"/>
  <c r="J260" i="12"/>
  <c r="J187" i="12"/>
  <c r="J285" i="12"/>
  <c r="J287" i="12"/>
  <c r="J325" i="12"/>
  <c r="J233" i="12"/>
  <c r="J254" i="12"/>
  <c r="J284" i="12"/>
  <c r="J199" i="12"/>
  <c r="J192" i="12"/>
  <c r="J299" i="12"/>
  <c r="J180" i="12"/>
  <c r="J321" i="12"/>
  <c r="J298" i="12"/>
  <c r="J214" i="12"/>
  <c r="AM273" i="12"/>
  <c r="AM277" i="12"/>
  <c r="AM192" i="12"/>
  <c r="AM196" i="12"/>
  <c r="AM197" i="12"/>
  <c r="AM269" i="12"/>
  <c r="AM203" i="12"/>
  <c r="AM279" i="12"/>
  <c r="AM263" i="12"/>
  <c r="CY235" i="12"/>
  <c r="CY187" i="12"/>
  <c r="CY267" i="12"/>
  <c r="CY171" i="12"/>
  <c r="O64" i="3" s="1"/>
  <c r="L24" i="14" s="1"/>
  <c r="CY216" i="12"/>
  <c r="K68" i="13"/>
  <c r="EU196" i="12"/>
  <c r="EU204" i="12"/>
  <c r="EU273" i="12"/>
  <c r="BY212" i="12"/>
  <c r="BY271" i="12"/>
  <c r="BY270" i="12"/>
  <c r="BY184" i="12"/>
  <c r="DX257" i="12"/>
  <c r="DX169" i="12"/>
  <c r="DX278" i="12"/>
  <c r="DX323" i="12"/>
  <c r="DX287" i="12"/>
  <c r="DX297" i="12"/>
  <c r="DX293" i="12"/>
  <c r="DX289" i="12"/>
  <c r="BL230" i="12"/>
  <c r="BL201" i="12"/>
  <c r="BL272" i="12"/>
  <c r="BL289" i="12"/>
  <c r="BL186" i="12"/>
  <c r="BL315" i="12"/>
  <c r="BL204" i="12"/>
  <c r="BL296" i="12"/>
  <c r="BL308" i="12"/>
  <c r="BL194" i="12"/>
  <c r="BL232" i="12"/>
  <c r="BL278" i="12"/>
  <c r="BL171" i="12"/>
  <c r="N56" i="3" s="1"/>
  <c r="K23" i="14" s="1"/>
  <c r="BL316" i="12"/>
  <c r="E56" i="3"/>
  <c r="BL277" i="12"/>
  <c r="BL291" i="12"/>
  <c r="BL238" i="12"/>
  <c r="BL313" i="12"/>
  <c r="BL217" i="12"/>
  <c r="BL282" i="12"/>
  <c r="BL181" i="12"/>
  <c r="BL240" i="12"/>
  <c r="BL234" i="12"/>
  <c r="BL297" i="12"/>
  <c r="BL220" i="12"/>
  <c r="BL312" i="12"/>
  <c r="BL208" i="12"/>
  <c r="BL200" i="12"/>
  <c r="BL279" i="12"/>
  <c r="BL260" i="12"/>
  <c r="BL207" i="12"/>
  <c r="BL261" i="12"/>
  <c r="CX298" i="12"/>
  <c r="CX320" i="12"/>
  <c r="CX256" i="12"/>
  <c r="CX294" i="12"/>
  <c r="CX252" i="12"/>
  <c r="CX262" i="12"/>
  <c r="CX268" i="12"/>
  <c r="CX181" i="12"/>
  <c r="CX223" i="12"/>
  <c r="CX281" i="12"/>
  <c r="CX303" i="12"/>
  <c r="CX188" i="12"/>
  <c r="CX216" i="12"/>
  <c r="CX186" i="12"/>
  <c r="CX283" i="12"/>
  <c r="CX209" i="12"/>
  <c r="CX210" i="12"/>
  <c r="CX199" i="12"/>
  <c r="CX191" i="12"/>
  <c r="CX231" i="12"/>
  <c r="CX258" i="12"/>
  <c r="CX322" i="12"/>
  <c r="CX214" i="12"/>
  <c r="CX264" i="12"/>
  <c r="CX221" i="12"/>
  <c r="CX299" i="12"/>
  <c r="CX196" i="12"/>
  <c r="CX300" i="12"/>
  <c r="CX228" i="12"/>
  <c r="CX179" i="12"/>
  <c r="CX171" i="12"/>
  <c r="CX259" i="12"/>
  <c r="CX243" i="12"/>
  <c r="CX309" i="12"/>
  <c r="CX204" i="12"/>
  <c r="CX273" i="12"/>
  <c r="CX263" i="12"/>
  <c r="CX330" i="12"/>
  <c r="AL277" i="12"/>
  <c r="AL278" i="12"/>
  <c r="AL321" i="12"/>
  <c r="AL328" i="12"/>
  <c r="AL229" i="12"/>
  <c r="AL316" i="12"/>
  <c r="AL319" i="12"/>
  <c r="AL295" i="12"/>
  <c r="AL280" i="12"/>
  <c r="AL238" i="12"/>
  <c r="AL188" i="12"/>
  <c r="AL212" i="12"/>
  <c r="AL226" i="12"/>
  <c r="AL177" i="12"/>
  <c r="AL281" i="12"/>
  <c r="AL292" i="12"/>
  <c r="AL247" i="12"/>
  <c r="DC219" i="12"/>
  <c r="DC328" i="12"/>
  <c r="DC197" i="12"/>
  <c r="DC237" i="12"/>
  <c r="DC311" i="12"/>
  <c r="DC298" i="12"/>
  <c r="DC181" i="12"/>
  <c r="DC292" i="12"/>
  <c r="DC222" i="12"/>
  <c r="DC307" i="12"/>
  <c r="DC285" i="12"/>
  <c r="DC265" i="12"/>
  <c r="DC203" i="12"/>
  <c r="DC234" i="12"/>
  <c r="DC207" i="12"/>
  <c r="DC296" i="12"/>
  <c r="DC171" i="12"/>
  <c r="O72" i="3" s="1"/>
  <c r="L25" i="14" s="1"/>
  <c r="DC233" i="12"/>
  <c r="DC182" i="12"/>
  <c r="DC224" i="12"/>
  <c r="DC230" i="12"/>
  <c r="DC185" i="12"/>
  <c r="DC272" i="12"/>
  <c r="DC249" i="12"/>
  <c r="G72" i="3"/>
  <c r="DC187" i="12"/>
  <c r="DC268" i="12"/>
  <c r="DC290" i="12"/>
  <c r="DC303" i="12"/>
  <c r="DC218" i="12"/>
  <c r="DC304" i="12"/>
  <c r="DC315" i="12"/>
  <c r="DC186" i="12"/>
  <c r="DC287" i="12"/>
  <c r="DC309" i="12"/>
  <c r="DC259" i="12"/>
  <c r="DC322" i="12"/>
  <c r="DC316" i="12"/>
  <c r="AG295" i="12"/>
  <c r="AG310" i="12"/>
  <c r="AG234" i="12"/>
  <c r="AG304" i="12"/>
  <c r="AG182" i="12"/>
  <c r="AG199" i="12"/>
  <c r="AG259" i="12"/>
  <c r="AG315" i="12"/>
  <c r="AG338" i="12"/>
  <c r="AG331" i="12" s="1"/>
  <c r="AG204" i="12"/>
  <c r="AG235" i="12"/>
  <c r="AG218" i="12"/>
  <c r="AG190" i="12"/>
  <c r="C72" i="3"/>
  <c r="AG239" i="12"/>
  <c r="AG313" i="12"/>
  <c r="AG211" i="12"/>
  <c r="AG266" i="12"/>
  <c r="AG285" i="12"/>
  <c r="AG184" i="12"/>
  <c r="AG293" i="12"/>
  <c r="AG291" i="12"/>
  <c r="AG200" i="12"/>
  <c r="AG296" i="12"/>
  <c r="AG318" i="12"/>
  <c r="AG203" i="12"/>
  <c r="AG252" i="12"/>
  <c r="AG225" i="12"/>
  <c r="AG267" i="12"/>
  <c r="AG292" i="12"/>
  <c r="AG307" i="12"/>
  <c r="AG216" i="12"/>
  <c r="AG241" i="12"/>
  <c r="AG322" i="12"/>
  <c r="AG248" i="12"/>
  <c r="DA227" i="12"/>
  <c r="O67" i="3"/>
  <c r="Q290" i="12"/>
  <c r="Q319" i="12"/>
  <c r="Q296" i="12"/>
  <c r="Q244" i="12"/>
  <c r="Q313" i="12"/>
  <c r="Q251" i="12"/>
  <c r="Q309" i="12"/>
  <c r="Q272" i="12"/>
  <c r="DD259" i="12"/>
  <c r="DD210" i="12"/>
  <c r="DD322" i="12"/>
  <c r="DD227" i="12"/>
  <c r="DD270" i="12"/>
  <c r="DD212" i="12"/>
  <c r="DD298" i="12"/>
  <c r="DD218" i="12"/>
  <c r="AR301" i="12"/>
  <c r="AR218" i="12"/>
  <c r="AR238" i="12"/>
  <c r="AR316" i="12"/>
  <c r="AR242" i="12"/>
  <c r="AR193" i="12"/>
  <c r="AR217" i="12"/>
  <c r="AR200" i="12"/>
  <c r="AR282" i="12"/>
  <c r="AR321" i="12"/>
  <c r="AR275" i="12"/>
  <c r="AR224" i="12"/>
  <c r="AR271" i="12"/>
  <c r="AR283" i="12"/>
  <c r="AR172" i="12"/>
  <c r="AR277" i="12"/>
  <c r="CD330" i="12"/>
  <c r="CD248" i="12"/>
  <c r="CD225" i="12"/>
  <c r="CD192" i="12"/>
  <c r="CD297" i="12"/>
  <c r="CD239" i="12"/>
  <c r="CD176" i="12"/>
  <c r="CD265" i="12"/>
  <c r="CD244" i="12"/>
  <c r="CD309" i="12"/>
  <c r="CD293" i="12"/>
  <c r="CD189" i="12"/>
  <c r="CD276" i="12"/>
  <c r="CD200" i="12"/>
  <c r="CD270" i="12"/>
  <c r="CD304" i="12"/>
  <c r="CD230" i="12"/>
  <c r="CD287" i="12"/>
  <c r="R207" i="12"/>
  <c r="R313" i="12"/>
  <c r="R260" i="12"/>
  <c r="CS291" i="12"/>
  <c r="CS210" i="12"/>
  <c r="CS281" i="12"/>
  <c r="CS209" i="12"/>
  <c r="CS196" i="12"/>
  <c r="CS236" i="12"/>
  <c r="CS189" i="12"/>
  <c r="FA227" i="12"/>
  <c r="FA199" i="12"/>
  <c r="FA338" i="12"/>
  <c r="FA331" i="12" s="1"/>
  <c r="FA292" i="12"/>
  <c r="FA219" i="12"/>
  <c r="FA238" i="12"/>
  <c r="FA243" i="12"/>
  <c r="FA251" i="12"/>
  <c r="FA177" i="12"/>
  <c r="FA241" i="12"/>
  <c r="FA249" i="12"/>
  <c r="FA183" i="12"/>
  <c r="FA311" i="12"/>
  <c r="FA231" i="12"/>
  <c r="FA291" i="12"/>
  <c r="FA299" i="12"/>
  <c r="FA272" i="12"/>
  <c r="FA278" i="12"/>
  <c r="FA185" i="12"/>
  <c r="FA274" i="12"/>
  <c r="FA273" i="12"/>
  <c r="FA321" i="12"/>
  <c r="FA195" i="12"/>
  <c r="FA201" i="12"/>
  <c r="FA284" i="12"/>
  <c r="DH208" i="12"/>
  <c r="DH293" i="12"/>
  <c r="DH178" i="12"/>
  <c r="DH324" i="12"/>
  <c r="AV224" i="12"/>
  <c r="AV229" i="12"/>
  <c r="AV187" i="12"/>
  <c r="AV259" i="12"/>
  <c r="AV314" i="12"/>
  <c r="AV248" i="12"/>
  <c r="AV202" i="12"/>
  <c r="AV228" i="12"/>
  <c r="AV245" i="12"/>
  <c r="ET303" i="12"/>
  <c r="ET200" i="12"/>
  <c r="ET338" i="12"/>
  <c r="ET331" i="12" s="1"/>
  <c r="ET314" i="12"/>
  <c r="ET229" i="12"/>
  <c r="ET305" i="12"/>
  <c r="ET222" i="12"/>
  <c r="ET286" i="12"/>
  <c r="ET269" i="12"/>
  <c r="ET297" i="12"/>
  <c r="ET281" i="12"/>
  <c r="ET265" i="12"/>
  <c r="ET327" i="12"/>
  <c r="ET275" i="12"/>
  <c r="ET195" i="12"/>
  <c r="CH314" i="12"/>
  <c r="CH296" i="12"/>
  <c r="CH215" i="12"/>
  <c r="CH234" i="12"/>
  <c r="BG313" i="12"/>
  <c r="BG193" i="12"/>
  <c r="BG302" i="12"/>
  <c r="BG314" i="12"/>
  <c r="BG185" i="12"/>
  <c r="BG330" i="12"/>
  <c r="BG269" i="12"/>
  <c r="BG306" i="12"/>
  <c r="BG327" i="12"/>
  <c r="BG184" i="12"/>
  <c r="BG301" i="12"/>
  <c r="BG197" i="12"/>
  <c r="BG176" i="12"/>
  <c r="BG299" i="12"/>
  <c r="BG199" i="12"/>
  <c r="BG247" i="12"/>
  <c r="BG190" i="12"/>
  <c r="BG228" i="12"/>
  <c r="BG252" i="12"/>
  <c r="BG243" i="12"/>
  <c r="BG270" i="12"/>
  <c r="BG226" i="12"/>
  <c r="BG220" i="12"/>
  <c r="BG264" i="12"/>
  <c r="BG308" i="12"/>
  <c r="BG303" i="12"/>
  <c r="BG227" i="12"/>
  <c r="BG244" i="12"/>
  <c r="BG312" i="12"/>
  <c r="BG281" i="12"/>
  <c r="BG230" i="12"/>
  <c r="BG192" i="12"/>
  <c r="BG277" i="12"/>
  <c r="BG324" i="12"/>
  <c r="EG208" i="12"/>
  <c r="EG225" i="12"/>
  <c r="EG226" i="12"/>
  <c r="EG242" i="12"/>
  <c r="EG223" i="12"/>
  <c r="EG228" i="12"/>
  <c r="EG305" i="12"/>
  <c r="EG201" i="12"/>
  <c r="EG325" i="12"/>
  <c r="CN238" i="12"/>
  <c r="BN298" i="12"/>
  <c r="BN297" i="12"/>
  <c r="AE254" i="12"/>
  <c r="AE327" i="12"/>
  <c r="AE241" i="12"/>
  <c r="AE248" i="12"/>
  <c r="AE330" i="12"/>
  <c r="AE197" i="12"/>
  <c r="AE223" i="12"/>
  <c r="AE230" i="12"/>
  <c r="AE315" i="12"/>
  <c r="AE217" i="12"/>
  <c r="AE236" i="12"/>
  <c r="AE306" i="12"/>
  <c r="AE229" i="12"/>
  <c r="AE243" i="12"/>
  <c r="AE270" i="12"/>
  <c r="AE200" i="12"/>
  <c r="AE321" i="12"/>
  <c r="AE288" i="12"/>
  <c r="AE183" i="12"/>
  <c r="AE313" i="12"/>
  <c r="AE284" i="12"/>
  <c r="AE184" i="12"/>
  <c r="AE325" i="12"/>
  <c r="AE291" i="12"/>
  <c r="AE233" i="12"/>
  <c r="AE244" i="12"/>
  <c r="AE298" i="12"/>
  <c r="AE187" i="12"/>
  <c r="AE219" i="12"/>
  <c r="AE286" i="12"/>
  <c r="AE204" i="12"/>
  <c r="AE234" i="12"/>
  <c r="AE328" i="12"/>
  <c r="AE211" i="12"/>
  <c r="AE206" i="12"/>
  <c r="AE303" i="12"/>
  <c r="AE257" i="12"/>
  <c r="AE256" i="12"/>
  <c r="AE169" i="12"/>
  <c r="BK338" i="12"/>
  <c r="BK331" i="12" s="1"/>
  <c r="BK199" i="12"/>
  <c r="BK234" i="12"/>
  <c r="BK246" i="12"/>
  <c r="BK239" i="12"/>
  <c r="BK265" i="12"/>
  <c r="BK186" i="12"/>
  <c r="BK288" i="12"/>
  <c r="BK188" i="12"/>
  <c r="BK252" i="12"/>
  <c r="BK326" i="12"/>
  <c r="BK243" i="12"/>
  <c r="BK269" i="12"/>
  <c r="BK206" i="12"/>
  <c r="BK260" i="12"/>
  <c r="BK314" i="12"/>
  <c r="BK283" i="12"/>
  <c r="BK325" i="12"/>
  <c r="BK205" i="12"/>
  <c r="BK221" i="12"/>
  <c r="E55" i="13"/>
  <c r="BK323" i="12"/>
  <c r="BK302" i="12"/>
  <c r="BK213" i="12"/>
  <c r="BK232" i="12"/>
  <c r="BK187" i="12"/>
  <c r="BK320" i="12"/>
  <c r="BK210" i="12"/>
  <c r="BK284" i="12"/>
  <c r="BK330" i="12"/>
  <c r="BK275" i="12"/>
  <c r="BK301" i="12"/>
  <c r="BK214" i="12"/>
  <c r="BK292" i="12"/>
  <c r="BK180" i="12"/>
  <c r="BK315" i="12"/>
  <c r="BK242" i="12"/>
  <c r="BK223" i="12"/>
  <c r="BK257" i="12"/>
  <c r="CQ271" i="12"/>
  <c r="CQ225" i="12"/>
  <c r="CQ258" i="12"/>
  <c r="CQ186" i="12"/>
  <c r="CQ233" i="12"/>
  <c r="CQ254" i="12"/>
  <c r="CQ230" i="12"/>
  <c r="CQ290" i="12"/>
  <c r="CQ201" i="12"/>
  <c r="CQ309" i="12"/>
  <c r="CQ198" i="12"/>
  <c r="CQ288" i="12"/>
  <c r="CQ303" i="12"/>
  <c r="CQ235" i="12"/>
  <c r="CQ263" i="12"/>
  <c r="CQ210" i="12"/>
  <c r="CQ328" i="12"/>
  <c r="CQ177" i="12"/>
  <c r="CQ256" i="12"/>
  <c r="CQ318" i="12"/>
  <c r="CQ187" i="12"/>
  <c r="CQ240" i="12"/>
  <c r="CQ279" i="12"/>
  <c r="CQ252" i="12"/>
  <c r="CQ310" i="12"/>
  <c r="CQ222" i="12"/>
  <c r="CQ297" i="12"/>
  <c r="CQ215" i="12"/>
  <c r="CQ277" i="12"/>
  <c r="CQ181" i="12"/>
  <c r="CQ261" i="12"/>
  <c r="CQ330" i="12"/>
  <c r="CQ224" i="12"/>
  <c r="CQ229" i="12"/>
  <c r="CQ188" i="12"/>
  <c r="CQ296" i="12"/>
  <c r="CQ327" i="12"/>
  <c r="CQ228" i="12"/>
  <c r="CQ286" i="12"/>
  <c r="DW295" i="12"/>
  <c r="DW171" i="12"/>
  <c r="P65" i="3" s="1"/>
  <c r="M38" i="14" s="1"/>
  <c r="DW204" i="12"/>
  <c r="DW183" i="12"/>
  <c r="DW265" i="12"/>
  <c r="DW312" i="12"/>
  <c r="DW216" i="12"/>
  <c r="DW327" i="12"/>
  <c r="DW269" i="12"/>
  <c r="DW187" i="12"/>
  <c r="DW306" i="12"/>
  <c r="DW169" i="12"/>
  <c r="DW236" i="12"/>
  <c r="DW220" i="12"/>
  <c r="DW208" i="12"/>
  <c r="DW190" i="12"/>
  <c r="DW267" i="12"/>
  <c r="DW324" i="12"/>
  <c r="DW313" i="12"/>
  <c r="DW239" i="12"/>
  <c r="DW284" i="12"/>
  <c r="DW197" i="12"/>
  <c r="DW302" i="12"/>
  <c r="DW250" i="12"/>
  <c r="DW289" i="12"/>
  <c r="DW222" i="12"/>
  <c r="DW246" i="12"/>
  <c r="DW245" i="12"/>
  <c r="DW202" i="12"/>
  <c r="DW286" i="12"/>
  <c r="DW182" i="12"/>
  <c r="DW261" i="12"/>
  <c r="DW224" i="12"/>
  <c r="DW315" i="12"/>
  <c r="DW193" i="12"/>
  <c r="DW282" i="12"/>
  <c r="DW321" i="12"/>
  <c r="DW305" i="12"/>
  <c r="DW237" i="12"/>
  <c r="DW300" i="12"/>
  <c r="BA261" i="12"/>
  <c r="BA257" i="12"/>
  <c r="BA190" i="12"/>
  <c r="BA326" i="12"/>
  <c r="BA232" i="12"/>
  <c r="BA179" i="12"/>
  <c r="BA223" i="12"/>
  <c r="BA192" i="12"/>
  <c r="BA318" i="12"/>
  <c r="BA236" i="12"/>
  <c r="BA260" i="12"/>
  <c r="BA285" i="12"/>
  <c r="BA206" i="12"/>
  <c r="BA281" i="12"/>
  <c r="BA327" i="12"/>
  <c r="BA189" i="12"/>
  <c r="BA306" i="12"/>
  <c r="BA188" i="12"/>
  <c r="BA240" i="12"/>
  <c r="BA267" i="12"/>
  <c r="BA185" i="12"/>
  <c r="BA218" i="12"/>
  <c r="BA330" i="12"/>
  <c r="BA278" i="12"/>
  <c r="BA286" i="12"/>
  <c r="BA312" i="12"/>
  <c r="BA307" i="12"/>
  <c r="BA205" i="12"/>
  <c r="BA191" i="12"/>
  <c r="BA246" i="12"/>
  <c r="BA317" i="12"/>
  <c r="BA298" i="12"/>
  <c r="BA321" i="12"/>
  <c r="BA300" i="12"/>
  <c r="BA187" i="12"/>
  <c r="BA171" i="12"/>
  <c r="BA297" i="12"/>
  <c r="BA287" i="12"/>
  <c r="BA290" i="12"/>
  <c r="CC171" i="12"/>
  <c r="N81" i="3" s="1"/>
  <c r="K40" i="14" s="1"/>
  <c r="CC271" i="12"/>
  <c r="CC244" i="12"/>
  <c r="CC227" i="12"/>
  <c r="CC180" i="12"/>
  <c r="CC185" i="12"/>
  <c r="CC326" i="12"/>
  <c r="CC287" i="12"/>
  <c r="CC238" i="12"/>
  <c r="CC225" i="12"/>
  <c r="CC201" i="12"/>
  <c r="CC279" i="12"/>
  <c r="CC256" i="12"/>
  <c r="CC296" i="12"/>
  <c r="CC285" i="12"/>
  <c r="CC211" i="12"/>
  <c r="CC208" i="12"/>
  <c r="CC258" i="12"/>
  <c r="CC252" i="12"/>
  <c r="CC312" i="12"/>
  <c r="E81" i="13"/>
  <c r="CC207" i="12"/>
  <c r="CC286" i="12"/>
  <c r="CC179" i="12"/>
  <c r="CC277" i="12"/>
  <c r="CC299" i="12"/>
  <c r="CC224" i="12"/>
  <c r="CC242" i="12"/>
  <c r="CC186" i="12"/>
  <c r="CC317" i="12"/>
  <c r="CC274" i="12"/>
  <c r="CC215" i="12"/>
  <c r="CC243" i="12"/>
  <c r="CC216" i="12"/>
  <c r="CC302" i="12"/>
  <c r="CC169" i="12"/>
  <c r="CC273" i="12"/>
  <c r="CC294" i="12"/>
  <c r="CC203" i="12"/>
  <c r="CC255" i="12"/>
  <c r="CC181" i="12"/>
  <c r="CC281" i="12"/>
  <c r="CC304" i="12"/>
  <c r="CC222" i="12"/>
  <c r="CC266" i="12"/>
  <c r="CC197" i="12"/>
  <c r="CC321" i="12"/>
  <c r="CC311" i="12"/>
  <c r="CC214" i="12"/>
  <c r="CC319" i="12"/>
  <c r="CC217" i="12"/>
  <c r="CC307" i="12"/>
  <c r="CC182" i="12"/>
  <c r="CC293" i="12"/>
  <c r="CC320" i="12"/>
  <c r="CC220" i="12"/>
  <c r="CC260" i="12"/>
  <c r="CC196" i="12"/>
  <c r="CC235" i="12"/>
  <c r="E81" i="3"/>
  <c r="EO338" i="12"/>
  <c r="EO331" i="12" s="1"/>
  <c r="EO185" i="12"/>
  <c r="EO263" i="12"/>
  <c r="EO297" i="12"/>
  <c r="EO229" i="12"/>
  <c r="EO246" i="12"/>
  <c r="EO214" i="12"/>
  <c r="EO195" i="12"/>
  <c r="EO323" i="12"/>
  <c r="EO278" i="12"/>
  <c r="EO314" i="12"/>
  <c r="EO221" i="12"/>
  <c r="EO324" i="12"/>
  <c r="EO192" i="12"/>
  <c r="EO272" i="12"/>
  <c r="EO312" i="12"/>
  <c r="EO256" i="12"/>
  <c r="EO290" i="12"/>
  <c r="EO225" i="12"/>
  <c r="EO177" i="12"/>
  <c r="EO247" i="12"/>
  <c r="EO244" i="12"/>
  <c r="EO282" i="12"/>
  <c r="EO199" i="12"/>
  <c r="EO242" i="12"/>
  <c r="EO217" i="12"/>
  <c r="EO196" i="12"/>
  <c r="EO308" i="12"/>
  <c r="EO243" i="12"/>
  <c r="EO284" i="12"/>
  <c r="EO198" i="12"/>
  <c r="EO306" i="12"/>
  <c r="EO190" i="12"/>
  <c r="EO288" i="12"/>
  <c r="EO319" i="12"/>
  <c r="EO286" i="12"/>
  <c r="EO328" i="12"/>
  <c r="EO259" i="12"/>
  <c r="EO224" i="12"/>
  <c r="K56" i="3"/>
  <c r="EK246" i="12"/>
  <c r="EK245" i="12"/>
  <c r="EK224" i="12"/>
  <c r="EK252" i="12"/>
  <c r="EK328" i="12"/>
  <c r="EK254" i="12"/>
  <c r="EK320" i="12"/>
  <c r="EK269" i="12"/>
  <c r="EK230" i="12"/>
  <c r="EK169" i="12"/>
  <c r="EK250" i="12"/>
  <c r="EK233" i="12"/>
  <c r="EK171" i="12"/>
  <c r="EK234" i="12"/>
  <c r="EK206" i="12"/>
  <c r="EK181" i="12"/>
  <c r="EK308" i="12"/>
  <c r="EK256" i="12"/>
  <c r="EK295" i="12"/>
  <c r="EK329" i="12"/>
  <c r="EK210" i="12"/>
  <c r="EK208" i="12"/>
  <c r="EK228" i="12"/>
  <c r="EK293" i="12"/>
  <c r="EK325" i="12"/>
  <c r="EK273" i="12"/>
  <c r="EK220" i="12"/>
  <c r="EK209" i="12"/>
  <c r="EK327" i="12"/>
  <c r="EK287" i="12"/>
  <c r="EK229" i="12"/>
  <c r="EK274" i="12"/>
  <c r="EK215" i="12"/>
  <c r="EK261" i="12"/>
  <c r="EK201" i="12"/>
  <c r="EK302" i="12"/>
  <c r="EK319" i="12"/>
  <c r="EK241" i="12"/>
  <c r="EK279" i="12"/>
  <c r="EK217" i="12"/>
  <c r="EK187" i="12"/>
  <c r="EK318" i="12"/>
  <c r="EK264" i="12"/>
  <c r="EK303" i="12"/>
  <c r="EK236" i="12"/>
  <c r="EK219" i="12"/>
  <c r="EK189" i="12"/>
  <c r="EK309" i="12"/>
  <c r="EK257" i="12"/>
  <c r="EK182" i="12"/>
  <c r="EK260" i="12"/>
  <c r="EK191" i="12"/>
  <c r="EK299" i="12"/>
  <c r="EK253" i="12"/>
  <c r="EK247" i="12"/>
  <c r="EK286" i="12"/>
  <c r="EK223" i="12"/>
  <c r="EK251" i="12"/>
  <c r="DP285" i="12"/>
  <c r="DP216" i="12"/>
  <c r="DP319" i="12"/>
  <c r="DP192" i="12"/>
  <c r="DP301" i="12"/>
  <c r="DP321" i="12"/>
  <c r="DP181" i="12"/>
  <c r="DP325" i="12"/>
  <c r="DP302" i="12"/>
  <c r="DP243" i="12"/>
  <c r="DP197" i="12"/>
  <c r="DP328" i="12"/>
  <c r="DP260" i="12"/>
  <c r="DP320" i="12"/>
  <c r="DP294" i="12"/>
  <c r="DP225" i="12"/>
  <c r="DP208" i="12"/>
  <c r="DP290" i="12"/>
  <c r="DP204" i="12"/>
  <c r="DP253" i="12"/>
  <c r="DP280" i="12"/>
  <c r="DP275" i="12"/>
  <c r="DP244" i="12"/>
  <c r="DP224" i="12"/>
  <c r="DP232" i="12"/>
  <c r="DP200" i="12"/>
  <c r="DP324" i="12"/>
  <c r="DP307" i="12"/>
  <c r="DP212" i="12"/>
  <c r="DP210" i="12"/>
  <c r="DP188" i="12"/>
  <c r="DP273" i="12"/>
  <c r="DP323" i="12"/>
  <c r="DP257" i="12"/>
  <c r="DP256" i="12"/>
  <c r="DP235" i="12"/>
  <c r="DP213" i="12"/>
  <c r="DP338" i="12"/>
  <c r="DP331" i="12" s="1"/>
  <c r="DP177" i="12"/>
  <c r="DP240" i="12"/>
  <c r="DP252" i="12"/>
  <c r="DP237" i="12"/>
  <c r="DP315" i="12"/>
  <c r="DP185" i="12"/>
  <c r="DP329" i="12"/>
  <c r="DP266" i="12"/>
  <c r="DP250" i="12"/>
  <c r="DP308" i="12"/>
  <c r="DP195" i="12"/>
  <c r="DP271" i="12"/>
  <c r="DP206" i="12"/>
  <c r="DP270" i="12"/>
  <c r="DP179" i="12"/>
  <c r="DP236" i="12"/>
  <c r="DP295" i="12"/>
  <c r="DP227" i="12"/>
  <c r="DP291" i="12"/>
  <c r="DP176" i="12"/>
  <c r="DP214" i="12"/>
  <c r="DP279" i="12"/>
  <c r="DP211" i="12"/>
  <c r="DP278" i="12"/>
  <c r="DP183" i="12"/>
  <c r="DP220" i="12"/>
  <c r="DP311" i="12"/>
  <c r="DP198" i="12"/>
  <c r="DP306" i="12"/>
  <c r="DP194" i="12"/>
  <c r="DP247" i="12"/>
  <c r="DP289" i="12"/>
  <c r="DP246" i="12"/>
  <c r="DP304" i="12"/>
  <c r="DP209" i="12"/>
  <c r="DP310" i="12"/>
  <c r="DP215" i="12"/>
  <c r="DP274" i="12"/>
  <c r="I52" i="13"/>
  <c r="I53" i="13" s="1"/>
  <c r="CJ232" i="12"/>
  <c r="CJ265" i="12"/>
  <c r="CJ219" i="12"/>
  <c r="CJ189" i="12"/>
  <c r="CJ308" i="12"/>
  <c r="CJ315" i="12"/>
  <c r="CJ257" i="12"/>
  <c r="CJ250" i="12"/>
  <c r="CJ224" i="12"/>
  <c r="CJ199" i="12"/>
  <c r="CJ320" i="12"/>
  <c r="CJ261" i="12"/>
  <c r="CJ205" i="12"/>
  <c r="CJ264" i="12"/>
  <c r="CJ305" i="12"/>
  <c r="CJ338" i="12"/>
  <c r="CJ331" i="12" s="1"/>
  <c r="CJ329" i="12"/>
  <c r="CJ242" i="12"/>
  <c r="CJ221" i="12"/>
  <c r="CJ191" i="12"/>
  <c r="CJ255" i="12"/>
  <c r="CJ322" i="12"/>
  <c r="CJ309" i="12"/>
  <c r="CJ231" i="12"/>
  <c r="CJ214" i="12"/>
  <c r="E96" i="13"/>
  <c r="CJ263" i="12"/>
  <c r="CJ325" i="12"/>
  <c r="CJ239" i="12"/>
  <c r="CJ229" i="12"/>
  <c r="CJ197" i="12"/>
  <c r="CJ304" i="12"/>
  <c r="CJ307" i="12"/>
  <c r="CJ282" i="12"/>
  <c r="CJ269" i="12"/>
  <c r="BD232" i="12"/>
  <c r="BD262" i="12"/>
  <c r="BD208" i="12"/>
  <c r="BD169" i="12"/>
  <c r="BD229" i="12"/>
  <c r="BD248" i="12"/>
  <c r="BD252" i="12"/>
  <c r="BD322" i="12"/>
  <c r="BD189" i="12"/>
  <c r="BD267" i="12"/>
  <c r="BD226" i="12"/>
  <c r="BD297" i="12"/>
  <c r="BD224" i="12"/>
  <c r="BD302" i="12"/>
  <c r="BD197" i="12"/>
  <c r="BD193" i="12"/>
  <c r="BD324" i="12"/>
  <c r="BD265" i="12"/>
  <c r="BD255" i="12"/>
  <c r="BD236" i="12"/>
  <c r="X184" i="12"/>
  <c r="X275" i="12"/>
  <c r="X223" i="12"/>
  <c r="X230" i="12"/>
  <c r="X250" i="12"/>
  <c r="X308" i="12"/>
  <c r="X274" i="12"/>
  <c r="X303" i="12"/>
  <c r="X186" i="12"/>
  <c r="X241" i="12"/>
  <c r="X236" i="12"/>
  <c r="X238" i="12"/>
  <c r="X226" i="12"/>
  <c r="X267" i="12"/>
  <c r="X199" i="12"/>
  <c r="X229" i="12"/>
  <c r="X278" i="12"/>
  <c r="X256" i="12"/>
  <c r="X228" i="12"/>
  <c r="X258" i="12"/>
  <c r="CP258" i="12"/>
  <c r="CP243" i="12"/>
  <c r="CP187" i="12"/>
  <c r="CP240" i="12"/>
  <c r="CP177" i="12"/>
  <c r="CP310" i="12"/>
  <c r="CP278" i="12"/>
  <c r="CP214" i="12"/>
  <c r="CP306" i="12"/>
  <c r="CP270" i="12"/>
  <c r="CP193" i="12"/>
  <c r="CP275" i="12"/>
  <c r="CP313" i="12"/>
  <c r="CP318" i="12"/>
  <c r="CP216" i="12"/>
  <c r="CP239" i="12"/>
  <c r="CP292" i="12"/>
  <c r="CP182" i="12"/>
  <c r="CP288" i="12"/>
  <c r="CP211" i="12"/>
  <c r="CP245" i="12"/>
  <c r="CP169" i="12"/>
  <c r="CP181" i="12"/>
  <c r="CP260" i="12"/>
  <c r="CP273" i="12"/>
  <c r="CP286" i="12"/>
  <c r="CP191" i="12"/>
  <c r="CP209" i="12"/>
  <c r="CP257" i="12"/>
  <c r="BJ176" i="12"/>
  <c r="BJ291" i="12"/>
  <c r="BJ255" i="12"/>
  <c r="BJ238" i="12"/>
  <c r="BJ231" i="12"/>
  <c r="BJ200" i="12"/>
  <c r="BJ313" i="12"/>
  <c r="BJ304" i="12"/>
  <c r="BJ316" i="12"/>
  <c r="BJ311" i="12"/>
  <c r="BJ298" i="12"/>
  <c r="BJ227" i="12"/>
  <c r="BJ195" i="12"/>
  <c r="BJ281" i="12"/>
  <c r="BJ296" i="12"/>
  <c r="BJ275" i="12"/>
  <c r="BJ278" i="12"/>
  <c r="BJ208" i="12"/>
  <c r="BJ189" i="12"/>
  <c r="BJ293" i="12"/>
  <c r="S263" i="12"/>
  <c r="S188" i="12"/>
  <c r="S213" i="12"/>
  <c r="S264" i="12"/>
  <c r="S211" i="12"/>
  <c r="S302" i="12"/>
  <c r="S180" i="12"/>
  <c r="S261" i="12"/>
  <c r="S220" i="12"/>
  <c r="S292" i="12"/>
  <c r="S317" i="12"/>
  <c r="S296" i="12"/>
  <c r="S305" i="12"/>
  <c r="S233" i="12"/>
  <c r="S291" i="12"/>
  <c r="S206" i="12"/>
  <c r="S254" i="12"/>
  <c r="S203" i="12"/>
  <c r="S301" i="12"/>
  <c r="S265" i="12"/>
  <c r="S245" i="12"/>
  <c r="S246" i="12"/>
  <c r="S215" i="12"/>
  <c r="S327" i="12"/>
  <c r="S198" i="12"/>
  <c r="S231" i="12"/>
  <c r="S177" i="12"/>
  <c r="S169" i="12"/>
  <c r="S223" i="12"/>
  <c r="S230" i="12"/>
  <c r="S295" i="12"/>
  <c r="S232" i="12"/>
  <c r="S240" i="12"/>
  <c r="S258" i="12"/>
  <c r="S311" i="12"/>
  <c r="S276" i="12"/>
  <c r="S222" i="12"/>
  <c r="AY193" i="12"/>
  <c r="AY184" i="12"/>
  <c r="AY244" i="12"/>
  <c r="AY224" i="12"/>
  <c r="AY245" i="12"/>
  <c r="AY258" i="12"/>
  <c r="AY284" i="12"/>
  <c r="AY285" i="12"/>
  <c r="AY262" i="12"/>
  <c r="AY179" i="12"/>
  <c r="AY318" i="12"/>
  <c r="AY205" i="12"/>
  <c r="AY182" i="12"/>
  <c r="AY330" i="12"/>
  <c r="AY257" i="12"/>
  <c r="AY269" i="12"/>
  <c r="AY311" i="12"/>
  <c r="AY254" i="12"/>
  <c r="AY211" i="12"/>
  <c r="AY219" i="12"/>
  <c r="AY297" i="12"/>
  <c r="AY296" i="12"/>
  <c r="AY316" i="12"/>
  <c r="AY189" i="12"/>
  <c r="AY278" i="12"/>
  <c r="AY234" i="12"/>
  <c r="CE234" i="12"/>
  <c r="CE315" i="12"/>
  <c r="CE199" i="12"/>
  <c r="CE302" i="12"/>
  <c r="CE272" i="12"/>
  <c r="CE325" i="12"/>
  <c r="CE244" i="12"/>
  <c r="CE222" i="12"/>
  <c r="CE252" i="12"/>
  <c r="CE306" i="12"/>
  <c r="CE216" i="12"/>
  <c r="CE177" i="12"/>
  <c r="CE233" i="12"/>
  <c r="CE223" i="12"/>
  <c r="E87" i="13"/>
  <c r="CE218" i="12"/>
  <c r="CE180" i="12"/>
  <c r="CE289" i="12"/>
  <c r="CE311" i="12"/>
  <c r="CE290" i="12"/>
  <c r="CE226" i="12"/>
  <c r="CE206" i="12"/>
  <c r="CE317" i="12"/>
  <c r="CE292" i="12"/>
  <c r="CE275" i="12"/>
  <c r="CE286" i="12"/>
  <c r="CE243" i="12"/>
  <c r="CE224" i="12"/>
  <c r="CE186" i="12"/>
  <c r="CE313" i="12"/>
  <c r="CE300" i="12"/>
  <c r="CE283" i="12"/>
  <c r="CE262" i="12"/>
  <c r="CE189" i="12"/>
  <c r="DK290" i="12"/>
  <c r="DK214" i="12"/>
  <c r="DK301" i="12"/>
  <c r="DK327" i="12"/>
  <c r="DK225" i="12"/>
  <c r="DK264" i="12"/>
  <c r="DK220" i="12"/>
  <c r="DK322" i="12"/>
  <c r="DK249" i="12"/>
  <c r="DK234" i="12"/>
  <c r="DK184" i="12"/>
  <c r="DK321" i="12"/>
  <c r="DK261" i="12"/>
  <c r="DK193" i="12"/>
  <c r="DK233" i="12"/>
  <c r="DK306" i="12"/>
  <c r="DK274" i="12"/>
  <c r="DK231" i="12"/>
  <c r="DK192" i="12"/>
  <c r="DK187" i="12"/>
  <c r="DK295" i="12"/>
  <c r="DK284" i="12"/>
  <c r="DK305" i="12"/>
  <c r="DK300" i="12"/>
  <c r="DK248" i="12"/>
  <c r="DK197" i="12"/>
  <c r="DK252" i="12"/>
  <c r="DK273" i="12"/>
  <c r="DK317" i="12"/>
  <c r="DK296" i="12"/>
  <c r="DK238" i="12"/>
  <c r="DK218" i="12"/>
  <c r="DK169" i="12"/>
  <c r="DK280" i="12"/>
  <c r="DK313" i="12"/>
  <c r="AO184" i="12"/>
  <c r="AO178" i="12"/>
  <c r="AO295" i="12"/>
  <c r="AO323" i="12"/>
  <c r="AO285" i="12"/>
  <c r="AO276" i="12"/>
  <c r="AO204" i="12"/>
  <c r="AO188" i="12"/>
  <c r="AO250" i="12"/>
  <c r="AO270" i="12"/>
  <c r="AO297" i="12"/>
  <c r="AO320" i="12"/>
  <c r="AO220" i="12"/>
  <c r="AO196" i="12"/>
  <c r="AO311" i="12"/>
  <c r="AO307" i="12"/>
  <c r="AO277" i="12"/>
  <c r="AO300" i="12"/>
  <c r="AO185" i="12"/>
  <c r="AO306" i="12"/>
  <c r="BU291" i="12"/>
  <c r="BU210" i="12"/>
  <c r="BU295" i="12"/>
  <c r="BU286" i="12"/>
  <c r="BU185" i="12"/>
  <c r="BU299" i="12"/>
  <c r="BU301" i="12"/>
  <c r="BU213" i="12"/>
  <c r="BU294" i="12"/>
  <c r="BU318" i="12"/>
  <c r="BU207" i="12"/>
  <c r="BU187" i="12"/>
  <c r="BU258" i="12"/>
  <c r="BU314" i="12"/>
  <c r="BU296" i="12"/>
  <c r="BU293" i="12"/>
  <c r="BU222" i="12"/>
  <c r="BU197" i="12"/>
  <c r="BU322" i="12"/>
  <c r="BU244" i="12"/>
  <c r="BU248" i="12"/>
  <c r="BU236" i="12"/>
  <c r="BU199" i="12"/>
  <c r="BU182" i="12"/>
  <c r="BU304" i="12"/>
  <c r="BU303" i="12"/>
  <c r="BU243" i="12"/>
  <c r="BU285" i="12"/>
  <c r="BU202" i="12"/>
  <c r="E49" i="3"/>
  <c r="DQ176" i="12"/>
  <c r="DQ323" i="12"/>
  <c r="DQ288" i="12"/>
  <c r="DQ239" i="12"/>
  <c r="DQ230" i="12"/>
  <c r="DQ200" i="12"/>
  <c r="DQ324" i="12"/>
  <c r="DQ260" i="12"/>
  <c r="DQ193" i="12"/>
  <c r="DQ316" i="12"/>
  <c r="DQ218" i="12"/>
  <c r="DQ205" i="12"/>
  <c r="DQ187" i="12"/>
  <c r="DQ286" i="12"/>
  <c r="DQ234" i="12"/>
  <c r="DQ307" i="12"/>
  <c r="DQ280" i="12"/>
  <c r="DQ310" i="12"/>
  <c r="DQ222" i="12"/>
  <c r="DM305" i="12"/>
  <c r="DM231" i="12"/>
  <c r="DM291" i="12"/>
  <c r="DM247" i="12"/>
  <c r="DM233" i="12"/>
  <c r="DM196" i="12"/>
  <c r="DM299" i="12"/>
  <c r="DM268" i="12"/>
  <c r="DM320" i="12"/>
  <c r="DM234" i="12"/>
  <c r="DM258" i="12"/>
  <c r="DM192" i="12"/>
  <c r="DM265" i="12"/>
  <c r="DM259" i="12"/>
  <c r="DM184" i="12"/>
  <c r="DM237" i="12"/>
  <c r="DM213" i="12"/>
  <c r="DM169" i="12"/>
  <c r="DM286" i="12"/>
  <c r="DM321" i="12"/>
  <c r="EB195" i="12"/>
  <c r="EB317" i="12"/>
  <c r="EB293" i="12"/>
  <c r="EB191" i="12"/>
  <c r="EB237" i="12"/>
  <c r="EB190" i="12"/>
  <c r="EB310" i="12"/>
  <c r="EB246" i="12"/>
  <c r="EB205" i="12"/>
  <c r="EB289" i="12"/>
  <c r="EB221" i="12"/>
  <c r="EB258" i="12"/>
  <c r="EB301" i="12"/>
  <c r="EB240" i="12"/>
  <c r="EB263" i="12"/>
  <c r="EB222" i="12"/>
  <c r="EB192" i="12"/>
  <c r="EB320" i="12"/>
  <c r="EB262" i="12"/>
  <c r="EB306" i="12"/>
  <c r="EB248" i="12"/>
  <c r="EB235" i="12"/>
  <c r="EB214" i="12"/>
  <c r="EB204" i="12"/>
  <c r="EB288" i="12"/>
  <c r="EB261" i="12"/>
  <c r="EB243" i="12"/>
  <c r="EB229" i="12"/>
  <c r="EB181" i="12"/>
  <c r="EB276" i="12"/>
  <c r="EB280" i="12"/>
  <c r="EB291" i="12"/>
  <c r="EB252" i="12"/>
  <c r="EB212" i="12"/>
  <c r="AJ177" i="12"/>
  <c r="AJ253" i="12"/>
  <c r="AJ286" i="12"/>
  <c r="AJ204" i="12"/>
  <c r="AJ278" i="12"/>
  <c r="AJ218" i="12"/>
  <c r="AJ259" i="12"/>
  <c r="AJ310" i="12"/>
  <c r="AJ276" i="12"/>
  <c r="AJ210" i="12"/>
  <c r="AJ184" i="12"/>
  <c r="AJ219" i="12"/>
  <c r="AJ262" i="12"/>
  <c r="AJ289" i="12"/>
  <c r="AJ203" i="12"/>
  <c r="AJ245" i="12"/>
  <c r="AJ238" i="12"/>
  <c r="AJ247" i="12"/>
  <c r="AJ201" i="12"/>
  <c r="AJ230" i="12"/>
  <c r="AJ268" i="12"/>
  <c r="AJ304" i="12"/>
  <c r="AJ254" i="12"/>
  <c r="AJ323" i="12"/>
  <c r="AJ185" i="12"/>
  <c r="AJ241" i="12"/>
  <c r="AJ214" i="12"/>
  <c r="AJ234" i="12"/>
  <c r="AJ270" i="12"/>
  <c r="O171" i="12"/>
  <c r="O226" i="12"/>
  <c r="O310" i="12"/>
  <c r="O182" i="12"/>
  <c r="O234" i="12"/>
  <c r="O269" i="12"/>
  <c r="O179" i="12"/>
  <c r="O227" i="12"/>
  <c r="O275" i="12"/>
  <c r="O278" i="12"/>
  <c r="O196" i="12"/>
  <c r="O257" i="12"/>
  <c r="O284" i="12"/>
  <c r="O195" i="12"/>
  <c r="O286" i="12"/>
  <c r="O240" i="12"/>
  <c r="O266" i="12"/>
  <c r="O228" i="12"/>
  <c r="O281" i="12"/>
  <c r="C36" i="13"/>
  <c r="C38" i="13" s="1"/>
  <c r="EH188" i="12"/>
  <c r="EH304" i="12"/>
  <c r="EH275" i="12"/>
  <c r="EH258" i="12"/>
  <c r="EH232" i="12"/>
  <c r="EH223" i="12"/>
  <c r="EH189" i="12"/>
  <c r="EH291" i="12"/>
  <c r="EH326" i="12"/>
  <c r="EH273" i="12"/>
  <c r="EH216" i="12"/>
  <c r="EH185" i="12"/>
  <c r="EH254" i="12"/>
  <c r="EH256" i="12"/>
  <c r="EH327" i="12"/>
  <c r="EH288" i="12"/>
  <c r="EH244" i="12"/>
  <c r="EH235" i="12"/>
  <c r="EH217" i="12"/>
  <c r="DB280" i="12"/>
  <c r="DB222" i="12"/>
  <c r="DB325" i="12"/>
  <c r="DB252" i="12"/>
  <c r="DB220" i="12"/>
  <c r="DB180" i="12"/>
  <c r="DB297" i="12"/>
  <c r="DB206" i="12"/>
  <c r="DB203" i="12"/>
  <c r="DB247" i="12"/>
  <c r="DB274" i="12"/>
  <c r="DB210" i="12"/>
  <c r="DB189" i="12"/>
  <c r="DB298" i="12"/>
  <c r="DB316" i="12"/>
  <c r="DB319" i="12"/>
  <c r="DB239" i="12"/>
  <c r="DB230" i="12"/>
  <c r="DB183" i="12"/>
  <c r="DB326" i="12"/>
  <c r="DB270" i="12"/>
  <c r="DB301" i="12"/>
  <c r="DB288" i="12"/>
  <c r="DB248" i="12"/>
  <c r="DB204" i="12"/>
  <c r="DB193" i="12"/>
  <c r="DB257" i="12"/>
  <c r="DB322" i="12"/>
  <c r="DB273" i="12"/>
  <c r="DB246" i="12"/>
  <c r="AP181" i="12"/>
  <c r="AP322" i="12"/>
  <c r="AP225" i="12"/>
  <c r="AP222" i="12"/>
  <c r="AP248" i="12"/>
  <c r="AP279" i="12"/>
  <c r="AP193" i="12"/>
  <c r="AP277" i="12"/>
  <c r="AP249" i="12"/>
  <c r="AP328" i="12"/>
  <c r="AP295" i="12"/>
  <c r="AP186" i="12"/>
  <c r="AP285" i="12"/>
  <c r="AP281" i="12"/>
  <c r="AP246" i="12"/>
  <c r="AP244" i="12"/>
  <c r="AP259" i="12"/>
  <c r="AP188" i="12"/>
  <c r="AP306" i="12"/>
  <c r="AP273" i="12"/>
  <c r="J218" i="12"/>
  <c r="J221" i="12"/>
  <c r="J228" i="12"/>
  <c r="J327" i="12"/>
  <c r="J227" i="12"/>
  <c r="J314" i="12"/>
  <c r="J198" i="12"/>
  <c r="J256" i="12"/>
  <c r="J316" i="12"/>
  <c r="J265" i="12"/>
  <c r="J257" i="12"/>
  <c r="J267" i="12"/>
  <c r="J322" i="12"/>
  <c r="J222" i="12"/>
  <c r="J288" i="12"/>
  <c r="J312" i="12"/>
  <c r="J196" i="12"/>
  <c r="J273" i="12"/>
  <c r="J275" i="12"/>
  <c r="EK292" i="12"/>
  <c r="EK226" i="12"/>
  <c r="CE241" i="12"/>
  <c r="AJ283" i="12"/>
  <c r="AJ320" i="12"/>
  <c r="S171" i="12"/>
  <c r="S170" i="12" s="1"/>
  <c r="S52" i="3" s="1"/>
  <c r="S54" i="3" s="1"/>
  <c r="DK186" i="12"/>
  <c r="CC263" i="12"/>
  <c r="EK271" i="12"/>
  <c r="CJ316" i="12"/>
  <c r="CP206" i="12"/>
  <c r="BU256" i="12"/>
  <c r="BU198" i="12"/>
  <c r="EB277" i="12"/>
  <c r="CP314" i="12"/>
  <c r="DB292" i="12"/>
  <c r="DB254" i="12"/>
  <c r="BK308" i="12"/>
  <c r="BK259" i="12"/>
  <c r="BK209" i="12"/>
  <c r="CQ319" i="12"/>
  <c r="CQ171" i="12"/>
  <c r="CQ312" i="12"/>
  <c r="DW227" i="12"/>
  <c r="DW184" i="12"/>
  <c r="DW218" i="12"/>
  <c r="BA215" i="12"/>
  <c r="BA202" i="12"/>
  <c r="CC269" i="12"/>
  <c r="EK255" i="12"/>
  <c r="CJ230" i="12"/>
  <c r="X306" i="12"/>
  <c r="X187" i="12"/>
  <c r="X284" i="12"/>
  <c r="CP228" i="12"/>
  <c r="BJ294" i="12"/>
  <c r="BJ218" i="12"/>
  <c r="BJ301" i="12"/>
  <c r="AY183" i="12"/>
  <c r="AY253" i="12"/>
  <c r="AO202" i="12"/>
  <c r="AO283" i="12"/>
  <c r="AO236" i="12"/>
  <c r="DQ226" i="12"/>
  <c r="DQ305" i="12"/>
  <c r="DM188" i="12"/>
  <c r="DM277" i="12"/>
  <c r="DM236" i="12"/>
  <c r="O299" i="12"/>
  <c r="O200" i="12"/>
  <c r="O207" i="12"/>
  <c r="EH183" i="12"/>
  <c r="EH191" i="12"/>
  <c r="EH285" i="12"/>
  <c r="DB263" i="12"/>
  <c r="AP305" i="12"/>
  <c r="AP176" i="12"/>
  <c r="AP254" i="12"/>
  <c r="AP201" i="12"/>
  <c r="J189" i="12"/>
  <c r="J292" i="12"/>
  <c r="AY235" i="12"/>
  <c r="O211" i="12"/>
  <c r="O250" i="12"/>
  <c r="BK254" i="12"/>
  <c r="CQ184" i="12"/>
  <c r="DW280" i="12"/>
  <c r="DW301" i="12"/>
  <c r="BA229" i="12"/>
  <c r="BA239" i="12"/>
  <c r="EO289" i="12"/>
  <c r="EO277" i="12"/>
  <c r="BD310" i="12"/>
  <c r="BD187" i="12"/>
  <c r="X195" i="12"/>
  <c r="BJ269" i="12"/>
  <c r="BJ221" i="12"/>
  <c r="AY281" i="12"/>
  <c r="AO330" i="12"/>
  <c r="DQ247" i="12"/>
  <c r="DQ277" i="12"/>
  <c r="DM266" i="12"/>
  <c r="J263" i="12"/>
  <c r="J188" i="12"/>
  <c r="DM309" i="12"/>
  <c r="AO247" i="12"/>
  <c r="BK201" i="12"/>
  <c r="DW240" i="12"/>
  <c r="BA296" i="12"/>
  <c r="EO231" i="12"/>
  <c r="EO208" i="12"/>
  <c r="BD328" i="12"/>
  <c r="BD266" i="12"/>
  <c r="X320" i="12"/>
  <c r="FB176" i="12"/>
  <c r="FB217" i="12"/>
  <c r="FB273" i="12"/>
  <c r="FB260" i="12"/>
  <c r="FB242" i="12"/>
  <c r="DV302" i="12"/>
  <c r="DV215" i="12"/>
  <c r="DV268" i="12"/>
  <c r="DV183" i="12"/>
  <c r="DV241" i="12"/>
  <c r="DV274" i="12"/>
  <c r="DV237" i="12"/>
  <c r="DV193" i="12"/>
  <c r="AO232" i="12"/>
  <c r="DM244" i="12"/>
  <c r="BV312" i="12"/>
  <c r="BV292" i="12"/>
  <c r="BV264" i="12"/>
  <c r="BV266" i="12"/>
  <c r="BV324" i="12"/>
  <c r="BV251" i="12"/>
  <c r="BV247" i="12"/>
  <c r="BV215" i="12"/>
  <c r="DV221" i="12"/>
  <c r="FB308" i="12"/>
  <c r="FB192" i="12"/>
  <c r="FB229" i="12"/>
  <c r="BV326" i="12"/>
  <c r="DH246" i="12"/>
  <c r="R215" i="12"/>
  <c r="DX292" i="12"/>
  <c r="DD176" i="12"/>
  <c r="AR248" i="12"/>
  <c r="AL272" i="12"/>
  <c r="CD284" i="12"/>
  <c r="ET169" i="12"/>
  <c r="BL259" i="12"/>
  <c r="BL299" i="12"/>
  <c r="BG183" i="12"/>
  <c r="BG240" i="12"/>
  <c r="AM216" i="12"/>
  <c r="CS278" i="12"/>
  <c r="FA308" i="12"/>
  <c r="ET219" i="12"/>
  <c r="CH255" i="12"/>
  <c r="EG283" i="12"/>
  <c r="Q194" i="12"/>
  <c r="AR227" i="12"/>
  <c r="CD245" i="12"/>
  <c r="FB270" i="12"/>
  <c r="DV319" i="12"/>
  <c r="I182" i="12"/>
  <c r="I228" i="12"/>
  <c r="I290" i="12"/>
  <c r="CV324" i="12"/>
  <c r="CV287" i="12"/>
  <c r="I250" i="12"/>
  <c r="CV309" i="12"/>
  <c r="CV252" i="12"/>
  <c r="FB302" i="12"/>
  <c r="CV182" i="12"/>
  <c r="EQ211" i="12"/>
  <c r="ET184" i="12"/>
  <c r="CX185" i="12"/>
  <c r="BG179" i="12"/>
  <c r="BL286" i="12"/>
  <c r="BG320" i="12"/>
  <c r="AG251" i="12"/>
  <c r="ET199" i="12"/>
  <c r="AG309" i="12"/>
  <c r="DC324" i="12"/>
  <c r="EV244" i="12"/>
  <c r="EV261" i="12"/>
  <c r="AD193" i="12"/>
  <c r="AD222" i="12"/>
  <c r="K71" i="13"/>
  <c r="AI29" i="13" s="1"/>
  <c r="AE177" i="12"/>
  <c r="U290" i="12"/>
  <c r="U248" i="12"/>
  <c r="EQ321" i="12"/>
  <c r="EQ222" i="12"/>
  <c r="EQ207" i="12"/>
  <c r="AD323" i="12"/>
  <c r="AE246" i="12"/>
  <c r="EV327" i="12"/>
  <c r="Q51" i="3"/>
  <c r="AU192" i="12"/>
  <c r="DI178" i="12"/>
  <c r="DI225" i="12"/>
  <c r="M229" i="12"/>
  <c r="M220" i="12"/>
  <c r="AU274" i="12"/>
  <c r="AU176" i="12"/>
  <c r="AU305" i="12"/>
  <c r="AU272" i="12"/>
  <c r="DI284" i="12"/>
  <c r="M248" i="12"/>
  <c r="M257" i="12"/>
  <c r="N27" i="3"/>
  <c r="BL172" i="12"/>
  <c r="N51" i="3"/>
  <c r="M35" i="3"/>
  <c r="BQ291" i="12"/>
  <c r="BQ314" i="12"/>
  <c r="BQ299" i="12"/>
  <c r="BQ204" i="12"/>
  <c r="BQ292" i="12"/>
  <c r="BQ188" i="12"/>
  <c r="BQ275" i="12"/>
  <c r="BQ282" i="12"/>
  <c r="BQ184" i="12"/>
  <c r="CZ196" i="12"/>
  <c r="CZ284" i="12"/>
  <c r="CZ247" i="12"/>
  <c r="CZ188" i="12"/>
  <c r="CZ270" i="12"/>
  <c r="CZ326" i="12"/>
  <c r="CZ232" i="12"/>
  <c r="CZ267" i="12"/>
  <c r="CZ190" i="12"/>
  <c r="H301" i="12"/>
  <c r="H257" i="12"/>
  <c r="EL271" i="12"/>
  <c r="EL313" i="12"/>
  <c r="EL209" i="12"/>
  <c r="EL245" i="12"/>
  <c r="EL178" i="12"/>
  <c r="EL240" i="12"/>
  <c r="EL236" i="12"/>
  <c r="EL325" i="12"/>
  <c r="EL262" i="12"/>
  <c r="EL306" i="12"/>
  <c r="EL196" i="12"/>
  <c r="EL249" i="12"/>
  <c r="EL256" i="12"/>
  <c r="EL195" i="12"/>
  <c r="CK321" i="12"/>
  <c r="CK188" i="12"/>
  <c r="CK266" i="12"/>
  <c r="CK187" i="12"/>
  <c r="CK257" i="12"/>
  <c r="CK308" i="12"/>
  <c r="CK318" i="12"/>
  <c r="CK324" i="12"/>
  <c r="CK317" i="12"/>
  <c r="CK295" i="12"/>
  <c r="CK211" i="12"/>
  <c r="ES275" i="12"/>
  <c r="ES264" i="12"/>
  <c r="ES236" i="12"/>
  <c r="ES260" i="12"/>
  <c r="ES327" i="12"/>
  <c r="ES169" i="12"/>
  <c r="ES291" i="12"/>
  <c r="ES290" i="12"/>
  <c r="ES183" i="12"/>
  <c r="ES267" i="12"/>
  <c r="ES240" i="12"/>
  <c r="ES303" i="12"/>
  <c r="ES206" i="12"/>
  <c r="ES239" i="12"/>
  <c r="ES201" i="12"/>
  <c r="DL212" i="12"/>
  <c r="DL249" i="12"/>
  <c r="DL193" i="12"/>
  <c r="DL239" i="12"/>
  <c r="DL273" i="12"/>
  <c r="DL179" i="12"/>
  <c r="DL251" i="12"/>
  <c r="DL265" i="12"/>
  <c r="DL231" i="12"/>
  <c r="DL178" i="12"/>
  <c r="DL308" i="12"/>
  <c r="DL234" i="12"/>
  <c r="DL338" i="12"/>
  <c r="DL331" i="12" s="1"/>
  <c r="DL287" i="12"/>
  <c r="DL241" i="12"/>
  <c r="DL187" i="12"/>
  <c r="DL309" i="12"/>
  <c r="CF245" i="12"/>
  <c r="CF180" i="12"/>
  <c r="CF304" i="12"/>
  <c r="CF222" i="12"/>
  <c r="CF276" i="12"/>
  <c r="CF310" i="12"/>
  <c r="CF235" i="12"/>
  <c r="CF169" i="12"/>
  <c r="CF290" i="12"/>
  <c r="CF233" i="12"/>
  <c r="AZ276" i="12"/>
  <c r="AZ185" i="12"/>
  <c r="AZ248" i="12"/>
  <c r="EX180" i="12"/>
  <c r="EX319" i="12"/>
  <c r="EX203" i="12"/>
  <c r="EX196" i="12"/>
  <c r="EX245" i="12"/>
  <c r="EX242" i="12"/>
  <c r="EX218" i="12"/>
  <c r="EX296" i="12"/>
  <c r="EX248" i="12"/>
  <c r="EX327" i="12"/>
  <c r="EX199" i="12"/>
  <c r="EX298" i="12"/>
  <c r="EX302" i="12"/>
  <c r="EX325" i="12"/>
  <c r="EX211" i="12"/>
  <c r="EX182" i="12"/>
  <c r="EX273" i="12"/>
  <c r="ES212" i="12"/>
  <c r="ES273" i="12"/>
  <c r="DL282" i="12"/>
  <c r="EX238" i="12"/>
  <c r="EM272" i="12"/>
  <c r="EM178" i="12"/>
  <c r="EM321" i="12"/>
  <c r="EM326" i="12"/>
  <c r="EM245" i="12"/>
  <c r="EM193" i="12"/>
  <c r="EM287" i="12"/>
  <c r="EM225" i="12"/>
  <c r="BQ232" i="12"/>
  <c r="BQ236" i="12"/>
  <c r="BQ176" i="12"/>
  <c r="BQ206" i="12"/>
  <c r="BQ306" i="12"/>
  <c r="BQ254" i="12"/>
  <c r="BQ220" i="12"/>
  <c r="EL224" i="12"/>
  <c r="EL318" i="12"/>
  <c r="EL322" i="12"/>
  <c r="EL277" i="12"/>
  <c r="CK325" i="12"/>
  <c r="CK241" i="12"/>
  <c r="CK205" i="12"/>
  <c r="CK309" i="12"/>
  <c r="CK236" i="12"/>
  <c r="CK196" i="12"/>
  <c r="ES242" i="12"/>
  <c r="ES266" i="12"/>
  <c r="CF213" i="12"/>
  <c r="CF264" i="12"/>
  <c r="CF320" i="12"/>
  <c r="CF234" i="12"/>
  <c r="CF295" i="12"/>
  <c r="CF205" i="12"/>
  <c r="AZ256" i="12"/>
  <c r="AZ255" i="12"/>
  <c r="AZ178" i="12"/>
  <c r="AZ241" i="12"/>
  <c r="AZ244" i="12"/>
  <c r="AZ211" i="12"/>
  <c r="AZ290" i="12"/>
  <c r="AZ191" i="12"/>
  <c r="AZ281" i="12"/>
  <c r="T253" i="12"/>
  <c r="T224" i="12"/>
  <c r="T204" i="12"/>
  <c r="CK251" i="12"/>
  <c r="BQ271" i="12"/>
  <c r="CF322" i="12"/>
  <c r="AZ210" i="12"/>
  <c r="AZ196" i="12"/>
  <c r="AZ291" i="12"/>
  <c r="AZ264" i="12"/>
  <c r="CF275" i="12"/>
  <c r="AZ261" i="12"/>
  <c r="AZ257" i="12"/>
  <c r="CA253" i="12"/>
  <c r="CA254" i="12"/>
  <c r="CA232" i="12"/>
  <c r="CA211" i="12"/>
  <c r="CA177" i="12"/>
  <c r="CA320" i="12"/>
  <c r="CA303" i="12"/>
  <c r="CA270" i="12"/>
  <c r="CA325" i="12"/>
  <c r="CA230" i="12"/>
  <c r="CA207" i="12"/>
  <c r="CA180" i="12"/>
  <c r="CA310" i="12"/>
  <c r="CA271" i="12"/>
  <c r="CA321" i="12"/>
  <c r="CA238" i="12"/>
  <c r="CA214" i="12"/>
  <c r="CA179" i="12"/>
  <c r="CA326" i="12"/>
  <c r="CA266" i="12"/>
  <c r="DG271" i="12"/>
  <c r="DG278" i="12"/>
  <c r="DG239" i="12"/>
  <c r="DG193" i="12"/>
  <c r="DG228" i="12"/>
  <c r="DG290" i="12"/>
  <c r="DG285" i="12"/>
  <c r="DG268" i="12"/>
  <c r="DG208" i="12"/>
  <c r="DG199" i="12"/>
  <c r="DG220" i="12"/>
  <c r="DG195" i="12"/>
  <c r="DG319" i="12"/>
  <c r="DG280" i="12"/>
  <c r="DG305" i="12"/>
  <c r="DG270" i="12"/>
  <c r="DG226" i="12"/>
  <c r="DG186" i="12"/>
  <c r="DG291" i="12"/>
  <c r="DG292" i="12"/>
  <c r="G96" i="3"/>
  <c r="EM264" i="12"/>
  <c r="EM250" i="12"/>
  <c r="BQ186" i="12"/>
  <c r="AT267" i="12"/>
  <c r="AT310" i="12"/>
  <c r="AT274" i="12"/>
  <c r="AT264" i="12"/>
  <c r="AT285" i="12"/>
  <c r="AT320" i="12"/>
  <c r="AT227" i="12"/>
  <c r="AT298" i="12"/>
  <c r="AT252" i="12"/>
  <c r="AT198" i="12"/>
  <c r="AT176" i="12"/>
  <c r="AT201" i="12"/>
  <c r="AT271" i="12"/>
  <c r="AT226" i="12"/>
  <c r="AT232" i="12"/>
  <c r="AT240" i="12"/>
  <c r="AT190" i="12"/>
  <c r="AT329" i="12"/>
  <c r="AT300" i="12"/>
  <c r="AT194" i="12"/>
  <c r="AT315" i="12"/>
  <c r="AT231" i="12"/>
  <c r="AT177" i="12"/>
  <c r="AT242" i="12"/>
  <c r="AT278" i="12"/>
  <c r="AT224" i="12"/>
  <c r="AT263" i="12"/>
  <c r="AT189" i="12"/>
  <c r="AT306" i="12"/>
  <c r="AT233" i="12"/>
  <c r="AI176" i="12"/>
  <c r="AI308" i="12"/>
  <c r="AI291" i="12"/>
  <c r="AI169" i="12"/>
  <c r="AI187" i="12"/>
  <c r="AI246" i="12"/>
  <c r="AI217" i="12"/>
  <c r="AI210" i="12"/>
  <c r="AI248" i="12"/>
  <c r="AI227" i="12"/>
  <c r="AI325" i="12"/>
  <c r="AI256" i="12"/>
  <c r="AI254" i="12"/>
  <c r="AI247" i="12"/>
  <c r="AI307" i="12"/>
  <c r="AI288" i="12"/>
  <c r="AI245" i="12"/>
  <c r="AI259" i="12"/>
  <c r="AI268" i="12"/>
  <c r="AI305" i="12"/>
  <c r="AI318" i="12"/>
  <c r="EA299" i="12"/>
  <c r="EA234" i="12"/>
  <c r="EA186" i="12"/>
  <c r="EA169" i="12"/>
  <c r="EA251" i="12"/>
  <c r="EA291" i="12"/>
  <c r="EA209" i="12"/>
  <c r="EA188" i="12"/>
  <c r="EA317" i="12"/>
  <c r="EA294" i="12"/>
  <c r="EA311" i="12"/>
  <c r="EA306" i="12"/>
  <c r="EA228" i="12"/>
  <c r="EA265" i="12"/>
  <c r="EA230" i="12"/>
  <c r="EA207" i="12"/>
  <c r="EA313" i="12"/>
  <c r="EA284" i="12"/>
  <c r="EA237" i="12"/>
  <c r="EA264" i="12"/>
  <c r="I73" i="3"/>
  <c r="Y176" i="12"/>
  <c r="Y199" i="12"/>
  <c r="Y241" i="12"/>
  <c r="Y194" i="12"/>
  <c r="Y233" i="12"/>
  <c r="Y268" i="12"/>
  <c r="Y216" i="12"/>
  <c r="Y299" i="12"/>
  <c r="Y273" i="12"/>
  <c r="Y277" i="12"/>
  <c r="Y291" i="12"/>
  <c r="Y296" i="12"/>
  <c r="Y178" i="12"/>
  <c r="Y279" i="12"/>
  <c r="Y262" i="12"/>
  <c r="Y250" i="12"/>
  <c r="Y243" i="12"/>
  <c r="Y244" i="12"/>
  <c r="Y203" i="12"/>
  <c r="Y267" i="12"/>
  <c r="AZ306" i="12"/>
  <c r="T227" i="12"/>
  <c r="T286" i="12"/>
  <c r="T193" i="12"/>
  <c r="T225" i="12"/>
  <c r="T191" i="12"/>
  <c r="T213" i="12"/>
  <c r="T254" i="12"/>
  <c r="T326" i="12"/>
  <c r="T266" i="12"/>
  <c r="T315" i="12"/>
  <c r="T257" i="12"/>
  <c r="T290" i="12"/>
  <c r="T279" i="12"/>
  <c r="T300" i="12"/>
  <c r="T321" i="12"/>
  <c r="DR215" i="12"/>
  <c r="DR202" i="12"/>
  <c r="DR264" i="12"/>
  <c r="DR296" i="12"/>
  <c r="DR281" i="12"/>
  <c r="DR252" i="12"/>
  <c r="DR207" i="12"/>
  <c r="DR190" i="12"/>
  <c r="DR268" i="12"/>
  <c r="DR278" i="12"/>
  <c r="DR288" i="12"/>
  <c r="CL219" i="12"/>
  <c r="CL227" i="12"/>
  <c r="CL190" i="12"/>
  <c r="CL264" i="12"/>
  <c r="CL291" i="12"/>
  <c r="CL274" i="12"/>
  <c r="CL245" i="12"/>
  <c r="CL234" i="12"/>
  <c r="CL210" i="12"/>
  <c r="CL222" i="12"/>
  <c r="CL176" i="12"/>
  <c r="CL267" i="12"/>
  <c r="CL282" i="12"/>
  <c r="CL239" i="12"/>
  <c r="CL230" i="12"/>
  <c r="CL220" i="12"/>
  <c r="CL189" i="12"/>
  <c r="CL254" i="12"/>
  <c r="CL307" i="12"/>
  <c r="CL223" i="12"/>
  <c r="CL296" i="12"/>
  <c r="AI184" i="12"/>
  <c r="AI193" i="12"/>
  <c r="AT182" i="12"/>
  <c r="AT250" i="12"/>
  <c r="AT197" i="12"/>
  <c r="AT179" i="12"/>
  <c r="AT338" i="12"/>
  <c r="AT331" i="12" s="1"/>
  <c r="CL330" i="12"/>
  <c r="CL304" i="12"/>
  <c r="CL201" i="12"/>
  <c r="CL293" i="12"/>
  <c r="CL268" i="12"/>
  <c r="CL195" i="12"/>
  <c r="CL240" i="12"/>
  <c r="CL295" i="12"/>
  <c r="CL188" i="12"/>
  <c r="Y238" i="12"/>
  <c r="Y205" i="12"/>
  <c r="Y208" i="12"/>
  <c r="Y307" i="12"/>
  <c r="Y278" i="12"/>
  <c r="Y212" i="12"/>
  <c r="Y270" i="12"/>
  <c r="Y230" i="12"/>
  <c r="Y200" i="12"/>
  <c r="DG247" i="12"/>
  <c r="DG185" i="12"/>
  <c r="DG257" i="12"/>
  <c r="DG329" i="12"/>
  <c r="DG182" i="12"/>
  <c r="DG177" i="12"/>
  <c r="DG256" i="12"/>
  <c r="DG262" i="12"/>
  <c r="DG200" i="12"/>
  <c r="EA257" i="12"/>
  <c r="EA277" i="12"/>
  <c r="EA194" i="12"/>
  <c r="EA189" i="12"/>
  <c r="EA267" i="12"/>
  <c r="EA254" i="12"/>
  <c r="EA203" i="12"/>
  <c r="EA275" i="12"/>
  <c r="EA309" i="12"/>
  <c r="CA190" i="12"/>
  <c r="CA265" i="12"/>
  <c r="CA287" i="12"/>
  <c r="CA182" i="12"/>
  <c r="CA216" i="12"/>
  <c r="CA292" i="12"/>
  <c r="CA316" i="12"/>
  <c r="CA222" i="12"/>
  <c r="CA291" i="12"/>
  <c r="CA171" i="12"/>
  <c r="N79" i="3" s="1"/>
  <c r="K12" i="14" s="1"/>
  <c r="DR273" i="12"/>
  <c r="DR292" i="12"/>
  <c r="DR227" i="12"/>
  <c r="DR266" i="12"/>
  <c r="DR283" i="12"/>
  <c r="DR289" i="12"/>
  <c r="DR265" i="12"/>
  <c r="DR267" i="12"/>
  <c r="DR195" i="12"/>
  <c r="DR213" i="12"/>
  <c r="DR242" i="12"/>
  <c r="DR325" i="12"/>
  <c r="DR314" i="12"/>
  <c r="I56" i="13"/>
  <c r="T250" i="12"/>
  <c r="AI266" i="12"/>
  <c r="AT314" i="12"/>
  <c r="CL194" i="12"/>
  <c r="CL278" i="12"/>
  <c r="CL232" i="12"/>
  <c r="CL251" i="12"/>
  <c r="CL253" i="12"/>
  <c r="W242" i="12"/>
  <c r="BI212" i="12"/>
  <c r="EN311" i="12"/>
  <c r="CR287" i="12"/>
  <c r="BR201" i="12"/>
  <c r="EI299" i="12"/>
  <c r="DN227" i="12"/>
  <c r="DO255" i="12"/>
  <c r="DO208" i="12"/>
  <c r="BC316" i="12"/>
  <c r="BC200" i="12"/>
  <c r="BC247" i="12"/>
  <c r="EJ193" i="12"/>
  <c r="EJ189" i="12"/>
  <c r="EJ259" i="12"/>
  <c r="L274" i="12"/>
  <c r="L193" i="12"/>
  <c r="L251" i="12"/>
  <c r="L223" i="12"/>
  <c r="L252" i="12"/>
  <c r="G317" i="12"/>
  <c r="G250" i="12"/>
  <c r="G246" i="12"/>
  <c r="G290" i="12"/>
  <c r="G196" i="12"/>
  <c r="G218" i="12"/>
  <c r="CI255" i="12"/>
  <c r="CI261" i="12"/>
  <c r="CI234" i="12"/>
  <c r="CI315" i="12"/>
  <c r="CI181" i="12"/>
  <c r="CI286" i="12"/>
  <c r="CI308" i="12"/>
  <c r="CI208" i="12"/>
  <c r="CI306" i="12"/>
  <c r="CI176" i="12"/>
  <c r="DJ281" i="12"/>
  <c r="DJ256" i="12"/>
  <c r="DJ211" i="12"/>
  <c r="DJ276" i="12"/>
  <c r="DJ278" i="12"/>
  <c r="DJ189" i="12"/>
  <c r="DJ204" i="12"/>
  <c r="DJ273" i="12"/>
  <c r="DJ305" i="12"/>
  <c r="BH233" i="12"/>
  <c r="BH179" i="12"/>
  <c r="BH270" i="12"/>
  <c r="BH290" i="12"/>
  <c r="BH236" i="12"/>
  <c r="BC239" i="12"/>
  <c r="BC189" i="12"/>
  <c r="BC313" i="12"/>
  <c r="DO309" i="12"/>
  <c r="DO201" i="12"/>
  <c r="DN266" i="12"/>
  <c r="BR279" i="12"/>
  <c r="EI291" i="12"/>
  <c r="EY272" i="12"/>
  <c r="EJ184" i="12"/>
  <c r="EJ305" i="12"/>
  <c r="L311" i="12"/>
  <c r="L317" i="12"/>
  <c r="L189" i="12"/>
  <c r="L298" i="12"/>
  <c r="L196" i="12"/>
  <c r="G266" i="12"/>
  <c r="G209" i="12"/>
  <c r="G329" i="12"/>
  <c r="G183" i="12"/>
  <c r="G232" i="12"/>
  <c r="CA243" i="12"/>
  <c r="CA200" i="12"/>
  <c r="DG176" i="12"/>
  <c r="DG267" i="12"/>
  <c r="DG284" i="12"/>
  <c r="DG227" i="12"/>
  <c r="CA226" i="12"/>
  <c r="EF191" i="12"/>
  <c r="EF311" i="12"/>
  <c r="EF243" i="12"/>
  <c r="EF196" i="12"/>
  <c r="EF302" i="12"/>
  <c r="EF233" i="12"/>
  <c r="EF193" i="12"/>
  <c r="EF323" i="12"/>
  <c r="EF239" i="12"/>
  <c r="EF207" i="12"/>
  <c r="AT213" i="12"/>
  <c r="CU244" i="12"/>
  <c r="CU205" i="12"/>
  <c r="CU327" i="12"/>
  <c r="EA190" i="12"/>
  <c r="EA219" i="12"/>
  <c r="EA312" i="12"/>
  <c r="EA289" i="12"/>
  <c r="Y254" i="12"/>
  <c r="Y202" i="12"/>
  <c r="Y284" i="12"/>
  <c r="Y235" i="12"/>
  <c r="DR194" i="12"/>
  <c r="DR256" i="12"/>
  <c r="DR299" i="12"/>
  <c r="DR210" i="12"/>
  <c r="DR169" i="12"/>
  <c r="DR244" i="12"/>
  <c r="CL285" i="12"/>
  <c r="Y324" i="12"/>
  <c r="EF169" i="12"/>
  <c r="EF261" i="12"/>
  <c r="EF236" i="12"/>
  <c r="EF320" i="12"/>
  <c r="CU204" i="12"/>
  <c r="CU179" i="12"/>
  <c r="CU233" i="12"/>
  <c r="CU218" i="12"/>
  <c r="EF252" i="12"/>
  <c r="EF205" i="12"/>
  <c r="EF264" i="12"/>
  <c r="CU319" i="12"/>
  <c r="CU246" i="12"/>
  <c r="CU263" i="12"/>
  <c r="CU197" i="12"/>
  <c r="CU256" i="12"/>
  <c r="CU309" i="12"/>
  <c r="K12" i="13"/>
  <c r="EF237" i="12"/>
  <c r="CU264" i="12"/>
  <c r="CU231" i="12"/>
  <c r="CU194" i="12"/>
  <c r="CU338" i="12"/>
  <c r="CU331" i="12" s="1"/>
  <c r="CI248" i="12"/>
  <c r="CI262" i="12"/>
  <c r="CI206" i="12"/>
  <c r="EV172" i="12"/>
  <c r="G225" i="12"/>
  <c r="DJ260" i="12"/>
  <c r="DJ321" i="12"/>
  <c r="CU234" i="12"/>
  <c r="AU231" i="12"/>
  <c r="BF182" i="12"/>
  <c r="BF278" i="12"/>
  <c r="BF187" i="12"/>
  <c r="BF328" i="12"/>
  <c r="BF330" i="12"/>
  <c r="BF288" i="12"/>
  <c r="BF295" i="12"/>
  <c r="BF193" i="12"/>
  <c r="BF296" i="12"/>
  <c r="BH176" i="12"/>
  <c r="DJ213" i="12"/>
  <c r="AU220" i="12"/>
  <c r="BF196" i="12"/>
  <c r="DI327" i="12"/>
  <c r="DI260" i="12"/>
  <c r="DI214" i="12"/>
  <c r="DI295" i="12"/>
  <c r="DI182" i="12"/>
  <c r="M272" i="12"/>
  <c r="M304" i="12"/>
  <c r="M328" i="12"/>
  <c r="M283" i="12"/>
  <c r="AU226" i="12"/>
  <c r="AU303" i="12"/>
  <c r="AU246" i="12"/>
  <c r="AU247" i="12"/>
  <c r="AU243" i="12"/>
  <c r="AU261" i="12"/>
  <c r="AU198" i="12"/>
  <c r="BF284" i="12"/>
  <c r="BF269" i="12"/>
  <c r="BF176" i="12"/>
  <c r="DI321" i="12"/>
  <c r="M226" i="12"/>
  <c r="DI205" i="12"/>
  <c r="M326" i="12"/>
  <c r="M186" i="12"/>
  <c r="M323" i="12"/>
  <c r="E36" i="13"/>
  <c r="E38" i="13" s="1"/>
  <c r="AU218" i="12"/>
  <c r="AU288" i="12"/>
  <c r="AU248" i="12"/>
  <c r="AU296" i="12"/>
  <c r="AU302" i="12"/>
  <c r="AU183" i="12"/>
  <c r="AU230" i="12"/>
  <c r="AU255" i="12"/>
  <c r="AU293" i="12"/>
  <c r="AU180" i="12"/>
  <c r="AU321" i="12"/>
  <c r="AU194" i="12"/>
  <c r="AU280" i="12"/>
  <c r="AU322" i="12"/>
  <c r="AU310" i="12"/>
  <c r="AU178" i="12"/>
  <c r="AU193" i="12"/>
  <c r="AU279" i="12"/>
  <c r="AU315" i="12"/>
  <c r="AU320" i="12"/>
  <c r="AU221" i="12"/>
  <c r="AU197" i="12"/>
  <c r="AU269" i="12"/>
  <c r="AU182" i="12"/>
  <c r="AU195" i="12"/>
  <c r="AU236" i="12"/>
  <c r="AU292" i="12"/>
  <c r="AU250" i="12"/>
  <c r="AU212" i="12"/>
  <c r="AU263" i="12"/>
  <c r="AU298" i="12"/>
  <c r="AU329" i="12"/>
  <c r="AU210" i="12"/>
  <c r="AU260" i="12"/>
  <c r="AU283" i="12"/>
  <c r="AU222" i="12"/>
  <c r="AU186" i="12"/>
  <c r="AU276" i="12"/>
  <c r="AU313" i="12"/>
  <c r="AU291" i="12"/>
  <c r="AU229" i="12"/>
  <c r="AU249" i="12"/>
  <c r="AU204" i="12"/>
  <c r="E12" i="13"/>
  <c r="E14" i="13" s="1"/>
  <c r="AU235" i="12"/>
  <c r="AU308" i="12"/>
  <c r="AU224" i="12"/>
  <c r="AU203" i="12"/>
  <c r="AU328" i="12"/>
  <c r="AU211" i="12"/>
  <c r="AU205" i="12"/>
  <c r="AU242" i="12"/>
  <c r="AU252" i="12"/>
  <c r="AU177" i="12"/>
  <c r="AU189" i="12"/>
  <c r="AU278" i="12"/>
  <c r="AU207" i="12"/>
  <c r="AU181" i="12"/>
  <c r="AU270" i="12"/>
  <c r="AU314" i="12"/>
  <c r="CA248" i="12"/>
  <c r="CA304" i="12"/>
  <c r="CA338" i="12"/>
  <c r="CA331" i="12" s="1"/>
  <c r="CA306" i="12"/>
  <c r="CA225" i="12"/>
  <c r="CA221" i="12"/>
  <c r="CA268" i="12"/>
  <c r="CA288" i="12"/>
  <c r="CA309" i="12"/>
  <c r="CA187" i="12"/>
  <c r="CA246" i="12"/>
  <c r="CA228" i="12"/>
  <c r="DG229" i="12"/>
  <c r="DG313" i="12"/>
  <c r="DG224" i="12"/>
  <c r="DG178" i="12"/>
  <c r="DG179" i="12"/>
  <c r="DG203" i="12"/>
  <c r="DG322" i="12"/>
  <c r="DG264" i="12"/>
  <c r="DG302" i="12"/>
  <c r="DG300" i="12"/>
  <c r="DI317" i="12"/>
  <c r="DI326" i="12"/>
  <c r="DI231" i="12"/>
  <c r="DI169" i="12"/>
  <c r="DI239" i="12"/>
  <c r="DI302" i="12"/>
  <c r="DI287" i="12"/>
  <c r="DI307" i="12"/>
  <c r="DI301" i="12"/>
  <c r="DI180" i="12"/>
  <c r="DI224" i="12"/>
  <c r="DI300" i="12"/>
  <c r="DI244" i="12"/>
  <c r="DI220" i="12"/>
  <c r="DI236" i="12"/>
  <c r="DI262" i="12"/>
  <c r="DI196" i="12"/>
  <c r="DI253" i="12"/>
  <c r="DI264" i="12"/>
  <c r="DI276" i="12"/>
  <c r="DI184" i="12"/>
  <c r="DI267" i="12"/>
  <c r="DI325" i="12"/>
  <c r="DI298" i="12"/>
  <c r="DI308" i="12"/>
  <c r="DI278" i="12"/>
  <c r="DI221" i="12"/>
  <c r="DI273" i="12"/>
  <c r="DI292" i="12"/>
  <c r="DI213" i="12"/>
  <c r="DI187" i="12"/>
  <c r="DI195" i="12"/>
  <c r="DI189" i="12"/>
  <c r="DI319" i="12"/>
  <c r="DI294" i="12"/>
  <c r="DI256" i="12"/>
  <c r="DI218" i="12"/>
  <c r="DI199" i="12"/>
  <c r="DI183" i="12"/>
  <c r="DI330" i="12"/>
  <c r="DI274" i="12"/>
  <c r="DI230" i="12"/>
  <c r="DI251" i="12"/>
  <c r="DI228" i="12"/>
  <c r="DI281" i="12"/>
  <c r="DI282" i="12"/>
  <c r="DI246" i="12"/>
  <c r="DI296" i="12"/>
  <c r="DI286" i="12"/>
  <c r="DI247" i="12"/>
  <c r="DI193" i="12"/>
  <c r="DI240" i="12"/>
  <c r="DI235" i="12"/>
  <c r="DI204" i="12"/>
  <c r="DI188" i="12"/>
  <c r="I12" i="13"/>
  <c r="DI324" i="12"/>
  <c r="DI269" i="12"/>
  <c r="DI290" i="12"/>
  <c r="DI265" i="12"/>
  <c r="DI259" i="12"/>
  <c r="DI320" i="12"/>
  <c r="DI314" i="12"/>
  <c r="DI238" i="12"/>
  <c r="DI201" i="12"/>
  <c r="O91" i="3"/>
  <c r="M258" i="12"/>
  <c r="M233" i="12"/>
  <c r="M275" i="12"/>
  <c r="M282" i="12"/>
  <c r="M205" i="12"/>
  <c r="M256" i="12"/>
  <c r="M215" i="12"/>
  <c r="M281" i="12"/>
  <c r="M322" i="12"/>
  <c r="M216" i="12"/>
  <c r="M206" i="12"/>
  <c r="M193" i="12"/>
  <c r="M211" i="12"/>
  <c r="M204" i="12"/>
  <c r="M176" i="12"/>
  <c r="M199" i="12"/>
  <c r="M255" i="12"/>
  <c r="M271" i="12"/>
  <c r="C24" i="3"/>
  <c r="M262" i="12"/>
  <c r="M242" i="12"/>
  <c r="M203" i="12"/>
  <c r="M202" i="12"/>
  <c r="M261" i="12"/>
  <c r="M315" i="12"/>
  <c r="M234" i="12"/>
  <c r="M320" i="12"/>
  <c r="C24" i="13"/>
  <c r="M270" i="12"/>
  <c r="M244" i="12"/>
  <c r="M316" i="12"/>
  <c r="M293" i="12"/>
  <c r="M268" i="12"/>
  <c r="M212" i="12"/>
  <c r="M324" i="12"/>
  <c r="M319" i="12"/>
  <c r="M280" i="12"/>
  <c r="M221" i="12"/>
  <c r="M303" i="12"/>
  <c r="M194" i="12"/>
  <c r="M264" i="12"/>
  <c r="M196" i="12"/>
  <c r="M183" i="12"/>
  <c r="M249" i="12"/>
  <c r="M213" i="12"/>
  <c r="M247" i="12"/>
  <c r="M288" i="12"/>
  <c r="M237" i="12"/>
  <c r="M325" i="12"/>
  <c r="M182" i="12"/>
  <c r="M274" i="12"/>
  <c r="M179" i="12"/>
  <c r="M223" i="12"/>
  <c r="M253" i="12"/>
  <c r="M236" i="12"/>
  <c r="M180" i="12"/>
  <c r="M305" i="12"/>
  <c r="M321" i="12"/>
  <c r="M227" i="12"/>
  <c r="M231" i="12"/>
  <c r="M184" i="12"/>
  <c r="M310" i="12"/>
  <c r="M251" i="12"/>
  <c r="EF318" i="12"/>
  <c r="EF178" i="12"/>
  <c r="EF235" i="12"/>
  <c r="EF310" i="12"/>
  <c r="EF201" i="12"/>
  <c r="EF258" i="12"/>
  <c r="EF241" i="12"/>
  <c r="EF262" i="12"/>
  <c r="EF215" i="12"/>
  <c r="EF271" i="12"/>
  <c r="EF299" i="12"/>
  <c r="EF211" i="12"/>
  <c r="EF200" i="12"/>
  <c r="EF263" i="12"/>
  <c r="EF246" i="12"/>
  <c r="EF206" i="12"/>
  <c r="EF295" i="12"/>
  <c r="EF188" i="12"/>
  <c r="EF182" i="12"/>
  <c r="EF226" i="12"/>
  <c r="EF257" i="12"/>
  <c r="EF285" i="12"/>
  <c r="EF274" i="12"/>
  <c r="EF319" i="12"/>
  <c r="EF253" i="12"/>
  <c r="EF303" i="12"/>
  <c r="EF189" i="12"/>
  <c r="EF240" i="12"/>
  <c r="EF198" i="12"/>
  <c r="EF278" i="12"/>
  <c r="EF249" i="12"/>
  <c r="EF171" i="12"/>
  <c r="EF195" i="12"/>
  <c r="EF234" i="12"/>
  <c r="EF270" i="12"/>
  <c r="EF283" i="12"/>
  <c r="EF324" i="12"/>
  <c r="EF272" i="12"/>
  <c r="EF197" i="12"/>
  <c r="EF223" i="12"/>
  <c r="EF329" i="12"/>
  <c r="EF315" i="12"/>
  <c r="AN202" i="12"/>
  <c r="M83" i="3"/>
  <c r="N75" i="3"/>
  <c r="BZ235" i="12"/>
  <c r="AT206" i="12"/>
  <c r="AT219" i="12"/>
  <c r="AT246" i="12"/>
  <c r="AT293" i="12"/>
  <c r="M75" i="3"/>
  <c r="AI186" i="12"/>
  <c r="AI239" i="12"/>
  <c r="CU206" i="12"/>
  <c r="CU270" i="12"/>
  <c r="CU278" i="12"/>
  <c r="CU268" i="12"/>
  <c r="CU301" i="12"/>
  <c r="CU169" i="12"/>
  <c r="CU282" i="12"/>
  <c r="CU267" i="12"/>
  <c r="CU208" i="12"/>
  <c r="CU252" i="12"/>
  <c r="CU320" i="12"/>
  <c r="CU318" i="12"/>
  <c r="CU183" i="12"/>
  <c r="CU275" i="12"/>
  <c r="CU230" i="12"/>
  <c r="CU189" i="12"/>
  <c r="CU180" i="12"/>
  <c r="CU322" i="12"/>
  <c r="CU313" i="12"/>
  <c r="CU308" i="12"/>
  <c r="CU239" i="12"/>
  <c r="CU215" i="12"/>
  <c r="CU261" i="12"/>
  <c r="CU220" i="12"/>
  <c r="CU283" i="12"/>
  <c r="CU273" i="12"/>
  <c r="CU329" i="12"/>
  <c r="CU184" i="12"/>
  <c r="CU223" i="12"/>
  <c r="CU188" i="12"/>
  <c r="CU217" i="12"/>
  <c r="CU257" i="12"/>
  <c r="CU277" i="12"/>
  <c r="CU297" i="12"/>
  <c r="CU306" i="12"/>
  <c r="G56" i="3"/>
  <c r="CU280" i="12"/>
  <c r="CU317" i="12"/>
  <c r="CU310" i="12"/>
  <c r="CU307" i="12"/>
  <c r="CU211" i="12"/>
  <c r="EA242" i="12"/>
  <c r="EA247" i="12"/>
  <c r="EA273" i="12"/>
  <c r="EA222" i="12"/>
  <c r="EA214" i="12"/>
  <c r="EA318" i="12"/>
  <c r="EA215" i="12"/>
  <c r="EA253" i="12"/>
  <c r="EA171" i="12"/>
  <c r="P73" i="3" s="1"/>
  <c r="M39" i="14" s="1"/>
  <c r="EA307" i="12"/>
  <c r="EA258" i="12"/>
  <c r="Y319" i="12"/>
  <c r="Y227" i="12"/>
  <c r="Y181" i="12"/>
  <c r="Y288" i="12"/>
  <c r="Y248" i="12"/>
  <c r="Y295" i="12"/>
  <c r="Y218" i="12"/>
  <c r="Y240" i="12"/>
  <c r="Y171" i="12"/>
  <c r="M32" i="3" s="1"/>
  <c r="J20" i="14" s="1"/>
  <c r="Y325" i="12"/>
  <c r="Y301" i="12"/>
  <c r="EW317" i="12"/>
  <c r="Q67" i="3"/>
  <c r="ES192" i="12"/>
  <c r="ER221" i="12"/>
  <c r="Q59" i="3"/>
  <c r="CF266" i="12"/>
  <c r="N83" i="3"/>
  <c r="AZ187" i="12"/>
  <c r="T202" i="12"/>
  <c r="M51" i="3"/>
  <c r="DR297" i="12"/>
  <c r="P51" i="3"/>
  <c r="DR319" i="12"/>
  <c r="DR201" i="12"/>
  <c r="DR177" i="12"/>
  <c r="DR180" i="12"/>
  <c r="DR302" i="12"/>
  <c r="DR205" i="12"/>
  <c r="DR182" i="12"/>
  <c r="DR214" i="12"/>
  <c r="DR263" i="12"/>
  <c r="DR320" i="12"/>
  <c r="DR222" i="12"/>
  <c r="DR301" i="12"/>
  <c r="DR328" i="12"/>
  <c r="DR249" i="12"/>
  <c r="CL228" i="12"/>
  <c r="CL286" i="12"/>
  <c r="CL316" i="12"/>
  <c r="CL327" i="12"/>
  <c r="CL312" i="12"/>
  <c r="CL182" i="12"/>
  <c r="CL242" i="12"/>
  <c r="N35" i="3"/>
  <c r="BF323" i="12"/>
  <c r="BF259" i="12"/>
  <c r="BF221" i="12"/>
  <c r="BF290" i="12"/>
  <c r="BF294" i="12"/>
  <c r="BF260" i="12"/>
  <c r="BF291" i="12"/>
  <c r="BF247" i="12"/>
  <c r="BF220" i="12"/>
  <c r="BF281" i="12"/>
  <c r="BF305" i="12"/>
  <c r="BF222" i="12"/>
  <c r="BF272" i="12"/>
  <c r="BF263" i="12"/>
  <c r="BF188" i="12"/>
  <c r="BF226" i="12"/>
  <c r="BF181" i="12"/>
  <c r="BF185" i="12"/>
  <c r="BF265" i="12"/>
  <c r="BF304" i="12"/>
  <c r="BF223" i="12"/>
  <c r="BF203" i="12"/>
  <c r="BF313" i="12"/>
  <c r="BF319" i="12"/>
  <c r="BF233" i="12"/>
  <c r="BF224" i="12"/>
  <c r="BF303" i="12"/>
  <c r="BF202" i="12"/>
  <c r="BF302" i="12"/>
  <c r="BF258" i="12"/>
  <c r="BF257" i="12"/>
  <c r="BF299" i="12"/>
  <c r="BF249" i="12"/>
  <c r="BF315" i="12"/>
  <c r="BF219" i="12"/>
  <c r="BF211" i="12"/>
  <c r="BF262" i="12"/>
  <c r="BF213" i="12"/>
  <c r="BF235" i="12"/>
  <c r="BF246" i="12"/>
  <c r="BF191" i="12"/>
  <c r="BF239" i="12"/>
  <c r="BF244" i="12"/>
  <c r="BF217" i="12"/>
  <c r="BF232" i="12"/>
  <c r="BF206" i="12"/>
  <c r="BF216" i="12"/>
  <c r="BF324" i="12"/>
  <c r="BF237" i="12"/>
  <c r="BF285" i="12"/>
  <c r="BF204" i="12"/>
  <c r="BF240" i="12"/>
  <c r="M27" i="3"/>
  <c r="W218" i="12"/>
  <c r="W219" i="12"/>
  <c r="BC275" i="12"/>
  <c r="BC265" i="12"/>
  <c r="BC250" i="12"/>
  <c r="BC206" i="12"/>
  <c r="BC246" i="12"/>
  <c r="BC248" i="12"/>
  <c r="BC202" i="12"/>
  <c r="CI232" i="12"/>
  <c r="CI285" i="12"/>
  <c r="CI198" i="12"/>
  <c r="CI251" i="12"/>
  <c r="CI184" i="12"/>
  <c r="N91" i="3"/>
  <c r="CI201" i="12"/>
  <c r="CI281" i="12"/>
  <c r="CI225" i="12"/>
  <c r="CI187" i="12"/>
  <c r="CI297" i="12"/>
  <c r="CI275" i="12"/>
  <c r="CI212" i="12"/>
  <c r="DO198" i="12"/>
  <c r="DO270" i="12"/>
  <c r="DO272" i="12"/>
  <c r="DO260" i="12"/>
  <c r="DO231" i="12"/>
  <c r="DO248" i="12"/>
  <c r="DO305" i="12"/>
  <c r="DO221" i="12"/>
  <c r="DO169" i="12"/>
  <c r="AS315" i="12"/>
  <c r="M91" i="3"/>
  <c r="P67" i="3"/>
  <c r="DY260" i="12"/>
  <c r="C168" i="12"/>
  <c r="G11" i="4" s="1"/>
  <c r="H10" i="4" s="1"/>
  <c r="AG172" i="12"/>
  <c r="FA172" i="12"/>
  <c r="CR262" i="12"/>
  <c r="CR206" i="12"/>
  <c r="AF299" i="12"/>
  <c r="M67" i="3"/>
  <c r="N43" i="3"/>
  <c r="BR323" i="12"/>
  <c r="BR236" i="12"/>
  <c r="BR184" i="12"/>
  <c r="BR195" i="12"/>
  <c r="BR253" i="12"/>
  <c r="F262" i="12"/>
  <c r="J18" i="14"/>
  <c r="BW262" i="12"/>
  <c r="N67" i="3"/>
  <c r="EI215" i="12"/>
  <c r="EI271" i="12"/>
  <c r="EI176" i="12"/>
  <c r="EI207" i="12"/>
  <c r="O59" i="3"/>
  <c r="CW321" i="12"/>
  <c r="CW201" i="12"/>
  <c r="CW289" i="12"/>
  <c r="EJ295" i="12"/>
  <c r="EJ257" i="12"/>
  <c r="EJ267" i="12"/>
  <c r="EJ235" i="12"/>
  <c r="EJ221" i="12"/>
  <c r="EJ188" i="12"/>
  <c r="EJ253" i="12"/>
  <c r="EJ243" i="12"/>
  <c r="EJ218" i="12"/>
  <c r="L234" i="12"/>
  <c r="L219" i="12"/>
  <c r="L188" i="12"/>
  <c r="M19" i="3"/>
  <c r="L261" i="12"/>
  <c r="L256" i="12"/>
  <c r="L233" i="12"/>
  <c r="L299" i="12"/>
  <c r="L206" i="12"/>
  <c r="L328" i="12"/>
  <c r="L287" i="12"/>
  <c r="L203" i="12"/>
  <c r="L220" i="12"/>
  <c r="L273" i="12"/>
  <c r="L262" i="12"/>
  <c r="L224" i="12"/>
  <c r="L293" i="12"/>
  <c r="L338" i="12"/>
  <c r="L331" i="12" s="1"/>
  <c r="DJ221" i="12"/>
  <c r="DJ310" i="12"/>
  <c r="DJ244" i="12"/>
  <c r="DJ251" i="12"/>
  <c r="DJ284" i="12"/>
  <c r="DJ198" i="12"/>
  <c r="DJ267" i="12"/>
  <c r="DJ243" i="12"/>
  <c r="DJ181" i="12"/>
  <c r="DJ295" i="12"/>
  <c r="DJ179" i="12"/>
  <c r="DJ338" i="12"/>
  <c r="DJ331" i="12" s="1"/>
  <c r="DJ191" i="12"/>
  <c r="DJ313" i="12"/>
  <c r="K32" i="14"/>
  <c r="BI291" i="12"/>
  <c r="BI285" i="12"/>
  <c r="CO253" i="12"/>
  <c r="CO235" i="12"/>
  <c r="EN223" i="12"/>
  <c r="EN292" i="12"/>
  <c r="M18" i="14"/>
  <c r="DN269" i="12"/>
  <c r="DN294" i="12"/>
  <c r="DN301" i="12"/>
  <c r="DN274" i="12"/>
  <c r="N19" i="3"/>
  <c r="BB251" i="12"/>
  <c r="BB181" i="12"/>
  <c r="AA314" i="12"/>
  <c r="M43" i="3"/>
  <c r="CM306" i="12"/>
  <c r="Q91" i="3"/>
  <c r="EY276" i="12"/>
  <c r="EY289" i="12"/>
  <c r="EY206" i="12"/>
  <c r="EY249" i="12"/>
  <c r="EY264" i="12"/>
  <c r="P91" i="3"/>
  <c r="P59" i="3"/>
  <c r="DT205" i="12"/>
  <c r="DT327" i="12"/>
  <c r="BH311" i="12"/>
  <c r="BH284" i="12"/>
  <c r="BH289" i="12"/>
  <c r="BH283" i="12"/>
  <c r="BH250" i="12"/>
  <c r="BH240" i="12"/>
  <c r="BH308" i="12"/>
  <c r="BH177" i="12"/>
  <c r="BH278" i="12"/>
  <c r="BH209" i="12"/>
  <c r="BH249" i="12"/>
  <c r="BH231" i="12"/>
  <c r="E40" i="3"/>
  <c r="BH318" i="12"/>
  <c r="BH287" i="12"/>
  <c r="BH310" i="12"/>
  <c r="BH207" i="12"/>
  <c r="BH303" i="12"/>
  <c r="BH251" i="12"/>
  <c r="BH273" i="12"/>
  <c r="BH202" i="12"/>
  <c r="BH193" i="12"/>
  <c r="BH257" i="12"/>
  <c r="BH214" i="12"/>
  <c r="BH324" i="12"/>
  <c r="G171" i="12"/>
  <c r="G286" i="12"/>
  <c r="G235" i="12"/>
  <c r="G310" i="12"/>
  <c r="G279" i="12"/>
  <c r="G256" i="12"/>
  <c r="G270" i="12"/>
  <c r="G182" i="12"/>
  <c r="G216" i="12"/>
  <c r="G236" i="12"/>
  <c r="G247" i="12"/>
  <c r="G201" i="12"/>
  <c r="G291" i="12"/>
  <c r="G296" i="12"/>
  <c r="G293" i="12"/>
  <c r="G315" i="12"/>
  <c r="CT330" i="12"/>
  <c r="O51" i="3"/>
  <c r="EL269" i="12"/>
  <c r="D170" i="12"/>
  <c r="S12" i="3" s="1"/>
  <c r="C13" i="13"/>
  <c r="CB20" i="3"/>
  <c r="CA17" i="3"/>
  <c r="BZ17" i="3"/>
  <c r="BZ20" i="3"/>
  <c r="CC153" i="3"/>
  <c r="BV20" i="3"/>
  <c r="AI12" i="3"/>
  <c r="BQ19" i="3"/>
  <c r="BQ20" i="3"/>
  <c r="BX20" i="3"/>
  <c r="BV17" i="3"/>
  <c r="BW46" i="3"/>
  <c r="AI5" i="13" l="1"/>
  <c r="AI36" i="13" s="1"/>
  <c r="AL66" i="13" s="1"/>
  <c r="C78" i="3"/>
  <c r="E37" i="3"/>
  <c r="AI38" i="3"/>
  <c r="S7" i="14"/>
  <c r="E93" i="3"/>
  <c r="E77" i="3"/>
  <c r="E85" i="3"/>
  <c r="AF81" i="3"/>
  <c r="K54" i="3"/>
  <c r="CA175" i="3"/>
  <c r="AJ38" i="3"/>
  <c r="AK61" i="3"/>
  <c r="AI61" i="3"/>
  <c r="O63" i="3"/>
  <c r="L10" i="14" s="1"/>
  <c r="T11" i="14" s="1"/>
  <c r="AH83" i="3"/>
  <c r="AP83" i="3" s="1"/>
  <c r="O71" i="3"/>
  <c r="L11" i="14" s="1"/>
  <c r="T12" i="14" s="1"/>
  <c r="AH84" i="3"/>
  <c r="AP84" i="3" s="1"/>
  <c r="P55" i="3"/>
  <c r="M9" i="14" s="1"/>
  <c r="U10" i="14" s="1"/>
  <c r="AH88" i="3"/>
  <c r="AP88" i="3" s="1"/>
  <c r="Q71" i="3"/>
  <c r="N11" i="14" s="1"/>
  <c r="V12" i="14" s="1"/>
  <c r="AH96" i="3"/>
  <c r="Q63" i="3"/>
  <c r="N10" i="14" s="1"/>
  <c r="V11" i="14" s="1"/>
  <c r="AH95" i="3"/>
  <c r="AP95" i="3" s="1"/>
  <c r="O95" i="3"/>
  <c r="L14" i="14" s="1"/>
  <c r="T15" i="14" s="1"/>
  <c r="AH85" i="3"/>
  <c r="AP85" i="3" s="1"/>
  <c r="Q95" i="3"/>
  <c r="N14" i="14" s="1"/>
  <c r="V15" i="14" s="1"/>
  <c r="AH97" i="3"/>
  <c r="AF93" i="3"/>
  <c r="AF87" i="3"/>
  <c r="AH87" i="3"/>
  <c r="AF71" i="3"/>
  <c r="P71" i="3"/>
  <c r="M11" i="14" s="1"/>
  <c r="U12" i="14" s="1"/>
  <c r="AH90" i="3"/>
  <c r="P95" i="3"/>
  <c r="M14" i="14" s="1"/>
  <c r="U15" i="14" s="1"/>
  <c r="AH91" i="3"/>
  <c r="O55" i="3"/>
  <c r="L9" i="14" s="1"/>
  <c r="T10" i="14" s="1"/>
  <c r="AH82" i="3"/>
  <c r="AP82" i="3" s="1"/>
  <c r="Q55" i="3"/>
  <c r="N9" i="14" s="1"/>
  <c r="V10" i="14" s="1"/>
  <c r="AH94" i="3"/>
  <c r="AP94" i="3" s="1"/>
  <c r="P63" i="3"/>
  <c r="M10" i="14" s="1"/>
  <c r="U11" i="14" s="1"/>
  <c r="AH89" i="3"/>
  <c r="AP89" i="3" s="1"/>
  <c r="AI71" i="3"/>
  <c r="AP64" i="3"/>
  <c r="AP73" i="3"/>
  <c r="AH81" i="3"/>
  <c r="AH93" i="3"/>
  <c r="AH71" i="3"/>
  <c r="AH61" i="3"/>
  <c r="M23" i="3"/>
  <c r="J5" i="14" s="1"/>
  <c r="R6" i="14" s="1"/>
  <c r="AD63" i="3"/>
  <c r="AP72" i="3"/>
  <c r="AP74" i="3"/>
  <c r="M39" i="3"/>
  <c r="J7" i="14" s="1"/>
  <c r="B7" i="14" s="1"/>
  <c r="AE63" i="3"/>
  <c r="AP62" i="3"/>
  <c r="R9" i="14"/>
  <c r="AP12" i="3"/>
  <c r="AH22" i="3"/>
  <c r="BR72" i="3" s="1"/>
  <c r="AF22" i="3"/>
  <c r="CD64" i="3" s="1"/>
  <c r="AF38" i="3"/>
  <c r="BY126" i="3" s="1"/>
  <c r="AH38" i="3"/>
  <c r="BW134" i="3" s="1"/>
  <c r="AF32" i="3"/>
  <c r="BS126" i="3" s="1"/>
  <c r="AH32" i="3"/>
  <c r="BQ134" i="3" s="1"/>
  <c r="AF61" i="3"/>
  <c r="G13" i="3"/>
  <c r="G14" i="3"/>
  <c r="K14" i="3"/>
  <c r="K13" i="3"/>
  <c r="S13" i="3"/>
  <c r="S14" i="3"/>
  <c r="AH44" i="3"/>
  <c r="CC134" i="3" s="1"/>
  <c r="AF44" i="3"/>
  <c r="CE126" i="3" s="1"/>
  <c r="P13" i="3"/>
  <c r="P14" i="3"/>
  <c r="Q14" i="3"/>
  <c r="Q13" i="3"/>
  <c r="I14" i="3"/>
  <c r="I13" i="3"/>
  <c r="E14" i="3"/>
  <c r="E13" i="3"/>
  <c r="O14" i="3"/>
  <c r="O13" i="3"/>
  <c r="N13" i="3"/>
  <c r="N14" i="3"/>
  <c r="B4" i="14"/>
  <c r="C70" i="3"/>
  <c r="AD14" i="3"/>
  <c r="AJ81" i="3"/>
  <c r="BV170" i="12"/>
  <c r="T68" i="3" s="1"/>
  <c r="T69" i="3" s="1"/>
  <c r="AP76" i="3"/>
  <c r="Q60" i="3"/>
  <c r="Q61" i="3" s="1"/>
  <c r="Q62" i="3" s="1"/>
  <c r="DP170" i="12"/>
  <c r="V52" i="3" s="1"/>
  <c r="V54" i="3" s="1"/>
  <c r="M76" i="3"/>
  <c r="BW55" i="3" s="1"/>
  <c r="AF28" i="3"/>
  <c r="BW103" i="3" s="1"/>
  <c r="Q52" i="3"/>
  <c r="Q53" i="3" s="1"/>
  <c r="Q54" i="3" s="1"/>
  <c r="N92" i="3"/>
  <c r="BW118" i="3" s="1"/>
  <c r="AF35" i="3"/>
  <c r="BP159" i="3" s="1"/>
  <c r="M20" i="3"/>
  <c r="M21" i="3" s="1"/>
  <c r="M22" i="3" s="1"/>
  <c r="P70" i="3"/>
  <c r="P69" i="3" s="1"/>
  <c r="M92" i="3"/>
  <c r="BW57" i="3" s="1"/>
  <c r="Q92" i="3"/>
  <c r="AJ87" i="3"/>
  <c r="M36" i="3"/>
  <c r="M37" i="3" s="1"/>
  <c r="M38" i="3" s="1"/>
  <c r="P92" i="3"/>
  <c r="AE170" i="12"/>
  <c r="S68" i="3" s="1"/>
  <c r="S69" i="3" s="1"/>
  <c r="AP66" i="3"/>
  <c r="AP67" i="3" s="1"/>
  <c r="N52" i="3"/>
  <c r="N53" i="3" s="1"/>
  <c r="N54" i="3" s="1"/>
  <c r="O94" i="3"/>
  <c r="O93" i="3" s="1"/>
  <c r="AU170" i="12"/>
  <c r="T12" i="3" s="1"/>
  <c r="AH40" i="3"/>
  <c r="BV149" i="3" s="1"/>
  <c r="BF170" i="12"/>
  <c r="T36" i="3" s="1"/>
  <c r="T38" i="3" s="1"/>
  <c r="M86" i="3"/>
  <c r="M85" i="3" s="1"/>
  <c r="N86" i="3"/>
  <c r="N85" i="3" s="1"/>
  <c r="Q70" i="3"/>
  <c r="Q69" i="3" s="1"/>
  <c r="O52" i="3"/>
  <c r="O53" i="3" s="1"/>
  <c r="O54" i="3" s="1"/>
  <c r="N20" i="3"/>
  <c r="N21" i="3" s="1"/>
  <c r="N22" i="3" s="1"/>
  <c r="M46" i="3"/>
  <c r="M45" i="3" s="1"/>
  <c r="AP65" i="3"/>
  <c r="AF26" i="3"/>
  <c r="BS103" i="3" s="1"/>
  <c r="AP75" i="3"/>
  <c r="AI81" i="3"/>
  <c r="AI93" i="3"/>
  <c r="AI87" i="3"/>
  <c r="CA170" i="3"/>
  <c r="C45" i="3"/>
  <c r="S12" i="14"/>
  <c r="C30" i="13"/>
  <c r="M44" i="3"/>
  <c r="BW52" i="3" s="1"/>
  <c r="E78" i="3"/>
  <c r="K94" i="3"/>
  <c r="AA170" i="12"/>
  <c r="S44" i="3" s="1"/>
  <c r="S46" i="3" s="1"/>
  <c r="I61" i="13"/>
  <c r="E75" i="3"/>
  <c r="AH28" i="13"/>
  <c r="N46" i="3"/>
  <c r="N45" i="3" s="1"/>
  <c r="I93" i="3"/>
  <c r="M30" i="3"/>
  <c r="M29" i="3" s="1"/>
  <c r="E21" i="3"/>
  <c r="V5" i="14"/>
  <c r="S13" i="14"/>
  <c r="R13" i="14"/>
  <c r="T5" i="14"/>
  <c r="S14" i="14"/>
  <c r="U5" i="14"/>
  <c r="R5" i="14"/>
  <c r="S5" i="14"/>
  <c r="R15" i="14"/>
  <c r="R7" i="14"/>
  <c r="S9" i="14"/>
  <c r="S10" i="14"/>
  <c r="R10" i="14"/>
  <c r="R14" i="14"/>
  <c r="S8" i="14"/>
  <c r="S6" i="14"/>
  <c r="S15" i="14"/>
  <c r="R12" i="14"/>
  <c r="E51" i="3"/>
  <c r="E86" i="3"/>
  <c r="E94" i="3"/>
  <c r="AJ28" i="13"/>
  <c r="AJ13" i="13" s="1"/>
  <c r="AH29" i="3"/>
  <c r="CC89" i="3" s="1"/>
  <c r="K93" i="13"/>
  <c r="AF41" i="3"/>
  <c r="BV159" i="3" s="1"/>
  <c r="AI32" i="3"/>
  <c r="AH23" i="3"/>
  <c r="K70" i="3"/>
  <c r="CS170" i="12"/>
  <c r="U52" i="3" s="1"/>
  <c r="U53" i="3" s="1"/>
  <c r="C85" i="13"/>
  <c r="AH33" i="3"/>
  <c r="BQ143" i="3" s="1"/>
  <c r="K69" i="3"/>
  <c r="I94" i="3"/>
  <c r="CA178" i="3"/>
  <c r="C22" i="13"/>
  <c r="E22" i="3"/>
  <c r="E29" i="3"/>
  <c r="C29" i="3"/>
  <c r="AH26" i="3"/>
  <c r="BT88" i="3" s="1"/>
  <c r="G62" i="3"/>
  <c r="G61" i="3"/>
  <c r="BR170" i="12"/>
  <c r="T44" i="3" s="1"/>
  <c r="T45" i="3" s="1"/>
  <c r="AH28" i="3"/>
  <c r="BX89" i="3" s="1"/>
  <c r="CA163" i="3"/>
  <c r="AH39" i="3"/>
  <c r="BW143" i="3" s="1"/>
  <c r="AH9" i="13"/>
  <c r="AH39" i="13" s="1"/>
  <c r="AJ90" i="13" s="1"/>
  <c r="N76" i="3"/>
  <c r="BW116" i="3" s="1"/>
  <c r="AH21" i="13"/>
  <c r="AI4" i="13"/>
  <c r="AI35" i="13" s="1"/>
  <c r="AL65" i="13" s="1"/>
  <c r="AI44" i="3"/>
  <c r="G93" i="3"/>
  <c r="AJ44" i="3"/>
  <c r="E46" i="3"/>
  <c r="CA166" i="3"/>
  <c r="G70" i="3"/>
  <c r="DI170" i="12"/>
  <c r="V12" i="3" s="1"/>
  <c r="AH19" i="13"/>
  <c r="AJ32" i="3"/>
  <c r="AJ15" i="13"/>
  <c r="AJ44" i="13" s="1"/>
  <c r="AY68" i="13" s="1"/>
  <c r="BZ170" i="12"/>
  <c r="T76" i="3" s="1"/>
  <c r="T78" i="3" s="1"/>
  <c r="AH11" i="13"/>
  <c r="AH41" i="13" s="1"/>
  <c r="AJ92" i="13" s="1"/>
  <c r="N36" i="3"/>
  <c r="N37" i="3" s="1"/>
  <c r="N38" i="3" s="1"/>
  <c r="AH36" i="3"/>
  <c r="BR150" i="3" s="1"/>
  <c r="AF36" i="3"/>
  <c r="BR159" i="3" s="1"/>
  <c r="Q94" i="3"/>
  <c r="Q93" i="3" s="1"/>
  <c r="AQ170" i="12"/>
  <c r="S92" i="3" s="1"/>
  <c r="S94" i="3" s="1"/>
  <c r="CB140" i="3"/>
  <c r="AH31" i="13"/>
  <c r="I70" i="3"/>
  <c r="K62" i="3"/>
  <c r="P60" i="3"/>
  <c r="P61" i="3" s="1"/>
  <c r="P62" i="3" s="1"/>
  <c r="AH4" i="13"/>
  <c r="AH35" i="13" s="1"/>
  <c r="AJ65" i="13" s="1"/>
  <c r="BY139" i="3"/>
  <c r="C46" i="13"/>
  <c r="AH20" i="3"/>
  <c r="BZ29" i="3" s="1"/>
  <c r="AH48" i="3"/>
  <c r="CD150" i="3" s="1"/>
  <c r="EY170" i="12"/>
  <c r="W92" i="3" s="1"/>
  <c r="W94" i="3" s="1"/>
  <c r="BV140" i="3"/>
  <c r="AF48" i="3"/>
  <c r="CD159" i="3" s="1"/>
  <c r="E21" i="13"/>
  <c r="M94" i="3"/>
  <c r="M93" i="3" s="1"/>
  <c r="G11" i="3"/>
  <c r="AF20" i="3"/>
  <c r="BZ43" i="3" s="1"/>
  <c r="AI170" i="12"/>
  <c r="S76" i="3" s="1"/>
  <c r="S78" i="3" s="1"/>
  <c r="C27" i="13"/>
  <c r="C4" i="14"/>
  <c r="AF18" i="3"/>
  <c r="BW43" i="3" s="1"/>
  <c r="AH18" i="3"/>
  <c r="BX29" i="3" s="1"/>
  <c r="F4" i="14"/>
  <c r="K99" i="13"/>
  <c r="V10" i="13" s="1"/>
  <c r="I91" i="3"/>
  <c r="BJ170" i="12"/>
  <c r="T52" i="3" s="1"/>
  <c r="T53" i="3" s="1"/>
  <c r="G91" i="13"/>
  <c r="T7" i="13" s="1"/>
  <c r="G100" i="3"/>
  <c r="O106" i="3" s="1"/>
  <c r="I62" i="3"/>
  <c r="BB170" i="12"/>
  <c r="T20" i="3" s="1"/>
  <c r="T22" i="3" s="1"/>
  <c r="CW170" i="12"/>
  <c r="U60" i="3" s="1"/>
  <c r="U61" i="3" s="1"/>
  <c r="AH16" i="3"/>
  <c r="BT28" i="3" s="1"/>
  <c r="G61" i="13"/>
  <c r="AJ19" i="13"/>
  <c r="AJ14" i="13" s="1"/>
  <c r="AJ43" i="13" s="1"/>
  <c r="AY67" i="13" s="1"/>
  <c r="AF16" i="3"/>
  <c r="BS43" i="3" s="1"/>
  <c r="N44" i="3"/>
  <c r="BW113" i="3" s="1"/>
  <c r="M78" i="3"/>
  <c r="M77" i="3" s="1"/>
  <c r="AF47" i="3"/>
  <c r="CB159" i="3" s="1"/>
  <c r="N94" i="3"/>
  <c r="N93" i="3" s="1"/>
  <c r="C67" i="3"/>
  <c r="I11" i="3"/>
  <c r="C11" i="3"/>
  <c r="AJ5" i="13"/>
  <c r="AJ36" i="13" s="1"/>
  <c r="AN66" i="13" s="1"/>
  <c r="AI9" i="13"/>
  <c r="AI39" i="13" s="1"/>
  <c r="AL90" i="13" s="1"/>
  <c r="C54" i="3"/>
  <c r="K99" i="3"/>
  <c r="Q105" i="3" s="1"/>
  <c r="AI22" i="3"/>
  <c r="G11" i="13"/>
  <c r="T4" i="13" s="1"/>
  <c r="C11" i="13"/>
  <c r="Q4" i="13" s="1"/>
  <c r="Q69" i="13" s="1"/>
  <c r="E30" i="13"/>
  <c r="DE170" i="12"/>
  <c r="U92" i="3" s="1"/>
  <c r="U94" i="3" s="1"/>
  <c r="M84" i="3"/>
  <c r="BW56" i="3" s="1"/>
  <c r="O92" i="3"/>
  <c r="E100" i="3"/>
  <c r="N106" i="3" s="1"/>
  <c r="K11" i="3"/>
  <c r="C83" i="13"/>
  <c r="AI10" i="13"/>
  <c r="AI40" i="13" s="1"/>
  <c r="AL91" i="13" s="1"/>
  <c r="K100" i="3"/>
  <c r="Q106" i="3" s="1"/>
  <c r="C75" i="3"/>
  <c r="G99" i="3"/>
  <c r="O105" i="3" s="1"/>
  <c r="C94" i="3"/>
  <c r="AJ22" i="3"/>
  <c r="I69" i="3"/>
  <c r="K61" i="3"/>
  <c r="I54" i="3"/>
  <c r="CA165" i="3"/>
  <c r="I99" i="3"/>
  <c r="P105" i="3" s="1"/>
  <c r="AF29" i="3"/>
  <c r="CB103" i="3" s="1"/>
  <c r="DT170" i="12"/>
  <c r="V60" i="3" s="1"/>
  <c r="V62" i="3" s="1"/>
  <c r="I70" i="13"/>
  <c r="AF19" i="3"/>
  <c r="CB43" i="3" s="1"/>
  <c r="AM170" i="12"/>
  <c r="S84" i="3" s="1"/>
  <c r="S85" i="3" s="1"/>
  <c r="AG16" i="13"/>
  <c r="AG45" i="13" s="1"/>
  <c r="AS69" i="13" s="1"/>
  <c r="C69" i="13"/>
  <c r="C77" i="13"/>
  <c r="N84" i="3"/>
  <c r="BW117" i="3" s="1"/>
  <c r="P68" i="3"/>
  <c r="I11" i="13"/>
  <c r="U4" i="13" s="1"/>
  <c r="G91" i="3"/>
  <c r="K101" i="3"/>
  <c r="Q107" i="3" s="1"/>
  <c r="G67" i="3"/>
  <c r="G102" i="3"/>
  <c r="O108" i="3" s="1"/>
  <c r="I100" i="13"/>
  <c r="U11" i="13" s="1"/>
  <c r="U16" i="13" s="1"/>
  <c r="K91" i="3"/>
  <c r="I101" i="3"/>
  <c r="P107" i="3" s="1"/>
  <c r="AH20" i="13"/>
  <c r="AP15" i="3"/>
  <c r="C35" i="3"/>
  <c r="I59" i="3"/>
  <c r="AJ6" i="13"/>
  <c r="AJ37" i="13" s="1"/>
  <c r="AN67" i="13" s="1"/>
  <c r="G59" i="3"/>
  <c r="E67" i="3"/>
  <c r="K91" i="13"/>
  <c r="V7" i="13" s="1"/>
  <c r="E19" i="13"/>
  <c r="K67" i="3"/>
  <c r="G59" i="13"/>
  <c r="AH10" i="13"/>
  <c r="AH40" i="13" s="1"/>
  <c r="AJ91" i="13" s="1"/>
  <c r="G54" i="3"/>
  <c r="AP13" i="3"/>
  <c r="E99" i="3"/>
  <c r="N105" i="3" s="1"/>
  <c r="C99" i="3"/>
  <c r="M105" i="3" s="1"/>
  <c r="E27" i="3"/>
  <c r="C22" i="3"/>
  <c r="C85" i="3"/>
  <c r="C37" i="3"/>
  <c r="E53" i="3"/>
  <c r="DA170" i="12"/>
  <c r="U68" i="3" s="1"/>
  <c r="U69" i="3" s="1"/>
  <c r="G69" i="13"/>
  <c r="EM170" i="12"/>
  <c r="W52" i="3" s="1"/>
  <c r="W53" i="3" s="1"/>
  <c r="AI18" i="13"/>
  <c r="C91" i="13"/>
  <c r="Q68" i="3"/>
  <c r="O70" i="3"/>
  <c r="O69" i="3" s="1"/>
  <c r="AH24" i="13"/>
  <c r="AI3" i="13"/>
  <c r="AF27" i="3"/>
  <c r="BP103" i="3" s="1"/>
  <c r="AH46" i="3"/>
  <c r="CB149" i="3" s="1"/>
  <c r="AG28" i="13"/>
  <c r="AG14" i="13"/>
  <c r="AG43" i="13" s="1"/>
  <c r="AS67" i="13" s="1"/>
  <c r="AJ9" i="13"/>
  <c r="AJ39" i="13" s="1"/>
  <c r="AN90" i="13" s="1"/>
  <c r="AH6" i="13"/>
  <c r="AH37" i="13" s="1"/>
  <c r="AJ67" i="13" s="1"/>
  <c r="AI11" i="13"/>
  <c r="AI41" i="13" s="1"/>
  <c r="AL92" i="13" s="1"/>
  <c r="C67" i="13"/>
  <c r="E11" i="3"/>
  <c r="AP34" i="3"/>
  <c r="I51" i="3"/>
  <c r="E83" i="3"/>
  <c r="G102" i="13"/>
  <c r="T13" i="13" s="1"/>
  <c r="T18" i="13" s="1"/>
  <c r="EU170" i="12"/>
  <c r="W68" i="3" s="1"/>
  <c r="W69" i="3" s="1"/>
  <c r="C93" i="13"/>
  <c r="AJ8" i="13"/>
  <c r="AH47" i="3"/>
  <c r="CA156" i="3" s="1"/>
  <c r="AF30" i="3"/>
  <c r="BZ103" i="3" s="1"/>
  <c r="AJ3" i="13"/>
  <c r="K51" i="13"/>
  <c r="CH170" i="12"/>
  <c r="T92" i="3" s="1"/>
  <c r="T93" i="3" s="1"/>
  <c r="AH30" i="3"/>
  <c r="BZ89" i="3" s="1"/>
  <c r="E78" i="13"/>
  <c r="N78" i="3"/>
  <c r="N77" i="3" s="1"/>
  <c r="P52" i="3"/>
  <c r="P53" i="3" s="1"/>
  <c r="P54" i="3" s="1"/>
  <c r="O68" i="3"/>
  <c r="K53" i="13"/>
  <c r="E35" i="3"/>
  <c r="C19" i="3"/>
  <c r="E43" i="3"/>
  <c r="C43" i="3"/>
  <c r="C100" i="3"/>
  <c r="M106" i="3" s="1"/>
  <c r="E91" i="3"/>
  <c r="AH5" i="13"/>
  <c r="AH36" i="13" s="1"/>
  <c r="AJ66" i="13" s="1"/>
  <c r="C27" i="3"/>
  <c r="G101" i="13"/>
  <c r="T12" i="13" s="1"/>
  <c r="T17" i="13" s="1"/>
  <c r="E67" i="13"/>
  <c r="N28" i="3"/>
  <c r="AJ11" i="13"/>
  <c r="AJ41" i="13" s="1"/>
  <c r="AN92" i="13" s="1"/>
  <c r="I100" i="3"/>
  <c r="P106" i="3" s="1"/>
  <c r="AH29" i="13"/>
  <c r="AH30" i="13"/>
  <c r="CL170" i="12"/>
  <c r="U12" i="3" s="1"/>
  <c r="AH14" i="3"/>
  <c r="M70" i="3"/>
  <c r="M69" i="3" s="1"/>
  <c r="AH25" i="3"/>
  <c r="BQ92" i="3" s="1"/>
  <c r="C75" i="13"/>
  <c r="AI15" i="13"/>
  <c r="AI44" i="13" s="1"/>
  <c r="AW68" i="13" s="1"/>
  <c r="P94" i="3"/>
  <c r="P93" i="3" s="1"/>
  <c r="I14" i="13"/>
  <c r="CA169" i="3"/>
  <c r="E70" i="3"/>
  <c r="G99" i="13"/>
  <c r="T10" i="13" s="1"/>
  <c r="I69" i="13"/>
  <c r="E43" i="13"/>
  <c r="G51" i="13"/>
  <c r="E27" i="13"/>
  <c r="E93" i="13"/>
  <c r="AH41" i="3"/>
  <c r="BU156" i="3" s="1"/>
  <c r="AH18" i="13"/>
  <c r="AH19" i="3"/>
  <c r="CC29" i="3" s="1"/>
  <c r="K170" i="12"/>
  <c r="S20" i="3" s="1"/>
  <c r="S21" i="3" s="1"/>
  <c r="DX170" i="12"/>
  <c r="V68" i="3" s="1"/>
  <c r="V69" i="3" s="1"/>
  <c r="CD170" i="12"/>
  <c r="T84" i="3" s="1"/>
  <c r="T85" i="3" s="1"/>
  <c r="G14" i="13"/>
  <c r="E85" i="13"/>
  <c r="G53" i="13"/>
  <c r="G93" i="13"/>
  <c r="AG18" i="13"/>
  <c r="G94" i="13"/>
  <c r="E45" i="13"/>
  <c r="AF17" i="3"/>
  <c r="BP43" i="3" s="1"/>
  <c r="AH24" i="3"/>
  <c r="BT83" i="3" s="1"/>
  <c r="I67" i="3"/>
  <c r="E91" i="13"/>
  <c r="AG15" i="13"/>
  <c r="AG44" i="13" s="1"/>
  <c r="AS68" i="13" s="1"/>
  <c r="C51" i="3"/>
  <c r="C91" i="3"/>
  <c r="AH26" i="13"/>
  <c r="K59" i="3"/>
  <c r="AJ16" i="13"/>
  <c r="AJ45" i="13" s="1"/>
  <c r="AY69" i="13" s="1"/>
  <c r="K102" i="3"/>
  <c r="Q108" i="3" s="1"/>
  <c r="I59" i="13"/>
  <c r="I102" i="13"/>
  <c r="U13" i="13" s="1"/>
  <c r="U18" i="13" s="1"/>
  <c r="E51" i="13"/>
  <c r="E83" i="13"/>
  <c r="C83" i="3"/>
  <c r="AI16" i="13"/>
  <c r="AI45" i="13" s="1"/>
  <c r="AW69" i="13" s="1"/>
  <c r="EQ170" i="12"/>
  <c r="W60" i="3" s="1"/>
  <c r="W61" i="3" s="1"/>
  <c r="I54" i="13"/>
  <c r="EK313" i="12"/>
  <c r="EK336" i="12" s="1"/>
  <c r="CD254" i="12"/>
  <c r="CD336" i="12" s="1"/>
  <c r="I102" i="3"/>
  <c r="P108" i="3" s="1"/>
  <c r="E99" i="13"/>
  <c r="R10" i="13" s="1"/>
  <c r="C102" i="13"/>
  <c r="Q13" i="13" s="1"/>
  <c r="Q18" i="13" s="1"/>
  <c r="X71" i="13" s="1"/>
  <c r="S53" i="3"/>
  <c r="C43" i="13"/>
  <c r="AI6" i="13"/>
  <c r="AI37" i="13" s="1"/>
  <c r="AL67" i="13" s="1"/>
  <c r="I91" i="13"/>
  <c r="U7" i="13" s="1"/>
  <c r="E53" i="13"/>
  <c r="I93" i="13"/>
  <c r="K51" i="3"/>
  <c r="AP45" i="3"/>
  <c r="F178" i="12"/>
  <c r="F337" i="12" s="1"/>
  <c r="C100" i="13"/>
  <c r="Q11" i="13" s="1"/>
  <c r="Q16" i="13" s="1"/>
  <c r="X69" i="13" s="1"/>
  <c r="EB170" i="12"/>
  <c r="V92" i="3" s="1"/>
  <c r="V93" i="3" s="1"/>
  <c r="O170" i="12"/>
  <c r="S36" i="3" s="1"/>
  <c r="S37" i="3" s="1"/>
  <c r="AF42" i="3"/>
  <c r="BX159" i="3" s="1"/>
  <c r="D176" i="12"/>
  <c r="D336" i="12" s="1"/>
  <c r="C19" i="13"/>
  <c r="DA277" i="12"/>
  <c r="DA336" i="12" s="1"/>
  <c r="ET322" i="12"/>
  <c r="ET337" i="12" s="1"/>
  <c r="CE255" i="12"/>
  <c r="CE337" i="12" s="1"/>
  <c r="BU245" i="12"/>
  <c r="BU336" i="12" s="1"/>
  <c r="I101" i="13"/>
  <c r="U12" i="13" s="1"/>
  <c r="U17" i="13" s="1"/>
  <c r="E102" i="3"/>
  <c r="N108" i="3" s="1"/>
  <c r="C102" i="3"/>
  <c r="M108" i="3" s="1"/>
  <c r="AH8" i="13"/>
  <c r="AI8" i="13"/>
  <c r="C35" i="13"/>
  <c r="I94" i="13"/>
  <c r="C99" i="13"/>
  <c r="Q10" i="13" s="1"/>
  <c r="H8" i="4"/>
  <c r="I67" i="13"/>
  <c r="U6" i="13" s="1"/>
  <c r="E70" i="13"/>
  <c r="AH3" i="13"/>
  <c r="K102" i="13"/>
  <c r="V13" i="13" s="1"/>
  <c r="V18" i="13" s="1"/>
  <c r="C37" i="13"/>
  <c r="N68" i="3"/>
  <c r="BW114" i="3" s="1"/>
  <c r="AH25" i="13"/>
  <c r="EN316" i="12"/>
  <c r="EN336" i="12" s="1"/>
  <c r="DW299" i="12"/>
  <c r="DW337" i="12" s="1"/>
  <c r="BV246" i="12"/>
  <c r="BV336" i="12" s="1"/>
  <c r="V194" i="12"/>
  <c r="V336" i="12" s="1"/>
  <c r="EX326" i="12"/>
  <c r="EX337" i="12" s="1"/>
  <c r="CB252" i="12"/>
  <c r="CB337" i="12" s="1"/>
  <c r="DX300" i="12"/>
  <c r="DX336" i="12" s="1"/>
  <c r="EO317" i="12"/>
  <c r="EO337" i="12" s="1"/>
  <c r="AL210" i="12"/>
  <c r="AL337" i="12" s="1"/>
  <c r="CP266" i="12"/>
  <c r="CP337" i="12" s="1"/>
  <c r="E100" i="13"/>
  <c r="R11" i="13" s="1"/>
  <c r="R16" i="13" s="1"/>
  <c r="Z69" i="13" s="1"/>
  <c r="K11" i="13"/>
  <c r="V4" i="13" s="1"/>
  <c r="I51" i="13"/>
  <c r="AE14" i="3"/>
  <c r="BN22" i="3" s="1"/>
  <c r="BA225" i="12"/>
  <c r="BA337" i="12" s="1"/>
  <c r="AB200" i="12"/>
  <c r="AB336" i="12" s="1"/>
  <c r="BS243" i="12"/>
  <c r="BS336" i="12" s="1"/>
  <c r="AQ215" i="12"/>
  <c r="AQ336" i="12" s="1"/>
  <c r="T192" i="12"/>
  <c r="T336" i="12" s="1"/>
  <c r="O187" i="12"/>
  <c r="O337" i="12" s="1"/>
  <c r="BX248" i="12"/>
  <c r="BX336" i="12" s="1"/>
  <c r="BQ241" i="12"/>
  <c r="BQ337" i="12" s="1"/>
  <c r="AI14" i="13"/>
  <c r="AI43" i="13" s="1"/>
  <c r="AW67" i="13" s="1"/>
  <c r="BE229" i="12"/>
  <c r="BE336" i="12" s="1"/>
  <c r="DI285" i="12"/>
  <c r="DI337" i="12" s="1"/>
  <c r="E101" i="3"/>
  <c r="N107" i="3" s="1"/>
  <c r="CG257" i="12"/>
  <c r="CG336" i="12" s="1"/>
  <c r="E101" i="13"/>
  <c r="R12" i="13" s="1"/>
  <c r="R17" i="13" s="1"/>
  <c r="Z70" i="13" s="1"/>
  <c r="C101" i="3"/>
  <c r="M107" i="3" s="1"/>
  <c r="R190" i="12"/>
  <c r="R336" i="12" s="1"/>
  <c r="K101" i="13"/>
  <c r="V12" i="13" s="1"/>
  <c r="V17" i="13" s="1"/>
  <c r="E19" i="3"/>
  <c r="G51" i="3"/>
  <c r="AJ4" i="13"/>
  <c r="AJ35" i="13" s="1"/>
  <c r="AN65" i="13" s="1"/>
  <c r="C54" i="13"/>
  <c r="C51" i="13"/>
  <c r="G100" i="13"/>
  <c r="T11" i="13" s="1"/>
  <c r="T16" i="13" s="1"/>
  <c r="K59" i="13"/>
  <c r="AH42" i="3"/>
  <c r="AH17" i="3"/>
  <c r="BQ37" i="3" s="1"/>
  <c r="G67" i="13"/>
  <c r="T6" i="13" s="1"/>
  <c r="M68" i="3"/>
  <c r="BW53" i="3" s="1"/>
  <c r="DM289" i="12"/>
  <c r="DM336" i="12" s="1"/>
  <c r="AJ10" i="13"/>
  <c r="AJ40" i="13" s="1"/>
  <c r="AN91" i="13" s="1"/>
  <c r="DR294" i="12"/>
  <c r="DR336" i="12" s="1"/>
  <c r="DS295" i="12"/>
  <c r="DS336" i="12" s="1"/>
  <c r="G101" i="3"/>
  <c r="O107" i="3" s="1"/>
  <c r="K183" i="12"/>
  <c r="K337" i="12" s="1"/>
  <c r="DD280" i="12"/>
  <c r="DD336" i="12" s="1"/>
  <c r="EV324" i="12"/>
  <c r="EV337" i="12" s="1"/>
  <c r="CV272" i="12"/>
  <c r="CV336" i="12" s="1"/>
  <c r="DV298" i="12"/>
  <c r="DV337" i="12" s="1"/>
  <c r="AN212" i="12"/>
  <c r="AN336" i="12" s="1"/>
  <c r="AZ224" i="12"/>
  <c r="AZ337" i="12" s="1"/>
  <c r="E4" i="14"/>
  <c r="J182" i="12"/>
  <c r="J336" i="12" s="1"/>
  <c r="ED306" i="12"/>
  <c r="ED336" i="12" s="1"/>
  <c r="DL288" i="12"/>
  <c r="DL337" i="12" s="1"/>
  <c r="AT218" i="12"/>
  <c r="AT337" i="12" s="1"/>
  <c r="AP214" i="12"/>
  <c r="AP337" i="12" s="1"/>
  <c r="BF230" i="12"/>
  <c r="BF336" i="12" s="1"/>
  <c r="DP292" i="12"/>
  <c r="DP337" i="12" s="1"/>
  <c r="CW273" i="12"/>
  <c r="CW336" i="12" s="1"/>
  <c r="AX222" i="12"/>
  <c r="AX336" i="12" s="1"/>
  <c r="DF282" i="12"/>
  <c r="DF336" i="12" s="1"/>
  <c r="DY301" i="12"/>
  <c r="DY337" i="12" s="1"/>
  <c r="EG309" i="12"/>
  <c r="EG337" i="12" s="1"/>
  <c r="EB304" i="12"/>
  <c r="EB337" i="12" s="1"/>
  <c r="BW107" i="3"/>
  <c r="C338" i="12"/>
  <c r="E102" i="13"/>
  <c r="R13" i="13" s="1"/>
  <c r="R18" i="13" s="1"/>
  <c r="Z71" i="13" s="1"/>
  <c r="K100" i="13"/>
  <c r="V11" i="13" s="1"/>
  <c r="V16" i="13" s="1"/>
  <c r="E35" i="13"/>
  <c r="E75" i="13"/>
  <c r="AH23" i="13"/>
  <c r="K67" i="13"/>
  <c r="V6" i="13" s="1"/>
  <c r="AH27" i="3"/>
  <c r="BQ97" i="3" s="1"/>
  <c r="M52" i="3"/>
  <c r="M53" i="3" s="1"/>
  <c r="M54" i="3" s="1"/>
  <c r="N70" i="3"/>
  <c r="N69" i="3" s="1"/>
  <c r="BG231" i="12"/>
  <c r="BG337" i="12" s="1"/>
  <c r="E177" i="12"/>
  <c r="E336" i="12" s="1"/>
  <c r="DG283" i="12"/>
  <c r="DG336" i="12" s="1"/>
  <c r="AE203" i="12"/>
  <c r="AE337" i="12" s="1"/>
  <c r="CR268" i="12"/>
  <c r="CR337" i="12" s="1"/>
  <c r="EC305" i="12"/>
  <c r="EC336" i="12" s="1"/>
  <c r="W195" i="12"/>
  <c r="W336" i="12" s="1"/>
  <c r="AM211" i="12"/>
  <c r="AM337" i="12" s="1"/>
  <c r="CH258" i="12"/>
  <c r="CH337" i="12" s="1"/>
  <c r="BD228" i="12"/>
  <c r="BD336" i="12" s="1"/>
  <c r="DZ302" i="12"/>
  <c r="DZ336" i="12" s="1"/>
  <c r="DU297" i="12"/>
  <c r="DU336" i="12" s="1"/>
  <c r="CU271" i="12"/>
  <c r="CU337" i="12" s="1"/>
  <c r="FA329" i="12"/>
  <c r="FA336" i="12" s="1"/>
  <c r="ER320" i="12"/>
  <c r="ER336" i="12" s="1"/>
  <c r="AJ208" i="12"/>
  <c r="AJ337" i="12" s="1"/>
  <c r="X196" i="12"/>
  <c r="X337" i="12" s="1"/>
  <c r="BN238" i="12"/>
  <c r="BN337" i="12" s="1"/>
  <c r="I99" i="13"/>
  <c r="U10" i="13" s="1"/>
  <c r="BB226" i="12"/>
  <c r="BB336" i="12" s="1"/>
  <c r="CI259" i="12"/>
  <c r="CI336" i="12" s="1"/>
  <c r="AD202" i="12"/>
  <c r="AD336" i="12" s="1"/>
  <c r="EF308" i="12"/>
  <c r="EF337" i="12" s="1"/>
  <c r="BM237" i="12"/>
  <c r="BM336" i="12" s="1"/>
  <c r="EQ319" i="12"/>
  <c r="EQ337" i="12" s="1"/>
  <c r="AA199" i="12"/>
  <c r="AA336" i="12" s="1"/>
  <c r="AF204" i="12"/>
  <c r="AF336" i="12" s="1"/>
  <c r="C101" i="13"/>
  <c r="Q12" i="13" s="1"/>
  <c r="Q17" i="13" s="1"/>
  <c r="X70" i="13" s="1"/>
  <c r="CK261" i="12"/>
  <c r="CK337" i="12" s="1"/>
  <c r="CZ276" i="12"/>
  <c r="CZ336" i="12" s="1"/>
  <c r="FB330" i="12"/>
  <c r="FB336" i="12" s="1"/>
  <c r="AR216" i="12"/>
  <c r="AR337" i="12" s="1"/>
  <c r="BK235" i="12"/>
  <c r="BK337" i="12" s="1"/>
  <c r="AI207" i="12"/>
  <c r="AI337" i="12" s="1"/>
  <c r="AV220" i="12"/>
  <c r="AV336" i="12" s="1"/>
  <c r="ES321" i="12"/>
  <c r="ES336" i="12" s="1"/>
  <c r="DO291" i="12"/>
  <c r="DO337" i="12" s="1"/>
  <c r="BW247" i="12"/>
  <c r="BW337" i="12" s="1"/>
  <c r="DK287" i="12"/>
  <c r="DK336" i="12" s="1"/>
  <c r="BY249" i="12"/>
  <c r="BY336" i="12" s="1"/>
  <c r="EW325" i="12"/>
  <c r="EW336" i="12" s="1"/>
  <c r="M185" i="12"/>
  <c r="M337" i="12" s="1"/>
  <c r="N186" i="12"/>
  <c r="N336" i="12" s="1"/>
  <c r="E11" i="13"/>
  <c r="R4" i="13" s="1"/>
  <c r="S69" i="13" s="1"/>
  <c r="EI311" i="12"/>
  <c r="EI336" i="12" s="1"/>
  <c r="D4" i="14"/>
  <c r="EL314" i="12"/>
  <c r="EL337" i="12" s="1"/>
  <c r="P188" i="12"/>
  <c r="P337" i="12" s="1"/>
  <c r="BJ234" i="12"/>
  <c r="BJ337" i="12" s="1"/>
  <c r="BL236" i="12"/>
  <c r="BL337" i="12" s="1"/>
  <c r="C172" i="12"/>
  <c r="AC201" i="12"/>
  <c r="AC336" i="12" s="1"/>
  <c r="CY275" i="12"/>
  <c r="CY336" i="12" s="1"/>
  <c r="AY223" i="12"/>
  <c r="AY336" i="12" s="1"/>
  <c r="EU323" i="12"/>
  <c r="EU336" i="12" s="1"/>
  <c r="EE307" i="12"/>
  <c r="EE336" i="12" s="1"/>
  <c r="Q189" i="12"/>
  <c r="Q336" i="12" s="1"/>
  <c r="CT270" i="12"/>
  <c r="CT336" i="12" s="1"/>
  <c r="DJ286" i="12"/>
  <c r="DJ337" i="12" s="1"/>
  <c r="Z198" i="12"/>
  <c r="Z336" i="12" s="1"/>
  <c r="EJ312" i="12"/>
  <c r="EJ336" i="12" s="1"/>
  <c r="AG205" i="12"/>
  <c r="AG337" i="12" s="1"/>
  <c r="CQ267" i="12"/>
  <c r="CQ337" i="12" s="1"/>
  <c r="CX274" i="12"/>
  <c r="CX337" i="12" s="1"/>
  <c r="H11" i="4"/>
  <c r="E37" i="13"/>
  <c r="EM315" i="12"/>
  <c r="EM337" i="12" s="1"/>
  <c r="DT296" i="12"/>
  <c r="DT336" i="12" s="1"/>
  <c r="CF256" i="12"/>
  <c r="CF337" i="12" s="1"/>
  <c r="EH310" i="12"/>
  <c r="EH336" i="12" s="1"/>
  <c r="U193" i="12"/>
  <c r="U336" i="12" s="1"/>
  <c r="EA303" i="12"/>
  <c r="EA336" i="12" s="1"/>
  <c r="EP318" i="12"/>
  <c r="EP336" i="12" s="1"/>
  <c r="AK209" i="12"/>
  <c r="AK336" i="12" s="1"/>
  <c r="DH284" i="12"/>
  <c r="DH336" i="12" s="1"/>
  <c r="CN264" i="12"/>
  <c r="CN337" i="12" s="1"/>
  <c r="CM263" i="12"/>
  <c r="CM336" i="12" s="1"/>
  <c r="EZ328" i="12"/>
  <c r="EZ337" i="12" s="1"/>
  <c r="AI28" i="13"/>
  <c r="K70" i="13"/>
  <c r="K69" i="13"/>
  <c r="K61" i="13"/>
  <c r="K62" i="13"/>
  <c r="EY327" i="12"/>
  <c r="EY336" i="12" s="1"/>
  <c r="I181" i="12"/>
  <c r="I337" i="12" s="1"/>
  <c r="CO265" i="12"/>
  <c r="CO336" i="12" s="1"/>
  <c r="S191" i="12"/>
  <c r="S336" i="12" s="1"/>
  <c r="BT244" i="12"/>
  <c r="BT336" i="12" s="1"/>
  <c r="AW221" i="12"/>
  <c r="AW336" i="12" s="1"/>
  <c r="AU219" i="12"/>
  <c r="AU336" i="12" s="1"/>
  <c r="CL262" i="12"/>
  <c r="CL336" i="12" s="1"/>
  <c r="CA251" i="12"/>
  <c r="CA336" i="12" s="1"/>
  <c r="BC227" i="12"/>
  <c r="BC337" i="12" s="1"/>
  <c r="BZ250" i="12"/>
  <c r="BZ336" i="12" s="1"/>
  <c r="AS217" i="12"/>
  <c r="AS336" i="12" s="1"/>
  <c r="BO239" i="12"/>
  <c r="BO336" i="12" s="1"/>
  <c r="AO213" i="12"/>
  <c r="AO336" i="12" s="1"/>
  <c r="AH206" i="12"/>
  <c r="AH336" i="12" s="1"/>
  <c r="DB278" i="12"/>
  <c r="DB336" i="12" s="1"/>
  <c r="BH232" i="12"/>
  <c r="BH336" i="12" s="1"/>
  <c r="BR242" i="12"/>
  <c r="BR337" i="12" s="1"/>
  <c r="BP240" i="12"/>
  <c r="BP336" i="12" s="1"/>
  <c r="CJ260" i="12"/>
  <c r="CJ337" i="12" s="1"/>
  <c r="DN290" i="12"/>
  <c r="DN336" i="12" s="1"/>
  <c r="Y197" i="12"/>
  <c r="Y337" i="12" s="1"/>
  <c r="H180" i="12"/>
  <c r="H336" i="12" s="1"/>
  <c r="CC253" i="12"/>
  <c r="CC336" i="12" s="1"/>
  <c r="G179" i="12"/>
  <c r="G337" i="12" s="1"/>
  <c r="DQ293" i="12"/>
  <c r="DQ336" i="12" s="1"/>
  <c r="DE281" i="12"/>
  <c r="DE337" i="12" s="1"/>
  <c r="BI233" i="12"/>
  <c r="BI337" i="12" s="1"/>
  <c r="CS269" i="12"/>
  <c r="CS336" i="12" s="1"/>
  <c r="DC279" i="12"/>
  <c r="DC337" i="12" s="1"/>
  <c r="L184" i="12"/>
  <c r="L336" i="12" s="1"/>
  <c r="EF170" i="12"/>
  <c r="W12" i="3" s="1"/>
  <c r="AG8" i="13"/>
  <c r="E13" i="13"/>
  <c r="I13" i="13"/>
  <c r="AG23" i="13"/>
  <c r="K14" i="13"/>
  <c r="K13" i="13"/>
  <c r="C6" i="14"/>
  <c r="B9" i="14"/>
  <c r="C12" i="14"/>
  <c r="B12" i="14"/>
  <c r="B8" i="14"/>
  <c r="C9" i="14"/>
  <c r="B14" i="14"/>
  <c r="C5" i="14"/>
  <c r="B6" i="14"/>
  <c r="B11" i="14"/>
  <c r="C8" i="14"/>
  <c r="C11" i="14"/>
  <c r="C13" i="14"/>
  <c r="B13" i="14"/>
  <c r="C14" i="14"/>
  <c r="C7" i="14"/>
  <c r="F9" i="14" l="1"/>
  <c r="AP40" i="3"/>
  <c r="F10" i="14"/>
  <c r="D10" i="14"/>
  <c r="E11" i="14"/>
  <c r="D14" i="14"/>
  <c r="D11" i="14"/>
  <c r="E10" i="14"/>
  <c r="B5" i="14"/>
  <c r="E9" i="14"/>
  <c r="F14" i="14"/>
  <c r="E14" i="14"/>
  <c r="V53" i="3"/>
  <c r="F11" i="14"/>
  <c r="D9" i="14"/>
  <c r="AP61" i="3"/>
  <c r="R8" i="14"/>
  <c r="BW111" i="3"/>
  <c r="AP33" i="3"/>
  <c r="BT23" i="3"/>
  <c r="AH49" i="3"/>
  <c r="AP23" i="3"/>
  <c r="BV83" i="3"/>
  <c r="AP77" i="3"/>
  <c r="AP78" i="3" s="1"/>
  <c r="AP79" i="3" s="1"/>
  <c r="AP87" i="3"/>
  <c r="AP63" i="3"/>
  <c r="AP81" i="3"/>
  <c r="AP90" i="3"/>
  <c r="AP91" i="3" s="1"/>
  <c r="AP96" i="3"/>
  <c r="AP97" i="3" s="1"/>
  <c r="AP68" i="3"/>
  <c r="AP69" i="3" s="1"/>
  <c r="N337" i="12"/>
  <c r="N339" i="12" s="1"/>
  <c r="AP35" i="3"/>
  <c r="AP36" i="3" s="1"/>
  <c r="V14" i="3"/>
  <c r="V13" i="3"/>
  <c r="W14" i="3"/>
  <c r="W13" i="3"/>
  <c r="U14" i="3"/>
  <c r="U13" i="3"/>
  <c r="T14" i="3"/>
  <c r="T13" i="3"/>
  <c r="AP71" i="3"/>
  <c r="BW49" i="3"/>
  <c r="T70" i="3"/>
  <c r="BW48" i="3"/>
  <c r="BW109" i="3"/>
  <c r="S70" i="3"/>
  <c r="T37" i="3"/>
  <c r="AP93" i="3"/>
  <c r="AF98" i="3"/>
  <c r="BS22" i="3"/>
  <c r="AP14" i="3"/>
  <c r="AH98" i="3"/>
  <c r="AP39" i="3"/>
  <c r="AI13" i="13"/>
  <c r="S45" i="3"/>
  <c r="BW110" i="3"/>
  <c r="T77" i="3"/>
  <c r="U54" i="3"/>
  <c r="S77" i="3"/>
  <c r="T54" i="3"/>
  <c r="T46" i="3"/>
  <c r="V70" i="3"/>
  <c r="S86" i="3"/>
  <c r="W93" i="3"/>
  <c r="U70" i="3"/>
  <c r="T21" i="3"/>
  <c r="AP26" i="3"/>
  <c r="R5" i="13"/>
  <c r="S70" i="13" s="1"/>
  <c r="AP38" i="3"/>
  <c r="W70" i="3"/>
  <c r="U93" i="3"/>
  <c r="BU337" i="12"/>
  <c r="BU339" i="12" s="1"/>
  <c r="AP25" i="3"/>
  <c r="K103" i="3"/>
  <c r="Q109" i="3" s="1"/>
  <c r="S93" i="3"/>
  <c r="AH15" i="13"/>
  <c r="AH44" i="13" s="1"/>
  <c r="AU68" i="13" s="1"/>
  <c r="AH16" i="13"/>
  <c r="AH45" i="13" s="1"/>
  <c r="AU69" i="13" s="1"/>
  <c r="AH14" i="13"/>
  <c r="AH43" i="13" s="1"/>
  <c r="AU67" i="13" s="1"/>
  <c r="Q5" i="13"/>
  <c r="Q70" i="13" s="1"/>
  <c r="DW336" i="12"/>
  <c r="DW339" i="12" s="1"/>
  <c r="EG336" i="12"/>
  <c r="EG339" i="12" s="1"/>
  <c r="W99" i="3"/>
  <c r="R6" i="13"/>
  <c r="S71" i="13" s="1"/>
  <c r="BA336" i="12"/>
  <c r="BA339" i="12" s="1"/>
  <c r="DR337" i="12"/>
  <c r="DR339" i="12" s="1"/>
  <c r="AI336" i="12"/>
  <c r="AI339" i="12" s="1"/>
  <c r="G103" i="13"/>
  <c r="H91" i="13" s="1"/>
  <c r="ER337" i="12"/>
  <c r="ER339" i="12" s="1"/>
  <c r="T5" i="13"/>
  <c r="C103" i="3"/>
  <c r="M109" i="3" s="1"/>
  <c r="AP32" i="3"/>
  <c r="DF337" i="12"/>
  <c r="DF339" i="12" s="1"/>
  <c r="AP16" i="3"/>
  <c r="CK336" i="12"/>
  <c r="CK339" i="12" s="1"/>
  <c r="AR336" i="12"/>
  <c r="AR339" i="12" s="1"/>
  <c r="W337" i="12"/>
  <c r="W339" i="12" s="1"/>
  <c r="ET336" i="12"/>
  <c r="ET339" i="12" s="1"/>
  <c r="BW336" i="12"/>
  <c r="BW339" i="12" s="1"/>
  <c r="W54" i="3"/>
  <c r="U62" i="3"/>
  <c r="CP336" i="12"/>
  <c r="CP339" i="12" s="1"/>
  <c r="EO336" i="12"/>
  <c r="EO339" i="12" s="1"/>
  <c r="V5" i="13"/>
  <c r="S4" i="13"/>
  <c r="U69" i="13" s="1"/>
  <c r="S7" i="13"/>
  <c r="U72" i="13" s="1"/>
  <c r="AH13" i="13"/>
  <c r="R337" i="12"/>
  <c r="R339" i="12" s="1"/>
  <c r="U5" i="13"/>
  <c r="AP22" i="3"/>
  <c r="F336" i="12"/>
  <c r="F339" i="12" s="1"/>
  <c r="V99" i="3"/>
  <c r="CD337" i="12"/>
  <c r="CD339" i="12" s="1"/>
  <c r="AP41" i="3"/>
  <c r="AP42" i="3" s="1"/>
  <c r="T94" i="3"/>
  <c r="S99" i="3"/>
  <c r="T86" i="3"/>
  <c r="V61" i="3"/>
  <c r="Q6" i="13"/>
  <c r="Q71" i="13" s="1"/>
  <c r="Q7" i="13"/>
  <c r="Q72" i="13" s="1"/>
  <c r="I103" i="3"/>
  <c r="P109" i="3" s="1"/>
  <c r="T99" i="3"/>
  <c r="AF49" i="3"/>
  <c r="U99" i="3"/>
  <c r="AP24" i="3"/>
  <c r="AP47" i="3"/>
  <c r="AP48" i="3" s="1"/>
  <c r="R7" i="13"/>
  <c r="S72" i="13" s="1"/>
  <c r="AP46" i="3"/>
  <c r="EK337" i="12"/>
  <c r="EK339" i="12" s="1"/>
  <c r="BE337" i="12"/>
  <c r="BE339" i="12" s="1"/>
  <c r="DU337" i="12"/>
  <c r="DU339" i="12" s="1"/>
  <c r="DA337" i="12"/>
  <c r="DA339" i="12" s="1"/>
  <c r="EN337" i="12"/>
  <c r="EN339" i="12" s="1"/>
  <c r="DX337" i="12"/>
  <c r="DX339" i="12" s="1"/>
  <c r="CE336" i="12"/>
  <c r="CE339" i="12" s="1"/>
  <c r="FA337" i="12"/>
  <c r="FA339" i="12" s="1"/>
  <c r="EC337" i="12"/>
  <c r="EC339" i="12" s="1"/>
  <c r="AP27" i="3"/>
  <c r="AP28" i="3" s="1"/>
  <c r="AP29" i="3" s="1"/>
  <c r="AP30" i="3" s="1"/>
  <c r="DP336" i="12"/>
  <c r="DP339" i="12" s="1"/>
  <c r="BC336" i="12"/>
  <c r="BC339" i="12" s="1"/>
  <c r="BW50" i="3"/>
  <c r="E103" i="13"/>
  <c r="F51" i="13" s="1"/>
  <c r="S22" i="3"/>
  <c r="AG13" i="13"/>
  <c r="V94" i="3"/>
  <c r="S10" i="13"/>
  <c r="W62" i="3"/>
  <c r="D337" i="12"/>
  <c r="D339" i="12" s="1"/>
  <c r="S38" i="3"/>
  <c r="S6" i="13"/>
  <c r="U71" i="13" s="1"/>
  <c r="S11" i="13"/>
  <c r="S16" i="13" s="1"/>
  <c r="AB69" i="13" s="1"/>
  <c r="S12" i="13"/>
  <c r="S17" i="13" s="1"/>
  <c r="AB70" i="13" s="1"/>
  <c r="E103" i="3"/>
  <c r="F75" i="3" s="1"/>
  <c r="BX337" i="12"/>
  <c r="BX339" i="12" s="1"/>
  <c r="V337" i="12"/>
  <c r="V339" i="12" s="1"/>
  <c r="AA337" i="12"/>
  <c r="AA339" i="12" s="1"/>
  <c r="CG337" i="12"/>
  <c r="CG339" i="12" s="1"/>
  <c r="EB336" i="12"/>
  <c r="EB339" i="12" s="1"/>
  <c r="DM337" i="12"/>
  <c r="DM339" i="12" s="1"/>
  <c r="AZ336" i="12"/>
  <c r="AZ339" i="12" s="1"/>
  <c r="T337" i="12"/>
  <c r="T339" i="12" s="1"/>
  <c r="CB336" i="12"/>
  <c r="CB339" i="12" s="1"/>
  <c r="P336" i="12"/>
  <c r="P339" i="12" s="1"/>
  <c r="DI336" i="12"/>
  <c r="DI339" i="12" s="1"/>
  <c r="DS337" i="12"/>
  <c r="DS339" i="12" s="1"/>
  <c r="DY336" i="12"/>
  <c r="DY339" i="12" s="1"/>
  <c r="BS337" i="12"/>
  <c r="BS339" i="12" s="1"/>
  <c r="J337" i="12"/>
  <c r="J339" i="12" s="1"/>
  <c r="AX337" i="12"/>
  <c r="AX339" i="12" s="1"/>
  <c r="AJ336" i="12"/>
  <c r="AJ339" i="12" s="1"/>
  <c r="AP336" i="12"/>
  <c r="AP339" i="12" s="1"/>
  <c r="K336" i="12"/>
  <c r="K339" i="12" s="1"/>
  <c r="BB337" i="12"/>
  <c r="BB339" i="12" s="1"/>
  <c r="BM337" i="12"/>
  <c r="BM339" i="12" s="1"/>
  <c r="DV336" i="12"/>
  <c r="DV339" i="12" s="1"/>
  <c r="EV336" i="12"/>
  <c r="EV339" i="12" s="1"/>
  <c r="AM336" i="12"/>
  <c r="AM339" i="12" s="1"/>
  <c r="DL336" i="12"/>
  <c r="DL339" i="12" s="1"/>
  <c r="DO336" i="12"/>
  <c r="DO339" i="12" s="1"/>
  <c r="Q337" i="12"/>
  <c r="Q339" i="12" s="1"/>
  <c r="BD337" i="12"/>
  <c r="BD339" i="12" s="1"/>
  <c r="FB337" i="12"/>
  <c r="FB339" i="12" s="1"/>
  <c r="AD337" i="12"/>
  <c r="AD339" i="12" s="1"/>
  <c r="E337" i="12"/>
  <c r="E339" i="12" s="1"/>
  <c r="AE336" i="12"/>
  <c r="AE339" i="12" s="1"/>
  <c r="U337" i="12"/>
  <c r="U339" i="12" s="1"/>
  <c r="EE337" i="12"/>
  <c r="EE339" i="12" s="1"/>
  <c r="AC337" i="12"/>
  <c r="AC339" i="12" s="1"/>
  <c r="BN336" i="12"/>
  <c r="BN339" i="12" s="1"/>
  <c r="S13" i="13"/>
  <c r="S18" i="13" s="1"/>
  <c r="AB71" i="13" s="1"/>
  <c r="G103" i="3"/>
  <c r="O109" i="3" s="1"/>
  <c r="AQ337" i="12"/>
  <c r="AQ339" i="12" s="1"/>
  <c r="BF337" i="12"/>
  <c r="BF339" i="12" s="1"/>
  <c r="BV337" i="12"/>
  <c r="BV339" i="12" s="1"/>
  <c r="AL336" i="12"/>
  <c r="AL339" i="12" s="1"/>
  <c r="I103" i="13"/>
  <c r="J65" i="13" s="1"/>
  <c r="K103" i="13"/>
  <c r="L71" i="13" s="1"/>
  <c r="O336" i="12"/>
  <c r="O339" i="12" s="1"/>
  <c r="X336" i="12"/>
  <c r="X339" i="12" s="1"/>
  <c r="BG336" i="12"/>
  <c r="BG339" i="12" s="1"/>
  <c r="CI337" i="12"/>
  <c r="CI339" i="12" s="1"/>
  <c r="AB337" i="12"/>
  <c r="AB339" i="12" s="1"/>
  <c r="BQ336" i="12"/>
  <c r="BQ339" i="12" s="1"/>
  <c r="DD337" i="12"/>
  <c r="DD339" i="12" s="1"/>
  <c r="AN337" i="12"/>
  <c r="AN339" i="12" s="1"/>
  <c r="CO337" i="12"/>
  <c r="CO339" i="12" s="1"/>
  <c r="EM336" i="12"/>
  <c r="EM339" i="12" s="1"/>
  <c r="EX336" i="12"/>
  <c r="EX339" i="12" s="1"/>
  <c r="DJ336" i="12"/>
  <c r="DJ339" i="12" s="1"/>
  <c r="AH337" i="12"/>
  <c r="AH339" i="12" s="1"/>
  <c r="CQ336" i="12"/>
  <c r="CQ339" i="12" s="1"/>
  <c r="BJ336" i="12"/>
  <c r="BJ339" i="12" s="1"/>
  <c r="M336" i="12"/>
  <c r="M339" i="12" s="1"/>
  <c r="EY337" i="12"/>
  <c r="EY339" i="12" s="1"/>
  <c r="CA337" i="12"/>
  <c r="CA339" i="12" s="1"/>
  <c r="EH337" i="12"/>
  <c r="EH339" i="12" s="1"/>
  <c r="S337" i="12"/>
  <c r="S339" i="12" s="1"/>
  <c r="CM337" i="12"/>
  <c r="CM339" i="12" s="1"/>
  <c r="AY337" i="12"/>
  <c r="AY339" i="12" s="1"/>
  <c r="G336" i="12"/>
  <c r="G339" i="12" s="1"/>
  <c r="CS337" i="12"/>
  <c r="CS339" i="12" s="1"/>
  <c r="BH337" i="12"/>
  <c r="BH339" i="12" s="1"/>
  <c r="ED337" i="12"/>
  <c r="ED339" i="12" s="1"/>
  <c r="CW337" i="12"/>
  <c r="CW339" i="12" s="1"/>
  <c r="AK337" i="12"/>
  <c r="AK339" i="12" s="1"/>
  <c r="EA337" i="12"/>
  <c r="EA339" i="12" s="1"/>
  <c r="AT336" i="12"/>
  <c r="AT339" i="12" s="1"/>
  <c r="L337" i="12"/>
  <c r="L339" i="12" s="1"/>
  <c r="DG337" i="12"/>
  <c r="DG339" i="12" s="1"/>
  <c r="CV337" i="12"/>
  <c r="CV339" i="12" s="1"/>
  <c r="CH336" i="12"/>
  <c r="CH339" i="12" s="1"/>
  <c r="CU336" i="12"/>
  <c r="CU339" i="12" s="1"/>
  <c r="DZ337" i="12"/>
  <c r="DZ339" i="12" s="1"/>
  <c r="EF336" i="12"/>
  <c r="EF339" i="12" s="1"/>
  <c r="CN336" i="12"/>
  <c r="CN339" i="12" s="1"/>
  <c r="AF337" i="12"/>
  <c r="AF339" i="12" s="1"/>
  <c r="AP17" i="3"/>
  <c r="AP18" i="3" s="1"/>
  <c r="AP19" i="3" s="1"/>
  <c r="AP20" i="3" s="1"/>
  <c r="BY337" i="12"/>
  <c r="BY339" i="12" s="1"/>
  <c r="EI337" i="12"/>
  <c r="EI339" i="12" s="1"/>
  <c r="CR336" i="12"/>
  <c r="CR339" i="12" s="1"/>
  <c r="ES337" i="12"/>
  <c r="ES339" i="12" s="1"/>
  <c r="CY337" i="12"/>
  <c r="CY339" i="12" s="1"/>
  <c r="CZ337" i="12"/>
  <c r="CZ339" i="12" s="1"/>
  <c r="CT337" i="12"/>
  <c r="CT339" i="12" s="1"/>
  <c r="DK337" i="12"/>
  <c r="DK339" i="12" s="1"/>
  <c r="Z337" i="12"/>
  <c r="Z339" i="12" s="1"/>
  <c r="BK336" i="12"/>
  <c r="BK339" i="12" s="1"/>
  <c r="EW337" i="12"/>
  <c r="EW339" i="12" s="1"/>
  <c r="DT337" i="12"/>
  <c r="DT339" i="12" s="1"/>
  <c r="AV337" i="12"/>
  <c r="AV339" i="12" s="1"/>
  <c r="C103" i="13"/>
  <c r="D69" i="13" s="1"/>
  <c r="EZ336" i="12"/>
  <c r="EZ339" i="12" s="1"/>
  <c r="BL336" i="12"/>
  <c r="BL339" i="12" s="1"/>
  <c r="EP337" i="12"/>
  <c r="EP339" i="12" s="1"/>
  <c r="EQ336" i="12"/>
  <c r="EQ339" i="12" s="1"/>
  <c r="AG336" i="12"/>
  <c r="AG339" i="12" s="1"/>
  <c r="CX336" i="12"/>
  <c r="CX339" i="12" s="1"/>
  <c r="AU337" i="12"/>
  <c r="AU339" i="12" s="1"/>
  <c r="BR336" i="12"/>
  <c r="BR339" i="12" s="1"/>
  <c r="BT337" i="12"/>
  <c r="BT339" i="12" s="1"/>
  <c r="CJ336" i="12"/>
  <c r="CJ339" i="12" s="1"/>
  <c r="EU337" i="12"/>
  <c r="EU339" i="12" s="1"/>
  <c r="EJ337" i="12"/>
  <c r="EJ339" i="12" s="1"/>
  <c r="CF336" i="12"/>
  <c r="CF339" i="12" s="1"/>
  <c r="EL336" i="12"/>
  <c r="EL339" i="12" s="1"/>
  <c r="CL337" i="12"/>
  <c r="CL339" i="12" s="1"/>
  <c r="AS337" i="12"/>
  <c r="AS339" i="12" s="1"/>
  <c r="BP337" i="12"/>
  <c r="BP339" i="12" s="1"/>
  <c r="AW337" i="12"/>
  <c r="AW339" i="12" s="1"/>
  <c r="AO337" i="12"/>
  <c r="AO339" i="12" s="1"/>
  <c r="H337" i="12"/>
  <c r="H339" i="12" s="1"/>
  <c r="DN337" i="12"/>
  <c r="DN339" i="12" s="1"/>
  <c r="DH337" i="12"/>
  <c r="DH339" i="12" s="1"/>
  <c r="I336" i="12"/>
  <c r="I339" i="12" s="1"/>
  <c r="DB337" i="12"/>
  <c r="DB339" i="12" s="1"/>
  <c r="DC336" i="12"/>
  <c r="DC339" i="12" s="1"/>
  <c r="BZ337" i="12"/>
  <c r="BZ339" i="12" s="1"/>
  <c r="BO337" i="12"/>
  <c r="BO339" i="12" s="1"/>
  <c r="Y336" i="12"/>
  <c r="Y339" i="12" s="1"/>
  <c r="DE336" i="12"/>
  <c r="DE339" i="12" s="1"/>
  <c r="BI336" i="12"/>
  <c r="BI339" i="12" s="1"/>
  <c r="CC337" i="12"/>
  <c r="CC339" i="12" s="1"/>
  <c r="AP44" i="3"/>
  <c r="DQ337" i="12"/>
  <c r="DQ339" i="12" s="1"/>
  <c r="F93" i="3" l="1"/>
  <c r="F83" i="3"/>
  <c r="N109" i="3"/>
  <c r="F96" i="3"/>
  <c r="F84" i="3"/>
  <c r="CC87" i="3" s="1"/>
  <c r="F87" i="3"/>
  <c r="F89" i="3"/>
  <c r="F92" i="3"/>
  <c r="BZ87" i="3" s="1"/>
  <c r="F81" i="3"/>
  <c r="F79" i="3"/>
  <c r="F95" i="3"/>
  <c r="F88" i="3"/>
  <c r="F76" i="3"/>
  <c r="BX87" i="3" s="1"/>
  <c r="F97" i="3"/>
  <c r="F80" i="3"/>
  <c r="F77" i="3"/>
  <c r="F86" i="3"/>
  <c r="F91" i="3"/>
  <c r="F94" i="3"/>
  <c r="F78" i="3"/>
  <c r="F85" i="3"/>
  <c r="AP49" i="3"/>
  <c r="AP98" i="3"/>
  <c r="L100" i="3"/>
  <c r="F19" i="3"/>
  <c r="J59" i="3"/>
  <c r="H70" i="3"/>
  <c r="H99" i="13"/>
  <c r="H52" i="13"/>
  <c r="H102" i="13"/>
  <c r="H59" i="13"/>
  <c r="H68" i="13"/>
  <c r="H62" i="13"/>
  <c r="H69" i="13"/>
  <c r="H14" i="13"/>
  <c r="H72" i="13"/>
  <c r="H60" i="13"/>
  <c r="H95" i="13"/>
  <c r="H101" i="13"/>
  <c r="H96" i="13"/>
  <c r="H93" i="13"/>
  <c r="T21" i="13"/>
  <c r="H65" i="13"/>
  <c r="H54" i="13"/>
  <c r="H71" i="13"/>
  <c r="H57" i="13"/>
  <c r="H73" i="13"/>
  <c r="H17" i="13"/>
  <c r="H53" i="13"/>
  <c r="H12" i="13"/>
  <c r="H63" i="13"/>
  <c r="H64" i="13"/>
  <c r="F68" i="3"/>
  <c r="BQ99" i="3" s="1"/>
  <c r="L67" i="3"/>
  <c r="L93" i="3"/>
  <c r="H15" i="13"/>
  <c r="L14" i="3"/>
  <c r="H97" i="13"/>
  <c r="F11" i="3"/>
  <c r="F45" i="3"/>
  <c r="L91" i="3"/>
  <c r="L13" i="3"/>
  <c r="L63" i="3"/>
  <c r="L71" i="3"/>
  <c r="L59" i="3"/>
  <c r="L12" i="3"/>
  <c r="CD132" i="3" s="1"/>
  <c r="L62" i="3"/>
  <c r="L54" i="3"/>
  <c r="L64" i="3"/>
  <c r="L73" i="3"/>
  <c r="L53" i="3"/>
  <c r="L61" i="3"/>
  <c r="L65" i="3"/>
  <c r="L99" i="3"/>
  <c r="L15" i="3"/>
  <c r="L56" i="3"/>
  <c r="L97" i="3"/>
  <c r="L68" i="3"/>
  <c r="CB155" i="3" s="1"/>
  <c r="L72" i="3"/>
  <c r="L101" i="3"/>
  <c r="D76" i="3"/>
  <c r="BX27" i="3" s="1"/>
  <c r="L16" i="3"/>
  <c r="L51" i="3"/>
  <c r="L92" i="3"/>
  <c r="CE147" i="3" s="1"/>
  <c r="L94" i="3"/>
  <c r="L95" i="3"/>
  <c r="L69" i="3"/>
  <c r="L11" i="3"/>
  <c r="L60" i="3"/>
  <c r="CC148" i="3" s="1"/>
  <c r="L17" i="3"/>
  <c r="L96" i="3"/>
  <c r="L70" i="3"/>
  <c r="L55" i="3"/>
  <c r="L52" i="3"/>
  <c r="CC142" i="3" s="1"/>
  <c r="L57" i="3"/>
  <c r="L102" i="3"/>
  <c r="F32" i="3"/>
  <c r="F12" i="3"/>
  <c r="BT67" i="3" s="1"/>
  <c r="F53" i="3"/>
  <c r="F37" i="3"/>
  <c r="F35" i="3"/>
  <c r="F43" i="3"/>
  <c r="F57" i="3"/>
  <c r="F52" i="3"/>
  <c r="BQ94" i="3" s="1"/>
  <c r="F33" i="3"/>
  <c r="F55" i="3"/>
  <c r="J62" i="3"/>
  <c r="J95" i="3"/>
  <c r="J97" i="3"/>
  <c r="J96" i="3"/>
  <c r="J17" i="3"/>
  <c r="J61" i="3"/>
  <c r="J101" i="3"/>
  <c r="J55" i="3"/>
  <c r="J53" i="3"/>
  <c r="J14" i="3"/>
  <c r="F20" i="13"/>
  <c r="D101" i="3"/>
  <c r="D97" i="3"/>
  <c r="D14" i="3"/>
  <c r="D20" i="3"/>
  <c r="H16" i="13"/>
  <c r="H61" i="13"/>
  <c r="H55" i="13"/>
  <c r="H11" i="13"/>
  <c r="H92" i="13"/>
  <c r="H94" i="13"/>
  <c r="H70" i="13"/>
  <c r="H56" i="13"/>
  <c r="H67" i="13"/>
  <c r="H100" i="13"/>
  <c r="H13" i="13"/>
  <c r="D79" i="3"/>
  <c r="D80" i="3"/>
  <c r="D88" i="3"/>
  <c r="D70" i="3"/>
  <c r="D29" i="3"/>
  <c r="D21" i="3"/>
  <c r="D24" i="3"/>
  <c r="D33" i="3"/>
  <c r="D92" i="3"/>
  <c r="BZ27" i="3" s="1"/>
  <c r="D49" i="3"/>
  <c r="D13" i="3"/>
  <c r="D95" i="3"/>
  <c r="D72" i="3"/>
  <c r="D99" i="3"/>
  <c r="D27" i="3"/>
  <c r="D39" i="3"/>
  <c r="D71" i="3"/>
  <c r="D12" i="3"/>
  <c r="BT7" i="3" s="1"/>
  <c r="D48" i="3"/>
  <c r="D41" i="3"/>
  <c r="D37" i="3"/>
  <c r="D75" i="3"/>
  <c r="D84" i="3"/>
  <c r="CC27" i="3" s="1"/>
  <c r="D93" i="3"/>
  <c r="D30" i="3"/>
  <c r="D91" i="3"/>
  <c r="D17" i="3"/>
  <c r="D36" i="3"/>
  <c r="BT26" i="3" s="1"/>
  <c r="D56" i="3"/>
  <c r="D94" i="3"/>
  <c r="D38" i="3"/>
  <c r="D51" i="3"/>
  <c r="D83" i="3"/>
  <c r="F67" i="13"/>
  <c r="H51" i="13"/>
  <c r="J100" i="13"/>
  <c r="J60" i="13"/>
  <c r="J11" i="13"/>
  <c r="J73" i="13"/>
  <c r="J51" i="13"/>
  <c r="S5" i="13"/>
  <c r="U70" i="13" s="1"/>
  <c r="D46" i="3"/>
  <c r="D53" i="3"/>
  <c r="D23" i="3"/>
  <c r="D52" i="3"/>
  <c r="BQ34" i="3" s="1"/>
  <c r="D87" i="3"/>
  <c r="D16" i="3"/>
  <c r="D47" i="3"/>
  <c r="D44" i="3"/>
  <c r="BT31" i="3" s="1"/>
  <c r="D15" i="3"/>
  <c r="D28" i="3"/>
  <c r="D55" i="3"/>
  <c r="D68" i="3"/>
  <c r="BQ39" i="3" s="1"/>
  <c r="D31" i="3"/>
  <c r="D32" i="3"/>
  <c r="D89" i="3"/>
  <c r="D81" i="3"/>
  <c r="D73" i="3"/>
  <c r="D25" i="3"/>
  <c r="D96" i="3"/>
  <c r="D57" i="3"/>
  <c r="D40" i="3"/>
  <c r="F101" i="3"/>
  <c r="J69" i="3"/>
  <c r="F38" i="3"/>
  <c r="F44" i="3"/>
  <c r="BT91" i="3" s="1"/>
  <c r="F71" i="3"/>
  <c r="F20" i="3"/>
  <c r="F39" i="3"/>
  <c r="F31" i="3"/>
  <c r="F56" i="3"/>
  <c r="F49" i="3"/>
  <c r="F46" i="3"/>
  <c r="J94" i="3"/>
  <c r="J15" i="3"/>
  <c r="J60" i="3"/>
  <c r="BW148" i="3" s="1"/>
  <c r="J63" i="3"/>
  <c r="J64" i="3"/>
  <c r="J65" i="3"/>
  <c r="J102" i="3"/>
  <c r="D45" i="3"/>
  <c r="F100" i="3"/>
  <c r="F13" i="3"/>
  <c r="D11" i="3"/>
  <c r="D86" i="3"/>
  <c r="F67" i="3"/>
  <c r="D77" i="3"/>
  <c r="J13" i="3"/>
  <c r="D43" i="3"/>
  <c r="F30" i="3"/>
  <c r="D85" i="3"/>
  <c r="D69" i="3"/>
  <c r="F29" i="3"/>
  <c r="D78" i="3"/>
  <c r="D54" i="3"/>
  <c r="D19" i="3"/>
  <c r="D35" i="3"/>
  <c r="D67" i="3"/>
  <c r="D22" i="3"/>
  <c r="D102" i="3"/>
  <c r="F51" i="3"/>
  <c r="J57" i="13"/>
  <c r="D100" i="3"/>
  <c r="F102" i="3"/>
  <c r="F22" i="3"/>
  <c r="J70" i="3"/>
  <c r="J54" i="3"/>
  <c r="F27" i="3"/>
  <c r="J91" i="3"/>
  <c r="F21" i="3"/>
  <c r="F36" i="3"/>
  <c r="BT86" i="3" s="1"/>
  <c r="F28" i="3"/>
  <c r="F23" i="3"/>
  <c r="F17" i="3"/>
  <c r="F15" i="3"/>
  <c r="F16" i="3"/>
  <c r="F47" i="3"/>
  <c r="F48" i="3"/>
  <c r="F25" i="3"/>
  <c r="F41" i="3"/>
  <c r="F72" i="3"/>
  <c r="F24" i="3"/>
  <c r="F73" i="3"/>
  <c r="F40" i="3"/>
  <c r="J71" i="3"/>
  <c r="J16" i="3"/>
  <c r="J68" i="3"/>
  <c r="BV155" i="3" s="1"/>
  <c r="J52" i="3"/>
  <c r="BW142" i="3" s="1"/>
  <c r="J92" i="3"/>
  <c r="BY147" i="3" s="1"/>
  <c r="J12" i="3"/>
  <c r="BX132" i="3" s="1"/>
  <c r="J56" i="3"/>
  <c r="J72" i="3"/>
  <c r="J73" i="3"/>
  <c r="J57" i="3"/>
  <c r="J67" i="3"/>
  <c r="J51" i="3"/>
  <c r="F54" i="3"/>
  <c r="J11" i="3"/>
  <c r="J100" i="3"/>
  <c r="F99" i="3"/>
  <c r="J93" i="3"/>
  <c r="F14" i="3"/>
  <c r="F69" i="3"/>
  <c r="F70" i="3"/>
  <c r="J99" i="3"/>
  <c r="J64" i="13"/>
  <c r="J68" i="13"/>
  <c r="F21" i="13"/>
  <c r="F30" i="13"/>
  <c r="F72" i="13"/>
  <c r="F46" i="13"/>
  <c r="J56" i="13"/>
  <c r="J102" i="13"/>
  <c r="J59" i="13"/>
  <c r="F44" i="13"/>
  <c r="F40" i="13"/>
  <c r="F27" i="13"/>
  <c r="F48" i="13"/>
  <c r="F100" i="13"/>
  <c r="F17" i="13"/>
  <c r="F49" i="13"/>
  <c r="L13" i="13"/>
  <c r="F22" i="13"/>
  <c r="F52" i="13"/>
  <c r="F47" i="13"/>
  <c r="F12" i="13"/>
  <c r="F11" i="13"/>
  <c r="F70" i="13"/>
  <c r="F16" i="13"/>
  <c r="F71" i="13"/>
  <c r="F19" i="13"/>
  <c r="F53" i="13"/>
  <c r="F25" i="13"/>
  <c r="F45" i="13"/>
  <c r="F28" i="13"/>
  <c r="H16" i="3"/>
  <c r="L69" i="13"/>
  <c r="H94" i="3"/>
  <c r="H54" i="3"/>
  <c r="H57" i="3"/>
  <c r="L68" i="13"/>
  <c r="L95" i="13"/>
  <c r="L61" i="13"/>
  <c r="F37" i="13"/>
  <c r="F14" i="13"/>
  <c r="F13" i="13"/>
  <c r="F68" i="13"/>
  <c r="F31" i="13"/>
  <c r="F15" i="13"/>
  <c r="F33" i="13"/>
  <c r="F36" i="13"/>
  <c r="F55" i="13"/>
  <c r="F41" i="13"/>
  <c r="F69" i="13"/>
  <c r="F38" i="13"/>
  <c r="F101" i="13"/>
  <c r="F73" i="13"/>
  <c r="F39" i="13"/>
  <c r="F56" i="13"/>
  <c r="F32" i="13"/>
  <c r="F102" i="13"/>
  <c r="F54" i="13"/>
  <c r="F35" i="13"/>
  <c r="F43" i="13"/>
  <c r="R21" i="13"/>
  <c r="F57" i="13"/>
  <c r="F29" i="13"/>
  <c r="F23" i="13"/>
  <c r="F24" i="13"/>
  <c r="F99" i="13"/>
  <c r="J91" i="13"/>
  <c r="J97" i="13"/>
  <c r="J96" i="13"/>
  <c r="J54" i="13"/>
  <c r="J70" i="13"/>
  <c r="J12" i="13"/>
  <c r="J72" i="13"/>
  <c r="D39" i="13"/>
  <c r="D12" i="13"/>
  <c r="D37" i="13"/>
  <c r="F89" i="13"/>
  <c r="H17" i="3"/>
  <c r="H60" i="3"/>
  <c r="BQ148" i="3" s="1"/>
  <c r="H56" i="3"/>
  <c r="H99" i="3"/>
  <c r="L16" i="13"/>
  <c r="L92" i="13"/>
  <c r="L64" i="13"/>
  <c r="L63" i="13"/>
  <c r="D53" i="13"/>
  <c r="J101" i="13"/>
  <c r="J52" i="13"/>
  <c r="J16" i="13"/>
  <c r="J71" i="13"/>
  <c r="J15" i="13"/>
  <c r="J95" i="13"/>
  <c r="U21" i="13"/>
  <c r="J69" i="13"/>
  <c r="J14" i="13"/>
  <c r="J53" i="13"/>
  <c r="J63" i="13"/>
  <c r="J17" i="13"/>
  <c r="J13" i="13"/>
  <c r="J99" i="13"/>
  <c r="J67" i="13"/>
  <c r="J62" i="13"/>
  <c r="J92" i="13"/>
  <c r="J55" i="13"/>
  <c r="J61" i="13"/>
  <c r="J93" i="13"/>
  <c r="J94" i="13"/>
  <c r="D32" i="13"/>
  <c r="D38" i="13"/>
  <c r="D96" i="13"/>
  <c r="F95" i="13"/>
  <c r="D51" i="13"/>
  <c r="F79" i="13"/>
  <c r="F94" i="13"/>
  <c r="D87" i="13"/>
  <c r="F81" i="13"/>
  <c r="D73" i="13"/>
  <c r="D101" i="13"/>
  <c r="D78" i="13"/>
  <c r="D35" i="13"/>
  <c r="D68" i="13"/>
  <c r="D31" i="13"/>
  <c r="D46" i="13"/>
  <c r="D79" i="13"/>
  <c r="H69" i="3"/>
  <c r="H14" i="3"/>
  <c r="H93" i="3"/>
  <c r="H100" i="3"/>
  <c r="H53" i="3"/>
  <c r="H67" i="3"/>
  <c r="H63" i="3"/>
  <c r="H71" i="3"/>
  <c r="H52" i="3"/>
  <c r="BQ142" i="3" s="1"/>
  <c r="H96" i="3"/>
  <c r="H72" i="3"/>
  <c r="L93" i="13"/>
  <c r="L15" i="13"/>
  <c r="L73" i="13"/>
  <c r="V21" i="13"/>
  <c r="L62" i="13"/>
  <c r="L52" i="13"/>
  <c r="L70" i="13"/>
  <c r="L100" i="13"/>
  <c r="L65" i="13"/>
  <c r="L51" i="13"/>
  <c r="F78" i="13"/>
  <c r="D21" i="13"/>
  <c r="D76" i="13"/>
  <c r="D89" i="13"/>
  <c r="D49" i="13"/>
  <c r="D44" i="13"/>
  <c r="D81" i="13"/>
  <c r="F92" i="13"/>
  <c r="D14" i="13"/>
  <c r="F77" i="13"/>
  <c r="D22" i="13"/>
  <c r="F91" i="13"/>
  <c r="D43" i="13"/>
  <c r="D93" i="13"/>
  <c r="D47" i="13"/>
  <c r="D52" i="13"/>
  <c r="D25" i="13"/>
  <c r="D54" i="13"/>
  <c r="Q21" i="13"/>
  <c r="F88" i="13"/>
  <c r="H101" i="3"/>
  <c r="H51" i="3"/>
  <c r="H59" i="3"/>
  <c r="H91" i="3"/>
  <c r="H62" i="3"/>
  <c r="H11" i="3"/>
  <c r="H61" i="3"/>
  <c r="H68" i="3"/>
  <c r="BP155" i="3" s="1"/>
  <c r="H12" i="3"/>
  <c r="BR132" i="3" s="1"/>
  <c r="H55" i="3"/>
  <c r="H15" i="3"/>
  <c r="H92" i="3"/>
  <c r="BS147" i="3" s="1"/>
  <c r="H95" i="3"/>
  <c r="H65" i="3"/>
  <c r="H97" i="3"/>
  <c r="H73" i="3"/>
  <c r="H64" i="3"/>
  <c r="H102" i="3"/>
  <c r="H13" i="3"/>
  <c r="L101" i="13"/>
  <c r="L102" i="13"/>
  <c r="L59" i="13"/>
  <c r="L97" i="13"/>
  <c r="L96" i="13"/>
  <c r="L72" i="13"/>
  <c r="L56" i="13"/>
  <c r="L60" i="13"/>
  <c r="L91" i="13"/>
  <c r="L67" i="13"/>
  <c r="L94" i="13"/>
  <c r="L57" i="13"/>
  <c r="L17" i="13"/>
  <c r="L54" i="13"/>
  <c r="L53" i="13"/>
  <c r="L55" i="13"/>
  <c r="L11" i="13"/>
  <c r="L99" i="13"/>
  <c r="L14" i="13"/>
  <c r="L12" i="13"/>
  <c r="F86" i="13"/>
  <c r="D27" i="13"/>
  <c r="D70" i="13"/>
  <c r="D13" i="13"/>
  <c r="D20" i="13"/>
  <c r="D17" i="13"/>
  <c r="D80" i="13"/>
  <c r="F97" i="13"/>
  <c r="D55" i="13"/>
  <c r="D33" i="13"/>
  <c r="F87" i="13"/>
  <c r="D16" i="13"/>
  <c r="D84" i="13"/>
  <c r="F76" i="13"/>
  <c r="D71" i="13"/>
  <c r="D40" i="13"/>
  <c r="D72" i="13"/>
  <c r="D19" i="13"/>
  <c r="F83" i="13"/>
  <c r="D29" i="13"/>
  <c r="D11" i="13"/>
  <c r="D75" i="13"/>
  <c r="D102" i="13"/>
  <c r="D85" i="13"/>
  <c r="F85" i="13"/>
  <c r="D77" i="13"/>
  <c r="D99" i="13"/>
  <c r="D86" i="13"/>
  <c r="D97" i="13"/>
  <c r="F84" i="13"/>
  <c r="D92" i="13"/>
  <c r="D24" i="13"/>
  <c r="D36" i="13"/>
  <c r="D41" i="13"/>
  <c r="F75" i="13"/>
  <c r="D57" i="13"/>
  <c r="D48" i="13"/>
  <c r="D94" i="13"/>
  <c r="D45" i="13"/>
  <c r="D100" i="13"/>
  <c r="D83" i="13"/>
  <c r="D67" i="13"/>
  <c r="F93" i="13"/>
  <c r="D23" i="13"/>
  <c r="D88" i="13"/>
  <c r="F80" i="13"/>
  <c r="D15" i="13"/>
  <c r="D91" i="13"/>
  <c r="D28" i="13"/>
  <c r="F96" i="13"/>
  <c r="D30" i="13"/>
  <c r="D56" i="13"/>
  <c r="D95" i="13"/>
  <c r="C336" i="12"/>
  <c r="C337" i="12"/>
  <c r="C4" i="13"/>
  <c r="BV26" i="3" l="1"/>
  <c r="S21" i="13"/>
  <c r="C339"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A2" authorId="0" shapeId="0" xr:uid="{BE917156-8EB7-452C-A672-6D5029707AA9}">
      <text>
        <r>
          <rPr>
            <b/>
            <sz val="9"/>
            <color indexed="81"/>
            <rFont val="Tahoma"/>
            <family val="2"/>
          </rPr>
          <t>Author:</t>
        </r>
        <r>
          <rPr>
            <sz val="9"/>
            <color indexed="81"/>
            <rFont val="Tahoma"/>
            <family val="2"/>
          </rPr>
          <t xml:space="preserve">
Table not complete. </t>
        </r>
        <r>
          <rPr>
            <b/>
            <sz val="9"/>
            <color indexed="81"/>
            <rFont val="Tahoma"/>
            <family val="2"/>
          </rPr>
          <t>Not updated after v4.02</t>
        </r>
      </text>
    </comment>
    <comment ref="BN2" authorId="0" shapeId="0" xr:uid="{9563DA14-F071-4860-AB01-3AFAA00776E6}">
      <text>
        <r>
          <rPr>
            <b/>
            <sz val="9"/>
            <color indexed="81"/>
            <rFont val="Tahoma"/>
            <family val="2"/>
          </rPr>
          <t>Author:</t>
        </r>
        <r>
          <rPr>
            <sz val="9"/>
            <color indexed="81"/>
            <rFont val="Tahoma"/>
            <family val="2"/>
          </rPr>
          <t xml:space="preserve">
Graphic not complete. Not updated after v4.02</t>
        </r>
      </text>
    </comment>
    <comment ref="AA51" authorId="0" shapeId="0" xr:uid="{E55682C1-75FB-4B9A-82F7-0E2538CA30F1}">
      <text>
        <r>
          <rPr>
            <b/>
            <sz val="9"/>
            <color indexed="81"/>
            <rFont val="Tahoma"/>
            <family val="2"/>
          </rPr>
          <t>Author:</t>
        </r>
        <r>
          <rPr>
            <sz val="9"/>
            <color indexed="81"/>
            <rFont val="Tahoma"/>
            <family val="2"/>
          </rPr>
          <t xml:space="preserve">
Table not complete. </t>
        </r>
        <r>
          <rPr>
            <b/>
            <sz val="9"/>
            <color indexed="81"/>
            <rFont val="Tahoma"/>
            <family val="2"/>
          </rPr>
          <t>Not updated after v4.02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125" authorId="0" shapeId="0" xr:uid="{00000000-0006-0000-0400-000001000000}">
      <text>
        <r>
          <rPr>
            <b/>
            <sz val="9"/>
            <color indexed="81"/>
            <rFont val="Tahoma"/>
            <family val="2"/>
          </rPr>
          <t>Author:</t>
        </r>
        <r>
          <rPr>
            <sz val="9"/>
            <color indexed="81"/>
            <rFont val="Tahoma"/>
            <family val="2"/>
          </rPr>
          <t xml:space="preserve">
typical length dry interval between rain events = 3.3 d (Joilliet and Hauschild, 2005)
</t>
        </r>
      </text>
    </comment>
    <comment ref="K126" authorId="0" shapeId="0" xr:uid="{00000000-0006-0000-0400-000002000000}">
      <text>
        <r>
          <rPr>
            <b/>
            <sz val="9"/>
            <color indexed="81"/>
            <rFont val="Tahoma"/>
            <family val="2"/>
          </rPr>
          <t>Author:</t>
        </r>
        <r>
          <rPr>
            <sz val="9"/>
            <color indexed="81"/>
            <rFont val="Tahoma"/>
            <family val="2"/>
          </rPr>
          <t xml:space="preserve">
in NL: 6% of time rain &gt;0.3 mm/hr)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194" authorId="0" shapeId="0" xr:uid="{00000000-0006-0000-0500-000002000000}">
      <text>
        <r>
          <rPr>
            <b/>
            <sz val="9"/>
            <color indexed="81"/>
            <rFont val="Tahoma"/>
            <family val="2"/>
          </rPr>
          <t>Author:</t>
        </r>
        <r>
          <rPr>
            <sz val="9"/>
            <color indexed="81"/>
            <rFont val="Tahoma"/>
            <family val="2"/>
          </rPr>
          <t xml:space="preserve">
conc at relevant depth / soil-depth averaged conc;
relevant soil depth in this case = 0;
soil penetration depth = 0.1 m</t>
        </r>
      </text>
    </comment>
    <comment ref="K195" authorId="0" shapeId="0" xr:uid="{00000000-0006-0000-0500-000003000000}">
      <text>
        <r>
          <rPr>
            <b/>
            <sz val="9"/>
            <color indexed="81"/>
            <rFont val="Tahoma"/>
            <family val="2"/>
          </rPr>
          <t>Author:</t>
        </r>
        <r>
          <rPr>
            <sz val="9"/>
            <color indexed="81"/>
            <rFont val="Tahoma"/>
            <family val="2"/>
          </rPr>
          <t xml:space="preserve">
conc at relevant depth / soil-depth averaged conc;
relevant soil depth in this case = 0;
soil penetration depth = 0.1 m</t>
        </r>
      </text>
    </comment>
    <comment ref="K196" authorId="0" shapeId="0" xr:uid="{00000000-0006-0000-0500-000004000000}">
      <text>
        <r>
          <rPr>
            <b/>
            <sz val="9"/>
            <color indexed="81"/>
            <rFont val="Tahoma"/>
            <family val="2"/>
          </rPr>
          <t>Author:</t>
        </r>
        <r>
          <rPr>
            <sz val="9"/>
            <color indexed="81"/>
            <rFont val="Tahoma"/>
            <family val="2"/>
          </rPr>
          <t xml:space="preserve">
conc at relevant depth / soil-depth averaged conc;
relevant soil depth in this case = 0;
soil penetration depth = 0.1 m</t>
        </r>
      </text>
    </comment>
    <comment ref="K230" authorId="0" shapeId="0" xr:uid="{00000000-0006-0000-0500-000005000000}">
      <text>
        <r>
          <rPr>
            <b/>
            <sz val="9"/>
            <color indexed="81"/>
            <rFont val="Tahoma"/>
            <family val="2"/>
          </rPr>
          <t>Author:</t>
        </r>
        <r>
          <rPr>
            <sz val="9"/>
            <color indexed="81"/>
            <rFont val="Tahoma"/>
            <family val="2"/>
          </rPr>
          <t xml:space="preserve">
conc at relevant depth / soil-depth averaged conc;
relevant soil depth in this case = 0.5 m;
soil penetration depth = 0.1 m</t>
        </r>
      </text>
    </comment>
    <comment ref="K231" authorId="0" shapeId="0" xr:uid="{00000000-0006-0000-0500-000006000000}">
      <text>
        <r>
          <rPr>
            <b/>
            <sz val="9"/>
            <color indexed="81"/>
            <rFont val="Tahoma"/>
            <family val="2"/>
          </rPr>
          <t>Author:</t>
        </r>
        <r>
          <rPr>
            <sz val="9"/>
            <color indexed="81"/>
            <rFont val="Tahoma"/>
            <family val="2"/>
          </rPr>
          <t xml:space="preserve">
conc at relevant depth / soil-depth averaged conc;
relevant soil depth in this case = 0.5 m;
soil penetration depth = 0.1 m</t>
        </r>
      </text>
    </comment>
    <comment ref="K232" authorId="0" shapeId="0" xr:uid="{00000000-0006-0000-0500-000007000000}">
      <text>
        <r>
          <rPr>
            <b/>
            <sz val="9"/>
            <color indexed="81"/>
            <rFont val="Tahoma"/>
            <family val="2"/>
          </rPr>
          <t>Author:</t>
        </r>
        <r>
          <rPr>
            <sz val="9"/>
            <color indexed="81"/>
            <rFont val="Tahoma"/>
            <family val="2"/>
          </rPr>
          <t xml:space="preserve">
conc at relevant depth / soil-depth averaged conc;
relevant soil depth in this case = 0.5 m;
soil penetration depth = 0.1 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86" authorId="0" shapeId="0" xr:uid="{00000000-0006-0000-0600-000001000000}">
      <text>
        <r>
          <rPr>
            <b/>
            <sz val="9"/>
            <color indexed="81"/>
            <rFont val="Tahoma"/>
            <family val="2"/>
          </rPr>
          <t>Author:</t>
        </r>
        <r>
          <rPr>
            <sz val="9"/>
            <color indexed="81"/>
            <rFont val="Tahoma"/>
            <family val="2"/>
          </rPr>
          <t xml:space="preserve">
typical length dry interval between rain events = 3.3 d (Joilliet and Hauschild, 2005)
</t>
        </r>
      </text>
    </comment>
    <comment ref="K87" authorId="0" shapeId="0" xr:uid="{00000000-0006-0000-0600-000002000000}">
      <text>
        <r>
          <rPr>
            <b/>
            <sz val="9"/>
            <color indexed="81"/>
            <rFont val="Tahoma"/>
            <family val="2"/>
          </rPr>
          <t>Author:</t>
        </r>
        <r>
          <rPr>
            <sz val="9"/>
            <color indexed="81"/>
            <rFont val="Tahoma"/>
            <family val="2"/>
          </rPr>
          <t xml:space="preserve">
in NL: 6% of time rain &gt;0.3 mm/hr)
</t>
        </r>
      </text>
    </comment>
    <comment ref="K103" authorId="0" shapeId="0" xr:uid="{00000000-0006-0000-0600-000003000000}">
      <text>
        <r>
          <rPr>
            <b/>
            <sz val="9"/>
            <color indexed="81"/>
            <rFont val="Tahoma"/>
            <family val="2"/>
          </rPr>
          <t>Author:</t>
        </r>
        <r>
          <rPr>
            <sz val="9"/>
            <color indexed="81"/>
            <rFont val="Tahoma"/>
            <family val="2"/>
          </rPr>
          <t xml:space="preserve">
conc at relevant depth / soil-depth averaged conc;
relevant soil depth in this case = 0;
soil penetration depth = 0.1 m</t>
        </r>
      </text>
    </comment>
    <comment ref="K408" authorId="0" shapeId="0" xr:uid="{00000000-0006-0000-0600-000004000000}">
      <text>
        <r>
          <rPr>
            <b/>
            <sz val="9"/>
            <color indexed="81"/>
            <rFont val="Tahoma"/>
            <family val="2"/>
          </rPr>
          <t>Author:</t>
        </r>
        <r>
          <rPr>
            <sz val="9"/>
            <color indexed="81"/>
            <rFont val="Tahoma"/>
            <family val="2"/>
          </rPr>
          <t xml:space="preserve">
typical length dry interval between rain events = 3.3 d (Joilliet and Hauschild, 2005)
</t>
        </r>
      </text>
    </comment>
    <comment ref="K409" authorId="0" shapeId="0" xr:uid="{00000000-0006-0000-0600-000005000000}">
      <text>
        <r>
          <rPr>
            <b/>
            <sz val="9"/>
            <color indexed="81"/>
            <rFont val="Tahoma"/>
            <family val="2"/>
          </rPr>
          <t>Author:</t>
        </r>
        <r>
          <rPr>
            <sz val="9"/>
            <color indexed="81"/>
            <rFont val="Tahoma"/>
            <family val="2"/>
          </rPr>
          <t xml:space="preserve">
in NL: 6% of time rain &gt;0.3 mm/hr)
</t>
        </r>
      </text>
    </comment>
    <comment ref="K425" authorId="0" shapeId="0" xr:uid="{00000000-0006-0000-0600-000006000000}">
      <text>
        <r>
          <rPr>
            <b/>
            <sz val="9"/>
            <color indexed="81"/>
            <rFont val="Tahoma"/>
            <family val="2"/>
          </rPr>
          <t>Author:</t>
        </r>
        <r>
          <rPr>
            <sz val="9"/>
            <color indexed="81"/>
            <rFont val="Tahoma"/>
            <family val="2"/>
          </rPr>
          <t xml:space="preserve">
conc at relevant depth / soil-depth averaged conc;
relevant soil depth in this case = 0;
soil penetration depth = 0.1 m</t>
        </r>
      </text>
    </comment>
    <comment ref="K464" authorId="0" shapeId="0" xr:uid="{00000000-0006-0000-0600-000007000000}">
      <text>
        <r>
          <rPr>
            <b/>
            <sz val="9"/>
            <color indexed="81"/>
            <rFont val="Tahoma"/>
            <family val="2"/>
          </rPr>
          <t>Author:</t>
        </r>
        <r>
          <rPr>
            <sz val="9"/>
            <color indexed="81"/>
            <rFont val="Tahoma"/>
            <family val="2"/>
          </rPr>
          <t xml:space="preserve">
conc at relevant depth / soil-depth averaged conc;
relevant soil depth in this case = 0.5 m;
soil penetration depth = 0.1 m</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14" authorId="0" shapeId="0" xr:uid="{00000000-0006-0000-0800-000001000000}">
      <text>
        <r>
          <rPr>
            <b/>
            <sz val="8"/>
            <color indexed="81"/>
            <rFont val="Tahoma"/>
            <family val="2"/>
          </rPr>
          <t>Author:</t>
        </r>
        <r>
          <rPr>
            <sz val="8"/>
            <color indexed="81"/>
            <rFont val="Tahoma"/>
            <family val="2"/>
          </rPr>
          <t xml:space="preserve">
initial masses in compartments "m0"</t>
        </r>
      </text>
    </comment>
  </commentList>
</comments>
</file>

<file path=xl/sharedStrings.xml><?xml version="1.0" encoding="utf-8"?>
<sst xmlns="http://schemas.openxmlformats.org/spreadsheetml/2006/main" count="26922" uniqueCount="4896">
  <si>
    <t>www.rivm.nl</t>
  </si>
  <si>
    <t>Contact</t>
  </si>
  <si>
    <t>JTK Quik</t>
  </si>
  <si>
    <t>National Institute of Public Health and the Environment (RIVM)</t>
  </si>
  <si>
    <t>Post Box 1, 3720BA Bilthoven, The Netherlands</t>
  </si>
  <si>
    <t>joris.quik@rivm.nl</t>
  </si>
  <si>
    <t>J. Meesters et al. A Model Sensitivity Analysis to Determine the Most Important Physicochemical Properties Driving Environmental Fate and Exposure of Engineered Nanoparticles. Environ. Sci.: Nano 2019, 6, (7), 2049-2060</t>
  </si>
  <si>
    <t>J. Meesters et al. Multimedia Environmental Fate and Speciation of Engineered Nanoparticles: A Probabilistic Modeling Approach. Environ. Sci.: Nano 2016, 3, (4), 715-727.</t>
  </si>
  <si>
    <t>J. Meesters et al. SimpleBox4nano model definition: Multimedia Modeling of Engineered Nanoparticles with SimpleBox4nano: Model Definition and Evaluation (2014) ES&amp;T 48(10), 5726-5736</t>
  </si>
  <si>
    <t>Reference SimpleBox</t>
  </si>
  <si>
    <t>A. Hollander et al. SimpleBox 4.0: improving the model while keeping it simple. Chemosphere (2016)</t>
  </si>
  <si>
    <t>M Schoorl et al. SimpleBox 4.0: a multimedia mass balance model for evaluating the fate of chemicals in the environment. RIVM report 2015-0161</t>
  </si>
  <si>
    <t>H.A. den Hollander et al. SimpleBox 3.0: multimedia mass balance model for evaluating the fate of chemicals in the environment. RIVM report 601200003 (2004)</t>
  </si>
  <si>
    <t>L.J. Brandes et al. SimpleBox 2.0: a nested multimedia fate model for evaluating the environmental fate of chemicals.  RIVM report 719101 029 (1996)</t>
  </si>
  <si>
    <t>D. van de Meent. SimpleBox, a generic multimedia fate evaluation model.  RIVM report no. 672720 001 (1993)</t>
  </si>
  <si>
    <t>Modifications log</t>
  </si>
  <si>
    <t>[improvement] Added degradatation and fragmentation as separate processes for particles, aimed at polymers [input]</t>
  </si>
  <si>
    <t>[improvement] added mass flow table for particle species [all species output]</t>
  </si>
  <si>
    <t>[improvement] smal layout and textual changes</t>
  </si>
  <si>
    <t>[fix] waterflow from w1C to w1R and RainRate.R from conv. SB4</t>
  </si>
  <si>
    <t>[fix] naming and refs of kdegG.air, KDEG.aA and particle degradation rate constants. Clash with conv. SB4. [regional/continental/global]</t>
  </si>
  <si>
    <t>[fix] use cellnames instead of cell refs (several, e.g. kdegS/A/P and COL/SUSP)</t>
  </si>
  <si>
    <t>[fix] missing flow from w1C to w1R for SAP species</t>
  </si>
  <si>
    <t>[fix] percentage mass in soils at contiental scale in all species output sheet</t>
  </si>
  <si>
    <t>vs 4.01-nano</t>
  </si>
  <si>
    <t>[improvement] minor improvements (link to dynamic R script)</t>
  </si>
  <si>
    <t>[fix] formula AerosolWashout.T</t>
  </si>
  <si>
    <t>[bugfix] aerosol wahsout for P species (k.a*P.cw*P) was dependant on Fraers.a*. This is not the case, as all P is particulate/solid.</t>
  </si>
  <si>
    <t>[bugfix] fixed bug where dry/wet deposition for dissolved species (G/D) was not consistent with the standard SimpleBox4.01 version</t>
  </si>
  <si>
    <t>[RC1] added CaLIBRAte case study TiO2 [update emissions 7-10-2019]</t>
  </si>
  <si>
    <t>[RC1] input sheet rearranged, sheet 'nanom micro output' added, added Meesters et al 2016 and NanoFASE scenario's and cases</t>
  </si>
  <si>
    <t>vs 4.01-nano (beta)</t>
  </si>
  <si>
    <t>[update4] updated lookup functions for substances, scenarios and cases, added case without subcompartments (singlecompartment)</t>
  </si>
  <si>
    <t>[update3] Now allso applicable to particles with density lower than water (e.g. polymers such as EPS)</t>
  </si>
  <si>
    <t>UPDATE 17-1-2019, additional notes</t>
  </si>
  <si>
    <t>[bugfix] RadAcc was not converted properly from nm to m using value in lookup table (Cell L202)</t>
  </si>
  <si>
    <t>Added absolute function for calculating graviational collission frequency</t>
  </si>
  <si>
    <t>[update2] included scenario and substance properties for nano-TiO2, nano-Ag and nano-C60. The scenario, cases and substance sheets are now functional</t>
  </si>
  <si>
    <t>Sedimentation rate constants becomes 0 when density lower than water</t>
  </si>
  <si>
    <t>[bug fix update1] Fixed equation for Brownian collection efficiency for collection of S and A species in cloud water</t>
  </si>
  <si>
    <t>Added removal rate of 1e-20 to water (0 sed rate const at w2CA/w2CAP does not compute)</t>
  </si>
  <si>
    <t>Pre-release 4.01-nano (beta version of 4.01 fit for nanomaterials), incorporation of model definition as described by Meesters et al. (2014)</t>
  </si>
  <si>
    <t>vs 4.01</t>
  </si>
  <si>
    <t>External release 4.01 (as 4.0, with bug- and lay-out fixes), as described by Hollander et al. (2015)</t>
  </si>
  <si>
    <t>vs 4.0</t>
  </si>
  <si>
    <t>External release 4.0 (beta test version)</t>
  </si>
  <si>
    <t>vs 3.0</t>
  </si>
  <si>
    <t>External release 3.0, as described by Den Hollander et al. (2004)</t>
  </si>
  <si>
    <t>vs 2.0</t>
  </si>
  <si>
    <t>External release 2.0, as described by Brandes et al. (1996)</t>
  </si>
  <si>
    <t>vs 1.0</t>
  </si>
  <si>
    <t>External release 1.0, as described by Van de Meent (1993)</t>
  </si>
  <si>
    <t>Output table 1:  Steady-state Concentrations, Fugacities, Emissions and Mass</t>
  </si>
  <si>
    <t>Output table 2: Steady-state mass flows for D species only (kg.s-1)</t>
  </si>
  <si>
    <t>Table 2: Steady-state mass flows (ton.yr-1)</t>
  </si>
  <si>
    <r>
      <t>Graphic output (</t>
    </r>
    <r>
      <rPr>
        <b/>
        <i/>
        <sz val="12"/>
        <color rgb="FFFF0000"/>
        <rFont val="Calibri"/>
        <family val="2"/>
      </rPr>
      <t>D species only</t>
    </r>
    <r>
      <rPr>
        <b/>
        <i/>
        <sz val="12"/>
        <rFont val="Calibri"/>
        <family val="2"/>
      </rPr>
      <t>): Steady-state mass flows (kg.s-1)</t>
    </r>
  </si>
  <si>
    <t>Substance:</t>
  </si>
  <si>
    <t>Model</t>
  </si>
  <si>
    <t>REGIONAL SCALE</t>
  </si>
  <si>
    <t>Date</t>
  </si>
  <si>
    <t>SimpleBox version 3.9</t>
  </si>
  <si>
    <t>Substance</t>
  </si>
  <si>
    <t>median substance</t>
  </si>
  <si>
    <t>Scenario</t>
  </si>
  <si>
    <t>Default SimpleBox</t>
  </si>
  <si>
    <t>Case</t>
  </si>
  <si>
    <t>SimpleBox version 3.31</t>
  </si>
  <si>
    <t>Air:</t>
  </si>
  <si>
    <t>Masses (kg)</t>
  </si>
  <si>
    <t>Concentrations</t>
  </si>
  <si>
    <t>Fugacities (Pa)</t>
  </si>
  <si>
    <t>Dissolved species</t>
  </si>
  <si>
    <t>Emission</t>
  </si>
  <si>
    <t>Inflow</t>
  </si>
  <si>
    <t>Outflow</t>
  </si>
  <si>
    <t>Removal</t>
  </si>
  <si>
    <t>Formation (S,A,P-&gt;D)</t>
  </si>
  <si>
    <t>Degradation</t>
  </si>
  <si>
    <t>air-water</t>
  </si>
  <si>
    <t>water-air</t>
  </si>
  <si>
    <t>air-soil</t>
  </si>
  <si>
    <t>soil-air</t>
  </si>
  <si>
    <t>soil-water</t>
  </si>
  <si>
    <t>water-sed</t>
  </si>
  <si>
    <t>sed-water</t>
  </si>
  <si>
    <t>mass</t>
  </si>
  <si>
    <t>aR</t>
  </si>
  <si>
    <t>w1R</t>
  </si>
  <si>
    <t>w2R</t>
  </si>
  <si>
    <t>sd1R</t>
  </si>
  <si>
    <t>sd2R</t>
  </si>
  <si>
    <t>s1R</t>
  </si>
  <si>
    <t>s2R</t>
  </si>
  <si>
    <t>s3R</t>
  </si>
  <si>
    <t>aC</t>
  </si>
  <si>
    <t>w1C</t>
  </si>
  <si>
    <t>w2C</t>
  </si>
  <si>
    <t>sd1C</t>
  </si>
  <si>
    <t>sd2C</t>
  </si>
  <si>
    <t>s1C</t>
  </si>
  <si>
    <t>s2C</t>
  </si>
  <si>
    <t>s3C</t>
  </si>
  <si>
    <t xml:space="preserve">C  </t>
  </si>
  <si>
    <t>Reg</t>
  </si>
  <si>
    <t>Cont</t>
  </si>
  <si>
    <t>Mod</t>
  </si>
  <si>
    <t>Arct</t>
  </si>
  <si>
    <t>Trop</t>
  </si>
  <si>
    <t>transport</t>
  </si>
  <si>
    <t>balance</t>
  </si>
  <si>
    <t>C</t>
  </si>
  <si>
    <t xml:space="preserve">/ / / / / / / / / / </t>
  </si>
  <si>
    <t>Air</t>
  </si>
  <si>
    <r>
      <t>g.m</t>
    </r>
    <r>
      <rPr>
        <vertAlign val="superscript"/>
        <sz val="10"/>
        <rFont val="Calibri"/>
        <family val="2"/>
      </rPr>
      <t>-3</t>
    </r>
  </si>
  <si>
    <t>Regional Scale</t>
  </si>
  <si>
    <t>/ / / / / / / / / /</t>
  </si>
  <si>
    <t>Dissolved/Gas species (G/D)</t>
  </si>
  <si>
    <t>air</t>
  </si>
  <si>
    <t xml:space="preserve"> * GAS PHASE</t>
  </si>
  <si>
    <t>fresh water lakes</t>
  </si>
  <si>
    <t>w0R</t>
  </si>
  <si>
    <r>
      <t xml:space="preserve"> * AEROSO</t>
    </r>
    <r>
      <rPr>
        <sz val="10"/>
        <rFont val="Calibri"/>
        <family val="2"/>
      </rPr>
      <t>L- and CLOUD PHASES</t>
    </r>
  </si>
  <si>
    <t>fresh water</t>
  </si>
  <si>
    <t>Solid species (S)</t>
  </si>
  <si>
    <t>coastal sea water</t>
  </si>
  <si>
    <t>Net export</t>
  </si>
  <si>
    <t>Species attached to NCs (&lt;450 nm) (A)</t>
  </si>
  <si>
    <t>fresh water sediment</t>
  </si>
  <si>
    <t>Species attached to suspended particles (&gt;450 nm) (P)</t>
  </si>
  <si>
    <t>coastal marine sediment</t>
  </si>
  <si>
    <t>Leaching</t>
  </si>
  <si>
    <t>natural soil</t>
  </si>
  <si>
    <t>Burial</t>
  </si>
  <si>
    <t>Fresh water lake</t>
  </si>
  <si>
    <r>
      <t>g.L</t>
    </r>
    <r>
      <rPr>
        <vertAlign val="superscript"/>
        <sz val="10"/>
        <rFont val="Calibri"/>
        <family val="2"/>
      </rPr>
      <t>-1</t>
    </r>
  </si>
  <si>
    <t>agricultural soil</t>
  </si>
  <si>
    <t>other soil</t>
  </si>
  <si>
    <t xml:space="preserve"> * DISSOLVED</t>
  </si>
  <si>
    <t>Continetal Scale</t>
  </si>
  <si>
    <t xml:space="preserve"> * SUSPENDED SOLIDS</t>
  </si>
  <si>
    <r>
      <t>g.kg(d)</t>
    </r>
    <r>
      <rPr>
        <vertAlign val="superscript"/>
        <sz val="10"/>
        <rFont val="Calibri"/>
        <family val="2"/>
      </rPr>
      <t>-1</t>
    </r>
  </si>
  <si>
    <t>Wet and dry deposition</t>
  </si>
  <si>
    <t>w0C</t>
  </si>
  <si>
    <t>Net gas absorption</t>
  </si>
  <si>
    <t>Run off</t>
  </si>
  <si>
    <t>Fresh water:</t>
  </si>
  <si>
    <t>Fresh water lake:</t>
  </si>
  <si>
    <t xml:space="preserve">                  Natural soil:</t>
  </si>
  <si>
    <t>Other soil:</t>
  </si>
  <si>
    <t>Agricultural soil:</t>
  </si>
  <si>
    <t>Fresh water lake sediment</t>
  </si>
  <si>
    <r>
      <t>g.kg(w)</t>
    </r>
    <r>
      <rPr>
        <vertAlign val="superscript"/>
        <sz val="10"/>
        <rFont val="Calibri"/>
        <family val="2"/>
      </rPr>
      <t>-1</t>
    </r>
  </si>
  <si>
    <t>Sedimentation</t>
  </si>
  <si>
    <t>Adsorption</t>
  </si>
  <si>
    <t>* PORE WATER</t>
  </si>
  <si>
    <t>* SOLID PHASE</t>
  </si>
  <si>
    <t>plant death &amp; litter fall</t>
  </si>
  <si>
    <t>Fresh water sediment:</t>
  </si>
  <si>
    <t>Global Scale - Moderate climate zone</t>
  </si>
  <si>
    <t>transpiration flux</t>
  </si>
  <si>
    <t>aM</t>
  </si>
  <si>
    <t>Balance</t>
  </si>
  <si>
    <t>upper ocean water</t>
  </si>
  <si>
    <t>w2M</t>
  </si>
  <si>
    <t>Seawater:</t>
  </si>
  <si>
    <t>deep sea</t>
  </si>
  <si>
    <t>w3M</t>
  </si>
  <si>
    <t>sdM</t>
  </si>
  <si>
    <t>sM</t>
  </si>
  <si>
    <t>aA</t>
  </si>
  <si>
    <t>w2A</t>
  </si>
  <si>
    <t>w3A</t>
  </si>
  <si>
    <t>sdA</t>
  </si>
  <si>
    <t>sA</t>
  </si>
  <si>
    <t>aT</t>
  </si>
  <si>
    <t>w2T</t>
  </si>
  <si>
    <t>w3T</t>
  </si>
  <si>
    <t>sdT</t>
  </si>
  <si>
    <t>sT</t>
  </si>
  <si>
    <t>Sum</t>
  </si>
  <si>
    <t>Fresh water</t>
  </si>
  <si>
    <t>ocean sediment</t>
  </si>
  <si>
    <t>soil</t>
  </si>
  <si>
    <t>Global Scale - Arctic climate zone</t>
  </si>
  <si>
    <t>Sea water sediment:</t>
  </si>
  <si>
    <t>Fresh water sediment</t>
  </si>
  <si>
    <t>Global Scale - Tropical climate zone</t>
  </si>
  <si>
    <t>Index:</t>
  </si>
  <si>
    <t>Concentrations:</t>
  </si>
  <si>
    <t>Diffusive exhange and advective transport</t>
  </si>
  <si>
    <t xml:space="preserve">   Air</t>
  </si>
  <si>
    <t>Soil-&gt; water transport</t>
  </si>
  <si>
    <t xml:space="preserve">   Fresh water lake</t>
  </si>
  <si>
    <t xml:space="preserve">   Fresh water</t>
  </si>
  <si>
    <t>Import + origin</t>
  </si>
  <si>
    <t xml:space="preserve">   Sea water</t>
  </si>
  <si>
    <t>Surface sea/ocean water</t>
  </si>
  <si>
    <t>Output table 2b: Steady-state mass flows for total particulate species (kg.s-1)</t>
  </si>
  <si>
    <t>Export + destination</t>
  </si>
  <si>
    <t xml:space="preserve">   Fresh water sediment</t>
  </si>
  <si>
    <t xml:space="preserve">   Sea water sediment</t>
  </si>
  <si>
    <t>Removal from system</t>
  </si>
  <si>
    <t xml:space="preserve">   Natural soil</t>
  </si>
  <si>
    <t xml:space="preserve">   Agricultural soil</t>
  </si>
  <si>
    <t xml:space="preserve">   Other soil</t>
  </si>
  <si>
    <t>Total Particulate species</t>
  </si>
  <si>
    <t>Removal (advection)</t>
  </si>
  <si>
    <t>Dissolution</t>
  </si>
  <si>
    <t>Distribution over the compartments</t>
  </si>
  <si>
    <t>Deep sea/ocean water</t>
  </si>
  <si>
    <t>g.L-1</t>
  </si>
  <si>
    <t>CONTINENTAL SCALE</t>
  </si>
  <si>
    <t>Marine sediment</t>
  </si>
  <si>
    <t>g.kg(w)-1</t>
  </si>
  <si>
    <t>Natural soil</t>
  </si>
  <si>
    <t>* PORE WATER / GROUNDWATER</t>
  </si>
  <si>
    <t>Agricultural soil</t>
  </si>
  <si>
    <t>Other soil</t>
  </si>
  <si>
    <t>Total D</t>
  </si>
  <si>
    <t>Total S</t>
  </si>
  <si>
    <t>Total A</t>
  </si>
  <si>
    <r>
      <t>g.L</t>
    </r>
    <r>
      <rPr>
        <vertAlign val="superscript"/>
        <sz val="10"/>
        <rFont val="Calibri"/>
        <family val="2"/>
      </rPr>
      <t>-1</t>
    </r>
    <r>
      <rPr>
        <b/>
        <sz val="10"/>
        <rFont val="MS Sans Serif"/>
        <family val="2"/>
      </rPr>
      <t/>
    </r>
  </si>
  <si>
    <t>Total P</t>
  </si>
  <si>
    <t>Total</t>
  </si>
  <si>
    <t>Soil -&gt; water transport</t>
  </si>
  <si>
    <r>
      <t>Graphic output</t>
    </r>
    <r>
      <rPr>
        <b/>
        <i/>
        <sz val="12"/>
        <color rgb="FFFF0000"/>
        <rFont val="Calibri"/>
        <family val="2"/>
      </rPr>
      <t xml:space="preserve"> (D species only)</t>
    </r>
    <r>
      <rPr>
        <b/>
        <i/>
        <sz val="12"/>
        <rFont val="Calibri"/>
        <family val="2"/>
      </rPr>
      <t>: Steady-state mass flows (kg.s-1)</t>
    </r>
  </si>
  <si>
    <t>GLOBAL</t>
  </si>
  <si>
    <t>MODERATE ZONE</t>
  </si>
  <si>
    <t>ARCTIC ZONE</t>
  </si>
  <si>
    <t>TROPIC ZONE</t>
  </si>
  <si>
    <t>C, A, T</t>
  </si>
  <si>
    <t>M</t>
  </si>
  <si>
    <t>Surface seawater:</t>
  </si>
  <si>
    <t>Deep seawater:</t>
  </si>
  <si>
    <t>Soil:</t>
  </si>
  <si>
    <t>2 C, A, T</t>
  </si>
  <si>
    <t>Moderate zone concentrations:</t>
  </si>
  <si>
    <t>Class:</t>
  </si>
  <si>
    <t xml:space="preserve">   Surface sea water</t>
  </si>
  <si>
    <t xml:space="preserve">   Deep sea water</t>
  </si>
  <si>
    <t xml:space="preserve">   Soil</t>
  </si>
  <si>
    <t>Arctic zone concentrations:</t>
  </si>
  <si>
    <t>Tropic zone concentrations:</t>
  </si>
  <si>
    <t>Concentration ENPs (S+A+P)</t>
  </si>
  <si>
    <t>Species Concentration free ENPs (S)</t>
  </si>
  <si>
    <t>Relevant bioavailable concentration according to user</t>
  </si>
  <si>
    <t>Regional</t>
  </si>
  <si>
    <t>Continental</t>
  </si>
  <si>
    <t>Moderate</t>
  </si>
  <si>
    <t>Arctic</t>
  </si>
  <si>
    <t>Tropical</t>
  </si>
  <si>
    <t>User defined cut-off diameter</t>
  </si>
  <si>
    <t>nm</t>
  </si>
  <si>
    <t>g.m-3</t>
  </si>
  <si>
    <t>Species Concentration  colloidal heteroagglomerates ENP &lt;450nm (A)</t>
  </si>
  <si>
    <t>Species Concentration  ENP coarse heteroagglomerates &gt; 450nm (P)</t>
  </si>
  <si>
    <t>SCENARIO- and SUBSTANCE DEFINITION</t>
  </si>
  <si>
    <t>PICK FROM LOOK-UP TABLES</t>
  </si>
  <si>
    <t>Variable Name</t>
  </si>
  <si>
    <t>User input</t>
  </si>
  <si>
    <t>Default</t>
  </si>
  <si>
    <t>Used</t>
  </si>
  <si>
    <t>Notes</t>
  </si>
  <si>
    <t>Equation</t>
  </si>
  <si>
    <t>Reference</t>
  </si>
  <si>
    <t>ChemName</t>
  </si>
  <si>
    <t>nanoparticle</t>
  </si>
  <si>
    <t>default substance</t>
  </si>
  <si>
    <t>ChemRowNr</t>
  </si>
  <si>
    <t>ScenarioName</t>
  </si>
  <si>
    <t>default scenario</t>
  </si>
  <si>
    <t>CaseName</t>
  </si>
  <si>
    <t>defaults only</t>
  </si>
  <si>
    <t>SUBSTANCE PROPERTIES nanoform</t>
  </si>
  <si>
    <t>Unit</t>
  </si>
  <si>
    <t>LookUp</t>
  </si>
  <si>
    <t>Radius primary ENP</t>
  </si>
  <si>
    <t>RadS</t>
  </si>
  <si>
    <t>[nm]</t>
  </si>
  <si>
    <t>m</t>
  </si>
  <si>
    <t>Density primary ENP</t>
  </si>
  <si>
    <t>RhoS</t>
  </si>
  <si>
    <t>[kg.m-3]</t>
  </si>
  <si>
    <t>kg.m-3</t>
  </si>
  <si>
    <t>Hamaker constant heteroagglomerate (ENP, water, SiO2)</t>
  </si>
  <si>
    <t>AHamakerSP.w</t>
  </si>
  <si>
    <t>[J]</t>
  </si>
  <si>
    <t>ENGINEERED NANOPARTICLE &lt;-&gt; ENVIRONMENT PROPERTIES</t>
  </si>
  <si>
    <t>Attachment efficiencies between ENPs and natural particles in different media</t>
  </si>
  <si>
    <t>Attachment Efficiency of ENPs and lake water NCs (&lt;450 nm)</t>
  </si>
  <si>
    <t>AtefSA.w0</t>
  </si>
  <si>
    <t>[-]</t>
  </si>
  <si>
    <t>-</t>
  </si>
  <si>
    <t>Attachment Efficiency of ENPs and lake water SPM (&gt;450 nm)</t>
  </si>
  <si>
    <t>AtefSP.w0</t>
  </si>
  <si>
    <t>Attachment Efficiency of ENPs and fresh water NCs (&lt;450 nm)</t>
  </si>
  <si>
    <t>AtefSA.w1</t>
  </si>
  <si>
    <t>Attachment Efficiency of ENPs and fresh water SPM (&gt;450 nm)</t>
  </si>
  <si>
    <t>AtefSP.w1</t>
  </si>
  <si>
    <t>Attachment Efficiency of ENPs and sea water NCs (&lt;450 nm)</t>
  </si>
  <si>
    <t>AtefSA.w2</t>
  </si>
  <si>
    <t>Attachment Efficiency of ENPs and sea water SPM (&gt;450 nm)</t>
  </si>
  <si>
    <t>AtefSP.w2</t>
  </si>
  <si>
    <t>Attachment Efficiency of ENPs and deep sea water NCs (&lt;450 nm)</t>
  </si>
  <si>
    <t>AtefSA.w3</t>
  </si>
  <si>
    <t>Attachment Efficiency of ENPs and deep sea water SPM (&gt;450 nm)</t>
  </si>
  <si>
    <t>AtefSP.w3</t>
  </si>
  <si>
    <t>Attachment Efficiency of ENPs and natural soil NCs (&lt;450 nm)</t>
  </si>
  <si>
    <t>AtefSA.s1</t>
  </si>
  <si>
    <t xml:space="preserve">Attachment Efficiency of ENPs and natural soil grains </t>
  </si>
  <si>
    <t>AtefSP.s1</t>
  </si>
  <si>
    <t>Attachment Efficiency of ENPs and agricultural soil NCs (&lt;450 nm)</t>
  </si>
  <si>
    <t>AtefSA.s2</t>
  </si>
  <si>
    <t>Attachment Efficiency of ENPs and agricultural soil grains</t>
  </si>
  <si>
    <t>AtefSP.s2</t>
  </si>
  <si>
    <t>Attachment Efficiency of ENPs and other soil NCs (&lt;450 nm)</t>
  </si>
  <si>
    <t>AtefSA.s3</t>
  </si>
  <si>
    <t xml:space="preserve">Attachment Efficiency of ENPs and other soil grains </t>
  </si>
  <si>
    <t>AtefSP.s3</t>
  </si>
  <si>
    <t>Attachment Efficiency of ENPs and lake sediment NCs (&lt;450 nm)</t>
  </si>
  <si>
    <t>AtefSA.sd0</t>
  </si>
  <si>
    <t>Attachment Efficiency of ENPs and lake sediment grains</t>
  </si>
  <si>
    <t>AtefSP.sd0</t>
  </si>
  <si>
    <t>Attachment Efficiency of ENPs and fresh sediment NCs (&lt;450 nm)</t>
  </si>
  <si>
    <t>AtefSA.sd1</t>
  </si>
  <si>
    <t xml:space="preserve">Attachment Efficiency of ENPs and fresh sediment grains </t>
  </si>
  <si>
    <t>AtefSP.sd1</t>
  </si>
  <si>
    <t>Attachment Efficiency of ENPs and marine sediment NCs (&lt;450 nm)</t>
  </si>
  <si>
    <t>AtefSA.sd2</t>
  </si>
  <si>
    <t>Attachment Efficiency of ENPs and marine sediment grains</t>
  </si>
  <si>
    <t>AtefSP.sd2</t>
  </si>
  <si>
    <t>ENP dissolution rates for different species in different media</t>
  </si>
  <si>
    <t>Pristine ENPs:</t>
  </si>
  <si>
    <t>Dissolution rate of ENPs (S) in lake water</t>
  </si>
  <si>
    <t>kdis.w0S.w0D</t>
  </si>
  <si>
    <t>[s-1]</t>
  </si>
  <si>
    <t>s-1</t>
  </si>
  <si>
    <t>Dissolution rate of ENPs (S) in fresh water</t>
  </si>
  <si>
    <t>kdis.w1S.w1D</t>
  </si>
  <si>
    <t>Dissolution rate of ENPs (S) in sea water</t>
  </si>
  <si>
    <t>kdis.w2S.w2D</t>
  </si>
  <si>
    <t>Dissolution rate of ENPs (S) in natural soil pore water</t>
  </si>
  <si>
    <t>kdis.s1S.s1D</t>
  </si>
  <si>
    <t>Dissolution rate of ENPs (S) in agricultural soil pore water</t>
  </si>
  <si>
    <t>kdis.s2S.s2D</t>
  </si>
  <si>
    <t>Dissolution rate of ENPs (S) in other soil pore water</t>
  </si>
  <si>
    <t>kdis.s3S.s3D</t>
  </si>
  <si>
    <t>Dissolution rate of ENPs (S) in lake sediment</t>
  </si>
  <si>
    <t>kdis.sd0S.sd0D</t>
  </si>
  <si>
    <t>Dissolution rate of ENPs (S) in fresh sediment</t>
  </si>
  <si>
    <t>kdis.sd1S.sd1D</t>
  </si>
  <si>
    <t>Dissolution rate of ENPs (S) in marine sediment</t>
  </si>
  <si>
    <t>kdis.sd2S.sd2D</t>
  </si>
  <si>
    <t>Dissolution rate of ENPs (S) in deep sea water</t>
  </si>
  <si>
    <t>kdis.w3S.w3D</t>
  </si>
  <si>
    <t>Heteroagglomerates (Default values from S species):</t>
  </si>
  <si>
    <t>Dissolution rate of heteroagglomerates of ENPs and NCs (A) in lake water</t>
  </si>
  <si>
    <t>kdis.w0A.w0D</t>
  </si>
  <si>
    <t>Dissolution rate of heteroagglomerates of ENPs and SPM (P) in lake water</t>
  </si>
  <si>
    <t>kdis.w0P.w0D</t>
  </si>
  <si>
    <t>Dissolution rate of heteroagglomerates of ENPs and NCs (A) in fresh water</t>
  </si>
  <si>
    <t>kdis.w1A.w1D</t>
  </si>
  <si>
    <t>Dissolution rate of heteroagglomerates of ENPs and SPM (P) in fresh water</t>
  </si>
  <si>
    <t>kdis.w1P.w1D</t>
  </si>
  <si>
    <t>Dissolution rate of heteroagglomerates of ENPs and NCs (A) in sea water</t>
  </si>
  <si>
    <t>kdis.w2A.w2D</t>
  </si>
  <si>
    <t>Dissolution rate of heteroagglomerates of ENPs and SPM (P) in sea water</t>
  </si>
  <si>
    <t>kdis.w2P.w2D</t>
  </si>
  <si>
    <t>Dissolution rate of heteroagglomerates of ENPs and NCs (A) in natural soil pore water</t>
  </si>
  <si>
    <t>kdis.s1A.s1D</t>
  </si>
  <si>
    <t>Dissolution rate of heteroagglomerates of ENPs and FP (P) in natural soil</t>
  </si>
  <si>
    <t>kdis.s1P.s1D</t>
  </si>
  <si>
    <t>Dissolution rate of heteroagglomerates of ENPs and NCs (A) in agricultural soil pore water</t>
  </si>
  <si>
    <t>kdis.s2A.s2D</t>
  </si>
  <si>
    <t>Dissolution rate of heteroagglomerates of ENPs and FP (P) in agricultural soil</t>
  </si>
  <si>
    <t>kdis.s2P.s2D</t>
  </si>
  <si>
    <t>Dissolution rate of heteroagglomerates of ENPs and NCs (A) in other soil pore water</t>
  </si>
  <si>
    <t>kdis.s3A.s3D</t>
  </si>
  <si>
    <t>Dissolution rate of heteroagglomerates of ENPs and FP (P) in other soil</t>
  </si>
  <si>
    <t>kdis.s3P.s3D</t>
  </si>
  <si>
    <t>Dissolution rate of heteroagglomerates of ENPs and NCs (A) in lake sediment</t>
  </si>
  <si>
    <t>kdis.sd0A.sd0D</t>
  </si>
  <si>
    <t>Dissolution rate of heteroagglomerates of ENPs and FP (P) in lake sediment</t>
  </si>
  <si>
    <t>kdis.sd0P.sd0D</t>
  </si>
  <si>
    <t>Dissolution rate of heteroagglomerates of ENPs and NCs (A) in fresh sediment</t>
  </si>
  <si>
    <t>kdis.sd1A.sd1D</t>
  </si>
  <si>
    <t>Dissolution rate of heteroagglomerates of ENPs and FP (P) in fresh sediment</t>
  </si>
  <si>
    <t>kdis.sd1P.sd1D</t>
  </si>
  <si>
    <t>Dissolution rate of heteroagglomerates of ENPs and NCs (A) in marine sediment</t>
  </si>
  <si>
    <t>kdis.sd2A.sd2D</t>
  </si>
  <si>
    <t>Dissolution rate of heteroagglomerates of ENPs and FP (P) in marine sediment</t>
  </si>
  <si>
    <t>kdis.sd2P.sd2D</t>
  </si>
  <si>
    <t>Dissolution rate of heteroagglomerates of ENPs and NCs (A) in deep sea water</t>
  </si>
  <si>
    <t>kdis.w3A.w3D</t>
  </si>
  <si>
    <t>Dissolution rate of heteroagglomerates of ENPs and SPM (P) in deep sea water</t>
  </si>
  <si>
    <t>kdis.w3P.w3D</t>
  </si>
  <si>
    <t>ENP transformation/degradation rates for different species in different aqueous media</t>
  </si>
  <si>
    <t>Degradation rate constant of ENPs (S) in air</t>
  </si>
  <si>
    <t>kdegS.a</t>
  </si>
  <si>
    <t>Particle fragmentation rate constant ENPs (S) in air</t>
  </si>
  <si>
    <t>kfragS.a</t>
  </si>
  <si>
    <t>Polymer mineralisation and other elemental degradation rate constant ENPs (S) in air</t>
  </si>
  <si>
    <t>kmpdeg.a</t>
  </si>
  <si>
    <t>Degradation rate constant of ENPs (S) in lake water</t>
  </si>
  <si>
    <t>kdegS.w0</t>
  </si>
  <si>
    <t>Degradation rate constant of ENPs (S) in fresh water</t>
  </si>
  <si>
    <t>kdegS.w1</t>
  </si>
  <si>
    <t>Particle fragmentation rate constant ENPs (S) in fresh water</t>
  </si>
  <si>
    <t>kfragS.w1</t>
  </si>
  <si>
    <t>Polymer mineralisation and other elemental degradation rate constant ENPs (S) in fresh water</t>
  </si>
  <si>
    <t>kmpdeg.w1</t>
  </si>
  <si>
    <t>Degradation rate constant of ENPs (S) in sea water</t>
  </si>
  <si>
    <t>kdegS.w2</t>
  </si>
  <si>
    <t>Particle fragmentation rate constant ENPs (S) in sea water</t>
  </si>
  <si>
    <t>kfragS.w2</t>
  </si>
  <si>
    <t>Polymer mineralisation and other elemental degradation rate constant ENPs (S) in sea water</t>
  </si>
  <si>
    <t>kmpdeg.w2</t>
  </si>
  <si>
    <t>Degradation rate constant of ENPs (S) in natural soil</t>
  </si>
  <si>
    <t>kdegS.s1</t>
  </si>
  <si>
    <t>Degradation rate constant of ENPs (S) in agricultural soil</t>
  </si>
  <si>
    <t>kdegS.s2</t>
  </si>
  <si>
    <t>Degradation rate constant of ENPs (S) in other soil</t>
  </si>
  <si>
    <t>kdegS.s3</t>
  </si>
  <si>
    <t>Particle fragmentation rate constant ENPs (S) in soil</t>
  </si>
  <si>
    <t>kfragS.s</t>
  </si>
  <si>
    <t>Polymer mineralisation and other elemental degradation rate constant ENPs (S) in soil</t>
  </si>
  <si>
    <t>kmpdeg.s</t>
  </si>
  <si>
    <t>Degradation rate constant of ENPs (S) in lake sediment</t>
  </si>
  <si>
    <t>kdegS.sd0</t>
  </si>
  <si>
    <t>Degradation rate constant of ENPs (S) in fresh sediment</t>
  </si>
  <si>
    <t>kdegS.sd1</t>
  </si>
  <si>
    <t>Degradation rate constant of ENPs (S) in marine sediment</t>
  </si>
  <si>
    <t>kdegS.sd2</t>
  </si>
  <si>
    <t>Particle fragmentation rate constant ENPs (S) in sediment</t>
  </si>
  <si>
    <t>kfragS.sd</t>
  </si>
  <si>
    <t>Polymer mineralisation and other elemental degradation rate constant ENPs (S) in sediment</t>
  </si>
  <si>
    <t>kmpdeg.sd</t>
  </si>
  <si>
    <t>Degradation rate constant of ENPs (S) in deep sea water</t>
  </si>
  <si>
    <t>kdegS.w3</t>
  </si>
  <si>
    <t>kfragS.w3</t>
  </si>
  <si>
    <t>kmpdeg.w3</t>
  </si>
  <si>
    <t>Heteroagglomerates (Default is value from S species):</t>
  </si>
  <si>
    <t>kdegA.a</t>
  </si>
  <si>
    <t>kdegP.a</t>
  </si>
  <si>
    <t>Degradation rate constant of heteroagglomerates of ENPs and NCs (A) in lake water</t>
  </si>
  <si>
    <t>kdegA.w0</t>
  </si>
  <si>
    <t>Degradation rate constant of heteroagglomerates of ENPs and SPM (P) in lake water</t>
  </si>
  <si>
    <t>kdegP.w0</t>
  </si>
  <si>
    <t>Degradation rate constant of heteroagglomerates of ENPs and NCs (A) in fresh water</t>
  </si>
  <si>
    <t>kdegA.w1</t>
  </si>
  <si>
    <t>Degradation rate constant of heteroagglomerates of ENPs and SPM (P) in fresh water</t>
  </si>
  <si>
    <t>kdegP.w1</t>
  </si>
  <si>
    <t>Degradation rate constant of heteroagglomerates of ENPs and NCs (A) in sea water</t>
  </si>
  <si>
    <t>kdegA.w2</t>
  </si>
  <si>
    <t>Degradation rate constant of heteroagglomerates of ENPs and SPM (P) in sea water</t>
  </si>
  <si>
    <t>kdegP.w2</t>
  </si>
  <si>
    <t>Degradation rate constant of heteroagglomerates of ENPs and NCs (A) in natural soil pore water</t>
  </si>
  <si>
    <t>kdegA.s1</t>
  </si>
  <si>
    <t>Degradation rate constant of heteroagglomerates of ENPs and FP (P) in natural soil</t>
  </si>
  <si>
    <t>kdegP.s1</t>
  </si>
  <si>
    <t>Degradation rate constant of heteroagglomerates of ENPs and NCs (A) in agricultural soil pore water</t>
  </si>
  <si>
    <t>kdegA.s2</t>
  </si>
  <si>
    <t>Degradation rate constant of heteroagglomerates of ENPs and FP (P) in agricultural soil</t>
  </si>
  <si>
    <t>kdegP.s2</t>
  </si>
  <si>
    <t>Degradation rate constant of heteroagglomerates of ENPs and NCs (A) in other soil pore water</t>
  </si>
  <si>
    <t>kdegA.s3</t>
  </si>
  <si>
    <t>Degradation rate constant of heteroagglomerates of ENPs and FP (P) in other soil</t>
  </si>
  <si>
    <t>kdegP.s3</t>
  </si>
  <si>
    <t>Degradation rate constant of heteroagglomerates of ENPs and NCs (A) in lake sediment</t>
  </si>
  <si>
    <t>kdegA.sd0</t>
  </si>
  <si>
    <t>Degradation rate constant of heteroagglomerates of ENPs and FP (P) in lake sediment</t>
  </si>
  <si>
    <t>kdegP.sd0</t>
  </si>
  <si>
    <t>Degradation rate constant of heteroagglomerates of ENPs and NCs (A) in fresh sediment</t>
  </si>
  <si>
    <t>kdegA.sd1</t>
  </si>
  <si>
    <t>Degradation rate constant of heteroagglomerates of ENPs and FP (P) in fresh sediment</t>
  </si>
  <si>
    <t>kdegP.sd1</t>
  </si>
  <si>
    <t>Degradation rate constant of heteroagglomerates of ENPs and NCs (A) in marine sediment</t>
  </si>
  <si>
    <t>kdegA.sd2</t>
  </si>
  <si>
    <t>Degradation rate constant of heteroagglomerates of ENPs and FP (P) in marine sediment</t>
  </si>
  <si>
    <t>kdegP.sd2</t>
  </si>
  <si>
    <t>Degradation rate constant of heteroagglomerates of ENPs and NCs (A) in deep sea water</t>
  </si>
  <si>
    <t>kdegA.w3</t>
  </si>
  <si>
    <t>Degradation rate constant of heteroagglomerates of ENPs and SPM (P) in deep sea water</t>
  </si>
  <si>
    <t>kdegP.w3</t>
  </si>
  <si>
    <r>
      <t>EMISSION</t>
    </r>
    <r>
      <rPr>
        <sz val="10"/>
        <rFont val="Calibri"/>
        <family val="2"/>
      </rPr>
      <t xml:space="preserve"> RATES</t>
    </r>
  </si>
  <si>
    <t>EMISSION to air</t>
  </si>
  <si>
    <t>E.aRS</t>
  </si>
  <si>
    <r>
      <t>[t.yr</t>
    </r>
    <r>
      <rPr>
        <vertAlign val="superscript"/>
        <sz val="10"/>
        <rFont val="Calibri"/>
        <family val="2"/>
      </rPr>
      <t>-1</t>
    </r>
    <r>
      <rPr>
        <sz val="10"/>
        <rFont val="Calibri"/>
        <family val="2"/>
      </rPr>
      <t>]</t>
    </r>
  </si>
  <si>
    <t>mol.s-1</t>
  </si>
  <si>
    <t>EMISSION to lake water</t>
  </si>
  <si>
    <t>E.w0RS</t>
  </si>
  <si>
    <r>
      <t xml:space="preserve">EMISSION to </t>
    </r>
    <r>
      <rPr>
        <sz val="10"/>
        <rFont val="Calibri"/>
        <family val="2"/>
      </rPr>
      <t>fresh water</t>
    </r>
  </si>
  <si>
    <t>E.w1RS</t>
  </si>
  <si>
    <r>
      <t xml:space="preserve">EMISSION to </t>
    </r>
    <r>
      <rPr>
        <sz val="10"/>
        <rFont val="Calibri"/>
        <family val="2"/>
      </rPr>
      <t>sea water</t>
    </r>
  </si>
  <si>
    <t>E.w2RS</t>
  </si>
  <si>
    <t>EMISSION to natural soil</t>
  </si>
  <si>
    <t>E.s1RS</t>
  </si>
  <si>
    <t>EMISSION to agricultural soil</t>
  </si>
  <si>
    <t>E.s2RS</t>
  </si>
  <si>
    <t>mol.s-2</t>
  </si>
  <si>
    <t>EMISSION to other soil</t>
  </si>
  <si>
    <t>E.s3RS</t>
  </si>
  <si>
    <t>E.aCS</t>
  </si>
  <si>
    <t>E.w0CS</t>
  </si>
  <si>
    <t>E.w1CS</t>
  </si>
  <si>
    <t>E.w2CS</t>
  </si>
  <si>
    <t>E.s1CS</t>
  </si>
  <si>
    <t>E.s2CS</t>
  </si>
  <si>
    <t>E.s3CS</t>
  </si>
  <si>
    <t>E.aMS</t>
  </si>
  <si>
    <t>EMISSION to water</t>
  </si>
  <si>
    <t>E.w2MS</t>
  </si>
  <si>
    <t>EMISSION to soil</t>
  </si>
  <si>
    <t>E.sMS</t>
  </si>
  <si>
    <t>E.aAS</t>
  </si>
  <si>
    <t>E.w2AS</t>
  </si>
  <si>
    <t>E.sAS</t>
  </si>
  <si>
    <t>TROPICAL ZONE</t>
  </si>
  <si>
    <t>E.aTS</t>
  </si>
  <si>
    <t>E.w2TS</t>
  </si>
  <si>
    <t>E.sTS</t>
  </si>
  <si>
    <t>SUBSTANCE PROPERTIES dissolved/conventional form</t>
  </si>
  <si>
    <t>Chemical class</t>
  </si>
  <si>
    <t>ChemClass</t>
  </si>
  <si>
    <t>Neutral</t>
  </si>
  <si>
    <t>MOLECULAR WEIGHT</t>
  </si>
  <si>
    <t>Molweight</t>
  </si>
  <si>
    <r>
      <t>[g.mol</t>
    </r>
    <r>
      <rPr>
        <vertAlign val="superscript"/>
        <sz val="10"/>
        <rFont val="Calibri"/>
        <family val="2"/>
      </rPr>
      <t>-1</t>
    </r>
    <r>
      <rPr>
        <sz val="10"/>
        <rFont val="Calibri"/>
        <family val="2"/>
      </rPr>
      <t>]</t>
    </r>
  </si>
  <si>
    <t>kg.mol-1</t>
  </si>
  <si>
    <r>
      <t xml:space="preserve">Dimensionless solids/water PARTITION COEFFICIENT of the </t>
    </r>
    <r>
      <rPr>
        <sz val="10"/>
        <rFont val="Calibri"/>
        <family val="2"/>
      </rPr>
      <t>dissolved species</t>
    </r>
  </si>
  <si>
    <r>
      <t>K</t>
    </r>
    <r>
      <rPr>
        <sz val="10"/>
        <rFont val="Calibri"/>
        <family val="2"/>
      </rPr>
      <t>sw</t>
    </r>
  </si>
  <si>
    <t>QSAR lookup as in EU TGD</t>
  </si>
  <si>
    <r>
      <t xml:space="preserve">Dimensionless solids/water PARTITION COEFFICIENT of the </t>
    </r>
    <r>
      <rPr>
        <sz val="10"/>
        <rFont val="Calibri"/>
        <family val="2"/>
      </rPr>
      <t>alternate form</t>
    </r>
  </si>
  <si>
    <t>Ksw.alt</t>
  </si>
  <si>
    <r>
      <rPr>
        <sz val="10"/>
        <rFont val="Calibri"/>
        <family val="2"/>
      </rPr>
      <t xml:space="preserve">Dimensionless gas/water PARTITION COEFFICIENT of the gaseous species at 25 </t>
    </r>
    <r>
      <rPr>
        <vertAlign val="superscript"/>
        <sz val="10"/>
        <rFont val="Calibri"/>
        <family val="2"/>
      </rPr>
      <t>o</t>
    </r>
    <r>
      <rPr>
        <sz val="10"/>
        <rFont val="Calibri"/>
        <family val="2"/>
      </rPr>
      <t>C</t>
    </r>
  </si>
  <si>
    <r>
      <t>K</t>
    </r>
    <r>
      <rPr>
        <sz val="10"/>
        <rFont val="Calibri"/>
        <family val="2"/>
      </rPr>
      <t>aw</t>
    </r>
  </si>
  <si>
    <r>
      <t xml:space="preserve">Octanol/water PARTITION COEFFICIENT </t>
    </r>
    <r>
      <rPr>
        <sz val="10"/>
        <rFont val="Calibri"/>
        <family val="2"/>
      </rPr>
      <t>of the dissolved species</t>
    </r>
  </si>
  <si>
    <t>Kow</t>
  </si>
  <si>
    <r>
      <t xml:space="preserve">Octanol/water PARTITION COEFFICIENT of </t>
    </r>
    <r>
      <rPr>
        <sz val="10"/>
        <rFont val="Calibri"/>
        <family val="2"/>
      </rPr>
      <t>alternate form</t>
    </r>
  </si>
  <si>
    <r>
      <t>Kow.</t>
    </r>
    <r>
      <rPr>
        <sz val="10"/>
        <rFont val="Calibri"/>
        <family val="2"/>
      </rPr>
      <t>alt</t>
    </r>
  </si>
  <si>
    <t>Dissociation constant of (conjugated) acid</t>
  </si>
  <si>
    <t>pKa</t>
  </si>
  <si>
    <r>
      <t>Apparent octanol/water PARTITION COEFFICIENT</t>
    </r>
    <r>
      <rPr>
        <sz val="10"/>
        <rFont val="Calibri"/>
        <family val="2"/>
      </rPr>
      <t xml:space="preserve"> at neutral pH</t>
    </r>
  </si>
  <si>
    <t>D</t>
  </si>
  <si>
    <t>Trapp and Horobin, 2005</t>
  </si>
  <si>
    <r>
      <t xml:space="preserve">Fraction </t>
    </r>
    <r>
      <rPr>
        <sz val="10"/>
        <rFont val="Calibri"/>
        <family val="2"/>
      </rPr>
      <t>dissolved species in cloud water</t>
    </r>
  </si>
  <si>
    <t>FRorig.cldw</t>
  </si>
  <si>
    <r>
      <t xml:space="preserve">Fraction </t>
    </r>
    <r>
      <rPr>
        <sz val="10"/>
        <rFont val="Calibri"/>
        <family val="2"/>
      </rPr>
      <t>dissolved species in aerosol water</t>
    </r>
  </si>
  <si>
    <t>FRorig.aerw</t>
  </si>
  <si>
    <r>
      <t xml:space="preserve">Fraction </t>
    </r>
    <r>
      <rPr>
        <sz val="10"/>
        <rFont val="Calibri"/>
        <family val="2"/>
      </rPr>
      <t>dissolved species in fresh water</t>
    </r>
  </si>
  <si>
    <t>FRorig.w1</t>
  </si>
  <si>
    <r>
      <t xml:space="preserve">Fraction </t>
    </r>
    <r>
      <rPr>
        <sz val="10"/>
        <rFont val="Calibri"/>
        <family val="2"/>
      </rPr>
      <t>dissolved species in freshwater sediment</t>
    </r>
  </si>
  <si>
    <t>FRorig.sd1</t>
  </si>
  <si>
    <r>
      <t xml:space="preserve">Fraction </t>
    </r>
    <r>
      <rPr>
        <sz val="10"/>
        <rFont val="Calibri"/>
        <family val="2"/>
      </rPr>
      <t>dissolved species in seawater</t>
    </r>
  </si>
  <si>
    <t>FRorig.w2</t>
  </si>
  <si>
    <r>
      <t xml:space="preserve">Fraction </t>
    </r>
    <r>
      <rPr>
        <sz val="10"/>
        <rFont val="Calibri"/>
        <family val="2"/>
      </rPr>
      <t>dissolved species in marine sediment</t>
    </r>
  </si>
  <si>
    <t>FRorig.sd2</t>
  </si>
  <si>
    <r>
      <t xml:space="preserve">Fraction </t>
    </r>
    <r>
      <rPr>
        <sz val="10"/>
        <rFont val="Calibri"/>
        <family val="2"/>
      </rPr>
      <t>dissolved species in natural soil</t>
    </r>
  </si>
  <si>
    <t>FRorig.s1</t>
  </si>
  <si>
    <r>
      <t xml:space="preserve">Fraction </t>
    </r>
    <r>
      <rPr>
        <sz val="10"/>
        <rFont val="Calibri"/>
        <family val="2"/>
      </rPr>
      <t xml:space="preserve">dissolved species in porewater of natural soil </t>
    </r>
  </si>
  <si>
    <t>FRorig.s1w</t>
  </si>
  <si>
    <r>
      <t xml:space="preserve">Fraction </t>
    </r>
    <r>
      <rPr>
        <sz val="10"/>
        <rFont val="Calibri"/>
        <family val="2"/>
      </rPr>
      <t>dissolved species in agricultural soil</t>
    </r>
  </si>
  <si>
    <t>FRorig.s2</t>
  </si>
  <si>
    <r>
      <t xml:space="preserve">Fraction </t>
    </r>
    <r>
      <rPr>
        <sz val="10"/>
        <rFont val="Calibri"/>
        <family val="2"/>
      </rPr>
      <t>dissolved species in porewater of agricultural soil</t>
    </r>
  </si>
  <si>
    <t>FRorig.s2w</t>
  </si>
  <si>
    <r>
      <t xml:space="preserve">Fraction </t>
    </r>
    <r>
      <rPr>
        <sz val="10"/>
        <rFont val="Calibri"/>
        <family val="2"/>
      </rPr>
      <t>dissolved species in other soil</t>
    </r>
  </si>
  <si>
    <t>FRorig.s3</t>
  </si>
  <si>
    <r>
      <t xml:space="preserve">Fraction </t>
    </r>
    <r>
      <rPr>
        <sz val="10"/>
        <rFont val="Calibri"/>
        <family val="2"/>
      </rPr>
      <t>dissolved species in porewater of other soil</t>
    </r>
  </si>
  <si>
    <t>FRorig.s3w</t>
  </si>
  <si>
    <r>
      <t xml:space="preserve">VAPOR PRESSURE of </t>
    </r>
    <r>
      <rPr>
        <sz val="10"/>
        <rFont val="Calibri"/>
        <family val="2"/>
      </rPr>
      <t>pure chemical at 25 oC</t>
    </r>
  </si>
  <si>
    <t>Pvap25</t>
  </si>
  <si>
    <t>[Pa]</t>
  </si>
  <si>
    <t>Pa</t>
  </si>
  <si>
    <t>ENTHALPY of vaporization</t>
  </si>
  <si>
    <t>H0vap</t>
  </si>
  <si>
    <r>
      <t>[kJ.mol</t>
    </r>
    <r>
      <rPr>
        <vertAlign val="superscript"/>
        <sz val="10"/>
        <rFont val="Calibri"/>
        <family val="2"/>
      </rPr>
      <t>-1</t>
    </r>
    <r>
      <rPr>
        <sz val="10"/>
        <rFont val="Calibri"/>
        <family val="2"/>
      </rPr>
      <t>]</t>
    </r>
  </si>
  <si>
    <t>J.mol-1</t>
  </si>
  <si>
    <r>
      <t xml:space="preserve">Water SOLUBILITY of </t>
    </r>
    <r>
      <rPr>
        <sz val="10"/>
        <rFont val="Calibri"/>
        <family val="2"/>
      </rPr>
      <t xml:space="preserve">pure chemical at 25 </t>
    </r>
    <r>
      <rPr>
        <vertAlign val="superscript"/>
        <sz val="10"/>
        <rFont val="Calibri"/>
        <family val="2"/>
      </rPr>
      <t>o</t>
    </r>
    <r>
      <rPr>
        <sz val="10"/>
        <rFont val="Calibri"/>
        <family val="2"/>
      </rPr>
      <t>C</t>
    </r>
  </si>
  <si>
    <t>Sol25</t>
  </si>
  <si>
    <r>
      <t>[mg.L</t>
    </r>
    <r>
      <rPr>
        <vertAlign val="superscript"/>
        <sz val="10"/>
        <rFont val="Calibri"/>
        <family val="2"/>
      </rPr>
      <t>-1</t>
    </r>
    <r>
      <rPr>
        <sz val="10"/>
        <rFont val="Calibri"/>
        <family val="2"/>
      </rPr>
      <t>]</t>
    </r>
  </si>
  <si>
    <t>mol.m-3</t>
  </si>
  <si>
    <t>ENTHALPY of dissolution</t>
  </si>
  <si>
    <t>H0sol</t>
  </si>
  <si>
    <r>
      <t xml:space="preserve">Melting point </t>
    </r>
    <r>
      <rPr>
        <sz val="10"/>
        <rFont val="Calibri"/>
        <family val="2"/>
      </rPr>
      <t>of pure chemical</t>
    </r>
  </si>
  <si>
    <t>Tm</t>
  </si>
  <si>
    <r>
      <t>[</t>
    </r>
    <r>
      <rPr>
        <vertAlign val="superscript"/>
        <sz val="10"/>
        <rFont val="Calibri"/>
        <family val="2"/>
      </rPr>
      <t>o</t>
    </r>
    <r>
      <rPr>
        <sz val="10"/>
        <rFont val="Calibri"/>
        <family val="2"/>
      </rPr>
      <t>C]</t>
    </r>
  </si>
  <si>
    <t>K</t>
  </si>
  <si>
    <t>QSAR table equilibrium constants</t>
  </si>
  <si>
    <t>Koc(orig)</t>
  </si>
  <si>
    <t>Koc(alt)</t>
  </si>
  <si>
    <t>Kh(orig)</t>
  </si>
  <si>
    <t>Kh(alt)</t>
  </si>
  <si>
    <t>Acid</t>
  </si>
  <si>
    <t>Base</t>
  </si>
  <si>
    <t>Metal</t>
  </si>
  <si>
    <t>particle</t>
  </si>
  <si>
    <t>Hydrophobics</t>
  </si>
  <si>
    <t>Non hydrophobics</t>
  </si>
  <si>
    <t>Phenols, anilines, benzonitriles, nitrobenzenes</t>
  </si>
  <si>
    <t>Acetanilides, carbamates, esters, phenylureas, phosphates, triazines, triazoles, uracils</t>
  </si>
  <si>
    <t>Alcohols, organic acids</t>
  </si>
  <si>
    <t>Acetanilides</t>
  </si>
  <si>
    <t>Alcohols</t>
  </si>
  <si>
    <t>Amides</t>
  </si>
  <si>
    <t>Anilines</t>
  </si>
  <si>
    <t>Carbamates</t>
  </si>
  <si>
    <t>Dinitroanilines</t>
  </si>
  <si>
    <t>Esters</t>
  </si>
  <si>
    <t>Nitrobenzenes</t>
  </si>
  <si>
    <t>Organic acids</t>
  </si>
  <si>
    <t>Phenols, benzonitriles</t>
  </si>
  <si>
    <t>Phenylureas</t>
  </si>
  <si>
    <t>Phosphates</t>
  </si>
  <si>
    <t>Triazines</t>
  </si>
  <si>
    <t>Triazoles</t>
  </si>
  <si>
    <r>
      <t xml:space="preserve">Degradation RATE CONSTANT </t>
    </r>
    <r>
      <rPr>
        <sz val="10"/>
        <rFont val="Calibri"/>
        <family val="2"/>
      </rPr>
      <t xml:space="preserve">of the gaseous species in air at 25 </t>
    </r>
    <r>
      <rPr>
        <vertAlign val="superscript"/>
        <sz val="10"/>
        <rFont val="Calibri"/>
        <family val="2"/>
      </rPr>
      <t>o</t>
    </r>
    <r>
      <rPr>
        <sz val="10"/>
        <rFont val="Calibri"/>
        <family val="2"/>
      </rPr>
      <t>C</t>
    </r>
  </si>
  <si>
    <r>
      <t>kdeg</t>
    </r>
    <r>
      <rPr>
        <sz val="10"/>
        <rFont val="Calibri"/>
        <family val="2"/>
      </rPr>
      <t>G.air</t>
    </r>
  </si>
  <si>
    <r>
      <t>[s</t>
    </r>
    <r>
      <rPr>
        <vertAlign val="superscript"/>
        <sz val="10"/>
        <rFont val="Calibri"/>
        <family val="2"/>
      </rPr>
      <t>-1</t>
    </r>
    <r>
      <rPr>
        <sz val="10"/>
        <rFont val="Calibri"/>
        <family val="2"/>
      </rPr>
      <t>]</t>
    </r>
  </si>
  <si>
    <t>OH radical CONCENTRATION</t>
  </si>
  <si>
    <t>C.OHrad</t>
  </si>
  <si>
    <r>
      <t>[cm</t>
    </r>
    <r>
      <rPr>
        <vertAlign val="superscript"/>
        <sz val="10"/>
        <rFont val="Calibri"/>
        <family val="2"/>
      </rPr>
      <t>-3</t>
    </r>
    <r>
      <rPr>
        <sz val="10"/>
        <rFont val="Calibri"/>
        <family val="2"/>
      </rPr>
      <t>]</t>
    </r>
  </si>
  <si>
    <t>cm-3</t>
  </si>
  <si>
    <t>FREQUENCY FACTOR OH radical reaction</t>
  </si>
  <si>
    <t>k0.OHrad</t>
  </si>
  <si>
    <r>
      <t>[cm</t>
    </r>
    <r>
      <rPr>
        <vertAlign val="superscript"/>
        <sz val="10"/>
        <rFont val="Calibri"/>
        <family val="2"/>
      </rPr>
      <t>3</t>
    </r>
    <r>
      <rPr>
        <sz val="10"/>
        <rFont val="Calibri"/>
        <family val="2"/>
      </rPr>
      <t>.s</t>
    </r>
    <r>
      <rPr>
        <vertAlign val="superscript"/>
        <sz val="10"/>
        <rFont val="Calibri"/>
        <family val="2"/>
      </rPr>
      <t>-1</t>
    </r>
    <r>
      <rPr>
        <sz val="10"/>
        <rFont val="Calibri"/>
        <family val="2"/>
      </rPr>
      <t>]</t>
    </r>
  </si>
  <si>
    <t>cm3.s-1</t>
  </si>
  <si>
    <t>ACTIVATION ENERGY OH radical reaction</t>
  </si>
  <si>
    <t>Ea.OHrad</t>
  </si>
  <si>
    <t>[kJ.mol-1]</t>
  </si>
  <si>
    <r>
      <t xml:space="preserve">Degradation RATE CONSTANT of the </t>
    </r>
    <r>
      <rPr>
        <sz val="10"/>
        <rFont val="Calibri"/>
        <family val="2"/>
      </rPr>
      <t>dissolved species in water at 25 oC</t>
    </r>
  </si>
  <si>
    <r>
      <t>kdeg</t>
    </r>
    <r>
      <rPr>
        <sz val="10"/>
        <rFont val="Calibri"/>
        <family val="2"/>
      </rPr>
      <t>D.water</t>
    </r>
  </si>
  <si>
    <t>Biodegradability test result</t>
  </si>
  <si>
    <t>biodeg</t>
  </si>
  <si>
    <t>[r / r- / i / p]</t>
  </si>
  <si>
    <t>i</t>
  </si>
  <si>
    <t>CONCENTRATION BACTERIA in test water</t>
  </si>
  <si>
    <t>BACT.test</t>
  </si>
  <si>
    <r>
      <t>[CFU.mL</t>
    </r>
    <r>
      <rPr>
        <vertAlign val="superscript"/>
        <sz val="10"/>
        <rFont val="Calibri"/>
        <family val="2"/>
      </rPr>
      <t>-1</t>
    </r>
    <r>
      <rPr>
        <sz val="10"/>
        <rFont val="Calibri"/>
        <family val="2"/>
      </rPr>
      <t>]</t>
    </r>
  </si>
  <si>
    <t>CFU.mL-1</t>
  </si>
  <si>
    <r>
      <t xml:space="preserve">RATE INCREASE factor per 10 </t>
    </r>
    <r>
      <rPr>
        <vertAlign val="superscript"/>
        <sz val="10"/>
        <rFont val="Calibri"/>
        <family val="2"/>
      </rPr>
      <t>o</t>
    </r>
    <r>
      <rPr>
        <sz val="10"/>
        <rFont val="Calibri"/>
        <family val="2"/>
      </rPr>
      <t>C</t>
    </r>
  </si>
  <si>
    <t>Q.10</t>
  </si>
  <si>
    <r>
      <t xml:space="preserve">Degradation RATE CONSTANT of the </t>
    </r>
    <r>
      <rPr>
        <sz val="10"/>
        <rFont val="Calibri"/>
        <family val="2"/>
      </rPr>
      <t>dissolved species in standard sediment at 25 oC</t>
    </r>
  </si>
  <si>
    <r>
      <t>kdeg</t>
    </r>
    <r>
      <rPr>
        <sz val="10"/>
        <rFont val="Calibri"/>
        <family val="2"/>
      </rPr>
      <t>D.sed</t>
    </r>
  </si>
  <si>
    <r>
      <t xml:space="preserve">Degradation RATE CONSTANT of the </t>
    </r>
    <r>
      <rPr>
        <sz val="10"/>
        <rFont val="Calibri"/>
        <family val="2"/>
      </rPr>
      <t>dissolved species in standard soil at 25 oC</t>
    </r>
  </si>
  <si>
    <r>
      <t>kdeg</t>
    </r>
    <r>
      <rPr>
        <sz val="10"/>
        <rFont val="Calibri"/>
        <family val="2"/>
      </rPr>
      <t>D.soil</t>
    </r>
  </si>
  <si>
    <t>Dissolved or Gas species (G/D)</t>
  </si>
  <si>
    <r>
      <t>E.aR</t>
    </r>
    <r>
      <rPr>
        <sz val="10"/>
        <rFont val="Calibri"/>
        <family val="2"/>
      </rPr>
      <t>G</t>
    </r>
  </si>
  <si>
    <r>
      <t>E.w0R</t>
    </r>
    <r>
      <rPr>
        <sz val="10"/>
        <rFont val="Calibri"/>
        <family val="2"/>
      </rPr>
      <t>D</t>
    </r>
  </si>
  <si>
    <r>
      <t>E.w1R</t>
    </r>
    <r>
      <rPr>
        <sz val="10"/>
        <rFont val="Calibri"/>
        <family val="2"/>
      </rPr>
      <t>D</t>
    </r>
  </si>
  <si>
    <r>
      <t>E.w2R</t>
    </r>
    <r>
      <rPr>
        <sz val="10"/>
        <rFont val="Calibri"/>
        <family val="2"/>
      </rPr>
      <t>D</t>
    </r>
  </si>
  <si>
    <r>
      <t>E.s1R</t>
    </r>
    <r>
      <rPr>
        <sz val="10"/>
        <rFont val="Calibri"/>
        <family val="2"/>
      </rPr>
      <t>D</t>
    </r>
  </si>
  <si>
    <r>
      <t>E.s2R</t>
    </r>
    <r>
      <rPr>
        <sz val="10"/>
        <rFont val="Calibri"/>
        <family val="2"/>
      </rPr>
      <t>D</t>
    </r>
  </si>
  <si>
    <r>
      <t>E.s3R</t>
    </r>
    <r>
      <rPr>
        <sz val="10"/>
        <rFont val="Calibri"/>
        <family val="2"/>
      </rPr>
      <t>D</t>
    </r>
  </si>
  <si>
    <r>
      <t>E.aC</t>
    </r>
    <r>
      <rPr>
        <sz val="10"/>
        <rFont val="Calibri"/>
        <family val="2"/>
      </rPr>
      <t>G</t>
    </r>
  </si>
  <si>
    <r>
      <t>E.w0C</t>
    </r>
    <r>
      <rPr>
        <sz val="10"/>
        <rFont val="Calibri"/>
        <family val="2"/>
      </rPr>
      <t>D</t>
    </r>
  </si>
  <si>
    <r>
      <t>E.w1C</t>
    </r>
    <r>
      <rPr>
        <sz val="10"/>
        <rFont val="Calibri"/>
        <family val="2"/>
      </rPr>
      <t>D</t>
    </r>
  </si>
  <si>
    <r>
      <t>E.w2C</t>
    </r>
    <r>
      <rPr>
        <sz val="10"/>
        <rFont val="Calibri"/>
        <family val="2"/>
      </rPr>
      <t>D</t>
    </r>
  </si>
  <si>
    <r>
      <t>E.s1C</t>
    </r>
    <r>
      <rPr>
        <sz val="10"/>
        <rFont val="Calibri"/>
        <family val="2"/>
      </rPr>
      <t>D</t>
    </r>
  </si>
  <si>
    <r>
      <t>E.s2C</t>
    </r>
    <r>
      <rPr>
        <sz val="10"/>
        <rFont val="Calibri"/>
        <family val="2"/>
      </rPr>
      <t>D</t>
    </r>
  </si>
  <si>
    <r>
      <t>E.s3C</t>
    </r>
    <r>
      <rPr>
        <sz val="10"/>
        <rFont val="Calibri"/>
        <family val="2"/>
      </rPr>
      <t>D</t>
    </r>
  </si>
  <si>
    <r>
      <t>E.aM</t>
    </r>
    <r>
      <rPr>
        <sz val="10"/>
        <rFont val="Calibri"/>
        <family val="2"/>
      </rPr>
      <t>G</t>
    </r>
  </si>
  <si>
    <r>
      <t>E.w2M</t>
    </r>
    <r>
      <rPr>
        <sz val="10"/>
        <rFont val="Calibri"/>
        <family val="2"/>
      </rPr>
      <t>D</t>
    </r>
  </si>
  <si>
    <r>
      <t>E.sM</t>
    </r>
    <r>
      <rPr>
        <sz val="10"/>
        <rFont val="Calibri"/>
        <family val="2"/>
      </rPr>
      <t>D</t>
    </r>
  </si>
  <si>
    <r>
      <t>E.aA</t>
    </r>
    <r>
      <rPr>
        <sz val="10"/>
        <rFont val="Calibri"/>
        <family val="2"/>
      </rPr>
      <t>G</t>
    </r>
  </si>
  <si>
    <r>
      <t>E.w2A</t>
    </r>
    <r>
      <rPr>
        <sz val="10"/>
        <rFont val="Calibri"/>
        <family val="2"/>
      </rPr>
      <t>D</t>
    </r>
  </si>
  <si>
    <r>
      <t>E.sA</t>
    </r>
    <r>
      <rPr>
        <sz val="10"/>
        <rFont val="Calibri"/>
        <family val="2"/>
      </rPr>
      <t>D</t>
    </r>
  </si>
  <si>
    <r>
      <t>E.aT</t>
    </r>
    <r>
      <rPr>
        <sz val="10"/>
        <rFont val="Calibri"/>
        <family val="2"/>
      </rPr>
      <t>G</t>
    </r>
  </si>
  <si>
    <r>
      <t>E.w2T</t>
    </r>
    <r>
      <rPr>
        <sz val="10"/>
        <rFont val="Calibri"/>
        <family val="2"/>
      </rPr>
      <t>D</t>
    </r>
  </si>
  <si>
    <r>
      <t>E.sT</t>
    </r>
    <r>
      <rPr>
        <sz val="10"/>
        <rFont val="Calibri"/>
        <family val="2"/>
      </rPr>
      <t>D</t>
    </r>
  </si>
  <si>
    <t>LANDSCAPE SETTINGS</t>
  </si>
  <si>
    <t>Area land</t>
  </si>
  <si>
    <t>AREAland.R</t>
  </si>
  <si>
    <r>
      <t>[km</t>
    </r>
    <r>
      <rPr>
        <vertAlign val="superscript"/>
        <sz val="10"/>
        <rFont val="Calibri"/>
        <family val="2"/>
      </rPr>
      <t>2</t>
    </r>
    <r>
      <rPr>
        <sz val="10"/>
        <rFont val="Calibri"/>
        <family val="2"/>
      </rPr>
      <t>]</t>
    </r>
  </si>
  <si>
    <r>
      <t>m</t>
    </r>
    <r>
      <rPr>
        <vertAlign val="superscript"/>
        <sz val="10"/>
        <rFont val="Calibri"/>
        <family val="2"/>
      </rPr>
      <t>2</t>
    </r>
  </si>
  <si>
    <t>Area sea</t>
  </si>
  <si>
    <t>AREAsea.R</t>
  </si>
  <si>
    <t>Fraction lake water</t>
  </si>
  <si>
    <t>FRAClake.R</t>
  </si>
  <si>
    <t>Fraction fresh water</t>
  </si>
  <si>
    <t>FRACfresh.R</t>
  </si>
  <si>
    <t>Fraction natural soil</t>
  </si>
  <si>
    <t>FRACnatsoil.R</t>
  </si>
  <si>
    <t>Fraction agricultural soil</t>
  </si>
  <si>
    <t>FRACagsoil.R</t>
  </si>
  <si>
    <t>Fraction urban/industrial soil</t>
  </si>
  <si>
    <t>FRACothersoil.R</t>
  </si>
  <si>
    <t>Temperature</t>
  </si>
  <si>
    <t>TEMP.R</t>
  </si>
  <si>
    <t>Wind speed</t>
  </si>
  <si>
    <t>WINDspeed.R</t>
  </si>
  <si>
    <r>
      <t>m.s</t>
    </r>
    <r>
      <rPr>
        <vertAlign val="superscript"/>
        <sz val="10"/>
        <rFont val="Calibri"/>
        <family val="2"/>
      </rPr>
      <t>-1</t>
    </r>
  </si>
  <si>
    <t>Average precipitation</t>
  </si>
  <si>
    <t>RAINrate.R</t>
  </si>
  <si>
    <r>
      <t>mm.yr</t>
    </r>
    <r>
      <rPr>
        <vertAlign val="superscript"/>
        <sz val="10"/>
        <rFont val="Calibri"/>
        <family val="2"/>
      </rPr>
      <t>-1</t>
    </r>
  </si>
  <si>
    <t>Depth lake water</t>
  </si>
  <si>
    <t>DEPTHlake.R</t>
  </si>
  <si>
    <t>Depth fresh water</t>
  </si>
  <si>
    <t>DEPTHfreshwater.R</t>
  </si>
  <si>
    <t>FRACTION discharge regional fresh water to continental scale</t>
  </si>
  <si>
    <t>FRAC.w1R.w1C</t>
  </si>
  <si>
    <t>Fraction run off</t>
  </si>
  <si>
    <t>FRACrun.R</t>
  </si>
  <si>
    <t>Fraction infiltration</t>
  </si>
  <si>
    <t>FRACinf.R</t>
  </si>
  <si>
    <t>Soil erosion</t>
  </si>
  <si>
    <t>EROSION.R</t>
  </si>
  <si>
    <t>Nucleation mode aerosol particle number concentration</t>
  </si>
  <si>
    <t>NumConcNuc.aR</t>
  </si>
  <si>
    <t>[# m-3]</t>
  </si>
  <si>
    <t>Jaenicke, 1993</t>
  </si>
  <si>
    <t>Accumulation mode aerosol particle number concentration</t>
  </si>
  <si>
    <t>NumConcAcc.aR</t>
  </si>
  <si>
    <t>Coarse mode aerosol particle number concentration</t>
  </si>
  <si>
    <t>NumConcCP.aR</t>
  </si>
  <si>
    <t>Concentration of colloidal organic matter in water</t>
  </si>
  <si>
    <t>COL.w0R</t>
  </si>
  <si>
    <t>[mg.L-1]</t>
  </si>
  <si>
    <r>
      <t>kg.m</t>
    </r>
    <r>
      <rPr>
        <vertAlign val="superscript"/>
        <sz val="10"/>
        <rFont val="Calibri"/>
        <family val="2"/>
      </rPr>
      <t>-3</t>
    </r>
  </si>
  <si>
    <t>COL.w1R</t>
  </si>
  <si>
    <t>COL.w2R</t>
  </si>
  <si>
    <t>CONCENTRATION suspended matter in lake water</t>
  </si>
  <si>
    <t>SUSP.w0R</t>
  </si>
  <si>
    <t>Modeled after Lake Constantz</t>
  </si>
  <si>
    <t>CONCENTRATION suspended matter in fresh water</t>
  </si>
  <si>
    <t>SUSP.w1R</t>
  </si>
  <si>
    <t>CONCENTRATION suspended matter in sea water</t>
  </si>
  <si>
    <t>SUSP.w2R</t>
  </si>
  <si>
    <t>Mass concentraion of natural colloids in soil</t>
  </si>
  <si>
    <t>mConcNC.sR</t>
  </si>
  <si>
    <t>[mg L-1]</t>
  </si>
  <si>
    <t>kg m-3</t>
  </si>
  <si>
    <t>Rough estimate of concentration NC in soil</t>
  </si>
  <si>
    <t>AREAland.C</t>
  </si>
  <si>
    <t>AREAsea.C</t>
  </si>
  <si>
    <t>FRAClake.C</t>
  </si>
  <si>
    <t>FRACfresh.C</t>
  </si>
  <si>
    <t>FRACnatsoil.C</t>
  </si>
  <si>
    <t>FRACagsoil.C</t>
  </si>
  <si>
    <t>FRACothersoil.C</t>
  </si>
  <si>
    <t>TEMP.C</t>
  </si>
  <si>
    <t>WINDspeed.C</t>
  </si>
  <si>
    <t>RAINrate.C</t>
  </si>
  <si>
    <t>DEPTHlake.C</t>
  </si>
  <si>
    <t>DEPTHfreshwater.C</t>
  </si>
  <si>
    <t>FRACTION discharge continental fresh water to regional scale</t>
  </si>
  <si>
    <t>FRAC.w1C.w1R</t>
  </si>
  <si>
    <t>FRACinf.C</t>
  </si>
  <si>
    <t>FRACrun.C</t>
  </si>
  <si>
    <t>EROSION.C</t>
  </si>
  <si>
    <t>NumConcNuc.aC</t>
  </si>
  <si>
    <t>NumConcAcc.aC</t>
  </si>
  <si>
    <t>NumConcCP.aC</t>
  </si>
  <si>
    <t>COL.w0C</t>
  </si>
  <si>
    <t>COL.w1C</t>
  </si>
  <si>
    <t>COL.w2C</t>
  </si>
  <si>
    <t>SUSP.w0C</t>
  </si>
  <si>
    <t>SUSP.w1C</t>
  </si>
  <si>
    <t>SUSP.w2C</t>
  </si>
  <si>
    <t>mConcNC.sC</t>
  </si>
  <si>
    <t>ALL-SCALE</t>
  </si>
  <si>
    <t>pH cloud water</t>
  </si>
  <si>
    <t>pH.cldw</t>
  </si>
  <si>
    <t>pH aerosol</t>
  </si>
  <si>
    <t>pH.aerw</t>
  </si>
  <si>
    <t>range pH 0-5</t>
  </si>
  <si>
    <t>pH fresh water</t>
  </si>
  <si>
    <t>pH.w1</t>
  </si>
  <si>
    <t>pH in sea water</t>
  </si>
  <si>
    <t>pH.w2</t>
  </si>
  <si>
    <t>pH natural soil</t>
  </si>
  <si>
    <t>pH.s1</t>
  </si>
  <si>
    <t>pH agricultural soil</t>
  </si>
  <si>
    <t>pH.s2</t>
  </si>
  <si>
    <t>pH other soil</t>
  </si>
  <si>
    <t>pH.s3</t>
  </si>
  <si>
    <r>
      <t>Gas phase DIFFUSION coefficient</t>
    </r>
    <r>
      <rPr>
        <sz val="10"/>
        <rFont val="Calibri"/>
        <family val="2"/>
      </rPr>
      <t xml:space="preserve"> (of gaseous species)</t>
    </r>
  </si>
  <si>
    <t>DIFFgas</t>
  </si>
  <si>
    <r>
      <t>[m</t>
    </r>
    <r>
      <rPr>
        <vertAlign val="superscript"/>
        <sz val="10"/>
        <rFont val="Calibri"/>
        <family val="2"/>
      </rPr>
      <t>2</t>
    </r>
    <r>
      <rPr>
        <sz val="10"/>
        <rFont val="Calibri"/>
        <family val="2"/>
      </rPr>
      <t>.s</t>
    </r>
    <r>
      <rPr>
        <vertAlign val="superscript"/>
        <sz val="10"/>
        <rFont val="Calibri"/>
        <family val="2"/>
      </rPr>
      <t>-1</t>
    </r>
    <r>
      <rPr>
        <sz val="10"/>
        <rFont val="Calibri"/>
        <family val="2"/>
      </rPr>
      <t>]</t>
    </r>
  </si>
  <si>
    <r>
      <t>m</t>
    </r>
    <r>
      <rPr>
        <vertAlign val="superscript"/>
        <sz val="10"/>
        <rFont val="Calibri"/>
        <family val="2"/>
      </rPr>
      <t>2</t>
    </r>
    <r>
      <rPr>
        <sz val="10"/>
        <rFont val="Calibri"/>
        <family val="2"/>
      </rPr>
      <t>.s</t>
    </r>
    <r>
      <rPr>
        <vertAlign val="superscript"/>
        <sz val="10"/>
        <rFont val="Calibri"/>
        <family val="2"/>
      </rPr>
      <t>-1</t>
    </r>
  </si>
  <si>
    <r>
      <t xml:space="preserve">Water phase DIFFUSION coefficient </t>
    </r>
    <r>
      <rPr>
        <sz val="10"/>
        <rFont val="Calibri"/>
        <family val="2"/>
      </rPr>
      <t>(of dissolved species)</t>
    </r>
  </si>
  <si>
    <t>DIFFwater</t>
  </si>
  <si>
    <t>Mass fraction organic carbon in aerosol</t>
  </si>
  <si>
    <t>CORGaers</t>
  </si>
  <si>
    <t>Standard mass FRACTION organic carbon in soil/sediment</t>
  </si>
  <si>
    <t>CORG</t>
  </si>
  <si>
    <t>Dry density of aerosol solids</t>
  </si>
  <si>
    <t>RHOaers</t>
  </si>
  <si>
    <r>
      <t>[kg.m</t>
    </r>
    <r>
      <rPr>
        <vertAlign val="superscript"/>
        <sz val="10"/>
        <rFont val="Calibri"/>
        <family val="2"/>
      </rPr>
      <t>-3</t>
    </r>
    <r>
      <rPr>
        <sz val="10"/>
        <rFont val="Calibri"/>
        <family val="2"/>
      </rPr>
      <t>]</t>
    </r>
  </si>
  <si>
    <t>Mineral DENSITY sediment and soil</t>
  </si>
  <si>
    <t>RHOsolid</t>
  </si>
  <si>
    <t>DYNAMIC VISCOSITY of AIR</t>
  </si>
  <si>
    <t>DYNVISC.a</t>
  </si>
  <si>
    <r>
      <t>[kg.m</t>
    </r>
    <r>
      <rPr>
        <vertAlign val="superscript"/>
        <sz val="10"/>
        <rFont val="Calibri"/>
        <family val="2"/>
      </rPr>
      <t>-1</t>
    </r>
    <r>
      <rPr>
        <sz val="10"/>
        <rFont val="Calibri"/>
        <family val="2"/>
      </rPr>
      <t>.s</t>
    </r>
    <r>
      <rPr>
        <vertAlign val="superscript"/>
        <sz val="10"/>
        <rFont val="Calibri"/>
        <family val="2"/>
      </rPr>
      <t>-1</t>
    </r>
    <r>
      <rPr>
        <sz val="10"/>
        <rFont val="Calibri"/>
        <family val="2"/>
      </rPr>
      <t>]</t>
    </r>
  </si>
  <si>
    <r>
      <t>kg.m</t>
    </r>
    <r>
      <rPr>
        <vertAlign val="superscript"/>
        <sz val="10"/>
        <rFont val="Calibri"/>
        <family val="2"/>
      </rPr>
      <t>-1</t>
    </r>
    <r>
      <rPr>
        <sz val="10"/>
        <rFont val="Calibri"/>
        <family val="2"/>
      </rPr>
      <t>.s</t>
    </r>
    <r>
      <rPr>
        <vertAlign val="superscript"/>
        <sz val="10"/>
        <rFont val="Calibri"/>
        <family val="2"/>
      </rPr>
      <t>-1</t>
    </r>
  </si>
  <si>
    <t>Density of air</t>
  </si>
  <si>
    <t>Rho.a</t>
  </si>
  <si>
    <t>Dynamic viscosity of water</t>
  </si>
  <si>
    <t>DYNVISC.w</t>
  </si>
  <si>
    <r>
      <t>[kg.m-</t>
    </r>
    <r>
      <rPr>
        <vertAlign val="superscript"/>
        <sz val="10"/>
        <rFont val="Calibri"/>
        <family val="2"/>
      </rPr>
      <t>1.</t>
    </r>
    <r>
      <rPr>
        <sz val="10"/>
        <rFont val="Calibri"/>
        <family val="2"/>
      </rPr>
      <t>s</t>
    </r>
    <r>
      <rPr>
        <vertAlign val="superscript"/>
        <sz val="10"/>
        <rFont val="Calibri"/>
        <family val="2"/>
      </rPr>
      <t>-1</t>
    </r>
    <r>
      <rPr>
        <sz val="10"/>
        <rFont val="Calibri"/>
        <family val="2"/>
      </rPr>
      <t>]</t>
    </r>
  </si>
  <si>
    <r>
      <t>kg.m-</t>
    </r>
    <r>
      <rPr>
        <vertAlign val="superscript"/>
        <sz val="10"/>
        <rFont val="Calibri"/>
        <family val="2"/>
      </rPr>
      <t>1.</t>
    </r>
    <r>
      <rPr>
        <sz val="10"/>
        <rFont val="Calibri"/>
        <family val="2"/>
      </rPr>
      <t>s</t>
    </r>
    <r>
      <rPr>
        <vertAlign val="superscript"/>
        <sz val="10"/>
        <rFont val="Calibri"/>
        <family val="2"/>
      </rPr>
      <t>-1</t>
    </r>
  </si>
  <si>
    <t>Density of water</t>
  </si>
  <si>
    <t>RHO.w</t>
  </si>
  <si>
    <t>Boltzmann constant</t>
  </si>
  <si>
    <t>kboltz</t>
  </si>
  <si>
    <r>
      <t>[m</t>
    </r>
    <r>
      <rPr>
        <vertAlign val="superscript"/>
        <sz val="10"/>
        <rFont val="Calibri"/>
        <family val="2"/>
      </rPr>
      <t>2</t>
    </r>
    <r>
      <rPr>
        <sz val="10"/>
        <rFont val="Calibri"/>
        <family val="2"/>
      </rPr>
      <t> kg s</t>
    </r>
    <r>
      <rPr>
        <vertAlign val="superscript"/>
        <sz val="10"/>
        <rFont val="Calibri"/>
        <family val="2"/>
      </rPr>
      <t>-2</t>
    </r>
    <r>
      <rPr>
        <sz val="10"/>
        <rFont val="Calibri"/>
        <family val="2"/>
      </rPr>
      <t> K</t>
    </r>
    <r>
      <rPr>
        <vertAlign val="superscript"/>
        <sz val="10"/>
        <rFont val="Calibri"/>
        <family val="2"/>
      </rPr>
      <t>-1</t>
    </r>
    <r>
      <rPr>
        <sz val="10"/>
        <rFont val="Calibri"/>
        <family val="2"/>
      </rPr>
      <t>]</t>
    </r>
  </si>
  <si>
    <r>
      <t>J K</t>
    </r>
    <r>
      <rPr>
        <vertAlign val="superscript"/>
        <sz val="10"/>
        <rFont val="Calibri"/>
        <family val="2"/>
      </rPr>
      <t>-1</t>
    </r>
  </si>
  <si>
    <t>Graviational acceleration</t>
  </si>
  <si>
    <t>g</t>
  </si>
  <si>
    <r>
      <t>[m.s</t>
    </r>
    <r>
      <rPr>
        <vertAlign val="superscript"/>
        <sz val="10"/>
        <rFont val="Calibri"/>
        <family val="2"/>
      </rPr>
      <t>-2</t>
    </r>
    <r>
      <rPr>
        <sz val="10"/>
        <rFont val="Calibri"/>
        <family val="2"/>
      </rPr>
      <t>]</t>
    </r>
  </si>
  <si>
    <r>
      <t>m.s</t>
    </r>
    <r>
      <rPr>
        <vertAlign val="superscript"/>
        <sz val="10"/>
        <rFont val="Calibri"/>
        <family val="2"/>
      </rPr>
      <t>-2</t>
    </r>
  </si>
  <si>
    <t>ENVIRONMENTAL PROPERTIES (ALL SCALES)</t>
  </si>
  <si>
    <t>Radius nucleation mode aerosol particle</t>
  </si>
  <si>
    <t>RadNuc</t>
  </si>
  <si>
    <t>[m]</t>
  </si>
  <si>
    <t>Density nucleation mode aerosol particle</t>
  </si>
  <si>
    <t>RhoNuc</t>
  </si>
  <si>
    <t>Kannosto 2008</t>
  </si>
  <si>
    <t>Radius accumulation mode aerosol particle</t>
  </si>
  <si>
    <t>RadAcc</t>
  </si>
  <si>
    <t>Density accumulation mode aerosol particle</t>
  </si>
  <si>
    <t>RhoAcc</t>
  </si>
  <si>
    <t>Radius coarse mode aerosol particle</t>
  </si>
  <si>
    <t>RadCP.a</t>
  </si>
  <si>
    <r>
      <t>[</t>
    </r>
    <r>
      <rPr>
        <sz val="10"/>
        <rFont val="Times New Roman"/>
        <family val="1"/>
      </rPr>
      <t>µ</t>
    </r>
    <r>
      <rPr>
        <sz val="10"/>
        <rFont val="Calibri"/>
        <family val="2"/>
      </rPr>
      <t>m]</t>
    </r>
  </si>
  <si>
    <t>Density Coarse mode aerosol particle</t>
  </si>
  <si>
    <t>RhoCP.a</t>
  </si>
  <si>
    <t>Radius natural colloids (NC, &lt; 450 nm) in water</t>
  </si>
  <si>
    <t>RadNC.w</t>
  </si>
  <si>
    <t>Gallego-Urrea 2010; Quik et al. 2012, 2014</t>
  </si>
  <si>
    <t>Density natural colloids (NC, &lt; 450 nm) in water</t>
  </si>
  <si>
    <t>RhoNC.w</t>
  </si>
  <si>
    <t>Radius natural suspended particulate matter (SPM, &gt; 450 nm) in water</t>
  </si>
  <si>
    <t>RadSPM.w</t>
  </si>
  <si>
    <t>Density natural suspended particulate matter (SPM, &gt; 450 nm) in water</t>
  </si>
  <si>
    <t>RhoSPM.w</t>
  </si>
  <si>
    <t>Related to RhoSOLID - to reach 2.5 m/d with 3 um SPM</t>
  </si>
  <si>
    <t>Radius natural colloids (NC, &lt; 450 nm) in sediment pore water</t>
  </si>
  <si>
    <t>RadNC.sd</t>
  </si>
  <si>
    <t>Density natural colloids (NC, &lt; 450 nm) in sediment pore water</t>
  </si>
  <si>
    <t>RhoNC.sd</t>
  </si>
  <si>
    <t>Radius filtration particles in sediment (FP, &gt;450 nm)</t>
  </si>
  <si>
    <t>RadFP.sd</t>
  </si>
  <si>
    <t>Jones &amp; Su, 2012</t>
  </si>
  <si>
    <t>Radius natural colloids (NC, &lt; 450 nm) in soil pore water</t>
  </si>
  <si>
    <t>RadNC.s</t>
  </si>
  <si>
    <t>Rani 2011</t>
  </si>
  <si>
    <t>Density natural colloids (NC, &lt; 450 nm) in soil pore water</t>
  </si>
  <si>
    <t>RhoNC.s</t>
  </si>
  <si>
    <t>Radius filtration particulates in soil (FP, &gt; 450 nm)</t>
  </si>
  <si>
    <t>RadFP.s</t>
  </si>
  <si>
    <t>Cornelis 2013</t>
  </si>
  <si>
    <t>Density filtration particulates in soil (FP, &gt; 450 nm)</t>
  </si>
  <si>
    <t>RhoFP.s</t>
  </si>
  <si>
    <t xml:space="preserve">FP fraction related to RhoSOLID               </t>
  </si>
  <si>
    <t>CALCULATED ENVIRONMENTAL PROPERTIES (ALL SCALES)</t>
  </si>
  <si>
    <t>Volume of single nucleation mode aerosol particle</t>
  </si>
  <si>
    <t>SingleVolNuc</t>
  </si>
  <si>
    <t>[m3]</t>
  </si>
  <si>
    <t>Volume of single accumulation mode aerosol particle</t>
  </si>
  <si>
    <t>SingleVolAcc</t>
  </si>
  <si>
    <t>Volume of single coarse mode aerosol particle</t>
  </si>
  <si>
    <t>SingleVolCP.a</t>
  </si>
  <si>
    <t>Volume of single natural colloid in water</t>
  </si>
  <si>
    <t>SingleVolNC.w</t>
  </si>
  <si>
    <t>Gravitational settling velocity of natural colloids (NC) in water</t>
  </si>
  <si>
    <t>SetVelNC.w</t>
  </si>
  <si>
    <t>[m.s-1]</t>
  </si>
  <si>
    <t>Volume of single suspended particle in water</t>
  </si>
  <si>
    <t>SingleVolSPM.w</t>
  </si>
  <si>
    <t>Gravitational settling velocity of suspended particulate matter (SPM) in water</t>
  </si>
  <si>
    <t>SetVelSPM.w</t>
  </si>
  <si>
    <t>Volume of single natural colloid in sediment pore water</t>
  </si>
  <si>
    <t>SingleVolNC.sd</t>
  </si>
  <si>
    <t>Gravitational settling velocity of natural colloids (NC) in sediment pore water</t>
  </si>
  <si>
    <t>SetVelNC.sd</t>
  </si>
  <si>
    <t>Volume of single natural colloid in soil pore water</t>
  </si>
  <si>
    <t>SingleVolNC.s</t>
  </si>
  <si>
    <t>Gravitational settling velocity of natural colloids (NC) in soil pore water</t>
  </si>
  <si>
    <t>SetVelNC.s</t>
  </si>
  <si>
    <t>CALCULATED NANOPARTICLE PROPERTIES</t>
  </si>
  <si>
    <t>Gravitational settling velocity ENPs (S) in water</t>
  </si>
  <si>
    <t>SetVelS.w</t>
  </si>
  <si>
    <t>m.s-1</t>
  </si>
  <si>
    <t>VOLUME of a single ENP</t>
  </si>
  <si>
    <t>SingleVolS</t>
  </si>
  <si>
    <t>m3</t>
  </si>
  <si>
    <t>MASS of a single ENP</t>
  </si>
  <si>
    <t>SingleMassS</t>
  </si>
  <si>
    <t>[kg]</t>
  </si>
  <si>
    <t>kg</t>
  </si>
  <si>
    <t>ENP thermal velocity</t>
  </si>
  <si>
    <t>ThermvelS</t>
  </si>
  <si>
    <t>ENP Knudsen Number</t>
  </si>
  <si>
    <t>KnudS</t>
  </si>
  <si>
    <t>ENP Cunningham slip correction coefficient</t>
  </si>
  <si>
    <t>CunninghamS</t>
  </si>
  <si>
    <t>Alpha, Beta, Gamma from Allan and Raab 1985 (uit Schneider and Voigt H2)</t>
  </si>
  <si>
    <t>REGIONAL SCALE SUBSTANCE PROPERTIES</t>
  </si>
  <si>
    <t>DIFFUSIVITY of ENPs in AIR on regional scale</t>
  </si>
  <si>
    <t>DiffS.aR</t>
  </si>
  <si>
    <t>[m2.s-1]</t>
  </si>
  <si>
    <t>DIFFUSIVITY of ENPs in WATER on regional scale</t>
  </si>
  <si>
    <t>DiffS.wR</t>
  </si>
  <si>
    <t xml:space="preserve">Einstein-Stokes Diffusivity            </t>
  </si>
  <si>
    <t>Tuteja et al. 2007</t>
  </si>
  <si>
    <t>CONTINENTAL SCALE SUBSTANCE PROPERTIES</t>
  </si>
  <si>
    <t>DIFFUSIVITY of ENPs in AIR on continental scale</t>
  </si>
  <si>
    <t>DiffS.aC</t>
  </si>
  <si>
    <t>Ketzel and Berkowicz 2004</t>
  </si>
  <si>
    <t>DIFFUSIVITY of ENPs in WATER on continental scale</t>
  </si>
  <si>
    <t>DiffS.wC</t>
  </si>
  <si>
    <t>Einstein-Stokes Diffusivity</t>
  </si>
  <si>
    <t>GLOBAL SCALE SUBSTABCE PROPERTIES</t>
  </si>
  <si>
    <t>DIFFUSIVITY of ENPs in AIR on MODERATE scale</t>
  </si>
  <si>
    <t>DiffS.aM</t>
  </si>
  <si>
    <t>DIFFUSIVITY of ENPs in WATER on MODERATE scale</t>
  </si>
  <si>
    <t>DiffS.wM</t>
  </si>
  <si>
    <t>DIFFUSIVITY of ENPs in AIR on ARCTIC scale</t>
  </si>
  <si>
    <t>DiffS.aA</t>
  </si>
  <si>
    <t>DIFFUSIVITY of ENPs in WATER on ARCTIC scale</t>
  </si>
  <si>
    <t>DiffS.wA</t>
  </si>
  <si>
    <t>DIFFUSIVITY of ENPs in AIR on TROPICAL scale</t>
  </si>
  <si>
    <t>DiffS.aT</t>
  </si>
  <si>
    <t>DIFFUSIVITY of ENPs in WATER on TROPICAL scale</t>
  </si>
  <si>
    <t>DiffS.wT</t>
  </si>
  <si>
    <t>CALCULATED HETEROAGGLOMERATE PROPERTIES</t>
  </si>
  <si>
    <t>Gravitational settling velocity A in water</t>
  </si>
  <si>
    <t>SetVelA.w</t>
  </si>
  <si>
    <t>Radius ENP-NC heteroagglomerate in water</t>
  </si>
  <si>
    <t>RadA.w</t>
  </si>
  <si>
    <t>Density ENP-NC heteroagglomerate in water</t>
  </si>
  <si>
    <t>RhoA.w</t>
  </si>
  <si>
    <t>Gravitational settling velocity P in water</t>
  </si>
  <si>
    <t>SetVelP.w</t>
  </si>
  <si>
    <t>Radius ENP-SPM heteroagglomerate in water</t>
  </si>
  <si>
    <t>RadP.w</t>
  </si>
  <si>
    <t>Density ENP-SPM heteroagglomerate in water</t>
  </si>
  <si>
    <t>RhoP.w</t>
  </si>
  <si>
    <t>Gravitational settling velocity P in air</t>
  </si>
  <si>
    <t>SetVelP.a</t>
  </si>
  <si>
    <t>Particle Cunningham coefficient of P</t>
  </si>
  <si>
    <t>CunninghamP.a</t>
  </si>
  <si>
    <t>Radius ENP-SPM heteroagglomerate in air</t>
  </si>
  <si>
    <t>RadP.a</t>
  </si>
  <si>
    <t>Density ENP-SPM heteroagglomerate in air</t>
  </si>
  <si>
    <t>RhoP.a</t>
  </si>
  <si>
    <t>REGIONAL SCALE MODEL DEFINITION</t>
  </si>
  <si>
    <t>ENVIRONMENT</t>
  </si>
  <si>
    <t>VOLUME air compartment</t>
  </si>
  <si>
    <t>VOLUME.aR</t>
  </si>
  <si>
    <r>
      <t>[m</t>
    </r>
    <r>
      <rPr>
        <vertAlign val="superscript"/>
        <sz val="10"/>
        <rFont val="Calibri"/>
        <family val="2"/>
      </rPr>
      <t>3</t>
    </r>
    <r>
      <rPr>
        <sz val="10"/>
        <rFont val="Calibri"/>
        <family val="2"/>
      </rPr>
      <t>]</t>
    </r>
  </si>
  <si>
    <r>
      <t>m</t>
    </r>
    <r>
      <rPr>
        <vertAlign val="superscript"/>
        <sz val="10"/>
        <rFont val="Calibri"/>
        <family val="2"/>
      </rPr>
      <t>3</t>
    </r>
  </si>
  <si>
    <t>Adjusted for volume of cloud water</t>
  </si>
  <si>
    <t>VOLUME cloud water in air</t>
  </si>
  <si>
    <t>VOLUME.cwR</t>
  </si>
  <si>
    <t>VOLUME lake water compartment</t>
  </si>
  <si>
    <t>VOLUME.w0R</t>
  </si>
  <si>
    <t>VOLUME fresh water compartment</t>
  </si>
  <si>
    <t>VOLUME.w1R</t>
  </si>
  <si>
    <t>VOLUME sea water compartment</t>
  </si>
  <si>
    <t>VOLUME.w2R</t>
  </si>
  <si>
    <t>VOLUME lake water sediment compartment</t>
  </si>
  <si>
    <t>VOLUME.sd0R</t>
  </si>
  <si>
    <t>VOLUME fresh water sediment compartment</t>
  </si>
  <si>
    <t>VOLUME.sd1R</t>
  </si>
  <si>
    <t>VOLUME marine sediment compartment</t>
  </si>
  <si>
    <t>VOLUME.sd2R</t>
  </si>
  <si>
    <t>VOLUME natural soil compartment</t>
  </si>
  <si>
    <t>VOLUME.s1R</t>
  </si>
  <si>
    <t>VOLUME agricultural soil compartment</t>
  </si>
  <si>
    <t>VOLUME.s2R</t>
  </si>
  <si>
    <t>VOLUME other soil compartment</t>
  </si>
  <si>
    <t>VOLUME.s3R</t>
  </si>
  <si>
    <t>AREA regional system</t>
  </si>
  <si>
    <t>SYSTEMAREA.R</t>
  </si>
  <si>
    <t>AREA FRACTION lake water</t>
  </si>
  <si>
    <t>AREAFRAC.w0R</t>
  </si>
  <si>
    <t>AREA FRACTION fresh water</t>
  </si>
  <si>
    <t>AREAFRAC.w1R</t>
  </si>
  <si>
    <t>AREA FRACTION natural soil</t>
  </si>
  <si>
    <t>AREAFRAC.s1R</t>
  </si>
  <si>
    <t>AREA FRACTION agricultural soil</t>
  </si>
  <si>
    <t>AREAFRAC.s2R</t>
  </si>
  <si>
    <t>AREA FRACTION other soil</t>
  </si>
  <si>
    <t>AREAFRAC.s3R</t>
  </si>
  <si>
    <t>AREA FRACTION sea water</t>
  </si>
  <si>
    <t>AREAFRAC.w2R</t>
  </si>
  <si>
    <t>Mixed HEIGHT air compartment</t>
  </si>
  <si>
    <t>HEIGHT.aR</t>
  </si>
  <si>
    <t>Mixed DEPTH lake water compartment</t>
  </si>
  <si>
    <t>DEPTH.w0R</t>
  </si>
  <si>
    <t>Mixed DEPTH fresh water compartment</t>
  </si>
  <si>
    <t>DEPTH.w1R</t>
  </si>
  <si>
    <t>Mixed DEPTH sea water compartment</t>
  </si>
  <si>
    <t>DEPTH.w2R</t>
  </si>
  <si>
    <t>Mixed DEPTH lake water sediment compartment</t>
  </si>
  <si>
    <t>DEPTH.sd0R</t>
  </si>
  <si>
    <t>[cm]</t>
  </si>
  <si>
    <t>Mixed DEPTH fresh water sediment compartment</t>
  </si>
  <si>
    <t>DEPTH.sd1R</t>
  </si>
  <si>
    <t>Mixed DEPTH marine sediment compartment</t>
  </si>
  <si>
    <t>DEPTH.sd2R</t>
  </si>
  <si>
    <t>DEPTH.s1R</t>
  </si>
  <si>
    <t>DEPTH.s2R</t>
  </si>
  <si>
    <t>DEPTH.s3R</t>
  </si>
  <si>
    <t>VOLUME FRACTION cloud water in air</t>
  </si>
  <si>
    <r>
      <rPr>
        <sz val="10"/>
        <rFont val="Calibri"/>
        <family val="2"/>
      </rPr>
      <t>FRACcldw.aR</t>
    </r>
  </si>
  <si>
    <t xml:space="preserve">[-] </t>
  </si>
  <si>
    <t>Franco refs atm. Models</t>
  </si>
  <si>
    <t>VOLUME FRACTION solid particles in air</t>
  </si>
  <si>
    <t>FRACaers.aR</t>
  </si>
  <si>
    <t>Franco et al., 2011</t>
  </si>
  <si>
    <t>VOLUME FRACTION aqueous phase aerosols in air</t>
  </si>
  <si>
    <r>
      <t>FRAC</t>
    </r>
    <r>
      <rPr>
        <sz val="10"/>
        <rFont val="Calibri"/>
        <family val="2"/>
      </rPr>
      <t>aerw.aR</t>
    </r>
  </si>
  <si>
    <t>VOLUME FRACTION air natural soil</t>
  </si>
  <si>
    <t>FRACa.s1R</t>
  </si>
  <si>
    <t>VOLUME FRACTION water natural soil</t>
  </si>
  <si>
    <t>FRACw.s1R</t>
  </si>
  <si>
    <t>VOLUME FRACTION solids natural soil</t>
  </si>
  <si>
    <t>FRACs.s1R</t>
  </si>
  <si>
    <t>VOLUME FRACTION air agricultural soil</t>
  </si>
  <si>
    <t>FRACa.s2R</t>
  </si>
  <si>
    <t>VOLUME FRACTION water agricultural soil</t>
  </si>
  <si>
    <t>FRACw.s2R</t>
  </si>
  <si>
    <t>VOLUME FRACTION solids agricultural soil</t>
  </si>
  <si>
    <t>FRACs.s2R</t>
  </si>
  <si>
    <t>VOLUME FRACTION air other soil</t>
  </si>
  <si>
    <t>FRACa.s3R</t>
  </si>
  <si>
    <t>VOLUME FRACTION water other soil</t>
  </si>
  <si>
    <t>FRACw.s3R</t>
  </si>
  <si>
    <t>VOLUME FRACTION solids other soil</t>
  </si>
  <si>
    <t>FRACs.s3R</t>
  </si>
  <si>
    <t>VOLUME FRACTION water in sediment</t>
  </si>
  <si>
    <t>FRACw.sdR</t>
  </si>
  <si>
    <t>VOLUME FRACTION solids in sediment</t>
  </si>
  <si>
    <t>FRACs.sdR</t>
  </si>
  <si>
    <t>TRANSFER rate regional air - continental air</t>
  </si>
  <si>
    <t>k.aR.aC</t>
  </si>
  <si>
    <r>
      <t>s</t>
    </r>
    <r>
      <rPr>
        <vertAlign val="superscript"/>
        <sz val="10"/>
        <rFont val="Calibri"/>
        <family val="2"/>
      </rPr>
      <t>-1</t>
    </r>
  </si>
  <si>
    <t>RESIDENCE TIME of air over region</t>
  </si>
  <si>
    <t>TAU.aR</t>
  </si>
  <si>
    <t>[d]</t>
  </si>
  <si>
    <t>s</t>
  </si>
  <si>
    <t>TRANSFER rate regional lake - regional fresh water</t>
  </si>
  <si>
    <t>k.w0R.w1R</t>
  </si>
  <si>
    <t>TRANSFER rate regional lake - regional sea water</t>
  </si>
  <si>
    <t>k.w0R.w2R</t>
  </si>
  <si>
    <t>TRANSFER rate regional fresh water - regional lake</t>
  </si>
  <si>
    <t>k.w1R.w0R</t>
  </si>
  <si>
    <t>TRANSFER rate regional fresh water - regional sea water</t>
  </si>
  <si>
    <t>k.w1R.w2R</t>
  </si>
  <si>
    <t>TRANSFER rate regional sea water - continental sea water</t>
  </si>
  <si>
    <t>k.w2R.w2C</t>
  </si>
  <si>
    <t>FLOW of REGIONAL lake to regional fresh water</t>
  </si>
  <si>
    <t>WATERflow.w0R.w1R</t>
  </si>
  <si>
    <r>
      <t>[m</t>
    </r>
    <r>
      <rPr>
        <vertAlign val="superscript"/>
        <sz val="10"/>
        <rFont val="Calibri"/>
        <family val="2"/>
      </rPr>
      <t>3</t>
    </r>
    <r>
      <rPr>
        <sz val="10"/>
        <rFont val="Calibri"/>
        <family val="2"/>
      </rPr>
      <t>.s</t>
    </r>
    <r>
      <rPr>
        <vertAlign val="superscript"/>
        <sz val="10"/>
        <rFont val="Calibri"/>
        <family val="2"/>
      </rPr>
      <t>-1</t>
    </r>
    <r>
      <rPr>
        <sz val="10"/>
        <rFont val="Calibri"/>
        <family val="2"/>
      </rPr>
      <t>]</t>
    </r>
  </si>
  <si>
    <t>FLOW of REGIONAL lake to regional sea water</t>
  </si>
  <si>
    <t>WATERflow.w0R.w2R</t>
  </si>
  <si>
    <t>FLOW of REGIONAL fresh water to regional lake</t>
  </si>
  <si>
    <t>WATERflow.w1R.w0R</t>
  </si>
  <si>
    <t>FLOW of REGIONAL fresh water to regional sea water</t>
  </si>
  <si>
    <t>WATERflow.w1R.w2R</t>
  </si>
  <si>
    <t>FLOW of REGIONAL sea water to continental sea water</t>
  </si>
  <si>
    <t>WATERflow.w2R.w2C</t>
  </si>
  <si>
    <t>INTERMEDIA PARTITIONING</t>
  </si>
  <si>
    <r>
      <t>FR</t>
    </r>
    <r>
      <rPr>
        <sz val="10"/>
        <rFont val="Calibri"/>
        <family val="2"/>
      </rPr>
      <t>gas.aR</t>
    </r>
  </si>
  <si>
    <t>FRaerw.aR</t>
  </si>
  <si>
    <t>Götz/Harner</t>
  </si>
  <si>
    <t>FRaers.aR</t>
  </si>
  <si>
    <r>
      <t>[m</t>
    </r>
    <r>
      <rPr>
        <vertAlign val="superscript"/>
        <sz val="10"/>
        <rFont val="Calibri"/>
        <family val="2"/>
      </rPr>
      <t>3</t>
    </r>
    <r>
      <rPr>
        <vertAlign val="subscript"/>
        <sz val="10"/>
        <rFont val="Calibri"/>
        <family val="2"/>
      </rPr>
      <t xml:space="preserve">w </t>
    </r>
    <r>
      <rPr>
        <sz val="10"/>
        <rFont val="Calibri"/>
        <family val="2"/>
      </rPr>
      <t>m</t>
    </r>
    <r>
      <rPr>
        <vertAlign val="superscript"/>
        <sz val="10"/>
        <rFont val="Calibri"/>
        <family val="2"/>
      </rPr>
      <t>-3</t>
    </r>
    <r>
      <rPr>
        <vertAlign val="subscript"/>
        <sz val="10"/>
        <rFont val="Calibri"/>
        <family val="2"/>
      </rPr>
      <t>a</t>
    </r>
    <r>
      <rPr>
        <sz val="10"/>
        <rFont val="Calibri"/>
        <family val="2"/>
      </rPr>
      <t>]</t>
    </r>
  </si>
  <si>
    <t>Kaerw.aR</t>
  </si>
  <si>
    <r>
      <t>[m</t>
    </r>
    <r>
      <rPr>
        <vertAlign val="superscript"/>
        <sz val="10"/>
        <rFont val="Calibri"/>
        <family val="2"/>
      </rPr>
      <t>3</t>
    </r>
    <r>
      <rPr>
        <vertAlign val="subscript"/>
        <sz val="10"/>
        <rFont val="Calibri"/>
        <family val="2"/>
      </rPr>
      <t xml:space="preserve">a </t>
    </r>
    <r>
      <rPr>
        <sz val="10"/>
        <rFont val="Calibri"/>
        <family val="2"/>
      </rPr>
      <t>m</t>
    </r>
    <r>
      <rPr>
        <vertAlign val="superscript"/>
        <sz val="10"/>
        <rFont val="Calibri"/>
        <family val="2"/>
      </rPr>
      <t>-3</t>
    </r>
    <r>
      <rPr>
        <vertAlign val="subscript"/>
        <sz val="10"/>
        <rFont val="Calibri"/>
        <family val="2"/>
      </rPr>
      <t>aerw</t>
    </r>
    <r>
      <rPr>
        <sz val="10"/>
        <rFont val="Calibri"/>
        <family val="2"/>
      </rPr>
      <t>]</t>
    </r>
  </si>
  <si>
    <t>Kaers.aR</t>
  </si>
  <si>
    <r>
      <t>[m</t>
    </r>
    <r>
      <rPr>
        <vertAlign val="superscript"/>
        <sz val="10"/>
        <rFont val="Calibri"/>
        <family val="2"/>
      </rPr>
      <t>3</t>
    </r>
    <r>
      <rPr>
        <vertAlign val="subscript"/>
        <sz val="10"/>
        <rFont val="Calibri"/>
        <family val="2"/>
      </rPr>
      <t xml:space="preserve">a </t>
    </r>
    <r>
      <rPr>
        <sz val="10"/>
        <rFont val="Calibri"/>
        <family val="2"/>
      </rPr>
      <t>m</t>
    </r>
    <r>
      <rPr>
        <vertAlign val="superscript"/>
        <sz val="10"/>
        <rFont val="Calibri"/>
        <family val="2"/>
      </rPr>
      <t>-3</t>
    </r>
    <r>
      <rPr>
        <vertAlign val="subscript"/>
        <sz val="10"/>
        <rFont val="Calibri"/>
        <family val="2"/>
      </rPr>
      <t>aers</t>
    </r>
    <r>
      <rPr>
        <sz val="10"/>
        <rFont val="Calibri"/>
        <family val="2"/>
      </rPr>
      <t>]</t>
    </r>
  </si>
  <si>
    <t xml:space="preserve">Bidleman (Harner and Bidleman, 1998 ES&amp;T) equation adjusted according to (Götz et al., 2007 ES&amp;T).  </t>
  </si>
  <si>
    <t>Suspended solids/water PARTITION COEFFICIENT</t>
  </si>
  <si>
    <t>Kp.susp0R</t>
  </si>
  <si>
    <r>
      <t>[L.kg</t>
    </r>
    <r>
      <rPr>
        <vertAlign val="superscript"/>
        <sz val="10"/>
        <rFont val="Calibri"/>
        <family val="2"/>
      </rPr>
      <t>-1</t>
    </r>
    <r>
      <rPr>
        <sz val="10"/>
        <rFont val="Calibri"/>
        <family val="2"/>
      </rPr>
      <t>]</t>
    </r>
  </si>
  <si>
    <r>
      <t>L.kg</t>
    </r>
    <r>
      <rPr>
        <vertAlign val="superscript"/>
        <sz val="10"/>
        <rFont val="Calibri"/>
        <family val="2"/>
      </rPr>
      <t>-1</t>
    </r>
  </si>
  <si>
    <t>Mass FRACTION organic carbon in suspended matter</t>
  </si>
  <si>
    <t>CORG.susp0R</t>
  </si>
  <si>
    <t>Colloidal organic matter/water partition coefficient</t>
  </si>
  <si>
    <t>Kp.col0R</t>
  </si>
  <si>
    <t>[L.kg-1]</t>
  </si>
  <si>
    <t>Kp.susp1R</t>
  </si>
  <si>
    <t>CORG.susp1R</t>
  </si>
  <si>
    <t>Kp.col1R</t>
  </si>
  <si>
    <t>Kp.susp2R</t>
  </si>
  <si>
    <t>CORG.susp2R</t>
  </si>
  <si>
    <t>Kp.col2R</t>
  </si>
  <si>
    <t>Dimensionless sed/water PARTITION COEFFICIENT lake water</t>
  </si>
  <si>
    <t>Ksdw0.R</t>
  </si>
  <si>
    <t>Sediment/water PARTITION COEFFICIENT lake water</t>
  </si>
  <si>
    <t>Kp.sd0R</t>
  </si>
  <si>
    <t>Mass FRACTION organic carbon lake water sediment</t>
  </si>
  <si>
    <t>CORG.sd0R</t>
  </si>
  <si>
    <t>Dimensionless sed/water PARTITION COEFFICIENT fresh water</t>
  </si>
  <si>
    <t>Ksdw1.R</t>
  </si>
  <si>
    <t>Sediment/water PARTITION COEFFICIENT fresh water</t>
  </si>
  <si>
    <t>Kp.sd1R</t>
  </si>
  <si>
    <t>Mass FRACTION organic carbon fresh water sediment</t>
  </si>
  <si>
    <t>CORG.sd1R</t>
  </si>
  <si>
    <t>Dimensionless sed/water PARTITION COEFFICIENT sea water</t>
  </si>
  <si>
    <t>Ksdw2.R</t>
  </si>
  <si>
    <t>Sediment/water PARTITION COEFFICIENT sea water</t>
  </si>
  <si>
    <t>Kp.sd2R</t>
  </si>
  <si>
    <t>Mass FRACTION organic carbon sea water sediment</t>
  </si>
  <si>
    <t>CORG.sd2R</t>
  </si>
  <si>
    <t>Dimensionless soil/water PARTITION COEFFICIENT natural soil</t>
  </si>
  <si>
    <t>Ks1w.R</t>
  </si>
  <si>
    <t>FRs.s1R</t>
  </si>
  <si>
    <t>Soil/water PARTITION COEFFICIENT natural soil</t>
  </si>
  <si>
    <t>Kp.s1R</t>
  </si>
  <si>
    <t>Mass FRACTION organic carbon natural soil</t>
  </si>
  <si>
    <t>CORG.s1R</t>
  </si>
  <si>
    <t>Dimensionless soil/water PARTITION COEFFICIENT agricultural soil</t>
  </si>
  <si>
    <t>Ks2w.R</t>
  </si>
  <si>
    <t>FRs.s2R</t>
  </si>
  <si>
    <t>Soil/water PARTITION COEFFICIENT agricultural soil</t>
  </si>
  <si>
    <t>Kp.s2R</t>
  </si>
  <si>
    <t>Mass FRACTION organic carbon agricultural soil</t>
  </si>
  <si>
    <t>CORG.s2R</t>
  </si>
  <si>
    <t>Dimensionless soil/water PARTITION COEFFICIENT other soil</t>
  </si>
  <si>
    <t>Ks3w.R</t>
  </si>
  <si>
    <t>FRs.s3R</t>
  </si>
  <si>
    <t>Soil/water partition coefficient other soil</t>
  </si>
  <si>
    <t>Kp.s3R</t>
  </si>
  <si>
    <t>Fraction organic carbon other soil</t>
  </si>
  <si>
    <t>CORG.s3R</t>
  </si>
  <si>
    <t>INTERMEDIA TRANSFER</t>
  </si>
  <si>
    <t>k.aRG.w0RD</t>
  </si>
  <si>
    <t>k.aRG.w1RD</t>
  </si>
  <si>
    <t>k.aRG.w2RD</t>
  </si>
  <si>
    <t>k.aRG.s1RD</t>
  </si>
  <si>
    <t>k.aRG.s2RD</t>
  </si>
  <si>
    <t>k.aRG.s3RD</t>
  </si>
  <si>
    <t>k.w0RD.aRG</t>
  </si>
  <si>
    <t>k.w1RD.aRG</t>
  </si>
  <si>
    <t>k.w2RD.aRG</t>
  </si>
  <si>
    <t>k.s1RD.aRG</t>
  </si>
  <si>
    <t>k.s2RD.aRG</t>
  </si>
  <si>
    <t>k.s3RD.aRG</t>
  </si>
  <si>
    <t>MeanDep.R</t>
  </si>
  <si>
    <t>MeanRem.aRG</t>
  </si>
  <si>
    <t>Total loss rate constant from atmosphere during dry episodes</t>
  </si>
  <si>
    <t>kdry.R</t>
  </si>
  <si>
    <t>Total loss rate constant from atmosphere during wet episodes</t>
  </si>
  <si>
    <t>kwet.R</t>
  </si>
  <si>
    <t>Duration dry episode</t>
  </si>
  <si>
    <t>tdry.R</t>
  </si>
  <si>
    <t>[hr]</t>
  </si>
  <si>
    <t>Duration wet episode</t>
  </si>
  <si>
    <t>twet.R</t>
  </si>
  <si>
    <t>Dry aerosol DEPOSITION rate</t>
  </si>
  <si>
    <t>DRYDEPaerosol.R</t>
  </si>
  <si>
    <r>
      <t>[m.s</t>
    </r>
    <r>
      <rPr>
        <vertAlign val="superscript"/>
        <sz val="10"/>
        <rFont val="Calibri"/>
        <family val="2"/>
      </rPr>
      <t>-1</t>
    </r>
    <r>
      <rPr>
        <sz val="10"/>
        <rFont val="Calibri"/>
        <family val="2"/>
      </rPr>
      <t>]</t>
    </r>
  </si>
  <si>
    <t>Aerosol WASHOUT</t>
  </si>
  <si>
    <t>AerosolWashout.R</t>
  </si>
  <si>
    <t>Gas WASHOUT gaseous species</t>
  </si>
  <si>
    <t>GasWashout.RG</t>
  </si>
  <si>
    <t>DEPOSITION VELOCITY aerosol particles</t>
  </si>
  <si>
    <t>AEROSOLdeprate.R</t>
  </si>
  <si>
    <t>Aerosol COLLECTION EFFICIENCY</t>
  </si>
  <si>
    <t>COLLECTeff.R</t>
  </si>
  <si>
    <t>GAS ABSORPTION flux to water</t>
  </si>
  <si>
    <t>GASABS.aR.wR</t>
  </si>
  <si>
    <t>GAS ABSORPTION flux to soil</t>
  </si>
  <si>
    <t>GASABS.aR.sR</t>
  </si>
  <si>
    <t>VOLATILIZATION flux from lake water</t>
  </si>
  <si>
    <t>VOLAT.w0R.aR</t>
  </si>
  <si>
    <t>VOLATILIZATION flux from fresh water</t>
  </si>
  <si>
    <t>VOLAT.w1R.aR</t>
  </si>
  <si>
    <t>VOLATILIZATION flux from sea water</t>
  </si>
  <si>
    <t>VOLAT.w2R.aR</t>
  </si>
  <si>
    <t>PARTIAL MASS TRANSFER COEFFICIENT air side of air/water interface</t>
  </si>
  <si>
    <r>
      <rPr>
        <sz val="10"/>
        <rFont val="Calibri"/>
        <family val="2"/>
      </rPr>
      <t>MTCaw.air.aR</t>
    </r>
  </si>
  <si>
    <t>PARTIAL MASS TRANSFER COEFFICIENT water side of air/water interface</t>
  </si>
  <si>
    <r>
      <rPr>
        <sz val="10"/>
        <rFont val="Calibri"/>
        <family val="2"/>
      </rPr>
      <t>MTCaw.water.wR</t>
    </r>
  </si>
  <si>
    <t>VOLAT.s1R.aR</t>
  </si>
  <si>
    <t>VOLAT.s2R.aR</t>
  </si>
  <si>
    <t>VOLAT.s3R.aR</t>
  </si>
  <si>
    <t>PARTIAL MASS TRANSFER COEFFICIENT air side of air/soil interface</t>
  </si>
  <si>
    <r>
      <rPr>
        <sz val="10"/>
        <rFont val="Calibri"/>
        <family val="2"/>
      </rPr>
      <t>MTCas.air.aR</t>
    </r>
  </si>
  <si>
    <t>PARTIAL MASS TRANSFER COEFFICIENT soil side of air/soil interface</t>
  </si>
  <si>
    <r>
      <rPr>
        <sz val="10"/>
        <rFont val="Calibri"/>
        <family val="2"/>
      </rPr>
      <t>MTCas.soil.sR</t>
    </r>
  </si>
  <si>
    <t xml:space="preserve">Correction factor depth dependent soil concentration </t>
  </si>
  <si>
    <t>CORRvolat.s1R</t>
  </si>
  <si>
    <t>pentration depth 0.1 m</t>
  </si>
  <si>
    <t>CORRvolat.s2R</t>
  </si>
  <si>
    <t>CORRvolat.s3R</t>
  </si>
  <si>
    <t>TRANSFER rate lake water - lake water sediment</t>
  </si>
  <si>
    <t>k.w0RD.sd0RD</t>
  </si>
  <si>
    <t>adsorption not relevant due to deep lake where a mixed water column cannot be assumed</t>
  </si>
  <si>
    <t>TRANSFER rate fresh water - fresh water sediment</t>
  </si>
  <si>
    <t>k.w1RD.sd1RD</t>
  </si>
  <si>
    <t>TRANSFER rate sea water - marine sediment</t>
  </si>
  <si>
    <t>k.w2RD.sd2RD</t>
  </si>
  <si>
    <t>TRANSFER rate lake water sediment - lake water</t>
  </si>
  <si>
    <t>k.sd0RD.w0RD</t>
  </si>
  <si>
    <t>desorption not relevant due to deep lake where a mixed water column cannot be assumed</t>
  </si>
  <si>
    <t>TRANSFER rate fresh water sediment - fresh water</t>
  </si>
  <si>
    <t>k.sd1RD.w1RD</t>
  </si>
  <si>
    <t>TRANSFER rate marine sediment - sea water</t>
  </si>
  <si>
    <t>k.sd2RD.w2RD</t>
  </si>
  <si>
    <t>SEDIMENTATION flux to fresh water sediment</t>
  </si>
  <si>
    <t>SED.w0R.sd0R</t>
  </si>
  <si>
    <t>RESUSPENSION flux from freshwater sediment</t>
  </si>
  <si>
    <t>RESUSP.sd0R.w0R</t>
  </si>
  <si>
    <t>SED.w1R.sd1R</t>
  </si>
  <si>
    <t>RESUSP.sd1R.w1R</t>
  </si>
  <si>
    <t>SEDIMENTATION flux to marine sediment</t>
  </si>
  <si>
    <t>SED.w2R.sd2R</t>
  </si>
  <si>
    <t>RESUSPENSION flux from marine sediment</t>
  </si>
  <si>
    <t>RESUSP.sd2R.w2R</t>
  </si>
  <si>
    <t>GROSS SEDIMENTATION rate from lake water</t>
  </si>
  <si>
    <t>GROSSSEDrate.w0R</t>
  </si>
  <si>
    <t>GROSS SEDIMENTATION rate from fresh water</t>
  </si>
  <si>
    <t>GROSSSEDrate.w1R</t>
  </si>
  <si>
    <t>GROSS SEDIMENTATION rate from sea water</t>
  </si>
  <si>
    <t>GROSSSEDrate.w2R</t>
  </si>
  <si>
    <t>SETTLING VELOCITY suspended particles</t>
  </si>
  <si>
    <t>SETTLvelocity.R</t>
  </si>
  <si>
    <t>Calculated using Stokes based on SPM particle size and density as introduced in nano model</t>
  </si>
  <si>
    <t>Net SEDIMENT ACCUMULATION rate lake water</t>
  </si>
  <si>
    <t>NETsedrate.w0R</t>
  </si>
  <si>
    <t>Net SEDIMENT ACCUMULATION rate fresh water</t>
  </si>
  <si>
    <t>NETsedrate.w1R</t>
  </si>
  <si>
    <t>set to fixed default</t>
  </si>
  <si>
    <t>Net SEDIMENT ACCUMULATION rate sea water</t>
  </si>
  <si>
    <t>NETsedrate.w2R</t>
  </si>
  <si>
    <t>Autochtonous PRODUCTION of suspended matter in fresh water</t>
  </si>
  <si>
    <t>PRODsusp.w1R</t>
  </si>
  <si>
    <r>
      <t>[g.m</t>
    </r>
    <r>
      <rPr>
        <vertAlign val="superscript"/>
        <sz val="10"/>
        <rFont val="Calibri"/>
        <family val="2"/>
      </rPr>
      <t>-2</t>
    </r>
    <r>
      <rPr>
        <sz val="10"/>
        <rFont val="Calibri"/>
        <family val="2"/>
      </rPr>
      <t>.yr</t>
    </r>
    <r>
      <rPr>
        <vertAlign val="superscript"/>
        <sz val="10"/>
        <rFont val="Calibri"/>
        <family val="2"/>
      </rPr>
      <t>-1</t>
    </r>
    <r>
      <rPr>
        <sz val="10"/>
        <rFont val="Calibri"/>
        <family val="2"/>
      </rPr>
      <t>]</t>
    </r>
  </si>
  <si>
    <r>
      <t>kg.s</t>
    </r>
    <r>
      <rPr>
        <vertAlign val="superscript"/>
        <sz val="10"/>
        <rFont val="Calibri"/>
        <family val="2"/>
      </rPr>
      <t>-1</t>
    </r>
  </si>
  <si>
    <t>Autochtonous PRODUCTION of suspended matter in sea water</t>
  </si>
  <si>
    <t>PRODsusp.w2R</t>
  </si>
  <si>
    <t>ADSORPTION flux to fresh water sediment</t>
  </si>
  <si>
    <t>ADSORB.w1R.sd1R</t>
  </si>
  <si>
    <t>DESORPTION flux from fresh water sediment</t>
  </si>
  <si>
    <t>DESORB.sd1R.w1R</t>
  </si>
  <si>
    <t>ADSORPTION flux to marine sediment</t>
  </si>
  <si>
    <t>ADSORB.w2R.sd2R</t>
  </si>
  <si>
    <t>DESORPTION flux from marine sediment</t>
  </si>
  <si>
    <t>DESORB.sd2R.w2R</t>
  </si>
  <si>
    <t>PARTIAL MASS TRANSFER COEFFICIENT water side of water/sed interface</t>
  </si>
  <si>
    <t>kwsd.water.wR</t>
  </si>
  <si>
    <t>PARTIAL MASS TRANSFER COEFFICIENT sediment side of water/sed interface</t>
  </si>
  <si>
    <t>kwsd.sed.sdR</t>
  </si>
  <si>
    <t>k.s1RD.w1RD</t>
  </si>
  <si>
    <t>k.s2RD.w1RD</t>
  </si>
  <si>
    <t>k.s3RD.w1RD</t>
  </si>
  <si>
    <t>EROSION of natural soil</t>
  </si>
  <si>
    <t>EROSION.s1R</t>
  </si>
  <si>
    <t>EROSION of agricultural soil</t>
  </si>
  <si>
    <t>EROSION.s2R</t>
  </si>
  <si>
    <t>EROSION of other soil</t>
  </si>
  <si>
    <t>EROSION.s3R</t>
  </si>
  <si>
    <t>VOLUME FRACTION of precipitation on natural soil running off to surface water</t>
  </si>
  <si>
    <t>FRACrun.s1R</t>
  </si>
  <si>
    <t>VOLUME FRACTION of precipitation on agricultural soil running off to surface water</t>
  </si>
  <si>
    <t>FRACrun.s2R</t>
  </si>
  <si>
    <t>VOLUME FRACTION of precipitation on other soil running off to surface water</t>
  </si>
  <si>
    <t>FRACrun.s3R</t>
  </si>
  <si>
    <t>CORRrunoff.s1R</t>
  </si>
  <si>
    <t>CORRrunoff.s2R</t>
  </si>
  <si>
    <t>CORRrunoff.s3R</t>
  </si>
  <si>
    <t>REMOVAL from SYSTEM</t>
  </si>
  <si>
    <t>REMOVAL from air</t>
  </si>
  <si>
    <t>REMOVAL from lake water</t>
  </si>
  <si>
    <t>REMOVAL from fresh water</t>
  </si>
  <si>
    <t>REMOVAL from sea water</t>
  </si>
  <si>
    <t>REMOVAL from lake water sediment</t>
  </si>
  <si>
    <t>k.sd0RD</t>
  </si>
  <si>
    <t>REMOVAL from fresh water sediment</t>
  </si>
  <si>
    <t>REMOVAL from marine sediment</t>
  </si>
  <si>
    <t>REMOVAL from natural soil</t>
  </si>
  <si>
    <t>REMOVAL from agricultural soil</t>
  </si>
  <si>
    <t>REMOVAL from other soil</t>
  </si>
  <si>
    <t>ESCAPE to stratosphere</t>
  </si>
  <si>
    <t>kesc.aR</t>
  </si>
  <si>
    <t>DEGRADATION in air</t>
  </si>
  <si>
    <t>KDEG.aR</t>
  </si>
  <si>
    <t>Regional OH-radical concentration</t>
  </si>
  <si>
    <t>C.OHrad.aR</t>
  </si>
  <si>
    <r>
      <t>cm</t>
    </r>
    <r>
      <rPr>
        <vertAlign val="superscript"/>
        <sz val="10"/>
        <rFont val="Calibri"/>
        <family val="2"/>
      </rPr>
      <t>-3</t>
    </r>
  </si>
  <si>
    <t>Temperature corretion reaction rate air</t>
  </si>
  <si>
    <t>Tempfactor.aR</t>
  </si>
  <si>
    <t>DEGRADATION in lake water</t>
  </si>
  <si>
    <t>KDEG.w0R</t>
  </si>
  <si>
    <t>DEGRADATION in fresh water</t>
  </si>
  <si>
    <t>KDEG.w1R</t>
  </si>
  <si>
    <t>DEGRADATION in sea water</t>
  </si>
  <si>
    <t>KDEG.w2R</t>
  </si>
  <si>
    <t>Concentration BACTERIA in lake water</t>
  </si>
  <si>
    <t>BACT.w0R</t>
  </si>
  <si>
    <t>[CFU.mL-1]</t>
  </si>
  <si>
    <r>
      <t>CFU.mL</t>
    </r>
    <r>
      <rPr>
        <vertAlign val="superscript"/>
        <sz val="10"/>
        <rFont val="Calibri"/>
        <family val="2"/>
      </rPr>
      <t>-1</t>
    </r>
  </si>
  <si>
    <t>Concentration BACTERIA in fresh water</t>
  </si>
  <si>
    <t>BACT.w1R</t>
  </si>
  <si>
    <t>Concentration BACTERIA in seawater</t>
  </si>
  <si>
    <t>BACT.w2R</t>
  </si>
  <si>
    <t>Temperature correction degradation rate water/sed/soil</t>
  </si>
  <si>
    <t>Tempfactor.wsdsR</t>
  </si>
  <si>
    <t>DEGRADATION in Lake sediment</t>
  </si>
  <si>
    <t>KDEG.sd0R</t>
  </si>
  <si>
    <t>DEGRADATION in fresh water sediment</t>
  </si>
  <si>
    <t>KDEG.sd1R</t>
  </si>
  <si>
    <t>DEGRADATION in marine sediment</t>
  </si>
  <si>
    <t>KDEG.sd2R</t>
  </si>
  <si>
    <t>DEGRADATION in natural soil</t>
  </si>
  <si>
    <t>KDEG.s1R</t>
  </si>
  <si>
    <t>DEGRADATION in agricultural soil</t>
  </si>
  <si>
    <t>KDEG.s2R</t>
  </si>
  <si>
    <t>DEGRADATION in other soil</t>
  </si>
  <si>
    <t>KDEG.s3R</t>
  </si>
  <si>
    <t>VOLUME FRACTION of precipitation infiltrating into natural soil</t>
  </si>
  <si>
    <t>FRACinf.s1R</t>
  </si>
  <si>
    <t>VOLUME FRACTION of precipitation infiltrating into agricultural soil</t>
  </si>
  <si>
    <t>FRACinf.s2R</t>
  </si>
  <si>
    <t>VOLUME FRACTION of precipitation infiltrating into other soil</t>
  </si>
  <si>
    <t>FRACinf.s3R</t>
  </si>
  <si>
    <t>CORRleach.s1R</t>
  </si>
  <si>
    <t>CORRleach.s2R</t>
  </si>
  <si>
    <t>CORRleach.s3R</t>
  </si>
  <si>
    <t>NANOMATERIAL EXTENSION</t>
  </si>
  <si>
    <t>INTERSPECIES TRANSFORMATION RATES</t>
  </si>
  <si>
    <t>Eq in Meesters et al</t>
  </si>
  <si>
    <t>Ref</t>
  </si>
  <si>
    <t>HETEROAGGLOMERATION OF Engineered Nanoparticles (ENPs (S)) with Nucleation (Nuc) and Accumulation mode aersosols (Acc) in REGIONAL AIR</t>
  </si>
  <si>
    <t>HETEROAGGLOMERATION rate ENPs and COLLOIDAL aerosols (&lt;450 nm)</t>
  </si>
  <si>
    <t>k.aRS.aRA</t>
  </si>
  <si>
    <t>meesters et al.</t>
  </si>
  <si>
    <t>HETEROAGGLOMERATION ENPs with NUCLEATION MODE AEROSOL PARTICLES</t>
  </si>
  <si>
    <t>kcoag.aRS.aRNuc</t>
  </si>
  <si>
    <t>Fuchs transitional correction coefficient for ENP vs. Nuc. Mode aerosols</t>
  </si>
  <si>
    <t>Fuchs.aRS.aRNuc</t>
  </si>
  <si>
    <t>11?</t>
  </si>
  <si>
    <t>Nucleation mode aerosol particle diffusivity</t>
  </si>
  <si>
    <t>DiffNuc.aR</t>
  </si>
  <si>
    <t>Nucleation mode aerosol thermal velocity</t>
  </si>
  <si>
    <t>ThermvelNuc.aR</t>
  </si>
  <si>
    <t>HETEROAGGLOMERATION ENPs with Accumulation MODE AEROSOL PARTICLES</t>
  </si>
  <si>
    <t>kcoag.aRS.AccR</t>
  </si>
  <si>
    <t>Accumulation mode aerosol thermal velocity</t>
  </si>
  <si>
    <t>ThermvelAcc.aR</t>
  </si>
  <si>
    <t>Accumulation mode aerosol particle diffusivity</t>
  </si>
  <si>
    <t>DiffAcc.aR</t>
  </si>
  <si>
    <t>Fuchs transitional correction coefficient for ENP vs. Acc. Mode aerosols</t>
  </si>
  <si>
    <t>Fuchs.aRS.aRAcc</t>
  </si>
  <si>
    <t>HETEROAGGLOMERATION rate ENPs and COARSE PARTICULATE aerosols (&gt;450nm)</t>
  </si>
  <si>
    <t>k.aRS.aRP</t>
  </si>
  <si>
    <t>Coarse mode aerosol thermal velocity</t>
  </si>
  <si>
    <t>ThermvelCP.aR</t>
  </si>
  <si>
    <t>Coarse mode aerosol particle diffusivity</t>
  </si>
  <si>
    <t>DiffCP.aR</t>
  </si>
  <si>
    <t>Fuchs transitional correction coefficient for ENP vs. Coa. Mode aerosols</t>
  </si>
  <si>
    <t>Fuchs.aRS.aRCP</t>
  </si>
  <si>
    <t>HETEROAGGLOMERATION OF Engineered Nanoparticles (ENPs (S)) WITH Natucal Colloids (NC) in REGIONAL WATERS</t>
  </si>
  <si>
    <t>HETEROAGGLOMERATION rate ENPs and NCs (&lt;450 nm) in LAKE WATER</t>
  </si>
  <si>
    <t>k.w0RS.w0RA</t>
  </si>
  <si>
    <t>Number concentration of colloid particles in lake water</t>
  </si>
  <si>
    <t>NumConcNC.w0R</t>
  </si>
  <si>
    <t>Total collision frequency coefficient ENPs vs. NCs in lake water</t>
  </si>
  <si>
    <t>fTotalSNC.w0R</t>
  </si>
  <si>
    <t>Collision frequency coefficient ENPs vs. NC colloids by hydrodynamic motion</t>
  </si>
  <si>
    <t>fInterceptSNC.w0R</t>
  </si>
  <si>
    <t>Shear rate of lake water</t>
  </si>
  <si>
    <t>Shear.w0R</t>
  </si>
  <si>
    <t>Arvidsson et al. 2011</t>
  </si>
  <si>
    <t>HETEROAGGLOMERATION rate ENPs and NCs (&lt;450 nm) in FRESH WATER</t>
  </si>
  <si>
    <t>k.w1RS.w1RA</t>
  </si>
  <si>
    <t>Number concentration of colloid particles in FRESH water</t>
  </si>
  <si>
    <t>NumConcNC.w1R</t>
  </si>
  <si>
    <t>River Rhine, Quik PhD Thesis 2013</t>
  </si>
  <si>
    <t>Total collision frequency coefficient ENPs vs. NCs in FRESH water</t>
  </si>
  <si>
    <t>fTotalSNC.w1R</t>
  </si>
  <si>
    <t>fInterceptSNC.w1R</t>
  </si>
  <si>
    <t>Shear rate of fresh water</t>
  </si>
  <si>
    <t>Shear.w1R</t>
  </si>
  <si>
    <t>geen ref nog (Arvidsson zegt meer dan 10)</t>
  </si>
  <si>
    <t>HETEROAGGLOMERATION rate ENPs and NCs (&lt;450 nm) in SEA WATER</t>
  </si>
  <si>
    <t>k.w2RS.w2RA</t>
  </si>
  <si>
    <t>Number concentration of colloid particles in SEA water</t>
  </si>
  <si>
    <t>NumConcNC.w2R</t>
  </si>
  <si>
    <t>North Sea, Quik PhD Thesis 2013</t>
  </si>
  <si>
    <t>Total collision frequency coefficient ENPs vs. NCs in SEA water</t>
  </si>
  <si>
    <t>fTotalSNC.w2R</t>
  </si>
  <si>
    <t>fInterceptSNC.w2R</t>
  </si>
  <si>
    <t>Shear rate of SEA water</t>
  </si>
  <si>
    <t>Shear.w2R</t>
  </si>
  <si>
    <t>Collision frequency coefficient ENPs vs. NC colloids by Brownian motion</t>
  </si>
  <si>
    <t>fBrownSNC.wR</t>
  </si>
  <si>
    <t>Collision frequency coefficient ENPs vs. NC colloids by gravitational impaction</t>
  </si>
  <si>
    <t>fGravSNC.wR</t>
  </si>
  <si>
    <t>HETEROAGGLOMERATION OF Engineered Nanoparticles (ENPs (S)) WITH Suspended Particulte Matter (SPM) in REGIONAL WATERS</t>
  </si>
  <si>
    <t>HETEROAGGLOMERATION rate ENPs and SPM (&gt;450 nm) in LAKE WATER</t>
  </si>
  <si>
    <t>k.w0RS.w0RP</t>
  </si>
  <si>
    <t>Number concentration of particulate particles in LAKE WATER</t>
  </si>
  <si>
    <t>NumConcSPM.w0R</t>
  </si>
  <si>
    <t>Derived as: 'mass concentration of suspended particles in regional lake water '/ ('volume of a single suspended particle'* 'density of suspended particle')</t>
  </si>
  <si>
    <t>Total collision frequency for ENPs vbs. susp. particles in lake water</t>
  </si>
  <si>
    <t>fTotalSSPM.w0R</t>
  </si>
  <si>
    <t>Collision frequency coefficient ENPs vs. suspended particles (&gt;450nm) by hydrodynamic motion</t>
  </si>
  <si>
    <t>fInterceptSSPM.w0R</t>
  </si>
  <si>
    <t>HETEROAGGLOMERATION rate ENPs and SPM (&gt;450 nm) in FRESH WATER</t>
  </si>
  <si>
    <t>k.w1RS.w1RP</t>
  </si>
  <si>
    <t>Number concentration of particulate particles in FRESH WATER</t>
  </si>
  <si>
    <t>NumConcSPM.w1R</t>
  </si>
  <si>
    <t>Derived as: 'mass concentration of suspended particles in regional fresh water '/ ('volume of a single suspended particle'* 'density of suspended particle')</t>
  </si>
  <si>
    <t>Total collision frequency for ENPs vbs. susp. particles in FRESH WATER</t>
  </si>
  <si>
    <t>fTotalSSPM.w1R</t>
  </si>
  <si>
    <t>fInterceptSSPM.w1R</t>
  </si>
  <si>
    <t>HETEROAGGLOMERATION rate ENPs and SPM (&gt;450 nm) in SEA WATER</t>
  </si>
  <si>
    <t>k.w2RS.w2RP</t>
  </si>
  <si>
    <t>Number concentration of particulate particles in SEA WATER</t>
  </si>
  <si>
    <t>NumConcSPM.w2R</t>
  </si>
  <si>
    <t>Derived as: 'mass concentration of suspended particles in regional sea water '/ ('volume of a single suspended particle'* 'density of suspended particle')</t>
  </si>
  <si>
    <t>Total collision frequency for ENPs vbs. susp. particles in SEA WATER</t>
  </si>
  <si>
    <t>fTotalSSPM.w2R</t>
  </si>
  <si>
    <t>fInterceptSSPM.w2R</t>
  </si>
  <si>
    <t>Collision frequency coefficient ENPs vs. suspended particles (&gt;450nm) by Brownian motion</t>
  </si>
  <si>
    <t>fBrownSSPM.wR</t>
  </si>
  <si>
    <t>Collision frequency coefficient ENPs vs. suspended particles (&gt;450nm) by gravitational impaction</t>
  </si>
  <si>
    <t>fGravSSPM.wR</t>
  </si>
  <si>
    <t>HETEROAGGLOMERATION OF Engineered Nanoparticles (ENPs (S)) WITH Natural Colloids (NC) in REGIONAL SEDIMENT</t>
  </si>
  <si>
    <t>HETEROAGGLOMERATION rate ENPs and sediment NC in LAKE SEDIMENT</t>
  </si>
  <si>
    <t>k.sd0RS.sd0RA</t>
  </si>
  <si>
    <t>Number concentration of colloid particles in lake sediment</t>
  </si>
  <si>
    <t>NumConcNC.sd0R</t>
  </si>
  <si>
    <t>Assumed double of conc in water column</t>
  </si>
  <si>
    <t>HETEROAGGLOMERATION rate ENPs and sediment NC in FRESH WATER SEDIMENT</t>
  </si>
  <si>
    <t>k.sd1RS.sd1RA</t>
  </si>
  <si>
    <t>Number concentration of colloid particles in fresh water sediment</t>
  </si>
  <si>
    <t>NumConcNC.sd1R</t>
  </si>
  <si>
    <t>HETEROAGGLOMERATION rate ENPs and sediment NC in MARINE SEDIMENT</t>
  </si>
  <si>
    <t>k.sd2RS.sd2RA</t>
  </si>
  <si>
    <t>Number concentration of colloid particles in marine sediment</t>
  </si>
  <si>
    <t>NumConcNC.sd2R</t>
  </si>
  <si>
    <t>fBrownSNC.sdR</t>
  </si>
  <si>
    <t>fGravSNC.sdR</t>
  </si>
  <si>
    <t>DEPOSITION of Engineered Nanoparticles (ENPs (S)) on sediment Filtration Particulates (FP) in REGIONAL SEDIMENT</t>
  </si>
  <si>
    <t>DEPOSITION rate ENPs on FPs in LAKE SEDIMENT</t>
  </si>
  <si>
    <t>k.sd0RS.sd0RP</t>
  </si>
  <si>
    <t>DEPOSITION rate ENPs on FPs in FRESH WATER SEDIMENT</t>
  </si>
  <si>
    <t>k.sd1RS.sd1RP</t>
  </si>
  <si>
    <t>DEPOSITION rate ENPs on FPs in MARINE SEDIMENT</t>
  </si>
  <si>
    <t>k.sd2RS.sd2RP</t>
  </si>
  <si>
    <t>Sediment filtration</t>
  </si>
  <si>
    <t>Filter.sdR</t>
  </si>
  <si>
    <t>[m-1]</t>
  </si>
  <si>
    <t>Darcy velocity in sediment</t>
  </si>
  <si>
    <t>Udarcy.sdR</t>
  </si>
  <si>
    <t>Tufenkji &amp; Elimelech, 2004</t>
  </si>
  <si>
    <t>Total collection coefficient</t>
  </si>
  <si>
    <t>fTotalSP.sdR</t>
  </si>
  <si>
    <t>Brownian collection coefficient</t>
  </si>
  <si>
    <t>fBrownSP.sdR</t>
  </si>
  <si>
    <t>Analytical Solution (AS) for Porosity Dependent Filtration (PDF)</t>
  </si>
  <si>
    <t>ASPDF.sdR</t>
  </si>
  <si>
    <t>PDF  'gamma'</t>
  </si>
  <si>
    <t>GammPDF.sdR</t>
  </si>
  <si>
    <t>Sediment porosity</t>
  </si>
  <si>
    <t>Por.sdR</t>
  </si>
  <si>
    <t>[m3/m3]</t>
  </si>
  <si>
    <t>Equal to the volume fraction of sediment that is not solid</t>
  </si>
  <si>
    <t>Interception collection coefficient</t>
  </si>
  <si>
    <t>fInterceptSP.sdR</t>
  </si>
  <si>
    <t>Gravitational collection coefficient</t>
  </si>
  <si>
    <t>fGravSP.sdR</t>
  </si>
  <si>
    <t>Van der Waals Number</t>
  </si>
  <si>
    <t>vdWaalsNumberSP.sdR</t>
  </si>
  <si>
    <t>Aspect ratio</t>
  </si>
  <si>
    <t>aspectratioSP.sdR</t>
  </si>
  <si>
    <t>[m/m]</t>
  </si>
  <si>
    <t>Peclet number</t>
  </si>
  <si>
    <t>PecletNumberSP.sdR</t>
  </si>
  <si>
    <t>Gravity number</t>
  </si>
  <si>
    <t>GravNumberSP.sdR</t>
  </si>
  <si>
    <t>HETEROAGGLOMERATION OF Engineered Nanoparticles (ENPs (S)) WITH Natural Colloids (NC) in REGIONAL SOIL pore water</t>
  </si>
  <si>
    <t>AGGREGATION with NATURAL COLLOIDS in NATURAL SOIL's PORE WATER</t>
  </si>
  <si>
    <t>k.s1RS.s1RA</t>
  </si>
  <si>
    <t>AGGREGATION with NATURAL COLLOIDS in AGRICULTURAL SOIL's PORE WATER</t>
  </si>
  <si>
    <t>k.s2RS.s2RA</t>
  </si>
  <si>
    <t>AGGREGATION with NATURAL COLLOIDS in URBAN/INDUSTRIAL SOIL's PORE WATER</t>
  </si>
  <si>
    <t>k.s3RS.s3RA</t>
  </si>
  <si>
    <t>Number concentration of natural colloids in soil</t>
  </si>
  <si>
    <t>NumConcNC.sR</t>
  </si>
  <si>
    <t>fBrownSNC.sR</t>
  </si>
  <si>
    <t>fGravSNC.sR</t>
  </si>
  <si>
    <t>DEPOSITION of Engineered Nanoparticles (ENPs (S)) ON Soil Filtration Particulates (FP) in REGIONAL SOIL</t>
  </si>
  <si>
    <t>ATTACHMENT of ENPs (S) to SOLID GRAINS (P) in NATURAL SOIL</t>
  </si>
  <si>
    <t>k.s1RS.s1RP</t>
  </si>
  <si>
    <t>Soil filtration</t>
  </si>
  <si>
    <t>Filter.s1R</t>
  </si>
  <si>
    <t>Darcy velocity in soil</t>
  </si>
  <si>
    <t>Udarcy.s1R</t>
  </si>
  <si>
    <t>fTotalSFP.s1R</t>
  </si>
  <si>
    <t>fBrownSFP.s1R</t>
  </si>
  <si>
    <t>ASPDF.s1R</t>
  </si>
  <si>
    <t>Porosity Dependent Parameter (PDF)  'gamma'</t>
  </si>
  <si>
    <t>GammPDF.s1R</t>
  </si>
  <si>
    <t>Soil porosity</t>
  </si>
  <si>
    <t>Por.s1R</t>
  </si>
  <si>
    <t xml:space="preserve">Equal to the volume fraction of soil that is not solid  </t>
  </si>
  <si>
    <t>fInterceptSFP.s1R</t>
  </si>
  <si>
    <t>fGravSFP.s1R</t>
  </si>
  <si>
    <t>vdWaalsNumberSFP.s1R</t>
  </si>
  <si>
    <t>aspectratioSFP.s1R</t>
  </si>
  <si>
    <t>PecletNumberFP.s1R</t>
  </si>
  <si>
    <t>GravNumberS.s1R</t>
  </si>
  <si>
    <t>ATTACHMENT to SOLID GRAINS in AGRICULTURAL SOIL</t>
  </si>
  <si>
    <t>k.s2RS.s2RP</t>
  </si>
  <si>
    <t>Filter.s2R</t>
  </si>
  <si>
    <t>Udarcy.s2R</t>
  </si>
  <si>
    <t>fTotalSFP.s2R</t>
  </si>
  <si>
    <t>fBrownSFP.s2R</t>
  </si>
  <si>
    <t>ASPDF.s2R</t>
  </si>
  <si>
    <t>GammPDF.s2R</t>
  </si>
  <si>
    <t>Por.s2R</t>
  </si>
  <si>
    <t>Equal to the volume fraction of soil that is not solid</t>
  </si>
  <si>
    <t>fInterceptSFP.s2R</t>
  </si>
  <si>
    <t>fGravSFP.s2R</t>
  </si>
  <si>
    <t>aspectratioSFP.s2R</t>
  </si>
  <si>
    <t>PecletNumberFP.s2R</t>
  </si>
  <si>
    <t>vdWaalsNumberSFP.s2R</t>
  </si>
  <si>
    <t>GravNumberS.s2R</t>
  </si>
  <si>
    <t>ATTACHMENT to SOLID GRAINS in URBAN / INDUSTRIAL SOIL</t>
  </si>
  <si>
    <t>k.s3RS.s3RP</t>
  </si>
  <si>
    <t>Filter.s3R</t>
  </si>
  <si>
    <t>Udarcy.s3R</t>
  </si>
  <si>
    <t>fTotalSFP.s3R</t>
  </si>
  <si>
    <t>fBrownSFP.s3R</t>
  </si>
  <si>
    <t>ASPDF.s3R</t>
  </si>
  <si>
    <t>GammPDF.s3R</t>
  </si>
  <si>
    <t>Por.s3R</t>
  </si>
  <si>
    <t>fInterceptSFP.s3R</t>
  </si>
  <si>
    <t>fGravSFP.s3R</t>
  </si>
  <si>
    <t>aspectratioSFP.s3R</t>
  </si>
  <si>
    <t>PecletNumberFP.s3R</t>
  </si>
  <si>
    <t>vdWaalsNumberSFP.s3R</t>
  </si>
  <si>
    <t>GravNumberS.s3R</t>
  </si>
  <si>
    <t>INTERCOMPARIMENTAL TRANSPORT RATES</t>
  </si>
  <si>
    <t>ATMOSPHERIC CHARACTERISTICS</t>
  </si>
  <si>
    <t>Rain drop radius</t>
  </si>
  <si>
    <t>Rad.cwR</t>
  </si>
  <si>
    <t>Gong et al., 2002; Gong et al., 2006</t>
  </si>
  <si>
    <t>Time fraction of wet periodes</t>
  </si>
  <si>
    <t>FRACtwet</t>
  </si>
  <si>
    <t>for episodic rain, default set to FRACtwet = 1, so no episodic rain</t>
  </si>
  <si>
    <t>Rain rate during wet episode</t>
  </si>
  <si>
    <t>RAINrate.wet.R</t>
  </si>
  <si>
    <t>Rainrate in wet episodes is added in SB4.0, for nanoparticles rainrate is used as in model defintion prototype (average in whole year)</t>
  </si>
  <si>
    <t>Meester etal 2014</t>
  </si>
  <si>
    <t>Rain drop terminal velocity</t>
  </si>
  <si>
    <t>TerminalVel.cwR</t>
  </si>
  <si>
    <t>Rain drop Cunningham coefficient</t>
  </si>
  <si>
    <t>Cunningham.cwR</t>
  </si>
  <si>
    <t>Critical Stokes Number</t>
  </si>
  <si>
    <t>CritStokesNumb.cwR</t>
  </si>
  <si>
    <t>Reynolds Number</t>
  </si>
  <si>
    <t>ReyNumber.cwR</t>
  </si>
  <si>
    <t xml:space="preserve">PROPERTIES of HETEROAGGLOMERATES of ENMs with Acc and Nucc aerosols </t>
  </si>
  <si>
    <t>Radius of a single ENP aggregated with a single colloidal size aerosol particle</t>
  </si>
  <si>
    <t>RadA.aR</t>
  </si>
  <si>
    <t>Density of a single ENP aggregated with a single colloidal size aerosol particle</t>
  </si>
  <si>
    <t>RhoA.aR</t>
  </si>
  <si>
    <t>Volume of a single ENP aggregated with a single colloidal size aerosol particle</t>
  </si>
  <si>
    <t>SingleVolA.aR</t>
  </si>
  <si>
    <t>Mass of a single ENP aggregated with a single colloidal size aerosol particle</t>
  </si>
  <si>
    <t>SingleMassA.aR</t>
  </si>
  <si>
    <t>calculation is relative to number concentration of Nucc and Acc aerosols</t>
  </si>
  <si>
    <t>COLLECTION of  FREE ENP SPECIES (S) INTO CLOUD WATER</t>
  </si>
  <si>
    <t>k.aRS.cwRS</t>
  </si>
  <si>
    <t>source?</t>
  </si>
  <si>
    <t>Particle relaxation time</t>
  </si>
  <si>
    <t>RelaxS.aR</t>
  </si>
  <si>
    <t>[s]</t>
  </si>
  <si>
    <t>ENP Particle (S) Stokes Number</t>
  </si>
  <si>
    <t>StokesNumberS.aR</t>
  </si>
  <si>
    <t>Equation 59? Supinfo Meesters etal. 2014</t>
  </si>
  <si>
    <t>Particle gravitational settling velocity</t>
  </si>
  <si>
    <t>SettvelS.aR</t>
  </si>
  <si>
    <t>Particle Schmidt Number</t>
  </si>
  <si>
    <t>SchmidtNumberS.aR</t>
  </si>
  <si>
    <t>Brownian collection efficiency</t>
  </si>
  <si>
    <t>fBrown.aRS.cwRS</t>
  </si>
  <si>
    <t>Interception collection efficiency</t>
  </si>
  <si>
    <t>fIntercept.aRS.cwRS</t>
  </si>
  <si>
    <t>Gravitational collection efficiency</t>
  </si>
  <si>
    <t>fGrav.aRS.cwRS</t>
  </si>
  <si>
    <t>Total collection efficiency</t>
  </si>
  <si>
    <t>fTotal.aRS.cwRS</t>
  </si>
  <si>
    <t>COLLECTION of  AGGREGATED ENP SPECIES (A) INTO CLOUD WATER</t>
  </si>
  <si>
    <t>k.aRA.cwRA</t>
  </si>
  <si>
    <t>Particle Cunningham coefficient</t>
  </si>
  <si>
    <t>CunninghamA.aR</t>
  </si>
  <si>
    <t>Particle Diffusivity in air</t>
  </si>
  <si>
    <t>DiffA.aR</t>
  </si>
  <si>
    <t>RelaxA.aR</t>
  </si>
  <si>
    <t>Particle Stokes Number</t>
  </si>
  <si>
    <t>StokesNumberA.aR</t>
  </si>
  <si>
    <t>SettvelA.aR</t>
  </si>
  <si>
    <t>SchmidtNumberA.aR</t>
  </si>
  <si>
    <t>fBrown.aRA.cwRA</t>
  </si>
  <si>
    <t>fIntercept.aRA.cwRA</t>
  </si>
  <si>
    <t>fGrav.aRA.cwRA</t>
  </si>
  <si>
    <t>fTotal.aRA.cwRA</t>
  </si>
  <si>
    <t>COLLECTION of  ATTACHED ENP SPECIES (P) INTO CLOUD WATER</t>
  </si>
  <si>
    <t>k.aRP.cwRP</t>
  </si>
  <si>
    <t>Equal to aerosol washout</t>
  </si>
  <si>
    <t>DRY DEPOSITION of FREE ENP SPECIES (S) to NATURAL SOIL</t>
  </si>
  <si>
    <t>k.aRS.s1RS</t>
  </si>
  <si>
    <t>Dry deposition velocity</t>
  </si>
  <si>
    <t>DEPvelocity.aRS.s1RS</t>
  </si>
  <si>
    <t>Aerodynamic resistance</t>
  </si>
  <si>
    <t>AEROresist.s1R</t>
  </si>
  <si>
    <t>[s.m-1]</t>
  </si>
  <si>
    <t>parm</t>
  </si>
  <si>
    <t>Nho-Kim, 2004</t>
  </si>
  <si>
    <t>Surface resistance</t>
  </si>
  <si>
    <t>SURFresist.s1RS</t>
  </si>
  <si>
    <t>eq</t>
  </si>
  <si>
    <t>Friction velocity</t>
  </si>
  <si>
    <t>FRICvelocity.s1R</t>
  </si>
  <si>
    <t>Van Jaarsveld, table 2.2</t>
  </si>
  <si>
    <t>Van Jaarsveld, 2004</t>
  </si>
  <si>
    <t>fBrown.aRS.s1RS</t>
  </si>
  <si>
    <t>Nho-Kim et al., 2004</t>
  </si>
  <si>
    <t>fIntercept.aRS.s1RS</t>
  </si>
  <si>
    <t>Small vegetation hair width</t>
  </si>
  <si>
    <t>veghair.s1R</t>
  </si>
  <si>
    <t>Large vegetation radius</t>
  </si>
  <si>
    <t>largevegradius.s1R</t>
  </si>
  <si>
    <t>Vegetation fraction of soil</t>
  </si>
  <si>
    <t>AREAFRACveg.s1R</t>
  </si>
  <si>
    <t>Nho-Kim et al., 2004?</t>
  </si>
  <si>
    <t>fGrav.aRS.s1RS</t>
  </si>
  <si>
    <t>DRY DEPOSITION of FREE ENP SPECIES (S) to AGRICULTURAL SOIL</t>
  </si>
  <si>
    <t>k.aRS.s2RS</t>
  </si>
  <si>
    <t>DEPvelocity.aRS.s2RS</t>
  </si>
  <si>
    <t>AEROresist.s2R</t>
  </si>
  <si>
    <t>SURFresist.s2RS</t>
  </si>
  <si>
    <t>FRICvelocity.s2R</t>
  </si>
  <si>
    <t>fBrown.aRS.s2RS</t>
  </si>
  <si>
    <t>fIntercept.aRS.s2RS</t>
  </si>
  <si>
    <t>veghair.s2R</t>
  </si>
  <si>
    <t>largevegradius.s2R</t>
  </si>
  <si>
    <t>AREAFRACveg.s2R</t>
  </si>
  <si>
    <t>fGrav.aRS.s2RS</t>
  </si>
  <si>
    <t>DRY DEPOSITION of FREE ENP SPECIES (S) to OTHER SOIL</t>
  </si>
  <si>
    <t>k.aRS.s3RS</t>
  </si>
  <si>
    <t>DEPvelocity.aRS.s3RS</t>
  </si>
  <si>
    <t>AEROresist.s3R</t>
  </si>
  <si>
    <t>SURFresist.s3RS</t>
  </si>
  <si>
    <t>FRICvelocity.s3R</t>
  </si>
  <si>
    <t>fBrown.aRS.s3RS</t>
  </si>
  <si>
    <t>fIntercept.aRS.s3RS</t>
  </si>
  <si>
    <t>veghair.s3R</t>
  </si>
  <si>
    <t>largevegradius.s3R</t>
  </si>
  <si>
    <t>AREAFRACveg.s3R</t>
  </si>
  <si>
    <t>fGrav.aRS.s3RS</t>
  </si>
  <si>
    <t>DRY DEPOSITION of AGGREGATED ENP SPECIES (A) to NATURAL SOIL</t>
  </si>
  <si>
    <t>k.aRA.s1RA</t>
  </si>
  <si>
    <t>DEPvelocity.aRA.s1RA</t>
  </si>
  <si>
    <t>SURFresist.s1RA</t>
  </si>
  <si>
    <t>fBrown.aRA.s1RA</t>
  </si>
  <si>
    <t>fIntercept.aRA.s1RA</t>
  </si>
  <si>
    <t>fGrav.aRAs1RA</t>
  </si>
  <si>
    <t>DRY DEPOSITION of AGGREGATED ENP SPECIES (A) to AGRICULTURAL SOIL</t>
  </si>
  <si>
    <t>k.aRA.s2RA</t>
  </si>
  <si>
    <t>DEPvelocity.aRA.s2RA</t>
  </si>
  <si>
    <t>SURFresist.s2RA</t>
  </si>
  <si>
    <t>fBrown.aRA.s2RA</t>
  </si>
  <si>
    <t>fIntercept.aRA.s2RA</t>
  </si>
  <si>
    <t>fGrav.aRAs2RA</t>
  </si>
  <si>
    <t>DRY DEPOSITION of AGGREGATED ENP SPECIES (A) to OTHER SOIL</t>
  </si>
  <si>
    <t>k.aRA.s3RA</t>
  </si>
  <si>
    <t>DEPvelocity.aRA.s3RA</t>
  </si>
  <si>
    <t>SURFresist.s3RA</t>
  </si>
  <si>
    <t>fBrown.aRA.s3RA</t>
  </si>
  <si>
    <t>fIntercept.aRA.s3RA</t>
  </si>
  <si>
    <t>fGrav.aRAs3RA</t>
  </si>
  <si>
    <t>DRY DEPOSITION of ATTACHED ENP SPECIES (P) to NATURAL SOIL</t>
  </si>
  <si>
    <t>k.aRP.s1RP</t>
  </si>
  <si>
    <t>Derived from aerosol deprate, consider adding calculation as done by Meester et al 2014</t>
  </si>
  <si>
    <t>DRY DEPOSITION of ATTACHED ENP SPECIES (P) to AGRICULTURAL SOIL</t>
  </si>
  <si>
    <t>k.aRP.s2RP</t>
  </si>
  <si>
    <t>DRY DEPOSITION of ATTACHED ENP SPECIES (P) to OTHER SOIL</t>
  </si>
  <si>
    <t>k.aRP.s3RP</t>
  </si>
  <si>
    <t>DRY DEPOSITION of FREE ENP SPECIES (S) to LAKE WATER</t>
  </si>
  <si>
    <t>k.aRS.w0RS</t>
  </si>
  <si>
    <t>DEPvelocity.aRS.w0RS</t>
  </si>
  <si>
    <t>Aerodynamic resistance lake water</t>
  </si>
  <si>
    <t>AEROresist.w0R</t>
  </si>
  <si>
    <t>Surface resistance lake water</t>
  </si>
  <si>
    <t>SURFresist.wRS</t>
  </si>
  <si>
    <t>Friction velocity above water</t>
  </si>
  <si>
    <t>FRICvelocity.wR</t>
  </si>
  <si>
    <t>fBrown.aRS.w</t>
  </si>
  <si>
    <t>fGrav.aRS.w</t>
  </si>
  <si>
    <t>DRY DEPOSITION of FREE ENP SPECIES (S) to FRESH WATER</t>
  </si>
  <si>
    <t>k.aRS.w1RS</t>
  </si>
  <si>
    <t>DEPvelocity.aRS.w1RS</t>
  </si>
  <si>
    <t>Aerodynamic resistance fresh water</t>
  </si>
  <si>
    <t>AEROresist.w1R</t>
  </si>
  <si>
    <t>DRY DEPOSITION of FREE ENP SPECIES (S) to SEAWATER</t>
  </si>
  <si>
    <t>k.aRS.w2RS</t>
  </si>
  <si>
    <t>DEPvelocity.aRS.w2RS</t>
  </si>
  <si>
    <t>Aerodynamic resistance sea water</t>
  </si>
  <si>
    <t>AEROresist.w2R</t>
  </si>
  <si>
    <t>DRY DEPOSITION OF AGGREGATED SPECIES (A) TO LAKE WATER</t>
  </si>
  <si>
    <t>k.aRA.w0RA</t>
  </si>
  <si>
    <t>DEPvelocity.aRA.w0RA</t>
  </si>
  <si>
    <t>Surface resistance water</t>
  </si>
  <si>
    <t>SURFresist.wRA</t>
  </si>
  <si>
    <t>fBrown.aRA.w</t>
  </si>
  <si>
    <t>fGrav.aRA.w</t>
  </si>
  <si>
    <t>DRY DEPOSITION OF AGGREGATED SPECIES (A) TO FRESH WATER</t>
  </si>
  <si>
    <t>k.aRA.w1RA</t>
  </si>
  <si>
    <t>DEPvelocity.aRA.w1RA</t>
  </si>
  <si>
    <t>DRY DEPOSITION OF AGGREGATED SPECIES (A) TO SEA WATER</t>
  </si>
  <si>
    <t>k.aRA.w2RA</t>
  </si>
  <si>
    <t>DEPvelocity.aRA.w2RA</t>
  </si>
  <si>
    <t>DRY DEPOSITION OF ATTACHED SPECIES (P) TO LAKE WATER</t>
  </si>
  <si>
    <t>k.aRP.w0RP</t>
  </si>
  <si>
    <t>DRY DEPOSITION OF ATTACHED SPECIES (P) TO FRESH WATER</t>
  </si>
  <si>
    <t>k.aRP.w1RP</t>
  </si>
  <si>
    <t>DRY DEPOSITION OF ATTACHED SPECIES (P) TO SEA WATER</t>
  </si>
  <si>
    <t>k.aRP.w2RP</t>
  </si>
  <si>
    <t>WET DEPOSITION of FREE ENP SPECIES (S) to NATURAL SOIL</t>
  </si>
  <si>
    <t>k.cwRS.s1RS</t>
  </si>
  <si>
    <t>kdep.R niet zelfde als wet depostion van aerosols!!!</t>
  </si>
  <si>
    <t>WET DEPOSITION of FREE ENP SPECIES (S) to AGRICULTURAL SOIL</t>
  </si>
  <si>
    <t>k.cwRS.s2RS</t>
  </si>
  <si>
    <t>WET DEPOSITION of FREE ENP SPECIES (S) to OTHER SOIL</t>
  </si>
  <si>
    <t>k.cwRS.s3RS</t>
  </si>
  <si>
    <t>WET DEPOSITION of AGGREGATED ENP SPECIES (A) to NATURAL SOIL</t>
  </si>
  <si>
    <t>k.cwRA.s1RA</t>
  </si>
  <si>
    <t>WET DEPOSITION of AGGREGATED ENP SPECIES (A) to AGRICULTURAL SOIL</t>
  </si>
  <si>
    <t>k.cwRA.s2RA</t>
  </si>
  <si>
    <t>WET DEPOSITION of AGGREGATED ENP SPECIES (A) to OTHER SOIL</t>
  </si>
  <si>
    <t>k.cwRA.s3RA</t>
  </si>
  <si>
    <t>WET DEPOSITION of ATTACHED ENP SPECIES (P) to NATURAL SOIL</t>
  </si>
  <si>
    <t>k.cwRP.s1RP</t>
  </si>
  <si>
    <t>WET DEPOSITION of ATTACHED ENP SPECIES (P) to AGRICULTURAL SOIL</t>
  </si>
  <si>
    <t>k.cwRP.s2RP</t>
  </si>
  <si>
    <t>WET DEPOSITION of ATTACHED ENP SPECIES (P) to OTHER SOIL</t>
  </si>
  <si>
    <t>k.cwRP.s3RP</t>
  </si>
  <si>
    <t>WET DEPOSITION of FREE ENP SPECIES (S) to LAKE WATER</t>
  </si>
  <si>
    <t>k.cwRS.w0RS</t>
  </si>
  <si>
    <t>WET DEPOSITION of FREE ENP SPECIES (S) to FRESH WATER</t>
  </si>
  <si>
    <t>k.cwRS.w1RS</t>
  </si>
  <si>
    <t>WET DEPOSITION of FREE ENP SPECIES (S) to SEA WATER</t>
  </si>
  <si>
    <t>k.cwRS.w2RS</t>
  </si>
  <si>
    <t>WET DEPOSITION of AGGREGATED ENP SPECIES (A) to LAKE WATER</t>
  </si>
  <si>
    <t>k.cwRA.w0RA</t>
  </si>
  <si>
    <t>WET DEPOSITION of AGGREGATED ENP SPECIES (A) to FRESH WATER</t>
  </si>
  <si>
    <t>k.cwRA.w1RA</t>
  </si>
  <si>
    <t>WET DEPOSITION of AGGREGATED ENP SPECIES (A) to SEA WATER</t>
  </si>
  <si>
    <t>k.cwRA.w2RA</t>
  </si>
  <si>
    <t>WET DEPOSITION of ATTACHED ENP SPECIES (P) to LAKE WATER</t>
  </si>
  <si>
    <t>k.cwRP.w0RP</t>
  </si>
  <si>
    <t>WET DEPOSITION of ATTACHED ENP SPECIES (P) to FRESH WATER</t>
  </si>
  <si>
    <t>k.cwRP.w1RP</t>
  </si>
  <si>
    <t>WET DEPOSITION of ATTACHED ENP SPECIES (P) to SEA WATER</t>
  </si>
  <si>
    <t>k.cwRP.w2RP</t>
  </si>
  <si>
    <t>SEDIMENTATION of FREE ENP SPECIES (S) to LAKE WATER SEDIMENT</t>
  </si>
  <si>
    <t>k.w0RS.sd0RS</t>
  </si>
  <si>
    <t>SEDIMENTATION of FREE ENP SPECIES (S) to FRESH WATER SEDIMENT</t>
  </si>
  <si>
    <t>k.w1RS.sd1RS</t>
  </si>
  <si>
    <t>SEDIMENTATION of FREE ENP SPECIES (S) to MARINE SEDIMENT</t>
  </si>
  <si>
    <t>k.w2RS.sd2RS</t>
  </si>
  <si>
    <t>SEDIMENTATION of AGGREGATED ENP SPECIES (A) to LAKE WATER SEDIMENT</t>
  </si>
  <si>
    <t>k.w0RA.sd0RA</t>
  </si>
  <si>
    <t>SEDIMENTATION of AGGREGATED ENP SPECIES (A) to FRESH WATER SEDIMENT</t>
  </si>
  <si>
    <t>k.w1RA.sd1RA</t>
  </si>
  <si>
    <t>SEDIMENTATION of AGGREGATED ENP SPECIES (A) to MARINE SEDIMENT</t>
  </si>
  <si>
    <t>k.w2RA.sd2RA</t>
  </si>
  <si>
    <t>SEDIMENTATION of ATTACHED ENP SPECIES (P) to LAKE WATER SEDIMENT</t>
  </si>
  <si>
    <t>k.w0RP.sd0RP</t>
  </si>
  <si>
    <t>SEDIMENTATION of ATTACHED ENP SPECIES (P) to FRESH WATER SEDIMENT</t>
  </si>
  <si>
    <t>k.w1RP.sd1RP</t>
  </si>
  <si>
    <t>SEDIMENTATION of ATTACHED ENP SPECIES (P) to MARINE SEDIMENT</t>
  </si>
  <si>
    <t>k.w2RP.sd2RP</t>
  </si>
  <si>
    <t xml:space="preserve">RESUSPENSION of FREE ENP SPECIES (S) to LAKE WATER </t>
  </si>
  <si>
    <t>k.sd0RS.w0RS</t>
  </si>
  <si>
    <t>Derived with resusp rate</t>
  </si>
  <si>
    <t xml:space="preserve">RESUSPENSION of FREE ENP SPECIES (S) to FRESH WATER </t>
  </si>
  <si>
    <t>k.sd1RS.w1RS</t>
  </si>
  <si>
    <t xml:space="preserve">RESUSPENSION of FREE ENP SPECIES (S) to MARINE </t>
  </si>
  <si>
    <t>k.sd2RS.w2RS</t>
  </si>
  <si>
    <t xml:space="preserve">RESUSPENSION of AGGREGATED ENP SPECIES (A) to LAKE WATER </t>
  </si>
  <si>
    <t>k.sd0RA.w0RA</t>
  </si>
  <si>
    <t xml:space="preserve">RESUSPENSION of AGGREGATED ENP SPECIES (A) to FRESH WATER </t>
  </si>
  <si>
    <t>k.sd1RA.w1RA</t>
  </si>
  <si>
    <t xml:space="preserve">RESUSPENSION of AGGREGATED ENP SPECIES (A) to MARINE </t>
  </si>
  <si>
    <t>k.sd2RA.w2RA</t>
  </si>
  <si>
    <t xml:space="preserve">RESUSPENSION of ATTACHED ENP SPECIES (P) to LAKE WATER </t>
  </si>
  <si>
    <t>k.sd0RP.w0RP</t>
  </si>
  <si>
    <t xml:space="preserve">RESUSPENSION of ATTACHED ENP SPECIES (P) to FRESH WATER </t>
  </si>
  <si>
    <t>k.sd1RP.w1RP</t>
  </si>
  <si>
    <t xml:space="preserve">RESUSPENSION of ATTACHED ENP SPECIES (P) to MARINE </t>
  </si>
  <si>
    <t>k.sd2RP.w2RP</t>
  </si>
  <si>
    <t>RUN-OFF of FREE ENP SPECIES (S) from NATURAL SOIL to (FRESH) WATER</t>
  </si>
  <si>
    <t>k.s1RS.w1RS</t>
  </si>
  <si>
    <t>S&amp;A run-off + erosion</t>
  </si>
  <si>
    <t>RUN-OFF of FREE ENP SPECIES (S) from AGRICULTURAL SOIL to (FRESH) WATER</t>
  </si>
  <si>
    <t>k.s2RS.w1RS</t>
  </si>
  <si>
    <t>RUN-OFF of FREE ENP SPECIES (S) from OTHER SOIL to (FRESH) WATER</t>
  </si>
  <si>
    <t>k.s3RS.w1RS</t>
  </si>
  <si>
    <t>RUN-OFF of AGGREGATED ENP SPECIES (A) from NATURAL SOIL to (FRESH) WATER</t>
  </si>
  <si>
    <t>k.s1RA.w1RA</t>
  </si>
  <si>
    <t>RUN-OFF of AGGREGATED ENP SPECIES (A) from AGRICULTURAL SOIL to (FRESH) WATER</t>
  </si>
  <si>
    <t>k.s2RA.w1RA</t>
  </si>
  <si>
    <t>RUN-OFF of AGGREGATED ENP SPECIES (A) from OTHER SOIL to (FRESH) WATER</t>
  </si>
  <si>
    <t>k.s3RA.w1RA</t>
  </si>
  <si>
    <t>EROSION of ATTACHED ENP SPECIES (P) from NATURAL SOIL to (FRESH) WATER</t>
  </si>
  <si>
    <t>k.s1RP.w1RP</t>
  </si>
  <si>
    <t>P only erosion</t>
  </si>
  <si>
    <t>EROSION of ATTACHED ENP SPECIES (P) from AGRICULTURAL SOIL to (FRESH) WATER</t>
  </si>
  <si>
    <t>k.s2RP.w1RP</t>
  </si>
  <si>
    <t>EROSION of ATTACHED ENP SPECIES (P) from OTHER SOIL to (FRESH) WATER</t>
  </si>
  <si>
    <t>k.s3RP.w1RP</t>
  </si>
  <si>
    <t>REMOVAL particulates from Regional System</t>
  </si>
  <si>
    <t>k.aRS</t>
  </si>
  <si>
    <t>k.aRA</t>
  </si>
  <si>
    <t>k.aRP</t>
  </si>
  <si>
    <t>k.w0RS</t>
  </si>
  <si>
    <r>
      <t>s</t>
    </r>
    <r>
      <rPr>
        <vertAlign val="superscript"/>
        <sz val="10"/>
        <rFont val="Calibri"/>
        <family val="2"/>
      </rPr>
      <t>-1</t>
    </r>
    <r>
      <rPr>
        <b/>
        <sz val="10"/>
        <rFont val="MS Sans Serif"/>
        <family val="2"/>
      </rPr>
      <t/>
    </r>
  </si>
  <si>
    <t>k.w0RA</t>
  </si>
  <si>
    <t>k.w0RP</t>
  </si>
  <si>
    <t>k.w1RS</t>
  </si>
  <si>
    <t>k.w1RA</t>
  </si>
  <si>
    <t>k.w1RP</t>
  </si>
  <si>
    <t>k.w2RS</t>
  </si>
  <si>
    <t>k.w2RA</t>
  </si>
  <si>
    <t>k.w2RP</t>
  </si>
  <si>
    <t>k.sd0RS</t>
  </si>
  <si>
    <t>k.sd0RA</t>
  </si>
  <si>
    <t>k.sd0RP</t>
  </si>
  <si>
    <t>k.sd1RS</t>
  </si>
  <si>
    <t>k.sd1RA</t>
  </si>
  <si>
    <t>k.sd1RP</t>
  </si>
  <si>
    <t>k.sd2RS</t>
  </si>
  <si>
    <t>k.sd2RA</t>
  </si>
  <si>
    <t>k.sd2RP</t>
  </si>
  <si>
    <t>k.s1RS</t>
  </si>
  <si>
    <t>k.s1RA</t>
  </si>
  <si>
    <t>k.s1RP</t>
  </si>
  <si>
    <t>k.s2RS</t>
  </si>
  <si>
    <t>k.s2RA</t>
  </si>
  <si>
    <t>k.s2RP</t>
  </si>
  <si>
    <t>k.s3RS</t>
  </si>
  <si>
    <t>k.s3RA</t>
  </si>
  <si>
    <t>k.s3RP</t>
  </si>
  <si>
    <t>LEACHING of AGGREGATED (A) AND FREE (S) ENP SPECIES from NATURAL SOIL</t>
  </si>
  <si>
    <t>kleach.s1R</t>
  </si>
  <si>
    <t>Leaching is an advective process of soil pore water flow in which both free ENPS and aggregated ENPS are subjected to</t>
  </si>
  <si>
    <t>LEACHING of AGGREGATED (A) AND FREE (S) ENP SPECIES from AGRICULTURAL SOIL</t>
  </si>
  <si>
    <t>kleach.s2R</t>
  </si>
  <si>
    <t>LEACHING of AGGREGATED (A) AND FREE (S) ENP SPECIES from OTHER SOIL</t>
  </si>
  <si>
    <t>kleach.s3R</t>
  </si>
  <si>
    <t>Burial from lake sediment</t>
  </si>
  <si>
    <t>kbur.sd0R</t>
  </si>
  <si>
    <t>Equal to sediment burial of dissolved species (D) as burial is an advective removal process independent of substance properties or type</t>
  </si>
  <si>
    <t>Burial from fresh water sediment</t>
  </si>
  <si>
    <t>kbur.sd1R</t>
  </si>
  <si>
    <t>Burial from sea water sediment</t>
  </si>
  <si>
    <t>kbur.sd2R</t>
  </si>
  <si>
    <t>CONTINENTAL SCALE MODEL DEFINITION</t>
  </si>
  <si>
    <t>VOLUME.aC</t>
  </si>
  <si>
    <t>VOLUME cloud water compartment</t>
  </si>
  <si>
    <t>VOLUME.cwC</t>
  </si>
  <si>
    <t>VOLUME.w0C</t>
  </si>
  <si>
    <t>VOLUME.w1C</t>
  </si>
  <si>
    <t>VOLUME.w2C</t>
  </si>
  <si>
    <t>VOLUME lake sediment compartment</t>
  </si>
  <si>
    <t>VOLUME.sd0C</t>
  </si>
  <si>
    <t>VOLUME.sd1C</t>
  </si>
  <si>
    <t>VOLUME.sd2C</t>
  </si>
  <si>
    <t>VOLUME.s1C</t>
  </si>
  <si>
    <t>VOLUME.s2C</t>
  </si>
  <si>
    <t>VOLUME.s3C</t>
  </si>
  <si>
    <t>AREA continental system</t>
  </si>
  <si>
    <t>SYSTEMAREA.C</t>
  </si>
  <si>
    <t>AREAFRAC.w0C</t>
  </si>
  <si>
    <t>AREAFRAC.w1C</t>
  </si>
  <si>
    <t>AREAFRAC.s1C</t>
  </si>
  <si>
    <t>AREAFRAC.s2C</t>
  </si>
  <si>
    <t>AREAFRAC.s3C</t>
  </si>
  <si>
    <t>AREAFRAC.w2C</t>
  </si>
  <si>
    <t>HEIGHT.aC</t>
  </si>
  <si>
    <t>DEPTH.w0C</t>
  </si>
  <si>
    <t>DEPTH.w1C</t>
  </si>
  <si>
    <t>DEPTH.w2C</t>
  </si>
  <si>
    <t>Mixed DEPTH lake sediment compartment</t>
  </si>
  <si>
    <t>DEPTH.sd0C</t>
  </si>
  <si>
    <t>DEPTH.sd1C</t>
  </si>
  <si>
    <t>DEPTH.sd2C</t>
  </si>
  <si>
    <t>DEPTH.s1C</t>
  </si>
  <si>
    <t>DEPTH.s2C</t>
  </si>
  <si>
    <t>DEPTH.s3C</t>
  </si>
  <si>
    <r>
      <t>FRAC</t>
    </r>
    <r>
      <rPr>
        <sz val="10"/>
        <rFont val="Calibri"/>
        <family val="2"/>
      </rPr>
      <t>cldw.aC</t>
    </r>
  </si>
  <si>
    <r>
      <t>FRAC</t>
    </r>
    <r>
      <rPr>
        <sz val="10"/>
        <rFont val="Calibri"/>
        <family val="2"/>
      </rPr>
      <t>aers.aC</t>
    </r>
  </si>
  <si>
    <r>
      <t>FRAC</t>
    </r>
    <r>
      <rPr>
        <sz val="10"/>
        <rFont val="Calibri"/>
        <family val="2"/>
      </rPr>
      <t>aerw.aC</t>
    </r>
  </si>
  <si>
    <t>FRACa.s1C</t>
  </si>
  <si>
    <t>FRACw.s1C</t>
  </si>
  <si>
    <t>FRACs.s1C</t>
  </si>
  <si>
    <t>FRACa.s2C</t>
  </si>
  <si>
    <t>FRACw.s2C</t>
  </si>
  <si>
    <t>FRACs.s2C</t>
  </si>
  <si>
    <t>FRACa.s3C</t>
  </si>
  <si>
    <t>FRACw.s3C</t>
  </si>
  <si>
    <t>FRACs.s3C</t>
  </si>
  <si>
    <t>FRACw.sdC</t>
  </si>
  <si>
    <t>FRACs.sdC</t>
  </si>
  <si>
    <t>TRANSFER rate continental air - regional air</t>
  </si>
  <si>
    <t>k.aC.aR</t>
  </si>
  <si>
    <t>TRANSFER rate continental air - moderate air</t>
  </si>
  <si>
    <t>k.aC.aM</t>
  </si>
  <si>
    <t>RESIDENCE TIME of air over continent</t>
  </si>
  <si>
    <t>TAU.aC</t>
  </si>
  <si>
    <t>TRANSFER rate continental lake water - continental fresh water</t>
  </si>
  <si>
    <t>k.w0C.w1C</t>
  </si>
  <si>
    <t>TRANSFER rate continental lake water - continental sea water</t>
  </si>
  <si>
    <t>k.w0C.w2C</t>
  </si>
  <si>
    <t>TRANSFER rate continental fresh water - continental lake water</t>
  </si>
  <si>
    <t>k.w1C.w0C</t>
  </si>
  <si>
    <t>TRANSFER rate continental fresh water - regional fresh water</t>
  </si>
  <si>
    <t>k.w1C.w1R</t>
  </si>
  <si>
    <t>TRANSFER rate continental fresh water - continental sea water</t>
  </si>
  <si>
    <t>k.w1C.w2C</t>
  </si>
  <si>
    <t>Water FLOW of continental lake water to continental fresh water</t>
  </si>
  <si>
    <t>WATERflow.w0C.w1C</t>
  </si>
  <si>
    <t>Water FLOW of continental lake water to continental sea water</t>
  </si>
  <si>
    <t>WATERflow.w0C.w2C</t>
  </si>
  <si>
    <t>Water FLOW of continental fresh water to continental lake water</t>
  </si>
  <si>
    <t>WATERflow.w1C.w0C</t>
  </si>
  <si>
    <t>Water FLOW continental fresh water - regional sea water</t>
  </si>
  <si>
    <t>WATERflow.w1C.w1R</t>
  </si>
  <si>
    <t>Water FLOW of continental fresh water - continental sea water</t>
  </si>
  <si>
    <t>WATERflow.w1C.w2C</t>
  </si>
  <si>
    <t>TRANSFER rate continental sea water - regional sea water</t>
  </si>
  <si>
    <t>k.w2C.w2R</t>
  </si>
  <si>
    <t>TRANSFER rate continental sea water - moderate water</t>
  </si>
  <si>
    <t>k.w2C.w2M</t>
  </si>
  <si>
    <t>Water FLOW continental sea water - regional sea water</t>
  </si>
  <si>
    <t>WATERflow.w2C.w2R</t>
  </si>
  <si>
    <t>Water FLOW continental sea water - moderate surface ocean</t>
  </si>
  <si>
    <t>WATERflow.w2C.w2M</t>
  </si>
  <si>
    <t>RESIDENCE TIME of water on continental shelf</t>
  </si>
  <si>
    <t>TAU.w2C</t>
  </si>
  <si>
    <t>INTER MEDIA PARTITIONING</t>
  </si>
  <si>
    <t>FRACTION of chemical in gas phase</t>
  </si>
  <si>
    <r>
      <t>FR</t>
    </r>
    <r>
      <rPr>
        <sz val="10"/>
        <rFont val="Calibri"/>
        <family val="2"/>
      </rPr>
      <t>gas.aC</t>
    </r>
  </si>
  <si>
    <t>FRACTION of chemical in aerosol water</t>
  </si>
  <si>
    <t>FRaerw.aC</t>
  </si>
  <si>
    <t>FRACTION of chemical in aerosol solids</t>
  </si>
  <si>
    <t>FRaers.aC</t>
  </si>
  <si>
    <t>Dimensionless air/water PARTITION COEFFICIENT</t>
  </si>
  <si>
    <r>
      <t>K</t>
    </r>
    <r>
      <rPr>
        <sz val="10"/>
        <rFont val="Calibri"/>
        <family val="2"/>
      </rPr>
      <t>aw.C</t>
    </r>
  </si>
  <si>
    <t>Dimensionless aerosol water / air PARTITION COEFFICIENT</t>
  </si>
  <si>
    <t>Kaerw.aC</t>
  </si>
  <si>
    <t>Dimensionless aerosol solids / air PARTITION COEFFICIENT</t>
  </si>
  <si>
    <t>Kaers.aC</t>
  </si>
  <si>
    <t>FRACTION of chemical truely dissolved in water phase lake water</t>
  </si>
  <si>
    <t>FRw.w0C</t>
  </si>
  <si>
    <t>Kp.susp0C</t>
  </si>
  <si>
    <t>CORG.susp0C</t>
  </si>
  <si>
    <t>Kp.col0C</t>
  </si>
  <si>
    <t>FRw.w1C</t>
  </si>
  <si>
    <t>Kp.susp1C</t>
  </si>
  <si>
    <t>CORG.susp1C</t>
  </si>
  <si>
    <t>Kp.col1C</t>
  </si>
  <si>
    <t>FRw.w2C</t>
  </si>
  <si>
    <t>Kp.susp2C</t>
  </si>
  <si>
    <t>CORG.susp2C</t>
  </si>
  <si>
    <t>Kp.col2C</t>
  </si>
  <si>
    <t>Ksdw0.C</t>
  </si>
  <si>
    <t>Kp.sd0C</t>
  </si>
  <si>
    <t>CORG.sd0C</t>
  </si>
  <si>
    <t>Ksdw1.C</t>
  </si>
  <si>
    <t>Kp.sd1C</t>
  </si>
  <si>
    <t>CORG.sd1C</t>
  </si>
  <si>
    <t>Ksdw2.C</t>
  </si>
  <si>
    <t>Kp.sd2C</t>
  </si>
  <si>
    <t>CORG.sd2C</t>
  </si>
  <si>
    <t>Ks1w.C</t>
  </si>
  <si>
    <t>FRACTION of chemical in water phase natural soil</t>
  </si>
  <si>
    <t>FRw.s1C</t>
  </si>
  <si>
    <t>FRACTION of chemical in solid phase natural soil</t>
  </si>
  <si>
    <t>FRs.s1C</t>
  </si>
  <si>
    <t>Kp.s1C</t>
  </si>
  <si>
    <t>CORG.s1C</t>
  </si>
  <si>
    <t>Ks2w.C</t>
  </si>
  <si>
    <t>FRACTION of chemical in water phase agricultural soil</t>
  </si>
  <si>
    <t>FRw.s2C</t>
  </si>
  <si>
    <t>FRACTION of chemical in solid phase agricultural soil</t>
  </si>
  <si>
    <t>FRs.s2C</t>
  </si>
  <si>
    <t>Kp.s2C</t>
  </si>
  <si>
    <t>CORG.s2C</t>
  </si>
  <si>
    <t>Ks3w.C</t>
  </si>
  <si>
    <t>FRACTION of chemical in water phase other soil</t>
  </si>
  <si>
    <t>FRw.s3C</t>
  </si>
  <si>
    <t>FRACTION of chemical in solid phase other soil</t>
  </si>
  <si>
    <t>FRs.s3C</t>
  </si>
  <si>
    <t>Kp.s3C</t>
  </si>
  <si>
    <t>CORG.s3C</t>
  </si>
  <si>
    <t>TRANSFER rate air - lake water</t>
  </si>
  <si>
    <t>k.aCG.w0CD</t>
  </si>
  <si>
    <t>TRANSFER rate air - fresh water</t>
  </si>
  <si>
    <t>k.aCG.w1CD</t>
  </si>
  <si>
    <t>TRANSFER rate air - sea water</t>
  </si>
  <si>
    <t>k.aCG.w2CD</t>
  </si>
  <si>
    <t>TRANSFER rate air - natural soil</t>
  </si>
  <si>
    <t>k.aCG.s1CD</t>
  </si>
  <si>
    <t>TRANSFER rate air - agricultural soil</t>
  </si>
  <si>
    <t>k.aCG.s2CD</t>
  </si>
  <si>
    <t>TRANSFER rate air - other soil</t>
  </si>
  <si>
    <t>k.aCG.s3CD</t>
  </si>
  <si>
    <t>TRANSFER rate fresh water - air</t>
  </si>
  <si>
    <t>k.w0CD.aCG</t>
  </si>
  <si>
    <t>k.w1CD.aCG</t>
  </si>
  <si>
    <t>TRANSFER rate sea water - air</t>
  </si>
  <si>
    <t>k.w2CD.aCG</t>
  </si>
  <si>
    <t>TRANSFER rate natural soil - air</t>
  </si>
  <si>
    <t>k.s1CD.aCG</t>
  </si>
  <si>
    <t>TRANSFER rate agricultural soil - air</t>
  </si>
  <si>
    <t>k.s2CD.aCG</t>
  </si>
  <si>
    <t>TRANSFER rate other soil - air</t>
  </si>
  <si>
    <t>k.s3CD.aCG</t>
  </si>
  <si>
    <t>MEAN atmospheric deposition rate constant</t>
  </si>
  <si>
    <t>MeanDep.C</t>
  </si>
  <si>
    <t>Mean removal rate constant from atmosphere</t>
  </si>
  <si>
    <t>MeanRem.aC</t>
  </si>
  <si>
    <t>Total removal rate constant from atmosphere during dry episodes</t>
  </si>
  <si>
    <t>kdry.C</t>
  </si>
  <si>
    <t>Total removal rate constant from atmosphere during wet episodes</t>
  </si>
  <si>
    <t>kwet.C</t>
  </si>
  <si>
    <t>tdry.C</t>
  </si>
  <si>
    <t>twet.C</t>
  </si>
  <si>
    <t>DRYDEPaerosol.C</t>
  </si>
  <si>
    <t>AerosolWashout.C</t>
  </si>
  <si>
    <t>Gas WASHOUT</t>
  </si>
  <si>
    <t>GasWashout.C</t>
  </si>
  <si>
    <t>AEROSOLdeprate.C</t>
  </si>
  <si>
    <t>COLLECTeff.C</t>
  </si>
  <si>
    <t>GASABS.aC.wC</t>
  </si>
  <si>
    <t>GASABS.aC.sC</t>
  </si>
  <si>
    <t>VOLAT.w0C.aC</t>
  </si>
  <si>
    <t>VOLAT.w1C.aC</t>
  </si>
  <si>
    <t>VOLAT.w2C.aC</t>
  </si>
  <si>
    <t>MTCaw.air.aC</t>
  </si>
  <si>
    <t>MTCaw.water.wC</t>
  </si>
  <si>
    <t>VOLATILIZATION flux from natural soil</t>
  </si>
  <si>
    <t>VOLAT.s1C.aC</t>
  </si>
  <si>
    <t>VOLATILIZATION flux from agricultural soil</t>
  </si>
  <si>
    <t>VOLAT.s2C.aC</t>
  </si>
  <si>
    <t>VOLATILIZATION flux from other soil</t>
  </si>
  <si>
    <t>VOLAT.s3C.aC</t>
  </si>
  <si>
    <t>MTCas.air.aC</t>
  </si>
  <si>
    <t>MTCas.soil.sC</t>
  </si>
  <si>
    <t>alternate formulation ksoil; pentration depth 0.1 m</t>
  </si>
  <si>
    <t>CORRvolat.s1C</t>
  </si>
  <si>
    <t>CORRvolat.s2C</t>
  </si>
  <si>
    <t>CORRvolat.s3C</t>
  </si>
  <si>
    <t>k.w0CD.sd0CD</t>
  </si>
  <si>
    <t>k.w1CD.sd1CD</t>
  </si>
  <si>
    <t>k.w2CD.sd2CD</t>
  </si>
  <si>
    <t>k.sd0CD.w0CD</t>
  </si>
  <si>
    <t>k.sd1CD.w1CD</t>
  </si>
  <si>
    <t>k.sd2CD.w2CD</t>
  </si>
  <si>
    <t>SED.w0C.sd0C</t>
  </si>
  <si>
    <t>RESUSP.sd0C.w0C</t>
  </si>
  <si>
    <t>SED.w1C.sd1C</t>
  </si>
  <si>
    <t>RESUSP.sd1C.w1C</t>
  </si>
  <si>
    <t>SED.w2C.sd2C</t>
  </si>
  <si>
    <t>RESUSP.sd2C.w2C</t>
  </si>
  <si>
    <t>GROSSSEDrate.w0C</t>
  </si>
  <si>
    <t>GROSSSEDrate.w1C</t>
  </si>
  <si>
    <t>GROSSSEDrate.w2C</t>
  </si>
  <si>
    <t>SETTLvelocity.C</t>
  </si>
  <si>
    <t>NETsedrate.w0C</t>
  </si>
  <si>
    <t>NETsedrate.w1C</t>
  </si>
  <si>
    <t>NETsedrate.w2C</t>
  </si>
  <si>
    <t>PRODsusp.w1C</t>
  </si>
  <si>
    <t>PRODsusp.w2C</t>
  </si>
  <si>
    <t>ADSORB.w1C.sd1C</t>
  </si>
  <si>
    <t>DESORB.sd1C.w1C</t>
  </si>
  <si>
    <t>ADSORB.w2C.sd2C</t>
  </si>
  <si>
    <t>DESORB.sd2C.w2C</t>
  </si>
  <si>
    <t>kwsd.water.wC</t>
  </si>
  <si>
    <t>kwsd.sed.sdC</t>
  </si>
  <si>
    <t>TRANSFER rate natural soil - water</t>
  </si>
  <si>
    <t>k.s1C.w1C</t>
  </si>
  <si>
    <t>TRANSFER rate agricultural soil - water</t>
  </si>
  <si>
    <t>k.s2C.w1C</t>
  </si>
  <si>
    <t>TRANSFER rate other soil - water</t>
  </si>
  <si>
    <t>k.s3C.w1C</t>
  </si>
  <si>
    <t>EROSION.s1C</t>
  </si>
  <si>
    <t>EROSION.s2C</t>
  </si>
  <si>
    <t>EROSION.s3C</t>
  </si>
  <si>
    <t>FRACrun.s1C</t>
  </si>
  <si>
    <t>FRACrun.s2C</t>
  </si>
  <si>
    <t>FRACrun.s3C</t>
  </si>
  <si>
    <t>CORRrunoff.s1C</t>
  </si>
  <si>
    <t>CORRrunoff.s2C</t>
  </si>
  <si>
    <t>CORRrunoff.s3C</t>
  </si>
  <si>
    <t>k.aC</t>
  </si>
  <si>
    <t>k.w0C</t>
  </si>
  <si>
    <t>k.w1C</t>
  </si>
  <si>
    <t>k.w2C</t>
  </si>
  <si>
    <t>k.sd0CD</t>
  </si>
  <si>
    <t>k.sd1C</t>
  </si>
  <si>
    <t>k.sd2C</t>
  </si>
  <si>
    <t>k.s1C</t>
  </si>
  <si>
    <t>k.s2C</t>
  </si>
  <si>
    <t>k.s3C</t>
  </si>
  <si>
    <t>kesc.aC</t>
  </si>
  <si>
    <t>KDEG.aC</t>
  </si>
  <si>
    <t>Continental OH-radical concentration</t>
  </si>
  <si>
    <t>C.OHrad.aC</t>
  </si>
  <si>
    <t>Temperature correction reaction rate air</t>
  </si>
  <si>
    <t>Tempfactor.aC</t>
  </si>
  <si>
    <t>KDEG.w0C</t>
  </si>
  <si>
    <t>KDEG.w1C</t>
  </si>
  <si>
    <t>KDEG.w2C</t>
  </si>
  <si>
    <t>BACT.w0C</t>
  </si>
  <si>
    <t>BACT.w1C</t>
  </si>
  <si>
    <t>BACT.w2C</t>
  </si>
  <si>
    <t>Tempfactor.wsdsC</t>
  </si>
  <si>
    <t>DEGRADATION in lake sediment</t>
  </si>
  <si>
    <t>KDEG.sd0C</t>
  </si>
  <si>
    <t>KDEG.sd1C</t>
  </si>
  <si>
    <t>KDEG.sd2C</t>
  </si>
  <si>
    <t>KDEG.s1C</t>
  </si>
  <si>
    <t>KDEG.s2C</t>
  </si>
  <si>
    <t>KDEG.s3C</t>
  </si>
  <si>
    <t>FRACinf.s1C</t>
  </si>
  <si>
    <t>FRACinf.s2C</t>
  </si>
  <si>
    <t>FRACinf.s3C</t>
  </si>
  <si>
    <t>CORRleach.s1C</t>
  </si>
  <si>
    <t>CORRleach.s2C</t>
  </si>
  <si>
    <t>CORRleach.s3C</t>
  </si>
  <si>
    <t>k.aCS.aCA</t>
  </si>
  <si>
    <t>kcoag.aCS.aCNuc</t>
  </si>
  <si>
    <t>ThermvelNuc.aC</t>
  </si>
  <si>
    <t>DiffNuc.aC</t>
  </si>
  <si>
    <t>Fuchs.aCS.aCNuc</t>
  </si>
  <si>
    <t>kcoag.aCS.aCAcc</t>
  </si>
  <si>
    <t>ThermvelAcc.aC</t>
  </si>
  <si>
    <t>DiffAcc.aC</t>
  </si>
  <si>
    <t>Fuchs.aCS.aCAcc</t>
  </si>
  <si>
    <t>k.aCS.aCP</t>
  </si>
  <si>
    <t>ThermvelCP.aC</t>
  </si>
  <si>
    <t>DiffCP.aC</t>
  </si>
  <si>
    <t>Fuchs.aCS.aCCP</t>
  </si>
  <si>
    <t>k.w0CS.w0CA</t>
  </si>
  <si>
    <t>NumConcNC.w0C</t>
  </si>
  <si>
    <t>fTotalSNC.w0C</t>
  </si>
  <si>
    <t>fInterceptSNC.w0C</t>
  </si>
  <si>
    <t>Shear.w0C</t>
  </si>
  <si>
    <t>k.w1CS.w1CA</t>
  </si>
  <si>
    <t>NumConcNC.w1C</t>
  </si>
  <si>
    <t>fTotalSNC.w1C</t>
  </si>
  <si>
    <t>fInterceptSNC.w1C</t>
  </si>
  <si>
    <t>Shear.w1C</t>
  </si>
  <si>
    <t>k.w2CS.w2CA</t>
  </si>
  <si>
    <t>NumConcNC.w2C</t>
  </si>
  <si>
    <t>fTotalSNC.w2C</t>
  </si>
  <si>
    <t>fInterceptSNC.w2C</t>
  </si>
  <si>
    <t>Shear.w2C</t>
  </si>
  <si>
    <t>fBrownSNC.wC</t>
  </si>
  <si>
    <t>fGravSNC.wC</t>
  </si>
  <si>
    <t>k.w0CS.w0CP</t>
  </si>
  <si>
    <t>NumConcSPM.w0C</t>
  </si>
  <si>
    <t>fTotalSSPM.w0C</t>
  </si>
  <si>
    <t>fInterceptSSPM.w0C</t>
  </si>
  <si>
    <t>k.w1CS.w1CP</t>
  </si>
  <si>
    <t>NumConcSPM.w1C</t>
  </si>
  <si>
    <t>fTotalSSPM.w1C</t>
  </si>
  <si>
    <t>fInterceptSSPM.w1C</t>
  </si>
  <si>
    <t>k.w2CS.w2CP</t>
  </si>
  <si>
    <t>NumConcSPM.w2C</t>
  </si>
  <si>
    <t>fTotalSSPM.w2C</t>
  </si>
  <si>
    <t>fInterceptSSPM.w2C</t>
  </si>
  <si>
    <t>fBrownSSPM.wC</t>
  </si>
  <si>
    <t>Collision frequency coefficient ENPs vs. suspende particles (&gt;450nm) by gravitational impaction</t>
  </si>
  <si>
    <t>fGravSSPM.wC</t>
  </si>
  <si>
    <t>k.sd0CS.sd0CA</t>
  </si>
  <si>
    <t>Assumed no collisions due to interception due to no shear rate in sediment</t>
  </si>
  <si>
    <t>NumConcNC.sd0C</t>
  </si>
  <si>
    <t>Now assumed same as in water column</t>
  </si>
  <si>
    <t>k.sd1CS.sd1CA</t>
  </si>
  <si>
    <t>NumConcNC.sd1C</t>
  </si>
  <si>
    <t>k.sd2CS.sd2CA</t>
  </si>
  <si>
    <t>NumConcNC.sd2C</t>
  </si>
  <si>
    <t>fBrownSNC.sdC</t>
  </si>
  <si>
    <t>fGravSNC.sdC</t>
  </si>
  <si>
    <t>DEPOSOTION rate ENPs on FPs in LAKE SEDIMENT</t>
  </si>
  <si>
    <t>k.sd0CS.sd0CP</t>
  </si>
  <si>
    <t>DEPOSOTION rate ENPs on FPs in FRESH WATER SEDIMENT</t>
  </si>
  <si>
    <t>k.sd1CS.sd1CP</t>
  </si>
  <si>
    <t>DEPOSOTION rate ENPs on FPs in MARINE SEDIMENT</t>
  </si>
  <si>
    <t>k.sd2CS.sd2CP</t>
  </si>
  <si>
    <t>Filter.sdC</t>
  </si>
  <si>
    <t>Udarcy.sdC</t>
  </si>
  <si>
    <t>fTotalSP.sdC</t>
  </si>
  <si>
    <t>fBrownSP.sdC</t>
  </si>
  <si>
    <t>ASPDF.sdC</t>
  </si>
  <si>
    <t>GammPDF.sdC</t>
  </si>
  <si>
    <t>Por.sdC</t>
  </si>
  <si>
    <t>fInterceptSP.sdC</t>
  </si>
  <si>
    <t>fGravSP.sdC</t>
  </si>
  <si>
    <t>vdWaalsNumberSP.sdC</t>
  </si>
  <si>
    <t>aspectratioSP.sdC</t>
  </si>
  <si>
    <t>PecletNumberSP.sdC</t>
  </si>
  <si>
    <t>GravNumberSP.sdC</t>
  </si>
  <si>
    <t>k.s1CS.s1CA</t>
  </si>
  <si>
    <t>k.s2CS.s2CA</t>
  </si>
  <si>
    <t>k.s3CS.s3CA</t>
  </si>
  <si>
    <t>NumConcNC.sC</t>
  </si>
  <si>
    <t>fBrownSNC.sC</t>
  </si>
  <si>
    <t>fGravSNC.sC</t>
  </si>
  <si>
    <t>k.s1CS.s1CP</t>
  </si>
  <si>
    <t>Filter.s1C</t>
  </si>
  <si>
    <t>Udarcy.s1C</t>
  </si>
  <si>
    <t>fTotalSFP.s1C</t>
  </si>
  <si>
    <t>fBrownSFP.s1C</t>
  </si>
  <si>
    <t>ASPDF.s1C</t>
  </si>
  <si>
    <t>GammPDF.s1C</t>
  </si>
  <si>
    <t>Por.s1C</t>
  </si>
  <si>
    <t>fInterceptSFP.s1C</t>
  </si>
  <si>
    <t>fGravSFP.s1C</t>
  </si>
  <si>
    <t>vdWaalsNumberSFP.s1C</t>
  </si>
  <si>
    <t>aspectratioSFP.s1C</t>
  </si>
  <si>
    <t>PecletNumberFP.s1C</t>
  </si>
  <si>
    <t>GravNumberS.s1C</t>
  </si>
  <si>
    <t>k.s2CS.s2CP</t>
  </si>
  <si>
    <t>Filter.s2C</t>
  </si>
  <si>
    <t>Udarcy.s2C</t>
  </si>
  <si>
    <t>fTotalSFP.s2C</t>
  </si>
  <si>
    <t>fBrownSFP.s2C</t>
  </si>
  <si>
    <t>ASPDF.s2C</t>
  </si>
  <si>
    <t>GammPDF.s2C</t>
  </si>
  <si>
    <t>Por.s2C</t>
  </si>
  <si>
    <t>fInterceptSFP.s2C</t>
  </si>
  <si>
    <t>fGravSFP.s2C</t>
  </si>
  <si>
    <t>aspectratioSFP.s2C</t>
  </si>
  <si>
    <t>PecletNumberFP.s2C</t>
  </si>
  <si>
    <t>vdWaalsNumberSFP.s2C</t>
  </si>
  <si>
    <t>GravNumberS.s2C</t>
  </si>
  <si>
    <t>k.s3CS.s3CP</t>
  </si>
  <si>
    <t>Filter.s3C</t>
  </si>
  <si>
    <t>Udarcy.s3C</t>
  </si>
  <si>
    <t>fTotalSFP.s3C</t>
  </si>
  <si>
    <t>fBrownSFP.s3C</t>
  </si>
  <si>
    <t>ASPDF.s3C</t>
  </si>
  <si>
    <t>GammPDF.s3C</t>
  </si>
  <si>
    <t>Por.s3C</t>
  </si>
  <si>
    <t>fInterceptSFP.s3C</t>
  </si>
  <si>
    <t>fGravSFP.s3C</t>
  </si>
  <si>
    <t>aspectratioSFP.s3C</t>
  </si>
  <si>
    <t>PecletNumberFP.s3C</t>
  </si>
  <si>
    <t>vdWaalsNumberSFP.s3C</t>
  </si>
  <si>
    <t>GravNumberS.s3C</t>
  </si>
  <si>
    <t>Rad.cwC</t>
  </si>
  <si>
    <t>FRACtwet.C</t>
  </si>
  <si>
    <t>RAINrate.wet.C</t>
  </si>
  <si>
    <t>TerminalVel.cwC</t>
  </si>
  <si>
    <t>Cunningham.cwC</t>
  </si>
  <si>
    <t>CritStokesNumb.cwC</t>
  </si>
  <si>
    <t>ReyNumber.cwC</t>
  </si>
  <si>
    <t>`</t>
  </si>
  <si>
    <t>PROPERTIES of HETEROAGGLOMERATES</t>
  </si>
  <si>
    <t>RadA.aC</t>
  </si>
  <si>
    <t>RhoA.aC</t>
  </si>
  <si>
    <t>SingleVolA.aC</t>
  </si>
  <si>
    <t>SingleMassA.aC</t>
  </si>
  <si>
    <t>k.aCS.cwCS</t>
  </si>
  <si>
    <t>Equation??</t>
  </si>
  <si>
    <t>RelaxS.aC</t>
  </si>
  <si>
    <t>StokesNumberS.aC</t>
  </si>
  <si>
    <t>SettvelS.aC</t>
  </si>
  <si>
    <t>SchmidtNumberS.aC</t>
  </si>
  <si>
    <t>fBrown.aCS.cwCS</t>
  </si>
  <si>
    <t>fIntercept.aCS.cwCS</t>
  </si>
  <si>
    <t>fGrav.aCS.cwCS</t>
  </si>
  <si>
    <t>fTotal.aCS.cwCS</t>
  </si>
  <si>
    <t>k.aCA.cwCA</t>
  </si>
  <si>
    <t>CunninghamA.aC</t>
  </si>
  <si>
    <t>DiffA.aC</t>
  </si>
  <si>
    <t>RelaxA.aC</t>
  </si>
  <si>
    <t>StokesNumberA.aC</t>
  </si>
  <si>
    <t>SettvelA.aC</t>
  </si>
  <si>
    <t>SchmidtNumberA.aC</t>
  </si>
  <si>
    <t>fBrown.aCA.cwCA</t>
  </si>
  <si>
    <t>fIntercept.aCA.cwCA</t>
  </si>
  <si>
    <t>fGrav.aCA.cwCA</t>
  </si>
  <si>
    <t>fTotal.aCA.cwCA</t>
  </si>
  <si>
    <t>k.aCP.cwCP</t>
  </si>
  <si>
    <t>k.aCS.s1CS</t>
  </si>
  <si>
    <t>DEPvelocity.aCS.s1CS</t>
  </si>
  <si>
    <t>AEROresist.s1C</t>
  </si>
  <si>
    <t>SURFresist.s1CS</t>
  </si>
  <si>
    <t>FRICvelocity.s1C</t>
  </si>
  <si>
    <t>fBrown.aCS.s1CS</t>
  </si>
  <si>
    <t>fIntercept.aCS.s1CS</t>
  </si>
  <si>
    <t>veghair.s1C</t>
  </si>
  <si>
    <t>largevegradius.s1C</t>
  </si>
  <si>
    <t>AREAFRACveg.s1C</t>
  </si>
  <si>
    <t>fGrav.aCS.s1CS</t>
  </si>
  <si>
    <t>k.aCS.s2CS</t>
  </si>
  <si>
    <t>DEPvelocity.aCS.s2CS</t>
  </si>
  <si>
    <t>AEROresist.s2C</t>
  </si>
  <si>
    <t>SURFresist.s2CS</t>
  </si>
  <si>
    <t>FRICvelocity.s2C</t>
  </si>
  <si>
    <t>fBrown.aCS.s2CS</t>
  </si>
  <si>
    <t>fIntercept.aCS.s2CS</t>
  </si>
  <si>
    <t>veghair.s2C</t>
  </si>
  <si>
    <t>largevegradius.s2C</t>
  </si>
  <si>
    <t>AREAFRACveg.s2C</t>
  </si>
  <si>
    <t>fGrav.aCS.s2CS</t>
  </si>
  <si>
    <t>k.aCS.s3CS</t>
  </si>
  <si>
    <t>DEPvelocity.aCS.s3CS</t>
  </si>
  <si>
    <t>AEROresist.s3C</t>
  </si>
  <si>
    <t>SURFresist.s3CS</t>
  </si>
  <si>
    <t>FRICvelocity.s3C</t>
  </si>
  <si>
    <t>fBrown.aCS.s3CS</t>
  </si>
  <si>
    <t>fIntercept.aCS.s3CS</t>
  </si>
  <si>
    <t>veghair.s3C</t>
  </si>
  <si>
    <t>largevegradius.s3C</t>
  </si>
  <si>
    <t>AREAFRACveg.s3C</t>
  </si>
  <si>
    <t>fGrav.aCS.s3CS</t>
  </si>
  <si>
    <t>k.aCA.s1CA</t>
  </si>
  <si>
    <t>DEPvelocity.aCA.s1CA</t>
  </si>
  <si>
    <t>SURFresist.s1CA</t>
  </si>
  <si>
    <t>fBrown.aCA.s1CA</t>
  </si>
  <si>
    <t>fIntercept.aCA.s1CA</t>
  </si>
  <si>
    <t>fGrav.aCAs1CA</t>
  </si>
  <si>
    <t>k.aCA.s2CA</t>
  </si>
  <si>
    <t>DEPvelocity.aCA.s2CA</t>
  </si>
  <si>
    <t>SURFresist.s2CA</t>
  </si>
  <si>
    <t>fBrown.aCA.s2CA</t>
  </si>
  <si>
    <t>fIntercept.aCA.s2CA</t>
  </si>
  <si>
    <t>fGrav.aCAs2CA</t>
  </si>
  <si>
    <t>k.aCA.s3CA</t>
  </si>
  <si>
    <t>DEPvelocity.aCA.s3CA</t>
  </si>
  <si>
    <t>SURFresist.s3CA</t>
  </si>
  <si>
    <t>fBrown.aCA.s3CA</t>
  </si>
  <si>
    <t>fIntercept.aCA.s3CA</t>
  </si>
  <si>
    <t>fGrav.aCAs3CA</t>
  </si>
  <si>
    <t>k.aCP.s1CP</t>
  </si>
  <si>
    <t>Derived from aerosol deprate</t>
  </si>
  <si>
    <t>k.aCP.s2CP</t>
  </si>
  <si>
    <t>k.aCP.s3CP</t>
  </si>
  <si>
    <t>k.aCS.w0CS</t>
  </si>
  <si>
    <t>DEPvelocity.aCS.w0CS</t>
  </si>
  <si>
    <t>AEROresist.w0C</t>
  </si>
  <si>
    <t>SURFresist.w0CS</t>
  </si>
  <si>
    <t>FRICvelocity.wC</t>
  </si>
  <si>
    <t>fBrown.aCS.w</t>
  </si>
  <si>
    <t>fGrav.aCS.w</t>
  </si>
  <si>
    <t>k.aCS.w1CS</t>
  </si>
  <si>
    <t>DEPvelocity.aCS.w1CS</t>
  </si>
  <si>
    <t>AEROresist.w1C</t>
  </si>
  <si>
    <t>k.aCS.w2CS</t>
  </si>
  <si>
    <t>DEPvelocity.aCS.w2CS</t>
  </si>
  <si>
    <t>AEROresist.w2C</t>
  </si>
  <si>
    <t>k.aCA.w0CA</t>
  </si>
  <si>
    <t>DEPvelocity.aCA.w0CA</t>
  </si>
  <si>
    <t>SURFresist.wCA</t>
  </si>
  <si>
    <t>fBrown.aCA.w</t>
  </si>
  <si>
    <t>fGrav.aCA.w</t>
  </si>
  <si>
    <t>k.aCA.w1CA</t>
  </si>
  <si>
    <t>DEPvelocity.aCA.w1CA</t>
  </si>
  <si>
    <t>k.aCA.w2CA</t>
  </si>
  <si>
    <t>DEPvelocity.aCA.w2CA</t>
  </si>
  <si>
    <t>k.aCP.w0CP</t>
  </si>
  <si>
    <t>k.aCP.w1CP</t>
  </si>
  <si>
    <t>k.aCP.w2CP</t>
  </si>
  <si>
    <t>k.cwCS.s1CS</t>
  </si>
  <si>
    <t>k.cwCS.s2CS</t>
  </si>
  <si>
    <t>k.cwCS.s3CS</t>
  </si>
  <si>
    <t>k.cwCA.s1CA</t>
  </si>
  <si>
    <t>k.cwCA.s2CA</t>
  </si>
  <si>
    <t>k.cwCA.s3CA</t>
  </si>
  <si>
    <t>k.cwCP.s1CP</t>
  </si>
  <si>
    <t>k.cwCP.s2CP</t>
  </si>
  <si>
    <t>k.cwCP.s3CP</t>
  </si>
  <si>
    <t>k.cwCS.w0CS</t>
  </si>
  <si>
    <t>k.cwCS.w1CS</t>
  </si>
  <si>
    <t>k.cwCS.w2CS</t>
  </si>
  <si>
    <t>k.cwCA.w0CA</t>
  </si>
  <si>
    <t>k.cwCA.w1CA</t>
  </si>
  <si>
    <t>k.cwCA.w2CA</t>
  </si>
  <si>
    <t>k.cwCP.w0CP</t>
  </si>
  <si>
    <t>k.cwCP.w1CP</t>
  </si>
  <si>
    <t>k.cwCP.w2CP</t>
  </si>
  <si>
    <t>k.w0CS.sd0CS</t>
  </si>
  <si>
    <t>k.w1CS.sd1CS</t>
  </si>
  <si>
    <t>k.w2CS.sd2CS</t>
  </si>
  <si>
    <t>k.w0CA.sd0CA</t>
  </si>
  <si>
    <t>k.w1CA.sd1CA</t>
  </si>
  <si>
    <t>k.w2CA.sd2CA</t>
  </si>
  <si>
    <t>k.w0CP.sd0CP</t>
  </si>
  <si>
    <t>k.w1CP.sd1CP</t>
  </si>
  <si>
    <t>k.w2CP.sd2CP</t>
  </si>
  <si>
    <t>k.sd0CS.w0CS</t>
  </si>
  <si>
    <t>k.sd1CS.w1CS</t>
  </si>
  <si>
    <t>k.sd2CS.w2CS</t>
  </si>
  <si>
    <t>k.sd0CA.w0CA</t>
  </si>
  <si>
    <t>k.sd1CA.w1CA</t>
  </si>
  <si>
    <t>k.sd2CA.w2CA</t>
  </si>
  <si>
    <t>k.sd0CP.w0CP</t>
  </si>
  <si>
    <t>k.sd1CP.w1CP</t>
  </si>
  <si>
    <t>k.sd2CP.w2CP</t>
  </si>
  <si>
    <t>k.s1CS.w1CS</t>
  </si>
  <si>
    <t>k.s2CS.w1CS</t>
  </si>
  <si>
    <t>k.s3CS.w1CS</t>
  </si>
  <si>
    <t>k.s1CA.w1CA</t>
  </si>
  <si>
    <t>k.s2CA.w1CA</t>
  </si>
  <si>
    <t>k.s3CA.w1CA</t>
  </si>
  <si>
    <t>k.s1CP.w1CP</t>
  </si>
  <si>
    <t>k.s2CP.w1CP</t>
  </si>
  <si>
    <t>k.s3CP.w1CP</t>
  </si>
  <si>
    <t>REMOVAL from SYSTEM of particle species</t>
  </si>
  <si>
    <t>k.aCS</t>
  </si>
  <si>
    <t>k.aCA</t>
  </si>
  <si>
    <t>k.aCP</t>
  </si>
  <si>
    <t>k.w0CS</t>
  </si>
  <si>
    <t>k.w0CA</t>
  </si>
  <si>
    <t>k.w0CP</t>
  </si>
  <si>
    <t>k.w1CS</t>
  </si>
  <si>
    <t>k.w1CA</t>
  </si>
  <si>
    <t>k.w1CP</t>
  </si>
  <si>
    <t>k.w2CS</t>
  </si>
  <si>
    <t>k.w2CA</t>
  </si>
  <si>
    <t>k.w2CP</t>
  </si>
  <si>
    <t>k.sd0CS</t>
  </si>
  <si>
    <t>k.sd0CA</t>
  </si>
  <si>
    <t>k.sd0CP</t>
  </si>
  <si>
    <t>k.sd1CS</t>
  </si>
  <si>
    <t>k.sd1CA</t>
  </si>
  <si>
    <t>k.sd1CP</t>
  </si>
  <si>
    <t>k.sd2CS</t>
  </si>
  <si>
    <t>k.sd2CA</t>
  </si>
  <si>
    <t>k.sd2CP</t>
  </si>
  <si>
    <t>k.s1CS</t>
  </si>
  <si>
    <t>k.s1CA</t>
  </si>
  <si>
    <t>k.s1CP</t>
  </si>
  <si>
    <t>k.s2CS</t>
  </si>
  <si>
    <t>k.s2CA</t>
  </si>
  <si>
    <t>k.s2CP</t>
  </si>
  <si>
    <t>k.s3CS</t>
  </si>
  <si>
    <t>k.s3CA</t>
  </si>
  <si>
    <t>k.s3CP</t>
  </si>
  <si>
    <t>kleach.s1C</t>
  </si>
  <si>
    <t>kleach.s2C</t>
  </si>
  <si>
    <t>kleach.s3C</t>
  </si>
  <si>
    <t>kbur.sd0C</t>
  </si>
  <si>
    <t>kbur.sd1C</t>
  </si>
  <si>
    <t>kbur.sd2C</t>
  </si>
  <si>
    <t>MODERATE ZONE MODEL DEFINITION</t>
  </si>
  <si>
    <t>VOLUME.aM</t>
  </si>
  <si>
    <t>VOLUME.cwM</t>
  </si>
  <si>
    <t>VOLUME ocean water compartment (surface layer)</t>
  </si>
  <si>
    <t>VOLUME.w2M</t>
  </si>
  <si>
    <t>VOLUME ocean water compartment (lower layer)</t>
  </si>
  <si>
    <t>VOLUME.w3M</t>
  </si>
  <si>
    <t>VOLUME sediment compartment</t>
  </si>
  <si>
    <t>VOLUME.sdM</t>
  </si>
  <si>
    <t>VOLUME soil compartment</t>
  </si>
  <si>
    <t>VOLUME.sM</t>
  </si>
  <si>
    <t>AREA moderate scale</t>
  </si>
  <si>
    <t>SYSTEMAREA.M</t>
  </si>
  <si>
    <t>AREAFRAC.wM</t>
  </si>
  <si>
    <t>AREAFRAC.sM</t>
  </si>
  <si>
    <t>HEIGHT.aM</t>
  </si>
  <si>
    <t>Ocean mixed layer depth</t>
  </si>
  <si>
    <t>DEPTH.w2M</t>
  </si>
  <si>
    <t>Depth lower ocean layer</t>
  </si>
  <si>
    <t>DEPTH.w3M</t>
  </si>
  <si>
    <t>Mixed DEPTH sediment compartment</t>
  </si>
  <si>
    <t>DEPTH.sdM</t>
  </si>
  <si>
    <t>DEPTH.sM</t>
  </si>
  <si>
    <r>
      <t>FRAC</t>
    </r>
    <r>
      <rPr>
        <sz val="10"/>
        <rFont val="Calibri"/>
        <family val="2"/>
      </rPr>
      <t>cldw.aM</t>
    </r>
  </si>
  <si>
    <r>
      <t>FRAC</t>
    </r>
    <r>
      <rPr>
        <sz val="10"/>
        <rFont val="Calibri"/>
        <family val="2"/>
      </rPr>
      <t>aers.aM</t>
    </r>
  </si>
  <si>
    <r>
      <t>FRAC</t>
    </r>
    <r>
      <rPr>
        <sz val="10"/>
        <rFont val="Calibri"/>
        <family val="2"/>
      </rPr>
      <t>aerw.aM</t>
    </r>
  </si>
  <si>
    <t>VOLUME FRACTION air in soil</t>
  </si>
  <si>
    <t>FRACa.sM</t>
  </si>
  <si>
    <t>VOLUME FRACTION water in soil</t>
  </si>
  <si>
    <t>FRACw.sM</t>
  </si>
  <si>
    <t>VOLUME FRACTION solids in soil</t>
  </si>
  <si>
    <t>FRACs.sM</t>
  </si>
  <si>
    <t>FRACw.sdM</t>
  </si>
  <si>
    <t>FRACs.sdM</t>
  </si>
  <si>
    <t>TRANSFER rate moderate air - continental air</t>
  </si>
  <si>
    <t>k.aM.aC</t>
  </si>
  <si>
    <t>TRANSFER rate moderate air - arctic air</t>
  </si>
  <si>
    <t>k.aM.aA</t>
  </si>
  <si>
    <t>TRANSFER rate moderate air - tropical air</t>
  </si>
  <si>
    <t>k.aM.aT</t>
  </si>
  <si>
    <t>k.w2M.w2C</t>
  </si>
  <si>
    <t>k.w2M.w2A</t>
  </si>
  <si>
    <t>k.w2M.w2T</t>
  </si>
  <si>
    <t>TRANSFER rate moderate deep ocean - arctic deep ocean</t>
  </si>
  <si>
    <t>k.w3M.w3A</t>
  </si>
  <si>
    <t>TRANSFER rate moderate deep ocean - tropical deep ocean</t>
  </si>
  <si>
    <t>k.w3M.w3T</t>
  </si>
  <si>
    <t>Water FLOW moderate surface ocean - continental sea water</t>
  </si>
  <si>
    <t>WATERflow.w2M.w2C</t>
  </si>
  <si>
    <t>Water FLOW moderate surface ocean - arctic surface ocean</t>
  </si>
  <si>
    <t>WATERflow.w2M.w2A</t>
  </si>
  <si>
    <t>Water FLOW moderate surface ocean - tropical surface ocean</t>
  </si>
  <si>
    <t>WATERflow.w2M.w2T</t>
  </si>
  <si>
    <t>Global ocean circulation current</t>
  </si>
  <si>
    <t>OceanCurrent</t>
  </si>
  <si>
    <t>TRANSFER rate moderate surface ocean - moderate deep ocean</t>
  </si>
  <si>
    <t>k.w2M.w3M</t>
  </si>
  <si>
    <t>TRANSFER rate moderate deep ocean - moderate surface ocean</t>
  </si>
  <si>
    <t>k.w3M.w2M</t>
  </si>
  <si>
    <t>Vertical mixing flow</t>
  </si>
  <si>
    <t>OceanMixing.M</t>
  </si>
  <si>
    <t>Residence time mixed layer</t>
  </si>
  <si>
    <t>TAU.surfM</t>
  </si>
  <si>
    <t>FRACTION of chemical in gas phase air</t>
  </si>
  <si>
    <r>
      <t>FR</t>
    </r>
    <r>
      <rPr>
        <sz val="10"/>
        <rFont val="Calibri"/>
        <family val="2"/>
      </rPr>
      <t>gas.aM</t>
    </r>
  </si>
  <si>
    <t>FRaerw.aM</t>
  </si>
  <si>
    <t>FRaers.aM</t>
  </si>
  <si>
    <r>
      <t>K</t>
    </r>
    <r>
      <rPr>
        <sz val="10"/>
        <rFont val="Calibri"/>
        <family val="2"/>
      </rPr>
      <t>aw.M</t>
    </r>
  </si>
  <si>
    <t>TEMPERATURE on moderate scale</t>
  </si>
  <si>
    <t>TEMP.M</t>
  </si>
  <si>
    <t>Kaerw.aM</t>
  </si>
  <si>
    <t>Kaers.aM</t>
  </si>
  <si>
    <t>FRw.w2M</t>
  </si>
  <si>
    <t>FRACTION of chemical truly dissolved in deep ocean water</t>
  </si>
  <si>
    <t>FRw.w3M</t>
  </si>
  <si>
    <t>Kp.susp2M</t>
  </si>
  <si>
    <t>Suspended solids/water PARTITION COEFFICIENT deep ocean</t>
  </si>
  <si>
    <t>Kp.susp3M</t>
  </si>
  <si>
    <t>CORG.susp2M</t>
  </si>
  <si>
    <t>Mass FRACTION organic carbon in suspended matter deep ocean</t>
  </si>
  <si>
    <t>CORG.susp3M</t>
  </si>
  <si>
    <t>SUSP.w2M</t>
  </si>
  <si>
    <t>CONCENTRATION suspended matter in deep ocean</t>
  </si>
  <si>
    <t>SUSP.w3M</t>
  </si>
  <si>
    <t>Kp.col2M</t>
  </si>
  <si>
    <t>Colloidal organic matter/water partition coefficient deep ocean</t>
  </si>
  <si>
    <t>Kp.col3M</t>
  </si>
  <si>
    <t>COL.w2M</t>
  </si>
  <si>
    <t>Concentration of colloidal organic matter in deep ocean</t>
  </si>
  <si>
    <t>COL.w3M</t>
  </si>
  <si>
    <t>Dimensionless sed/water PARTITION COEFFICIENT</t>
  </si>
  <si>
    <t>Ksdw.M</t>
  </si>
  <si>
    <t>Sediment/water PARTITION COEFFICIENT</t>
  </si>
  <si>
    <t>Kp.sdM</t>
  </si>
  <si>
    <t>Mass FRACTION organic carbon sediment</t>
  </si>
  <si>
    <t>CORG.sdM</t>
  </si>
  <si>
    <t>Dimensionless soil/water PARTITION COEFFICIENT soil</t>
  </si>
  <si>
    <r>
      <t>K</t>
    </r>
    <r>
      <rPr>
        <sz val="10"/>
        <rFont val="Calibri"/>
        <family val="2"/>
      </rPr>
      <t>slw.M</t>
    </r>
  </si>
  <si>
    <t>FRACTION of chemical in water phase soil</t>
  </si>
  <si>
    <t>FRw.sM</t>
  </si>
  <si>
    <t>FRACTION of chemical in solid phase soil</t>
  </si>
  <si>
    <t>FRs.sM</t>
  </si>
  <si>
    <t>Soil/water PARTITION COEFFICIENT</t>
  </si>
  <si>
    <t>Kp.sM</t>
  </si>
  <si>
    <t>Mass FRACTION organic carbon soil</t>
  </si>
  <si>
    <t>CORG.sM</t>
  </si>
  <si>
    <t>TRANSFER rate air - water</t>
  </si>
  <si>
    <t>k.aMG.w2MD</t>
  </si>
  <si>
    <t>TRANSFER rate air - soil</t>
  </si>
  <si>
    <t>k.aMG.sMD</t>
  </si>
  <si>
    <t>TRANSFER rate water - air</t>
  </si>
  <si>
    <t>k.w2MD.aMG</t>
  </si>
  <si>
    <t>TRANSFER rate soil - air</t>
  </si>
  <si>
    <t>k.sMD.aMG</t>
  </si>
  <si>
    <t>MEAN atmospheric deposition rate</t>
  </si>
  <si>
    <t>MeanDep.M</t>
  </si>
  <si>
    <t>Mean deposition rate constant</t>
  </si>
  <si>
    <t>MeanRem.aM</t>
  </si>
  <si>
    <t>Total rate constant removal from atmosphere during dry episodes</t>
  </si>
  <si>
    <t>kdry.M</t>
  </si>
  <si>
    <t>Total rate constant removal from atmosphere during wet episodes</t>
  </si>
  <si>
    <t>kwet.M</t>
  </si>
  <si>
    <t>tdry.M</t>
  </si>
  <si>
    <t>twet.M</t>
  </si>
  <si>
    <t>DRYDEPaerosol.M</t>
  </si>
  <si>
    <t>AerosolWashout.M</t>
  </si>
  <si>
    <t>GasWashout.M</t>
  </si>
  <si>
    <t>AEROSOLdeprate.M</t>
  </si>
  <si>
    <t>Annual PRECIPITATION</t>
  </si>
  <si>
    <t>RAINrate.M</t>
  </si>
  <si>
    <r>
      <t>[mm.yr</t>
    </r>
    <r>
      <rPr>
        <vertAlign val="superscript"/>
        <sz val="10"/>
        <rFont val="Calibri"/>
        <family val="2"/>
      </rPr>
      <t>-1</t>
    </r>
    <r>
      <rPr>
        <sz val="10"/>
        <rFont val="Calibri"/>
        <family val="2"/>
      </rPr>
      <t>]</t>
    </r>
  </si>
  <si>
    <t>COLLECTeff.M</t>
  </si>
  <si>
    <t>GASABS.aM.wM</t>
  </si>
  <si>
    <t>GASABS.aM.sM</t>
  </si>
  <si>
    <t>VOLATILIZATION flux from ocean water</t>
  </si>
  <si>
    <t>VOLAT.w2M.aM</t>
  </si>
  <si>
    <t>VOLATILIZATION flux from soil</t>
  </si>
  <si>
    <t>VOLAT.sM.aM</t>
  </si>
  <si>
    <r>
      <rPr>
        <sz val="10"/>
        <rFont val="Calibri"/>
        <family val="2"/>
      </rPr>
      <t>MTCaw.air.aM</t>
    </r>
  </si>
  <si>
    <r>
      <rPr>
        <sz val="10"/>
        <rFont val="Calibri"/>
        <family val="2"/>
      </rPr>
      <t>MTCaw.water.wM</t>
    </r>
  </si>
  <si>
    <t>Average WIND SPEED</t>
  </si>
  <si>
    <t>WINDspeed.M</t>
  </si>
  <si>
    <r>
      <rPr>
        <sz val="10"/>
        <rFont val="Calibri"/>
        <family val="2"/>
      </rPr>
      <t>MTCas.air.aM</t>
    </r>
  </si>
  <si>
    <r>
      <rPr>
        <sz val="10"/>
        <rFont val="Calibri"/>
        <family val="2"/>
      </rPr>
      <t>MTCas.soil.sM</t>
    </r>
  </si>
  <si>
    <t>CORRvolat.sM</t>
  </si>
  <si>
    <t>TRANSFER rate water - sediment</t>
  </si>
  <si>
    <t>k.w3MD.sdMD</t>
  </si>
  <si>
    <t>TRANSFER rate sediment - water</t>
  </si>
  <si>
    <t>k.sdMD.w3MD</t>
  </si>
  <si>
    <t>SEDIMENTATION flux to deep ocean sediment</t>
  </si>
  <si>
    <t>SED.w3M.sdM</t>
  </si>
  <si>
    <t>RESUSPENSION flux from deep ocean sediment</t>
  </si>
  <si>
    <t>RESUSP.sdM.w3M</t>
  </si>
  <si>
    <t>GROSSSEDrate.w3M</t>
  </si>
  <si>
    <t>SETTLvelocity.M</t>
  </si>
  <si>
    <t>Net SEDIMENT ACCUMULATION rate</t>
  </si>
  <si>
    <t>NETsedrate.wM</t>
  </si>
  <si>
    <t>Autochtonous PRODUCTION of suspended matter</t>
  </si>
  <si>
    <t>PRODsusp.wM</t>
  </si>
  <si>
    <t>[g.m-2.yr-1]</t>
  </si>
  <si>
    <t>ADSORPTION flux to deep ocean sediment</t>
  </si>
  <si>
    <t>ADSORB.w3M.sdM</t>
  </si>
  <si>
    <t>DESORPTION flux from deep ocean sediment</t>
  </si>
  <si>
    <t>DESORB.sdM.w3M</t>
  </si>
  <si>
    <t>kwsd.water.wM</t>
  </si>
  <si>
    <t>kwsd.sed.sdM</t>
  </si>
  <si>
    <t>TRANSFER rate soil - water</t>
  </si>
  <si>
    <t>k.sMD.w2MD</t>
  </si>
  <si>
    <t>EROSION of soil</t>
  </si>
  <si>
    <t>EROSION.sM</t>
  </si>
  <si>
    <t>VOLUME FRACTION of precipitation running off to water</t>
  </si>
  <si>
    <t>FRACrun.sM</t>
  </si>
  <si>
    <t>CORRrunoff.sM</t>
  </si>
  <si>
    <t>k.aMG</t>
  </si>
  <si>
    <t>k.w2MD</t>
  </si>
  <si>
    <t>REMOVAL from deep ocean</t>
  </si>
  <si>
    <t>k.w3MD</t>
  </si>
  <si>
    <t>REMOVAL from sediment</t>
  </si>
  <si>
    <t>k.sdMD</t>
  </si>
  <si>
    <t>REMOVAL from soil</t>
  </si>
  <si>
    <t>k.sMD</t>
  </si>
  <si>
    <t>kesc.aM</t>
  </si>
  <si>
    <t>KDEG.aM</t>
  </si>
  <si>
    <t>OH-radical concentration moderate scale</t>
  </si>
  <si>
    <t>C.OHrad.aM</t>
  </si>
  <si>
    <t>Tempfactor.aM</t>
  </si>
  <si>
    <t>KDEG.w2M</t>
  </si>
  <si>
    <t>DEGRADATION in deep ocean water</t>
  </si>
  <si>
    <t>KDEG.w3M</t>
  </si>
  <si>
    <t>BACT.w2M</t>
  </si>
  <si>
    <t>Concentration BACTERIA in deep ocean</t>
  </si>
  <si>
    <t>BACT.w3M</t>
  </si>
  <si>
    <t>Tempfactor.wsdsM</t>
  </si>
  <si>
    <t>DEGRADATION in sediment</t>
  </si>
  <si>
    <t>KDEG.sdM</t>
  </si>
  <si>
    <t>DEGRADATION in soil</t>
  </si>
  <si>
    <t>KDEG.sM</t>
  </si>
  <si>
    <t>VOLUME FRACTION of precipitation infiltrating into soil</t>
  </si>
  <si>
    <t>FRACinf.sM</t>
  </si>
  <si>
    <t>CORRleach.sM</t>
  </si>
  <si>
    <t>HETEROAGGLOMERATION OF Engineered Nanoparticles (ENPs (S)) with Nucleation (Nuc), Accumulation (Acc) and Coarse (CP) mode aersosols in Moderate AIR</t>
  </si>
  <si>
    <t>k.aMS.aMA</t>
  </si>
  <si>
    <t>kcoag.aMS.aMNuc</t>
  </si>
  <si>
    <t>NumConcNuc.aM</t>
  </si>
  <si>
    <t>ThermvelNuc.aM</t>
  </si>
  <si>
    <t>DiffNuc.aM</t>
  </si>
  <si>
    <t>Fuchs.aMS.aMNuc</t>
  </si>
  <si>
    <t>kcoag.aMS.aMAcc</t>
  </si>
  <si>
    <t>NumConcAcc.aM</t>
  </si>
  <si>
    <t>ThermvelAcc.aM</t>
  </si>
  <si>
    <t>DiffAcc.aM</t>
  </si>
  <si>
    <t>Fuchs.aMS.aMAcc</t>
  </si>
  <si>
    <t>k.aMS.aMP</t>
  </si>
  <si>
    <t>NumConcCP.aM</t>
  </si>
  <si>
    <t>ThermvelCP.aM</t>
  </si>
  <si>
    <t>DiffCP.aM</t>
  </si>
  <si>
    <t>Fuchs.aMS.aMCP</t>
  </si>
  <si>
    <t>HETEROAGGLOMERATION OF Engineered Nanoparticles (ENPs (S)) WITH Natucal Colloids (NC) and Suspended Particulate Matter (SPM) in Moderate WATERS</t>
  </si>
  <si>
    <t>k.w2MS.w2MA</t>
  </si>
  <si>
    <t>NumConcNC.w2M</t>
  </si>
  <si>
    <t>fTotalSNC.w2M</t>
  </si>
  <si>
    <t>fInterceptSNC.w2M</t>
  </si>
  <si>
    <t>Shear.w2M</t>
  </si>
  <si>
    <t>k.w3MS.w3MA</t>
  </si>
  <si>
    <t>NumConcNC.w3M</t>
  </si>
  <si>
    <t>fTotalSNC.w3M</t>
  </si>
  <si>
    <t>fInterceptSNC.w3M</t>
  </si>
  <si>
    <t>Shear.w3M</t>
  </si>
  <si>
    <t>fBrownSNC.wM</t>
  </si>
  <si>
    <t>fGravSNC.wM</t>
  </si>
  <si>
    <t>k.w2MS.w2MP</t>
  </si>
  <si>
    <t>NumConcSPM.w2M</t>
  </si>
  <si>
    <t>fTotalSSPM.w2M</t>
  </si>
  <si>
    <t>fInterceptSSPM.w2M</t>
  </si>
  <si>
    <t>k.w3MS.w3MP</t>
  </si>
  <si>
    <t>NumConcSPM.w3M</t>
  </si>
  <si>
    <t>fTotalSSPM.w3M</t>
  </si>
  <si>
    <t>fInterceptSSPM.w3M</t>
  </si>
  <si>
    <t>fBrownSSPM.wM</t>
  </si>
  <si>
    <t>fGravSSPM.wM</t>
  </si>
  <si>
    <t>HETEROAGGLOMERATION of Engineered Nanoparticles (ENPs (S)) and Natural Colloids (NC) and Filtration Particulates (FP) in Moderate SEDIMENT</t>
  </si>
  <si>
    <t>HETEROAGGLOMERATION rate ENPs and NC in MARINE SEDIMENT</t>
  </si>
  <si>
    <t>k.sdMS.sdMA</t>
  </si>
  <si>
    <t>Attachment efficiency for marine sediment (sd2)</t>
  </si>
  <si>
    <t>NumConcNC.sdM</t>
  </si>
  <si>
    <t>fBrownSNC.sdM</t>
  </si>
  <si>
    <t>fGravSNC.sdM</t>
  </si>
  <si>
    <t>FILTRATION rate ENPs on FP in Marine Sediment</t>
  </si>
  <si>
    <t>k.sdMS.sdMP</t>
  </si>
  <si>
    <t>Filter.sdM</t>
  </si>
  <si>
    <t>Udarcy.sdM</t>
  </si>
  <si>
    <t>fTotalSP.sdM</t>
  </si>
  <si>
    <t>fBrownSP.sdM</t>
  </si>
  <si>
    <t>ASPDF.sdM</t>
  </si>
  <si>
    <t>GammPDF.sdM</t>
  </si>
  <si>
    <t>Por.sdM</t>
  </si>
  <si>
    <t>fInterceptSP.sdM</t>
  </si>
  <si>
    <t>fGravSP.sdM</t>
  </si>
  <si>
    <t>vdWaalsNumberSP.sdM</t>
  </si>
  <si>
    <t>aspectratioSP.sdM</t>
  </si>
  <si>
    <t>PecletNumberSP.sdM</t>
  </si>
  <si>
    <t>GravNumberSP.sdM</t>
  </si>
  <si>
    <t>HETEROAGGLOMERATION of Engineered Nanoparticles (ENPs (S)) and Natural Colloids (NC) or Filtration Particulates (FP) in Moderate SOIL pore water</t>
  </si>
  <si>
    <t>HETEROAGGLOMERATION rate ENPs and sediment NC in Moderate Soil pore water</t>
  </si>
  <si>
    <t>k.sMS.sMA</t>
  </si>
  <si>
    <t>Attachment efficiency of natural soil</t>
  </si>
  <si>
    <t>NumConcNC.sM</t>
  </si>
  <si>
    <t>mConcNC.sM</t>
  </si>
  <si>
    <t>fBrownSNC.sM</t>
  </si>
  <si>
    <t>fGravSNC.sM</t>
  </si>
  <si>
    <t>FILTRATION rate ENPs on FP in Moderate Soil pore water</t>
  </si>
  <si>
    <t>k.sMS.sMP</t>
  </si>
  <si>
    <t>Filter.sM</t>
  </si>
  <si>
    <t>Udarcy.sM</t>
  </si>
  <si>
    <t>fTotalSFP.sM</t>
  </si>
  <si>
    <t>fBrownSFP.sM</t>
  </si>
  <si>
    <t>ASPDF.sM</t>
  </si>
  <si>
    <t>GammPDF.sM</t>
  </si>
  <si>
    <t>Por.sM</t>
  </si>
  <si>
    <t>fInterceptSFP.sM</t>
  </si>
  <si>
    <t>fGravSFP.sM</t>
  </si>
  <si>
    <t>aspectratioSFP.sM</t>
  </si>
  <si>
    <t>PecletNumberFP.sM</t>
  </si>
  <si>
    <t>vdWaalsNumberSFP.sM</t>
  </si>
  <si>
    <t>GravNumberS.sM</t>
  </si>
  <si>
    <t>ATMOSPHERIC CHARACTERISTICS MODERATE ZONE</t>
  </si>
  <si>
    <t>Rad.cwM</t>
  </si>
  <si>
    <t>FRACtwet.M</t>
  </si>
  <si>
    <t>RAINrate.wet.M</t>
  </si>
  <si>
    <t>TerminalVel.cwM</t>
  </si>
  <si>
    <t>Cunningham.cwM</t>
  </si>
  <si>
    <t>CritStokesNumb.cwM</t>
  </si>
  <si>
    <t>ReyNumber.cwM</t>
  </si>
  <si>
    <t>PROPERTIES of HETEROAGGLOMERATES MODERATE ZONE</t>
  </si>
  <si>
    <t>RadA.aM</t>
  </si>
  <si>
    <t>RhoA.aM</t>
  </si>
  <si>
    <t>SingleVolA.aM</t>
  </si>
  <si>
    <t>SingleMassA.aM</t>
  </si>
  <si>
    <t>TRANSFER RATE BETWEEN COMPARTMENTS MODERATE ZONE</t>
  </si>
  <si>
    <t>k.aMS.cwMS</t>
  </si>
  <si>
    <t>RelaxS.aM</t>
  </si>
  <si>
    <t>StokesNumberS.aM</t>
  </si>
  <si>
    <t>SettvelS.aM</t>
  </si>
  <si>
    <t>SchmidtNumberS.aM</t>
  </si>
  <si>
    <t>fBrown.aMS.cwMS</t>
  </si>
  <si>
    <t>fIntercept.aMS.cwMS</t>
  </si>
  <si>
    <t>fGrav.aMS.cwMS</t>
  </si>
  <si>
    <t>fTotal.aMS.cwMS</t>
  </si>
  <si>
    <t>k.aMA.cwMA</t>
  </si>
  <si>
    <t>CunninghamA.aM</t>
  </si>
  <si>
    <t>DiffA.aM</t>
  </si>
  <si>
    <t>RelaxA.aM</t>
  </si>
  <si>
    <t>StokesNumberA.aM</t>
  </si>
  <si>
    <t>SettvelA.aM</t>
  </si>
  <si>
    <t>SchmidtNumberA.aM</t>
  </si>
  <si>
    <t>fBrown.aMA.cwMA</t>
  </si>
  <si>
    <t>fIntercept.aMA.cwMA</t>
  </si>
  <si>
    <t>fGrav.aMA.cwMA</t>
  </si>
  <si>
    <t>fTotal.aMA.cwMA</t>
  </si>
  <si>
    <t>k.aMP.cwMP</t>
  </si>
  <si>
    <t>Equal to AerosolWashout.M</t>
  </si>
  <si>
    <t>DRY DEPOSITION of FREE ENP SPECIES (S) to SOIL</t>
  </si>
  <si>
    <t>k.aMS.sMS</t>
  </si>
  <si>
    <t>DEPvelocity.aMS.sMS</t>
  </si>
  <si>
    <t>AEROresist.sM</t>
  </si>
  <si>
    <t>SURFresist.sMS</t>
  </si>
  <si>
    <t>FRICvelocity.sM</t>
  </si>
  <si>
    <t>fBrown.aMS.sMS</t>
  </si>
  <si>
    <t>fIntercept.aMS.sMS</t>
  </si>
  <si>
    <t>veghair.sM</t>
  </si>
  <si>
    <t>largevegradius.sM</t>
  </si>
  <si>
    <t>AREAFRACveg.sM</t>
  </si>
  <si>
    <t>fGrav.aMS.sMS</t>
  </si>
  <si>
    <t>DRY DEPOSITION of AGGREGATED ENP SPECIES (A) to SOIL</t>
  </si>
  <si>
    <t>k.aMA.sMA</t>
  </si>
  <si>
    <t>DEPvelocity.aMA.sMA</t>
  </si>
  <si>
    <t>SURFresist.sMA</t>
  </si>
  <si>
    <t>fBrown.aMA.sMA</t>
  </si>
  <si>
    <t>fIntercept.aMA.sMA</t>
  </si>
  <si>
    <t>fGrav.aMAsMA</t>
  </si>
  <si>
    <t>DRY DEPOSITION of ATTACHED ENP SPECIES (P) to SOIL</t>
  </si>
  <si>
    <t>k.aMP.sMP</t>
  </si>
  <si>
    <t>DRY DEPOSITION of FREE ENP SPECIES (S) to Surface Sea WATER</t>
  </si>
  <si>
    <t>k.aMS.w2MS</t>
  </si>
  <si>
    <t>DEPvelocity.aMS.w2MS</t>
  </si>
  <si>
    <t>AEROresist.w2M</t>
  </si>
  <si>
    <t>Surface resistance sea water</t>
  </si>
  <si>
    <t>SURFresist.w2MS</t>
  </si>
  <si>
    <t>FRICvelocity.wM</t>
  </si>
  <si>
    <t>fBrown.aMS.w</t>
  </si>
  <si>
    <t>fGrav.aMS.w</t>
  </si>
  <si>
    <t>DRY DEPOSITION OF AGGREGATED SPECIES (A) TO Surface Sea WATER</t>
  </si>
  <si>
    <t>k.aMA.w2MA</t>
  </si>
  <si>
    <t>DEPvelocity.aMA.w2MA</t>
  </si>
  <si>
    <t>SURFresist.wMA</t>
  </si>
  <si>
    <t>fBrown.aMA.w</t>
  </si>
  <si>
    <t>fGrav.aMA.w</t>
  </si>
  <si>
    <t>DRY DEPOSITION OF ATTACHED SPECIES (P) TO Surface Sea WATER</t>
  </si>
  <si>
    <t>k.aMP.w2MP</t>
  </si>
  <si>
    <t>WET DEPOSITION of FREE ENP SPECIES (S) to SOIL</t>
  </si>
  <si>
    <t>k.cwMS.sMS</t>
  </si>
  <si>
    <t>WET DEPOSITION of AGGREGATED ENP SPECIES (A) to SOIL</t>
  </si>
  <si>
    <t>k.cwMA.sMA</t>
  </si>
  <si>
    <t>WET DEPOSITION of ATTACHED ENP SPECIES (P) to SOIL</t>
  </si>
  <si>
    <t>k.cwMP.sMP</t>
  </si>
  <si>
    <t>WET DEPOSITION of FREE ENP SPECIES (S) to Surface Sea WATER</t>
  </si>
  <si>
    <t>k.cwMS.w2MS</t>
  </si>
  <si>
    <t>WET DEPOSITION of AGGREGATED ENP SPECIES (A) to Surface Sea WATER</t>
  </si>
  <si>
    <t>k.cwMA.w2MA</t>
  </si>
  <si>
    <t>WET DEPOSITION of ATTACHED ENP SPECIES (P) to Surface Sea WATER</t>
  </si>
  <si>
    <t>k.cwMP.w2MP</t>
  </si>
  <si>
    <t>SEDIMENTATION of FREE ENP SPECIES (S) to Deep Sea WATER</t>
  </si>
  <si>
    <t>k.w2MS.w3MS</t>
  </si>
  <si>
    <t>Sedimentatie + mixing/flow (k.w2.w3)</t>
  </si>
  <si>
    <t>SEDIMENTATION of AGGREGATED ENP SPECIES (A) to Deep Sea WATER</t>
  </si>
  <si>
    <t>k.w2MA.w3MA</t>
  </si>
  <si>
    <t>SEDIMENTATION of ATTACHED ENP SPECIES (P) to Deep Sea WATER</t>
  </si>
  <si>
    <t>k.w2MP.w3MP</t>
  </si>
  <si>
    <t>SEDIMENTATION of FREE ENP SPECIES (S) to Sea Water SEDIMENT</t>
  </si>
  <si>
    <t>k.w3MS.sdMS</t>
  </si>
  <si>
    <t>SEDIMENTATION of AGGREGATED ENP SPECIES (A) to Sea Water SEDIMENT</t>
  </si>
  <si>
    <t>k.w3MA.sdMA</t>
  </si>
  <si>
    <t>SEDIMENTATION of ATTACHED ENP SPECIES (P) to  Sea Water SEDIMENT</t>
  </si>
  <si>
    <t>k.w3MP.sdMP</t>
  </si>
  <si>
    <t xml:space="preserve">RESUSPENSION of FREE ENP SPECIES (S) to Surface Sea WATER </t>
  </si>
  <si>
    <t>k.sdMS.w3MS</t>
  </si>
  <si>
    <t xml:space="preserve">RESUSPENSION of AGGREGATED ENP SPECIES (A) to Surface Sea WATER </t>
  </si>
  <si>
    <t>k.sdMA.w3MA</t>
  </si>
  <si>
    <t xml:space="preserve">RESUSPENSION of ATTACHED ENP SPECIES (P) to Surface Sea WATER </t>
  </si>
  <si>
    <t>k.sdMP.w3MP</t>
  </si>
  <si>
    <t>k.sMS.w2MS</t>
  </si>
  <si>
    <t>k.sMA.w2MA</t>
  </si>
  <si>
    <t>k.sMP.w2MP</t>
  </si>
  <si>
    <t>REMOVAL from MODERATE ZONE</t>
  </si>
  <si>
    <t>k.aMS</t>
  </si>
  <si>
    <t>k.aMA</t>
  </si>
  <si>
    <t>k.aMP</t>
  </si>
  <si>
    <t>k.w2MS</t>
  </si>
  <si>
    <t>k.w2MA</t>
  </si>
  <si>
    <t>k.w2MP</t>
  </si>
  <si>
    <t>k.w3MS</t>
  </si>
  <si>
    <t>k.w3MA</t>
  </si>
  <si>
    <t>k.w3MP</t>
  </si>
  <si>
    <t>k.sdMS</t>
  </si>
  <si>
    <t>k.sdMA</t>
  </si>
  <si>
    <t>k.sdMP</t>
  </si>
  <si>
    <t>k.sMS</t>
  </si>
  <si>
    <t>k.sMA</t>
  </si>
  <si>
    <t>k.sMP</t>
  </si>
  <si>
    <t>kleach.sM</t>
  </si>
  <si>
    <t>kbur.sdM</t>
  </si>
  <si>
    <t>ARCTIC ZONE MODEL DEFINITION</t>
  </si>
  <si>
    <t>Lookup</t>
  </si>
  <si>
    <t>VOLUME.aA</t>
  </si>
  <si>
    <t>VOLUME.cwA</t>
  </si>
  <si>
    <t>VOLUME.w2A</t>
  </si>
  <si>
    <t>VOLUME deep ocean</t>
  </si>
  <si>
    <t>VOLUME.w3A</t>
  </si>
  <si>
    <t>VOLUME.sdA</t>
  </si>
  <si>
    <t>VOLUME.sA</t>
  </si>
  <si>
    <t>AREA arctic scale</t>
  </si>
  <si>
    <t>SYSTEMAREA.A</t>
  </si>
  <si>
    <t>AREAFRAC.wA</t>
  </si>
  <si>
    <t>AREAFRAC.sA</t>
  </si>
  <si>
    <t>HEIGHT.aA</t>
  </si>
  <si>
    <t>Depth surface ocean</t>
  </si>
  <si>
    <t>DEPTH.w2A</t>
  </si>
  <si>
    <t>Depth deep ocean</t>
  </si>
  <si>
    <t>DEPTH.w3A</t>
  </si>
  <si>
    <t>DEPTH.sdA</t>
  </si>
  <si>
    <t>DEPTH.sA</t>
  </si>
  <si>
    <r>
      <t>FRAC</t>
    </r>
    <r>
      <rPr>
        <sz val="10"/>
        <rFont val="Calibri"/>
        <family val="2"/>
      </rPr>
      <t>cldw.aA</t>
    </r>
  </si>
  <si>
    <r>
      <t>FRAC</t>
    </r>
    <r>
      <rPr>
        <sz val="10"/>
        <rFont val="Calibri"/>
        <family val="2"/>
      </rPr>
      <t>aers.aA</t>
    </r>
  </si>
  <si>
    <r>
      <t>FRAC</t>
    </r>
    <r>
      <rPr>
        <sz val="10"/>
        <rFont val="Calibri"/>
        <family val="2"/>
      </rPr>
      <t>aerw.aA</t>
    </r>
  </si>
  <si>
    <t>FRACa.sA</t>
  </si>
  <si>
    <t>FRACw.sA</t>
  </si>
  <si>
    <t>FRACs.sA</t>
  </si>
  <si>
    <t>FRACw.sdA</t>
  </si>
  <si>
    <t>VOLUME FRACTION solid in sediment</t>
  </si>
  <si>
    <t>FRACs.sdA</t>
  </si>
  <si>
    <t>TRANSFER rate arctic air - moderate air</t>
  </si>
  <si>
    <t>k.aA.aM</t>
  </si>
  <si>
    <t>RESIDENCE TIME of air in arctic scale</t>
  </si>
  <si>
    <t>TAU.aA</t>
  </si>
  <si>
    <t>TRANSFER rate arctic surface ocean - moderate surface ocean</t>
  </si>
  <si>
    <t>k.w2A.w2M</t>
  </si>
  <si>
    <t>TRANSFER rate arctic deep ocean - moderate deep ocean</t>
  </si>
  <si>
    <t>k.w3A.w3M</t>
  </si>
  <si>
    <t>FLOW of water from ARCTIC to moderate scale</t>
  </si>
  <si>
    <t>WATERflow.w2A.w2M</t>
  </si>
  <si>
    <t>TRANSFER rate surface ocean - deep ocean</t>
  </si>
  <si>
    <t>k.w2A.w3A</t>
  </si>
  <si>
    <t>TRANSFER rate deep ocean - surface ocean</t>
  </si>
  <si>
    <t>k.w3A.w2A</t>
  </si>
  <si>
    <t>OceanMixing.A</t>
  </si>
  <si>
    <t>TAU.surfA</t>
  </si>
  <si>
    <r>
      <t>FR</t>
    </r>
    <r>
      <rPr>
        <sz val="10"/>
        <rFont val="Calibri"/>
        <family val="2"/>
      </rPr>
      <t>gas.aA</t>
    </r>
  </si>
  <si>
    <t>FRaerw.aA</t>
  </si>
  <si>
    <t>FRaers.aA</t>
  </si>
  <si>
    <r>
      <t>K</t>
    </r>
    <r>
      <rPr>
        <sz val="10"/>
        <rFont val="Calibri"/>
        <family val="2"/>
      </rPr>
      <t>aw.A</t>
    </r>
  </si>
  <si>
    <t>TEMPERATURE arctic scale</t>
  </si>
  <si>
    <t>TEMP.A</t>
  </si>
  <si>
    <t>Kaerw.aA</t>
  </si>
  <si>
    <t>Kaers.aA</t>
  </si>
  <si>
    <t>FRw.w2A</t>
  </si>
  <si>
    <t>FRw.w3A</t>
  </si>
  <si>
    <t>Kp.susp2A</t>
  </si>
  <si>
    <t>Kp.susp3A</t>
  </si>
  <si>
    <t>CORG.susp2A</t>
  </si>
  <si>
    <t>CORG.susp3A</t>
  </si>
  <si>
    <t>SUSP.w2A</t>
  </si>
  <si>
    <t>SUSP.w3A</t>
  </si>
  <si>
    <t>Kp.col2A</t>
  </si>
  <si>
    <t>Kp.col3A</t>
  </si>
  <si>
    <t>COL.w2A</t>
  </si>
  <si>
    <t>COL.w3A</t>
  </si>
  <si>
    <t>Ksdw.A</t>
  </si>
  <si>
    <t>Kp.sdA</t>
  </si>
  <si>
    <t>CORG.sdA</t>
  </si>
  <si>
    <r>
      <t>K</t>
    </r>
    <r>
      <rPr>
        <sz val="10"/>
        <rFont val="Calibri"/>
        <family val="2"/>
      </rPr>
      <t>slw.A</t>
    </r>
  </si>
  <si>
    <t>FRw.sA</t>
  </si>
  <si>
    <t>FRs.sA</t>
  </si>
  <si>
    <t>Kp.sA</t>
  </si>
  <si>
    <t>CORG.sA</t>
  </si>
  <si>
    <t>k.aAG.w2AD</t>
  </si>
  <si>
    <t>k.aAG.sAD</t>
  </si>
  <si>
    <t>k.w2AD.aAG</t>
  </si>
  <si>
    <t>k.sAD.aAG</t>
  </si>
  <si>
    <t>MeanDep.A</t>
  </si>
  <si>
    <t>MeanRem.aA</t>
  </si>
  <si>
    <t>kdry.A</t>
  </si>
  <si>
    <t>kwet.A</t>
  </si>
  <si>
    <t>tdry.A</t>
  </si>
  <si>
    <t>twet.A</t>
  </si>
  <si>
    <t xml:space="preserve">s </t>
  </si>
  <si>
    <t>DRYDEPaerosol.A</t>
  </si>
  <si>
    <t>AerosolWashout.A</t>
  </si>
  <si>
    <t>GasWashout.A</t>
  </si>
  <si>
    <t>AEROSOLdeprate.A</t>
  </si>
  <si>
    <t>RAINrate.A</t>
  </si>
  <si>
    <t>COLLECTeff.A</t>
  </si>
  <si>
    <t>GASABS.aA.wA</t>
  </si>
  <si>
    <t>GASABS.aA.sA</t>
  </si>
  <si>
    <t>VOLAT.w2A.aA</t>
  </si>
  <si>
    <t>VOLAT.sA.aA</t>
  </si>
  <si>
    <r>
      <rPr>
        <sz val="10"/>
        <rFont val="Calibri"/>
        <family val="2"/>
      </rPr>
      <t>MTCaw.air.aA</t>
    </r>
  </si>
  <si>
    <r>
      <rPr>
        <sz val="10"/>
        <rFont val="Calibri"/>
        <family val="2"/>
      </rPr>
      <t>MTCaw.water.wA</t>
    </r>
  </si>
  <si>
    <t>WINDspeed.A</t>
  </si>
  <si>
    <r>
      <rPr>
        <sz val="10"/>
        <rFont val="Calibri"/>
        <family val="2"/>
      </rPr>
      <t>MTCas.air.aA</t>
    </r>
  </si>
  <si>
    <r>
      <rPr>
        <sz val="10"/>
        <rFont val="Calibri"/>
        <family val="2"/>
      </rPr>
      <t>MTCas.soil.sA</t>
    </r>
  </si>
  <si>
    <t>CORRvolat.sA</t>
  </si>
  <si>
    <t>k.w3AD.sdAD</t>
  </si>
  <si>
    <t>k.sdAD.w3AD</t>
  </si>
  <si>
    <t>SED.w3A.sdA</t>
  </si>
  <si>
    <t>RESUSP.sdA.w3A</t>
  </si>
  <si>
    <t>GROSSSEDrate.w3A</t>
  </si>
  <si>
    <t>SETTLvelocity.A</t>
  </si>
  <si>
    <t>NETsedrate.wA</t>
  </si>
  <si>
    <t>PRODsusp.wA</t>
  </si>
  <si>
    <t>Formula corrected</t>
  </si>
  <si>
    <t>ADSORB.w3A.sdA</t>
  </si>
  <si>
    <t>DESORB.sdA.w3A</t>
  </si>
  <si>
    <t>kwsd.water.wA</t>
  </si>
  <si>
    <t>kwsd.sed.sdA</t>
  </si>
  <si>
    <t>TRANSFER rate soil to water</t>
  </si>
  <si>
    <t>k.sAD.w2AD</t>
  </si>
  <si>
    <t>EROSION.sA</t>
  </si>
  <si>
    <t>FRACrun.sA</t>
  </si>
  <si>
    <t>CORRrunoff.sA</t>
  </si>
  <si>
    <t>k.aAG</t>
  </si>
  <si>
    <t>k.w2AD</t>
  </si>
  <si>
    <t>k.w3AD</t>
  </si>
  <si>
    <t>k.sdAD</t>
  </si>
  <si>
    <t>k.sAD</t>
  </si>
  <si>
    <t>kesc.aA</t>
  </si>
  <si>
    <t>KDEG.aA</t>
  </si>
  <si>
    <t>OH-radical concentration arctic scale</t>
  </si>
  <si>
    <t>C.OHrad.aA</t>
  </si>
  <si>
    <t>Tempfactor.aA</t>
  </si>
  <si>
    <t>KDEG.w2A</t>
  </si>
  <si>
    <t>KDEG.w3A</t>
  </si>
  <si>
    <t>BACT.w2A</t>
  </si>
  <si>
    <t>Concentration BACTERIA in surface ocean</t>
  </si>
  <si>
    <t>BACT.w3A</t>
  </si>
  <si>
    <t>Tempfactor.wsdsA</t>
  </si>
  <si>
    <t>KDEG.sdA</t>
  </si>
  <si>
    <t>KDEG.sA</t>
  </si>
  <si>
    <t>FRACinf.sA</t>
  </si>
  <si>
    <t>CORRleach.sA</t>
  </si>
  <si>
    <t>HETEROAGGLOMERATION OF Engineered Nanoparticles (ENPs (S)) with Nucleation (Nuc), Accumulation (Acc) and Coarse (CP) mode aersosols in Arctic AIR</t>
  </si>
  <si>
    <t>k.aAS.aAA</t>
  </si>
  <si>
    <t>kcoag.aAS.aANuc</t>
  </si>
  <si>
    <t>NumConcNuc.aA</t>
  </si>
  <si>
    <t>ThermvelNuc.aA</t>
  </si>
  <si>
    <t>DiffNuc.aA</t>
  </si>
  <si>
    <t>Fuchs.aAS.aANuc</t>
  </si>
  <si>
    <t>kcoag.aAS.aAAcc</t>
  </si>
  <si>
    <t>NumConcAcc.aA</t>
  </si>
  <si>
    <t>ThermvelAcc.aA</t>
  </si>
  <si>
    <t>DiffAcc.aA</t>
  </si>
  <si>
    <t>Fuchs.aAS.aAAcc</t>
  </si>
  <si>
    <t>k.aAS.aAP</t>
  </si>
  <si>
    <t>NumConcCP.aA</t>
  </si>
  <si>
    <t>ThermvelCP.aA</t>
  </si>
  <si>
    <t>DiffCP.aA</t>
  </si>
  <si>
    <t>Fuchs.aAS.aACP</t>
  </si>
  <si>
    <t>HETEROAGGLOMERATION OF Engineered Nanoparticles (ENPs (S)) WITH Natucal Colloids (NC) and Suspended Particulate Matter (SPM) in Arctic WATERS</t>
  </si>
  <si>
    <t>k.w2AS.w2AA</t>
  </si>
  <si>
    <t>NumConcNC.w2A</t>
  </si>
  <si>
    <t>fTotalSNC.w2A</t>
  </si>
  <si>
    <t>fInterceptSNC.w2A</t>
  </si>
  <si>
    <t>Shear.w2A</t>
  </si>
  <si>
    <t>k.w3AS.w3AA</t>
  </si>
  <si>
    <t>NumConcNC.w3A</t>
  </si>
  <si>
    <t>fTotalSNC.w3A</t>
  </si>
  <si>
    <t>fInterceptSNC.w3A</t>
  </si>
  <si>
    <t>Shear.w3A</t>
  </si>
  <si>
    <t>fBrownSNC.wA</t>
  </si>
  <si>
    <t>fGravSNC.wA</t>
  </si>
  <si>
    <t>k.w2AS.w2AP</t>
  </si>
  <si>
    <t>NumConcSPM.w2A</t>
  </si>
  <si>
    <t>fTotalSSPM.w2A</t>
  </si>
  <si>
    <t>fInterceptSSPM.w2A</t>
  </si>
  <si>
    <t>k.w3AS.w3AP</t>
  </si>
  <si>
    <t>NumConcSPM.w3A</t>
  </si>
  <si>
    <t>fTotalSSPM.w3A</t>
  </si>
  <si>
    <t>fInterceptSSPM.w3A</t>
  </si>
  <si>
    <t>fBrownSSPM.wA</t>
  </si>
  <si>
    <t>fGravSSPM.wA</t>
  </si>
  <si>
    <t>HETEROAGGLOMERATION of Engineered Nanoparticles (ENPs (S)) and Natural Colloids (NC) and Filtration Particulates (FP) in Arctic SEDIMENT</t>
  </si>
  <si>
    <t>k.sdAS.sdAA</t>
  </si>
  <si>
    <t>NumConcNC.sdA</t>
  </si>
  <si>
    <t>? Higher?</t>
  </si>
  <si>
    <t>fBrownSNC.sdA</t>
  </si>
  <si>
    <t>fGravSNC.sdA</t>
  </si>
  <si>
    <t>k.sdAS.sdAP</t>
  </si>
  <si>
    <t>Filter.sdA</t>
  </si>
  <si>
    <t>Udarcy.sdA</t>
  </si>
  <si>
    <t>fTotalSP.sdA</t>
  </si>
  <si>
    <t>fBrownSP.sdA</t>
  </si>
  <si>
    <t>ASPDF.sdA</t>
  </si>
  <si>
    <t>GammPDF.sdA</t>
  </si>
  <si>
    <t>Por.sdA</t>
  </si>
  <si>
    <t>fInterceptSP.sdA</t>
  </si>
  <si>
    <t>fGravSP.sdA</t>
  </si>
  <si>
    <t>vdWaalsNumberSP.sdA</t>
  </si>
  <si>
    <t>aspectratioSP.sdA</t>
  </si>
  <si>
    <t>PecletNumberSP.sdA</t>
  </si>
  <si>
    <t>GravNumberSP.sdA</t>
  </si>
  <si>
    <t>HETEROAGGLOMERATION of Engineered Nanoparticles (ENPs (S)) and Natural Colloids (NC) or Filtration Particulates (FP) in Arctic SOIL pore water</t>
  </si>
  <si>
    <t>k.sAS.sAA</t>
  </si>
  <si>
    <t>NumConcNC.sA</t>
  </si>
  <si>
    <t>mConcNC.sA</t>
  </si>
  <si>
    <t>fBrownSNC.sA</t>
  </si>
  <si>
    <t>fGravSNC.sA</t>
  </si>
  <si>
    <t>k.sAS.sAP</t>
  </si>
  <si>
    <t>Filter.sA</t>
  </si>
  <si>
    <t>Udarcy.sA</t>
  </si>
  <si>
    <t>fTotalSFP.sA</t>
  </si>
  <si>
    <t>fBrownSFP.sA</t>
  </si>
  <si>
    <t>ASPDF.sA</t>
  </si>
  <si>
    <t>GammPDF.sA</t>
  </si>
  <si>
    <t>Por.sA</t>
  </si>
  <si>
    <t>fInterceptSFP.sA</t>
  </si>
  <si>
    <t>fGravSFP.sA</t>
  </si>
  <si>
    <t>aspectratioSFP.sA</t>
  </si>
  <si>
    <t>PecletNumberFP.sA</t>
  </si>
  <si>
    <t>vdWaalsNumberSFP.sA</t>
  </si>
  <si>
    <t>GravNumberS.sA</t>
  </si>
  <si>
    <t>ATMOSPHERIC CHARACTERISTICS ARCTIC ZONE</t>
  </si>
  <si>
    <t>Rad.cwA</t>
  </si>
  <si>
    <t>FRACtwet.A</t>
  </si>
  <si>
    <t>RAINrate.wet.A</t>
  </si>
  <si>
    <t>TerminalVel.cwA</t>
  </si>
  <si>
    <t>Cunningham.cwA</t>
  </si>
  <si>
    <t>CritStokesNumb.cwA</t>
  </si>
  <si>
    <t>ReyNumber.cwA</t>
  </si>
  <si>
    <t>PROPERTIES of HETEROAGGLOMERATES ARCTIC ZONE</t>
  </si>
  <si>
    <t>RadA.aA</t>
  </si>
  <si>
    <t>RhoA.aA</t>
  </si>
  <si>
    <t>SingleVolA.aA</t>
  </si>
  <si>
    <t>SingleMassA.aA</t>
  </si>
  <si>
    <t>TRANSPORT RATES BETWEEN COMPARTMENTS ARCTIC ZONE</t>
  </si>
  <si>
    <t>k.aAS.cwAS</t>
  </si>
  <si>
    <t>RelaxS.aA</t>
  </si>
  <si>
    <t>StokesNumberS.aA</t>
  </si>
  <si>
    <t>SettvelS.aA</t>
  </si>
  <si>
    <t>SchmidtNumberS.aA</t>
  </si>
  <si>
    <t>fBrown.aAS.cwAS</t>
  </si>
  <si>
    <t>fIntercept.aAS.cwAS</t>
  </si>
  <si>
    <t>fGrav.aAS.cwAS</t>
  </si>
  <si>
    <t>fTotal.aAS.cwAS</t>
  </si>
  <si>
    <t>k.aAA.cwAA</t>
  </si>
  <si>
    <t>CunninghamA.aA</t>
  </si>
  <si>
    <t>DiffA.aA</t>
  </si>
  <si>
    <t>RelaxA.aA</t>
  </si>
  <si>
    <t>StokesNumberA.aA</t>
  </si>
  <si>
    <t>SettvelA.aA</t>
  </si>
  <si>
    <t>SchmidtNumberA.aA</t>
  </si>
  <si>
    <t>fBrown.aAA.cwAA</t>
  </si>
  <si>
    <t>fIntercept.aAA.cwAA</t>
  </si>
  <si>
    <t>fGrav.aAA.cwAA</t>
  </si>
  <si>
    <t>fTotal.aAA.cwAA</t>
  </si>
  <si>
    <t>k.aAP.cwAP</t>
  </si>
  <si>
    <t>k.aAS.sAS</t>
  </si>
  <si>
    <t>DEPvelocity.aAS.sAS</t>
  </si>
  <si>
    <t>AEROresist.sA</t>
  </si>
  <si>
    <t>SURFresist.sAS</t>
  </si>
  <si>
    <t>FRICvelocity.sA</t>
  </si>
  <si>
    <t>fBrown.aAS.sAS</t>
  </si>
  <si>
    <t>fIntercept.aAS.sAS</t>
  </si>
  <si>
    <t>veghair.sA</t>
  </si>
  <si>
    <t>largevegradius.sA</t>
  </si>
  <si>
    <t>AREAFRACveg.sA</t>
  </si>
  <si>
    <t>fGrav.aAS.sAS</t>
  </si>
  <si>
    <t>k.aAA.sAA</t>
  </si>
  <si>
    <t>DEPvelocity.aAA.sAA</t>
  </si>
  <si>
    <t>SURFresist.sAA</t>
  </si>
  <si>
    <t>fBrown.aAA.sAA</t>
  </si>
  <si>
    <t>fIntercept.aAA.sAA</t>
  </si>
  <si>
    <t>fGrav.aAAsMA</t>
  </si>
  <si>
    <t>k.aAP.sAP</t>
  </si>
  <si>
    <t>k.aAS.w2AS</t>
  </si>
  <si>
    <t>DEPvelocity.aAS.w2AS</t>
  </si>
  <si>
    <t>AEROresist.w2A</t>
  </si>
  <si>
    <t>SURFresist.w2AS</t>
  </si>
  <si>
    <t>FRICvelocity.wA</t>
  </si>
  <si>
    <t>fBrown.aAS.w</t>
  </si>
  <si>
    <t>fGrav.aAS.w</t>
  </si>
  <si>
    <t>k.aAA.w2AA</t>
  </si>
  <si>
    <t>DEPvelocity.aAA.w2AA</t>
  </si>
  <si>
    <t>SURFresist.wAA</t>
  </si>
  <si>
    <t>fBrown.aAA.w</t>
  </si>
  <si>
    <t>fGrav.aAA.w</t>
  </si>
  <si>
    <t>k.aAP.w2AP</t>
  </si>
  <si>
    <t>k.cwAS.sAS</t>
  </si>
  <si>
    <t>k.cwAA.sAA</t>
  </si>
  <si>
    <t>k.cwAP.sAP</t>
  </si>
  <si>
    <t>k.cwAS.w2AS</t>
  </si>
  <si>
    <t>k.cwAA.w2AA</t>
  </si>
  <si>
    <t>k.cwAP.w2AP</t>
  </si>
  <si>
    <t>k.w2AS.w3AS</t>
  </si>
  <si>
    <t>k.w2AA.w3AA</t>
  </si>
  <si>
    <t>k.w2AP.w3AP</t>
  </si>
  <si>
    <t>k.w3AS.sdAS</t>
  </si>
  <si>
    <t>k.w3AA.sdAA</t>
  </si>
  <si>
    <t>SEDIMENTATION of ATTACHED ENP SPECIES (P) to Sea Water SEDIMENT</t>
  </si>
  <si>
    <t>k.w3AP.sdAP</t>
  </si>
  <si>
    <t>k.sdAS.w3AS</t>
  </si>
  <si>
    <t>k.sdAA.w3AA</t>
  </si>
  <si>
    <t>k.sdAP.w3AP</t>
  </si>
  <si>
    <t>k.sAS.w2AS</t>
  </si>
  <si>
    <t>k.sAA.w2AA</t>
  </si>
  <si>
    <t>k.sAP.w2AP</t>
  </si>
  <si>
    <t>REMOVAL from ARCTIC ZONE</t>
  </si>
  <si>
    <t>k.aAS</t>
  </si>
  <si>
    <t>k.aAA</t>
  </si>
  <si>
    <t>k.aAP</t>
  </si>
  <si>
    <t>k.w2AS</t>
  </si>
  <si>
    <t>k.w2AA</t>
  </si>
  <si>
    <t>k.w2AP</t>
  </si>
  <si>
    <t>k.w3AS</t>
  </si>
  <si>
    <t>k.w3AA</t>
  </si>
  <si>
    <t>k.w3AP</t>
  </si>
  <si>
    <t>k.sdAS</t>
  </si>
  <si>
    <t>k.sdAA</t>
  </si>
  <si>
    <t>k.sdAP</t>
  </si>
  <si>
    <t>k.sAS</t>
  </si>
  <si>
    <t>k.sAA</t>
  </si>
  <si>
    <t>k.sAP</t>
  </si>
  <si>
    <t>kleach.sA</t>
  </si>
  <si>
    <t>kbur.sdA</t>
  </si>
  <si>
    <t>TROPICAL ZONE MODEL DEFINITION</t>
  </si>
  <si>
    <t>VOLUME.aT</t>
  </si>
  <si>
    <t>VOLUME.cwT</t>
  </si>
  <si>
    <t>VOLUME.w2T</t>
  </si>
  <si>
    <t>VOLUME.w3T</t>
  </si>
  <si>
    <t>VOLUME.sdT</t>
  </si>
  <si>
    <t>VOLUME.sT</t>
  </si>
  <si>
    <t>AREA tropical scale</t>
  </si>
  <si>
    <t>SYSTEMAREA.T</t>
  </si>
  <si>
    <t>AREAFRAC.wT</t>
  </si>
  <si>
    <t>AREAFRAC.sT</t>
  </si>
  <si>
    <t>HEIGHT.aT</t>
  </si>
  <si>
    <t>DEPTH.w2T</t>
  </si>
  <si>
    <t>DEPTH.w3T</t>
  </si>
  <si>
    <t>DEPTH.sdT</t>
  </si>
  <si>
    <t>DEPTH.sT</t>
  </si>
  <si>
    <r>
      <t>FRAC</t>
    </r>
    <r>
      <rPr>
        <sz val="10"/>
        <rFont val="Calibri"/>
        <family val="2"/>
      </rPr>
      <t>cldw.aT</t>
    </r>
  </si>
  <si>
    <r>
      <t>FRAC</t>
    </r>
    <r>
      <rPr>
        <sz val="10"/>
        <rFont val="Calibri"/>
        <family val="2"/>
      </rPr>
      <t>aers.aT</t>
    </r>
  </si>
  <si>
    <r>
      <t>FRAC</t>
    </r>
    <r>
      <rPr>
        <sz val="10"/>
        <rFont val="Calibri"/>
        <family val="2"/>
      </rPr>
      <t>aerw.aT</t>
    </r>
  </si>
  <si>
    <t>FRACa.sT</t>
  </si>
  <si>
    <t>FRACw.sT</t>
  </si>
  <si>
    <t>FRACs.sT</t>
  </si>
  <si>
    <t>FRACw.sdT</t>
  </si>
  <si>
    <t>FRACs.sdT</t>
  </si>
  <si>
    <t>TRANSFER rate tropical air - moderate air</t>
  </si>
  <si>
    <t>k.aT.aM</t>
  </si>
  <si>
    <t>RESIDENCE TIME of air in tropical scale</t>
  </si>
  <si>
    <t>TAU.aT</t>
  </si>
  <si>
    <t>TRANSFER rate tropical surface ocean - moderate surface ocean</t>
  </si>
  <si>
    <t>k.w2T.w2M</t>
  </si>
  <si>
    <t>TRANSFER rate tropical deep ocean - moderate deep ocean</t>
  </si>
  <si>
    <t>k.w3T.w3M</t>
  </si>
  <si>
    <t>FLOW of water from tropical to moderate scale</t>
  </si>
  <si>
    <t>WATERflow.w2T.w2M</t>
  </si>
  <si>
    <t>k.w2T.w3T</t>
  </si>
  <si>
    <t>k.w3T.w2T</t>
  </si>
  <si>
    <t>OceanMixing.T</t>
  </si>
  <si>
    <t>TAU.surfT</t>
  </si>
  <si>
    <r>
      <t>FR</t>
    </r>
    <r>
      <rPr>
        <sz val="10"/>
        <rFont val="Calibri"/>
        <family val="2"/>
      </rPr>
      <t>gas.aT</t>
    </r>
  </si>
  <si>
    <t>FRaerw.aT</t>
  </si>
  <si>
    <t>FRaers.aT</t>
  </si>
  <si>
    <r>
      <t>K</t>
    </r>
    <r>
      <rPr>
        <sz val="10"/>
        <rFont val="Calibri"/>
        <family val="2"/>
      </rPr>
      <t>aw.T</t>
    </r>
  </si>
  <si>
    <t>TEMPERATURE tropic scale</t>
  </si>
  <si>
    <t>TEMP.T</t>
  </si>
  <si>
    <t>Kaerw.aT</t>
  </si>
  <si>
    <t>Kaers.aT</t>
  </si>
  <si>
    <t>FRw.w2T</t>
  </si>
  <si>
    <t>FRw.w3T</t>
  </si>
  <si>
    <t>Kp.susp2T</t>
  </si>
  <si>
    <t>Kp.susp3T</t>
  </si>
  <si>
    <t>CORG.susp2T</t>
  </si>
  <si>
    <t>CORG.susp3T</t>
  </si>
  <si>
    <t>SUSP.w2T</t>
  </si>
  <si>
    <t>SUSP.w3T</t>
  </si>
  <si>
    <t>Kp.col2T</t>
  </si>
  <si>
    <t>Kp.col3T</t>
  </si>
  <si>
    <t>COL.w2T</t>
  </si>
  <si>
    <t>COL.w3T</t>
  </si>
  <si>
    <t>Ksdw.T</t>
  </si>
  <si>
    <t>Kp.sdT</t>
  </si>
  <si>
    <t>CORG.sdT</t>
  </si>
  <si>
    <r>
      <t>K</t>
    </r>
    <r>
      <rPr>
        <sz val="10"/>
        <rFont val="Calibri"/>
        <family val="2"/>
      </rPr>
      <t>slw.T</t>
    </r>
  </si>
  <si>
    <t>FRw.sT</t>
  </si>
  <si>
    <t>FRs.sT</t>
  </si>
  <si>
    <t>Kp.sT</t>
  </si>
  <si>
    <t>CORG.sT</t>
  </si>
  <si>
    <t>k.aTG.w2TD</t>
  </si>
  <si>
    <t>k.aTG.sTD</t>
  </si>
  <si>
    <t>k.w2TD.aTG</t>
  </si>
  <si>
    <t>k.sTD.aTG</t>
  </si>
  <si>
    <t>MeanDep.T</t>
  </si>
  <si>
    <t>MeanRem.aT</t>
  </si>
  <si>
    <t>kdry.T</t>
  </si>
  <si>
    <t>kwet.T</t>
  </si>
  <si>
    <t>tdry.T</t>
  </si>
  <si>
    <t>twet.T</t>
  </si>
  <si>
    <t>DRYDEPaerosol.T</t>
  </si>
  <si>
    <t>AerosolWashout.T</t>
  </si>
  <si>
    <t>GasWashout.T</t>
  </si>
  <si>
    <t>AEROSOLdeprate.T</t>
  </si>
  <si>
    <t>RAINrate.T</t>
  </si>
  <si>
    <t>COLLECTeff.T</t>
  </si>
  <si>
    <t>GASABS.aT.wT</t>
  </si>
  <si>
    <t>GASABS.aT.sT</t>
  </si>
  <si>
    <t>VOLAT.w2T.aT</t>
  </si>
  <si>
    <t>VOLAT.sT.aT</t>
  </si>
  <si>
    <r>
      <rPr>
        <sz val="10"/>
        <rFont val="Calibri"/>
        <family val="2"/>
      </rPr>
      <t>MTCaw.air.aT</t>
    </r>
  </si>
  <si>
    <r>
      <rPr>
        <sz val="10"/>
        <rFont val="Calibri"/>
        <family val="2"/>
      </rPr>
      <t>MTCaw.water.wT</t>
    </r>
  </si>
  <si>
    <t>WINDspeed.T</t>
  </si>
  <si>
    <r>
      <rPr>
        <sz val="10"/>
        <rFont val="Calibri"/>
        <family val="2"/>
      </rPr>
      <t>MTCas.air.aT</t>
    </r>
  </si>
  <si>
    <r>
      <rPr>
        <sz val="10"/>
        <rFont val="Calibri"/>
        <family val="2"/>
      </rPr>
      <t>MTCas.soil.sT</t>
    </r>
  </si>
  <si>
    <t>CORRvolat.sT</t>
  </si>
  <si>
    <t>k.w3TD.sdTD</t>
  </si>
  <si>
    <t>k.sdTD.w3TD</t>
  </si>
  <si>
    <t>SED.w3T.sdT</t>
  </si>
  <si>
    <t>RESUSP.sdT.w3T</t>
  </si>
  <si>
    <t>GROSSSEDrate.w3T</t>
  </si>
  <si>
    <t>SETTLvelocity.T</t>
  </si>
  <si>
    <t>NETsedrate.wT</t>
  </si>
  <si>
    <t>PRODsusp.wT</t>
  </si>
  <si>
    <t>ADSORB.w3T.sdT</t>
  </si>
  <si>
    <t>DESORB.sdT.w3T</t>
  </si>
  <si>
    <t>kwsd.water.wT</t>
  </si>
  <si>
    <t>kwsd.sed.sdT</t>
  </si>
  <si>
    <t>k.sTD.w2TD</t>
  </si>
  <si>
    <t>EROSION.sT</t>
  </si>
  <si>
    <t>FRACrun.sT</t>
  </si>
  <si>
    <t>CORRrunoff.sT</t>
  </si>
  <si>
    <t>k.aTG</t>
  </si>
  <si>
    <t>k.w2TD</t>
  </si>
  <si>
    <t>k.w3TD</t>
  </si>
  <si>
    <t>k.sdTD</t>
  </si>
  <si>
    <t>k.sTD</t>
  </si>
  <si>
    <t>kesc.aT</t>
  </si>
  <si>
    <t>KDEG.aT</t>
  </si>
  <si>
    <t>OH-radical concentration tropic scale</t>
  </si>
  <si>
    <t>C.OHrad.aT</t>
  </si>
  <si>
    <t>Tempfactor.aT</t>
  </si>
  <si>
    <t>KDEG.w2T</t>
  </si>
  <si>
    <t>KDEG.w3T</t>
  </si>
  <si>
    <t>BACT.w2T</t>
  </si>
  <si>
    <t>BACT.w3T</t>
  </si>
  <si>
    <t>Tempfactor.wsdsT</t>
  </si>
  <si>
    <t>KDEG.sdT</t>
  </si>
  <si>
    <t>KDEG.sT</t>
  </si>
  <si>
    <t>FRACinf.sT</t>
  </si>
  <si>
    <t>CORRleach.sT</t>
  </si>
  <si>
    <t>HETEROAGGLOMERATION OF Engineered Nanoparticles (ENPs (S)) with Nucleation (Nuc), Accumulation (Acc) and Coarse (CP) mode aersosols in Tropical AIR</t>
  </si>
  <si>
    <t>k.aTS.aTA</t>
  </si>
  <si>
    <t>kcoag.aTS.aTNuc</t>
  </si>
  <si>
    <t>NumConcNuc.aT</t>
  </si>
  <si>
    <t>ThermvelNuc.aT</t>
  </si>
  <si>
    <t>DiffNuc.aT</t>
  </si>
  <si>
    <t>Fuchs.aTS.aTNuc</t>
  </si>
  <si>
    <t>kcoag.aTS.aTAcc</t>
  </si>
  <si>
    <t>NumConcAcc.aT</t>
  </si>
  <si>
    <t>ThermvelAcc.aT</t>
  </si>
  <si>
    <t>DiffAcc.aT</t>
  </si>
  <si>
    <t>Fuchs.aTS.aTAcc</t>
  </si>
  <si>
    <t>k.aTS.aTP</t>
  </si>
  <si>
    <t>NumConcCP.aT</t>
  </si>
  <si>
    <t>ThermvelCP.aT</t>
  </si>
  <si>
    <t>DiffCP.aT</t>
  </si>
  <si>
    <t>Fuchs.aTS.aTCP</t>
  </si>
  <si>
    <t>HETEROAGGLOMERATION OF Engineered Nanoparticles (ENPs (S)) WITH Natucal Colloids (NC) and Suspended Particulate Matter (SPM) in Tropical WATERS</t>
  </si>
  <si>
    <t>k.w2TS.w2TA</t>
  </si>
  <si>
    <t>NumConcNC.w2T</t>
  </si>
  <si>
    <t>fTotalSNC.w2T</t>
  </si>
  <si>
    <t>fInterceptSNC.w2T</t>
  </si>
  <si>
    <t>Shear.w2T</t>
  </si>
  <si>
    <t>k.w3TS.w3TA</t>
  </si>
  <si>
    <t>NumConcNC.w3T</t>
  </si>
  <si>
    <t>fTotalSNC.w3T</t>
  </si>
  <si>
    <t>fInterceptSNC.w3T</t>
  </si>
  <si>
    <t>Shear.w3T</t>
  </si>
  <si>
    <t>fBrownSNC.wT</t>
  </si>
  <si>
    <t>fGravSNC.wT</t>
  </si>
  <si>
    <t>k.w2TS.w2TP</t>
  </si>
  <si>
    <t>NumConcSPM.w2T</t>
  </si>
  <si>
    <t>fTotalSSPM.w2T</t>
  </si>
  <si>
    <t>fInterceptSSPM.w2T</t>
  </si>
  <si>
    <t>k.w3TS.w3TP</t>
  </si>
  <si>
    <t>NumConcSPM.w3T</t>
  </si>
  <si>
    <t>fTotalSSPM.w3T</t>
  </si>
  <si>
    <t>fInterceptSSPM.w3T</t>
  </si>
  <si>
    <t>fBrownSSPM.wT</t>
  </si>
  <si>
    <t>fGravSSPM.wT</t>
  </si>
  <si>
    <t>HETEROAGGLOMERATION of Engineered Nanoparticles (ENPs (S)) and Natural Colloids (NC) and Filtration Particulates (FP) in Tropical SEDIMENT</t>
  </si>
  <si>
    <t>k.sdTS.sdTA</t>
  </si>
  <si>
    <t>NumConcNC.sdT</t>
  </si>
  <si>
    <t>fBrownSNC.sdT</t>
  </si>
  <si>
    <t>fGravSNC.sdT</t>
  </si>
  <si>
    <t>k.sdTS.sdTP</t>
  </si>
  <si>
    <t>Filter.sdT</t>
  </si>
  <si>
    <t>Udarcy.sdT</t>
  </si>
  <si>
    <t>fTotalSP.sdT</t>
  </si>
  <si>
    <t>fBrownSP.sdT</t>
  </si>
  <si>
    <t>ASPDF.sdT</t>
  </si>
  <si>
    <t>GammPDF.sdT</t>
  </si>
  <si>
    <t>Por.sdT</t>
  </si>
  <si>
    <t>fInterceptSP.sdT</t>
  </si>
  <si>
    <t>fGravSP.sdT</t>
  </si>
  <si>
    <t>vdWaalsNumberSP.sdT</t>
  </si>
  <si>
    <t>aspectratioSP.sdT</t>
  </si>
  <si>
    <t>PecletNumberSP.sdT</t>
  </si>
  <si>
    <t>GravNumberSP.sdT</t>
  </si>
  <si>
    <t>HETEROAGGLOMERATION of Engineered Nanoparticles (ENPs (S)) and Natural Colloids (NC) or Filtration Particulates (FP) in Tropical SOIL pore water</t>
  </si>
  <si>
    <t>k.sTS.sTA</t>
  </si>
  <si>
    <t>NumConcNC.sT</t>
  </si>
  <si>
    <t>mConcNC.sT</t>
  </si>
  <si>
    <t>fBrownSNC.sT</t>
  </si>
  <si>
    <t>fGravSNC.sT</t>
  </si>
  <si>
    <t>k.sTS.sTP</t>
  </si>
  <si>
    <t>Filter.sT</t>
  </si>
  <si>
    <t>Udarcy.sT</t>
  </si>
  <si>
    <t>fTotalSFP.sT</t>
  </si>
  <si>
    <t>fBrownSFP.sT</t>
  </si>
  <si>
    <t>ASPDF.sT</t>
  </si>
  <si>
    <t>GammPDF.sT</t>
  </si>
  <si>
    <t>Por.sT</t>
  </si>
  <si>
    <t>fInterceptSFP.sT</t>
  </si>
  <si>
    <t>fGravSFP.sT</t>
  </si>
  <si>
    <t>aspectratioSFP.sT</t>
  </si>
  <si>
    <t>PecletNumberFP.sT</t>
  </si>
  <si>
    <t>vdWaalsNumberSFP.sT</t>
  </si>
  <si>
    <t>GravNumberS.sT</t>
  </si>
  <si>
    <t>ATMOSPHERIC CHARACTERISTICS TROPICAL ZONE</t>
  </si>
  <si>
    <t>Rad.cwT</t>
  </si>
  <si>
    <t>FRACtwet.T</t>
  </si>
  <si>
    <t>RAINrate.wet.T</t>
  </si>
  <si>
    <t>TerminalVel.cwT</t>
  </si>
  <si>
    <t>Cunningham.cwT</t>
  </si>
  <si>
    <t>CritStokesNumb.cwT</t>
  </si>
  <si>
    <t>ReyNumber.cwT</t>
  </si>
  <si>
    <t>PROPERTIES of HETEROAGGLOMERATES TROPICAL ZONE</t>
  </si>
  <si>
    <t>RadA.aT</t>
  </si>
  <si>
    <t>RhoA.aT</t>
  </si>
  <si>
    <t>SingleVolA.aT</t>
  </si>
  <si>
    <t>SingleMassA.aT</t>
  </si>
  <si>
    <t>TRANSPORT RATES BETWEEN COMPARTMENTS TROPICAL ZONE</t>
  </si>
  <si>
    <t>k.aTS.cwTS</t>
  </si>
  <si>
    <t>RelaxS.aT</t>
  </si>
  <si>
    <t>StokesNumberS.aT</t>
  </si>
  <si>
    <t>SettvelS.aT</t>
  </si>
  <si>
    <t>SchmidtNumberS.aT</t>
  </si>
  <si>
    <t>fBrown.aTS.cwTS</t>
  </si>
  <si>
    <t>fIntercept.aTS.cwTS</t>
  </si>
  <si>
    <t>fGrav.aTS.cwTS</t>
  </si>
  <si>
    <t>fTotal.aTS.cwTS</t>
  </si>
  <si>
    <t>k.aTA.cwTA</t>
  </si>
  <si>
    <t>CunninghamA.aT</t>
  </si>
  <si>
    <t>DiffA.aT</t>
  </si>
  <si>
    <t>RelaxA.aT</t>
  </si>
  <si>
    <t>StokesNumberA.aT</t>
  </si>
  <si>
    <t>SettvelA.aT</t>
  </si>
  <si>
    <t>SchmidtNumberA.aT</t>
  </si>
  <si>
    <t>fBrown.aTA.cwTA</t>
  </si>
  <si>
    <t>fIntercept.aTA.cwTA</t>
  </si>
  <si>
    <t>fGrav.aTA.cwTA</t>
  </si>
  <si>
    <t>fTotal.aTA.cwTA</t>
  </si>
  <si>
    <t>k.aTP.cwTP</t>
  </si>
  <si>
    <t>k.aTS.sTS</t>
  </si>
  <si>
    <t>DEPvelocity.aTS.sTS</t>
  </si>
  <si>
    <t>AEROresist.sT</t>
  </si>
  <si>
    <t>SURFresist.sTS</t>
  </si>
  <si>
    <t>FRICvelocity.sT</t>
  </si>
  <si>
    <t>fBrown.aTS.sTS</t>
  </si>
  <si>
    <t>fIntercept.aTS.sTS</t>
  </si>
  <si>
    <t>veghair.sT</t>
  </si>
  <si>
    <t>largevegradius.sT</t>
  </si>
  <si>
    <t>AREAFRACveg.sT</t>
  </si>
  <si>
    <t>fGrav.aTS.sTS</t>
  </si>
  <si>
    <t>k.aTA.sTA</t>
  </si>
  <si>
    <t>DEPvelocity.aTA.sTA</t>
  </si>
  <si>
    <t>SURFresist.sTA</t>
  </si>
  <si>
    <t>fBrown.aTA.sTA</t>
  </si>
  <si>
    <t>fIntercept.aTA.sTA</t>
  </si>
  <si>
    <t>fGrav.aTA.sTA</t>
  </si>
  <si>
    <t>k.aTP.sTP</t>
  </si>
  <si>
    <t>k.aTS.w2TS</t>
  </si>
  <si>
    <t>DEPvelocity.aTS.w2TS</t>
  </si>
  <si>
    <t>AEROresist.w2T</t>
  </si>
  <si>
    <t>SURFresist.w2TS</t>
  </si>
  <si>
    <t>FRICvelocity.wT</t>
  </si>
  <si>
    <t>fBrown.aTS.w2TS</t>
  </si>
  <si>
    <t>fGrav.aTS.w2TS</t>
  </si>
  <si>
    <t>k.aTA.w2TA</t>
  </si>
  <si>
    <t>DEPvelocity.aTA.w2TA</t>
  </si>
  <si>
    <t>SURFresist.wTA</t>
  </si>
  <si>
    <t>fBrown.aTA.w2TA</t>
  </si>
  <si>
    <t>fGrav.aTA.w2TA</t>
  </si>
  <si>
    <t>k.aTP.w2TP</t>
  </si>
  <si>
    <t>k.cwTS.sTS</t>
  </si>
  <si>
    <t>k.cwTA.sTA</t>
  </si>
  <si>
    <t>k.cwTP.sTP</t>
  </si>
  <si>
    <t>k.cwTS.w2TS</t>
  </si>
  <si>
    <t>k.cwTA.w2TA</t>
  </si>
  <si>
    <t>k.cwTP.w2TP</t>
  </si>
  <si>
    <t>k.w2TS.w3TS</t>
  </si>
  <si>
    <t>k.w2TA.w3TA</t>
  </si>
  <si>
    <t>k.w2TP.w3TP</t>
  </si>
  <si>
    <t>k.w3TS.sdTS</t>
  </si>
  <si>
    <t>k.w3TA.sdTA</t>
  </si>
  <si>
    <t>k.w3TP.sdTP</t>
  </si>
  <si>
    <t>k.sdTS.w3TS</t>
  </si>
  <si>
    <t>k.sdTA.w3TA</t>
  </si>
  <si>
    <t>k.sdTP.w3TP</t>
  </si>
  <si>
    <t>k.sTS.w2TS</t>
  </si>
  <si>
    <t>k.sTA.w2TA</t>
  </si>
  <si>
    <t>k.sTP.w2TP</t>
  </si>
  <si>
    <t>REMOVAL from TROPICAL ZONE</t>
  </si>
  <si>
    <t>k.aTS</t>
  </si>
  <si>
    <t>k.aTA</t>
  </si>
  <si>
    <t>k.aTP</t>
  </si>
  <si>
    <t>k.w2TS</t>
  </si>
  <si>
    <t>k.w2TA</t>
  </si>
  <si>
    <t>k.w2TP</t>
  </si>
  <si>
    <t>k.w3TS</t>
  </si>
  <si>
    <t>k.w3TA</t>
  </si>
  <si>
    <t>k.w3TP</t>
  </si>
  <si>
    <t>k.sdTS</t>
  </si>
  <si>
    <t>k.sdTA</t>
  </si>
  <si>
    <t>k.sdTP</t>
  </si>
  <si>
    <t>k.sTS</t>
  </si>
  <si>
    <t>k.sTA</t>
  </si>
  <si>
    <t>k.sTP</t>
  </si>
  <si>
    <t>kleach.sT</t>
  </si>
  <si>
    <t>kbur.sdT</t>
  </si>
  <si>
    <t>SIMPLEBOX STEADY-STATE COMPUTATION</t>
  </si>
  <si>
    <r>
      <t>aR</t>
    </r>
    <r>
      <rPr>
        <sz val="10"/>
        <rFont val="Calibri"/>
        <family val="2"/>
      </rPr>
      <t>G</t>
    </r>
  </si>
  <si>
    <r>
      <t>aR</t>
    </r>
    <r>
      <rPr>
        <sz val="10"/>
        <rFont val="Calibri"/>
        <family val="2"/>
      </rPr>
      <t>S</t>
    </r>
  </si>
  <si>
    <r>
      <t>aR</t>
    </r>
    <r>
      <rPr>
        <sz val="10"/>
        <rFont val="Calibri"/>
        <family val="2"/>
      </rPr>
      <t>A</t>
    </r>
  </si>
  <si>
    <r>
      <t>aR</t>
    </r>
    <r>
      <rPr>
        <sz val="10"/>
        <rFont val="Calibri"/>
        <family val="2"/>
      </rPr>
      <t>P</t>
    </r>
  </si>
  <si>
    <t>cwRS</t>
  </si>
  <si>
    <t>cwRA</t>
  </si>
  <si>
    <t>cwRP</t>
  </si>
  <si>
    <r>
      <t>w0R</t>
    </r>
    <r>
      <rPr>
        <sz val="10"/>
        <rFont val="Calibri"/>
        <family val="2"/>
      </rPr>
      <t>D</t>
    </r>
  </si>
  <si>
    <r>
      <t>w0R</t>
    </r>
    <r>
      <rPr>
        <sz val="10"/>
        <rFont val="Calibri"/>
        <family val="2"/>
      </rPr>
      <t>S</t>
    </r>
  </si>
  <si>
    <r>
      <t>w0R</t>
    </r>
    <r>
      <rPr>
        <sz val="10"/>
        <rFont val="Calibri"/>
        <family val="2"/>
      </rPr>
      <t>A</t>
    </r>
  </si>
  <si>
    <r>
      <t>w0R</t>
    </r>
    <r>
      <rPr>
        <sz val="10"/>
        <rFont val="Calibri"/>
        <family val="2"/>
      </rPr>
      <t>P</t>
    </r>
  </si>
  <si>
    <r>
      <t>w1R</t>
    </r>
    <r>
      <rPr>
        <sz val="10"/>
        <rFont val="Calibri"/>
        <family val="2"/>
      </rPr>
      <t>D</t>
    </r>
  </si>
  <si>
    <r>
      <t>w1R</t>
    </r>
    <r>
      <rPr>
        <sz val="10"/>
        <rFont val="Calibri"/>
        <family val="2"/>
      </rPr>
      <t>S</t>
    </r>
  </si>
  <si>
    <r>
      <t>w1R</t>
    </r>
    <r>
      <rPr>
        <sz val="10"/>
        <rFont val="Calibri"/>
        <family val="2"/>
      </rPr>
      <t>A</t>
    </r>
  </si>
  <si>
    <r>
      <t>w1R</t>
    </r>
    <r>
      <rPr>
        <sz val="10"/>
        <rFont val="Calibri"/>
        <family val="2"/>
      </rPr>
      <t>P</t>
    </r>
  </si>
  <si>
    <r>
      <t>w2R</t>
    </r>
    <r>
      <rPr>
        <sz val="10"/>
        <rFont val="Calibri"/>
        <family val="2"/>
      </rPr>
      <t>D</t>
    </r>
  </si>
  <si>
    <r>
      <t>w2R</t>
    </r>
    <r>
      <rPr>
        <sz val="10"/>
        <rFont val="Calibri"/>
        <family val="2"/>
      </rPr>
      <t>S</t>
    </r>
  </si>
  <si>
    <r>
      <t>w2R</t>
    </r>
    <r>
      <rPr>
        <sz val="10"/>
        <rFont val="Calibri"/>
        <family val="2"/>
      </rPr>
      <t>A</t>
    </r>
  </si>
  <si>
    <r>
      <t>w2R</t>
    </r>
    <r>
      <rPr>
        <sz val="10"/>
        <rFont val="Calibri"/>
        <family val="2"/>
      </rPr>
      <t>P</t>
    </r>
  </si>
  <si>
    <t>sd0RD</t>
  </si>
  <si>
    <t>sd0RS</t>
  </si>
  <si>
    <t>sd0RA</t>
  </si>
  <si>
    <t>sd0RP</t>
  </si>
  <si>
    <r>
      <t>sd1R</t>
    </r>
    <r>
      <rPr>
        <sz val="10"/>
        <rFont val="Calibri"/>
        <family val="2"/>
      </rPr>
      <t>D</t>
    </r>
  </si>
  <si>
    <r>
      <t>sd1R</t>
    </r>
    <r>
      <rPr>
        <sz val="10"/>
        <rFont val="Calibri"/>
        <family val="2"/>
      </rPr>
      <t>S</t>
    </r>
  </si>
  <si>
    <r>
      <t>sd1R</t>
    </r>
    <r>
      <rPr>
        <sz val="10"/>
        <rFont val="Calibri"/>
        <family val="2"/>
      </rPr>
      <t>A</t>
    </r>
  </si>
  <si>
    <r>
      <t>sd1R</t>
    </r>
    <r>
      <rPr>
        <sz val="10"/>
        <rFont val="Calibri"/>
        <family val="2"/>
      </rPr>
      <t>P</t>
    </r>
  </si>
  <si>
    <r>
      <t>sd2R</t>
    </r>
    <r>
      <rPr>
        <sz val="10"/>
        <rFont val="Calibri"/>
        <family val="2"/>
      </rPr>
      <t>D</t>
    </r>
  </si>
  <si>
    <r>
      <t>sd2R</t>
    </r>
    <r>
      <rPr>
        <sz val="10"/>
        <rFont val="Calibri"/>
        <family val="2"/>
      </rPr>
      <t>S</t>
    </r>
  </si>
  <si>
    <r>
      <t>sd2R</t>
    </r>
    <r>
      <rPr>
        <sz val="10"/>
        <rFont val="Calibri"/>
        <family val="2"/>
      </rPr>
      <t>A</t>
    </r>
  </si>
  <si>
    <r>
      <t>sd2R</t>
    </r>
    <r>
      <rPr>
        <sz val="10"/>
        <rFont val="Calibri"/>
        <family val="2"/>
      </rPr>
      <t>P</t>
    </r>
  </si>
  <si>
    <r>
      <t>s1R</t>
    </r>
    <r>
      <rPr>
        <sz val="10"/>
        <rFont val="Calibri"/>
        <family val="2"/>
      </rPr>
      <t>D</t>
    </r>
  </si>
  <si>
    <r>
      <t>s1R</t>
    </r>
    <r>
      <rPr>
        <sz val="10"/>
        <rFont val="Calibri"/>
        <family val="2"/>
      </rPr>
      <t>S</t>
    </r>
  </si>
  <si>
    <r>
      <t>s1R</t>
    </r>
    <r>
      <rPr>
        <sz val="10"/>
        <rFont val="Calibri"/>
        <family val="2"/>
      </rPr>
      <t>A</t>
    </r>
  </si>
  <si>
    <r>
      <t>s1R</t>
    </r>
    <r>
      <rPr>
        <sz val="10"/>
        <rFont val="Calibri"/>
        <family val="2"/>
      </rPr>
      <t>P</t>
    </r>
  </si>
  <si>
    <r>
      <t>s2R</t>
    </r>
    <r>
      <rPr>
        <sz val="10"/>
        <rFont val="Calibri"/>
        <family val="2"/>
      </rPr>
      <t>D</t>
    </r>
  </si>
  <si>
    <r>
      <t>s2R</t>
    </r>
    <r>
      <rPr>
        <sz val="10"/>
        <rFont val="Calibri"/>
        <family val="2"/>
      </rPr>
      <t>S</t>
    </r>
  </si>
  <si>
    <r>
      <t>s2R</t>
    </r>
    <r>
      <rPr>
        <sz val="10"/>
        <rFont val="Calibri"/>
        <family val="2"/>
      </rPr>
      <t>A</t>
    </r>
  </si>
  <si>
    <r>
      <t>s2R</t>
    </r>
    <r>
      <rPr>
        <sz val="10"/>
        <rFont val="Calibri"/>
        <family val="2"/>
      </rPr>
      <t>P</t>
    </r>
  </si>
  <si>
    <r>
      <t>s3R</t>
    </r>
    <r>
      <rPr>
        <sz val="10"/>
        <rFont val="Calibri"/>
        <family val="2"/>
      </rPr>
      <t>D</t>
    </r>
  </si>
  <si>
    <r>
      <t>s3R</t>
    </r>
    <r>
      <rPr>
        <sz val="10"/>
        <rFont val="Calibri"/>
        <family val="2"/>
      </rPr>
      <t>S</t>
    </r>
  </si>
  <si>
    <r>
      <t>s3R</t>
    </r>
    <r>
      <rPr>
        <sz val="10"/>
        <rFont val="Calibri"/>
        <family val="2"/>
      </rPr>
      <t>A</t>
    </r>
  </si>
  <si>
    <r>
      <t>s3R</t>
    </r>
    <r>
      <rPr>
        <sz val="10"/>
        <rFont val="Calibri"/>
        <family val="2"/>
      </rPr>
      <t>P</t>
    </r>
  </si>
  <si>
    <r>
      <t>aC</t>
    </r>
    <r>
      <rPr>
        <sz val="10"/>
        <rFont val="Calibri"/>
        <family val="2"/>
      </rPr>
      <t>G</t>
    </r>
  </si>
  <si>
    <r>
      <t>aC</t>
    </r>
    <r>
      <rPr>
        <sz val="10"/>
        <rFont val="Calibri"/>
        <family val="2"/>
      </rPr>
      <t>S</t>
    </r>
  </si>
  <si>
    <r>
      <t>aC</t>
    </r>
    <r>
      <rPr>
        <sz val="10"/>
        <rFont val="Calibri"/>
        <family val="2"/>
      </rPr>
      <t>A</t>
    </r>
  </si>
  <si>
    <r>
      <t>aC</t>
    </r>
    <r>
      <rPr>
        <sz val="10"/>
        <rFont val="Calibri"/>
        <family val="2"/>
      </rPr>
      <t>P</t>
    </r>
  </si>
  <si>
    <t>cwCS</t>
  </si>
  <si>
    <t>cwCA</t>
  </si>
  <si>
    <t>cwCP</t>
  </si>
  <si>
    <r>
      <t>w0C</t>
    </r>
    <r>
      <rPr>
        <sz val="10"/>
        <rFont val="Calibri"/>
        <family val="2"/>
      </rPr>
      <t>D</t>
    </r>
  </si>
  <si>
    <r>
      <t>w0C</t>
    </r>
    <r>
      <rPr>
        <sz val="10"/>
        <rFont val="Calibri"/>
        <family val="2"/>
      </rPr>
      <t>S</t>
    </r>
  </si>
  <si>
    <r>
      <t>w0C</t>
    </r>
    <r>
      <rPr>
        <sz val="10"/>
        <rFont val="Calibri"/>
        <family val="2"/>
      </rPr>
      <t>A</t>
    </r>
  </si>
  <si>
    <r>
      <t>w0C</t>
    </r>
    <r>
      <rPr>
        <sz val="10"/>
        <rFont val="Calibri"/>
        <family val="2"/>
      </rPr>
      <t>P</t>
    </r>
  </si>
  <si>
    <r>
      <t>w1C</t>
    </r>
    <r>
      <rPr>
        <sz val="10"/>
        <rFont val="Calibri"/>
        <family val="2"/>
      </rPr>
      <t>D</t>
    </r>
  </si>
  <si>
    <r>
      <t>w1C</t>
    </r>
    <r>
      <rPr>
        <sz val="10"/>
        <rFont val="Calibri"/>
        <family val="2"/>
      </rPr>
      <t>S</t>
    </r>
  </si>
  <si>
    <r>
      <t>w1C</t>
    </r>
    <r>
      <rPr>
        <sz val="10"/>
        <rFont val="Calibri"/>
        <family val="2"/>
      </rPr>
      <t>A</t>
    </r>
  </si>
  <si>
    <r>
      <t>w1C</t>
    </r>
    <r>
      <rPr>
        <sz val="10"/>
        <rFont val="Calibri"/>
        <family val="2"/>
      </rPr>
      <t>P</t>
    </r>
  </si>
  <si>
    <r>
      <t>w2C</t>
    </r>
    <r>
      <rPr>
        <sz val="10"/>
        <rFont val="Calibri"/>
        <family val="2"/>
      </rPr>
      <t>D</t>
    </r>
  </si>
  <si>
    <r>
      <t>w2C</t>
    </r>
    <r>
      <rPr>
        <sz val="10"/>
        <rFont val="Calibri"/>
        <family val="2"/>
      </rPr>
      <t>S</t>
    </r>
  </si>
  <si>
    <r>
      <t>w2C</t>
    </r>
    <r>
      <rPr>
        <sz val="10"/>
        <rFont val="Calibri"/>
        <family val="2"/>
      </rPr>
      <t>A</t>
    </r>
  </si>
  <si>
    <r>
      <t>w2C</t>
    </r>
    <r>
      <rPr>
        <sz val="10"/>
        <rFont val="Calibri"/>
        <family val="2"/>
      </rPr>
      <t>P</t>
    </r>
  </si>
  <si>
    <t>sd0CD</t>
  </si>
  <si>
    <t>sd0CS</t>
  </si>
  <si>
    <t>sd0CA</t>
  </si>
  <si>
    <t>sd0CP</t>
  </si>
  <si>
    <r>
      <t>sd1C</t>
    </r>
    <r>
      <rPr>
        <sz val="10"/>
        <rFont val="Calibri"/>
        <family val="2"/>
      </rPr>
      <t>D</t>
    </r>
  </si>
  <si>
    <r>
      <t>sd1C</t>
    </r>
    <r>
      <rPr>
        <sz val="10"/>
        <rFont val="Calibri"/>
        <family val="2"/>
      </rPr>
      <t>S</t>
    </r>
  </si>
  <si>
    <r>
      <t>sd1C</t>
    </r>
    <r>
      <rPr>
        <sz val="10"/>
        <rFont val="Calibri"/>
        <family val="2"/>
      </rPr>
      <t>A</t>
    </r>
  </si>
  <si>
    <r>
      <t>sd1C</t>
    </r>
    <r>
      <rPr>
        <sz val="10"/>
        <rFont val="Calibri"/>
        <family val="2"/>
      </rPr>
      <t>P</t>
    </r>
  </si>
  <si>
    <r>
      <t>sd2C</t>
    </r>
    <r>
      <rPr>
        <sz val="10"/>
        <rFont val="Calibri"/>
        <family val="2"/>
      </rPr>
      <t>D</t>
    </r>
  </si>
  <si>
    <r>
      <t>sd2C</t>
    </r>
    <r>
      <rPr>
        <sz val="10"/>
        <rFont val="Calibri"/>
        <family val="2"/>
      </rPr>
      <t>S</t>
    </r>
  </si>
  <si>
    <r>
      <t>sd2C</t>
    </r>
    <r>
      <rPr>
        <sz val="10"/>
        <rFont val="Calibri"/>
        <family val="2"/>
      </rPr>
      <t>A</t>
    </r>
  </si>
  <si>
    <r>
      <t>sd2C</t>
    </r>
    <r>
      <rPr>
        <sz val="10"/>
        <rFont val="Calibri"/>
        <family val="2"/>
      </rPr>
      <t>P</t>
    </r>
  </si>
  <si>
    <r>
      <t>s1C</t>
    </r>
    <r>
      <rPr>
        <sz val="10"/>
        <rFont val="Calibri"/>
        <family val="2"/>
      </rPr>
      <t>D</t>
    </r>
  </si>
  <si>
    <r>
      <t>s1C</t>
    </r>
    <r>
      <rPr>
        <sz val="10"/>
        <rFont val="Calibri"/>
        <family val="2"/>
      </rPr>
      <t>S</t>
    </r>
  </si>
  <si>
    <r>
      <t>s1C</t>
    </r>
    <r>
      <rPr>
        <sz val="10"/>
        <rFont val="Calibri"/>
        <family val="2"/>
      </rPr>
      <t>A</t>
    </r>
  </si>
  <si>
    <r>
      <t>s1C</t>
    </r>
    <r>
      <rPr>
        <sz val="10"/>
        <rFont val="Calibri"/>
        <family val="2"/>
      </rPr>
      <t>P</t>
    </r>
  </si>
  <si>
    <r>
      <t>s2C</t>
    </r>
    <r>
      <rPr>
        <sz val="10"/>
        <rFont val="Calibri"/>
        <family val="2"/>
      </rPr>
      <t>D</t>
    </r>
  </si>
  <si>
    <r>
      <t>s2C</t>
    </r>
    <r>
      <rPr>
        <sz val="10"/>
        <rFont val="Calibri"/>
        <family val="2"/>
      </rPr>
      <t>S</t>
    </r>
  </si>
  <si>
    <r>
      <t>s2C</t>
    </r>
    <r>
      <rPr>
        <sz val="10"/>
        <rFont val="Calibri"/>
        <family val="2"/>
      </rPr>
      <t>A</t>
    </r>
  </si>
  <si>
    <r>
      <t>s2C</t>
    </r>
    <r>
      <rPr>
        <sz val="10"/>
        <rFont val="Calibri"/>
        <family val="2"/>
      </rPr>
      <t>P</t>
    </r>
  </si>
  <si>
    <r>
      <t>s3C</t>
    </r>
    <r>
      <rPr>
        <sz val="10"/>
        <rFont val="Calibri"/>
        <family val="2"/>
      </rPr>
      <t>D</t>
    </r>
  </si>
  <si>
    <r>
      <t>s3C</t>
    </r>
    <r>
      <rPr>
        <sz val="10"/>
        <rFont val="Calibri"/>
        <family val="2"/>
      </rPr>
      <t>S</t>
    </r>
  </si>
  <si>
    <r>
      <t>s3C</t>
    </r>
    <r>
      <rPr>
        <sz val="10"/>
        <rFont val="Calibri"/>
        <family val="2"/>
      </rPr>
      <t>A</t>
    </r>
  </si>
  <si>
    <r>
      <t>s3C</t>
    </r>
    <r>
      <rPr>
        <sz val="10"/>
        <rFont val="Calibri"/>
        <family val="2"/>
      </rPr>
      <t>P</t>
    </r>
  </si>
  <si>
    <r>
      <t>aM</t>
    </r>
    <r>
      <rPr>
        <sz val="10"/>
        <rFont val="Calibri"/>
        <family val="2"/>
      </rPr>
      <t>G</t>
    </r>
  </si>
  <si>
    <r>
      <t>aM</t>
    </r>
    <r>
      <rPr>
        <sz val="10"/>
        <rFont val="Calibri"/>
        <family val="2"/>
      </rPr>
      <t>S</t>
    </r>
  </si>
  <si>
    <r>
      <t>aM</t>
    </r>
    <r>
      <rPr>
        <sz val="10"/>
        <rFont val="Calibri"/>
        <family val="2"/>
      </rPr>
      <t>A</t>
    </r>
  </si>
  <si>
    <r>
      <t>aM</t>
    </r>
    <r>
      <rPr>
        <sz val="10"/>
        <rFont val="Calibri"/>
        <family val="2"/>
      </rPr>
      <t>P</t>
    </r>
  </si>
  <si>
    <t>cwMS</t>
  </si>
  <si>
    <t>cwMA</t>
  </si>
  <si>
    <t>cwMP</t>
  </si>
  <si>
    <r>
      <t>w2M</t>
    </r>
    <r>
      <rPr>
        <sz val="10"/>
        <rFont val="Calibri"/>
        <family val="2"/>
      </rPr>
      <t>D</t>
    </r>
  </si>
  <si>
    <r>
      <t>w2M</t>
    </r>
    <r>
      <rPr>
        <sz val="10"/>
        <rFont val="Calibri"/>
        <family val="2"/>
      </rPr>
      <t>S</t>
    </r>
  </si>
  <si>
    <r>
      <t>w2M</t>
    </r>
    <r>
      <rPr>
        <sz val="10"/>
        <rFont val="Calibri"/>
        <family val="2"/>
      </rPr>
      <t>A</t>
    </r>
  </si>
  <si>
    <r>
      <t>w2M</t>
    </r>
    <r>
      <rPr>
        <sz val="10"/>
        <rFont val="Calibri"/>
        <family val="2"/>
      </rPr>
      <t>P</t>
    </r>
  </si>
  <si>
    <r>
      <t>w3M</t>
    </r>
    <r>
      <rPr>
        <sz val="10"/>
        <rFont val="Calibri"/>
        <family val="2"/>
      </rPr>
      <t>D</t>
    </r>
  </si>
  <si>
    <r>
      <t>w3M</t>
    </r>
    <r>
      <rPr>
        <sz val="10"/>
        <rFont val="Calibri"/>
        <family val="2"/>
      </rPr>
      <t>S</t>
    </r>
  </si>
  <si>
    <r>
      <t>w3M</t>
    </r>
    <r>
      <rPr>
        <sz val="10"/>
        <rFont val="Calibri"/>
        <family val="2"/>
      </rPr>
      <t>A</t>
    </r>
  </si>
  <si>
    <r>
      <t>w3M</t>
    </r>
    <r>
      <rPr>
        <sz val="10"/>
        <rFont val="Calibri"/>
        <family val="2"/>
      </rPr>
      <t>P</t>
    </r>
  </si>
  <si>
    <r>
      <t>sdM</t>
    </r>
    <r>
      <rPr>
        <sz val="10"/>
        <rFont val="Calibri"/>
        <family val="2"/>
      </rPr>
      <t>D</t>
    </r>
  </si>
  <si>
    <r>
      <t>sdM</t>
    </r>
    <r>
      <rPr>
        <sz val="10"/>
        <rFont val="Calibri"/>
        <family val="2"/>
      </rPr>
      <t>S</t>
    </r>
  </si>
  <si>
    <r>
      <t>sdM</t>
    </r>
    <r>
      <rPr>
        <sz val="10"/>
        <rFont val="Calibri"/>
        <family val="2"/>
      </rPr>
      <t>A</t>
    </r>
  </si>
  <si>
    <r>
      <t>sdM</t>
    </r>
    <r>
      <rPr>
        <sz val="10"/>
        <rFont val="Calibri"/>
        <family val="2"/>
      </rPr>
      <t>P</t>
    </r>
  </si>
  <si>
    <r>
      <t>sM</t>
    </r>
    <r>
      <rPr>
        <sz val="10"/>
        <rFont val="Calibri"/>
        <family val="2"/>
      </rPr>
      <t>D</t>
    </r>
  </si>
  <si>
    <r>
      <t>sM</t>
    </r>
    <r>
      <rPr>
        <sz val="10"/>
        <rFont val="Calibri"/>
        <family val="2"/>
      </rPr>
      <t>S</t>
    </r>
  </si>
  <si>
    <r>
      <t>sM</t>
    </r>
    <r>
      <rPr>
        <sz val="10"/>
        <rFont val="Calibri"/>
        <family val="2"/>
      </rPr>
      <t>A</t>
    </r>
  </si>
  <si>
    <r>
      <t>sM</t>
    </r>
    <r>
      <rPr>
        <sz val="10"/>
        <rFont val="Calibri"/>
        <family val="2"/>
      </rPr>
      <t>P</t>
    </r>
  </si>
  <si>
    <r>
      <t>aA</t>
    </r>
    <r>
      <rPr>
        <sz val="10"/>
        <rFont val="Calibri"/>
        <family val="2"/>
      </rPr>
      <t>G</t>
    </r>
  </si>
  <si>
    <r>
      <t>aA</t>
    </r>
    <r>
      <rPr>
        <sz val="10"/>
        <rFont val="Calibri"/>
        <family val="2"/>
      </rPr>
      <t>S</t>
    </r>
  </si>
  <si>
    <r>
      <t>aA</t>
    </r>
    <r>
      <rPr>
        <sz val="10"/>
        <rFont val="Calibri"/>
        <family val="2"/>
      </rPr>
      <t>A</t>
    </r>
  </si>
  <si>
    <r>
      <t>aA</t>
    </r>
    <r>
      <rPr>
        <sz val="10"/>
        <rFont val="Calibri"/>
        <family val="2"/>
      </rPr>
      <t>P</t>
    </r>
  </si>
  <si>
    <t>cwAS</t>
  </si>
  <si>
    <t>cwAA</t>
  </si>
  <si>
    <t>cwAP</t>
  </si>
  <si>
    <r>
      <t>w2A</t>
    </r>
    <r>
      <rPr>
        <sz val="10"/>
        <rFont val="Calibri"/>
        <family val="2"/>
      </rPr>
      <t>D</t>
    </r>
  </si>
  <si>
    <r>
      <t>w2A</t>
    </r>
    <r>
      <rPr>
        <sz val="10"/>
        <rFont val="Calibri"/>
        <family val="2"/>
      </rPr>
      <t>S</t>
    </r>
  </si>
  <si>
    <r>
      <t>w2A</t>
    </r>
    <r>
      <rPr>
        <sz val="10"/>
        <rFont val="Calibri"/>
        <family val="2"/>
      </rPr>
      <t>A</t>
    </r>
  </si>
  <si>
    <r>
      <t>w2A</t>
    </r>
    <r>
      <rPr>
        <sz val="10"/>
        <rFont val="Calibri"/>
        <family val="2"/>
      </rPr>
      <t>P</t>
    </r>
  </si>
  <si>
    <r>
      <t>w3A</t>
    </r>
    <r>
      <rPr>
        <sz val="10"/>
        <rFont val="Calibri"/>
        <family val="2"/>
      </rPr>
      <t>D</t>
    </r>
  </si>
  <si>
    <r>
      <t>w3A</t>
    </r>
    <r>
      <rPr>
        <sz val="10"/>
        <rFont val="Calibri"/>
        <family val="2"/>
      </rPr>
      <t>S</t>
    </r>
  </si>
  <si>
    <r>
      <t>w3A</t>
    </r>
    <r>
      <rPr>
        <sz val="10"/>
        <rFont val="Calibri"/>
        <family val="2"/>
      </rPr>
      <t>A</t>
    </r>
  </si>
  <si>
    <r>
      <t>w3A</t>
    </r>
    <r>
      <rPr>
        <sz val="10"/>
        <rFont val="Calibri"/>
        <family val="2"/>
      </rPr>
      <t>P</t>
    </r>
  </si>
  <si>
    <r>
      <t>sdA</t>
    </r>
    <r>
      <rPr>
        <sz val="10"/>
        <rFont val="Calibri"/>
        <family val="2"/>
      </rPr>
      <t>D</t>
    </r>
  </si>
  <si>
    <r>
      <t>sdA</t>
    </r>
    <r>
      <rPr>
        <sz val="10"/>
        <rFont val="Calibri"/>
        <family val="2"/>
      </rPr>
      <t>S</t>
    </r>
  </si>
  <si>
    <r>
      <t>sdA</t>
    </r>
    <r>
      <rPr>
        <sz val="10"/>
        <rFont val="Calibri"/>
        <family val="2"/>
      </rPr>
      <t>A</t>
    </r>
  </si>
  <si>
    <r>
      <t>sdA</t>
    </r>
    <r>
      <rPr>
        <sz val="10"/>
        <rFont val="Calibri"/>
        <family val="2"/>
      </rPr>
      <t>P</t>
    </r>
  </si>
  <si>
    <r>
      <t>sA</t>
    </r>
    <r>
      <rPr>
        <sz val="10"/>
        <rFont val="Calibri"/>
        <family val="2"/>
      </rPr>
      <t>D</t>
    </r>
  </si>
  <si>
    <r>
      <t>sA</t>
    </r>
    <r>
      <rPr>
        <sz val="10"/>
        <rFont val="Calibri"/>
        <family val="2"/>
      </rPr>
      <t>S</t>
    </r>
  </si>
  <si>
    <r>
      <t>sA</t>
    </r>
    <r>
      <rPr>
        <sz val="10"/>
        <rFont val="Calibri"/>
        <family val="2"/>
      </rPr>
      <t>A</t>
    </r>
  </si>
  <si>
    <r>
      <t>sA</t>
    </r>
    <r>
      <rPr>
        <sz val="10"/>
        <rFont val="Calibri"/>
        <family val="2"/>
      </rPr>
      <t>P</t>
    </r>
  </si>
  <si>
    <r>
      <t>aT</t>
    </r>
    <r>
      <rPr>
        <sz val="10"/>
        <rFont val="Calibri"/>
        <family val="2"/>
      </rPr>
      <t>G</t>
    </r>
  </si>
  <si>
    <r>
      <t>aT</t>
    </r>
    <r>
      <rPr>
        <sz val="10"/>
        <rFont val="Calibri"/>
        <family val="2"/>
      </rPr>
      <t>S</t>
    </r>
  </si>
  <si>
    <r>
      <t>aT</t>
    </r>
    <r>
      <rPr>
        <sz val="10"/>
        <rFont val="Calibri"/>
        <family val="2"/>
      </rPr>
      <t>A</t>
    </r>
  </si>
  <si>
    <r>
      <t>aT</t>
    </r>
    <r>
      <rPr>
        <sz val="10"/>
        <rFont val="Calibri"/>
        <family val="2"/>
      </rPr>
      <t>P</t>
    </r>
  </si>
  <si>
    <t>cwTS</t>
  </si>
  <si>
    <t>cwTA</t>
  </si>
  <si>
    <t>cwTP</t>
  </si>
  <si>
    <r>
      <t>w2T</t>
    </r>
    <r>
      <rPr>
        <sz val="10"/>
        <rFont val="Calibri"/>
        <family val="2"/>
      </rPr>
      <t>D</t>
    </r>
  </si>
  <si>
    <r>
      <t>w2T</t>
    </r>
    <r>
      <rPr>
        <sz val="10"/>
        <rFont val="Calibri"/>
        <family val="2"/>
      </rPr>
      <t>S</t>
    </r>
  </si>
  <si>
    <r>
      <t>w2T</t>
    </r>
    <r>
      <rPr>
        <sz val="10"/>
        <rFont val="Calibri"/>
        <family val="2"/>
      </rPr>
      <t>A</t>
    </r>
  </si>
  <si>
    <r>
      <t>w2T</t>
    </r>
    <r>
      <rPr>
        <sz val="10"/>
        <rFont val="Calibri"/>
        <family val="2"/>
      </rPr>
      <t>P</t>
    </r>
  </si>
  <si>
    <r>
      <t>w3T</t>
    </r>
    <r>
      <rPr>
        <sz val="10"/>
        <rFont val="Calibri"/>
        <family val="2"/>
      </rPr>
      <t>D</t>
    </r>
  </si>
  <si>
    <r>
      <t>w3T</t>
    </r>
    <r>
      <rPr>
        <sz val="10"/>
        <rFont val="Calibri"/>
        <family val="2"/>
      </rPr>
      <t>S</t>
    </r>
  </si>
  <si>
    <r>
      <t>w3T</t>
    </r>
    <r>
      <rPr>
        <sz val="10"/>
        <rFont val="Calibri"/>
        <family val="2"/>
      </rPr>
      <t>A</t>
    </r>
  </si>
  <si>
    <r>
      <t>w3T</t>
    </r>
    <r>
      <rPr>
        <sz val="10"/>
        <rFont val="Calibri"/>
        <family val="2"/>
      </rPr>
      <t>P</t>
    </r>
  </si>
  <si>
    <r>
      <t>sdT</t>
    </r>
    <r>
      <rPr>
        <sz val="10"/>
        <rFont val="Calibri"/>
        <family val="2"/>
      </rPr>
      <t>D</t>
    </r>
  </si>
  <si>
    <r>
      <t>sdT</t>
    </r>
    <r>
      <rPr>
        <sz val="10"/>
        <rFont val="Calibri"/>
        <family val="2"/>
      </rPr>
      <t>S</t>
    </r>
  </si>
  <si>
    <r>
      <t>sdT</t>
    </r>
    <r>
      <rPr>
        <sz val="10"/>
        <rFont val="Calibri"/>
        <family val="2"/>
      </rPr>
      <t>A</t>
    </r>
  </si>
  <si>
    <r>
      <t>sdT</t>
    </r>
    <r>
      <rPr>
        <sz val="10"/>
        <rFont val="Calibri"/>
        <family val="2"/>
      </rPr>
      <t>P</t>
    </r>
  </si>
  <si>
    <r>
      <t>sT</t>
    </r>
    <r>
      <rPr>
        <sz val="10"/>
        <rFont val="Calibri"/>
        <family val="2"/>
      </rPr>
      <t>D</t>
    </r>
  </si>
  <si>
    <r>
      <t>sT</t>
    </r>
    <r>
      <rPr>
        <sz val="10"/>
        <rFont val="Calibri"/>
        <family val="2"/>
      </rPr>
      <t>S</t>
    </r>
  </si>
  <si>
    <r>
      <t>sT</t>
    </r>
    <r>
      <rPr>
        <sz val="10"/>
        <rFont val="Calibri"/>
        <family val="2"/>
      </rPr>
      <t>A</t>
    </r>
  </si>
  <si>
    <r>
      <t>sT</t>
    </r>
    <r>
      <rPr>
        <sz val="10"/>
        <rFont val="Calibri"/>
        <family val="2"/>
      </rPr>
      <t>P</t>
    </r>
  </si>
  <si>
    <t>Volumes (m3)</t>
  </si>
  <si>
    <t>v</t>
  </si>
  <si>
    <t>Emission (mol.s-1)</t>
  </si>
  <si>
    <t>emis</t>
  </si>
  <si>
    <t>MODEL MATRIX</t>
  </si>
  <si>
    <r>
      <t>from aR</t>
    </r>
    <r>
      <rPr>
        <sz val="10"/>
        <rFont val="Calibri"/>
        <family val="2"/>
      </rPr>
      <t>G</t>
    </r>
  </si>
  <si>
    <r>
      <t>from aR</t>
    </r>
    <r>
      <rPr>
        <sz val="10"/>
        <rFont val="Calibri"/>
        <family val="2"/>
      </rPr>
      <t>S</t>
    </r>
  </si>
  <si>
    <r>
      <t>from aR</t>
    </r>
    <r>
      <rPr>
        <sz val="10"/>
        <rFont val="Calibri"/>
        <family val="2"/>
      </rPr>
      <t>A</t>
    </r>
  </si>
  <si>
    <r>
      <t>from aR</t>
    </r>
    <r>
      <rPr>
        <sz val="10"/>
        <rFont val="Calibri"/>
        <family val="2"/>
      </rPr>
      <t>P</t>
    </r>
  </si>
  <si>
    <t>from cwRS</t>
  </si>
  <si>
    <t>from cwRA</t>
  </si>
  <si>
    <t>from cwRP</t>
  </si>
  <si>
    <r>
      <t>from w0R</t>
    </r>
    <r>
      <rPr>
        <sz val="10"/>
        <rFont val="Calibri"/>
        <family val="2"/>
      </rPr>
      <t>D</t>
    </r>
  </si>
  <si>
    <r>
      <t>from w0R</t>
    </r>
    <r>
      <rPr>
        <sz val="10"/>
        <rFont val="Calibri"/>
        <family val="2"/>
      </rPr>
      <t>S</t>
    </r>
  </si>
  <si>
    <r>
      <t>from w0R</t>
    </r>
    <r>
      <rPr>
        <sz val="10"/>
        <rFont val="Calibri"/>
        <family val="2"/>
      </rPr>
      <t>A</t>
    </r>
  </si>
  <si>
    <r>
      <t>from w0R</t>
    </r>
    <r>
      <rPr>
        <sz val="10"/>
        <rFont val="Calibri"/>
        <family val="2"/>
      </rPr>
      <t>P</t>
    </r>
  </si>
  <si>
    <r>
      <t>from w1R</t>
    </r>
    <r>
      <rPr>
        <sz val="10"/>
        <rFont val="Calibri"/>
        <family val="2"/>
      </rPr>
      <t>D</t>
    </r>
  </si>
  <si>
    <r>
      <t>from w1R</t>
    </r>
    <r>
      <rPr>
        <sz val="10"/>
        <rFont val="Calibri"/>
        <family val="2"/>
      </rPr>
      <t>S</t>
    </r>
  </si>
  <si>
    <r>
      <t>from w1R</t>
    </r>
    <r>
      <rPr>
        <sz val="10"/>
        <rFont val="Calibri"/>
        <family val="2"/>
      </rPr>
      <t>A</t>
    </r>
  </si>
  <si>
    <r>
      <t>from w1R</t>
    </r>
    <r>
      <rPr>
        <sz val="10"/>
        <rFont val="Calibri"/>
        <family val="2"/>
      </rPr>
      <t>P</t>
    </r>
  </si>
  <si>
    <r>
      <t>from w2R</t>
    </r>
    <r>
      <rPr>
        <sz val="10"/>
        <rFont val="Calibri"/>
        <family val="2"/>
      </rPr>
      <t>D</t>
    </r>
  </si>
  <si>
    <r>
      <t>from w2R</t>
    </r>
    <r>
      <rPr>
        <sz val="10"/>
        <rFont val="Calibri"/>
        <family val="2"/>
      </rPr>
      <t>S</t>
    </r>
  </si>
  <si>
    <r>
      <t>from w2R</t>
    </r>
    <r>
      <rPr>
        <sz val="10"/>
        <rFont val="Calibri"/>
        <family val="2"/>
      </rPr>
      <t>A</t>
    </r>
  </si>
  <si>
    <r>
      <t>from w2R</t>
    </r>
    <r>
      <rPr>
        <sz val="10"/>
        <rFont val="Calibri"/>
        <family val="2"/>
      </rPr>
      <t>P</t>
    </r>
  </si>
  <si>
    <t>from sd0RD</t>
  </si>
  <si>
    <t>from sd0RS</t>
  </si>
  <si>
    <t>from sd0RA</t>
  </si>
  <si>
    <t>from sd0RP</t>
  </si>
  <si>
    <r>
      <t>from sd1R</t>
    </r>
    <r>
      <rPr>
        <sz val="10"/>
        <rFont val="Calibri"/>
        <family val="2"/>
      </rPr>
      <t>D</t>
    </r>
  </si>
  <si>
    <r>
      <t>from sd1R</t>
    </r>
    <r>
      <rPr>
        <sz val="10"/>
        <rFont val="Calibri"/>
        <family val="2"/>
      </rPr>
      <t>S</t>
    </r>
  </si>
  <si>
    <r>
      <t>from sd1R</t>
    </r>
    <r>
      <rPr>
        <sz val="10"/>
        <rFont val="Calibri"/>
        <family val="2"/>
      </rPr>
      <t>A</t>
    </r>
  </si>
  <si>
    <r>
      <t>from sd1R</t>
    </r>
    <r>
      <rPr>
        <sz val="10"/>
        <rFont val="Calibri"/>
        <family val="2"/>
      </rPr>
      <t>P</t>
    </r>
  </si>
  <si>
    <r>
      <t>from sd2R</t>
    </r>
    <r>
      <rPr>
        <sz val="10"/>
        <rFont val="Calibri"/>
        <family val="2"/>
      </rPr>
      <t>D</t>
    </r>
  </si>
  <si>
    <r>
      <t>from sd2R</t>
    </r>
    <r>
      <rPr>
        <sz val="10"/>
        <rFont val="Calibri"/>
        <family val="2"/>
      </rPr>
      <t>S</t>
    </r>
  </si>
  <si>
    <r>
      <t>from sd2R</t>
    </r>
    <r>
      <rPr>
        <sz val="10"/>
        <rFont val="Calibri"/>
        <family val="2"/>
      </rPr>
      <t>A</t>
    </r>
  </si>
  <si>
    <r>
      <t>from sd2R</t>
    </r>
    <r>
      <rPr>
        <sz val="10"/>
        <rFont val="Calibri"/>
        <family val="2"/>
      </rPr>
      <t>P</t>
    </r>
  </si>
  <si>
    <r>
      <t>from s1R</t>
    </r>
    <r>
      <rPr>
        <sz val="10"/>
        <rFont val="Calibri"/>
        <family val="2"/>
      </rPr>
      <t>D</t>
    </r>
  </si>
  <si>
    <r>
      <t>from s1R</t>
    </r>
    <r>
      <rPr>
        <sz val="10"/>
        <rFont val="Calibri"/>
        <family val="2"/>
      </rPr>
      <t>S</t>
    </r>
  </si>
  <si>
    <r>
      <t>from s1R</t>
    </r>
    <r>
      <rPr>
        <sz val="10"/>
        <rFont val="Calibri"/>
        <family val="2"/>
      </rPr>
      <t>A</t>
    </r>
  </si>
  <si>
    <r>
      <t>from s1R</t>
    </r>
    <r>
      <rPr>
        <sz val="10"/>
        <rFont val="Calibri"/>
        <family val="2"/>
      </rPr>
      <t>P</t>
    </r>
  </si>
  <si>
    <r>
      <t>from s2R</t>
    </r>
    <r>
      <rPr>
        <sz val="10"/>
        <rFont val="Calibri"/>
        <family val="2"/>
      </rPr>
      <t>D</t>
    </r>
  </si>
  <si>
    <r>
      <t>from s2R</t>
    </r>
    <r>
      <rPr>
        <sz val="10"/>
        <rFont val="Calibri"/>
        <family val="2"/>
      </rPr>
      <t>S</t>
    </r>
  </si>
  <si>
    <r>
      <t>from s2R</t>
    </r>
    <r>
      <rPr>
        <sz val="10"/>
        <rFont val="Calibri"/>
        <family val="2"/>
      </rPr>
      <t>A</t>
    </r>
  </si>
  <si>
    <r>
      <t>from s2R</t>
    </r>
    <r>
      <rPr>
        <sz val="10"/>
        <rFont val="Calibri"/>
        <family val="2"/>
      </rPr>
      <t>P</t>
    </r>
  </si>
  <si>
    <r>
      <t>from s3R</t>
    </r>
    <r>
      <rPr>
        <sz val="10"/>
        <rFont val="Calibri"/>
        <family val="2"/>
      </rPr>
      <t>D</t>
    </r>
  </si>
  <si>
    <r>
      <t>from s3R</t>
    </r>
    <r>
      <rPr>
        <sz val="10"/>
        <rFont val="Calibri"/>
        <family val="2"/>
      </rPr>
      <t>S</t>
    </r>
  </si>
  <si>
    <r>
      <t>from s3R</t>
    </r>
    <r>
      <rPr>
        <sz val="10"/>
        <rFont val="Calibri"/>
        <family val="2"/>
      </rPr>
      <t>A</t>
    </r>
  </si>
  <si>
    <r>
      <t>from s3R</t>
    </r>
    <r>
      <rPr>
        <sz val="10"/>
        <rFont val="Calibri"/>
        <family val="2"/>
      </rPr>
      <t>P</t>
    </r>
  </si>
  <si>
    <r>
      <t>from aC</t>
    </r>
    <r>
      <rPr>
        <sz val="10"/>
        <rFont val="Calibri"/>
        <family val="2"/>
      </rPr>
      <t>G</t>
    </r>
  </si>
  <si>
    <r>
      <t>from aC</t>
    </r>
    <r>
      <rPr>
        <sz val="10"/>
        <rFont val="Calibri"/>
        <family val="2"/>
      </rPr>
      <t>S</t>
    </r>
  </si>
  <si>
    <r>
      <t>from aC</t>
    </r>
    <r>
      <rPr>
        <sz val="10"/>
        <rFont val="Calibri"/>
        <family val="2"/>
      </rPr>
      <t>A</t>
    </r>
  </si>
  <si>
    <r>
      <t>from aC</t>
    </r>
    <r>
      <rPr>
        <sz val="10"/>
        <rFont val="Calibri"/>
        <family val="2"/>
      </rPr>
      <t>P</t>
    </r>
  </si>
  <si>
    <t>from cwCS</t>
  </si>
  <si>
    <t>from cwCA</t>
  </si>
  <si>
    <t>from cwCP</t>
  </si>
  <si>
    <r>
      <t>from w0C</t>
    </r>
    <r>
      <rPr>
        <sz val="10"/>
        <rFont val="Calibri"/>
        <family val="2"/>
      </rPr>
      <t>D</t>
    </r>
  </si>
  <si>
    <r>
      <t>from w0C</t>
    </r>
    <r>
      <rPr>
        <sz val="10"/>
        <rFont val="Calibri"/>
        <family val="2"/>
      </rPr>
      <t>S</t>
    </r>
  </si>
  <si>
    <r>
      <t>from w0C</t>
    </r>
    <r>
      <rPr>
        <sz val="10"/>
        <rFont val="Calibri"/>
        <family val="2"/>
      </rPr>
      <t>A</t>
    </r>
  </si>
  <si>
    <r>
      <t>from w0C</t>
    </r>
    <r>
      <rPr>
        <sz val="10"/>
        <rFont val="Calibri"/>
        <family val="2"/>
      </rPr>
      <t>P</t>
    </r>
  </si>
  <si>
    <r>
      <t>from w1C</t>
    </r>
    <r>
      <rPr>
        <sz val="10"/>
        <rFont val="Calibri"/>
        <family val="2"/>
      </rPr>
      <t>D</t>
    </r>
  </si>
  <si>
    <r>
      <t>from w1C</t>
    </r>
    <r>
      <rPr>
        <sz val="10"/>
        <rFont val="Calibri"/>
        <family val="2"/>
      </rPr>
      <t>S</t>
    </r>
  </si>
  <si>
    <r>
      <t>from w1C</t>
    </r>
    <r>
      <rPr>
        <sz val="10"/>
        <rFont val="Calibri"/>
        <family val="2"/>
      </rPr>
      <t>A</t>
    </r>
  </si>
  <si>
    <r>
      <t>from w1C</t>
    </r>
    <r>
      <rPr>
        <sz val="10"/>
        <rFont val="Calibri"/>
        <family val="2"/>
      </rPr>
      <t>P</t>
    </r>
  </si>
  <si>
    <r>
      <t>from w2C</t>
    </r>
    <r>
      <rPr>
        <sz val="10"/>
        <rFont val="Calibri"/>
        <family val="2"/>
      </rPr>
      <t>D</t>
    </r>
  </si>
  <si>
    <r>
      <t>from w2C</t>
    </r>
    <r>
      <rPr>
        <sz val="10"/>
        <rFont val="Calibri"/>
        <family val="2"/>
      </rPr>
      <t>S</t>
    </r>
  </si>
  <si>
    <r>
      <t>from w2C</t>
    </r>
    <r>
      <rPr>
        <sz val="10"/>
        <rFont val="Calibri"/>
        <family val="2"/>
      </rPr>
      <t>A</t>
    </r>
  </si>
  <si>
    <r>
      <t>from w2C</t>
    </r>
    <r>
      <rPr>
        <sz val="10"/>
        <rFont val="Calibri"/>
        <family val="2"/>
      </rPr>
      <t>P</t>
    </r>
  </si>
  <si>
    <t>from sd0CD</t>
  </si>
  <si>
    <t>from sd0CS</t>
  </si>
  <si>
    <t>from sd0CA</t>
  </si>
  <si>
    <t>from sd0CP</t>
  </si>
  <si>
    <r>
      <t>from sd1C</t>
    </r>
    <r>
      <rPr>
        <sz val="10"/>
        <rFont val="Calibri"/>
        <family val="2"/>
      </rPr>
      <t>D</t>
    </r>
  </si>
  <si>
    <r>
      <t>from sd1C</t>
    </r>
    <r>
      <rPr>
        <sz val="10"/>
        <rFont val="Calibri"/>
        <family val="2"/>
      </rPr>
      <t>S</t>
    </r>
  </si>
  <si>
    <r>
      <t>from sd1C</t>
    </r>
    <r>
      <rPr>
        <sz val="10"/>
        <rFont val="Calibri"/>
        <family val="2"/>
      </rPr>
      <t>A</t>
    </r>
  </si>
  <si>
    <r>
      <t>from sd1C</t>
    </r>
    <r>
      <rPr>
        <sz val="10"/>
        <rFont val="Calibri"/>
        <family val="2"/>
      </rPr>
      <t>P</t>
    </r>
  </si>
  <si>
    <r>
      <t>from sd2C</t>
    </r>
    <r>
      <rPr>
        <sz val="10"/>
        <rFont val="Calibri"/>
        <family val="2"/>
      </rPr>
      <t>D</t>
    </r>
  </si>
  <si>
    <r>
      <t>from sd2C</t>
    </r>
    <r>
      <rPr>
        <sz val="10"/>
        <rFont val="Calibri"/>
        <family val="2"/>
      </rPr>
      <t>S</t>
    </r>
  </si>
  <si>
    <r>
      <t>from sd2C</t>
    </r>
    <r>
      <rPr>
        <sz val="10"/>
        <rFont val="Calibri"/>
        <family val="2"/>
      </rPr>
      <t>A</t>
    </r>
  </si>
  <si>
    <r>
      <t>from sd2C</t>
    </r>
    <r>
      <rPr>
        <sz val="10"/>
        <rFont val="Calibri"/>
        <family val="2"/>
      </rPr>
      <t>P</t>
    </r>
  </si>
  <si>
    <r>
      <t>from s1C</t>
    </r>
    <r>
      <rPr>
        <sz val="10"/>
        <rFont val="Calibri"/>
        <family val="2"/>
      </rPr>
      <t>D</t>
    </r>
  </si>
  <si>
    <r>
      <t>from s1C</t>
    </r>
    <r>
      <rPr>
        <sz val="10"/>
        <rFont val="Calibri"/>
        <family val="2"/>
      </rPr>
      <t>S</t>
    </r>
  </si>
  <si>
    <r>
      <t>from s1C</t>
    </r>
    <r>
      <rPr>
        <sz val="10"/>
        <rFont val="Calibri"/>
        <family val="2"/>
      </rPr>
      <t>A</t>
    </r>
  </si>
  <si>
    <r>
      <t>from s1C</t>
    </r>
    <r>
      <rPr>
        <sz val="10"/>
        <rFont val="Calibri"/>
        <family val="2"/>
      </rPr>
      <t>P</t>
    </r>
  </si>
  <si>
    <r>
      <t>from s2C</t>
    </r>
    <r>
      <rPr>
        <sz val="10"/>
        <rFont val="Calibri"/>
        <family val="2"/>
      </rPr>
      <t>D</t>
    </r>
  </si>
  <si>
    <r>
      <t>from s2C</t>
    </r>
    <r>
      <rPr>
        <sz val="10"/>
        <rFont val="Calibri"/>
        <family val="2"/>
      </rPr>
      <t>S</t>
    </r>
  </si>
  <si>
    <r>
      <t>from s2C</t>
    </r>
    <r>
      <rPr>
        <sz val="10"/>
        <rFont val="Calibri"/>
        <family val="2"/>
      </rPr>
      <t>A</t>
    </r>
  </si>
  <si>
    <r>
      <t>from s2C</t>
    </r>
    <r>
      <rPr>
        <sz val="10"/>
        <rFont val="Calibri"/>
        <family val="2"/>
      </rPr>
      <t>P</t>
    </r>
  </si>
  <si>
    <r>
      <t>from s3C</t>
    </r>
    <r>
      <rPr>
        <sz val="10"/>
        <rFont val="Calibri"/>
        <family val="2"/>
      </rPr>
      <t>D</t>
    </r>
  </si>
  <si>
    <r>
      <t>from s3C</t>
    </r>
    <r>
      <rPr>
        <sz val="10"/>
        <rFont val="Calibri"/>
        <family val="2"/>
      </rPr>
      <t>S</t>
    </r>
  </si>
  <si>
    <r>
      <t>from s3C</t>
    </r>
    <r>
      <rPr>
        <sz val="10"/>
        <rFont val="Calibri"/>
        <family val="2"/>
      </rPr>
      <t>A</t>
    </r>
  </si>
  <si>
    <r>
      <t>from s3C</t>
    </r>
    <r>
      <rPr>
        <sz val="10"/>
        <rFont val="Calibri"/>
        <family val="2"/>
      </rPr>
      <t>P</t>
    </r>
  </si>
  <si>
    <r>
      <t>from aM</t>
    </r>
    <r>
      <rPr>
        <sz val="10"/>
        <rFont val="Calibri"/>
        <family val="2"/>
      </rPr>
      <t>G</t>
    </r>
  </si>
  <si>
    <r>
      <t>from aM</t>
    </r>
    <r>
      <rPr>
        <sz val="10"/>
        <rFont val="Calibri"/>
        <family val="2"/>
      </rPr>
      <t>S</t>
    </r>
  </si>
  <si>
    <r>
      <t>from aM</t>
    </r>
    <r>
      <rPr>
        <sz val="10"/>
        <rFont val="Calibri"/>
        <family val="2"/>
      </rPr>
      <t>A</t>
    </r>
  </si>
  <si>
    <r>
      <t>from aM</t>
    </r>
    <r>
      <rPr>
        <sz val="10"/>
        <rFont val="Calibri"/>
        <family val="2"/>
      </rPr>
      <t>P</t>
    </r>
  </si>
  <si>
    <t>from cwMS</t>
  </si>
  <si>
    <t>from cwMA</t>
  </si>
  <si>
    <t>from cwMP</t>
  </si>
  <si>
    <r>
      <t>from w2M</t>
    </r>
    <r>
      <rPr>
        <sz val="10"/>
        <rFont val="Calibri"/>
        <family val="2"/>
      </rPr>
      <t>D</t>
    </r>
  </si>
  <si>
    <r>
      <t>from w2M</t>
    </r>
    <r>
      <rPr>
        <sz val="10"/>
        <rFont val="Calibri"/>
        <family val="2"/>
      </rPr>
      <t>S</t>
    </r>
  </si>
  <si>
    <r>
      <t>from w2M</t>
    </r>
    <r>
      <rPr>
        <sz val="10"/>
        <rFont val="Calibri"/>
        <family val="2"/>
      </rPr>
      <t>A</t>
    </r>
  </si>
  <si>
    <r>
      <t>from w2M</t>
    </r>
    <r>
      <rPr>
        <sz val="10"/>
        <rFont val="Calibri"/>
        <family val="2"/>
      </rPr>
      <t>P</t>
    </r>
  </si>
  <si>
    <r>
      <t>from w3M</t>
    </r>
    <r>
      <rPr>
        <sz val="10"/>
        <rFont val="Calibri"/>
        <family val="2"/>
      </rPr>
      <t>D</t>
    </r>
  </si>
  <si>
    <r>
      <t>from w3M</t>
    </r>
    <r>
      <rPr>
        <sz val="10"/>
        <rFont val="Calibri"/>
        <family val="2"/>
      </rPr>
      <t>S</t>
    </r>
  </si>
  <si>
    <r>
      <t>from w3M</t>
    </r>
    <r>
      <rPr>
        <sz val="10"/>
        <rFont val="Calibri"/>
        <family val="2"/>
      </rPr>
      <t>A</t>
    </r>
  </si>
  <si>
    <r>
      <t>from w3M</t>
    </r>
    <r>
      <rPr>
        <sz val="10"/>
        <rFont val="Calibri"/>
        <family val="2"/>
      </rPr>
      <t>P</t>
    </r>
  </si>
  <si>
    <r>
      <t>from sdM</t>
    </r>
    <r>
      <rPr>
        <sz val="10"/>
        <rFont val="Calibri"/>
        <family val="2"/>
      </rPr>
      <t>D</t>
    </r>
  </si>
  <si>
    <r>
      <t>from sdM</t>
    </r>
    <r>
      <rPr>
        <sz val="10"/>
        <rFont val="Calibri"/>
        <family val="2"/>
      </rPr>
      <t>S</t>
    </r>
  </si>
  <si>
    <r>
      <t>from sdM</t>
    </r>
    <r>
      <rPr>
        <sz val="10"/>
        <rFont val="Calibri"/>
        <family val="2"/>
      </rPr>
      <t>A</t>
    </r>
  </si>
  <si>
    <r>
      <t>from sdM</t>
    </r>
    <r>
      <rPr>
        <sz val="10"/>
        <rFont val="Calibri"/>
        <family val="2"/>
      </rPr>
      <t>P</t>
    </r>
  </si>
  <si>
    <r>
      <t>from sM</t>
    </r>
    <r>
      <rPr>
        <sz val="10"/>
        <rFont val="Calibri"/>
        <family val="2"/>
      </rPr>
      <t>D</t>
    </r>
  </si>
  <si>
    <r>
      <t>from sM</t>
    </r>
    <r>
      <rPr>
        <sz val="10"/>
        <rFont val="Calibri"/>
        <family val="2"/>
      </rPr>
      <t>S</t>
    </r>
  </si>
  <si>
    <r>
      <t>from sM</t>
    </r>
    <r>
      <rPr>
        <sz val="10"/>
        <rFont val="Calibri"/>
        <family val="2"/>
      </rPr>
      <t>A</t>
    </r>
  </si>
  <si>
    <r>
      <t>from sM</t>
    </r>
    <r>
      <rPr>
        <sz val="10"/>
        <rFont val="Calibri"/>
        <family val="2"/>
      </rPr>
      <t>P</t>
    </r>
  </si>
  <si>
    <r>
      <t>from aA</t>
    </r>
    <r>
      <rPr>
        <sz val="10"/>
        <rFont val="Calibri"/>
        <family val="2"/>
      </rPr>
      <t>G</t>
    </r>
  </si>
  <si>
    <r>
      <t>from aA</t>
    </r>
    <r>
      <rPr>
        <sz val="10"/>
        <rFont val="Calibri"/>
        <family val="2"/>
      </rPr>
      <t>S</t>
    </r>
  </si>
  <si>
    <r>
      <t>from aA</t>
    </r>
    <r>
      <rPr>
        <sz val="10"/>
        <rFont val="Calibri"/>
        <family val="2"/>
      </rPr>
      <t>A</t>
    </r>
  </si>
  <si>
    <r>
      <t>from aA</t>
    </r>
    <r>
      <rPr>
        <sz val="10"/>
        <rFont val="Calibri"/>
        <family val="2"/>
      </rPr>
      <t>P</t>
    </r>
  </si>
  <si>
    <t>from cwAS</t>
  </si>
  <si>
    <t>from cwAA</t>
  </si>
  <si>
    <t>from cwAP</t>
  </si>
  <si>
    <r>
      <t>from w2A</t>
    </r>
    <r>
      <rPr>
        <sz val="10"/>
        <rFont val="Calibri"/>
        <family val="2"/>
      </rPr>
      <t>D</t>
    </r>
  </si>
  <si>
    <r>
      <t>from w2A</t>
    </r>
    <r>
      <rPr>
        <sz val="10"/>
        <rFont val="Calibri"/>
        <family val="2"/>
      </rPr>
      <t>S</t>
    </r>
  </si>
  <si>
    <r>
      <t>from w2A</t>
    </r>
    <r>
      <rPr>
        <sz val="10"/>
        <rFont val="Calibri"/>
        <family val="2"/>
      </rPr>
      <t>A</t>
    </r>
  </si>
  <si>
    <r>
      <t>from w2A</t>
    </r>
    <r>
      <rPr>
        <sz val="10"/>
        <rFont val="Calibri"/>
        <family val="2"/>
      </rPr>
      <t>P</t>
    </r>
  </si>
  <si>
    <r>
      <t>from w3A</t>
    </r>
    <r>
      <rPr>
        <sz val="10"/>
        <rFont val="Calibri"/>
        <family val="2"/>
      </rPr>
      <t>D</t>
    </r>
  </si>
  <si>
    <r>
      <t>from w3A</t>
    </r>
    <r>
      <rPr>
        <sz val="10"/>
        <rFont val="Calibri"/>
        <family val="2"/>
      </rPr>
      <t>S</t>
    </r>
  </si>
  <si>
    <r>
      <t>from w3A</t>
    </r>
    <r>
      <rPr>
        <sz val="10"/>
        <rFont val="Calibri"/>
        <family val="2"/>
      </rPr>
      <t>A</t>
    </r>
  </si>
  <si>
    <r>
      <t>from w3A</t>
    </r>
    <r>
      <rPr>
        <sz val="10"/>
        <rFont val="Calibri"/>
        <family val="2"/>
      </rPr>
      <t>P</t>
    </r>
  </si>
  <si>
    <r>
      <t>from sdA</t>
    </r>
    <r>
      <rPr>
        <sz val="10"/>
        <rFont val="Calibri"/>
        <family val="2"/>
      </rPr>
      <t>D</t>
    </r>
  </si>
  <si>
    <r>
      <t>from sdA</t>
    </r>
    <r>
      <rPr>
        <sz val="10"/>
        <rFont val="Calibri"/>
        <family val="2"/>
      </rPr>
      <t>S</t>
    </r>
  </si>
  <si>
    <r>
      <t>from sdA</t>
    </r>
    <r>
      <rPr>
        <sz val="10"/>
        <rFont val="Calibri"/>
        <family val="2"/>
      </rPr>
      <t>A</t>
    </r>
  </si>
  <si>
    <r>
      <t>from sdA</t>
    </r>
    <r>
      <rPr>
        <sz val="10"/>
        <rFont val="Calibri"/>
        <family val="2"/>
      </rPr>
      <t>P</t>
    </r>
  </si>
  <si>
    <r>
      <t>from sA</t>
    </r>
    <r>
      <rPr>
        <sz val="10"/>
        <rFont val="Calibri"/>
        <family val="2"/>
      </rPr>
      <t>D</t>
    </r>
  </si>
  <si>
    <r>
      <t>from sA</t>
    </r>
    <r>
      <rPr>
        <sz val="10"/>
        <rFont val="Calibri"/>
        <family val="2"/>
      </rPr>
      <t>S</t>
    </r>
  </si>
  <si>
    <r>
      <t>from sA</t>
    </r>
    <r>
      <rPr>
        <sz val="10"/>
        <rFont val="Calibri"/>
        <family val="2"/>
      </rPr>
      <t>A</t>
    </r>
  </si>
  <si>
    <r>
      <t>from sA</t>
    </r>
    <r>
      <rPr>
        <sz val="10"/>
        <rFont val="Calibri"/>
        <family val="2"/>
      </rPr>
      <t>P</t>
    </r>
  </si>
  <si>
    <r>
      <t>from aT</t>
    </r>
    <r>
      <rPr>
        <sz val="10"/>
        <rFont val="Calibri"/>
        <family val="2"/>
      </rPr>
      <t>G</t>
    </r>
  </si>
  <si>
    <r>
      <t>from aT</t>
    </r>
    <r>
      <rPr>
        <sz val="10"/>
        <rFont val="Calibri"/>
        <family val="2"/>
      </rPr>
      <t>S</t>
    </r>
  </si>
  <si>
    <r>
      <t>from aT</t>
    </r>
    <r>
      <rPr>
        <sz val="10"/>
        <rFont val="Calibri"/>
        <family val="2"/>
      </rPr>
      <t>A</t>
    </r>
  </si>
  <si>
    <r>
      <t>from aT</t>
    </r>
    <r>
      <rPr>
        <sz val="10"/>
        <rFont val="Calibri"/>
        <family val="2"/>
      </rPr>
      <t>P</t>
    </r>
  </si>
  <si>
    <t>from cwTS</t>
  </si>
  <si>
    <t>from cwTA</t>
  </si>
  <si>
    <t>from cwTP</t>
  </si>
  <si>
    <r>
      <t>from w2T</t>
    </r>
    <r>
      <rPr>
        <sz val="10"/>
        <rFont val="Calibri"/>
        <family val="2"/>
      </rPr>
      <t>D</t>
    </r>
  </si>
  <si>
    <r>
      <t>from w2T</t>
    </r>
    <r>
      <rPr>
        <sz val="10"/>
        <rFont val="Calibri"/>
        <family val="2"/>
      </rPr>
      <t>S</t>
    </r>
  </si>
  <si>
    <r>
      <t>from w2T</t>
    </r>
    <r>
      <rPr>
        <sz val="10"/>
        <rFont val="Calibri"/>
        <family val="2"/>
      </rPr>
      <t>A</t>
    </r>
  </si>
  <si>
    <r>
      <t>from w2T</t>
    </r>
    <r>
      <rPr>
        <sz val="10"/>
        <rFont val="Calibri"/>
        <family val="2"/>
      </rPr>
      <t>P</t>
    </r>
  </si>
  <si>
    <r>
      <t>from w3T</t>
    </r>
    <r>
      <rPr>
        <sz val="10"/>
        <rFont val="Calibri"/>
        <family val="2"/>
      </rPr>
      <t>D</t>
    </r>
  </si>
  <si>
    <r>
      <t>from w3T</t>
    </r>
    <r>
      <rPr>
        <sz val="10"/>
        <rFont val="Calibri"/>
        <family val="2"/>
      </rPr>
      <t>S</t>
    </r>
  </si>
  <si>
    <r>
      <t>from w3T</t>
    </r>
    <r>
      <rPr>
        <sz val="10"/>
        <rFont val="Calibri"/>
        <family val="2"/>
      </rPr>
      <t>A</t>
    </r>
  </si>
  <si>
    <r>
      <t>from w3T</t>
    </r>
    <r>
      <rPr>
        <sz val="10"/>
        <rFont val="Calibri"/>
        <family val="2"/>
      </rPr>
      <t>P</t>
    </r>
  </si>
  <si>
    <r>
      <t>from sdT</t>
    </r>
    <r>
      <rPr>
        <sz val="10"/>
        <rFont val="Calibri"/>
        <family val="2"/>
      </rPr>
      <t>D</t>
    </r>
  </si>
  <si>
    <r>
      <t>from sdT</t>
    </r>
    <r>
      <rPr>
        <sz val="10"/>
        <rFont val="Calibri"/>
        <family val="2"/>
      </rPr>
      <t>S</t>
    </r>
  </si>
  <si>
    <r>
      <t>from sdT</t>
    </r>
    <r>
      <rPr>
        <sz val="10"/>
        <rFont val="Calibri"/>
        <family val="2"/>
      </rPr>
      <t>A</t>
    </r>
  </si>
  <si>
    <r>
      <t>from sdT</t>
    </r>
    <r>
      <rPr>
        <sz val="10"/>
        <rFont val="Calibri"/>
        <family val="2"/>
      </rPr>
      <t>P</t>
    </r>
  </si>
  <si>
    <r>
      <t>from sT</t>
    </r>
    <r>
      <rPr>
        <sz val="10"/>
        <rFont val="Calibri"/>
        <family val="2"/>
      </rPr>
      <t>D</t>
    </r>
  </si>
  <si>
    <r>
      <t>from sT</t>
    </r>
    <r>
      <rPr>
        <sz val="10"/>
        <rFont val="Calibri"/>
        <family val="2"/>
      </rPr>
      <t>S</t>
    </r>
  </si>
  <si>
    <r>
      <t>from sT</t>
    </r>
    <r>
      <rPr>
        <sz val="10"/>
        <rFont val="Calibri"/>
        <family val="2"/>
      </rPr>
      <t>A</t>
    </r>
  </si>
  <si>
    <r>
      <t>from sT</t>
    </r>
    <r>
      <rPr>
        <sz val="10"/>
        <rFont val="Calibri"/>
        <family val="2"/>
      </rPr>
      <t>P</t>
    </r>
  </si>
  <si>
    <r>
      <t>to aR</t>
    </r>
    <r>
      <rPr>
        <sz val="10"/>
        <rFont val="Calibri"/>
        <family val="2"/>
      </rPr>
      <t>G (s-1)</t>
    </r>
  </si>
  <si>
    <r>
      <t>to aR</t>
    </r>
    <r>
      <rPr>
        <sz val="10"/>
        <rFont val="Calibri"/>
        <family val="2"/>
      </rPr>
      <t>S (s-1)</t>
    </r>
  </si>
  <si>
    <r>
      <t>to aR</t>
    </r>
    <r>
      <rPr>
        <sz val="10"/>
        <rFont val="Calibri"/>
        <family val="2"/>
      </rPr>
      <t>A (s-1)</t>
    </r>
  </si>
  <si>
    <r>
      <t>to aR</t>
    </r>
    <r>
      <rPr>
        <sz val="10"/>
        <rFont val="Calibri"/>
        <family val="2"/>
      </rPr>
      <t>P (s-1)</t>
    </r>
  </si>
  <si>
    <t>to cwRS (s-1)</t>
  </si>
  <si>
    <t>to cwRA (s-1)</t>
  </si>
  <si>
    <t>to cwRP (s-1)</t>
  </si>
  <si>
    <r>
      <t>to w0R</t>
    </r>
    <r>
      <rPr>
        <sz val="10"/>
        <rFont val="Calibri"/>
        <family val="2"/>
      </rPr>
      <t>D (s-1)</t>
    </r>
  </si>
  <si>
    <r>
      <t>to w0R</t>
    </r>
    <r>
      <rPr>
        <sz val="10"/>
        <rFont val="Calibri"/>
        <family val="2"/>
      </rPr>
      <t>S (s-1)</t>
    </r>
  </si>
  <si>
    <r>
      <t>to w0R</t>
    </r>
    <r>
      <rPr>
        <sz val="10"/>
        <rFont val="Calibri"/>
        <family val="2"/>
      </rPr>
      <t>A (s-1)</t>
    </r>
  </si>
  <si>
    <r>
      <t>to w0R</t>
    </r>
    <r>
      <rPr>
        <sz val="10"/>
        <rFont val="Calibri"/>
        <family val="2"/>
      </rPr>
      <t>P (s-1)</t>
    </r>
  </si>
  <si>
    <r>
      <t>to w1R</t>
    </r>
    <r>
      <rPr>
        <sz val="10"/>
        <rFont val="Calibri"/>
        <family val="2"/>
      </rPr>
      <t>D (s-1)</t>
    </r>
  </si>
  <si>
    <r>
      <t>to w1R</t>
    </r>
    <r>
      <rPr>
        <sz val="10"/>
        <rFont val="Calibri"/>
        <family val="2"/>
      </rPr>
      <t>S (s-1)</t>
    </r>
  </si>
  <si>
    <r>
      <t>to w1R</t>
    </r>
    <r>
      <rPr>
        <sz val="10"/>
        <rFont val="Calibri"/>
        <family val="2"/>
      </rPr>
      <t>A (s-1)</t>
    </r>
  </si>
  <si>
    <r>
      <t>to w1R</t>
    </r>
    <r>
      <rPr>
        <sz val="10"/>
        <rFont val="Calibri"/>
        <family val="2"/>
      </rPr>
      <t>P (s-1)</t>
    </r>
  </si>
  <si>
    <r>
      <t>to w2R</t>
    </r>
    <r>
      <rPr>
        <sz val="10"/>
        <rFont val="Calibri"/>
        <family val="2"/>
      </rPr>
      <t>D (s-1)</t>
    </r>
  </si>
  <si>
    <r>
      <t>to w2R</t>
    </r>
    <r>
      <rPr>
        <sz val="10"/>
        <rFont val="Calibri"/>
        <family val="2"/>
      </rPr>
      <t>S (s-1)</t>
    </r>
  </si>
  <si>
    <r>
      <t>to w2R</t>
    </r>
    <r>
      <rPr>
        <sz val="10"/>
        <rFont val="Calibri"/>
        <family val="2"/>
      </rPr>
      <t>A (s-1)</t>
    </r>
  </si>
  <si>
    <r>
      <t>to w2R</t>
    </r>
    <r>
      <rPr>
        <sz val="10"/>
        <rFont val="Calibri"/>
        <family val="2"/>
      </rPr>
      <t>P (s-1)</t>
    </r>
  </si>
  <si>
    <t>to sd0RD (s-1)</t>
  </si>
  <si>
    <t>to sd0RS (s-1)</t>
  </si>
  <si>
    <t>to sd0RA (s-1)</t>
  </si>
  <si>
    <t>to sd0RP (s-1)</t>
  </si>
  <si>
    <r>
      <t>to sd1R</t>
    </r>
    <r>
      <rPr>
        <sz val="10"/>
        <rFont val="Calibri"/>
        <family val="2"/>
      </rPr>
      <t>D (s-1)</t>
    </r>
  </si>
  <si>
    <r>
      <t>to sd1R</t>
    </r>
    <r>
      <rPr>
        <sz val="10"/>
        <rFont val="Calibri"/>
        <family val="2"/>
      </rPr>
      <t>S (s-1)</t>
    </r>
  </si>
  <si>
    <r>
      <t>to sd1R</t>
    </r>
    <r>
      <rPr>
        <sz val="10"/>
        <rFont val="Calibri"/>
        <family val="2"/>
      </rPr>
      <t>A (s-1)</t>
    </r>
  </si>
  <si>
    <r>
      <t>to sd1R</t>
    </r>
    <r>
      <rPr>
        <sz val="10"/>
        <rFont val="Calibri"/>
        <family val="2"/>
      </rPr>
      <t>P (s-1)</t>
    </r>
  </si>
  <si>
    <r>
      <t>to sd2R</t>
    </r>
    <r>
      <rPr>
        <sz val="10"/>
        <rFont val="Calibri"/>
        <family val="2"/>
      </rPr>
      <t>D (s-1)</t>
    </r>
  </si>
  <si>
    <r>
      <t>to sd2R</t>
    </r>
    <r>
      <rPr>
        <sz val="10"/>
        <rFont val="Calibri"/>
        <family val="2"/>
      </rPr>
      <t>S (s-1)</t>
    </r>
  </si>
  <si>
    <r>
      <t>to sd2R</t>
    </r>
    <r>
      <rPr>
        <sz val="10"/>
        <rFont val="Calibri"/>
        <family val="2"/>
      </rPr>
      <t>A (s-1)</t>
    </r>
  </si>
  <si>
    <r>
      <t>to sd2R</t>
    </r>
    <r>
      <rPr>
        <sz val="10"/>
        <rFont val="Calibri"/>
        <family val="2"/>
      </rPr>
      <t>P (s-1)</t>
    </r>
  </si>
  <si>
    <r>
      <t>to s1R</t>
    </r>
    <r>
      <rPr>
        <sz val="10"/>
        <rFont val="Calibri"/>
        <family val="2"/>
      </rPr>
      <t>D (s-1)</t>
    </r>
  </si>
  <si>
    <r>
      <t>to s1R</t>
    </r>
    <r>
      <rPr>
        <sz val="10"/>
        <rFont val="Calibri"/>
        <family val="2"/>
      </rPr>
      <t>S (s-1)</t>
    </r>
  </si>
  <si>
    <r>
      <t>to s1R</t>
    </r>
    <r>
      <rPr>
        <sz val="10"/>
        <rFont val="Calibri"/>
        <family val="2"/>
      </rPr>
      <t>A (s-1)</t>
    </r>
  </si>
  <si>
    <r>
      <t>to s1R</t>
    </r>
    <r>
      <rPr>
        <sz val="10"/>
        <rFont val="Calibri"/>
        <family val="2"/>
      </rPr>
      <t>P (s-1)</t>
    </r>
  </si>
  <si>
    <r>
      <t>to s2R</t>
    </r>
    <r>
      <rPr>
        <sz val="10"/>
        <rFont val="Calibri"/>
        <family val="2"/>
      </rPr>
      <t>D (s-1)</t>
    </r>
  </si>
  <si>
    <r>
      <t>to s2R</t>
    </r>
    <r>
      <rPr>
        <sz val="10"/>
        <rFont val="Calibri"/>
        <family val="2"/>
      </rPr>
      <t>S (s-1)</t>
    </r>
  </si>
  <si>
    <r>
      <t>to s2R</t>
    </r>
    <r>
      <rPr>
        <sz val="10"/>
        <rFont val="Calibri"/>
        <family val="2"/>
      </rPr>
      <t>A (s-1)</t>
    </r>
  </si>
  <si>
    <r>
      <t>to s2R</t>
    </r>
    <r>
      <rPr>
        <sz val="10"/>
        <rFont val="Calibri"/>
        <family val="2"/>
      </rPr>
      <t>P (s-1)</t>
    </r>
  </si>
  <si>
    <r>
      <t>to s3R</t>
    </r>
    <r>
      <rPr>
        <sz val="10"/>
        <rFont val="Calibri"/>
        <family val="2"/>
      </rPr>
      <t>D (s-1)</t>
    </r>
  </si>
  <si>
    <r>
      <t>to s3R</t>
    </r>
    <r>
      <rPr>
        <sz val="10"/>
        <rFont val="Calibri"/>
        <family val="2"/>
      </rPr>
      <t>S (s-1)</t>
    </r>
  </si>
  <si>
    <r>
      <t>to s3R</t>
    </r>
    <r>
      <rPr>
        <sz val="10"/>
        <rFont val="Calibri"/>
        <family val="2"/>
      </rPr>
      <t>A (s-1)</t>
    </r>
  </si>
  <si>
    <r>
      <t>to s3R</t>
    </r>
    <r>
      <rPr>
        <sz val="10"/>
        <rFont val="Calibri"/>
        <family val="2"/>
      </rPr>
      <t>P (s-1)</t>
    </r>
  </si>
  <si>
    <r>
      <t>to aC</t>
    </r>
    <r>
      <rPr>
        <sz val="10"/>
        <rFont val="Calibri"/>
        <family val="2"/>
      </rPr>
      <t>G (s-1)</t>
    </r>
  </si>
  <si>
    <r>
      <t>to aC</t>
    </r>
    <r>
      <rPr>
        <sz val="10"/>
        <rFont val="Calibri"/>
        <family val="2"/>
      </rPr>
      <t>S (s-1)</t>
    </r>
  </si>
  <si>
    <r>
      <t>to aC</t>
    </r>
    <r>
      <rPr>
        <sz val="10"/>
        <rFont val="Calibri"/>
        <family val="2"/>
      </rPr>
      <t>A (s-1)</t>
    </r>
  </si>
  <si>
    <r>
      <t>to aC</t>
    </r>
    <r>
      <rPr>
        <sz val="10"/>
        <rFont val="Calibri"/>
        <family val="2"/>
      </rPr>
      <t>P (s-1)</t>
    </r>
  </si>
  <si>
    <t>to cwCS (s-1)</t>
  </si>
  <si>
    <t>to cwCA (s-1)</t>
  </si>
  <si>
    <t>to cwCP (s-1)</t>
  </si>
  <si>
    <r>
      <t>to w0C</t>
    </r>
    <r>
      <rPr>
        <sz val="10"/>
        <rFont val="Calibri"/>
        <family val="2"/>
      </rPr>
      <t>D (s-1)</t>
    </r>
  </si>
  <si>
    <r>
      <t>to w0C</t>
    </r>
    <r>
      <rPr>
        <sz val="10"/>
        <rFont val="Calibri"/>
        <family val="2"/>
      </rPr>
      <t>S (s-1)</t>
    </r>
  </si>
  <si>
    <r>
      <t>to w0C</t>
    </r>
    <r>
      <rPr>
        <sz val="10"/>
        <rFont val="Calibri"/>
        <family val="2"/>
      </rPr>
      <t>A (s-1)</t>
    </r>
  </si>
  <si>
    <r>
      <t>to w0C</t>
    </r>
    <r>
      <rPr>
        <sz val="10"/>
        <rFont val="Calibri"/>
        <family val="2"/>
      </rPr>
      <t>P (s-1)</t>
    </r>
  </si>
  <si>
    <r>
      <t>to w1C</t>
    </r>
    <r>
      <rPr>
        <sz val="10"/>
        <rFont val="Calibri"/>
        <family val="2"/>
      </rPr>
      <t>D (s-1)</t>
    </r>
  </si>
  <si>
    <r>
      <t>to w1C</t>
    </r>
    <r>
      <rPr>
        <sz val="10"/>
        <rFont val="Calibri"/>
        <family val="2"/>
      </rPr>
      <t>S (s-1)</t>
    </r>
  </si>
  <si>
    <r>
      <t>to w1C</t>
    </r>
    <r>
      <rPr>
        <sz val="10"/>
        <rFont val="Calibri"/>
        <family val="2"/>
      </rPr>
      <t>A (s-1)</t>
    </r>
  </si>
  <si>
    <r>
      <t>to w1C</t>
    </r>
    <r>
      <rPr>
        <sz val="10"/>
        <rFont val="Calibri"/>
        <family val="2"/>
      </rPr>
      <t>P (s-1)</t>
    </r>
  </si>
  <si>
    <r>
      <t>to w2C</t>
    </r>
    <r>
      <rPr>
        <sz val="10"/>
        <rFont val="Calibri"/>
        <family val="2"/>
      </rPr>
      <t>D (s-1)</t>
    </r>
  </si>
  <si>
    <r>
      <t>to w2C</t>
    </r>
    <r>
      <rPr>
        <sz val="10"/>
        <rFont val="Calibri"/>
        <family val="2"/>
      </rPr>
      <t>S (s-1)</t>
    </r>
  </si>
  <si>
    <r>
      <t>to w2C</t>
    </r>
    <r>
      <rPr>
        <sz val="10"/>
        <rFont val="Calibri"/>
        <family val="2"/>
      </rPr>
      <t>A (s-1)</t>
    </r>
  </si>
  <si>
    <r>
      <t>to w2C</t>
    </r>
    <r>
      <rPr>
        <sz val="10"/>
        <rFont val="Calibri"/>
        <family val="2"/>
      </rPr>
      <t>P (s-1)</t>
    </r>
  </si>
  <si>
    <t>to sd0CD (s-1)</t>
  </si>
  <si>
    <t>to sd0CS (s-1)</t>
  </si>
  <si>
    <t>to sd0CA (s-1)</t>
  </si>
  <si>
    <t>to sd0CP (s-1)</t>
  </si>
  <si>
    <r>
      <t>to sd1C</t>
    </r>
    <r>
      <rPr>
        <sz val="10"/>
        <rFont val="Calibri"/>
        <family val="2"/>
      </rPr>
      <t>D (s-1)</t>
    </r>
  </si>
  <si>
    <r>
      <t>to sd1C</t>
    </r>
    <r>
      <rPr>
        <sz val="10"/>
        <rFont val="Calibri"/>
        <family val="2"/>
      </rPr>
      <t>S (s-1)</t>
    </r>
  </si>
  <si>
    <r>
      <t>to sd1C</t>
    </r>
    <r>
      <rPr>
        <sz val="10"/>
        <rFont val="Calibri"/>
        <family val="2"/>
      </rPr>
      <t>A (s-1)</t>
    </r>
  </si>
  <si>
    <r>
      <t>to sd1C</t>
    </r>
    <r>
      <rPr>
        <sz val="10"/>
        <rFont val="Calibri"/>
        <family val="2"/>
      </rPr>
      <t>P (s-1)</t>
    </r>
  </si>
  <si>
    <r>
      <t>to sd2C</t>
    </r>
    <r>
      <rPr>
        <sz val="10"/>
        <rFont val="Calibri"/>
        <family val="2"/>
      </rPr>
      <t>D (s-1)</t>
    </r>
  </si>
  <si>
    <r>
      <t>to sd2C</t>
    </r>
    <r>
      <rPr>
        <sz val="10"/>
        <rFont val="Calibri"/>
        <family val="2"/>
      </rPr>
      <t>S (s-1)</t>
    </r>
  </si>
  <si>
    <r>
      <t>to sd2C</t>
    </r>
    <r>
      <rPr>
        <sz val="10"/>
        <rFont val="Calibri"/>
        <family val="2"/>
      </rPr>
      <t>A (s-1)</t>
    </r>
  </si>
  <si>
    <r>
      <t>to sd2C</t>
    </r>
    <r>
      <rPr>
        <sz val="10"/>
        <rFont val="Calibri"/>
        <family val="2"/>
      </rPr>
      <t>P (s-1)</t>
    </r>
  </si>
  <si>
    <r>
      <t>to s1C</t>
    </r>
    <r>
      <rPr>
        <sz val="10"/>
        <rFont val="Calibri"/>
        <family val="2"/>
      </rPr>
      <t>D (s-1)</t>
    </r>
  </si>
  <si>
    <r>
      <t>to s1C</t>
    </r>
    <r>
      <rPr>
        <sz val="10"/>
        <rFont val="Calibri"/>
        <family val="2"/>
      </rPr>
      <t>S (s-1)</t>
    </r>
  </si>
  <si>
    <r>
      <t>to s1C</t>
    </r>
    <r>
      <rPr>
        <sz val="10"/>
        <rFont val="Calibri"/>
        <family val="2"/>
      </rPr>
      <t>A (s-1)</t>
    </r>
  </si>
  <si>
    <r>
      <t>to s1C</t>
    </r>
    <r>
      <rPr>
        <sz val="10"/>
        <rFont val="Calibri"/>
        <family val="2"/>
      </rPr>
      <t>P (s-1)</t>
    </r>
  </si>
  <si>
    <r>
      <t>to s2C</t>
    </r>
    <r>
      <rPr>
        <sz val="10"/>
        <rFont val="Calibri"/>
        <family val="2"/>
      </rPr>
      <t>D (s-1)</t>
    </r>
  </si>
  <si>
    <r>
      <t>to s2C</t>
    </r>
    <r>
      <rPr>
        <sz val="10"/>
        <rFont val="Calibri"/>
        <family val="2"/>
      </rPr>
      <t>S (s-1)</t>
    </r>
  </si>
  <si>
    <r>
      <t>to s2C</t>
    </r>
    <r>
      <rPr>
        <sz val="10"/>
        <rFont val="Calibri"/>
        <family val="2"/>
      </rPr>
      <t>A (s-1)</t>
    </r>
  </si>
  <si>
    <r>
      <t>to s2C</t>
    </r>
    <r>
      <rPr>
        <sz val="10"/>
        <rFont val="Calibri"/>
        <family val="2"/>
      </rPr>
      <t>P (s-1)</t>
    </r>
  </si>
  <si>
    <r>
      <t>to s3C</t>
    </r>
    <r>
      <rPr>
        <sz val="10"/>
        <rFont val="Calibri"/>
        <family val="2"/>
      </rPr>
      <t>D (s-1)</t>
    </r>
  </si>
  <si>
    <r>
      <t>to s3C</t>
    </r>
    <r>
      <rPr>
        <sz val="10"/>
        <rFont val="Calibri"/>
        <family val="2"/>
      </rPr>
      <t>S (s-1)</t>
    </r>
  </si>
  <si>
    <r>
      <t>to s3C</t>
    </r>
    <r>
      <rPr>
        <sz val="10"/>
        <rFont val="Calibri"/>
        <family val="2"/>
      </rPr>
      <t>A (s-1)</t>
    </r>
  </si>
  <si>
    <r>
      <t>to s3C</t>
    </r>
    <r>
      <rPr>
        <sz val="10"/>
        <rFont val="Calibri"/>
        <family val="2"/>
      </rPr>
      <t>P (s-1)</t>
    </r>
  </si>
  <si>
    <r>
      <t>to aM</t>
    </r>
    <r>
      <rPr>
        <sz val="10"/>
        <rFont val="Calibri"/>
        <family val="2"/>
      </rPr>
      <t>G (s-1)</t>
    </r>
  </si>
  <si>
    <r>
      <t>to aM</t>
    </r>
    <r>
      <rPr>
        <sz val="10"/>
        <rFont val="Calibri"/>
        <family val="2"/>
      </rPr>
      <t>S (s-1)</t>
    </r>
  </si>
  <si>
    <r>
      <t>to aM</t>
    </r>
    <r>
      <rPr>
        <sz val="10"/>
        <rFont val="Calibri"/>
        <family val="2"/>
      </rPr>
      <t>A (s-1)</t>
    </r>
  </si>
  <si>
    <r>
      <t>to aM</t>
    </r>
    <r>
      <rPr>
        <sz val="10"/>
        <rFont val="Calibri"/>
        <family val="2"/>
      </rPr>
      <t>P (s-1)</t>
    </r>
  </si>
  <si>
    <t>to cwMS (s-1)</t>
  </si>
  <si>
    <t>to cwMA (s-1)</t>
  </si>
  <si>
    <t>to cwMP (s-1)</t>
  </si>
  <si>
    <r>
      <t>to w2M</t>
    </r>
    <r>
      <rPr>
        <sz val="10"/>
        <rFont val="Calibri"/>
        <family val="2"/>
      </rPr>
      <t>D (s-1)</t>
    </r>
  </si>
  <si>
    <r>
      <t>to w2M</t>
    </r>
    <r>
      <rPr>
        <sz val="10"/>
        <rFont val="Calibri"/>
        <family val="2"/>
      </rPr>
      <t>S (s-1)</t>
    </r>
  </si>
  <si>
    <r>
      <t>to w2M</t>
    </r>
    <r>
      <rPr>
        <sz val="10"/>
        <rFont val="Calibri"/>
        <family val="2"/>
      </rPr>
      <t>A (s-1)</t>
    </r>
  </si>
  <si>
    <r>
      <t>to w2M</t>
    </r>
    <r>
      <rPr>
        <sz val="10"/>
        <rFont val="Calibri"/>
        <family val="2"/>
      </rPr>
      <t>P (s-1)</t>
    </r>
  </si>
  <si>
    <r>
      <t>to w3M</t>
    </r>
    <r>
      <rPr>
        <sz val="10"/>
        <rFont val="Calibri"/>
        <family val="2"/>
      </rPr>
      <t>D (s-1)</t>
    </r>
  </si>
  <si>
    <r>
      <t>to w3M</t>
    </r>
    <r>
      <rPr>
        <sz val="10"/>
        <rFont val="Calibri"/>
        <family val="2"/>
      </rPr>
      <t>S (s-1)</t>
    </r>
  </si>
  <si>
    <r>
      <t>to w3M</t>
    </r>
    <r>
      <rPr>
        <sz val="10"/>
        <rFont val="Calibri"/>
        <family val="2"/>
      </rPr>
      <t>A (s-1)</t>
    </r>
  </si>
  <si>
    <r>
      <t>to w3M</t>
    </r>
    <r>
      <rPr>
        <sz val="10"/>
        <rFont val="Calibri"/>
        <family val="2"/>
      </rPr>
      <t>P (s-1)</t>
    </r>
  </si>
  <si>
    <r>
      <t>to sdM</t>
    </r>
    <r>
      <rPr>
        <sz val="10"/>
        <rFont val="Calibri"/>
        <family val="2"/>
      </rPr>
      <t>D (s-1)</t>
    </r>
  </si>
  <si>
    <r>
      <t>to sdM</t>
    </r>
    <r>
      <rPr>
        <sz val="10"/>
        <rFont val="Calibri"/>
        <family val="2"/>
      </rPr>
      <t>S (s-1)</t>
    </r>
  </si>
  <si>
    <r>
      <t>to sdM</t>
    </r>
    <r>
      <rPr>
        <sz val="10"/>
        <rFont val="Calibri"/>
        <family val="2"/>
      </rPr>
      <t>A (s-1)</t>
    </r>
  </si>
  <si>
    <r>
      <t>to sdM</t>
    </r>
    <r>
      <rPr>
        <sz val="10"/>
        <rFont val="Calibri"/>
        <family val="2"/>
      </rPr>
      <t>P (s-1)</t>
    </r>
  </si>
  <si>
    <r>
      <t>to sM</t>
    </r>
    <r>
      <rPr>
        <sz val="10"/>
        <rFont val="Calibri"/>
        <family val="2"/>
      </rPr>
      <t>D (s-1)</t>
    </r>
  </si>
  <si>
    <r>
      <t>to sM</t>
    </r>
    <r>
      <rPr>
        <sz val="10"/>
        <rFont val="Calibri"/>
        <family val="2"/>
      </rPr>
      <t>S (s-1)</t>
    </r>
  </si>
  <si>
    <r>
      <t>to sM</t>
    </r>
    <r>
      <rPr>
        <sz val="10"/>
        <rFont val="Calibri"/>
        <family val="2"/>
      </rPr>
      <t>A (s-1)</t>
    </r>
  </si>
  <si>
    <r>
      <t>to sM</t>
    </r>
    <r>
      <rPr>
        <sz val="10"/>
        <rFont val="Calibri"/>
        <family val="2"/>
      </rPr>
      <t>P (s-1)</t>
    </r>
  </si>
  <si>
    <r>
      <t>to aA</t>
    </r>
    <r>
      <rPr>
        <sz val="10"/>
        <rFont val="Calibri"/>
        <family val="2"/>
      </rPr>
      <t>G (s-1)</t>
    </r>
  </si>
  <si>
    <r>
      <t>to aA</t>
    </r>
    <r>
      <rPr>
        <sz val="10"/>
        <rFont val="Calibri"/>
        <family val="2"/>
      </rPr>
      <t>S (s-1)</t>
    </r>
  </si>
  <si>
    <r>
      <t>to aA</t>
    </r>
    <r>
      <rPr>
        <sz val="10"/>
        <rFont val="Calibri"/>
        <family val="2"/>
      </rPr>
      <t>A (s-1)</t>
    </r>
  </si>
  <si>
    <r>
      <t>to aA</t>
    </r>
    <r>
      <rPr>
        <sz val="10"/>
        <rFont val="Calibri"/>
        <family val="2"/>
      </rPr>
      <t>P (s-1)</t>
    </r>
  </si>
  <si>
    <t>to cwAS (s-1)</t>
  </si>
  <si>
    <t>to cwAA (s-1)</t>
  </si>
  <si>
    <t>to cwAP (s-1)</t>
  </si>
  <si>
    <r>
      <t>to w2A</t>
    </r>
    <r>
      <rPr>
        <sz val="10"/>
        <rFont val="Calibri"/>
        <family val="2"/>
      </rPr>
      <t>D (s-1)</t>
    </r>
  </si>
  <si>
    <r>
      <t>to w2A</t>
    </r>
    <r>
      <rPr>
        <sz val="10"/>
        <rFont val="Calibri"/>
        <family val="2"/>
      </rPr>
      <t>S (s-1)</t>
    </r>
  </si>
  <si>
    <r>
      <t>to w2A</t>
    </r>
    <r>
      <rPr>
        <sz val="10"/>
        <rFont val="Calibri"/>
        <family val="2"/>
      </rPr>
      <t>A (s-1)</t>
    </r>
  </si>
  <si>
    <r>
      <t>to w2A</t>
    </r>
    <r>
      <rPr>
        <sz val="10"/>
        <rFont val="Calibri"/>
        <family val="2"/>
      </rPr>
      <t>P (s-1)</t>
    </r>
  </si>
  <si>
    <r>
      <t>to w3A</t>
    </r>
    <r>
      <rPr>
        <sz val="10"/>
        <rFont val="Calibri"/>
        <family val="2"/>
      </rPr>
      <t>D (s-1)</t>
    </r>
  </si>
  <si>
    <r>
      <t>to w3A</t>
    </r>
    <r>
      <rPr>
        <sz val="10"/>
        <rFont val="Calibri"/>
        <family val="2"/>
      </rPr>
      <t>S (s-1)</t>
    </r>
  </si>
  <si>
    <r>
      <t>to w3A</t>
    </r>
    <r>
      <rPr>
        <sz val="10"/>
        <rFont val="Calibri"/>
        <family val="2"/>
      </rPr>
      <t>A (s-1)</t>
    </r>
  </si>
  <si>
    <r>
      <t>to w3A</t>
    </r>
    <r>
      <rPr>
        <sz val="10"/>
        <rFont val="Calibri"/>
        <family val="2"/>
      </rPr>
      <t>P (s-1)</t>
    </r>
  </si>
  <si>
    <r>
      <t>to sdA</t>
    </r>
    <r>
      <rPr>
        <sz val="10"/>
        <rFont val="Calibri"/>
        <family val="2"/>
      </rPr>
      <t>D (s-1)</t>
    </r>
  </si>
  <si>
    <r>
      <t>to sdA</t>
    </r>
    <r>
      <rPr>
        <sz val="10"/>
        <rFont val="Calibri"/>
        <family val="2"/>
      </rPr>
      <t>S (s-1)</t>
    </r>
  </si>
  <si>
    <r>
      <t>to sdA</t>
    </r>
    <r>
      <rPr>
        <sz val="10"/>
        <rFont val="Calibri"/>
        <family val="2"/>
      </rPr>
      <t>A (s-1)</t>
    </r>
  </si>
  <si>
    <r>
      <t>to sdA</t>
    </r>
    <r>
      <rPr>
        <sz val="10"/>
        <rFont val="Calibri"/>
        <family val="2"/>
      </rPr>
      <t>P (s-1)</t>
    </r>
  </si>
  <si>
    <r>
      <t>to sA</t>
    </r>
    <r>
      <rPr>
        <sz val="10"/>
        <rFont val="Calibri"/>
        <family val="2"/>
      </rPr>
      <t>D (s-1)</t>
    </r>
  </si>
  <si>
    <r>
      <t>to sA</t>
    </r>
    <r>
      <rPr>
        <sz val="10"/>
        <rFont val="Calibri"/>
        <family val="2"/>
      </rPr>
      <t>S (s-1)</t>
    </r>
  </si>
  <si>
    <r>
      <t>to sA</t>
    </r>
    <r>
      <rPr>
        <sz val="10"/>
        <rFont val="Calibri"/>
        <family val="2"/>
      </rPr>
      <t>A (s-1)</t>
    </r>
  </si>
  <si>
    <r>
      <t>to sA</t>
    </r>
    <r>
      <rPr>
        <sz val="10"/>
        <rFont val="Calibri"/>
        <family val="2"/>
      </rPr>
      <t>P (s-1)</t>
    </r>
  </si>
  <si>
    <r>
      <t>to aT</t>
    </r>
    <r>
      <rPr>
        <sz val="10"/>
        <rFont val="Calibri"/>
        <family val="2"/>
      </rPr>
      <t>G (s-1)</t>
    </r>
  </si>
  <si>
    <r>
      <t>to aT</t>
    </r>
    <r>
      <rPr>
        <sz val="10"/>
        <rFont val="Calibri"/>
        <family val="2"/>
      </rPr>
      <t>S (s-1)</t>
    </r>
  </si>
  <si>
    <r>
      <t>to aT</t>
    </r>
    <r>
      <rPr>
        <sz val="10"/>
        <rFont val="Calibri"/>
        <family val="2"/>
      </rPr>
      <t>A (s-1)</t>
    </r>
  </si>
  <si>
    <r>
      <t>to aT</t>
    </r>
    <r>
      <rPr>
        <sz val="10"/>
        <rFont val="Calibri"/>
        <family val="2"/>
      </rPr>
      <t>P (s-1)</t>
    </r>
  </si>
  <si>
    <t>to cwTS (s-1)</t>
  </si>
  <si>
    <t>to cwTA (s-1)</t>
  </si>
  <si>
    <t>to cwTP (s-1)</t>
  </si>
  <si>
    <r>
      <t>to w2T</t>
    </r>
    <r>
      <rPr>
        <sz val="10"/>
        <rFont val="Calibri"/>
        <family val="2"/>
      </rPr>
      <t>D (s-1)</t>
    </r>
  </si>
  <si>
    <r>
      <t>to w2T</t>
    </r>
    <r>
      <rPr>
        <sz val="10"/>
        <rFont val="Calibri"/>
        <family val="2"/>
      </rPr>
      <t>S (s-1)</t>
    </r>
  </si>
  <si>
    <r>
      <t>to w2T</t>
    </r>
    <r>
      <rPr>
        <sz val="10"/>
        <rFont val="Calibri"/>
        <family val="2"/>
      </rPr>
      <t>A (s-1)</t>
    </r>
  </si>
  <si>
    <r>
      <t>to w2T</t>
    </r>
    <r>
      <rPr>
        <sz val="10"/>
        <rFont val="Calibri"/>
        <family val="2"/>
      </rPr>
      <t>P (s-1)</t>
    </r>
  </si>
  <si>
    <r>
      <t>to w3T</t>
    </r>
    <r>
      <rPr>
        <sz val="10"/>
        <rFont val="Calibri"/>
        <family val="2"/>
      </rPr>
      <t>D (s-1)</t>
    </r>
  </si>
  <si>
    <r>
      <t>to w3T</t>
    </r>
    <r>
      <rPr>
        <sz val="10"/>
        <rFont val="Calibri"/>
        <family val="2"/>
      </rPr>
      <t>S (s-1)</t>
    </r>
  </si>
  <si>
    <r>
      <t>to w3T</t>
    </r>
    <r>
      <rPr>
        <sz val="10"/>
        <rFont val="Calibri"/>
        <family val="2"/>
      </rPr>
      <t>A (s-1)</t>
    </r>
  </si>
  <si>
    <r>
      <t>to w3T</t>
    </r>
    <r>
      <rPr>
        <sz val="10"/>
        <rFont val="Calibri"/>
        <family val="2"/>
      </rPr>
      <t>P (s-1)</t>
    </r>
  </si>
  <si>
    <r>
      <t>to sdT</t>
    </r>
    <r>
      <rPr>
        <sz val="10"/>
        <rFont val="Calibri"/>
        <family val="2"/>
      </rPr>
      <t>D (s-1)</t>
    </r>
  </si>
  <si>
    <r>
      <t>to sdT</t>
    </r>
    <r>
      <rPr>
        <sz val="10"/>
        <rFont val="Calibri"/>
        <family val="2"/>
      </rPr>
      <t>S (s-1)</t>
    </r>
  </si>
  <si>
    <r>
      <t>to sdT</t>
    </r>
    <r>
      <rPr>
        <sz val="10"/>
        <rFont val="Calibri"/>
        <family val="2"/>
      </rPr>
      <t>A (s-1)</t>
    </r>
  </si>
  <si>
    <r>
      <t>to sdT</t>
    </r>
    <r>
      <rPr>
        <sz val="10"/>
        <rFont val="Calibri"/>
        <family val="2"/>
      </rPr>
      <t>P (s-1)</t>
    </r>
  </si>
  <si>
    <r>
      <t>to sT</t>
    </r>
    <r>
      <rPr>
        <sz val="10"/>
        <rFont val="Calibri"/>
        <family val="2"/>
      </rPr>
      <t>D (s-1)</t>
    </r>
  </si>
  <si>
    <r>
      <t>to sT</t>
    </r>
    <r>
      <rPr>
        <sz val="10"/>
        <rFont val="Calibri"/>
        <family val="2"/>
      </rPr>
      <t>S (s-1)</t>
    </r>
  </si>
  <si>
    <r>
      <t>to sT</t>
    </r>
    <r>
      <rPr>
        <sz val="10"/>
        <rFont val="Calibri"/>
        <family val="2"/>
      </rPr>
      <t>A (s-1)</t>
    </r>
  </si>
  <si>
    <r>
      <t>to sT</t>
    </r>
    <r>
      <rPr>
        <sz val="10"/>
        <rFont val="Calibri"/>
        <family val="2"/>
      </rPr>
      <t>P (s-1)</t>
    </r>
  </si>
  <si>
    <t>STEADY STATE</t>
  </si>
  <si>
    <t>Mass (mol G/D S A P)</t>
  </si>
  <si>
    <t>Mass (kg G/D S A P)</t>
  </si>
  <si>
    <t>Fugacity (Pa)</t>
  </si>
  <si>
    <t>Concentration (kg.m-3)</t>
  </si>
  <si>
    <t>Mass distribution (-)</t>
  </si>
  <si>
    <t>MASS FLOWS (mol.s-1)</t>
  </si>
  <si>
    <t>emission</t>
  </si>
  <si>
    <t>removal</t>
  </si>
  <si>
    <t>MASS BALANCE CHECK</t>
  </si>
  <si>
    <t>Transport to (mol.s-1)</t>
  </si>
  <si>
    <t>Transport from (mol.s-1)</t>
  </si>
  <si>
    <t>Removal (mol.s-1)</t>
  </si>
  <si>
    <t>BALANCE (mol.s-1)</t>
  </si>
  <si>
    <t>SIMPLEBOX DYNAMIC OUTPUT</t>
  </si>
  <si>
    <t>Total AMOUNTS (# particles) in compartments</t>
  </si>
  <si>
    <t>SimpleBox, vs 4.01</t>
  </si>
  <si>
    <t>Pov</t>
  </si>
  <si>
    <t>yr</t>
  </si>
  <si>
    <t>scale</t>
  </si>
  <si>
    <t>Pov-units</t>
  </si>
  <si>
    <t>The DynamicCalculation macro, which depends on the Rexcell add-in, is not supported anymore. Please use the accompnying R script.</t>
  </si>
  <si>
    <t>start</t>
  </si>
  <si>
    <t>Information on the R script can be found at https://github.com/rivm-syso/SimpleBox</t>
  </si>
  <si>
    <t>end</t>
  </si>
  <si>
    <t>aRG</t>
  </si>
  <si>
    <t>aRS</t>
  </si>
  <si>
    <t>aRA</t>
  </si>
  <si>
    <t>aRP</t>
  </si>
  <si>
    <t>dyn_m0</t>
  </si>
  <si>
    <t>Emis.I</t>
  </si>
  <si>
    <t>Emis.II</t>
  </si>
  <si>
    <t>Time</t>
  </si>
  <si>
    <t>w0RD</t>
  </si>
  <si>
    <t>w0RS</t>
  </si>
  <si>
    <t>w0RA</t>
  </si>
  <si>
    <t>w0RP</t>
  </si>
  <si>
    <t>w1RD</t>
  </si>
  <si>
    <t>w1RS</t>
  </si>
  <si>
    <t>w1RA</t>
  </si>
  <si>
    <t>w1RP</t>
  </si>
  <si>
    <t>w2RD</t>
  </si>
  <si>
    <t>w2RS</t>
  </si>
  <si>
    <t>w2RA</t>
  </si>
  <si>
    <t>w2RP</t>
  </si>
  <si>
    <t>sd1RD</t>
  </si>
  <si>
    <t>sd1RS</t>
  </si>
  <si>
    <t>sd1RA</t>
  </si>
  <si>
    <t>sd1RP</t>
  </si>
  <si>
    <t>sd2RD</t>
  </si>
  <si>
    <t>sd2RS</t>
  </si>
  <si>
    <t>sd2RA</t>
  </si>
  <si>
    <t>sd2RP</t>
  </si>
  <si>
    <t>s1RD</t>
  </si>
  <si>
    <t>s1RS</t>
  </si>
  <si>
    <t>s1RA</t>
  </si>
  <si>
    <t>s1RP</t>
  </si>
  <si>
    <t>s2RD</t>
  </si>
  <si>
    <t>s2RS</t>
  </si>
  <si>
    <t>s2RA</t>
  </si>
  <si>
    <t>s2RP</t>
  </si>
  <si>
    <t>s3RD</t>
  </si>
  <si>
    <t>s3RS</t>
  </si>
  <si>
    <t>s3RA</t>
  </si>
  <si>
    <t>s3RP</t>
  </si>
  <si>
    <t>aCG</t>
  </si>
  <si>
    <t>aCS</t>
  </si>
  <si>
    <t>aCA</t>
  </si>
  <si>
    <t>aCP</t>
  </si>
  <si>
    <t>w0CD</t>
  </si>
  <si>
    <t>w0CS</t>
  </si>
  <si>
    <t>w0CA</t>
  </si>
  <si>
    <t>w0CP</t>
  </si>
  <si>
    <t>w1CD</t>
  </si>
  <si>
    <t>w1CS</t>
  </si>
  <si>
    <t>w1CA</t>
  </si>
  <si>
    <t>w1CP</t>
  </si>
  <si>
    <t>w2CD</t>
  </si>
  <si>
    <t>w2CS</t>
  </si>
  <si>
    <t>w2CA</t>
  </si>
  <si>
    <t>w2CP</t>
  </si>
  <si>
    <t>sd1CD</t>
  </si>
  <si>
    <t>sd1CS</t>
  </si>
  <si>
    <t>sd1CA</t>
  </si>
  <si>
    <t>sd1CP</t>
  </si>
  <si>
    <t>sd2CD</t>
  </si>
  <si>
    <t>sd2CS</t>
  </si>
  <si>
    <t>sd2CA</t>
  </si>
  <si>
    <t>sd2CP</t>
  </si>
  <si>
    <t>s1CD</t>
  </si>
  <si>
    <t>s1CS</t>
  </si>
  <si>
    <t>s1CA</t>
  </si>
  <si>
    <t>s1CP</t>
  </si>
  <si>
    <t>s2CD</t>
  </si>
  <si>
    <t>s2CS</t>
  </si>
  <si>
    <t>s2CA</t>
  </si>
  <si>
    <t>s2CP</t>
  </si>
  <si>
    <t>s3CD</t>
  </si>
  <si>
    <t>s3CS</t>
  </si>
  <si>
    <t>s3CA</t>
  </si>
  <si>
    <t>s3CP</t>
  </si>
  <si>
    <t>aMG</t>
  </si>
  <si>
    <t>aMS</t>
  </si>
  <si>
    <t>aMA</t>
  </si>
  <si>
    <t>aMP</t>
  </si>
  <si>
    <t>w2MD</t>
  </si>
  <si>
    <t>w2MS</t>
  </si>
  <si>
    <t>w2MA</t>
  </si>
  <si>
    <t>w2MP</t>
  </si>
  <si>
    <t>w3MD</t>
  </si>
  <si>
    <t>w3MS</t>
  </si>
  <si>
    <t>w3MA</t>
  </si>
  <si>
    <t>w3MP</t>
  </si>
  <si>
    <t>sdMD</t>
  </si>
  <si>
    <t>sdMS</t>
  </si>
  <si>
    <t>sdMA</t>
  </si>
  <si>
    <t>sdMP</t>
  </si>
  <si>
    <t>sMD</t>
  </si>
  <si>
    <t>sMS</t>
  </si>
  <si>
    <t>sMA</t>
  </si>
  <si>
    <t>sMP</t>
  </si>
  <si>
    <t>aAG</t>
  </si>
  <si>
    <t>aAS</t>
  </si>
  <si>
    <t>aAA</t>
  </si>
  <si>
    <t>aAP</t>
  </si>
  <si>
    <t>w2AD</t>
  </si>
  <si>
    <t>w2AS</t>
  </si>
  <si>
    <t>w2AA</t>
  </si>
  <si>
    <t>w2AP</t>
  </si>
  <si>
    <t>w3AD</t>
  </si>
  <si>
    <t>w3AS</t>
  </si>
  <si>
    <t>w3AA</t>
  </si>
  <si>
    <t>w3AP</t>
  </si>
  <si>
    <t>sdAD</t>
  </si>
  <si>
    <t>sdAS</t>
  </si>
  <si>
    <t>sdAA</t>
  </si>
  <si>
    <t>sdAP</t>
  </si>
  <si>
    <t>sAD</t>
  </si>
  <si>
    <t>sAS</t>
  </si>
  <si>
    <t>sAA</t>
  </si>
  <si>
    <t>sAP</t>
  </si>
  <si>
    <t>aTG</t>
  </si>
  <si>
    <t>aTS</t>
  </si>
  <si>
    <t>aTA</t>
  </si>
  <si>
    <t>aTP</t>
  </si>
  <si>
    <t>w2TD</t>
  </si>
  <si>
    <t>w2TS</t>
  </si>
  <si>
    <t>w2TA</t>
  </si>
  <si>
    <t>w2TP</t>
  </si>
  <si>
    <t>w3TD</t>
  </si>
  <si>
    <t>w3TS</t>
  </si>
  <si>
    <t>w3TA</t>
  </si>
  <si>
    <t>w3TP</t>
  </si>
  <si>
    <t>sdTD</t>
  </si>
  <si>
    <t>sdTS</t>
  </si>
  <si>
    <t>sdTA</t>
  </si>
  <si>
    <t>sdTP</t>
  </si>
  <si>
    <t>sTD</t>
  </si>
  <si>
    <t>sTS</t>
  </si>
  <si>
    <t>sTA</t>
  </si>
  <si>
    <t>sTP</t>
  </si>
  <si>
    <t>SUBSTANCES DATABASE</t>
  </si>
  <si>
    <t>Nr</t>
  </si>
  <si>
    <t>Name</t>
  </si>
  <si>
    <t>CAS</t>
  </si>
  <si>
    <t>Kaw</t>
  </si>
  <si>
    <t>Ksw</t>
  </si>
  <si>
    <t>Kp(col)</t>
  </si>
  <si>
    <t>Kp(susp)</t>
  </si>
  <si>
    <t>Kp(sed)</t>
  </si>
  <si>
    <t>Kp(soil)</t>
  </si>
  <si>
    <t>kdegG.air</t>
  </si>
  <si>
    <t>kdegD.water</t>
  </si>
  <si>
    <t>kdegD.sed</t>
  </si>
  <si>
    <t>kdegD.soil</t>
  </si>
  <si>
    <t>mu(logEC50)</t>
  </si>
  <si>
    <t>sd(logEC50)</t>
  </si>
  <si>
    <t>Use</t>
  </si>
  <si>
    <t>EF(air)</t>
  </si>
  <si>
    <t>EF(water)</t>
  </si>
  <si>
    <t>EF(soil)</t>
  </si>
  <si>
    <r>
      <t>g.mol</t>
    </r>
    <r>
      <rPr>
        <vertAlign val="superscript"/>
        <sz val="10"/>
        <rFont val="Calibri"/>
        <family val="2"/>
      </rPr>
      <t>-1</t>
    </r>
  </si>
  <si>
    <r>
      <t>mg.L</t>
    </r>
    <r>
      <rPr>
        <vertAlign val="superscript"/>
        <sz val="10"/>
        <rFont val="Calibri"/>
        <family val="2"/>
      </rPr>
      <t>-1</t>
    </r>
  </si>
  <si>
    <r>
      <t>t.yr</t>
    </r>
    <r>
      <rPr>
        <vertAlign val="superscript"/>
        <sz val="10"/>
        <rFont val="Calibri"/>
        <family val="2"/>
      </rPr>
      <t>-1</t>
    </r>
  </si>
  <si>
    <t>neutral</t>
  </si>
  <si>
    <t/>
  </si>
  <si>
    <t>neutral organic</t>
  </si>
  <si>
    <t>organic acid</t>
  </si>
  <si>
    <t>acid</t>
  </si>
  <si>
    <t>organic base</t>
  </si>
  <si>
    <t>base</t>
  </si>
  <si>
    <t>trace metal</t>
  </si>
  <si>
    <t>metal</t>
  </si>
  <si>
    <t>microplastic</t>
  </si>
  <si>
    <t>median substance SimpleBox vs 3</t>
  </si>
  <si>
    <t>nTiO2_NanoFase_D2_5</t>
  </si>
  <si>
    <t>Particle</t>
  </si>
  <si>
    <t>nTiO2_P25_CaLIBRAte_D6_3</t>
  </si>
  <si>
    <t>nAg_NanoFase</t>
  </si>
  <si>
    <t>7440-22-4</t>
  </si>
  <si>
    <t>nZnO</t>
  </si>
  <si>
    <t>nC60_10nm</t>
  </si>
  <si>
    <t>nAg_10nm</t>
  </si>
  <si>
    <t>nTiO2_10nm</t>
  </si>
  <si>
    <t>Ag(I)</t>
  </si>
  <si>
    <t>Al(III)</t>
  </si>
  <si>
    <t>7429-90-5</t>
  </si>
  <si>
    <t>As(III)</t>
  </si>
  <si>
    <t>7440-38-2</t>
  </si>
  <si>
    <t>As(V)</t>
  </si>
  <si>
    <t>Ba(II)</t>
  </si>
  <si>
    <t>7440-39-3</t>
  </si>
  <si>
    <t>Be(II)</t>
  </si>
  <si>
    <t>7440-41-7</t>
  </si>
  <si>
    <t>Cd(II)</t>
  </si>
  <si>
    <t>7440-43-9</t>
  </si>
  <si>
    <t>Co(II)</t>
  </si>
  <si>
    <t>7440-48-4</t>
  </si>
  <si>
    <t>Cr(III)</t>
  </si>
  <si>
    <t>16065-83-1</t>
  </si>
  <si>
    <t>Cr(VI)</t>
  </si>
  <si>
    <t>18540-29-9</t>
  </si>
  <si>
    <t>Cs(I)</t>
  </si>
  <si>
    <t>7440-46-2</t>
  </si>
  <si>
    <t>Cu(II)</t>
  </si>
  <si>
    <t>7440-50-8</t>
  </si>
  <si>
    <t>Fe(II)</t>
  </si>
  <si>
    <t>7439-89-6</t>
  </si>
  <si>
    <t>Fe(III)</t>
  </si>
  <si>
    <t>Hg(II)</t>
  </si>
  <si>
    <t>7439-97-6</t>
  </si>
  <si>
    <t>Mn(II)</t>
  </si>
  <si>
    <t>7439-96-5</t>
  </si>
  <si>
    <t>Mo(VI)</t>
  </si>
  <si>
    <t>7439-98-7</t>
  </si>
  <si>
    <t>Ni(II)</t>
  </si>
  <si>
    <t>7440-02-0</t>
  </si>
  <si>
    <t>Pb(II)</t>
  </si>
  <si>
    <t>7439-92-1</t>
  </si>
  <si>
    <t>Sb(III)</t>
  </si>
  <si>
    <t>7440-36-0</t>
  </si>
  <si>
    <t>Sb(V)</t>
  </si>
  <si>
    <t>Se(IV)</t>
  </si>
  <si>
    <t>7782-49-2</t>
  </si>
  <si>
    <t>Sn(II)</t>
  </si>
  <si>
    <t>7440-31-5</t>
  </si>
  <si>
    <t>Sr(II)</t>
  </si>
  <si>
    <t>7440-24-6</t>
  </si>
  <si>
    <t>Tl(I)</t>
  </si>
  <si>
    <t>7791-12-0</t>
  </si>
  <si>
    <t>V(V)</t>
  </si>
  <si>
    <t>1314-62-1</t>
  </si>
  <si>
    <t>Zn(II)</t>
  </si>
  <si>
    <t>7440-66-6</t>
  </si>
  <si>
    <t>SCENARIOS DATABASE</t>
  </si>
  <si>
    <t>current settings</t>
  </si>
  <si>
    <t>EUSES settings</t>
  </si>
  <si>
    <t>Meesters etal 2016 mean/mode</t>
  </si>
  <si>
    <t>Thames Catchment 2000</t>
  </si>
  <si>
    <t>+ Meesters 2016</t>
  </si>
  <si>
    <t>Thames Catchment 2015</t>
  </si>
  <si>
    <t>nTiO2_P25_CaLIBRATE_D6_4</t>
  </si>
  <si>
    <t>nC60-10nm-realistic2012</t>
  </si>
  <si>
    <t>nC60-10nm-hypotehtical</t>
  </si>
  <si>
    <t>nTiO2-10nm-realistic</t>
  </si>
  <si>
    <t>nAg-10nm-realistic</t>
  </si>
  <si>
    <t>Solid species ENPs (S)</t>
  </si>
  <si>
    <t>EMISSION to fresh water</t>
  </si>
  <si>
    <t>EMISSION to sea water</t>
  </si>
  <si>
    <t>[t.yr-1]</t>
  </si>
  <si>
    <t>EMISSION to water0</t>
  </si>
  <si>
    <t>EMISSION to water1</t>
  </si>
  <si>
    <t>EMISSION to water2</t>
  </si>
  <si>
    <t>LANSCAPE SETTINGS</t>
  </si>
  <si>
    <t>[km2]</t>
  </si>
  <si>
    <t>[oC]</t>
  </si>
  <si>
    <t>mm.yr-1</t>
  </si>
  <si>
    <t>ARCHIVE of PREVIOUSLY STUDIED CASES</t>
  </si>
  <si>
    <t>Single comp at R scale</t>
  </si>
  <si>
    <t>Thames 2000</t>
  </si>
  <si>
    <t>Thames 2015</t>
  </si>
  <si>
    <t>CaLIBRAte nTiO2 p25 case</t>
  </si>
  <si>
    <t>Heteroagglomerates:</t>
  </si>
  <si>
    <t>Variable name</t>
  </si>
  <si>
    <t>Formula/value</t>
  </si>
  <si>
    <t>ADSORBflow.w1C.sd1C</t>
  </si>
  <si>
    <t>ADSORBflow.w1R.sd1R</t>
  </si>
  <si>
    <t>ADSORBflow.w2C.sd2C</t>
  </si>
  <si>
    <t>ADSORBflow.w2R.sd2R</t>
  </si>
  <si>
    <t>ADSORBflow.w3A.sdA</t>
  </si>
  <si>
    <t>ADSORBflow.w3M.sdM</t>
  </si>
  <si>
    <t>ADSORBflow.w3T.sdT</t>
  </si>
  <si>
    <t>AIRflow.aA.aM</t>
  </si>
  <si>
    <t>AIRflow.aC.aM</t>
  </si>
  <si>
    <t>AIRflow.aC.aR</t>
  </si>
  <si>
    <t>AIRflow.aM.aA</t>
  </si>
  <si>
    <t>AIRflow.aM.aC</t>
  </si>
  <si>
    <t>AIRflow.aM.aT</t>
  </si>
  <si>
    <t>AIRflow.aR.aC</t>
  </si>
  <si>
    <t>AIRflow.aT.aM</t>
  </si>
  <si>
    <t>BURIALflow.sd1C</t>
  </si>
  <si>
    <t>BURIALflow.sd1R</t>
  </si>
  <si>
    <t>BURIALflow.sd2C</t>
  </si>
  <si>
    <t>BURIALflow.sd2R</t>
  </si>
  <si>
    <t>BURIALflow.sdA</t>
  </si>
  <si>
    <t>BURIALflow.sdM</t>
  </si>
  <si>
    <t>BURIALflow.sdT</t>
  </si>
  <si>
    <t>=(CORRvolat.s1C*SURFfrac.s1C)+((EXP((-1/0,1)*DEPTHsubsurf.s1C)*(1/0,1)*DEPTH.s1C/(1-EXP((-1/0,1)*DEPTH.s1C)))*SUBSURFfrac.s1C)+((EXP((-1/0,1)*DEPTHdrain.s1C)*(1/0,1)*DEPTH.s1C/(1-EXP((-1/0,1)*DEPTH.s1C)))*DRAINfrac.s1C)</t>
  </si>
  <si>
    <t>=(CORRvolat.s1R*SURFfrac.s1R)+((EXP((-1/0,1)*DEPTHsubsurf.s1R)*(1/0,1)*DEPTH.s1R/(1-EXP((-1/0,1)*DEPTH.s1R)))*SUBSURFfrac.s1R)+((EXP((-1/0,1)*DEPTHdrain.s1R)*(1/0,1)*DEPTH.s1R/(1-EXP((-1/0,1)*DEPTH.s1R)))*DRAINfrac.s1R)</t>
  </si>
  <si>
    <t>=(CORRvolat.s2C*SURFfrac.s2C)+((EXP((-1/0,1)*DEPTHsubsurf.s2C)*(1/0,1)*DEPTH.s2C/(1-EXP((-1/0,1)*DEPTH.s2C)))*SUBSURFfrac.s2C)+((EXP((-1/0,1)*DEPTHdrain.s2C)*(1/0,1)*DEPTH.s2C/(1-EXP((-1/0,1)*DEPTH.s2C)))*DRAINfrac.s2C)</t>
  </si>
  <si>
    <t>=(CORRvolat.s2R*SURFfrac.s2R)+((EXP((-1/0,1)*DEPTHsubsurf.s2R)*(1/0,1)*DEPTH.s2R/(1-EXP((-1/0,1)*DEPTH.s2R)))*SUBSURFfrac.s2R)+((EXP((-1/0,1)*DEPTHdrain.s2R)*(1/0,1)*DEPTH.s2R/(1-EXP((-1/0,1)*DEPTH.s2R)))*DRAINfrac.s2R)</t>
  </si>
  <si>
    <t>=(CORRvolat.s3C*SURFfrac.s3C)+((EXP((-1/0,1)*DEPTHsubsurf.s3C)*(1/0,1)*DEPTH.s3C/(1-EXP((-1/0,1)*DEPTH.s3C)))*SUBSURFfrac.s3C)+((EXP((-1/0,1)*DEPTHdrain.s3C)*(1/0,1)*DEPTH.s3C/(1-EXP((-1/0,1)*DEPTH.s3C)))*DRAINfrac.s3C)</t>
  </si>
  <si>
    <t>=(CORRvolat.s3R*SURFfrac.s3R)+((EXP((-1/0,1)*DEPTHsubsurf.s3R)*(1/0,1)*DEPTH.s3R/(1-EXP((-1/0,1)*DEPTH.s3R)))*SUBSURFfrac.s3R)+((EXP((-1/0,1)*DEPTHdrain.s3R)*(1/0,1)*DEPTH.s3R/(1-EXP((-1/0,1)*DEPTH.s3R)))*DRAINfrac.s3R)</t>
  </si>
  <si>
    <t>=IF(ChemClass="Acid";1/(1+10^(7-pKa));IF(ChemClass="Base";1/(1+10^(pKa-7));1))*Kow + (1-IF(ChemClass="Acid";1/(1+10^(7-pKa));IF(ChemClass="Base";1/(1+10^(pKa-7));1)))*Kow.alt</t>
  </si>
  <si>
    <t>DEPflow.aA.sA</t>
  </si>
  <si>
    <t>DEPflow.aA.w2A</t>
  </si>
  <si>
    <t>DEPflow.aC.s1C</t>
  </si>
  <si>
    <t>DEPflow.aC.s2C</t>
  </si>
  <si>
    <t>DEPflow.aC.s3C</t>
  </si>
  <si>
    <t>DEPflow.aC.w0C</t>
  </si>
  <si>
    <t>DEPflow.aC.w1C</t>
  </si>
  <si>
    <t>DEPflow.aC.w2C</t>
  </si>
  <si>
    <t>DEPflow.aM.sM</t>
  </si>
  <si>
    <t>DEPflow.aM.w2M</t>
  </si>
  <si>
    <t>DEPflow.aR.s1R</t>
  </si>
  <si>
    <t>DEPflow.aR.s2R</t>
  </si>
  <si>
    <t>DEPflow.aR.s3R</t>
  </si>
  <si>
    <t>DEPflow.aR.w0R</t>
  </si>
  <si>
    <t>DEPflow.aR.w1R</t>
  </si>
  <si>
    <t>DEPflow.aR.w2R</t>
  </si>
  <si>
    <t>DEPflow.aT.sT</t>
  </si>
  <si>
    <t>DEPflow.aT.w2T</t>
  </si>
  <si>
    <t>DEPTHdrain.s1C</t>
  </si>
  <si>
    <t>DEPTHdrain.s1R</t>
  </si>
  <si>
    <t>DEPTHdrain.s2C</t>
  </si>
  <si>
    <t>DEPTHdrain.s2R</t>
  </si>
  <si>
    <t>DEPTHdrain.s3C</t>
  </si>
  <si>
    <t>DEPTHdrain.s3R</t>
  </si>
  <si>
    <t>DEPTHsubsurf.s1C</t>
  </si>
  <si>
    <t>DEPTHsubsurf.s1R</t>
  </si>
  <si>
    <t>DEPTHsubsurf.s2C</t>
  </si>
  <si>
    <t>DEPTHsubsurf.s2R</t>
  </si>
  <si>
    <t>DEPTHsubsurf.s3C</t>
  </si>
  <si>
    <t>DEPTHsubsurf.s3R</t>
  </si>
  <si>
    <t>DEPTHsubsurf.sA</t>
  </si>
  <si>
    <t>DEPTHsubsurf.sM</t>
  </si>
  <si>
    <t>DEPTHsubsurf.sT</t>
  </si>
  <si>
    <t>DESORBflow.sd1C.w1C</t>
  </si>
  <si>
    <t>DESORBflow.sd1R.w1R</t>
  </si>
  <si>
    <t>DESORBflow.sd2C.w2C</t>
  </si>
  <si>
    <t>DESORBflow.sd2R.w2R</t>
  </si>
  <si>
    <t>DESORBflow.sdA.w3A</t>
  </si>
  <si>
    <t>DESORBflow.sdM.w3M</t>
  </si>
  <si>
    <t>DESORBflow.sdT.w3T</t>
  </si>
  <si>
    <t>DRAINfrac.s1C</t>
  </si>
  <si>
    <t>DRAINfrac.s1R</t>
  </si>
  <si>
    <t>DRAINfrac.s2C</t>
  </si>
  <si>
    <t>DRAINfrac.s2R</t>
  </si>
  <si>
    <t>DRAINfrac.s3C</t>
  </si>
  <si>
    <t>DRAINfrac.s3R</t>
  </si>
  <si>
    <t>E.aA</t>
  </si>
  <si>
    <t>E.aC</t>
  </si>
  <si>
    <t>E.aM</t>
  </si>
  <si>
    <t>E.aR</t>
  </si>
  <si>
    <t>E.aT</t>
  </si>
  <si>
    <t>E.s1C</t>
  </si>
  <si>
    <t>E.s1R</t>
  </si>
  <si>
    <t>E.s2C</t>
  </si>
  <si>
    <t>E.s2R</t>
  </si>
  <si>
    <t>E.s3C</t>
  </si>
  <si>
    <t>E.s3R</t>
  </si>
  <si>
    <t>E.sA</t>
  </si>
  <si>
    <t>E.sM</t>
  </si>
  <si>
    <t>E.sT</t>
  </si>
  <si>
    <t>E.w1C</t>
  </si>
  <si>
    <t>E.w1R</t>
  </si>
  <si>
    <t>E.w2A</t>
  </si>
  <si>
    <t>E.w2C</t>
  </si>
  <si>
    <t>E.w2M</t>
  </si>
  <si>
    <t>E.w2R</t>
  </si>
  <si>
    <t>E.w2T</t>
  </si>
  <si>
    <r>
      <t>FRAC</t>
    </r>
    <r>
      <rPr>
        <sz val="10"/>
        <rFont val="Calibri"/>
        <family val="2"/>
      </rPr>
      <t>aers.aR</t>
    </r>
  </si>
  <si>
    <t>=IF(ChemClass="neutral"; (SURFaerosol.A*JungeConst)/(PLT.A+(SURFaerosol.A*JungeConst));FRACaers.aA *Kaers.aA/(1+FRACaerw.aA*Kaerw.aA+FRACaers.aA*Kaers.aA+FRACcldw.aA*Kcldw.aA))</t>
  </si>
  <si>
    <t>=IF(ChemClass="neutral"; (SURFaerosol.C*JungeConst)/(PLT.C+(SURFaerosol.C*JungeConst));FRACaers.aC *Kaers.aC/(1+FRACaerw.aC*Kaerw.aC+FRACaers.aC*Kaers.aC+FRACcldw.aC*Kcldw.aC))</t>
  </si>
  <si>
    <t>=IF(ChemClass="neutral"; (SURFaerosol.M*JungeConst)/(PLT.M+(SURFaerosol.M*JungeConst));FRACaers.aM *Kaers.aM/(1+FRACaerw.aM*Kaerw.aM+FRACaers.aM*Kaers.aM+FRACcldw.aM*Kcldw.aM))</t>
  </si>
  <si>
    <t>=IF(ChemClass="neutral"; (SURFaerosol.R*JungeConst)/(PLT.R+(SURFaerosol.R*JungeConst)); FRACaers.aR*Kaers.aR/(1+FRACaerw.aR*Kaerw.aR+FRACaers.aR*Kaers.aR+FRACcldw.aR*Kcldw.aR) )</t>
  </si>
  <si>
    <t>=IF(ChemClass="neutral"; (SURFaerosol.T*JungeConst)/(PLT.T+(SURFaerosol.T*JungeConst));FRACaers.aT *Kaers.aT/(1+FRACaerw.aT*Kaerw.aT+FRACaers.aT*Kaers.aT+FRACcldw.aT*Kcldw.aT))</t>
  </si>
  <si>
    <t>FRcldw.aA</t>
  </si>
  <si>
    <t>FRcldw.aC</t>
  </si>
  <si>
    <t>FRcldw.aM</t>
  </si>
  <si>
    <t>FRcldw.aR</t>
  </si>
  <si>
    <t>FRcldw.aT</t>
  </si>
  <si>
    <t>FRw.s1R</t>
  </si>
  <si>
    <t>FRw.s2R</t>
  </si>
  <si>
    <t>FRw.s3R</t>
  </si>
  <si>
    <t>FRw.w0R</t>
  </si>
  <si>
    <t>FRw.w1R</t>
  </si>
  <si>
    <t>FRw.w2R</t>
  </si>
  <si>
    <t>GASABSflow.aA.sA</t>
  </si>
  <si>
    <t>GASABSflow.aA.w2A</t>
  </si>
  <si>
    <t>GASABSflow.aC.s1C</t>
  </si>
  <si>
    <t>GASABSflow.aC.s2C</t>
  </si>
  <si>
    <t>GASABSflow.aC.s3C</t>
  </si>
  <si>
    <t>GASABSflow.aC.w0C</t>
  </si>
  <si>
    <t>GASABSflow.aC.w1C</t>
  </si>
  <si>
    <t>GASABSflow.aC.w2C</t>
  </si>
  <si>
    <t>GASABSflow.aM.sM</t>
  </si>
  <si>
    <t>GASABSflow.aM.w2M</t>
  </si>
  <si>
    <t>GASABSflow.aR.s1R</t>
  </si>
  <si>
    <t>GASABSflow.aR.s2R</t>
  </si>
  <si>
    <t>GASABSflow.aR.s3R</t>
  </si>
  <si>
    <t>GASABSflow.aR.w0R</t>
  </si>
  <si>
    <t>GASABSflow.aR.w1R</t>
  </si>
  <si>
    <t>GASABSflow.aR.w2R</t>
  </si>
  <si>
    <t>GASABSflow.aT.sT</t>
  </si>
  <si>
    <t>GASABSflow.aT.w2T</t>
  </si>
  <si>
    <t>GasWashout.R</t>
  </si>
  <si>
    <t>JungeConst</t>
  </si>
  <si>
    <t>[Pa.m]</t>
  </si>
  <si>
    <t>k.aA</t>
  </si>
  <si>
    <t>k.aA.sA</t>
  </si>
  <si>
    <t>k.aA.w2A</t>
  </si>
  <si>
    <t>k.aC.s1C</t>
  </si>
  <si>
    <t>k.aC.s2C</t>
  </si>
  <si>
    <t>k.aC.s3C</t>
  </si>
  <si>
    <t>k.aC.w0C</t>
  </si>
  <si>
    <t>k.aC.w1C</t>
  </si>
  <si>
    <t>k.aC.w2C</t>
  </si>
  <si>
    <t>k.aM</t>
  </si>
  <si>
    <t>k.aM.sM</t>
  </si>
  <si>
    <t>k.aM.w2M</t>
  </si>
  <si>
    <t>k.aR</t>
  </si>
  <si>
    <t>k.aR.s1R</t>
  </si>
  <si>
    <t>k.aR.s2R</t>
  </si>
  <si>
    <t>k.aR.s3R</t>
  </si>
  <si>
    <t>k.aR.w0R</t>
  </si>
  <si>
    <t>k.aR.w1R</t>
  </si>
  <si>
    <t>k.aR.w2R</t>
  </si>
  <si>
    <t>k.aT</t>
  </si>
  <si>
    <t>k.aT.sT</t>
  </si>
  <si>
    <t>k.aT.w2T</t>
  </si>
  <si>
    <t>k.s1C.aC</t>
  </si>
  <si>
    <t>k.s1R</t>
  </si>
  <si>
    <t>k.s1R.aR</t>
  </si>
  <si>
    <t>k.s1R.w1R</t>
  </si>
  <si>
    <t>k.s2C.aC</t>
  </si>
  <si>
    <t>k.s2R</t>
  </si>
  <si>
    <t>k.s2R.aR</t>
  </si>
  <si>
    <t>k.s2R.w1R</t>
  </si>
  <si>
    <t>k.s3C.aC</t>
  </si>
  <si>
    <t>k.s3R</t>
  </si>
  <si>
    <t>k.s3R.aR</t>
  </si>
  <si>
    <t>k.s3R.w1R</t>
  </si>
  <si>
    <t>k.sA</t>
  </si>
  <si>
    <t>k.sA.aA</t>
  </si>
  <si>
    <t>k.sA.w2A</t>
  </si>
  <si>
    <t>k.sd1C.w1C</t>
  </si>
  <si>
    <t>k.sd1R</t>
  </si>
  <si>
    <t>k.sd1R.w1R</t>
  </si>
  <si>
    <t>k.sd2C.w2C</t>
  </si>
  <si>
    <t>k.sd2R</t>
  </si>
  <si>
    <t>k.sd2R.w2R</t>
  </si>
  <si>
    <t>k.sdA</t>
  </si>
  <si>
    <t>k.sdA.w3A</t>
  </si>
  <si>
    <t>k.sdM</t>
  </si>
  <si>
    <t>k.sdM.w3M</t>
  </si>
  <si>
    <t>k.sdT</t>
  </si>
  <si>
    <t>k.sdT.w3T</t>
  </si>
  <si>
    <t>k.sM</t>
  </si>
  <si>
    <t>k.sM.aM</t>
  </si>
  <si>
    <t>k.sM.w2M</t>
  </si>
  <si>
    <t>k.sT</t>
  </si>
  <si>
    <t>k.sT.aT</t>
  </si>
  <si>
    <t>k.sT.w2T</t>
  </si>
  <si>
    <t>k.w0C.aC</t>
  </si>
  <si>
    <t>k.w0R</t>
  </si>
  <si>
    <t>k.w0R.aR</t>
  </si>
  <si>
    <t>k.w1C.aC</t>
  </si>
  <si>
    <t>k.w1C.sd1C</t>
  </si>
  <si>
    <t>k.w1R</t>
  </si>
  <si>
    <t>k.w1R.aR</t>
  </si>
  <si>
    <t>k.w1R.sd1R</t>
  </si>
  <si>
    <t>k.w2A</t>
  </si>
  <si>
    <t>k.w2A.aA</t>
  </si>
  <si>
    <t>k.w2C.aC</t>
  </si>
  <si>
    <t>k.w2C.sd2C</t>
  </si>
  <si>
    <t>k.w2M</t>
  </si>
  <si>
    <t>k.w2M.aM</t>
  </si>
  <si>
    <t>k.w2R</t>
  </si>
  <si>
    <t>k.w2R.aR</t>
  </si>
  <si>
    <t>k.w2R.sd2R</t>
  </si>
  <si>
    <t>k.w2T</t>
  </si>
  <si>
    <t>k.w2T.aT</t>
  </si>
  <si>
    <t>k.w3A</t>
  </si>
  <si>
    <t>k.w3A.sdA</t>
  </si>
  <si>
    <t>k.w3M</t>
  </si>
  <si>
    <t>k.w3M.sdM</t>
  </si>
  <si>
    <t>k.w3T</t>
  </si>
  <si>
    <t>k.w3T.sdT</t>
  </si>
  <si>
    <r>
      <t>K</t>
    </r>
    <r>
      <rPr>
        <sz val="10"/>
        <rFont val="Calibri"/>
        <family val="2"/>
      </rPr>
      <t>aw.R</t>
    </r>
  </si>
  <si>
    <t>Kcldw.aA</t>
  </si>
  <si>
    <r>
      <t>[m</t>
    </r>
    <r>
      <rPr>
        <vertAlign val="superscript"/>
        <sz val="10"/>
        <rFont val="Calibri"/>
        <family val="2"/>
      </rPr>
      <t>3</t>
    </r>
    <r>
      <rPr>
        <vertAlign val="subscript"/>
        <sz val="10"/>
        <rFont val="Calibri"/>
        <family val="2"/>
      </rPr>
      <t xml:space="preserve">a </t>
    </r>
    <r>
      <rPr>
        <sz val="10"/>
        <rFont val="Calibri"/>
        <family val="2"/>
      </rPr>
      <t>m</t>
    </r>
    <r>
      <rPr>
        <vertAlign val="superscript"/>
        <sz val="10"/>
        <rFont val="Calibri"/>
        <family val="2"/>
      </rPr>
      <t>-3</t>
    </r>
    <r>
      <rPr>
        <vertAlign val="subscript"/>
        <sz val="10"/>
        <rFont val="Calibri"/>
        <family val="2"/>
      </rPr>
      <t>w</t>
    </r>
    <r>
      <rPr>
        <sz val="10"/>
        <rFont val="Calibri"/>
        <family val="2"/>
      </rPr>
      <t>]</t>
    </r>
  </si>
  <si>
    <t>Kcldw.aC</t>
  </si>
  <si>
    <t>Kcldw.aM</t>
  </si>
  <si>
    <t>Kcldw.aR</t>
  </si>
  <si>
    <t>Kcldw.aT</t>
  </si>
  <si>
    <t>kdeg.sed</t>
  </si>
  <si>
    <t>=0,1*Q.10^(13/10)*LN(2)/IF(Biodeg="r";IF(Ksw/(CORG*RHOsolid/1000)&lt;=100;30;IF(Ksw/(CORG*RHOsolid/1000)&lt;=1000;300;IF(Ksw/(CORG*RHOsolid/1000)&lt;=10000;3000;30000)));IF(Biodeg="r-";IF(Ksw/(CORG*RHOsolid/1000)&lt;=100;90;IF(Ksw/(CORG*RHOsolid/1000)&lt;=1000;900;IF(Ksw/(CORG*RHOsolid/1000)&lt;=10000;9000;90000)));IF(Ksw/(CORG*RHOsolid/1000)&lt;=100;300;IF(Ksw/(CORG*RHOsolid/1000)&lt;=1000;3000;30000))))/(3600*24)</t>
  </si>
  <si>
    <t>kdeg.soil</t>
  </si>
  <si>
    <t>=Q.10^(13/10)*LN(2)/IF(Biodeg="r";IF(Ksw/(CORG*RHOsolid/1000)&lt;=100;30;IF(Ksw/(CORG*RHOsolid/1000)&lt;=1000;300;IF(Ksw/(CORG*RHOsolid/1000)&lt;=10000;3000;30000)));IF(Biodeg="r-";IF(Ksw/(CORG*RHOsolid/1000)&lt;=100;90;IF(Ksw/(CORG*RHOsolid/1000)&lt;=1000;900;IF(Ksw/(CORG*RHOsolid/1000)&lt;=10000;9000;90000)));IF(Ksw/(CORG*RHOsolid/1000)&lt;=100;300;IF(Ksw/(CORG*RHOsolid/1000)&lt;=1000;3000;30000))))/(3600*24)</t>
  </si>
  <si>
    <t>kdeg.water</t>
  </si>
  <si>
    <t>kdep.A</t>
  </si>
  <si>
    <t>=((1/kdry.A)*tdry.A/(tdry.A+twet.A)+(1/kwet.A)*twet.A/(tdry.A+twet.A)-((1/kwet.A-1/kdry.A)^2/(tdry.A+twet.A))*(1-EXP(-kdry.A*tdry.A))*(1-EXP(-kwet.A*twet.A))/(1-EXP(-kdry.A*tdry.A-kwet.A*twet.A)))^-1</t>
  </si>
  <si>
    <t>kdep.C</t>
  </si>
  <si>
    <t>=((1/kdry.C)*tdry.C/(tdry.C+twet.C)+(1/kwet.C)*twet.C/(tdry.C+twet.C)-((1/kwet.C-1/kdry.C)^2/(tdry.C+twet.C))*(1-EXP(-kdry.C*tdry.C))*(1-EXP(-kwet.C*twet.C))/(1-EXP(-kdry.C*tdry.C-kwet.C*twet.C)))^-1</t>
  </si>
  <si>
    <t>kdep.M</t>
  </si>
  <si>
    <t>=((1/kdry.M)*tdry.M/(tdry.M+twet.M)+(1/kwet.M)*twet.M/(tdry.M+twet.M)-((1/kwet.M-1/kdry.M)^2/(tdry.M+twet.M))*(1-EXP(-kdry.M*tdry.M))*(1-EXP(-kwet.M*twet.M))/(1-EXP(-kdry.M*tdry.M-kwet.M*twet.M)))^-1</t>
  </si>
  <si>
    <t>kdep.R</t>
  </si>
  <si>
    <t>=((1/kdry.R)*tdry.R/(tdry.R+twet.R)+(1/kwet.R)*twet.R/(tdry.R+twet.R)-((1/kwet.R-1/kdry.R)^2/(tdry.R+twet.R))*(1-EXP(-kdry.R*tdry.R))*(1-EXP(-kwet.R*twet.R))/(1-EXP(-kdry.R*tdry.R-kwet.R*twet.R)))^-1</t>
  </si>
  <si>
    <t>kdep.T</t>
  </si>
  <si>
    <t>=((1/kdry.T)*tdry.T/(tdry.T+twet.T)+(1/kwet.T)*twet.T/(tdry.T+twet.T)-((1/kwet.T-1/kdry.T)^2/(tdry.T+twet.T))*(1-EXP(-kdry.T*tdry.T))*(1-EXP(-kwet.T*twet.T))/(1-EXP(-kdry.T*tdry.T-kwet.T*twet.T)))^-1</t>
  </si>
  <si>
    <t>KDEPmean.A</t>
  </si>
  <si>
    <t>KDEPmean.C</t>
  </si>
  <si>
    <t>KDEPmean.M</t>
  </si>
  <si>
    <t>KDEPmean.R</t>
  </si>
  <si>
    <t>KDEPmean.T</t>
  </si>
  <si>
    <t>LEACHflow.s1C</t>
  </si>
  <si>
    <t>LEACHflow.s1R</t>
  </si>
  <si>
    <t>LEACHflow.s2C</t>
  </si>
  <si>
    <t>LEACHflow.s2R</t>
  </si>
  <si>
    <t>LEACHflow.s3C</t>
  </si>
  <si>
    <t>LEACHflow.s3R</t>
  </si>
  <si>
    <t>LEACHflow.sA</t>
  </si>
  <si>
    <t>LEACHflow.sM</t>
  </si>
  <si>
    <t>LEACHflow.sT</t>
  </si>
  <si>
    <r>
      <rPr>
        <sz val="10"/>
        <rFont val="Calibri"/>
        <family val="2"/>
      </rPr>
      <t>MTCas.air.aC</t>
    </r>
  </si>
  <si>
    <r>
      <rPr>
        <sz val="10"/>
        <rFont val="Calibri"/>
        <family val="2"/>
      </rPr>
      <t>MTCas.soil.sC</t>
    </r>
  </si>
  <si>
    <r>
      <rPr>
        <sz val="10"/>
        <rFont val="Calibri"/>
        <family val="2"/>
      </rPr>
      <t>MTCaw.air.aC</t>
    </r>
  </si>
  <si>
    <r>
      <rPr>
        <sz val="10"/>
        <rFont val="Calibri"/>
        <family val="2"/>
      </rPr>
      <t>MTCaw.water.wC</t>
    </r>
  </si>
  <si>
    <t>PLT.A</t>
  </si>
  <si>
    <t>PLT.C</t>
  </si>
  <si>
    <t>PLT.M</t>
  </si>
  <si>
    <t>PLT.R</t>
  </si>
  <si>
    <t>PLT.T</t>
  </si>
  <si>
    <t>=MEDIAN('C:\Users\schoorlm\AppData\Local\Microsoft\Windows\Temporary Internet Files\Content.IE5\LS6D56EK\[SimpleBox 3.99 marian 20140221.xls]substances'!$H$17:$H$283)</t>
  </si>
  <si>
    <t>RESUSPflow.sd1C.w1C</t>
  </si>
  <si>
    <t>RESUSPflow.sd1R.w1R</t>
  </si>
  <si>
    <t>RESUSPflow.sd2C.w2C</t>
  </si>
  <si>
    <t>RESUSPflow.sd2R.w2R</t>
  </si>
  <si>
    <t>RESUSPflow.sdA.w3A</t>
  </si>
  <si>
    <t>RESUSPflow.sdM.w3M</t>
  </si>
  <si>
    <t>RESUSPflow.sdT.w3T</t>
  </si>
  <si>
    <t>RESUSPrate.sd1C</t>
  </si>
  <si>
    <t>RESUSPrate.sd1R</t>
  </si>
  <si>
    <t>RESUSPrate.sd2C</t>
  </si>
  <si>
    <t>RESUSPrate.sd2R</t>
  </si>
  <si>
    <t>RESUSPrate.sdA</t>
  </si>
  <si>
    <t>RESUSPrate.sdM</t>
  </si>
  <si>
    <t>RESUSPrate.sdT</t>
  </si>
  <si>
    <t>RUNOFFflow.s1C.w1C</t>
  </si>
  <si>
    <t>RUNOFFflow.s1R.w1R</t>
  </si>
  <si>
    <t>RUNOFFflow.s2C.w1C</t>
  </si>
  <si>
    <t>RUNOFFflow.s2R.w1R</t>
  </si>
  <si>
    <t>RUNOFFflow.s3C.w1C</t>
  </si>
  <si>
    <t>RUNOFFflow.s3R.w1R</t>
  </si>
  <si>
    <t>RUNOFFflow.sA.w2A</t>
  </si>
  <si>
    <t>RUNOFFflow.sM.w2M</t>
  </si>
  <si>
    <t>RUNOFFflow.sT.w2T</t>
  </si>
  <si>
    <t>SEDflow.w1C.sd1C</t>
  </si>
  <si>
    <t>SEDflow.w1R.sd1R</t>
  </si>
  <si>
    <t>SEDflow.w2C.sd2C</t>
  </si>
  <si>
    <t>SEDflow.w2R.sd2R</t>
  </si>
  <si>
    <t>SEDflow.w3A.sdA</t>
  </si>
  <si>
    <t>SEDflow.w3M.sdM</t>
  </si>
  <si>
    <t>SEDflow.w3T.sdT</t>
  </si>
  <si>
    <t>SUBSURFfrac.s1C</t>
  </si>
  <si>
    <t>SUBSURFfrac.s1R</t>
  </si>
  <si>
    <t>SUBSURFfrac.s2C</t>
  </si>
  <si>
    <t>SUBSURFfrac.s2R</t>
  </si>
  <si>
    <t>SUBSURFfrac.s3 C</t>
  </si>
  <si>
    <t>SUBSURFfrac.s3R</t>
  </si>
  <si>
    <t>SUBSURFfrac.sA</t>
  </si>
  <si>
    <t>SUBSURFfrac.sM</t>
  </si>
  <si>
    <t>SUBSURFfrac.sT</t>
  </si>
  <si>
    <t>SURFaerosol.A</t>
  </si>
  <si>
    <r>
      <t>[m</t>
    </r>
    <r>
      <rPr>
        <vertAlign val="superscript"/>
        <sz val="10"/>
        <rFont val="Calibri"/>
        <family val="2"/>
      </rPr>
      <t>2.</t>
    </r>
    <r>
      <rPr>
        <sz val="10"/>
        <rFont val="Calibri"/>
        <family val="2"/>
      </rPr>
      <t>m</t>
    </r>
    <r>
      <rPr>
        <vertAlign val="superscript"/>
        <sz val="10"/>
        <rFont val="Calibri"/>
        <family val="2"/>
      </rPr>
      <t>-3</t>
    </r>
    <r>
      <rPr>
        <sz val="10"/>
        <rFont val="Calibri"/>
        <family val="2"/>
      </rPr>
      <t>]</t>
    </r>
  </si>
  <si>
    <t>SURFaerosol.C</t>
  </si>
  <si>
    <t>[m2.m-3]</t>
  </si>
  <si>
    <t>SURFaerosol.M</t>
  </si>
  <si>
    <t>SURFaerosol.R</t>
  </si>
  <si>
    <t>SURFaerosol.T</t>
  </si>
  <si>
    <t>SURFfrac.s1C</t>
  </si>
  <si>
    <t>SURFfrac.s1R</t>
  </si>
  <si>
    <t>SURFfrac.s2C</t>
  </si>
  <si>
    <t>SURFfrac.s2R</t>
  </si>
  <si>
    <t>SURFfrac.s3C</t>
  </si>
  <si>
    <t>SURFfrac.s3R</t>
  </si>
  <si>
    <t>SURFfrac.sA</t>
  </si>
  <si>
    <t>SURFfrac.sM</t>
  </si>
  <si>
    <t>SURFfrac.sT</t>
  </si>
  <si>
    <t>=MEDIAN('C:\Users\schoorlm\AppData\Local\Microsoft\Windows\Temporary Internet Files\Content.IE5\LS6D56EK\[SimpleBox 3.99 marian 20140221.xls]substances'!$G$17:$G$283)</t>
  </si>
  <si>
    <t>VOLATflow.s1C.aC</t>
  </si>
  <si>
    <t>VOLATflow.s1R.aR</t>
  </si>
  <si>
    <t>VOLATflow.s2C.aC</t>
  </si>
  <si>
    <t>VOLATflow.s2R.aR</t>
  </si>
  <si>
    <t>VOLATflow.s3C.aC</t>
  </si>
  <si>
    <t>VOLATflow.s3R.aR</t>
  </si>
  <si>
    <t>VOLATflow.sA.aA</t>
  </si>
  <si>
    <t>VOLATflow.sM.aM</t>
  </si>
  <si>
    <t>VOLATflow.sT.aT</t>
  </si>
  <si>
    <t>VOLATflow.w0C.aC</t>
  </si>
  <si>
    <t>VOLATflow.w0R.aR</t>
  </si>
  <si>
    <t>VOLATflow.w1C.aC</t>
  </si>
  <si>
    <t>VOLATflow.w1R.aR</t>
  </si>
  <si>
    <t>VOLATflow.w2A.aA</t>
  </si>
  <si>
    <t>VOLATflow.w2C.aC</t>
  </si>
  <si>
    <t>VOLATflow.w2M.aM</t>
  </si>
  <si>
    <t>VOLATflow.w2R.aR</t>
  </si>
  <si>
    <t>VOLATflow.w2T.aT</t>
  </si>
  <si>
    <t>1A</t>
  </si>
  <si>
    <t>Distribution of sum of ENPs (D/G, S, A, p)  in each compartment in each scale</t>
  </si>
  <si>
    <t>Distribution of G, S,A, P in each compartment in regional scale</t>
  </si>
  <si>
    <t>8A</t>
  </si>
  <si>
    <t>Distribution of S,A, P in each compartment in regional scale</t>
  </si>
  <si>
    <t>Water</t>
  </si>
  <si>
    <t>Sediment</t>
  </si>
  <si>
    <t>Soil</t>
  </si>
  <si>
    <t>Global</t>
  </si>
  <si>
    <t>Tropic</t>
  </si>
  <si>
    <t>G/D</t>
  </si>
  <si>
    <t>S</t>
  </si>
  <si>
    <t>A</t>
  </si>
  <si>
    <t>P</t>
  </si>
  <si>
    <t>3A</t>
  </si>
  <si>
    <t xml:space="preserve">Total </t>
  </si>
  <si>
    <t>Distribution of ENPs (D/G, S, A,P)  in all compartments in each scale</t>
  </si>
  <si>
    <t>Distribution of G, S,A, P in each compartment in continental scale</t>
  </si>
  <si>
    <t xml:space="preserve">In each scale highest % of dissolved species </t>
  </si>
  <si>
    <t>9A</t>
  </si>
  <si>
    <t>Distribution of S,A, P in each compartment in continental scale</t>
  </si>
  <si>
    <t>Sum of ENPs (G/D, S, A, P) in all compartments in each scale</t>
  </si>
  <si>
    <t>Distribution of ENPs (S,A,P) in all compartments in each scale</t>
  </si>
  <si>
    <t>10A</t>
  </si>
  <si>
    <t>Distribution of G, S,A, P in each compartment in global scale</t>
  </si>
  <si>
    <t>Distribution of S,A, P in each compartment in global scale</t>
  </si>
  <si>
    <t>8B</t>
  </si>
  <si>
    <t>10B</t>
  </si>
  <si>
    <t>1B</t>
  </si>
  <si>
    <t>3B</t>
  </si>
  <si>
    <t>9B</t>
  </si>
  <si>
    <t>Total Surface Area land at continental scale</t>
  </si>
  <si>
    <t>Total Surface Area sea at continental scale</t>
  </si>
  <si>
    <t>TOTAREAland.C</t>
  </si>
  <si>
    <t>TOTAREAsea.C</t>
  </si>
  <si>
    <t>[change] calculation of input arealand.C and areasea.C and SYSTEMAREA.C</t>
  </si>
  <si>
    <t>No Regional scale</t>
  </si>
  <si>
    <t>[added] case for not using regional scale (only C and global scales)</t>
  </si>
  <si>
    <t>SimpleBox4plastics</t>
  </si>
  <si>
    <t>vs 4.02-plastic</t>
  </si>
  <si>
    <t>References SimpleBox4plastic</t>
  </si>
  <si>
    <r>
      <t xml:space="preserve">Degradation rate constant of heteroagglomerates of ENPs and NCs (A) in </t>
    </r>
    <r>
      <rPr>
        <sz val="10"/>
        <rFont val="Calibri"/>
        <family val="2"/>
      </rPr>
      <t>air</t>
    </r>
  </si>
  <si>
    <r>
      <t>Degradation rate constant of heteroagglomerates of ENPs and SPM (P) in</t>
    </r>
    <r>
      <rPr>
        <sz val="10"/>
        <rFont val="Calibri"/>
        <family val="2"/>
      </rPr>
      <t xml:space="preserve"> air</t>
    </r>
  </si>
  <si>
    <r>
      <t>[km</t>
    </r>
    <r>
      <rPr>
        <vertAlign val="superscript"/>
        <sz val="10"/>
        <rFont val="Calibri"/>
        <family val="2"/>
      </rPr>
      <t>2</t>
    </r>
    <r>
      <rPr>
        <sz val="10"/>
        <rFont val="Calibri"/>
        <family val="2"/>
      </rPr>
      <t>]</t>
    </r>
  </si>
  <si>
    <r>
      <t>km</t>
    </r>
    <r>
      <rPr>
        <vertAlign val="superscript"/>
        <sz val="10"/>
        <rFont val="Calibri"/>
        <family val="2"/>
      </rPr>
      <t>2</t>
    </r>
  </si>
  <si>
    <t>ERROR with Knudsen number. Brackets</t>
  </si>
  <si>
    <t>[Known issue] surface runoff from soils to lakewater is missing</t>
  </si>
  <si>
    <t>JTK Quik et al. A multimedia model for microplastic particles. (2023) A multimedia model to estimate environmental fate of microplastic particles. Science of The Total Environment 163437. https://doi.org/10.1016/j.scitotenv.2023.163437</t>
  </si>
  <si>
    <t>[fix] Flow of w1 to w0 was not implemented in the engine</t>
  </si>
  <si>
    <t>[Fix] 'Runoff was not being input to lake water (Regional and Continental). This is now implemented based on fraction surface area of W0 and W1</t>
  </si>
  <si>
    <t>See changes for k.s1.w0C/R, k.s2.w0C/R, k.s3.w0C/R and .......w1. include the surface area correction</t>
  </si>
  <si>
    <t>[fix] FRgas.Aa used variable from Moderate scale.</t>
  </si>
  <si>
    <t>[fix] Waterflow from w0R to W1R should be 10% of flow to the sea (w2) of freshwater (w1)</t>
  </si>
  <si>
    <t>[Fix] 'In the continental scale: calculation of FRs.sx for the three soil types (natural, agricultural, other), all used the Kp for natural soil,</t>
  </si>
  <si>
    <t>instead of the one corresponding to the soil type. Changed to soiltype specific Kp. Formulas were already correct at regional scale</t>
  </si>
  <si>
    <t>[Fix] formula for variables Fraers.aA and Fraerw.aA incorrectly used variables for Moderate scale instead of Arctic scale. This was fixed</t>
  </si>
  <si>
    <t>[Fix] 'in the regional scale: calculation of runoff for agricultural soil was related to FRACrun.s1R instead of FRACrun.s2R</t>
  </si>
  <si>
    <t>vs 4.04-plastic</t>
  </si>
  <si>
    <t>Take care that the cases related to comparison to SimpleBox v3.32 are not updated</t>
  </si>
  <si>
    <t>k.s1R.w0RD</t>
  </si>
  <si>
    <t>k.s2R.w0RD</t>
  </si>
  <si>
    <t>k.s3R.w0RD</t>
  </si>
  <si>
    <t>k.s1RS.w0RS</t>
  </si>
  <si>
    <t>k.s2RS.w0RS</t>
  </si>
  <si>
    <t>k.s3RS.w0RS</t>
  </si>
  <si>
    <t>k.s1RA.w0RA</t>
  </si>
  <si>
    <t>k.s2RA.w0RA</t>
  </si>
  <si>
    <t>k.s3RA.w0RA</t>
  </si>
  <si>
    <t>k.s1RP.w0RP</t>
  </si>
  <si>
    <t>k.s2RP.w0RP</t>
  </si>
  <si>
    <t>k.s3RP.w0RP</t>
  </si>
  <si>
    <t>TRANSFER rate natural soil - lake water</t>
  </si>
  <si>
    <t>TRANSFER rate agricultural soil - lake water</t>
  </si>
  <si>
    <t>TRANSFER rate other soil - lake water</t>
  </si>
  <si>
    <t>k.s1C.w1CD</t>
  </si>
  <si>
    <t>k.s2C.w1CD</t>
  </si>
  <si>
    <t>k.s3C.w1CD</t>
  </si>
  <si>
    <t>k.s1C.w0CD</t>
  </si>
  <si>
    <t>k.s2C.w0CD</t>
  </si>
  <si>
    <t>k.s3C.w0CD</t>
  </si>
  <si>
    <t>k.s1CS.w0CS</t>
  </si>
  <si>
    <t>k.s2CS.w0CS</t>
  </si>
  <si>
    <t>k.s3CS.w0CS</t>
  </si>
  <si>
    <t>k.s1CA.w0CA</t>
  </si>
  <si>
    <t>k.s2CA.w0CA</t>
  </si>
  <si>
    <t>k.s3CA.w0CA</t>
  </si>
  <si>
    <t>k.s1CP.w0CP</t>
  </si>
  <si>
    <t>k.s2CP.w0CP</t>
  </si>
  <si>
    <t>k.s3CP.w0CP</t>
  </si>
  <si>
    <t>The all species output tables and graphics are NOT updated based on this fix, so they are not complete</t>
  </si>
  <si>
    <r>
      <t>[m</t>
    </r>
    <r>
      <rPr>
        <vertAlign val="superscript"/>
        <sz val="10"/>
        <rFont val="Calibri"/>
        <family val="2"/>
      </rPr>
      <t>3</t>
    </r>
    <r>
      <rPr>
        <sz val="10"/>
        <rFont val="Calibri"/>
        <family val="2"/>
      </rPr>
      <t>]</t>
    </r>
  </si>
  <si>
    <r>
      <t>[km</t>
    </r>
    <r>
      <rPr>
        <vertAlign val="superscript"/>
        <sz val="10"/>
        <rFont val="Calibri"/>
        <family val="2"/>
      </rPr>
      <t>2</t>
    </r>
    <r>
      <rPr>
        <sz val="10"/>
        <rFont val="Calibri"/>
        <family val="2"/>
      </rPr>
      <t>]</t>
    </r>
  </si>
  <si>
    <r>
      <t>Mixing</t>
    </r>
    <r>
      <rPr>
        <sz val="10"/>
        <rFont val="Calibri"/>
        <family val="2"/>
      </rPr>
      <t xml:space="preserve"> DEPTH natural soil compartment</t>
    </r>
  </si>
  <si>
    <r>
      <t xml:space="preserve">Mixing </t>
    </r>
    <r>
      <rPr>
        <sz val="10"/>
        <rFont val="Calibri"/>
        <family val="2"/>
      </rPr>
      <t>DEPTH agricultural soil compartment</t>
    </r>
  </si>
  <si>
    <r>
      <t>Mixing</t>
    </r>
    <r>
      <rPr>
        <sz val="10"/>
        <rFont val="Calibri"/>
        <family val="2"/>
      </rPr>
      <t xml:space="preserve"> DEPTH other soil compartment</t>
    </r>
  </si>
  <si>
    <r>
      <rPr>
        <sz val="10"/>
        <rFont val="Calibri"/>
        <family val="2"/>
      </rPr>
      <t>FRACcldw.aR</t>
    </r>
  </si>
  <si>
    <r>
      <t>FRAC</t>
    </r>
    <r>
      <rPr>
        <sz val="10"/>
        <rFont val="Calibri"/>
        <family val="2"/>
      </rPr>
      <t>aerw.aR</t>
    </r>
  </si>
  <si>
    <r>
      <t>[s</t>
    </r>
    <r>
      <rPr>
        <vertAlign val="superscript"/>
        <sz val="10"/>
        <rFont val="Calibri"/>
        <family val="2"/>
      </rPr>
      <t>-1</t>
    </r>
    <r>
      <rPr>
        <sz val="10"/>
        <rFont val="Calibri"/>
        <family val="2"/>
      </rPr>
      <t>]</t>
    </r>
  </si>
  <si>
    <r>
      <t>[m</t>
    </r>
    <r>
      <rPr>
        <vertAlign val="superscript"/>
        <sz val="10"/>
        <rFont val="Calibri"/>
        <family val="2"/>
      </rPr>
      <t>3</t>
    </r>
    <r>
      <rPr>
        <sz val="10"/>
        <rFont val="Calibri"/>
        <family val="2"/>
      </rPr>
      <t>.s</t>
    </r>
    <r>
      <rPr>
        <vertAlign val="superscript"/>
        <sz val="10"/>
        <rFont val="Calibri"/>
        <family val="2"/>
      </rPr>
      <t>-1</t>
    </r>
    <r>
      <rPr>
        <sz val="10"/>
        <rFont val="Calibri"/>
        <family val="2"/>
      </rPr>
      <t>]</t>
    </r>
  </si>
  <si>
    <r>
      <t>m</t>
    </r>
    <r>
      <rPr>
        <vertAlign val="superscript"/>
        <sz val="10"/>
        <rFont val="Calibri"/>
        <family val="2"/>
      </rPr>
      <t>3</t>
    </r>
    <r>
      <rPr>
        <sz val="10"/>
        <rFont val="Calibri"/>
        <family val="2"/>
      </rPr>
      <t>.s</t>
    </r>
    <r>
      <rPr>
        <vertAlign val="superscript"/>
        <sz val="10"/>
        <rFont val="Calibri"/>
        <family val="2"/>
      </rPr>
      <t>-1</t>
    </r>
  </si>
  <si>
    <r>
      <t xml:space="preserve">FRACTION of chemical in gas phase </t>
    </r>
    <r>
      <rPr>
        <sz val="10"/>
        <rFont val="Calibri"/>
        <family val="2"/>
      </rPr>
      <t>of air at EQUILIBRIUM</t>
    </r>
  </si>
  <si>
    <r>
      <t>FR</t>
    </r>
    <r>
      <rPr>
        <sz val="10"/>
        <rFont val="Calibri"/>
        <family val="2"/>
      </rPr>
      <t>gas.aR</t>
    </r>
  </si>
  <si>
    <r>
      <t xml:space="preserve">FRACTION of chemical in aerosol water </t>
    </r>
    <r>
      <rPr>
        <sz val="10"/>
        <rFont val="Calibri"/>
        <family val="2"/>
      </rPr>
      <t>at EQUILIBRIUM</t>
    </r>
  </si>
  <si>
    <r>
      <t xml:space="preserve">FRACTION of chemical in aerosol solids </t>
    </r>
    <r>
      <rPr>
        <sz val="10"/>
        <rFont val="Calibri"/>
        <family val="2"/>
      </rPr>
      <t>at EQUILIBRIUM</t>
    </r>
  </si>
  <si>
    <r>
      <t xml:space="preserve">Dimensionless air/water PARTITION COEFFICIENT </t>
    </r>
    <r>
      <rPr>
        <sz val="10"/>
        <rFont val="Calibri"/>
        <family val="2"/>
      </rPr>
      <t>of dissolved species at regional temp</t>
    </r>
  </si>
  <si>
    <r>
      <t>K</t>
    </r>
    <r>
      <rPr>
        <sz val="10"/>
        <rFont val="Calibri"/>
        <family val="2"/>
      </rPr>
      <t>awD.R</t>
    </r>
  </si>
  <si>
    <r>
      <t>[m</t>
    </r>
    <r>
      <rPr>
        <vertAlign val="superscript"/>
        <sz val="10"/>
        <rFont val="Calibri"/>
        <family val="2"/>
      </rPr>
      <t>3</t>
    </r>
    <r>
      <rPr>
        <vertAlign val="subscript"/>
        <sz val="10"/>
        <rFont val="Calibri"/>
        <family val="2"/>
      </rPr>
      <t xml:space="preserve">w </t>
    </r>
    <r>
      <rPr>
        <sz val="10"/>
        <rFont val="Calibri"/>
        <family val="2"/>
      </rPr>
      <t>m</t>
    </r>
    <r>
      <rPr>
        <vertAlign val="superscript"/>
        <sz val="10"/>
        <rFont val="Calibri"/>
        <family val="2"/>
      </rPr>
      <t>-3</t>
    </r>
    <r>
      <rPr>
        <vertAlign val="subscript"/>
        <sz val="10"/>
        <rFont val="Calibri"/>
        <family val="2"/>
      </rPr>
      <t>a</t>
    </r>
    <r>
      <rPr>
        <sz val="10"/>
        <rFont val="Calibri"/>
        <family val="2"/>
      </rPr>
      <t>]</t>
    </r>
  </si>
  <si>
    <r>
      <t xml:space="preserve">Dimensionless aerosol water / air PARTITION COEFFICIENT </t>
    </r>
    <r>
      <rPr>
        <sz val="10"/>
        <rFont val="Calibri"/>
        <family val="2"/>
      </rPr>
      <t>of dissolved species</t>
    </r>
  </si>
  <si>
    <r>
      <t>[m</t>
    </r>
    <r>
      <rPr>
        <vertAlign val="superscript"/>
        <sz val="10"/>
        <rFont val="Calibri"/>
        <family val="2"/>
      </rPr>
      <t>3</t>
    </r>
    <r>
      <rPr>
        <vertAlign val="subscript"/>
        <sz val="10"/>
        <rFont val="Calibri"/>
        <family val="2"/>
      </rPr>
      <t xml:space="preserve">a </t>
    </r>
    <r>
      <rPr>
        <sz val="10"/>
        <rFont val="Calibri"/>
        <family val="2"/>
      </rPr>
      <t>m</t>
    </r>
    <r>
      <rPr>
        <vertAlign val="superscript"/>
        <sz val="10"/>
        <rFont val="Calibri"/>
        <family val="2"/>
      </rPr>
      <t>-3</t>
    </r>
    <r>
      <rPr>
        <vertAlign val="subscript"/>
        <sz val="10"/>
        <rFont val="Calibri"/>
        <family val="2"/>
      </rPr>
      <t>aerw</t>
    </r>
    <r>
      <rPr>
        <sz val="10"/>
        <rFont val="Calibri"/>
        <family val="2"/>
      </rPr>
      <t>]</t>
    </r>
  </si>
  <si>
    <r>
      <t xml:space="preserve">Dimensionless aerosol solids / air PARTITION COEFFICIENT </t>
    </r>
    <r>
      <rPr>
        <sz val="10"/>
        <rFont val="Calibri"/>
        <family val="2"/>
      </rPr>
      <t>of dissolved species</t>
    </r>
  </si>
  <si>
    <r>
      <t>[m</t>
    </r>
    <r>
      <rPr>
        <vertAlign val="superscript"/>
        <sz val="10"/>
        <rFont val="Calibri"/>
        <family val="2"/>
      </rPr>
      <t>3</t>
    </r>
    <r>
      <rPr>
        <vertAlign val="subscript"/>
        <sz val="10"/>
        <rFont val="Calibri"/>
        <family val="2"/>
      </rPr>
      <t xml:space="preserve">a </t>
    </r>
    <r>
      <rPr>
        <sz val="10"/>
        <rFont val="Calibri"/>
        <family val="2"/>
      </rPr>
      <t>m</t>
    </r>
    <r>
      <rPr>
        <vertAlign val="superscript"/>
        <sz val="10"/>
        <rFont val="Calibri"/>
        <family val="2"/>
      </rPr>
      <t>-3</t>
    </r>
    <r>
      <rPr>
        <vertAlign val="subscript"/>
        <sz val="10"/>
        <rFont val="Calibri"/>
        <family val="2"/>
      </rPr>
      <t>aers</t>
    </r>
    <r>
      <rPr>
        <sz val="10"/>
        <rFont val="Calibri"/>
        <family val="2"/>
      </rPr>
      <t>]</t>
    </r>
  </si>
  <si>
    <r>
      <t xml:space="preserve">FRACTION of chemical </t>
    </r>
    <r>
      <rPr>
        <sz val="10"/>
        <rFont val="Calibri"/>
        <family val="2"/>
      </rPr>
      <t>(dissolved) in water phase lake water at EQUILIBRIUM</t>
    </r>
  </si>
  <si>
    <r>
      <t>FRw</t>
    </r>
    <r>
      <rPr>
        <sz val="10"/>
        <rFont val="Calibri"/>
        <family val="2"/>
      </rPr>
      <t>D.w0R</t>
    </r>
  </si>
  <si>
    <r>
      <t>[L.kg</t>
    </r>
    <r>
      <rPr>
        <vertAlign val="superscript"/>
        <sz val="10"/>
        <rFont val="Calibri"/>
        <family val="2"/>
      </rPr>
      <t>-1</t>
    </r>
    <r>
      <rPr>
        <sz val="10"/>
        <rFont val="Calibri"/>
        <family val="2"/>
      </rPr>
      <t>]</t>
    </r>
  </si>
  <si>
    <r>
      <t xml:space="preserve">FRACTION of chemical </t>
    </r>
    <r>
      <rPr>
        <sz val="10"/>
        <rFont val="Calibri"/>
        <family val="2"/>
      </rPr>
      <t>(dissolved) in water phase fresh water at EQUILIBRIUM</t>
    </r>
  </si>
  <si>
    <r>
      <t>FRw</t>
    </r>
    <r>
      <rPr>
        <sz val="10"/>
        <rFont val="Calibri"/>
        <family val="2"/>
      </rPr>
      <t>D.w1R</t>
    </r>
  </si>
  <si>
    <r>
      <t xml:space="preserve">FRACTION of chemical </t>
    </r>
    <r>
      <rPr>
        <sz val="10"/>
        <rFont val="Calibri"/>
        <family val="2"/>
      </rPr>
      <t>(dissolved) in water phase sea water at EQUILIBRIUM</t>
    </r>
  </si>
  <si>
    <r>
      <t>FRw</t>
    </r>
    <r>
      <rPr>
        <sz val="10"/>
        <rFont val="Calibri"/>
        <family val="2"/>
      </rPr>
      <t>D.w2R</t>
    </r>
  </si>
  <si>
    <r>
      <t>FRACTION of chemical</t>
    </r>
    <r>
      <rPr>
        <sz val="10"/>
        <rFont val="Calibri"/>
        <family val="2"/>
      </rPr>
      <t xml:space="preserve"> (dissolved) in porewater phase natural soil at EQUILIBRIUM</t>
    </r>
  </si>
  <si>
    <r>
      <t>FRw</t>
    </r>
    <r>
      <rPr>
        <sz val="10"/>
        <rFont val="Calibri"/>
        <family val="2"/>
      </rPr>
      <t>D.s1R</t>
    </r>
  </si>
  <si>
    <r>
      <t xml:space="preserve">FRACTION of chemical </t>
    </r>
    <r>
      <rPr>
        <sz val="10"/>
        <rFont val="Calibri"/>
        <family val="2"/>
      </rPr>
      <t>attached to solid phase natural soil at EQUILIBRIUM</t>
    </r>
  </si>
  <si>
    <r>
      <t>FRACTION of chemical (</t>
    </r>
    <r>
      <rPr>
        <sz val="10"/>
        <rFont val="Calibri"/>
        <family val="2"/>
      </rPr>
      <t>dissolved) in porewater phase agricultural soil at EQUILIBRIUM</t>
    </r>
  </si>
  <si>
    <r>
      <t>FRw</t>
    </r>
    <r>
      <rPr>
        <sz val="10"/>
        <rFont val="Calibri"/>
        <family val="2"/>
      </rPr>
      <t>D.s2R</t>
    </r>
  </si>
  <si>
    <r>
      <t xml:space="preserve">FRACTION of chemical </t>
    </r>
    <r>
      <rPr>
        <sz val="10"/>
        <rFont val="Calibri"/>
        <family val="2"/>
      </rPr>
      <t>attached to solid phase agricultural soil</t>
    </r>
  </si>
  <si>
    <r>
      <t xml:space="preserve">FRACTION of chemical </t>
    </r>
    <r>
      <rPr>
        <sz val="10"/>
        <rFont val="Calibri"/>
        <family val="2"/>
      </rPr>
      <t>(dissolved) in water phase other soil at EQUILIBRIUM</t>
    </r>
  </si>
  <si>
    <r>
      <t>FRw</t>
    </r>
    <r>
      <rPr>
        <sz val="10"/>
        <rFont val="Calibri"/>
        <family val="2"/>
      </rPr>
      <t>D.s3R</t>
    </r>
  </si>
  <si>
    <r>
      <t xml:space="preserve">FRACTION of chemical </t>
    </r>
    <r>
      <rPr>
        <sz val="10"/>
        <rFont val="Calibri"/>
        <family val="2"/>
      </rPr>
      <t>attached to solid phase other soil</t>
    </r>
  </si>
  <si>
    <r>
      <t xml:space="preserve">TRANSFER rate </t>
    </r>
    <r>
      <rPr>
        <sz val="10"/>
        <rFont val="Calibri"/>
        <family val="2"/>
      </rPr>
      <t>constant gaseous species air - lake water</t>
    </r>
  </si>
  <si>
    <r>
      <t xml:space="preserve">TRANSFER rate </t>
    </r>
    <r>
      <rPr>
        <sz val="10"/>
        <rFont val="Calibri"/>
        <family val="2"/>
      </rPr>
      <t>constant gaseous species air - fresh water</t>
    </r>
  </si>
  <si>
    <r>
      <t xml:space="preserve">TRANSFER rate </t>
    </r>
    <r>
      <rPr>
        <sz val="10"/>
        <rFont val="Calibri"/>
        <family val="2"/>
      </rPr>
      <t>constant gaseous species air - sea water</t>
    </r>
  </si>
  <si>
    <r>
      <t xml:space="preserve">TRANSFER rate </t>
    </r>
    <r>
      <rPr>
        <sz val="10"/>
        <rFont val="Calibri"/>
        <family val="2"/>
      </rPr>
      <t>constant gaseous species air - natural soil</t>
    </r>
  </si>
  <si>
    <r>
      <t xml:space="preserve">TRANSFER rate </t>
    </r>
    <r>
      <rPr>
        <sz val="10"/>
        <rFont val="Calibri"/>
        <family val="2"/>
      </rPr>
      <t>constant gaseous species air - agricultural soil</t>
    </r>
  </si>
  <si>
    <r>
      <t xml:space="preserve">TRANSFER rate </t>
    </r>
    <r>
      <rPr>
        <sz val="10"/>
        <rFont val="Calibri"/>
        <family val="2"/>
      </rPr>
      <t>constant gaseous species air - other soil</t>
    </r>
  </si>
  <si>
    <r>
      <t xml:space="preserve">TRANSFER rate </t>
    </r>
    <r>
      <rPr>
        <sz val="10"/>
        <rFont val="Calibri"/>
        <family val="2"/>
      </rPr>
      <t>contstant dissolved species lake water - air</t>
    </r>
  </si>
  <si>
    <r>
      <t xml:space="preserve">TRANSFER rate </t>
    </r>
    <r>
      <rPr>
        <sz val="10"/>
        <rFont val="Calibri"/>
        <family val="2"/>
      </rPr>
      <t>contstant dissolved species fresh water - air</t>
    </r>
  </si>
  <si>
    <r>
      <t xml:space="preserve">TRANSFER rate </t>
    </r>
    <r>
      <rPr>
        <sz val="10"/>
        <rFont val="Calibri"/>
        <family val="2"/>
      </rPr>
      <t>contstant dissolved species sea water - air</t>
    </r>
  </si>
  <si>
    <r>
      <t xml:space="preserve">TRANSFER rate </t>
    </r>
    <r>
      <rPr>
        <sz val="10"/>
        <rFont val="Calibri"/>
        <family val="2"/>
      </rPr>
      <t>constant dissolved species natural soil - air</t>
    </r>
  </si>
  <si>
    <r>
      <t xml:space="preserve">TRANSFER rate </t>
    </r>
    <r>
      <rPr>
        <sz val="10"/>
        <rFont val="Calibri"/>
        <family val="2"/>
      </rPr>
      <t>constant dissolved species agricultural soil - air</t>
    </r>
  </si>
  <si>
    <r>
      <t xml:space="preserve">TRANSFER rate </t>
    </r>
    <r>
      <rPr>
        <sz val="10"/>
        <rFont val="Calibri"/>
        <family val="2"/>
      </rPr>
      <t>constant dissolved species other soil - air</t>
    </r>
  </si>
  <si>
    <r>
      <t xml:space="preserve">MEAN atmospheric deposition rate </t>
    </r>
    <r>
      <rPr>
        <sz val="10"/>
        <rFont val="Calibri"/>
        <family val="2"/>
      </rPr>
      <t>constant</t>
    </r>
  </si>
  <si>
    <r>
      <t xml:space="preserve">Mean </t>
    </r>
    <r>
      <rPr>
        <sz val="10"/>
        <rFont val="Calibri"/>
        <family val="2"/>
      </rPr>
      <t>removal rate constant from atmosphere</t>
    </r>
  </si>
  <si>
    <r>
      <t>[m.s</t>
    </r>
    <r>
      <rPr>
        <vertAlign val="superscript"/>
        <sz val="10"/>
        <rFont val="Calibri"/>
        <family val="2"/>
      </rPr>
      <t>-1</t>
    </r>
    <r>
      <rPr>
        <sz val="10"/>
        <rFont val="Calibri"/>
        <family val="2"/>
      </rPr>
      <t>]</t>
    </r>
  </si>
  <si>
    <r>
      <t>[</t>
    </r>
    <r>
      <rPr>
        <sz val="10"/>
        <rFont val="Calibri"/>
        <family val="2"/>
      </rPr>
      <t>m.s</t>
    </r>
    <r>
      <rPr>
        <vertAlign val="superscript"/>
        <sz val="10"/>
        <rFont val="Calibri"/>
        <family val="2"/>
      </rPr>
      <t>-1</t>
    </r>
    <r>
      <rPr>
        <sz val="10"/>
        <rFont val="Calibri"/>
        <family val="2"/>
      </rPr>
      <t>]</t>
    </r>
  </si>
  <si>
    <r>
      <rPr>
        <sz val="10"/>
        <rFont val="Calibri"/>
        <family val="2"/>
      </rPr>
      <t>MTCaw.air.aR</t>
    </r>
  </si>
  <si>
    <r>
      <rPr>
        <sz val="10"/>
        <rFont val="Calibri"/>
        <family val="2"/>
      </rPr>
      <t>MTCaw.water.wR</t>
    </r>
  </si>
  <si>
    <r>
      <t xml:space="preserve">VOLATILIZATION flow </t>
    </r>
    <r>
      <rPr>
        <sz val="10"/>
        <rFont val="Calibri"/>
        <family val="2"/>
      </rPr>
      <t>dissolved species from natural soil</t>
    </r>
  </si>
  <si>
    <r>
      <t xml:space="preserve">VOLATILIZATION flow </t>
    </r>
    <r>
      <rPr>
        <sz val="10"/>
        <rFont val="Calibri"/>
        <family val="2"/>
      </rPr>
      <t>dissolved species from agricultural soil</t>
    </r>
  </si>
  <si>
    <r>
      <t xml:space="preserve">VOLATILIZATION flow </t>
    </r>
    <r>
      <rPr>
        <sz val="10"/>
        <rFont val="Calibri"/>
        <family val="2"/>
      </rPr>
      <t>dissolved species from other soil</t>
    </r>
  </si>
  <si>
    <r>
      <rPr>
        <sz val="10"/>
        <rFont val="Calibri"/>
        <family val="2"/>
      </rPr>
      <t>MTCas.air.aR</t>
    </r>
  </si>
  <si>
    <r>
      <rPr>
        <sz val="10"/>
        <rFont val="Calibri"/>
        <family val="2"/>
      </rPr>
      <t>MTCas.soil.sR</t>
    </r>
  </si>
  <si>
    <r>
      <t>m</t>
    </r>
    <r>
      <rPr>
        <sz val="10"/>
        <rFont val="Calibri"/>
        <family val="2"/>
      </rPr>
      <t>.s</t>
    </r>
    <r>
      <rPr>
        <vertAlign val="superscript"/>
        <sz val="10"/>
        <rFont val="Calibri"/>
        <family val="2"/>
      </rPr>
      <t>-1</t>
    </r>
  </si>
  <si>
    <r>
      <t>[g.m</t>
    </r>
    <r>
      <rPr>
        <vertAlign val="superscript"/>
        <sz val="10"/>
        <rFont val="Calibri"/>
        <family val="2"/>
      </rPr>
      <t>-2</t>
    </r>
    <r>
      <rPr>
        <sz val="10"/>
        <rFont val="Calibri"/>
        <family val="2"/>
      </rPr>
      <t>.yr</t>
    </r>
    <r>
      <rPr>
        <vertAlign val="superscript"/>
        <sz val="10"/>
        <rFont val="Calibri"/>
        <family val="2"/>
      </rPr>
      <t>-1</t>
    </r>
    <r>
      <rPr>
        <sz val="10"/>
        <rFont val="Calibri"/>
        <family val="2"/>
      </rPr>
      <t>]</t>
    </r>
  </si>
  <si>
    <r>
      <t xml:space="preserve">TRANSFER rate </t>
    </r>
    <r>
      <rPr>
        <sz val="10"/>
        <rFont val="Calibri"/>
        <family val="2"/>
      </rPr>
      <t>constant dissolved species natural soil - water</t>
    </r>
  </si>
  <si>
    <r>
      <t xml:space="preserve">TRANSFER rate </t>
    </r>
    <r>
      <rPr>
        <sz val="10"/>
        <rFont val="Calibri"/>
        <family val="2"/>
      </rPr>
      <t>constant dissolved species agricultural soil - water</t>
    </r>
  </si>
  <si>
    <r>
      <t xml:space="preserve">TRANSFER rate </t>
    </r>
    <r>
      <rPr>
        <sz val="10"/>
        <rFont val="Calibri"/>
        <family val="2"/>
      </rPr>
      <t>constant dissolved species other soil - water</t>
    </r>
  </si>
  <si>
    <r>
      <t>k.aR</t>
    </r>
    <r>
      <rPr>
        <sz val="10"/>
        <rFont val="Calibri"/>
        <family val="2"/>
      </rPr>
      <t>G</t>
    </r>
  </si>
  <si>
    <r>
      <t>k.w0R</t>
    </r>
    <r>
      <rPr>
        <sz val="10"/>
        <rFont val="Calibri"/>
        <family val="2"/>
      </rPr>
      <t>D</t>
    </r>
  </si>
  <si>
    <r>
      <t>k.w1R</t>
    </r>
    <r>
      <rPr>
        <sz val="10"/>
        <rFont val="Calibri"/>
        <family val="2"/>
      </rPr>
      <t>D</t>
    </r>
  </si>
  <si>
    <r>
      <t>k.w2R</t>
    </r>
    <r>
      <rPr>
        <sz val="10"/>
        <rFont val="Calibri"/>
        <family val="2"/>
      </rPr>
      <t>D</t>
    </r>
  </si>
  <si>
    <r>
      <t>k.sd1R</t>
    </r>
    <r>
      <rPr>
        <sz val="10"/>
        <rFont val="Calibri"/>
        <family val="2"/>
      </rPr>
      <t>D</t>
    </r>
  </si>
  <si>
    <r>
      <t>k.sd2R</t>
    </r>
    <r>
      <rPr>
        <sz val="10"/>
        <rFont val="Calibri"/>
        <family val="2"/>
      </rPr>
      <t>D</t>
    </r>
  </si>
  <si>
    <r>
      <t>k.s1R</t>
    </r>
    <r>
      <rPr>
        <sz val="10"/>
        <rFont val="Calibri"/>
        <family val="2"/>
      </rPr>
      <t>D</t>
    </r>
  </si>
  <si>
    <r>
      <t>k.s2R</t>
    </r>
    <r>
      <rPr>
        <sz val="10"/>
        <rFont val="Calibri"/>
        <family val="2"/>
      </rPr>
      <t>D</t>
    </r>
  </si>
  <si>
    <r>
      <t>k.s3R</t>
    </r>
    <r>
      <rPr>
        <sz val="10"/>
        <rFont val="Calibri"/>
        <family val="2"/>
      </rPr>
      <t>D</t>
    </r>
  </si>
  <si>
    <r>
      <t>[cm</t>
    </r>
    <r>
      <rPr>
        <vertAlign val="superscript"/>
        <sz val="10"/>
        <rFont val="Calibri"/>
        <family val="2"/>
      </rPr>
      <t>-3</t>
    </r>
    <r>
      <rPr>
        <sz val="10"/>
        <rFont val="Calibri"/>
        <family val="2"/>
      </rPr>
      <t>]</t>
    </r>
  </si>
  <si>
    <r>
      <t>Mixing</t>
    </r>
    <r>
      <rPr>
        <sz val="10"/>
        <rFont val="Calibri"/>
        <family val="2"/>
      </rPr>
      <t xml:space="preserve"> DEPTH agricultural soil compartment</t>
    </r>
  </si>
  <si>
    <r>
      <t>FRAC</t>
    </r>
    <r>
      <rPr>
        <sz val="10"/>
        <rFont val="Calibri"/>
        <family val="2"/>
      </rPr>
      <t>cldw.aC</t>
    </r>
  </si>
  <si>
    <r>
      <t>FRAC</t>
    </r>
    <r>
      <rPr>
        <sz val="10"/>
        <rFont val="Calibri"/>
        <family val="2"/>
      </rPr>
      <t>aers.aC</t>
    </r>
  </si>
  <si>
    <r>
      <t>FRAC</t>
    </r>
    <r>
      <rPr>
        <sz val="10"/>
        <rFont val="Calibri"/>
        <family val="2"/>
      </rPr>
      <t>aerw.aC</t>
    </r>
  </si>
  <si>
    <r>
      <t>FR</t>
    </r>
    <r>
      <rPr>
        <sz val="10"/>
        <rFont val="Calibri"/>
        <family val="2"/>
      </rPr>
      <t>gas.aC</t>
    </r>
  </si>
  <si>
    <r>
      <t>K</t>
    </r>
    <r>
      <rPr>
        <sz val="10"/>
        <rFont val="Calibri"/>
        <family val="2"/>
      </rPr>
      <t>aw.C</t>
    </r>
  </si>
  <si>
    <r>
      <t xml:space="preserve">FRACTION of chemical </t>
    </r>
    <r>
      <rPr>
        <sz val="10"/>
        <rFont val="Calibri"/>
        <family val="2"/>
      </rPr>
      <t>truely dissolved in water phase fresh water</t>
    </r>
  </si>
  <si>
    <r>
      <t xml:space="preserve">FRACTION of chemical </t>
    </r>
    <r>
      <rPr>
        <sz val="10"/>
        <rFont val="Calibri"/>
        <family val="2"/>
      </rPr>
      <t>truely dissolved in water phase sea water</t>
    </r>
  </si>
  <si>
    <r>
      <rPr>
        <sz val="10"/>
        <rFont val="Calibri"/>
        <family val="2"/>
      </rPr>
      <t>m.s</t>
    </r>
    <r>
      <rPr>
        <vertAlign val="superscript"/>
        <sz val="10"/>
        <rFont val="Calibri"/>
        <family val="2"/>
      </rPr>
      <t>-1</t>
    </r>
  </si>
  <si>
    <r>
      <t xml:space="preserve">AREA FRACTION </t>
    </r>
    <r>
      <rPr>
        <sz val="10"/>
        <rFont val="Calibri"/>
        <family val="2"/>
      </rPr>
      <t>ocean</t>
    </r>
  </si>
  <si>
    <r>
      <t xml:space="preserve">AREA FRACTION </t>
    </r>
    <r>
      <rPr>
        <sz val="10"/>
        <rFont val="Calibri"/>
        <family val="2"/>
      </rPr>
      <t>land</t>
    </r>
  </si>
  <si>
    <r>
      <t>Mixing</t>
    </r>
    <r>
      <rPr>
        <sz val="10"/>
        <rFont val="Calibri"/>
        <family val="2"/>
      </rPr>
      <t xml:space="preserve"> DEPTH soil compartment</t>
    </r>
  </si>
  <si>
    <r>
      <t>FRAC</t>
    </r>
    <r>
      <rPr>
        <sz val="10"/>
        <rFont val="Calibri"/>
        <family val="2"/>
      </rPr>
      <t>cldw.aM</t>
    </r>
  </si>
  <si>
    <r>
      <t>FRAC</t>
    </r>
    <r>
      <rPr>
        <sz val="10"/>
        <rFont val="Calibri"/>
        <family val="2"/>
      </rPr>
      <t>aers.aM</t>
    </r>
  </si>
  <si>
    <r>
      <t>FRAC</t>
    </r>
    <r>
      <rPr>
        <sz val="10"/>
        <rFont val="Calibri"/>
        <family val="2"/>
      </rPr>
      <t>aerw.aM</t>
    </r>
  </si>
  <si>
    <r>
      <t xml:space="preserve">TRANSFER rate moderate </t>
    </r>
    <r>
      <rPr>
        <sz val="10"/>
        <rFont val="Calibri"/>
        <family val="2"/>
      </rPr>
      <t>surface ocean - continental sea water</t>
    </r>
  </si>
  <si>
    <r>
      <t xml:space="preserve">TRANSFER rate moderate </t>
    </r>
    <r>
      <rPr>
        <sz val="10"/>
        <rFont val="Calibri"/>
        <family val="2"/>
      </rPr>
      <t>surface ocean - arctic surface ocean</t>
    </r>
  </si>
  <si>
    <r>
      <t xml:space="preserve">TRANSFER rate moderate </t>
    </r>
    <r>
      <rPr>
        <sz val="10"/>
        <rFont val="Calibri"/>
        <family val="2"/>
      </rPr>
      <t>surface ocean - tropical surface ocean</t>
    </r>
  </si>
  <si>
    <r>
      <t>FR</t>
    </r>
    <r>
      <rPr>
        <sz val="10"/>
        <rFont val="Calibri"/>
        <family val="2"/>
      </rPr>
      <t>gas.aM</t>
    </r>
  </si>
  <si>
    <r>
      <t>K</t>
    </r>
    <r>
      <rPr>
        <sz val="10"/>
        <rFont val="Calibri"/>
        <family val="2"/>
      </rPr>
      <t>aw.M</t>
    </r>
  </si>
  <si>
    <r>
      <t>[</t>
    </r>
    <r>
      <rPr>
        <vertAlign val="superscript"/>
        <sz val="10"/>
        <rFont val="Calibri"/>
        <family val="2"/>
      </rPr>
      <t>o</t>
    </r>
    <r>
      <rPr>
        <sz val="10"/>
        <rFont val="Calibri"/>
        <family val="2"/>
      </rPr>
      <t>C]</t>
    </r>
  </si>
  <si>
    <r>
      <t>m</t>
    </r>
    <r>
      <rPr>
        <vertAlign val="superscript"/>
        <sz val="10"/>
        <rFont val="Calibri"/>
        <family val="2"/>
      </rPr>
      <t>3</t>
    </r>
    <r>
      <rPr>
        <vertAlign val="subscript"/>
        <sz val="10"/>
        <rFont val="Calibri"/>
        <family val="2"/>
      </rPr>
      <t xml:space="preserve">a </t>
    </r>
    <r>
      <rPr>
        <sz val="10"/>
        <rFont val="Calibri"/>
        <family val="2"/>
      </rPr>
      <t>m</t>
    </r>
    <r>
      <rPr>
        <vertAlign val="superscript"/>
        <sz val="10"/>
        <rFont val="Calibri"/>
        <family val="2"/>
      </rPr>
      <t>-3</t>
    </r>
    <r>
      <rPr>
        <vertAlign val="subscript"/>
        <sz val="10"/>
        <rFont val="Calibri"/>
        <family val="2"/>
      </rPr>
      <t>aerw</t>
    </r>
  </si>
  <si>
    <r>
      <t>m</t>
    </r>
    <r>
      <rPr>
        <vertAlign val="superscript"/>
        <sz val="10"/>
        <rFont val="Calibri"/>
        <family val="2"/>
      </rPr>
      <t>3</t>
    </r>
    <r>
      <rPr>
        <vertAlign val="subscript"/>
        <sz val="10"/>
        <rFont val="Calibri"/>
        <family val="2"/>
      </rPr>
      <t xml:space="preserve">a </t>
    </r>
    <r>
      <rPr>
        <sz val="10"/>
        <rFont val="Calibri"/>
        <family val="2"/>
      </rPr>
      <t>m</t>
    </r>
    <r>
      <rPr>
        <vertAlign val="superscript"/>
        <sz val="10"/>
        <rFont val="Calibri"/>
        <family val="2"/>
      </rPr>
      <t>-3</t>
    </r>
    <r>
      <rPr>
        <vertAlign val="subscript"/>
        <sz val="10"/>
        <rFont val="Calibri"/>
        <family val="2"/>
      </rPr>
      <t>aers</t>
    </r>
  </si>
  <si>
    <r>
      <t xml:space="preserve">FRACTION of chemical </t>
    </r>
    <r>
      <rPr>
        <sz val="10"/>
        <rFont val="Calibri"/>
        <family val="2"/>
      </rPr>
      <t>truly dissolved in surface ocean water</t>
    </r>
  </si>
  <si>
    <r>
      <t xml:space="preserve">Suspended solids/water PARTITION COEFFICIENT </t>
    </r>
    <r>
      <rPr>
        <sz val="10"/>
        <rFont val="Calibri"/>
        <family val="2"/>
      </rPr>
      <t>surface ocean</t>
    </r>
  </si>
  <si>
    <r>
      <t xml:space="preserve">Mass FRACTION organic carbon in suspended matter </t>
    </r>
    <r>
      <rPr>
        <sz val="10"/>
        <rFont val="Calibri"/>
        <family val="2"/>
      </rPr>
      <t>surface ocean</t>
    </r>
  </si>
  <si>
    <r>
      <t xml:space="preserve">CONCENTRATION suspended matter in </t>
    </r>
    <r>
      <rPr>
        <sz val="10"/>
        <rFont val="Calibri"/>
        <family val="2"/>
      </rPr>
      <t>surface ocean</t>
    </r>
  </si>
  <si>
    <r>
      <t>[mg.L</t>
    </r>
    <r>
      <rPr>
        <vertAlign val="superscript"/>
        <sz val="10"/>
        <rFont val="Calibri"/>
        <family val="2"/>
      </rPr>
      <t>-1</t>
    </r>
    <r>
      <rPr>
        <sz val="10"/>
        <rFont val="Calibri"/>
        <family val="2"/>
      </rPr>
      <t>]</t>
    </r>
  </si>
  <si>
    <r>
      <t xml:space="preserve">Colloidal organic matter/water partition coefficient </t>
    </r>
    <r>
      <rPr>
        <sz val="10"/>
        <rFont val="Calibri"/>
        <family val="2"/>
      </rPr>
      <t>surface ocean</t>
    </r>
  </si>
  <si>
    <r>
      <t xml:space="preserve">Concentration of colloidal organic matter in </t>
    </r>
    <r>
      <rPr>
        <sz val="10"/>
        <rFont val="Calibri"/>
        <family val="2"/>
      </rPr>
      <t>surface ocean</t>
    </r>
  </si>
  <si>
    <r>
      <t>K</t>
    </r>
    <r>
      <rPr>
        <sz val="10"/>
        <rFont val="Calibri"/>
        <family val="2"/>
      </rPr>
      <t>slw.M</t>
    </r>
  </si>
  <si>
    <r>
      <t>[mm.yr</t>
    </r>
    <r>
      <rPr>
        <vertAlign val="superscript"/>
        <sz val="10"/>
        <rFont val="Calibri"/>
        <family val="2"/>
      </rPr>
      <t>-1</t>
    </r>
    <r>
      <rPr>
        <sz val="10"/>
        <rFont val="Calibri"/>
        <family val="2"/>
      </rPr>
      <t>]</t>
    </r>
  </si>
  <si>
    <r>
      <rPr>
        <sz val="10"/>
        <rFont val="Calibri"/>
        <family val="2"/>
      </rPr>
      <t>MTCaw.air.aM</t>
    </r>
  </si>
  <si>
    <r>
      <rPr>
        <sz val="10"/>
        <rFont val="Calibri"/>
        <family val="2"/>
      </rPr>
      <t>MTCaw.water.wM</t>
    </r>
  </si>
  <si>
    <r>
      <rPr>
        <sz val="10"/>
        <rFont val="Calibri"/>
        <family val="2"/>
      </rPr>
      <t>MTCas.air.aM</t>
    </r>
  </si>
  <si>
    <r>
      <rPr>
        <sz val="10"/>
        <rFont val="Calibri"/>
        <family val="2"/>
      </rPr>
      <t>MTCas.soil.sM</t>
    </r>
  </si>
  <si>
    <r>
      <t xml:space="preserve">REMOVAL from </t>
    </r>
    <r>
      <rPr>
        <sz val="10"/>
        <rFont val="Calibri"/>
        <family val="2"/>
      </rPr>
      <t>surface ocean</t>
    </r>
  </si>
  <si>
    <r>
      <t xml:space="preserve">DEGRADATION in </t>
    </r>
    <r>
      <rPr>
        <sz val="10"/>
        <rFont val="Calibri"/>
        <family val="2"/>
      </rPr>
      <t>surface ocean water</t>
    </r>
  </si>
  <si>
    <r>
      <t xml:space="preserve">Concentration BACTERIA in </t>
    </r>
    <r>
      <rPr>
        <sz val="10"/>
        <rFont val="Calibri"/>
        <family val="2"/>
      </rPr>
      <t>surface ocean</t>
    </r>
  </si>
  <si>
    <r>
      <t xml:space="preserve">VOLUME </t>
    </r>
    <r>
      <rPr>
        <sz val="10"/>
        <rFont val="Calibri"/>
        <family val="2"/>
      </rPr>
      <t>surface ocean</t>
    </r>
  </si>
  <si>
    <r>
      <t>FRAC</t>
    </r>
    <r>
      <rPr>
        <sz val="10"/>
        <rFont val="Calibri"/>
        <family val="2"/>
      </rPr>
      <t>cldw.aA</t>
    </r>
  </si>
  <si>
    <r>
      <t>FRAC</t>
    </r>
    <r>
      <rPr>
        <sz val="10"/>
        <rFont val="Calibri"/>
        <family val="2"/>
      </rPr>
      <t>aers.aA</t>
    </r>
  </si>
  <si>
    <r>
      <t>FRAC</t>
    </r>
    <r>
      <rPr>
        <sz val="10"/>
        <rFont val="Calibri"/>
        <family val="2"/>
      </rPr>
      <t>aerw.aA</t>
    </r>
  </si>
  <si>
    <r>
      <t>FR</t>
    </r>
    <r>
      <rPr>
        <sz val="10"/>
        <rFont val="Calibri"/>
        <family val="2"/>
      </rPr>
      <t>gas.aA</t>
    </r>
  </si>
  <si>
    <r>
      <t>K</t>
    </r>
    <r>
      <rPr>
        <sz val="10"/>
        <rFont val="Calibri"/>
        <family val="2"/>
      </rPr>
      <t>aw.A</t>
    </r>
  </si>
  <si>
    <r>
      <t>K</t>
    </r>
    <r>
      <rPr>
        <sz val="10"/>
        <rFont val="Calibri"/>
        <family val="2"/>
      </rPr>
      <t>slw.A</t>
    </r>
  </si>
  <si>
    <r>
      <t xml:space="preserve">Total </t>
    </r>
    <r>
      <rPr>
        <sz val="10"/>
        <rFont val="Calibri"/>
        <family val="2"/>
      </rPr>
      <t>removal rate constant from atmosphere during dry episodes</t>
    </r>
  </si>
  <si>
    <r>
      <t xml:space="preserve">Total </t>
    </r>
    <r>
      <rPr>
        <sz val="10"/>
        <rFont val="Calibri"/>
        <family val="2"/>
      </rPr>
      <t>removal rate constant from atmosphere during wet episodes</t>
    </r>
  </si>
  <si>
    <r>
      <rPr>
        <sz val="10"/>
        <rFont val="Calibri"/>
        <family val="2"/>
      </rPr>
      <t>MTCaw.air.aA</t>
    </r>
  </si>
  <si>
    <r>
      <rPr>
        <sz val="10"/>
        <rFont val="Calibri"/>
        <family val="2"/>
      </rPr>
      <t>MTCaw.water.wA</t>
    </r>
  </si>
  <si>
    <r>
      <rPr>
        <sz val="10"/>
        <rFont val="Calibri"/>
        <family val="2"/>
      </rPr>
      <t>MTCas.air.aA</t>
    </r>
  </si>
  <si>
    <r>
      <rPr>
        <sz val="10"/>
        <rFont val="Calibri"/>
        <family val="2"/>
      </rPr>
      <t>MTCas.soil.sA</t>
    </r>
  </si>
  <si>
    <r>
      <t>FRAC</t>
    </r>
    <r>
      <rPr>
        <sz val="10"/>
        <rFont val="Calibri"/>
        <family val="2"/>
      </rPr>
      <t>cldw.aT</t>
    </r>
  </si>
  <si>
    <r>
      <t>FRAC</t>
    </r>
    <r>
      <rPr>
        <sz val="10"/>
        <rFont val="Calibri"/>
        <family val="2"/>
      </rPr>
      <t>aers.aT</t>
    </r>
  </si>
  <si>
    <r>
      <t>FRAC</t>
    </r>
    <r>
      <rPr>
        <sz val="10"/>
        <rFont val="Calibri"/>
        <family val="2"/>
      </rPr>
      <t>aerw.aT</t>
    </r>
  </si>
  <si>
    <r>
      <t>FR</t>
    </r>
    <r>
      <rPr>
        <sz val="10"/>
        <rFont val="Calibri"/>
        <family val="2"/>
      </rPr>
      <t>gas.aT</t>
    </r>
  </si>
  <si>
    <r>
      <t>K</t>
    </r>
    <r>
      <rPr>
        <sz val="10"/>
        <rFont val="Calibri"/>
        <family val="2"/>
      </rPr>
      <t>aw.T</t>
    </r>
  </si>
  <si>
    <r>
      <t>K</t>
    </r>
    <r>
      <rPr>
        <sz val="10"/>
        <rFont val="Calibri"/>
        <family val="2"/>
      </rPr>
      <t>slw.T</t>
    </r>
  </si>
  <si>
    <r>
      <rPr>
        <sz val="10"/>
        <rFont val="Calibri"/>
        <family val="2"/>
      </rPr>
      <t>MTCaw.air.aT</t>
    </r>
  </si>
  <si>
    <r>
      <rPr>
        <sz val="10"/>
        <rFont val="Calibri"/>
        <family val="2"/>
      </rPr>
      <t>MTCaw.water.wT</t>
    </r>
  </si>
  <si>
    <r>
      <rPr>
        <sz val="10"/>
        <rFont val="Calibri"/>
        <family val="2"/>
      </rPr>
      <t>MTCas.air.aT</t>
    </r>
  </si>
  <si>
    <r>
      <rPr>
        <sz val="10"/>
        <rFont val="Calibri"/>
        <family val="2"/>
      </rPr>
      <t>MTCas.soil.sT</t>
    </r>
  </si>
  <si>
    <r>
      <t>o</t>
    </r>
    <r>
      <rPr>
        <sz val="10"/>
        <rFont val="Calibri"/>
        <family val="2"/>
      </rPr>
      <t>C</t>
    </r>
  </si>
  <si>
    <r>
      <t>EMISSION</t>
    </r>
    <r>
      <rPr>
        <sz val="10"/>
        <rFont val="Calibri"/>
        <family val="2"/>
      </rPr>
      <t xml:space="preserve"> RATES</t>
    </r>
  </si>
  <si>
    <r>
      <t>[t.yr</t>
    </r>
    <r>
      <rPr>
        <vertAlign val="superscript"/>
        <sz val="10"/>
        <rFont val="Calibri"/>
        <family val="2"/>
      </rPr>
      <t>-1</t>
    </r>
    <r>
      <rPr>
        <sz val="10"/>
        <rFont val="Calibri"/>
        <family val="2"/>
      </rPr>
      <t>]</t>
    </r>
  </si>
  <si>
    <r>
      <t xml:space="preserve">EMISSION to </t>
    </r>
    <r>
      <rPr>
        <sz val="10"/>
        <rFont val="Calibri"/>
        <family val="2"/>
      </rPr>
      <t>fresh water</t>
    </r>
  </si>
  <si>
    <r>
      <t xml:space="preserve">EMISSION to </t>
    </r>
    <r>
      <rPr>
        <sz val="10"/>
        <rFont val="Calibri"/>
        <family val="2"/>
      </rPr>
      <t>sea water</t>
    </r>
  </si>
  <si>
    <r>
      <t>[g.mol</t>
    </r>
    <r>
      <rPr>
        <vertAlign val="superscript"/>
        <sz val="10"/>
        <rFont val="Calibri"/>
        <family val="2"/>
      </rPr>
      <t>-1</t>
    </r>
    <r>
      <rPr>
        <sz val="10"/>
        <rFont val="Calibri"/>
        <family val="2"/>
      </rPr>
      <t>]</t>
    </r>
  </si>
  <si>
    <r>
      <t xml:space="preserve">Dimensionless solids/water PARTITION COEFFICIENT of the </t>
    </r>
    <r>
      <rPr>
        <sz val="10"/>
        <rFont val="Calibri"/>
        <family val="2"/>
      </rPr>
      <t>dissolved species</t>
    </r>
  </si>
  <si>
    <r>
      <t>K</t>
    </r>
    <r>
      <rPr>
        <sz val="10"/>
        <rFont val="Calibri"/>
        <family val="2"/>
      </rPr>
      <t>sw</t>
    </r>
  </si>
  <si>
    <r>
      <t xml:space="preserve">Dimensionless solids/water PARTITION COEFFICIENT of the </t>
    </r>
    <r>
      <rPr>
        <sz val="10"/>
        <rFont val="Calibri"/>
        <family val="2"/>
      </rPr>
      <t>alternate form</t>
    </r>
  </si>
  <si>
    <r>
      <rPr>
        <sz val="10"/>
        <rFont val="Calibri"/>
        <family val="2"/>
      </rPr>
      <t xml:space="preserve">Dimensionless gas/water PARTITION COEFFICIENT of the gaseous species at 25 </t>
    </r>
    <r>
      <rPr>
        <vertAlign val="superscript"/>
        <sz val="10"/>
        <rFont val="Calibri"/>
        <family val="2"/>
      </rPr>
      <t>o</t>
    </r>
    <r>
      <rPr>
        <sz val="10"/>
        <rFont val="Calibri"/>
        <family val="2"/>
      </rPr>
      <t>C</t>
    </r>
  </si>
  <si>
    <r>
      <t>K</t>
    </r>
    <r>
      <rPr>
        <sz val="10"/>
        <rFont val="Calibri"/>
        <family val="2"/>
      </rPr>
      <t>aw</t>
    </r>
  </si>
  <si>
    <r>
      <t xml:space="preserve">Octanol/water PARTITION COEFFICIENT </t>
    </r>
    <r>
      <rPr>
        <sz val="10"/>
        <rFont val="Calibri"/>
        <family val="2"/>
      </rPr>
      <t>of the dissolved species</t>
    </r>
  </si>
  <si>
    <r>
      <t xml:space="preserve">Octanol/water PARTITION COEFFICIENT of </t>
    </r>
    <r>
      <rPr>
        <sz val="10"/>
        <rFont val="Calibri"/>
        <family val="2"/>
      </rPr>
      <t>alternate form</t>
    </r>
  </si>
  <si>
    <r>
      <t>Kow.</t>
    </r>
    <r>
      <rPr>
        <sz val="10"/>
        <rFont val="Calibri"/>
        <family val="2"/>
      </rPr>
      <t>alt</t>
    </r>
  </si>
  <si>
    <r>
      <t>Apparent octanol/water PARTITION COEFFICIENT</t>
    </r>
    <r>
      <rPr>
        <sz val="10"/>
        <rFont val="Calibri"/>
        <family val="2"/>
      </rPr>
      <t xml:space="preserve"> at neutral pH</t>
    </r>
  </si>
  <si>
    <r>
      <t xml:space="preserve">Fraction </t>
    </r>
    <r>
      <rPr>
        <sz val="10"/>
        <rFont val="Calibri"/>
        <family val="2"/>
      </rPr>
      <t>dissolved species in cloud water</t>
    </r>
  </si>
  <si>
    <r>
      <t xml:space="preserve">Fraction </t>
    </r>
    <r>
      <rPr>
        <sz val="10"/>
        <rFont val="Calibri"/>
        <family val="2"/>
      </rPr>
      <t>dissolved species in aerosol water</t>
    </r>
  </si>
  <si>
    <r>
      <t xml:space="preserve">Fraction </t>
    </r>
    <r>
      <rPr>
        <sz val="10"/>
        <rFont val="Calibri"/>
        <family val="2"/>
      </rPr>
      <t>dissolved species in fresh water</t>
    </r>
  </si>
  <si>
    <r>
      <t xml:space="preserve">Fraction </t>
    </r>
    <r>
      <rPr>
        <sz val="10"/>
        <rFont val="Calibri"/>
        <family val="2"/>
      </rPr>
      <t>dissolved species in freshwater sediment</t>
    </r>
  </si>
  <si>
    <r>
      <t xml:space="preserve">Fraction </t>
    </r>
    <r>
      <rPr>
        <sz val="10"/>
        <rFont val="Calibri"/>
        <family val="2"/>
      </rPr>
      <t>dissolved species in seawater</t>
    </r>
  </si>
  <si>
    <r>
      <t xml:space="preserve">Fraction </t>
    </r>
    <r>
      <rPr>
        <sz val="10"/>
        <rFont val="Calibri"/>
        <family val="2"/>
      </rPr>
      <t>dissolved species in marine sediment</t>
    </r>
  </si>
  <si>
    <r>
      <t xml:space="preserve">Fraction </t>
    </r>
    <r>
      <rPr>
        <sz val="10"/>
        <rFont val="Calibri"/>
        <family val="2"/>
      </rPr>
      <t>dissolved species in natural soil</t>
    </r>
  </si>
  <si>
    <r>
      <t xml:space="preserve">Fraction </t>
    </r>
    <r>
      <rPr>
        <sz val="10"/>
        <rFont val="Calibri"/>
        <family val="2"/>
      </rPr>
      <t xml:space="preserve">dissolved species in porewater of natural soil </t>
    </r>
  </si>
  <si>
    <r>
      <t xml:space="preserve">Fraction </t>
    </r>
    <r>
      <rPr>
        <sz val="10"/>
        <rFont val="Calibri"/>
        <family val="2"/>
      </rPr>
      <t>dissolved species in agricultural soil</t>
    </r>
  </si>
  <si>
    <r>
      <t xml:space="preserve">Fraction </t>
    </r>
    <r>
      <rPr>
        <sz val="10"/>
        <rFont val="Calibri"/>
        <family val="2"/>
      </rPr>
      <t>dissolved species in porewater of agricultural soil</t>
    </r>
  </si>
  <si>
    <r>
      <t xml:space="preserve">Fraction </t>
    </r>
    <r>
      <rPr>
        <sz val="10"/>
        <rFont val="Calibri"/>
        <family val="2"/>
      </rPr>
      <t>dissolved species in other soil</t>
    </r>
  </si>
  <si>
    <r>
      <t xml:space="preserve">Fraction </t>
    </r>
    <r>
      <rPr>
        <sz val="10"/>
        <rFont val="Calibri"/>
        <family val="2"/>
      </rPr>
      <t>dissolved species in porewater of other soil</t>
    </r>
  </si>
  <si>
    <r>
      <t xml:space="preserve">VAPOR PRESSURE of </t>
    </r>
    <r>
      <rPr>
        <sz val="10"/>
        <rFont val="Calibri"/>
        <family val="2"/>
      </rPr>
      <t>pure chemical at 25 oC</t>
    </r>
  </si>
  <si>
    <r>
      <t>[kJ.mol</t>
    </r>
    <r>
      <rPr>
        <vertAlign val="superscript"/>
        <sz val="10"/>
        <rFont val="Calibri"/>
        <family val="2"/>
      </rPr>
      <t>-1</t>
    </r>
    <r>
      <rPr>
        <sz val="10"/>
        <rFont val="Calibri"/>
        <family val="2"/>
      </rPr>
      <t>]</t>
    </r>
  </si>
  <si>
    <r>
      <t xml:space="preserve">Water SOLUBILITY of </t>
    </r>
    <r>
      <rPr>
        <sz val="10"/>
        <rFont val="Calibri"/>
        <family val="2"/>
      </rPr>
      <t xml:space="preserve">pure chemical at 25 </t>
    </r>
    <r>
      <rPr>
        <vertAlign val="superscript"/>
        <sz val="10"/>
        <rFont val="Calibri"/>
        <family val="2"/>
      </rPr>
      <t>o</t>
    </r>
    <r>
      <rPr>
        <sz val="10"/>
        <rFont val="Calibri"/>
        <family val="2"/>
      </rPr>
      <t>C</t>
    </r>
  </si>
  <si>
    <r>
      <t xml:space="preserve">Melting point </t>
    </r>
    <r>
      <rPr>
        <sz val="10"/>
        <rFont val="Calibri"/>
        <family val="2"/>
      </rPr>
      <t>of pure chemical</t>
    </r>
  </si>
  <si>
    <r>
      <t xml:space="preserve">Degradation RATE CONSTANT </t>
    </r>
    <r>
      <rPr>
        <sz val="10"/>
        <rFont val="Calibri"/>
        <family val="2"/>
      </rPr>
      <t xml:space="preserve">of the gaseous species in air at 25 </t>
    </r>
    <r>
      <rPr>
        <vertAlign val="superscript"/>
        <sz val="10"/>
        <rFont val="Calibri"/>
        <family val="2"/>
      </rPr>
      <t>o</t>
    </r>
    <r>
      <rPr>
        <sz val="10"/>
        <rFont val="Calibri"/>
        <family val="2"/>
      </rPr>
      <t>C</t>
    </r>
  </si>
  <si>
    <r>
      <t>kdeg</t>
    </r>
    <r>
      <rPr>
        <sz val="10"/>
        <rFont val="Calibri"/>
        <family val="2"/>
      </rPr>
      <t>G.air</t>
    </r>
  </si>
  <si>
    <r>
      <t>[cm</t>
    </r>
    <r>
      <rPr>
        <vertAlign val="superscript"/>
        <sz val="10"/>
        <rFont val="Calibri"/>
        <family val="2"/>
      </rPr>
      <t>3</t>
    </r>
    <r>
      <rPr>
        <sz val="10"/>
        <rFont val="Calibri"/>
        <family val="2"/>
      </rPr>
      <t>.s</t>
    </r>
    <r>
      <rPr>
        <vertAlign val="superscript"/>
        <sz val="10"/>
        <rFont val="Calibri"/>
        <family val="2"/>
      </rPr>
      <t>-1</t>
    </r>
    <r>
      <rPr>
        <sz val="10"/>
        <rFont val="Calibri"/>
        <family val="2"/>
      </rPr>
      <t>]</t>
    </r>
  </si>
  <si>
    <r>
      <t xml:space="preserve">Degradation RATE CONSTANT of the </t>
    </r>
    <r>
      <rPr>
        <sz val="10"/>
        <rFont val="Calibri"/>
        <family val="2"/>
      </rPr>
      <t>dissolved species in water at 25 oC</t>
    </r>
  </si>
  <si>
    <r>
      <t>kdeg</t>
    </r>
    <r>
      <rPr>
        <sz val="10"/>
        <rFont val="Calibri"/>
        <family val="2"/>
      </rPr>
      <t>D.water</t>
    </r>
  </si>
  <si>
    <r>
      <t>[CFU.mL</t>
    </r>
    <r>
      <rPr>
        <vertAlign val="superscript"/>
        <sz val="10"/>
        <rFont val="Calibri"/>
        <family val="2"/>
      </rPr>
      <t>-1</t>
    </r>
    <r>
      <rPr>
        <sz val="10"/>
        <rFont val="Calibri"/>
        <family val="2"/>
      </rPr>
      <t>]</t>
    </r>
  </si>
  <si>
    <r>
      <t xml:space="preserve">RATE INCREASE factor per 10 </t>
    </r>
    <r>
      <rPr>
        <vertAlign val="superscript"/>
        <sz val="10"/>
        <rFont val="Calibri"/>
        <family val="2"/>
      </rPr>
      <t>o</t>
    </r>
    <r>
      <rPr>
        <sz val="10"/>
        <rFont val="Calibri"/>
        <family val="2"/>
      </rPr>
      <t>C</t>
    </r>
  </si>
  <si>
    <r>
      <t xml:space="preserve">Degradation RATE CONSTANT of the </t>
    </r>
    <r>
      <rPr>
        <sz val="10"/>
        <rFont val="Calibri"/>
        <family val="2"/>
      </rPr>
      <t>dissolved species in standard sediment at 25 oC</t>
    </r>
  </si>
  <si>
    <r>
      <t>kdeg</t>
    </r>
    <r>
      <rPr>
        <sz val="10"/>
        <rFont val="Calibri"/>
        <family val="2"/>
      </rPr>
      <t>D.sed</t>
    </r>
  </si>
  <si>
    <r>
      <t xml:space="preserve">Degradation RATE CONSTANT of the </t>
    </r>
    <r>
      <rPr>
        <sz val="10"/>
        <rFont val="Calibri"/>
        <family val="2"/>
      </rPr>
      <t>dissolved species in standard soil at 25 oC</t>
    </r>
  </si>
  <si>
    <r>
      <t>kdeg</t>
    </r>
    <r>
      <rPr>
        <sz val="10"/>
        <rFont val="Calibri"/>
        <family val="2"/>
      </rPr>
      <t>D.soil</t>
    </r>
  </si>
  <si>
    <r>
      <t>E.aR</t>
    </r>
    <r>
      <rPr>
        <sz val="10"/>
        <rFont val="Calibri"/>
        <family val="2"/>
      </rPr>
      <t>G</t>
    </r>
  </si>
  <si>
    <r>
      <t>E.w0R</t>
    </r>
    <r>
      <rPr>
        <sz val="10"/>
        <rFont val="Calibri"/>
        <family val="2"/>
      </rPr>
      <t>D</t>
    </r>
  </si>
  <si>
    <r>
      <t>E.w1R</t>
    </r>
    <r>
      <rPr>
        <sz val="10"/>
        <rFont val="Calibri"/>
        <family val="2"/>
      </rPr>
      <t>D</t>
    </r>
  </si>
  <si>
    <r>
      <t>E.w2R</t>
    </r>
    <r>
      <rPr>
        <sz val="10"/>
        <rFont val="Calibri"/>
        <family val="2"/>
      </rPr>
      <t>D</t>
    </r>
  </si>
  <si>
    <r>
      <t>E.s1R</t>
    </r>
    <r>
      <rPr>
        <sz val="10"/>
        <rFont val="Calibri"/>
        <family val="2"/>
      </rPr>
      <t>D</t>
    </r>
  </si>
  <si>
    <r>
      <t>E.s2R</t>
    </r>
    <r>
      <rPr>
        <sz val="10"/>
        <rFont val="Calibri"/>
        <family val="2"/>
      </rPr>
      <t>D</t>
    </r>
  </si>
  <si>
    <r>
      <t>E.s3R</t>
    </r>
    <r>
      <rPr>
        <sz val="10"/>
        <rFont val="Calibri"/>
        <family val="2"/>
      </rPr>
      <t>D</t>
    </r>
  </si>
  <si>
    <r>
      <t>E.aC</t>
    </r>
    <r>
      <rPr>
        <sz val="10"/>
        <rFont val="Calibri"/>
        <family val="2"/>
      </rPr>
      <t>G</t>
    </r>
  </si>
  <si>
    <r>
      <t>E.w0C</t>
    </r>
    <r>
      <rPr>
        <sz val="10"/>
        <rFont val="Calibri"/>
        <family val="2"/>
      </rPr>
      <t>D</t>
    </r>
  </si>
  <si>
    <r>
      <t>E.w1C</t>
    </r>
    <r>
      <rPr>
        <sz val="10"/>
        <rFont val="Calibri"/>
        <family val="2"/>
      </rPr>
      <t>D</t>
    </r>
  </si>
  <si>
    <r>
      <t>E.w2C</t>
    </r>
    <r>
      <rPr>
        <sz val="10"/>
        <rFont val="Calibri"/>
        <family val="2"/>
      </rPr>
      <t>D</t>
    </r>
  </si>
  <si>
    <r>
      <t>E.s1C</t>
    </r>
    <r>
      <rPr>
        <sz val="10"/>
        <rFont val="Calibri"/>
        <family val="2"/>
      </rPr>
      <t>D</t>
    </r>
  </si>
  <si>
    <r>
      <t>E.s2C</t>
    </r>
    <r>
      <rPr>
        <sz val="10"/>
        <rFont val="Calibri"/>
        <family val="2"/>
      </rPr>
      <t>D</t>
    </r>
  </si>
  <si>
    <r>
      <t>E.s3C</t>
    </r>
    <r>
      <rPr>
        <sz val="10"/>
        <rFont val="Calibri"/>
        <family val="2"/>
      </rPr>
      <t>D</t>
    </r>
  </si>
  <si>
    <r>
      <t>E.aM</t>
    </r>
    <r>
      <rPr>
        <sz val="10"/>
        <rFont val="Calibri"/>
        <family val="2"/>
      </rPr>
      <t>G</t>
    </r>
  </si>
  <si>
    <r>
      <t>E.w2M</t>
    </r>
    <r>
      <rPr>
        <sz val="10"/>
        <rFont val="Calibri"/>
        <family val="2"/>
      </rPr>
      <t>D</t>
    </r>
  </si>
  <si>
    <r>
      <t>E.sM</t>
    </r>
    <r>
      <rPr>
        <sz val="10"/>
        <rFont val="Calibri"/>
        <family val="2"/>
      </rPr>
      <t>D</t>
    </r>
  </si>
  <si>
    <r>
      <t>E.aA</t>
    </r>
    <r>
      <rPr>
        <sz val="10"/>
        <rFont val="Calibri"/>
        <family val="2"/>
      </rPr>
      <t>G</t>
    </r>
  </si>
  <si>
    <r>
      <t>E.w2A</t>
    </r>
    <r>
      <rPr>
        <sz val="10"/>
        <rFont val="Calibri"/>
        <family val="2"/>
      </rPr>
      <t>D</t>
    </r>
  </si>
  <si>
    <r>
      <t>E.sA</t>
    </r>
    <r>
      <rPr>
        <sz val="10"/>
        <rFont val="Calibri"/>
        <family val="2"/>
      </rPr>
      <t>D</t>
    </r>
  </si>
  <si>
    <r>
      <t>E.aT</t>
    </r>
    <r>
      <rPr>
        <sz val="10"/>
        <rFont val="Calibri"/>
        <family val="2"/>
      </rPr>
      <t>G</t>
    </r>
  </si>
  <si>
    <r>
      <t>E.w2T</t>
    </r>
    <r>
      <rPr>
        <sz val="10"/>
        <rFont val="Calibri"/>
        <family val="2"/>
      </rPr>
      <t>D</t>
    </r>
  </si>
  <si>
    <r>
      <t>E.sT</t>
    </r>
    <r>
      <rPr>
        <sz val="10"/>
        <rFont val="Calibri"/>
        <family val="2"/>
      </rPr>
      <t>D</t>
    </r>
  </si>
  <si>
    <r>
      <t>Gas phase DIFFUSION coefficient</t>
    </r>
    <r>
      <rPr>
        <sz val="10"/>
        <rFont val="Calibri"/>
        <family val="2"/>
      </rPr>
      <t xml:space="preserve"> (of gaseous species)</t>
    </r>
  </si>
  <si>
    <r>
      <t>[m</t>
    </r>
    <r>
      <rPr>
        <vertAlign val="superscript"/>
        <sz val="10"/>
        <rFont val="Calibri"/>
        <family val="2"/>
      </rPr>
      <t>2</t>
    </r>
    <r>
      <rPr>
        <sz val="10"/>
        <rFont val="Calibri"/>
        <family val="2"/>
      </rPr>
      <t>.s</t>
    </r>
    <r>
      <rPr>
        <vertAlign val="superscript"/>
        <sz val="10"/>
        <rFont val="Calibri"/>
        <family val="2"/>
      </rPr>
      <t>-1</t>
    </r>
    <r>
      <rPr>
        <sz val="10"/>
        <rFont val="Calibri"/>
        <family val="2"/>
      </rPr>
      <t>]</t>
    </r>
  </si>
  <si>
    <r>
      <t xml:space="preserve">Water phase DIFFUSION coefficient </t>
    </r>
    <r>
      <rPr>
        <sz val="10"/>
        <rFont val="Calibri"/>
        <family val="2"/>
      </rPr>
      <t>(of dissolved species)</t>
    </r>
  </si>
  <si>
    <r>
      <t>[kg.m</t>
    </r>
    <r>
      <rPr>
        <vertAlign val="superscript"/>
        <sz val="10"/>
        <rFont val="Calibri"/>
        <family val="2"/>
      </rPr>
      <t>-3</t>
    </r>
    <r>
      <rPr>
        <sz val="10"/>
        <rFont val="Calibri"/>
        <family val="2"/>
      </rPr>
      <t>]</t>
    </r>
  </si>
  <si>
    <r>
      <t>[kg.m</t>
    </r>
    <r>
      <rPr>
        <vertAlign val="superscript"/>
        <sz val="10"/>
        <rFont val="Calibri"/>
        <family val="2"/>
      </rPr>
      <t>-1</t>
    </r>
    <r>
      <rPr>
        <sz val="10"/>
        <rFont val="Calibri"/>
        <family val="2"/>
      </rPr>
      <t>.s</t>
    </r>
    <r>
      <rPr>
        <vertAlign val="superscript"/>
        <sz val="10"/>
        <rFont val="Calibri"/>
        <family val="2"/>
      </rPr>
      <t>-1</t>
    </r>
    <r>
      <rPr>
        <sz val="10"/>
        <rFont val="Calibri"/>
        <family val="2"/>
      </rPr>
      <t>]</t>
    </r>
  </si>
  <si>
    <r>
      <t>[kg.m-</t>
    </r>
    <r>
      <rPr>
        <vertAlign val="superscript"/>
        <sz val="10"/>
        <rFont val="Calibri"/>
        <family val="2"/>
      </rPr>
      <t>1.</t>
    </r>
    <r>
      <rPr>
        <sz val="10"/>
        <rFont val="Calibri"/>
        <family val="2"/>
      </rPr>
      <t>s</t>
    </r>
    <r>
      <rPr>
        <vertAlign val="superscript"/>
        <sz val="10"/>
        <rFont val="Calibri"/>
        <family val="2"/>
      </rPr>
      <t>-1</t>
    </r>
    <r>
      <rPr>
        <sz val="10"/>
        <rFont val="Calibri"/>
        <family val="2"/>
      </rPr>
      <t>]</t>
    </r>
  </si>
  <si>
    <r>
      <t>[m</t>
    </r>
    <r>
      <rPr>
        <vertAlign val="superscript"/>
        <sz val="10"/>
        <rFont val="Calibri"/>
        <family val="2"/>
      </rPr>
      <t>2</t>
    </r>
    <r>
      <rPr>
        <sz val="10"/>
        <rFont val="Calibri"/>
        <family val="2"/>
      </rPr>
      <t> kg s</t>
    </r>
    <r>
      <rPr>
        <vertAlign val="superscript"/>
        <sz val="10"/>
        <rFont val="Calibri"/>
        <family val="2"/>
      </rPr>
      <t>-2</t>
    </r>
    <r>
      <rPr>
        <sz val="10"/>
        <rFont val="Calibri"/>
        <family val="2"/>
      </rPr>
      <t> K</t>
    </r>
    <r>
      <rPr>
        <vertAlign val="superscript"/>
        <sz val="10"/>
        <rFont val="Calibri"/>
        <family val="2"/>
      </rPr>
      <t>-1</t>
    </r>
    <r>
      <rPr>
        <sz val="10"/>
        <rFont val="Calibri"/>
        <family val="2"/>
      </rPr>
      <t>]</t>
    </r>
  </si>
  <si>
    <r>
      <t>[m.s</t>
    </r>
    <r>
      <rPr>
        <vertAlign val="superscript"/>
        <sz val="10"/>
        <rFont val="Calibri"/>
        <family val="2"/>
      </rPr>
      <t>-2</t>
    </r>
    <r>
      <rPr>
        <sz val="10"/>
        <rFont val="Calibri"/>
        <family val="2"/>
      </rPr>
      <t>]</t>
    </r>
  </si>
  <si>
    <r>
      <t>[</t>
    </r>
    <r>
      <rPr>
        <sz val="10"/>
        <rFont val="Times New Roman"/>
        <family val="1"/>
      </rPr>
      <t>µ</t>
    </r>
    <r>
      <rPr>
        <sz val="10"/>
        <rFont val="Calibri"/>
        <family val="2"/>
      </rPr>
      <t>m]</t>
    </r>
  </si>
  <si>
    <r>
      <t>Gas WASHOUT</t>
    </r>
    <r>
      <rPr>
        <sz val="10"/>
        <rFont val="Calibri"/>
        <family val="2"/>
      </rPr>
      <t xml:space="preserve"> gaseous species</t>
    </r>
  </si>
  <si>
    <r>
      <t>GasWashout.R</t>
    </r>
    <r>
      <rPr>
        <sz val="10"/>
        <rFont val="Calibri"/>
        <family val="2"/>
      </rPr>
      <t>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</si>
</sst>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General_)"/>
    <numFmt numFmtId="165" formatCode="0.000_)"/>
    <numFmt numFmtId="166" formatCode="0.0E+0"/>
    <numFmt numFmtId="167" formatCode="0.0%"/>
    <numFmt numFmtId="168" formatCode="yyyy/mm/dd_)"/>
    <numFmt numFmtId="169" formatCode="0.0E+00"/>
    <numFmt numFmtId="170" formatCode="0.000E+00"/>
    <numFmt numFmtId="171" formatCode="@_)"/>
    <numFmt numFmtId="172" formatCode="0.00000000000"/>
    <numFmt numFmtId="173" formatCode="0.000000E+00"/>
    <numFmt numFmtId="174" formatCode="0.00E+0"/>
    <numFmt numFmtId="175" formatCode="0.000000000000E+00"/>
    <numFmt numFmtId="176" formatCode="0.00000000000000E+00"/>
    <numFmt numFmtId="177" formatCode="0.00E+00_)"/>
    <numFmt numFmtId="178" formatCode="0.0E+00_)"/>
    <numFmt numFmtId="179" formatCode="mm/dd/yyyy\ hh:mm:ss"/>
  </numFmts>
  <fonts count="66" x14ac:knownFonts="1">
    <font>
      <sz val="10"/>
      <name val="Calibri"/>
      <family val="2"/>
    </font>
    <font>
      <b/>
      <sz val="10"/>
      <name val="MS Sans Serif"/>
      <family val="2"/>
    </font>
    <font>
      <sz val="10"/>
      <name val="MS Sans Serif"/>
      <family val="2"/>
    </font>
    <font>
      <u/>
      <sz val="8"/>
      <color indexed="12"/>
      <name val="Arial"/>
      <family val="2"/>
    </font>
    <font>
      <sz val="8"/>
      <color indexed="81"/>
      <name val="Tahoma"/>
      <family val="2"/>
    </font>
    <font>
      <b/>
      <sz val="8"/>
      <color indexed="81"/>
      <name val="Tahoma"/>
      <family val="2"/>
    </font>
    <font>
      <sz val="8"/>
      <name val="Arial"/>
      <family val="2"/>
    </font>
    <font>
      <b/>
      <sz val="12"/>
      <name val="Calibri"/>
      <family val="2"/>
    </font>
    <font>
      <sz val="10"/>
      <name val="Calibri"/>
      <family val="2"/>
    </font>
    <font>
      <b/>
      <i/>
      <sz val="10"/>
      <name val="Calibri"/>
      <family val="2"/>
    </font>
    <font>
      <i/>
      <sz val="10"/>
      <name val="Calibri"/>
      <family val="2"/>
    </font>
    <font>
      <b/>
      <sz val="10"/>
      <name val="Calibri"/>
      <family val="2"/>
    </font>
    <font>
      <sz val="10"/>
      <color indexed="10"/>
      <name val="Calibri"/>
      <family val="2"/>
    </font>
    <font>
      <b/>
      <sz val="10"/>
      <color indexed="10"/>
      <name val="Calibri"/>
      <family val="2"/>
    </font>
    <font>
      <vertAlign val="subscript"/>
      <sz val="10"/>
      <name val="Calibri"/>
      <family val="2"/>
    </font>
    <font>
      <vertAlign val="superscript"/>
      <sz val="10"/>
      <name val="Calibri"/>
      <family val="2"/>
    </font>
    <font>
      <b/>
      <i/>
      <sz val="12"/>
      <name val="Calibri"/>
      <family val="2"/>
    </font>
    <font>
      <sz val="11"/>
      <name val="Calibri"/>
      <family val="2"/>
    </font>
    <font>
      <b/>
      <sz val="11"/>
      <name val="Calibri"/>
      <family val="2"/>
    </font>
    <font>
      <i/>
      <sz val="11"/>
      <name val="Calibri"/>
      <family val="2"/>
    </font>
    <font>
      <i/>
      <sz val="10"/>
      <color indexed="10"/>
      <name val="Calibri"/>
      <family val="2"/>
    </font>
    <font>
      <sz val="10"/>
      <name val="Calibri"/>
      <family val="2"/>
    </font>
    <font>
      <sz val="10"/>
      <name val="Arial"/>
      <family val="2"/>
    </font>
    <font>
      <sz val="10"/>
      <name val="Calibri"/>
      <family val="2"/>
    </font>
    <font>
      <i/>
      <sz val="10"/>
      <color indexed="17"/>
      <name val="Calibri"/>
      <family val="2"/>
    </font>
    <font>
      <sz val="10"/>
      <color indexed="17"/>
      <name val="Arial"/>
      <family val="2"/>
    </font>
    <font>
      <sz val="10"/>
      <name val="Arial"/>
      <family val="2"/>
    </font>
    <font>
      <b/>
      <i/>
      <sz val="10"/>
      <color indexed="17"/>
      <name val="Calibri"/>
      <family val="2"/>
    </font>
    <font>
      <b/>
      <i/>
      <sz val="11"/>
      <name val="Calibri"/>
      <family val="2"/>
    </font>
    <font>
      <u/>
      <sz val="10"/>
      <name val="Calibri"/>
      <family val="2"/>
    </font>
    <font>
      <b/>
      <u/>
      <sz val="10"/>
      <name val="Calibri"/>
      <family val="2"/>
    </font>
    <font>
      <sz val="9"/>
      <color indexed="81"/>
      <name val="Tahoma"/>
      <family val="2"/>
    </font>
    <font>
      <b/>
      <sz val="9"/>
      <color indexed="81"/>
      <name val="Tahoma"/>
      <family val="2"/>
    </font>
    <font>
      <b/>
      <sz val="10"/>
      <name val="Calibri"/>
      <family val="2"/>
      <charset val="161"/>
    </font>
    <font>
      <sz val="10"/>
      <name val="Calibri"/>
      <family val="2"/>
      <charset val="161"/>
    </font>
    <font>
      <b/>
      <sz val="8"/>
      <name val="Calibri"/>
      <family val="2"/>
    </font>
    <font>
      <sz val="10"/>
      <color theme="0" tint="-0.34998626667073579"/>
      <name val="Calibri"/>
      <family val="2"/>
    </font>
    <font>
      <sz val="10"/>
      <color rgb="FF3333FF"/>
      <name val="Calibri"/>
      <family val="2"/>
    </font>
    <font>
      <sz val="10"/>
      <color rgb="FF008000"/>
      <name val="Calibri"/>
      <family val="2"/>
    </font>
    <font>
      <sz val="10"/>
      <color rgb="FFFF0000"/>
      <name val="Calibri"/>
      <family val="2"/>
    </font>
    <font>
      <b/>
      <sz val="10"/>
      <color rgb="FFFF0000"/>
      <name val="Calibri"/>
      <family val="2"/>
    </font>
    <font>
      <sz val="11"/>
      <color rgb="FFFF0000"/>
      <name val="Calibri"/>
      <family val="2"/>
    </font>
    <font>
      <sz val="10"/>
      <color rgb="FFCC00CC"/>
      <name val="Calibri"/>
      <family val="2"/>
    </font>
    <font>
      <sz val="10"/>
      <name val="Calibri"/>
      <family val="2"/>
      <scheme val="minor"/>
    </font>
    <font>
      <sz val="10"/>
      <color rgb="FFFF9900"/>
      <name val="Calibri"/>
      <family val="2"/>
    </font>
    <font>
      <sz val="11"/>
      <color rgb="FF008000"/>
      <name val="Calibri"/>
      <family val="2"/>
    </font>
    <font>
      <sz val="10"/>
      <color theme="9"/>
      <name val="Calibri"/>
      <family val="2"/>
    </font>
    <font>
      <b/>
      <sz val="10"/>
      <name val="Calibri"/>
      <family val="2"/>
      <scheme val="minor"/>
    </font>
    <font>
      <b/>
      <sz val="12"/>
      <color rgb="FFFF0000"/>
      <name val="Calibri"/>
      <family val="2"/>
      <charset val="161"/>
    </font>
    <font>
      <b/>
      <sz val="14"/>
      <color rgb="FFFF0000"/>
      <name val="Calibri"/>
      <family val="2"/>
      <charset val="161"/>
    </font>
    <font>
      <b/>
      <sz val="11"/>
      <color rgb="FFFF0000"/>
      <name val="Calibri"/>
      <family val="2"/>
      <charset val="161"/>
    </font>
    <font>
      <sz val="10"/>
      <color rgb="FF0000FF"/>
      <name val="Calibri"/>
      <family val="2"/>
    </font>
    <font>
      <sz val="10"/>
      <color rgb="FFDC0000"/>
      <name val="Calibri"/>
      <family val="2"/>
    </font>
    <font>
      <sz val="10"/>
      <color rgb="FFDC0000"/>
      <name val="Arial"/>
      <family val="2"/>
    </font>
    <font>
      <sz val="10"/>
      <color rgb="FF008C00"/>
      <name val="Calibri"/>
      <family val="2"/>
    </font>
    <font>
      <b/>
      <sz val="10"/>
      <color rgb="FFDC0000"/>
      <name val="Calibri"/>
      <family val="2"/>
    </font>
    <font>
      <b/>
      <sz val="10"/>
      <color rgb="FF008C00"/>
      <name val="Calibri"/>
      <family val="2"/>
    </font>
    <font>
      <u/>
      <sz val="8"/>
      <color rgb="FF0000DC"/>
      <name val="Arial"/>
      <family val="2"/>
    </font>
    <font>
      <sz val="10"/>
      <color theme="1"/>
      <name val="Calibri"/>
      <family val="2"/>
    </font>
    <font>
      <sz val="10"/>
      <name val="Times New Roman"/>
      <family val="1"/>
    </font>
    <font>
      <sz val="8"/>
      <name val="Calibri"/>
      <family val="2"/>
    </font>
    <font>
      <u/>
      <sz val="10"/>
      <name val="Arial"/>
      <family val="2"/>
    </font>
    <font>
      <u/>
      <sz val="10"/>
      <color rgb="FFFF0000"/>
      <name val="Calibri"/>
      <family val="2"/>
    </font>
    <font>
      <sz val="10"/>
      <color rgb="FF3F3F76"/>
      <name val="Times New Roman"/>
      <family val="2"/>
    </font>
    <font>
      <sz val="10"/>
      <color rgb="FF9C0006"/>
      <name val="Times New Roman"/>
      <family val="2"/>
    </font>
    <font>
      <b/>
      <i/>
      <sz val="12"/>
      <color rgb="FFFF0000"/>
      <name val="Calibri"/>
      <family val="2"/>
    </font>
  </fonts>
  <fills count="21">
    <fill>
      <patternFill patternType="none"/>
    </fill>
    <fill>
      <patternFill patternType="gray125"/>
    </fill>
    <fill>
      <patternFill patternType="solid">
        <fgColor indexed="43"/>
        <bgColor indexed="64"/>
      </patternFill>
    </fill>
    <fill>
      <patternFill patternType="solid">
        <fgColor indexed="41"/>
        <bgColor indexed="64"/>
      </patternFill>
    </fill>
    <fill>
      <patternFill patternType="solid">
        <fgColor indexed="42"/>
        <bgColor indexed="64"/>
      </patternFill>
    </fill>
    <fill>
      <patternFill patternType="solid">
        <fgColor indexed="9"/>
        <bgColor indexed="64"/>
      </patternFill>
    </fill>
    <fill>
      <patternFill patternType="solid">
        <fgColor indexed="22"/>
        <bgColor indexed="64"/>
      </patternFill>
    </fill>
    <fill>
      <patternFill patternType="solid">
        <fgColor rgb="FFEAEAEA"/>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theme="2"/>
        <bgColor indexed="64"/>
      </patternFill>
    </fill>
    <fill>
      <patternFill patternType="solid">
        <fgColor rgb="FFFFC00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indexed="22"/>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C7CE"/>
      </patternFill>
    </fill>
    <fill>
      <patternFill patternType="solid">
        <fgColor rgb="FFFFCC99"/>
      </patternFill>
    </fill>
  </fills>
  <borders count="45">
    <border>
      <left/>
      <right/>
      <top/>
      <bottom/>
      <diagonal/>
    </border>
    <border>
      <left/>
      <right/>
      <top/>
      <bottom style="double">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medium">
        <color indexed="64"/>
      </bottom>
      <diagonal/>
    </border>
    <border>
      <left/>
      <right/>
      <top style="medium">
        <color indexed="64"/>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medium">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dotted">
        <color indexed="64"/>
      </right>
      <top/>
      <bottom/>
      <diagonal/>
    </border>
    <border>
      <left style="dotted">
        <color indexed="64"/>
      </left>
      <right/>
      <top/>
      <bottom style="dotted">
        <color indexed="64"/>
      </bottom>
      <diagonal/>
    </border>
    <border>
      <left/>
      <right/>
      <top/>
      <bottom style="dotted">
        <color indexed="64"/>
      </bottom>
      <diagonal/>
    </border>
    <border>
      <left/>
      <right style="dotted">
        <color indexed="64"/>
      </right>
      <top style="thin">
        <color indexed="64"/>
      </top>
      <bottom/>
      <diagonal/>
    </border>
    <border>
      <left/>
      <right style="dotted">
        <color indexed="64"/>
      </right>
      <top style="dotted">
        <color indexed="64"/>
      </top>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right style="thin">
        <color indexed="64"/>
      </right>
      <top style="dotted">
        <color indexed="64"/>
      </top>
      <bottom/>
      <diagonal/>
    </border>
    <border>
      <left style="dotted">
        <color indexed="64"/>
      </left>
      <right/>
      <top/>
      <bottom style="thin">
        <color indexed="64"/>
      </bottom>
      <diagonal/>
    </border>
    <border>
      <left style="thin">
        <color indexed="64"/>
      </left>
      <right style="dotted">
        <color indexed="64"/>
      </right>
      <top style="thin">
        <color indexed="64"/>
      </top>
      <bottom/>
      <diagonal/>
    </border>
    <border>
      <left style="thin">
        <color indexed="64"/>
      </left>
      <right style="dotted">
        <color indexed="64"/>
      </right>
      <top/>
      <bottom/>
      <diagonal/>
    </border>
    <border>
      <left style="thin">
        <color indexed="64"/>
      </left>
      <right style="thin">
        <color indexed="64"/>
      </right>
      <top style="thin">
        <color indexed="64"/>
      </top>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s>
  <cellStyleXfs count="23">
    <xf numFmtId="164" fontId="0" fillId="0" borderId="0"/>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26" fillId="0" borderId="0"/>
    <xf numFmtId="0" fontId="22" fillId="0" borderId="0"/>
    <xf numFmtId="164" fontId="8" fillId="0" borderId="0"/>
    <xf numFmtId="0" fontId="26" fillId="0" borderId="0"/>
    <xf numFmtId="0" fontId="26" fillId="0" borderId="0"/>
    <xf numFmtId="0" fontId="22" fillId="0" borderId="0"/>
    <xf numFmtId="9" fontId="2" fillId="0" borderId="0" applyFont="0" applyFill="0" applyBorder="0" applyAlignment="0" applyProtection="0"/>
    <xf numFmtId="9" fontId="2" fillId="0" borderId="0" applyFont="0" applyFill="0" applyBorder="0" applyAlignment="0" applyProtection="0"/>
    <xf numFmtId="9" fontId="26" fillId="0" borderId="0" applyFont="0" applyFill="0" applyBorder="0" applyAlignment="0" applyProtection="0"/>
    <xf numFmtId="9" fontId="22" fillId="0" borderId="0" applyFont="0" applyFill="0" applyBorder="0" applyAlignment="0" applyProtection="0"/>
    <xf numFmtId="0" fontId="8" fillId="16" borderId="0">
      <alignment wrapText="1"/>
    </xf>
    <xf numFmtId="0" fontId="8" fillId="0" borderId="0">
      <alignment wrapText="1"/>
    </xf>
    <xf numFmtId="0" fontId="8" fillId="0" borderId="0">
      <alignment wrapText="1"/>
    </xf>
    <xf numFmtId="0" fontId="8" fillId="0" borderId="0">
      <alignment wrapText="1"/>
    </xf>
    <xf numFmtId="179" fontId="8" fillId="0" borderId="0">
      <alignment wrapText="1"/>
    </xf>
    <xf numFmtId="0" fontId="22" fillId="0" borderId="0"/>
    <xf numFmtId="0" fontId="22" fillId="0" borderId="0"/>
    <xf numFmtId="9" fontId="22" fillId="0" borderId="0" applyFont="0" applyFill="0" applyBorder="0" applyAlignment="0" applyProtection="0"/>
    <xf numFmtId="0" fontId="63" fillId="20" borderId="44" applyNumberFormat="0" applyAlignment="0" applyProtection="0"/>
    <xf numFmtId="0" fontId="64" fillId="19" borderId="0" applyNumberFormat="0" applyBorder="0" applyAlignment="0" applyProtection="0"/>
  </cellStyleXfs>
  <cellXfs count="995">
    <xf numFmtId="164" fontId="0" fillId="0" borderId="0" xfId="0"/>
    <xf numFmtId="164" fontId="7" fillId="2" borderId="0" xfId="0" applyFont="1" applyFill="1"/>
    <xf numFmtId="164" fontId="8" fillId="2" borderId="0" xfId="0" applyFont="1" applyFill="1"/>
    <xf numFmtId="164" fontId="10" fillId="2" borderId="0" xfId="0" applyFont="1" applyFill="1"/>
    <xf numFmtId="164" fontId="10" fillId="2" borderId="0" xfId="0" applyFont="1" applyFill="1" applyAlignment="1">
      <alignment horizontal="center"/>
    </xf>
    <xf numFmtId="164" fontId="11" fillId="2" borderId="0" xfId="0" applyFont="1" applyFill="1"/>
    <xf numFmtId="14" fontId="8" fillId="2" borderId="0" xfId="0" applyNumberFormat="1" applyFont="1" applyFill="1" applyAlignment="1">
      <alignment horizontal="left"/>
    </xf>
    <xf numFmtId="164" fontId="12" fillId="2" borderId="0" xfId="0" applyFont="1" applyFill="1"/>
    <xf numFmtId="164" fontId="12" fillId="2" borderId="0" xfId="0" quotePrefix="1" applyFont="1" applyFill="1" applyAlignment="1">
      <alignment horizontal="left"/>
    </xf>
    <xf numFmtId="164" fontId="8" fillId="2" borderId="0" xfId="0" applyFont="1" applyFill="1" applyAlignment="1">
      <alignment horizontal="left"/>
    </xf>
    <xf numFmtId="164" fontId="13" fillId="2" borderId="0" xfId="0" applyFont="1" applyFill="1"/>
    <xf numFmtId="164" fontId="8" fillId="0" borderId="0" xfId="0" applyFont="1"/>
    <xf numFmtId="164" fontId="12" fillId="2" borderId="0" xfId="0" applyFont="1" applyFill="1" applyAlignment="1">
      <alignment horizontal="right"/>
    </xf>
    <xf numFmtId="164" fontId="12" fillId="0" borderId="0" xfId="0" applyFont="1" applyAlignment="1">
      <alignment horizontal="right"/>
    </xf>
    <xf numFmtId="169" fontId="8" fillId="4" borderId="0" xfId="0" applyNumberFormat="1" applyFont="1" applyFill="1" applyAlignment="1" applyProtection="1">
      <alignment horizontal="left"/>
      <protection locked="0"/>
    </xf>
    <xf numFmtId="164" fontId="20" fillId="2" borderId="0" xfId="0" applyFont="1" applyFill="1"/>
    <xf numFmtId="164" fontId="0" fillId="2" borderId="0" xfId="0" applyFill="1"/>
    <xf numFmtId="164" fontId="12" fillId="2" borderId="0" xfId="0" quotePrefix="1" applyFont="1" applyFill="1"/>
    <xf numFmtId="164" fontId="8" fillId="0" borderId="0" xfId="0" applyFont="1" applyAlignment="1">
      <alignment horizontal="center"/>
    </xf>
    <xf numFmtId="164" fontId="21" fillId="0" borderId="0" xfId="0" applyFont="1" applyAlignment="1">
      <alignment horizontal="center"/>
    </xf>
    <xf numFmtId="164" fontId="11" fillId="2" borderId="0" xfId="0" applyFont="1" applyFill="1" applyAlignment="1">
      <alignment horizontal="left"/>
    </xf>
    <xf numFmtId="11" fontId="8" fillId="2" borderId="0" xfId="0" applyNumberFormat="1" applyFont="1" applyFill="1" applyAlignment="1">
      <alignment horizontal="center"/>
    </xf>
    <xf numFmtId="164" fontId="8" fillId="0" borderId="0" xfId="0" applyFont="1" applyAlignment="1">
      <alignment horizontal="left"/>
    </xf>
    <xf numFmtId="164" fontId="21" fillId="0" borderId="0" xfId="0" applyFont="1" applyAlignment="1">
      <alignment horizontal="center" vertical="center"/>
    </xf>
    <xf numFmtId="164" fontId="21" fillId="0" borderId="0" xfId="0" applyFont="1"/>
    <xf numFmtId="164" fontId="23" fillId="0" borderId="0" xfId="0" applyFont="1"/>
    <xf numFmtId="164" fontId="21" fillId="0" borderId="0" xfId="0" applyFont="1" applyAlignment="1">
      <alignment horizontal="left"/>
    </xf>
    <xf numFmtId="14" fontId="0" fillId="2" borderId="0" xfId="0" applyNumberFormat="1" applyFill="1" applyAlignment="1">
      <alignment horizontal="left"/>
    </xf>
    <xf numFmtId="164" fontId="0" fillId="2" borderId="0" xfId="0" quotePrefix="1" applyFill="1"/>
    <xf numFmtId="0" fontId="0" fillId="0" borderId="0" xfId="0" applyNumberFormat="1" applyAlignment="1">
      <alignment horizontal="center"/>
    </xf>
    <xf numFmtId="164" fontId="22" fillId="2" borderId="0" xfId="0" applyFont="1" applyFill="1" applyAlignment="1">
      <alignment horizontal="left" vertical="center"/>
    </xf>
    <xf numFmtId="164" fontId="36" fillId="2" borderId="0" xfId="0" quotePrefix="1" applyFont="1" applyFill="1" applyAlignment="1">
      <alignment horizontal="left"/>
    </xf>
    <xf numFmtId="14" fontId="36" fillId="2" borderId="0" xfId="0" applyNumberFormat="1" applyFont="1" applyFill="1" applyAlignment="1">
      <alignment horizontal="left"/>
    </xf>
    <xf numFmtId="164" fontId="36" fillId="2" borderId="0" xfId="0" applyFont="1" applyFill="1"/>
    <xf numFmtId="164" fontId="36" fillId="2" borderId="0" xfId="0" quotePrefix="1" applyFont="1" applyFill="1"/>
    <xf numFmtId="164" fontId="0" fillId="2" borderId="0" xfId="0" applyFill="1" applyAlignment="1">
      <alignment horizontal="left"/>
    </xf>
    <xf numFmtId="164" fontId="22" fillId="2" borderId="12" xfId="0" applyFont="1" applyFill="1" applyBorder="1" applyAlignment="1">
      <alignment horizontal="left"/>
    </xf>
    <xf numFmtId="164" fontId="22" fillId="2" borderId="12" xfId="0" applyFont="1" applyFill="1" applyBorder="1"/>
    <xf numFmtId="164" fontId="18" fillId="2" borderId="0" xfId="0" applyFont="1" applyFill="1" applyAlignment="1">
      <alignment horizontal="left"/>
    </xf>
    <xf numFmtId="166" fontId="11" fillId="2" borderId="0" xfId="0" applyNumberFormat="1" applyFont="1" applyFill="1"/>
    <xf numFmtId="164" fontId="11" fillId="2" borderId="3" xfId="0" applyFont="1" applyFill="1" applyBorder="1" applyAlignment="1">
      <alignment horizontal="right"/>
    </xf>
    <xf numFmtId="164" fontId="11" fillId="2" borderId="14" xfId="0" applyFont="1" applyFill="1" applyBorder="1" applyAlignment="1">
      <alignment horizontal="right"/>
    </xf>
    <xf numFmtId="0" fontId="8" fillId="2" borderId="0" xfId="0" applyNumberFormat="1" applyFont="1" applyFill="1"/>
    <xf numFmtId="164" fontId="8" fillId="5" borderId="0" xfId="0" applyFont="1" applyFill="1"/>
    <xf numFmtId="164" fontId="16" fillId="2" borderId="0" xfId="0" applyFont="1" applyFill="1"/>
    <xf numFmtId="11" fontId="11" fillId="2" borderId="13" xfId="0" applyNumberFormat="1" applyFont="1" applyFill="1" applyBorder="1" applyAlignment="1">
      <alignment horizontal="center"/>
    </xf>
    <xf numFmtId="11" fontId="11" fillId="2" borderId="15" xfId="0" applyNumberFormat="1" applyFont="1" applyFill="1" applyBorder="1" applyAlignment="1">
      <alignment horizontal="center"/>
    </xf>
    <xf numFmtId="11" fontId="11" fillId="2" borderId="16" xfId="0" applyNumberFormat="1" applyFont="1" applyFill="1" applyBorder="1" applyAlignment="1">
      <alignment horizontal="center"/>
    </xf>
    <xf numFmtId="164" fontId="9" fillId="6" borderId="17" xfId="0" applyFont="1" applyFill="1" applyBorder="1"/>
    <xf numFmtId="11" fontId="8" fillId="6" borderId="5" xfId="0" applyNumberFormat="1" applyFont="1" applyFill="1" applyBorder="1"/>
    <xf numFmtId="11" fontId="8" fillId="2" borderId="0" xfId="0" quotePrefix="1" applyNumberFormat="1" applyFont="1" applyFill="1" applyProtection="1">
      <protection locked="0"/>
    </xf>
    <xf numFmtId="164" fontId="8" fillId="2" borderId="0" xfId="0" applyFont="1" applyFill="1" applyProtection="1">
      <protection locked="0"/>
    </xf>
    <xf numFmtId="11" fontId="8" fillId="2" borderId="0" xfId="0" applyNumberFormat="1" applyFont="1" applyFill="1"/>
    <xf numFmtId="168" fontId="8" fillId="2" borderId="0" xfId="0" applyNumberFormat="1" applyFont="1" applyFill="1" applyAlignment="1">
      <alignment horizontal="left"/>
    </xf>
    <xf numFmtId="164" fontId="8" fillId="2" borderId="0" xfId="0" quotePrefix="1" applyFont="1" applyFill="1" applyProtection="1">
      <protection locked="0"/>
    </xf>
    <xf numFmtId="164" fontId="8" fillId="2" borderId="18" xfId="0" applyFont="1" applyFill="1" applyBorder="1"/>
    <xf numFmtId="164" fontId="8" fillId="6" borderId="8" xfId="0" applyFont="1" applyFill="1" applyBorder="1"/>
    <xf numFmtId="11" fontId="8" fillId="6" borderId="0" xfId="0" applyNumberFormat="1" applyFont="1" applyFill="1"/>
    <xf numFmtId="11" fontId="8" fillId="6" borderId="6" xfId="0" applyNumberFormat="1" applyFont="1" applyFill="1" applyBorder="1"/>
    <xf numFmtId="11" fontId="8" fillId="5" borderId="0" xfId="0" applyNumberFormat="1" applyFont="1" applyFill="1"/>
    <xf numFmtId="164" fontId="8" fillId="6" borderId="9" xfId="0" applyFont="1" applyFill="1" applyBorder="1"/>
    <xf numFmtId="164" fontId="8" fillId="2" borderId="19" xfId="0" applyFont="1" applyFill="1" applyBorder="1"/>
    <xf numFmtId="11" fontId="11" fillId="2" borderId="18" xfId="0" applyNumberFormat="1" applyFont="1" applyFill="1" applyBorder="1" applyAlignment="1">
      <alignment horizontal="center"/>
    </xf>
    <xf numFmtId="11" fontId="8" fillId="6" borderId="10" xfId="0" applyNumberFormat="1" applyFont="1" applyFill="1" applyBorder="1"/>
    <xf numFmtId="11" fontId="8" fillId="6" borderId="11" xfId="0" applyNumberFormat="1" applyFont="1" applyFill="1" applyBorder="1"/>
    <xf numFmtId="11" fontId="8" fillId="6" borderId="20" xfId="0" applyNumberFormat="1" applyFont="1" applyFill="1" applyBorder="1"/>
    <xf numFmtId="11" fontId="8" fillId="6" borderId="8" xfId="0" applyNumberFormat="1" applyFont="1" applyFill="1" applyBorder="1"/>
    <xf numFmtId="11" fontId="8" fillId="6" borderId="9" xfId="0" applyNumberFormat="1" applyFont="1" applyFill="1" applyBorder="1"/>
    <xf numFmtId="11" fontId="8" fillId="6" borderId="8" xfId="0" quotePrefix="1" applyNumberFormat="1" applyFont="1" applyFill="1" applyBorder="1"/>
    <xf numFmtId="11" fontId="8" fillId="6" borderId="9" xfId="0" quotePrefix="1" applyNumberFormat="1" applyFont="1" applyFill="1" applyBorder="1"/>
    <xf numFmtId="164" fontId="11" fillId="2" borderId="0" xfId="0" quotePrefix="1" applyFont="1" applyFill="1" applyAlignment="1">
      <alignment horizontal="left"/>
    </xf>
    <xf numFmtId="164" fontId="10" fillId="2" borderId="0" xfId="0" applyFont="1" applyFill="1" applyAlignment="1">
      <alignment horizontal="left"/>
    </xf>
    <xf numFmtId="164" fontId="9" fillId="2" borderId="0" xfId="0" applyFont="1" applyFill="1"/>
    <xf numFmtId="166" fontId="11" fillId="2" borderId="0" xfId="0" applyNumberFormat="1" applyFont="1" applyFill="1" applyAlignment="1">
      <alignment horizontal="right"/>
    </xf>
    <xf numFmtId="10" fontId="11" fillId="2" borderId="0" xfId="0" applyNumberFormat="1" applyFont="1" applyFill="1" applyAlignment="1">
      <alignment horizontal="left"/>
    </xf>
    <xf numFmtId="10" fontId="17" fillId="2" borderId="0" xfId="0" applyNumberFormat="1" applyFont="1" applyFill="1"/>
    <xf numFmtId="164" fontId="11" fillId="2" borderId="21" xfId="0" applyFont="1" applyFill="1" applyBorder="1" applyAlignment="1">
      <alignment horizontal="left"/>
    </xf>
    <xf numFmtId="164" fontId="8" fillId="2" borderId="3" xfId="0" applyFont="1" applyFill="1" applyBorder="1"/>
    <xf numFmtId="164" fontId="11" fillId="2" borderId="3" xfId="0" applyFont="1" applyFill="1" applyBorder="1" applyAlignment="1">
      <alignment horizontal="left"/>
    </xf>
    <xf numFmtId="10" fontId="11" fillId="2" borderId="0" xfId="0" applyNumberFormat="1" applyFont="1" applyFill="1"/>
    <xf numFmtId="166" fontId="18" fillId="2" borderId="0" xfId="0" quotePrefix="1" applyNumberFormat="1" applyFont="1" applyFill="1"/>
    <xf numFmtId="166" fontId="18" fillId="2" borderId="0" xfId="0" applyNumberFormat="1" applyFont="1" applyFill="1"/>
    <xf numFmtId="166" fontId="11" fillId="2" borderId="0" xfId="0" applyNumberFormat="1" applyFont="1" applyFill="1" applyAlignment="1">
      <alignment horizontal="left"/>
    </xf>
    <xf numFmtId="166" fontId="19" fillId="2" borderId="0" xfId="0" applyNumberFormat="1" applyFont="1" applyFill="1"/>
    <xf numFmtId="166" fontId="11" fillId="2" borderId="22" xfId="0" applyNumberFormat="1" applyFont="1" applyFill="1" applyBorder="1"/>
    <xf numFmtId="166" fontId="11" fillId="2" borderId="5" xfId="0" applyNumberFormat="1" applyFont="1" applyFill="1" applyBorder="1"/>
    <xf numFmtId="11" fontId="11" fillId="2" borderId="0" xfId="0" applyNumberFormat="1" applyFont="1" applyFill="1"/>
    <xf numFmtId="164" fontId="11" fillId="2" borderId="5" xfId="0" applyFont="1" applyFill="1" applyBorder="1"/>
    <xf numFmtId="10" fontId="11" fillId="2" borderId="5" xfId="0" applyNumberFormat="1" applyFont="1" applyFill="1" applyBorder="1"/>
    <xf numFmtId="164" fontId="11" fillId="2" borderId="23" xfId="0" applyFont="1" applyFill="1" applyBorder="1"/>
    <xf numFmtId="11" fontId="11" fillId="2" borderId="3" xfId="0" applyNumberFormat="1" applyFont="1" applyFill="1" applyBorder="1"/>
    <xf numFmtId="10" fontId="17" fillId="2" borderId="0" xfId="9" applyNumberFormat="1" applyFont="1" applyFill="1" applyAlignment="1"/>
    <xf numFmtId="10" fontId="11" fillId="2" borderId="0" xfId="0" applyNumberFormat="1" applyFont="1" applyFill="1" applyAlignment="1">
      <alignment horizontal="center"/>
    </xf>
    <xf numFmtId="10" fontId="11" fillId="2" borderId="0" xfId="0" applyNumberFormat="1" applyFont="1" applyFill="1" applyAlignment="1">
      <alignment horizontal="right"/>
    </xf>
    <xf numFmtId="166" fontId="17" fillId="2" borderId="0" xfId="0" quotePrefix="1" applyNumberFormat="1" applyFont="1" applyFill="1"/>
    <xf numFmtId="164" fontId="11" fillId="2" borderId="0" xfId="0" applyFont="1" applyFill="1" applyAlignment="1">
      <alignment horizontal="right"/>
    </xf>
    <xf numFmtId="166" fontId="11" fillId="2" borderId="23" xfId="0" applyNumberFormat="1" applyFont="1" applyFill="1" applyBorder="1"/>
    <xf numFmtId="164" fontId="11" fillId="0" borderId="0" xfId="0" quotePrefix="1" applyFont="1" applyAlignment="1">
      <alignment horizontal="left"/>
    </xf>
    <xf numFmtId="164" fontId="9" fillId="2" borderId="0" xfId="0" quotePrefix="1" applyFont="1" applyFill="1" applyAlignment="1">
      <alignment horizontal="left"/>
    </xf>
    <xf numFmtId="164" fontId="11" fillId="2" borderId="24" xfId="0" applyFont="1" applyFill="1" applyBorder="1" applyAlignment="1">
      <alignment horizontal="left"/>
    </xf>
    <xf numFmtId="164" fontId="11" fillId="2" borderId="14" xfId="0" applyFont="1" applyFill="1" applyBorder="1" applyAlignment="1">
      <alignment horizontal="left"/>
    </xf>
    <xf numFmtId="164" fontId="11" fillId="2" borderId="8" xfId="0" applyFont="1" applyFill="1" applyBorder="1"/>
    <xf numFmtId="164" fontId="9" fillId="2" borderId="21" xfId="0" applyFont="1" applyFill="1" applyBorder="1" applyAlignment="1">
      <alignment horizontal="left"/>
    </xf>
    <xf numFmtId="164" fontId="8" fillId="2" borderId="0" xfId="0" applyFont="1" applyFill="1" applyAlignment="1">
      <alignment horizontal="right"/>
    </xf>
    <xf numFmtId="164" fontId="22" fillId="2" borderId="3" xfId="0" applyFont="1" applyFill="1" applyBorder="1" applyAlignment="1">
      <alignment horizontal="left"/>
    </xf>
    <xf numFmtId="164" fontId="22" fillId="2" borderId="3" xfId="0" applyFont="1" applyFill="1" applyBorder="1"/>
    <xf numFmtId="11" fontId="10" fillId="0" borderId="4" xfId="0" applyNumberFormat="1" applyFont="1" applyBorder="1" applyAlignment="1">
      <alignment horizontal="right"/>
    </xf>
    <xf numFmtId="164" fontId="10" fillId="0" borderId="3" xfId="0" applyFont="1" applyBorder="1" applyAlignment="1">
      <alignment horizontal="right"/>
    </xf>
    <xf numFmtId="168" fontId="8" fillId="2" borderId="0" xfId="0" applyNumberFormat="1" applyFont="1" applyFill="1"/>
    <xf numFmtId="11" fontId="8" fillId="2" borderId="0" xfId="0" applyNumberFormat="1" applyFont="1" applyFill="1" applyAlignment="1">
      <alignment horizontal="right"/>
    </xf>
    <xf numFmtId="166" fontId="8" fillId="2" borderId="0" xfId="0" applyNumberFormat="1" applyFont="1" applyFill="1"/>
    <xf numFmtId="11" fontId="8" fillId="2" borderId="0" xfId="0" applyNumberFormat="1" applyFont="1" applyFill="1" applyAlignment="1">
      <alignment horizontal="left"/>
    </xf>
    <xf numFmtId="164" fontId="8" fillId="2" borderId="23" xfId="0" applyFont="1" applyFill="1" applyBorder="1"/>
    <xf numFmtId="166" fontId="8" fillId="2" borderId="0" xfId="0" quotePrefix="1" applyNumberFormat="1" applyFont="1" applyFill="1"/>
    <xf numFmtId="164" fontId="8" fillId="2" borderId="4" xfId="0" applyFont="1" applyFill="1" applyBorder="1"/>
    <xf numFmtId="164" fontId="8" fillId="2" borderId="25" xfId="0" applyFont="1" applyFill="1" applyBorder="1"/>
    <xf numFmtId="164" fontId="8" fillId="2" borderId="5" xfId="0" applyFont="1" applyFill="1" applyBorder="1"/>
    <xf numFmtId="164" fontId="8" fillId="2" borderId="6" xfId="0" applyFont="1" applyFill="1" applyBorder="1"/>
    <xf numFmtId="166" fontId="8" fillId="2" borderId="6" xfId="0" applyNumberFormat="1" applyFont="1" applyFill="1" applyBorder="1"/>
    <xf numFmtId="164" fontId="8" fillId="2" borderId="14" xfId="0" applyFont="1" applyFill="1" applyBorder="1"/>
    <xf numFmtId="10" fontId="8" fillId="2" borderId="0" xfId="0" applyNumberFormat="1" applyFont="1" applyFill="1"/>
    <xf numFmtId="11" fontId="0" fillId="2" borderId="0" xfId="0" applyNumberFormat="1" applyFill="1" applyAlignment="1">
      <alignment horizontal="center"/>
    </xf>
    <xf numFmtId="166" fontId="8" fillId="2" borderId="4" xfId="0" applyNumberFormat="1" applyFont="1" applyFill="1" applyBorder="1"/>
    <xf numFmtId="166" fontId="8" fillId="2" borderId="25" xfId="0" applyNumberFormat="1" applyFont="1" applyFill="1" applyBorder="1"/>
    <xf numFmtId="164" fontId="11" fillId="2" borderId="22" xfId="0" applyFont="1" applyFill="1" applyBorder="1"/>
    <xf numFmtId="164" fontId="37" fillId="2" borderId="0" xfId="0" applyFont="1" applyFill="1" applyAlignment="1">
      <alignment horizontal="right"/>
    </xf>
    <xf numFmtId="166" fontId="37" fillId="2" borderId="0" xfId="0" applyNumberFormat="1" applyFont="1" applyFill="1"/>
    <xf numFmtId="11" fontId="37" fillId="2" borderId="0" xfId="0" applyNumberFormat="1" applyFont="1" applyFill="1" applyAlignment="1">
      <alignment horizontal="left"/>
    </xf>
    <xf numFmtId="11" fontId="37" fillId="2" borderId="0" xfId="0" applyNumberFormat="1" applyFont="1" applyFill="1" applyAlignment="1">
      <alignment horizontal="center"/>
    </xf>
    <xf numFmtId="164" fontId="37" fillId="2" borderId="0" xfId="0" applyFont="1" applyFill="1"/>
    <xf numFmtId="11" fontId="38" fillId="2" borderId="0" xfId="0" applyNumberFormat="1" applyFont="1" applyFill="1" applyAlignment="1">
      <alignment horizontal="left"/>
    </xf>
    <xf numFmtId="11" fontId="37" fillId="2" borderId="0" xfId="0" applyNumberFormat="1" applyFont="1" applyFill="1"/>
    <xf numFmtId="164" fontId="37" fillId="2" borderId="0" xfId="0" applyFont="1" applyFill="1" applyAlignment="1">
      <alignment horizontal="left"/>
    </xf>
    <xf numFmtId="11" fontId="39" fillId="2" borderId="0" xfId="0" applyNumberFormat="1" applyFont="1" applyFill="1" applyAlignment="1">
      <alignment horizontal="center"/>
    </xf>
    <xf numFmtId="166" fontId="39" fillId="2" borderId="0" xfId="0" applyNumberFormat="1" applyFont="1" applyFill="1"/>
    <xf numFmtId="11" fontId="39" fillId="2" borderId="0" xfId="0" applyNumberFormat="1" applyFont="1" applyFill="1" applyAlignment="1">
      <alignment horizontal="left"/>
    </xf>
    <xf numFmtId="166" fontId="40" fillId="2" borderId="0" xfId="0" applyNumberFormat="1" applyFont="1" applyFill="1"/>
    <xf numFmtId="11" fontId="39" fillId="2" borderId="0" xfId="0" applyNumberFormat="1" applyFont="1" applyFill="1"/>
    <xf numFmtId="164" fontId="39" fillId="2" borderId="0" xfId="0" applyFont="1" applyFill="1"/>
    <xf numFmtId="11" fontId="38" fillId="2" borderId="0" xfId="0" applyNumberFormat="1" applyFont="1" applyFill="1" applyAlignment="1">
      <alignment horizontal="center"/>
    </xf>
    <xf numFmtId="166" fontId="41" fillId="2" borderId="0" xfId="0" applyNumberFormat="1" applyFont="1" applyFill="1"/>
    <xf numFmtId="164" fontId="0" fillId="2" borderId="0" xfId="0" applyFill="1" applyAlignment="1">
      <alignment horizontal="left" vertical="center"/>
    </xf>
    <xf numFmtId="164" fontId="0" fillId="2" borderId="0" xfId="0" applyFill="1" applyAlignment="1">
      <alignment vertical="center"/>
    </xf>
    <xf numFmtId="164" fontId="0" fillId="2" borderId="0" xfId="0" quotePrefix="1" applyFill="1" applyAlignment="1">
      <alignment horizontal="left"/>
    </xf>
    <xf numFmtId="164" fontId="0" fillId="2" borderId="2" xfId="0" applyFill="1" applyBorder="1"/>
    <xf numFmtId="164" fontId="0" fillId="2" borderId="2" xfId="0" applyFill="1" applyBorder="1" applyAlignment="1">
      <alignment horizontal="left"/>
    </xf>
    <xf numFmtId="164" fontId="0" fillId="2" borderId="0" xfId="0" applyFill="1" applyAlignment="1">
      <alignment horizontal="right"/>
    </xf>
    <xf numFmtId="164" fontId="0" fillId="2" borderId="2" xfId="0" applyFill="1" applyBorder="1" applyAlignment="1">
      <alignment horizontal="center"/>
    </xf>
    <xf numFmtId="164" fontId="0" fillId="2" borderId="0" xfId="0" applyFill="1" applyAlignment="1">
      <alignment horizontal="center"/>
    </xf>
    <xf numFmtId="0" fontId="0" fillId="2" borderId="6" xfId="0" applyNumberFormat="1" applyFill="1" applyBorder="1" applyAlignment="1" applyProtection="1">
      <alignment horizontal="right" vertical="center" wrapText="1"/>
      <protection locked="0"/>
    </xf>
    <xf numFmtId="0" fontId="0" fillId="6" borderId="0" xfId="0" applyNumberFormat="1" applyFill="1" applyAlignment="1">
      <alignment horizontal="right" vertical="center" wrapText="1"/>
    </xf>
    <xf numFmtId="0" fontId="0" fillId="2" borderId="0" xfId="0" applyNumberFormat="1" applyFill="1"/>
    <xf numFmtId="11" fontId="0" fillId="6" borderId="5" xfId="0" applyNumberFormat="1" applyFill="1" applyBorder="1"/>
    <xf numFmtId="164" fontId="0" fillId="5" borderId="0" xfId="0" applyFill="1"/>
    <xf numFmtId="164" fontId="0" fillId="2" borderId="26" xfId="0" applyFill="1" applyBorder="1"/>
    <xf numFmtId="164" fontId="0" fillId="2" borderId="7" xfId="0" applyFill="1" applyBorder="1"/>
    <xf numFmtId="164" fontId="0" fillId="2" borderId="8" xfId="0" applyFill="1" applyBorder="1"/>
    <xf numFmtId="164" fontId="0" fillId="2" borderId="6" xfId="0" applyFill="1" applyBorder="1" applyAlignment="1">
      <alignment horizontal="left"/>
    </xf>
    <xf numFmtId="11" fontId="0" fillId="2" borderId="8" xfId="0" applyNumberFormat="1" applyFill="1" applyBorder="1" applyAlignment="1">
      <alignment horizontal="left"/>
    </xf>
    <xf numFmtId="11" fontId="0" fillId="2" borderId="6" xfId="0" applyNumberFormat="1" applyFill="1" applyBorder="1" applyAlignment="1">
      <alignment horizontal="left"/>
    </xf>
    <xf numFmtId="11" fontId="0" fillId="2" borderId="0" xfId="0" applyNumberFormat="1" applyFill="1" applyAlignment="1">
      <alignment horizontal="left"/>
    </xf>
    <xf numFmtId="11" fontId="0" fillId="2" borderId="0" xfId="0" applyNumberFormat="1" applyFill="1"/>
    <xf numFmtId="167" fontId="0" fillId="2" borderId="0" xfId="0" applyNumberFormat="1" applyFill="1"/>
    <xf numFmtId="164" fontId="0" fillId="2" borderId="13" xfId="0" applyFill="1" applyBorder="1" applyAlignment="1">
      <alignment vertical="center"/>
    </xf>
    <xf numFmtId="164" fontId="0" fillId="2" borderId="3" xfId="0" applyFill="1" applyBorder="1"/>
    <xf numFmtId="164" fontId="0" fillId="0" borderId="0" xfId="0" applyAlignment="1">
      <alignment horizontal="left"/>
    </xf>
    <xf numFmtId="164" fontId="39" fillId="2" borderId="0" xfId="0" applyFont="1" applyFill="1" applyAlignment="1">
      <alignment horizontal="center"/>
    </xf>
    <xf numFmtId="164" fontId="39" fillId="2" borderId="0" xfId="0" applyFont="1" applyFill="1" applyAlignment="1">
      <alignment horizontal="right"/>
    </xf>
    <xf numFmtId="164" fontId="0" fillId="0" borderId="0" xfId="0" applyAlignment="1">
      <alignment horizontal="center"/>
    </xf>
    <xf numFmtId="164" fontId="0" fillId="6" borderId="22" xfId="0" applyFill="1" applyBorder="1"/>
    <xf numFmtId="164" fontId="0" fillId="6" borderId="4" xfId="0" applyFill="1" applyBorder="1"/>
    <xf numFmtId="11" fontId="0" fillId="0" borderId="22" xfId="0" applyNumberFormat="1" applyBorder="1"/>
    <xf numFmtId="11" fontId="0" fillId="0" borderId="4" xfId="0" applyNumberFormat="1" applyBorder="1" applyAlignment="1">
      <alignment horizontal="center"/>
    </xf>
    <xf numFmtId="164" fontId="0" fillId="0" borderId="23" xfId="0" applyBorder="1" applyAlignment="1">
      <alignment horizontal="left"/>
    </xf>
    <xf numFmtId="11" fontId="0" fillId="0" borderId="3" xfId="0" applyNumberFormat="1" applyBorder="1" applyAlignment="1">
      <alignment horizontal="center"/>
    </xf>
    <xf numFmtId="164" fontId="0" fillId="0" borderId="0" xfId="0" quotePrefix="1" applyAlignment="1">
      <alignment horizontal="left"/>
    </xf>
    <xf numFmtId="11" fontId="0" fillId="0" borderId="0" xfId="0" quotePrefix="1" applyNumberFormat="1" applyAlignment="1">
      <alignment horizontal="center"/>
    </xf>
    <xf numFmtId="11" fontId="0" fillId="0" borderId="0" xfId="0" applyNumberFormat="1" applyAlignment="1">
      <alignment horizontal="center"/>
    </xf>
    <xf numFmtId="164" fontId="0" fillId="6" borderId="28" xfId="0" applyFill="1" applyBorder="1" applyAlignment="1">
      <alignment horizontal="left"/>
    </xf>
    <xf numFmtId="164" fontId="0" fillId="6" borderId="2" xfId="0" applyFill="1" applyBorder="1" applyAlignment="1">
      <alignment horizontal="center"/>
    </xf>
    <xf numFmtId="164" fontId="0" fillId="0" borderId="5" xfId="0" applyBorder="1" applyAlignment="1">
      <alignment horizontal="left"/>
    </xf>
    <xf numFmtId="11" fontId="0" fillId="2" borderId="0" xfId="0" quotePrefix="1" applyNumberFormat="1" applyFill="1" applyAlignment="1">
      <alignment horizontal="center"/>
    </xf>
    <xf numFmtId="0" fontId="0" fillId="0" borderId="0" xfId="0" quotePrefix="1" applyNumberFormat="1" applyAlignment="1">
      <alignment horizontal="center"/>
    </xf>
    <xf numFmtId="0" fontId="0" fillId="0" borderId="6" xfId="0" quotePrefix="1" applyNumberFormat="1" applyBorder="1" applyAlignment="1">
      <alignment horizontal="center"/>
    </xf>
    <xf numFmtId="11" fontId="0" fillId="0" borderId="6" xfId="0" applyNumberFormat="1" applyBorder="1" applyAlignment="1">
      <alignment horizontal="center"/>
    </xf>
    <xf numFmtId="0" fontId="0" fillId="0" borderId="3" xfId="0" quotePrefix="1" applyNumberFormat="1" applyBorder="1" applyAlignment="1">
      <alignment horizontal="center"/>
    </xf>
    <xf numFmtId="164" fontId="0" fillId="6" borderId="29" xfId="0" applyFill="1" applyBorder="1" applyAlignment="1">
      <alignment horizontal="center"/>
    </xf>
    <xf numFmtId="11" fontId="0" fillId="0" borderId="0" xfId="0" applyNumberFormat="1" applyAlignment="1" applyProtection="1">
      <alignment horizontal="center"/>
      <protection locked="0"/>
    </xf>
    <xf numFmtId="11" fontId="0" fillId="0" borderId="6" xfId="0" applyNumberFormat="1" applyBorder="1" applyAlignment="1" applyProtection="1">
      <alignment horizontal="center"/>
      <protection locked="0"/>
    </xf>
    <xf numFmtId="164" fontId="0" fillId="0" borderId="28" xfId="0" applyBorder="1" applyAlignment="1">
      <alignment horizontal="left"/>
    </xf>
    <xf numFmtId="9" fontId="0" fillId="0" borderId="2" xfId="9" applyFont="1" applyFill="1" applyBorder="1" applyAlignment="1" applyProtection="1">
      <alignment horizontal="center"/>
    </xf>
    <xf numFmtId="9" fontId="0" fillId="0" borderId="0" xfId="9" applyFont="1" applyFill="1" applyBorder="1" applyAlignment="1" applyProtection="1">
      <alignment horizontal="center"/>
    </xf>
    <xf numFmtId="164" fontId="0" fillId="0" borderId="0" xfId="9" applyNumberFormat="1" applyFont="1" applyFill="1" applyBorder="1" applyAlignment="1" applyProtection="1">
      <alignment horizontal="center"/>
    </xf>
    <xf numFmtId="11" fontId="0" fillId="6" borderId="6" xfId="0" applyNumberFormat="1" applyFill="1" applyBorder="1" applyAlignment="1">
      <alignment horizontal="center"/>
    </xf>
    <xf numFmtId="11" fontId="0" fillId="6" borderId="14" xfId="0" applyNumberFormat="1" applyFill="1" applyBorder="1" applyAlignment="1">
      <alignment horizontal="center"/>
    </xf>
    <xf numFmtId="11" fontId="0" fillId="6" borderId="2" xfId="0" applyNumberFormat="1" applyFill="1" applyBorder="1" applyAlignment="1">
      <alignment horizontal="center"/>
    </xf>
    <xf numFmtId="11" fontId="0" fillId="6" borderId="2" xfId="0" quotePrefix="1" applyNumberFormat="1" applyFill="1" applyBorder="1" applyAlignment="1">
      <alignment horizontal="center"/>
    </xf>
    <xf numFmtId="11" fontId="0" fillId="6" borderId="29" xfId="0" quotePrefix="1" applyNumberFormat="1" applyFill="1" applyBorder="1" applyAlignment="1">
      <alignment horizontal="center"/>
    </xf>
    <xf numFmtId="164" fontId="0" fillId="0" borderId="6" xfId="0" applyBorder="1" applyAlignment="1">
      <alignment horizontal="center"/>
    </xf>
    <xf numFmtId="11" fontId="0" fillId="0" borderId="5" xfId="0" applyNumberFormat="1" applyBorder="1" applyAlignment="1">
      <alignment horizontal="left"/>
    </xf>
    <xf numFmtId="11" fontId="0" fillId="0" borderId="28" xfId="0" applyNumberFormat="1" applyBorder="1" applyAlignment="1">
      <alignment horizontal="left"/>
    </xf>
    <xf numFmtId="164" fontId="0" fillId="0" borderId="2" xfId="0" applyBorder="1" applyAlignment="1">
      <alignment horizontal="center"/>
    </xf>
    <xf numFmtId="164" fontId="0" fillId="0" borderId="29" xfId="0" applyBorder="1" applyAlignment="1">
      <alignment horizontal="center"/>
    </xf>
    <xf numFmtId="164" fontId="0" fillId="2" borderId="13" xfId="0" applyFill="1" applyBorder="1" applyAlignment="1">
      <alignment horizontal="left" vertical="center"/>
    </xf>
    <xf numFmtId="164" fontId="0" fillId="2" borderId="13" xfId="0" applyFill="1" applyBorder="1" applyAlignment="1">
      <alignment horizontal="right" vertical="center"/>
    </xf>
    <xf numFmtId="11" fontId="0" fillId="2" borderId="12" xfId="0" applyNumberFormat="1" applyFill="1" applyBorder="1" applyAlignment="1">
      <alignment horizontal="center"/>
    </xf>
    <xf numFmtId="11" fontId="0" fillId="2" borderId="12" xfId="0" quotePrefix="1" applyNumberFormat="1" applyFill="1" applyBorder="1" applyAlignment="1">
      <alignment horizontal="center"/>
    </xf>
    <xf numFmtId="164" fontId="8" fillId="7" borderId="0" xfId="0" applyFont="1" applyFill="1"/>
    <xf numFmtId="164" fontId="0" fillId="7" borderId="0" xfId="0" applyFill="1" applyAlignment="1">
      <alignment horizontal="left"/>
    </xf>
    <xf numFmtId="164" fontId="18" fillId="7" borderId="0" xfId="0" applyFont="1" applyFill="1" applyAlignment="1">
      <alignment horizontal="left"/>
    </xf>
    <xf numFmtId="164" fontId="11" fillId="7" borderId="0" xfId="0" applyFont="1" applyFill="1" applyAlignment="1">
      <alignment horizontal="left"/>
    </xf>
    <xf numFmtId="164" fontId="0" fillId="7" borderId="0" xfId="0" applyFill="1"/>
    <xf numFmtId="164" fontId="38" fillId="2" borderId="0" xfId="0" applyFont="1" applyFill="1" applyAlignment="1">
      <alignment horizontal="left"/>
    </xf>
    <xf numFmtId="165" fontId="38" fillId="2" borderId="0" xfId="0" applyNumberFormat="1" applyFont="1" applyFill="1" applyAlignment="1">
      <alignment horizontal="left"/>
    </xf>
    <xf numFmtId="164" fontId="38" fillId="2" borderId="0" xfId="0" applyFont="1" applyFill="1" applyAlignment="1">
      <alignment horizontal="right"/>
    </xf>
    <xf numFmtId="164" fontId="38" fillId="2" borderId="0" xfId="0" applyFont="1" applyFill="1"/>
    <xf numFmtId="11" fontId="38" fillId="2" borderId="12" xfId="0" applyNumberFormat="1" applyFont="1" applyFill="1" applyBorder="1" applyAlignment="1">
      <alignment horizontal="center"/>
    </xf>
    <xf numFmtId="11" fontId="38" fillId="0" borderId="0" xfId="0" applyNumberFormat="1" applyFont="1" applyAlignment="1">
      <alignment horizontal="center"/>
    </xf>
    <xf numFmtId="164" fontId="42" fillId="0" borderId="0" xfId="0" applyFont="1" applyAlignment="1">
      <alignment horizontal="center"/>
    </xf>
    <xf numFmtId="11" fontId="42" fillId="8" borderId="13" xfId="0" applyNumberFormat="1" applyFont="1" applyFill="1" applyBorder="1" applyAlignment="1">
      <alignment horizontal="center" vertical="center" wrapText="1"/>
    </xf>
    <xf numFmtId="11" fontId="42" fillId="8" borderId="0" xfId="0" applyNumberFormat="1" applyFont="1" applyFill="1" applyAlignment="1">
      <alignment horizontal="center" vertical="center" wrapText="1"/>
    </xf>
    <xf numFmtId="164" fontId="8" fillId="2" borderId="0" xfId="0" quotePrefix="1" applyFont="1" applyFill="1"/>
    <xf numFmtId="164" fontId="0" fillId="7" borderId="0" xfId="0" applyFill="1" applyAlignment="1">
      <alignment horizontal="center"/>
    </xf>
    <xf numFmtId="164" fontId="0" fillId="6" borderId="5" xfId="0" applyFill="1" applyBorder="1"/>
    <xf numFmtId="0" fontId="8" fillId="7" borderId="0" xfId="0" applyNumberFormat="1" applyFont="1" applyFill="1"/>
    <xf numFmtId="164" fontId="8" fillId="7" borderId="0" xfId="0" applyFont="1" applyFill="1" applyAlignment="1">
      <alignment horizontal="center"/>
    </xf>
    <xf numFmtId="164" fontId="42" fillId="2" borderId="0" xfId="0" applyFont="1" applyFill="1" applyAlignment="1">
      <alignment horizontal="center"/>
    </xf>
    <xf numFmtId="164" fontId="0" fillId="7" borderId="0" xfId="0" applyFill="1" applyAlignment="1">
      <alignment horizontal="right"/>
    </xf>
    <xf numFmtId="164" fontId="0" fillId="7" borderId="2" xfId="0" applyFill="1" applyBorder="1" applyAlignment="1">
      <alignment horizontal="center"/>
    </xf>
    <xf numFmtId="11" fontId="38" fillId="8" borderId="0" xfId="0" applyNumberFormat="1" applyFont="1" applyFill="1" applyAlignment="1">
      <alignment horizontal="center"/>
    </xf>
    <xf numFmtId="164" fontId="43" fillId="0" borderId="0" xfId="0" applyFont="1"/>
    <xf numFmtId="164" fontId="42" fillId="8" borderId="6" xfId="0" applyFont="1" applyFill="1" applyBorder="1" applyProtection="1">
      <protection locked="0"/>
    </xf>
    <xf numFmtId="14" fontId="3" fillId="2" borderId="0" xfId="1" applyNumberFormat="1" applyFill="1" applyAlignment="1" applyProtection="1">
      <alignment horizontal="left"/>
    </xf>
    <xf numFmtId="164" fontId="30" fillId="2" borderId="0" xfId="0" quotePrefix="1" applyFont="1" applyFill="1" applyAlignment="1">
      <alignment horizontal="left"/>
    </xf>
    <xf numFmtId="164" fontId="42" fillId="8" borderId="6" xfId="0" applyFont="1" applyFill="1" applyBorder="1" applyAlignment="1" applyProtection="1">
      <alignment horizontal="right"/>
      <protection locked="0"/>
    </xf>
    <xf numFmtId="169" fontId="0" fillId="2" borderId="0" xfId="0" applyNumberFormat="1" applyFill="1"/>
    <xf numFmtId="14" fontId="39" fillId="2" borderId="0" xfId="0" applyNumberFormat="1" applyFont="1" applyFill="1" applyAlignment="1">
      <alignment horizontal="left"/>
    </xf>
    <xf numFmtId="169" fontId="8" fillId="0" borderId="0" xfId="0" applyNumberFormat="1" applyFont="1" applyAlignment="1">
      <alignment horizontal="right"/>
    </xf>
    <xf numFmtId="0" fontId="0" fillId="2" borderId="0" xfId="0" applyNumberFormat="1" applyFill="1" applyAlignment="1">
      <alignment horizontal="center"/>
    </xf>
    <xf numFmtId="164" fontId="42" fillId="7" borderId="0" xfId="0" applyFont="1" applyFill="1" applyAlignment="1" applyProtection="1">
      <alignment horizontal="right"/>
      <protection locked="0"/>
    </xf>
    <xf numFmtId="11" fontId="0" fillId="2" borderId="5" xfId="0" applyNumberFormat="1" applyFill="1" applyBorder="1" applyAlignment="1">
      <alignment horizontal="right"/>
    </xf>
    <xf numFmtId="11" fontId="0" fillId="2" borderId="0" xfId="0" applyNumberFormat="1" applyFill="1" applyAlignment="1">
      <alignment horizontal="right"/>
    </xf>
    <xf numFmtId="11" fontId="0" fillId="2" borderId="3" xfId="0" applyNumberFormat="1" applyFill="1" applyBorder="1" applyAlignment="1">
      <alignment horizontal="right"/>
    </xf>
    <xf numFmtId="11" fontId="0" fillId="9" borderId="0" xfId="0" applyNumberFormat="1" applyFill="1" applyAlignment="1">
      <alignment horizontal="right"/>
    </xf>
    <xf numFmtId="11" fontId="39" fillId="2" borderId="0" xfId="0" applyNumberFormat="1" applyFont="1" applyFill="1" applyAlignment="1">
      <alignment horizontal="right"/>
    </xf>
    <xf numFmtId="11" fontId="44" fillId="2" borderId="0" xfId="0" applyNumberFormat="1" applyFont="1" applyFill="1" applyAlignment="1">
      <alignment horizontal="right"/>
    </xf>
    <xf numFmtId="11" fontId="37" fillId="2" borderId="0" xfId="0" applyNumberFormat="1" applyFont="1" applyFill="1" applyAlignment="1">
      <alignment horizontal="right"/>
    </xf>
    <xf numFmtId="11" fontId="37" fillId="2" borderId="0" xfId="0" applyNumberFormat="1" applyFont="1" applyFill="1" applyAlignment="1">
      <alignment horizontal="right" vertical="top"/>
    </xf>
    <xf numFmtId="11" fontId="45" fillId="2" borderId="0" xfId="0" applyNumberFormat="1" applyFont="1" applyFill="1" applyAlignment="1">
      <alignment horizontal="left"/>
    </xf>
    <xf numFmtId="164" fontId="0" fillId="2" borderId="6" xfId="0" applyFill="1" applyBorder="1"/>
    <xf numFmtId="166" fontId="8" fillId="2" borderId="0" xfId="0" applyNumberFormat="1" applyFont="1" applyFill="1" applyAlignment="1">
      <alignment horizontal="right"/>
    </xf>
    <xf numFmtId="11" fontId="46" fillId="2" borderId="0" xfId="0" applyNumberFormat="1" applyFont="1" applyFill="1" applyAlignment="1">
      <alignment horizontal="right"/>
    </xf>
    <xf numFmtId="11" fontId="38" fillId="2" borderId="0" xfId="0" applyNumberFormat="1" applyFont="1" applyFill="1" applyAlignment="1">
      <alignment horizontal="right"/>
    </xf>
    <xf numFmtId="164" fontId="37" fillId="2" borderId="0" xfId="0" applyFont="1" applyFill="1" applyAlignment="1">
      <alignment horizontal="center"/>
    </xf>
    <xf numFmtId="164" fontId="30" fillId="2" borderId="0" xfId="0" applyFont="1" applyFill="1" applyAlignment="1">
      <alignment horizontal="right"/>
    </xf>
    <xf numFmtId="164" fontId="8" fillId="2" borderId="22" xfId="0" applyFont="1" applyFill="1" applyBorder="1"/>
    <xf numFmtId="168" fontId="8" fillId="2" borderId="4" xfId="0" applyNumberFormat="1" applyFont="1" applyFill="1" applyBorder="1"/>
    <xf numFmtId="164" fontId="0" fillId="2" borderId="5" xfId="0" applyFill="1" applyBorder="1"/>
    <xf numFmtId="15" fontId="8" fillId="2" borderId="3" xfId="0" applyNumberFormat="1" applyFont="1" applyFill="1" applyBorder="1" applyAlignment="1">
      <alignment horizontal="left"/>
    </xf>
    <xf numFmtId="11" fontId="8" fillId="2" borderId="4" xfId="0" applyNumberFormat="1" applyFont="1" applyFill="1" applyBorder="1"/>
    <xf numFmtId="0" fontId="0" fillId="0" borderId="3" xfId="0" applyNumberFormat="1" applyBorder="1" applyAlignment="1">
      <alignment horizontal="center"/>
    </xf>
    <xf numFmtId="164" fontId="0" fillId="0" borderId="0" xfId="0" applyAlignment="1">
      <alignment vertical="center"/>
    </xf>
    <xf numFmtId="164" fontId="0" fillId="10" borderId="19" xfId="0" applyFill="1" applyBorder="1" applyAlignment="1">
      <alignment horizontal="left" vertical="center"/>
    </xf>
    <xf numFmtId="164" fontId="0" fillId="10" borderId="19" xfId="0" applyFill="1" applyBorder="1" applyAlignment="1">
      <alignment horizontal="right" vertical="center"/>
    </xf>
    <xf numFmtId="164" fontId="0" fillId="10" borderId="19" xfId="0" quotePrefix="1" applyFill="1" applyBorder="1" applyAlignment="1">
      <alignment horizontal="left" vertical="center"/>
    </xf>
    <xf numFmtId="164" fontId="0" fillId="10" borderId="19" xfId="0" quotePrefix="1" applyFill="1" applyBorder="1" applyAlignment="1">
      <alignment vertical="center"/>
    </xf>
    <xf numFmtId="164" fontId="0" fillId="10" borderId="19" xfId="0" applyFill="1" applyBorder="1" applyAlignment="1">
      <alignment vertical="center"/>
    </xf>
    <xf numFmtId="171" fontId="0" fillId="10" borderId="19" xfId="0" applyNumberFormat="1" applyFill="1" applyBorder="1" applyAlignment="1">
      <alignment horizontal="right" vertical="center"/>
    </xf>
    <xf numFmtId="9" fontId="8" fillId="10" borderId="19" xfId="9" applyFont="1" applyFill="1" applyBorder="1" applyAlignment="1" applyProtection="1">
      <alignment horizontal="right" vertical="center"/>
    </xf>
    <xf numFmtId="164" fontId="0" fillId="10" borderId="19" xfId="0" quotePrefix="1" applyFill="1" applyBorder="1" applyAlignment="1">
      <alignment horizontal="left" vertical="center" wrapText="1"/>
    </xf>
    <xf numFmtId="0" fontId="0" fillId="10" borderId="19" xfId="0" applyNumberFormat="1" applyFill="1" applyBorder="1" applyAlignment="1">
      <alignment horizontal="right" vertical="center"/>
    </xf>
    <xf numFmtId="164" fontId="0" fillId="10" borderId="19" xfId="0" quotePrefix="1" applyFill="1" applyBorder="1" applyAlignment="1">
      <alignment vertical="center" wrapText="1"/>
    </xf>
    <xf numFmtId="164" fontId="11" fillId="10" borderId="19" xfId="0" applyFont="1" applyFill="1" applyBorder="1" applyAlignment="1">
      <alignment vertical="center"/>
    </xf>
    <xf numFmtId="164" fontId="11" fillId="0" borderId="0" xfId="0" applyFont="1" applyAlignment="1">
      <alignment vertical="center"/>
    </xf>
    <xf numFmtId="9" fontId="8" fillId="10" borderId="19" xfId="9" quotePrefix="1" applyFont="1" applyFill="1" applyBorder="1" applyAlignment="1" applyProtection="1">
      <alignment horizontal="left" vertical="center" wrapText="1"/>
    </xf>
    <xf numFmtId="1" fontId="0" fillId="2" borderId="13" xfId="0" applyNumberFormat="1" applyFill="1" applyBorder="1" applyAlignment="1">
      <alignment horizontal="center" vertical="center" wrapText="1"/>
    </xf>
    <xf numFmtId="11" fontId="0" fillId="2" borderId="2" xfId="0" applyNumberFormat="1" applyFill="1" applyBorder="1" applyAlignment="1">
      <alignment horizontal="center"/>
    </xf>
    <xf numFmtId="11" fontId="0" fillId="0" borderId="0" xfId="0" applyNumberFormat="1"/>
    <xf numFmtId="11" fontId="0" fillId="0" borderId="5" xfId="0" applyNumberFormat="1" applyBorder="1" applyAlignment="1">
      <alignment horizontal="center"/>
    </xf>
    <xf numFmtId="173" fontId="0" fillId="0" borderId="0" xfId="0" applyNumberFormat="1" applyAlignment="1">
      <alignment horizontal="center"/>
    </xf>
    <xf numFmtId="173" fontId="0" fillId="0" borderId="0" xfId="0" quotePrefix="1" applyNumberFormat="1" applyAlignment="1">
      <alignment horizontal="center"/>
    </xf>
    <xf numFmtId="174" fontId="8" fillId="2" borderId="0" xfId="0" applyNumberFormat="1" applyFont="1" applyFill="1"/>
    <xf numFmtId="174" fontId="38" fillId="2" borderId="0" xfId="0" applyNumberFormat="1" applyFont="1" applyFill="1" applyAlignment="1">
      <alignment horizontal="right"/>
    </xf>
    <xf numFmtId="174" fontId="8" fillId="2" borderId="0" xfId="0" applyNumberFormat="1" applyFont="1" applyFill="1" applyAlignment="1">
      <alignment horizontal="right"/>
    </xf>
    <xf numFmtId="174" fontId="11" fillId="2" borderId="0" xfId="0" applyNumberFormat="1" applyFont="1" applyFill="1" applyAlignment="1">
      <alignment horizontal="right"/>
    </xf>
    <xf numFmtId="174" fontId="37" fillId="2" borderId="0" xfId="0" applyNumberFormat="1" applyFont="1" applyFill="1" applyAlignment="1">
      <alignment horizontal="center"/>
    </xf>
    <xf numFmtId="174" fontId="37" fillId="2" borderId="0" xfId="0" applyNumberFormat="1" applyFont="1" applyFill="1" applyAlignment="1">
      <alignment horizontal="right"/>
    </xf>
    <xf numFmtId="174" fontId="39" fillId="2" borderId="0" xfId="0" applyNumberFormat="1" applyFont="1" applyFill="1" applyAlignment="1">
      <alignment horizontal="center"/>
    </xf>
    <xf numFmtId="174" fontId="46" fillId="2" borderId="0" xfId="0" applyNumberFormat="1" applyFont="1" applyFill="1" applyAlignment="1">
      <alignment horizontal="right"/>
    </xf>
    <xf numFmtId="174" fontId="39" fillId="2" borderId="0" xfId="0" applyNumberFormat="1" applyFont="1" applyFill="1" applyAlignment="1">
      <alignment horizontal="left"/>
    </xf>
    <xf numFmtId="174" fontId="37" fillId="2" borderId="0" xfId="0" applyNumberFormat="1" applyFont="1" applyFill="1"/>
    <xf numFmtId="174" fontId="17" fillId="2" borderId="0" xfId="0" quotePrefix="1" applyNumberFormat="1" applyFont="1" applyFill="1"/>
    <xf numFmtId="174" fontId="39" fillId="2" borderId="0" xfId="0" applyNumberFormat="1" applyFont="1" applyFill="1"/>
    <xf numFmtId="174" fontId="17" fillId="2" borderId="0" xfId="0" applyNumberFormat="1" applyFont="1" applyFill="1"/>
    <xf numFmtId="174" fontId="38" fillId="2" borderId="0" xfId="0" applyNumberFormat="1" applyFont="1" applyFill="1" applyAlignment="1">
      <alignment horizontal="center"/>
    </xf>
    <xf numFmtId="174" fontId="8" fillId="2" borderId="0" xfId="0" applyNumberFormat="1" applyFont="1" applyFill="1" applyAlignment="1">
      <alignment horizontal="left"/>
    </xf>
    <xf numFmtId="11" fontId="0" fillId="0" borderId="23" xfId="0" applyNumberFormat="1" applyBorder="1" applyAlignment="1">
      <alignment horizontal="left"/>
    </xf>
    <xf numFmtId="11" fontId="0" fillId="11" borderId="3" xfId="0" applyNumberFormat="1" applyFill="1" applyBorder="1" applyAlignment="1">
      <alignment horizontal="center"/>
    </xf>
    <xf numFmtId="11" fontId="0" fillId="11" borderId="3" xfId="0" quotePrefix="1" applyNumberFormat="1" applyFill="1" applyBorder="1" applyAlignment="1">
      <alignment horizontal="center"/>
    </xf>
    <xf numFmtId="164" fontId="0" fillId="2" borderId="3" xfId="0" applyFill="1" applyBorder="1" applyAlignment="1">
      <alignment horizontal="left"/>
    </xf>
    <xf numFmtId="11" fontId="0" fillId="0" borderId="4" xfId="0" quotePrefix="1" applyNumberFormat="1" applyBorder="1" applyAlignment="1">
      <alignment horizontal="center"/>
    </xf>
    <xf numFmtId="11" fontId="0" fillId="2" borderId="4" xfId="0" quotePrefix="1" applyNumberFormat="1" applyFill="1" applyBorder="1" applyAlignment="1">
      <alignment horizontal="center"/>
    </xf>
    <xf numFmtId="11" fontId="0" fillId="0" borderId="30" xfId="0" applyNumberFormat="1" applyBorder="1" applyAlignment="1">
      <alignment horizontal="center"/>
    </xf>
    <xf numFmtId="11" fontId="0" fillId="0" borderId="31" xfId="0" applyNumberFormat="1" applyBorder="1" applyAlignment="1">
      <alignment horizontal="center"/>
    </xf>
    <xf numFmtId="11" fontId="0" fillId="0" borderId="32" xfId="0" applyNumberFormat="1" applyBorder="1" applyAlignment="1">
      <alignment horizontal="center"/>
    </xf>
    <xf numFmtId="11" fontId="0" fillId="0" borderId="33" xfId="0" quotePrefix="1" applyNumberFormat="1" applyBorder="1" applyAlignment="1">
      <alignment horizontal="center"/>
    </xf>
    <xf numFmtId="11" fontId="0" fillId="0" borderId="30" xfId="0" quotePrefix="1" applyNumberFormat="1" applyBorder="1" applyAlignment="1">
      <alignment horizontal="center"/>
    </xf>
    <xf numFmtId="11" fontId="0" fillId="0" borderId="34" xfId="0" quotePrefix="1" applyNumberFormat="1" applyBorder="1" applyAlignment="1">
      <alignment horizontal="center"/>
    </xf>
    <xf numFmtId="11" fontId="0" fillId="0" borderId="31" xfId="0" quotePrefix="1" applyNumberFormat="1" applyBorder="1" applyAlignment="1">
      <alignment horizontal="center"/>
    </xf>
    <xf numFmtId="11" fontId="0" fillId="0" borderId="32" xfId="0" quotePrefix="1" applyNumberFormat="1" applyBorder="1" applyAlignment="1">
      <alignment horizontal="center"/>
    </xf>
    <xf numFmtId="11" fontId="0" fillId="2" borderId="35" xfId="0" quotePrefix="1" applyNumberFormat="1" applyFill="1" applyBorder="1" applyAlignment="1">
      <alignment horizontal="center"/>
    </xf>
    <xf numFmtId="11" fontId="0" fillId="0" borderId="36" xfId="0" quotePrefix="1" applyNumberFormat="1" applyBorder="1" applyAlignment="1">
      <alignment horizontal="center"/>
    </xf>
    <xf numFmtId="11" fontId="0" fillId="0" borderId="37" xfId="0" quotePrefix="1" applyNumberFormat="1" applyBorder="1" applyAlignment="1">
      <alignment horizontal="center"/>
    </xf>
    <xf numFmtId="173" fontId="0" fillId="2" borderId="35" xfId="0" quotePrefix="1" applyNumberFormat="1" applyFill="1" applyBorder="1" applyAlignment="1">
      <alignment horizontal="center"/>
    </xf>
    <xf numFmtId="173" fontId="0" fillId="0" borderId="36" xfId="0" quotePrefix="1" applyNumberFormat="1" applyBorder="1" applyAlignment="1">
      <alignment horizontal="center"/>
    </xf>
    <xf numFmtId="173" fontId="0" fillId="0" borderId="34" xfId="0" quotePrefix="1" applyNumberFormat="1" applyBorder="1" applyAlignment="1">
      <alignment horizontal="center"/>
    </xf>
    <xf numFmtId="173" fontId="0" fillId="0" borderId="37" xfId="0" quotePrefix="1" applyNumberFormat="1" applyBorder="1" applyAlignment="1">
      <alignment horizontal="center"/>
    </xf>
    <xf numFmtId="173" fontId="0" fillId="0" borderId="30" xfId="0" quotePrefix="1" applyNumberFormat="1" applyBorder="1" applyAlignment="1">
      <alignment horizontal="center"/>
    </xf>
    <xf numFmtId="173" fontId="0" fillId="0" borderId="31" xfId="0" quotePrefix="1" applyNumberFormat="1" applyBorder="1" applyAlignment="1">
      <alignment horizontal="center"/>
    </xf>
    <xf numFmtId="173" fontId="0" fillId="0" borderId="32" xfId="0" quotePrefix="1" applyNumberFormat="1" applyBorder="1" applyAlignment="1">
      <alignment horizontal="center"/>
    </xf>
    <xf numFmtId="164" fontId="0" fillId="2" borderId="35" xfId="0" quotePrefix="1" applyFill="1" applyBorder="1" applyAlignment="1">
      <alignment horizontal="center"/>
    </xf>
    <xf numFmtId="11" fontId="0" fillId="0" borderId="36" xfId="0" applyNumberFormat="1" applyBorder="1" applyAlignment="1">
      <alignment horizontal="center"/>
    </xf>
    <xf numFmtId="11" fontId="0" fillId="0" borderId="34" xfId="0" applyNumberFormat="1" applyBorder="1" applyAlignment="1">
      <alignment horizontal="center"/>
    </xf>
    <xf numFmtId="11" fontId="0" fillId="0" borderId="37" xfId="0" applyNumberFormat="1" applyBorder="1" applyAlignment="1">
      <alignment horizontal="center"/>
    </xf>
    <xf numFmtId="11" fontId="0" fillId="0" borderId="38" xfId="0" applyNumberFormat="1" applyBorder="1" applyAlignment="1">
      <alignment horizontal="center"/>
    </xf>
    <xf numFmtId="11" fontId="0" fillId="0" borderId="39" xfId="0" applyNumberFormat="1" applyBorder="1" applyAlignment="1">
      <alignment horizontal="center"/>
    </xf>
    <xf numFmtId="164" fontId="39" fillId="7" borderId="0" xfId="0" applyFont="1" applyFill="1"/>
    <xf numFmtId="11" fontId="0" fillId="7" borderId="35" xfId="0" quotePrefix="1" applyNumberFormat="1" applyFill="1" applyBorder="1" applyAlignment="1">
      <alignment horizontal="center"/>
    </xf>
    <xf numFmtId="164" fontId="39" fillId="0" borderId="0" xfId="0" applyFont="1"/>
    <xf numFmtId="9" fontId="0" fillId="0" borderId="29" xfId="9" applyFont="1" applyFill="1" applyBorder="1" applyAlignment="1" applyProtection="1">
      <alignment horizontal="center"/>
    </xf>
    <xf numFmtId="164" fontId="0" fillId="6" borderId="28" xfId="0" applyFill="1" applyBorder="1"/>
    <xf numFmtId="164" fontId="0" fillId="0" borderId="5" xfId="0" applyBorder="1" applyAlignment="1">
      <alignment horizontal="center"/>
    </xf>
    <xf numFmtId="164" fontId="10" fillId="6" borderId="4" xfId="0" applyFont="1" applyFill="1" applyBorder="1" applyAlignment="1">
      <alignment horizontal="right"/>
    </xf>
    <xf numFmtId="164" fontId="0" fillId="6" borderId="4" xfId="0" applyFill="1" applyBorder="1" applyAlignment="1">
      <alignment horizontal="center"/>
    </xf>
    <xf numFmtId="11" fontId="0" fillId="0" borderId="40" xfId="0" applyNumberFormat="1" applyBorder="1" applyAlignment="1">
      <alignment horizontal="center"/>
    </xf>
    <xf numFmtId="173" fontId="0" fillId="0" borderId="4" xfId="0" applyNumberFormat="1" applyBorder="1" applyAlignment="1">
      <alignment horizontal="center"/>
    </xf>
    <xf numFmtId="0" fontId="0" fillId="0" borderId="4" xfId="0" quotePrefix="1" applyNumberFormat="1" applyBorder="1" applyAlignment="1">
      <alignment horizontal="center"/>
    </xf>
    <xf numFmtId="164" fontId="0" fillId="0" borderId="4" xfId="0" applyBorder="1" applyAlignment="1">
      <alignment horizontal="center"/>
    </xf>
    <xf numFmtId="0" fontId="0" fillId="0" borderId="25" xfId="0" quotePrefix="1" applyNumberFormat="1" applyBorder="1" applyAlignment="1">
      <alignment horizontal="center"/>
    </xf>
    <xf numFmtId="11" fontId="0" fillId="0" borderId="41" xfId="0" applyNumberFormat="1" applyBorder="1" applyAlignment="1">
      <alignment horizontal="center"/>
    </xf>
    <xf numFmtId="164" fontId="0" fillId="0" borderId="5" xfId="0" applyBorder="1"/>
    <xf numFmtId="164" fontId="0" fillId="0" borderId="23" xfId="0" applyBorder="1"/>
    <xf numFmtId="11" fontId="0" fillId="2" borderId="14" xfId="0" quotePrefix="1" applyNumberFormat="1" applyFill="1" applyBorder="1" applyAlignment="1">
      <alignment horizontal="center"/>
    </xf>
    <xf numFmtId="11" fontId="0" fillId="11" borderId="14" xfId="0" applyNumberFormat="1" applyFill="1" applyBorder="1" applyAlignment="1">
      <alignment horizontal="center"/>
    </xf>
    <xf numFmtId="0" fontId="0" fillId="0" borderId="0" xfId="0" applyNumberFormat="1"/>
    <xf numFmtId="11" fontId="0" fillId="0" borderId="6" xfId="0" quotePrefix="1" applyNumberFormat="1" applyBorder="1" applyAlignment="1">
      <alignment horizontal="center"/>
    </xf>
    <xf numFmtId="11" fontId="0" fillId="2" borderId="6" xfId="0" quotePrefix="1" applyNumberFormat="1" applyFill="1" applyBorder="1" applyAlignment="1">
      <alignment horizontal="center"/>
    </xf>
    <xf numFmtId="11" fontId="0" fillId="2" borderId="8" xfId="0" applyNumberFormat="1" applyFill="1" applyBorder="1"/>
    <xf numFmtId="164" fontId="0" fillId="7" borderId="8" xfId="0" applyFill="1" applyBorder="1"/>
    <xf numFmtId="11" fontId="0" fillId="7" borderId="8" xfId="0" applyNumberFormat="1" applyFill="1" applyBorder="1"/>
    <xf numFmtId="11" fontId="0" fillId="2" borderId="0" xfId="0" quotePrefix="1" applyNumberFormat="1" applyFill="1"/>
    <xf numFmtId="11" fontId="0" fillId="2" borderId="3" xfId="0" applyNumberFormat="1" applyFill="1" applyBorder="1"/>
    <xf numFmtId="164" fontId="11" fillId="0" borderId="0" xfId="0" applyFont="1"/>
    <xf numFmtId="164" fontId="0" fillId="7" borderId="2" xfId="0" applyFill="1" applyBorder="1"/>
    <xf numFmtId="164" fontId="0" fillId="0" borderId="2" xfId="0" applyBorder="1"/>
    <xf numFmtId="164" fontId="39" fillId="7" borderId="0" xfId="0" applyFont="1" applyFill="1" applyAlignment="1">
      <alignment horizontal="center"/>
    </xf>
    <xf numFmtId="164" fontId="11" fillId="0" borderId="0" xfId="0" applyFont="1" applyAlignment="1">
      <alignment horizontal="center"/>
    </xf>
    <xf numFmtId="164" fontId="0" fillId="2" borderId="0" xfId="0" quotePrefix="1" applyFill="1" applyAlignment="1">
      <alignment horizontal="center"/>
    </xf>
    <xf numFmtId="11" fontId="42" fillId="8" borderId="6" xfId="0" applyNumberFormat="1" applyFont="1" applyFill="1" applyBorder="1" applyAlignment="1" applyProtection="1">
      <alignment horizontal="right"/>
      <protection locked="0"/>
    </xf>
    <xf numFmtId="11" fontId="25" fillId="2" borderId="0" xfId="0" applyNumberFormat="1" applyFont="1" applyFill="1" applyAlignment="1">
      <alignment horizontal="left" vertical="center"/>
    </xf>
    <xf numFmtId="11" fontId="0" fillId="9" borderId="5" xfId="0" applyNumberFormat="1" applyFill="1" applyBorder="1"/>
    <xf numFmtId="11" fontId="0" fillId="2" borderId="6" xfId="0" applyNumberFormat="1" applyFill="1" applyBorder="1" applyAlignment="1">
      <alignment horizontal="right"/>
    </xf>
    <xf numFmtId="11" fontId="0" fillId="2" borderId="8" xfId="0" applyNumberFormat="1" applyFill="1" applyBorder="1" applyAlignment="1">
      <alignment horizontal="right" vertical="center"/>
    </xf>
    <xf numFmtId="11" fontId="0" fillId="6" borderId="5" xfId="0" applyNumberFormat="1" applyFill="1" applyBorder="1" applyAlignment="1">
      <alignment horizontal="right"/>
    </xf>
    <xf numFmtId="11" fontId="0" fillId="2" borderId="8" xfId="0" applyNumberFormat="1" applyFill="1" applyBorder="1" applyAlignment="1">
      <alignment horizontal="right"/>
    </xf>
    <xf numFmtId="11" fontId="39" fillId="2" borderId="3" xfId="0" applyNumberFormat="1" applyFont="1" applyFill="1" applyBorder="1" applyAlignment="1">
      <alignment horizontal="right"/>
    </xf>
    <xf numFmtId="11" fontId="0" fillId="2" borderId="3" xfId="0" quotePrefix="1" applyNumberFormat="1" applyFill="1" applyBorder="1"/>
    <xf numFmtId="11" fontId="0" fillId="6" borderId="0" xfId="0" applyNumberFormat="1" applyFill="1"/>
    <xf numFmtId="11" fontId="0" fillId="7" borderId="0" xfId="0" applyNumberFormat="1" applyFill="1"/>
    <xf numFmtId="164" fontId="39" fillId="0" borderId="0" xfId="0" applyFont="1" applyAlignment="1">
      <alignment horizontal="center"/>
    </xf>
    <xf numFmtId="0" fontId="0" fillId="0" borderId="0" xfId="0" applyNumberFormat="1" applyAlignment="1" applyProtection="1">
      <alignment horizontal="center"/>
      <protection locked="0"/>
    </xf>
    <xf numFmtId="11" fontId="0" fillId="7" borderId="8" xfId="0" applyNumberFormat="1" applyFill="1" applyBorder="1" applyAlignment="1">
      <alignment horizontal="right"/>
    </xf>
    <xf numFmtId="11" fontId="0" fillId="2" borderId="8" xfId="9" applyNumberFormat="1" applyFont="1" applyFill="1" applyBorder="1" applyAlignment="1" applyProtection="1">
      <alignment horizontal="right"/>
    </xf>
    <xf numFmtId="11" fontId="0" fillId="12" borderId="0" xfId="0" quotePrefix="1" applyNumberFormat="1" applyFill="1" applyAlignment="1">
      <alignment horizontal="center"/>
    </xf>
    <xf numFmtId="10" fontId="0" fillId="0" borderId="28" xfId="9" applyNumberFormat="1" applyFont="1" applyFill="1" applyBorder="1" applyAlignment="1" applyProtection="1">
      <alignment horizontal="center"/>
    </xf>
    <xf numFmtId="164" fontId="11" fillId="2" borderId="22" xfId="0" applyFont="1" applyFill="1" applyBorder="1" applyAlignment="1">
      <alignment horizontal="left"/>
    </xf>
    <xf numFmtId="164" fontId="34" fillId="2" borderId="8" xfId="0" applyFont="1" applyFill="1" applyBorder="1"/>
    <xf numFmtId="167" fontId="11" fillId="2" borderId="0" xfId="0" applyNumberFormat="1" applyFont="1" applyFill="1" applyAlignment="1">
      <alignment horizontal="left"/>
    </xf>
    <xf numFmtId="164" fontId="34" fillId="2" borderId="0" xfId="0" applyFont="1" applyFill="1" applyAlignment="1">
      <alignment horizontal="right"/>
    </xf>
    <xf numFmtId="167" fontId="34" fillId="2" borderId="0" xfId="9" applyNumberFormat="1" applyFont="1" applyFill="1" applyBorder="1" applyAlignment="1">
      <alignment horizontal="left"/>
    </xf>
    <xf numFmtId="164" fontId="48" fillId="2" borderId="0" xfId="0" applyFont="1" applyFill="1" applyAlignment="1">
      <alignment horizontal="left"/>
    </xf>
    <xf numFmtId="164" fontId="49" fillId="2" borderId="0" xfId="0" applyFont="1" applyFill="1" applyAlignment="1">
      <alignment horizontal="left"/>
    </xf>
    <xf numFmtId="164" fontId="35" fillId="2" borderId="0" xfId="0" applyFont="1" applyFill="1" applyAlignment="1">
      <alignment horizontal="left"/>
    </xf>
    <xf numFmtId="164" fontId="50" fillId="2" borderId="0" xfId="0" applyFont="1" applyFill="1" applyAlignment="1">
      <alignment horizontal="left"/>
    </xf>
    <xf numFmtId="164" fontId="39" fillId="2" borderId="6" xfId="0" applyFont="1" applyFill="1" applyBorder="1" applyAlignment="1">
      <alignment horizontal="left"/>
    </xf>
    <xf numFmtId="164" fontId="33" fillId="2" borderId="42" xfId="0" applyFont="1" applyFill="1" applyBorder="1"/>
    <xf numFmtId="11" fontId="34" fillId="2" borderId="0" xfId="0" applyNumberFormat="1" applyFont="1" applyFill="1" applyAlignment="1">
      <alignment horizontal="right"/>
    </xf>
    <xf numFmtId="164" fontId="0" fillId="2" borderId="8" xfId="0" applyFill="1" applyBorder="1" applyAlignment="1">
      <alignment wrapText="1"/>
    </xf>
    <xf numFmtId="164" fontId="34" fillId="2" borderId="6" xfId="0" applyFont="1" applyFill="1" applyBorder="1"/>
    <xf numFmtId="164" fontId="34" fillId="2" borderId="6" xfId="0" applyFont="1" applyFill="1" applyBorder="1" applyAlignment="1">
      <alignment horizontal="left"/>
    </xf>
    <xf numFmtId="164" fontId="11" fillId="2" borderId="10" xfId="0" applyFont="1" applyFill="1" applyBorder="1" applyAlignment="1">
      <alignment horizontal="left"/>
    </xf>
    <xf numFmtId="11" fontId="0" fillId="2" borderId="23" xfId="0" applyNumberFormat="1" applyFill="1" applyBorder="1" applyAlignment="1">
      <alignment horizontal="right"/>
    </xf>
    <xf numFmtId="11" fontId="34" fillId="2" borderId="0" xfId="0" applyNumberFormat="1" applyFont="1" applyFill="1" applyAlignment="1">
      <alignment horizontal="center"/>
    </xf>
    <xf numFmtId="167" fontId="34" fillId="2" borderId="3" xfId="9" applyNumberFormat="1" applyFont="1" applyFill="1" applyBorder="1" applyAlignment="1">
      <alignment horizontal="left"/>
    </xf>
    <xf numFmtId="167" fontId="34" fillId="2" borderId="6" xfId="9" applyNumberFormat="1" applyFont="1" applyFill="1" applyBorder="1" applyAlignment="1">
      <alignment horizontal="left"/>
    </xf>
    <xf numFmtId="167" fontId="34" fillId="2" borderId="14" xfId="9" applyNumberFormat="1" applyFont="1" applyFill="1" applyBorder="1" applyAlignment="1">
      <alignment horizontal="left"/>
    </xf>
    <xf numFmtId="11" fontId="0" fillId="2" borderId="3" xfId="0" applyNumberFormat="1" applyFill="1" applyBorder="1" applyAlignment="1">
      <alignment horizontal="center"/>
    </xf>
    <xf numFmtId="164" fontId="11" fillId="0" borderId="23" xfId="0" applyFont="1" applyBorder="1"/>
    <xf numFmtId="164" fontId="11" fillId="0" borderId="4" xfId="0" applyFont="1" applyBorder="1"/>
    <xf numFmtId="164" fontId="11" fillId="0" borderId="25" xfId="0" applyFont="1" applyBorder="1"/>
    <xf numFmtId="164" fontId="11" fillId="0" borderId="5" xfId="0" applyFont="1" applyBorder="1"/>
    <xf numFmtId="11" fontId="0" fillId="0" borderId="6" xfId="0" applyNumberFormat="1" applyBorder="1"/>
    <xf numFmtId="11" fontId="0" fillId="0" borderId="3" xfId="0" applyNumberFormat="1" applyBorder="1"/>
    <xf numFmtId="11" fontId="0" fillId="0" borderId="14" xfId="0" applyNumberFormat="1" applyBorder="1"/>
    <xf numFmtId="164" fontId="11" fillId="0" borderId="22" xfId="0" applyFont="1" applyBorder="1"/>
    <xf numFmtId="164" fontId="11" fillId="14" borderId="5" xfId="0" applyFont="1" applyFill="1" applyBorder="1"/>
    <xf numFmtId="164" fontId="11" fillId="14" borderId="23" xfId="0" applyFont="1" applyFill="1" applyBorder="1"/>
    <xf numFmtId="11" fontId="11" fillId="0" borderId="4" xfId="0" applyNumberFormat="1" applyFont="1" applyBorder="1"/>
    <xf numFmtId="11" fontId="11" fillId="0" borderId="25" xfId="0" applyNumberFormat="1" applyFont="1" applyBorder="1"/>
    <xf numFmtId="164" fontId="11" fillId="14" borderId="22" xfId="0" applyFont="1" applyFill="1" applyBorder="1"/>
    <xf numFmtId="11" fontId="11" fillId="14" borderId="4" xfId="0" applyNumberFormat="1" applyFont="1" applyFill="1" applyBorder="1"/>
    <xf numFmtId="11" fontId="11" fillId="14" borderId="25" xfId="0" applyNumberFormat="1" applyFont="1" applyFill="1" applyBorder="1"/>
    <xf numFmtId="164" fontId="11" fillId="0" borderId="3" xfId="0" applyFont="1" applyBorder="1"/>
    <xf numFmtId="11" fontId="0" fillId="14" borderId="22" xfId="0" applyNumberFormat="1" applyFill="1" applyBorder="1"/>
    <xf numFmtId="1" fontId="0" fillId="0" borderId="0" xfId="0" applyNumberFormat="1"/>
    <xf numFmtId="164" fontId="33" fillId="2" borderId="19" xfId="0" applyFont="1" applyFill="1" applyBorder="1" applyAlignment="1">
      <alignment horizontal="left"/>
    </xf>
    <xf numFmtId="2" fontId="0" fillId="0" borderId="0" xfId="9" applyNumberFormat="1" applyFont="1" applyFill="1" applyBorder="1" applyAlignment="1" applyProtection="1">
      <alignment horizontal="center"/>
    </xf>
    <xf numFmtId="11" fontId="0" fillId="11" borderId="0" xfId="0" applyNumberFormat="1" applyFill="1" applyAlignment="1">
      <alignment horizontal="center"/>
    </xf>
    <xf numFmtId="11" fontId="0" fillId="2" borderId="10" xfId="0" applyNumberFormat="1" applyFill="1" applyBorder="1" applyAlignment="1">
      <alignment horizontal="center"/>
    </xf>
    <xf numFmtId="164" fontId="0" fillId="2" borderId="11" xfId="0" applyFill="1" applyBorder="1" applyAlignment="1">
      <alignment horizontal="left"/>
    </xf>
    <xf numFmtId="164" fontId="0" fillId="0" borderId="3" xfId="0" applyBorder="1"/>
    <xf numFmtId="11" fontId="8" fillId="0" borderId="0" xfId="0" applyNumberFormat="1" applyFont="1" applyProtection="1">
      <protection locked="0"/>
    </xf>
    <xf numFmtId="164" fontId="0" fillId="7" borderId="0" xfId="0" applyFill="1" applyProtection="1">
      <protection locked="0"/>
    </xf>
    <xf numFmtId="164" fontId="8" fillId="0" borderId="0" xfId="0" applyFont="1" applyAlignment="1" applyProtection="1">
      <alignment horizontal="right"/>
      <protection locked="0"/>
    </xf>
    <xf numFmtId="11" fontId="8" fillId="0" borderId="1" xfId="0" quotePrefix="1" applyNumberFormat="1" applyFont="1" applyBorder="1" applyAlignment="1" applyProtection="1">
      <alignment horizontal="left"/>
      <protection locked="0"/>
    </xf>
    <xf numFmtId="11" fontId="8" fillId="0" borderId="1" xfId="0" applyNumberFormat="1" applyFont="1" applyBorder="1" applyProtection="1">
      <protection locked="0"/>
    </xf>
    <xf numFmtId="164" fontId="8" fillId="0" borderId="0" xfId="0" applyFont="1" applyProtection="1">
      <protection locked="0"/>
    </xf>
    <xf numFmtId="11" fontId="0" fillId="0" borderId="0" xfId="0" applyNumberFormat="1" applyProtection="1">
      <protection locked="0"/>
    </xf>
    <xf numFmtId="169" fontId="10" fillId="0" borderId="2" xfId="0" applyNumberFormat="1" applyFont="1" applyBorder="1" applyAlignment="1" applyProtection="1">
      <alignment horizontal="left"/>
      <protection locked="0"/>
    </xf>
    <xf numFmtId="169" fontId="0" fillId="0" borderId="28" xfId="0" applyNumberFormat="1" applyBorder="1" applyAlignment="1" applyProtection="1">
      <alignment horizontal="left"/>
      <protection locked="0"/>
    </xf>
    <xf numFmtId="11" fontId="8" fillId="0" borderId="2" xfId="0" applyNumberFormat="1" applyFont="1" applyBorder="1" applyProtection="1">
      <protection locked="0"/>
    </xf>
    <xf numFmtId="164" fontId="0" fillId="0" borderId="2" xfId="0" applyBorder="1" applyAlignment="1" applyProtection="1">
      <alignment horizontal="center"/>
      <protection locked="0"/>
    </xf>
    <xf numFmtId="169" fontId="0" fillId="0" borderId="2" xfId="0" quotePrefix="1" applyNumberFormat="1" applyBorder="1" applyAlignment="1" applyProtection="1">
      <alignment horizontal="left"/>
      <protection locked="0"/>
    </xf>
    <xf numFmtId="164" fontId="0" fillId="0" borderId="29" xfId="0" applyBorder="1" applyAlignment="1" applyProtection="1">
      <alignment horizontal="center"/>
      <protection locked="0"/>
    </xf>
    <xf numFmtId="164" fontId="9" fillId="0" borderId="0" xfId="0" applyFont="1" applyAlignment="1" applyProtection="1">
      <alignment horizontal="left"/>
      <protection locked="0"/>
    </xf>
    <xf numFmtId="11" fontId="11" fillId="0" borderId="0" xfId="0" applyNumberFormat="1" applyFont="1" applyProtection="1">
      <protection locked="0"/>
    </xf>
    <xf numFmtId="169" fontId="8" fillId="3" borderId="0" xfId="0" applyNumberFormat="1" applyFont="1" applyFill="1" applyAlignment="1" applyProtection="1">
      <alignment horizontal="left"/>
      <protection locked="0"/>
    </xf>
    <xf numFmtId="11" fontId="10" fillId="0" borderId="0" xfId="0" applyNumberFormat="1" applyFont="1" applyAlignment="1" applyProtection="1">
      <alignment horizontal="left"/>
      <protection locked="0"/>
    </xf>
    <xf numFmtId="169" fontId="10" fillId="0" borderId="0" xfId="0" applyNumberFormat="1" applyFont="1" applyAlignment="1" applyProtection="1">
      <alignment horizontal="left"/>
      <protection locked="0"/>
    </xf>
    <xf numFmtId="169" fontId="8" fillId="0" borderId="0" xfId="0" applyNumberFormat="1" applyFont="1" applyAlignment="1" applyProtection="1">
      <alignment horizontal="left"/>
      <protection locked="0"/>
    </xf>
    <xf numFmtId="0" fontId="28" fillId="7" borderId="0" xfId="3" applyFont="1" applyFill="1" applyProtection="1">
      <protection locked="0"/>
    </xf>
    <xf numFmtId="0" fontId="10" fillId="7" borderId="0" xfId="3" applyFont="1" applyFill="1" applyProtection="1">
      <protection locked="0"/>
    </xf>
    <xf numFmtId="0" fontId="27" fillId="7" borderId="0" xfId="3" applyFont="1" applyFill="1" applyProtection="1">
      <protection locked="0"/>
    </xf>
    <xf numFmtId="0" fontId="8" fillId="7" borderId="0" xfId="3" applyFont="1" applyFill="1" applyProtection="1">
      <protection locked="0"/>
    </xf>
    <xf numFmtId="49" fontId="10" fillId="7" borderId="0" xfId="3" applyNumberFormat="1" applyFont="1" applyFill="1" applyProtection="1">
      <protection locked="0"/>
    </xf>
    <xf numFmtId="0" fontId="12" fillId="7" borderId="0" xfId="3" applyFont="1" applyFill="1" applyProtection="1">
      <protection locked="0"/>
    </xf>
    <xf numFmtId="0" fontId="24" fillId="7" borderId="0" xfId="3" applyFont="1" applyFill="1" applyProtection="1">
      <protection locked="0"/>
    </xf>
    <xf numFmtId="0" fontId="22" fillId="7" borderId="0" xfId="4" applyFill="1" applyProtection="1">
      <protection locked="0"/>
    </xf>
    <xf numFmtId="164" fontId="0" fillId="0" borderId="0" xfId="0" applyProtection="1">
      <protection locked="0"/>
    </xf>
    <xf numFmtId="1" fontId="28" fillId="7" borderId="0" xfId="0" applyNumberFormat="1" applyFont="1" applyFill="1" applyAlignment="1">
      <alignment horizontal="left"/>
    </xf>
    <xf numFmtId="164" fontId="11" fillId="7" borderId="0" xfId="0" applyFont="1" applyFill="1" applyAlignment="1">
      <alignment horizontal="center"/>
    </xf>
    <xf numFmtId="1" fontId="15" fillId="7" borderId="3" xfId="0" applyNumberFormat="1" applyFont="1" applyFill="1" applyBorder="1" applyAlignment="1">
      <alignment horizontal="center"/>
    </xf>
    <xf numFmtId="169" fontId="0" fillId="2" borderId="13" xfId="0" applyNumberFormat="1" applyFill="1" applyBorder="1" applyAlignment="1">
      <alignment horizontal="left" vertical="center" wrapText="1"/>
    </xf>
    <xf numFmtId="169" fontId="0" fillId="8" borderId="13" xfId="0" applyNumberFormat="1" applyFill="1" applyBorder="1" applyAlignment="1">
      <alignment horizontal="center" vertical="center" wrapText="1"/>
    </xf>
    <xf numFmtId="177" fontId="0" fillId="2" borderId="0" xfId="0" quotePrefix="1" applyNumberFormat="1" applyFill="1" applyAlignment="1">
      <alignment horizontal="left"/>
    </xf>
    <xf numFmtId="177" fontId="0" fillId="2" borderId="0" xfId="0" applyNumberFormat="1" applyFill="1" applyAlignment="1">
      <alignment horizontal="left"/>
    </xf>
    <xf numFmtId="11" fontId="0" fillId="7" borderId="0" xfId="0" applyNumberFormat="1" applyFill="1" applyAlignment="1">
      <alignment horizontal="right"/>
    </xf>
    <xf numFmtId="11" fontId="42" fillId="7" borderId="3" xfId="0" applyNumberFormat="1" applyFont="1" applyFill="1" applyBorder="1" applyAlignment="1" applyProtection="1">
      <alignment horizontal="right"/>
      <protection locked="0"/>
    </xf>
    <xf numFmtId="11" fontId="0" fillId="7" borderId="3" xfId="0" applyNumberFormat="1" applyFill="1" applyBorder="1" applyAlignment="1">
      <alignment horizontal="right"/>
    </xf>
    <xf numFmtId="11" fontId="0" fillId="7" borderId="3" xfId="0" applyNumberFormat="1" applyFill="1" applyBorder="1"/>
    <xf numFmtId="164" fontId="0" fillId="7" borderId="3" xfId="0" applyFill="1" applyBorder="1"/>
    <xf numFmtId="178" fontId="36" fillId="2" borderId="43" xfId="0" applyNumberFormat="1" applyFont="1" applyFill="1" applyBorder="1" applyAlignment="1">
      <alignment horizontal="right"/>
    </xf>
    <xf numFmtId="178" fontId="36" fillId="2" borderId="0" xfId="0" applyNumberFormat="1" applyFont="1" applyFill="1"/>
    <xf numFmtId="178" fontId="36" fillId="2" borderId="43" xfId="0" applyNumberFormat="1" applyFont="1" applyFill="1" applyBorder="1"/>
    <xf numFmtId="11" fontId="42" fillId="7" borderId="0" xfId="0" applyNumberFormat="1" applyFont="1" applyFill="1" applyProtection="1">
      <protection locked="0"/>
    </xf>
    <xf numFmtId="11" fontId="0" fillId="9" borderId="5" xfId="0" applyNumberFormat="1" applyFill="1" applyBorder="1" applyAlignment="1">
      <alignment horizontal="right"/>
    </xf>
    <xf numFmtId="11" fontId="0" fillId="9" borderId="0" xfId="0" applyNumberFormat="1" applyFill="1"/>
    <xf numFmtId="11" fontId="0" fillId="9" borderId="3" xfId="0" applyNumberFormat="1" applyFill="1" applyBorder="1"/>
    <xf numFmtId="169" fontId="0" fillId="2" borderId="0" xfId="0" applyNumberFormat="1" applyFill="1" applyAlignment="1">
      <alignment horizontal="center"/>
    </xf>
    <xf numFmtId="169" fontId="0" fillId="7" borderId="0" xfId="0" applyNumberFormat="1" applyFill="1" applyAlignment="1">
      <alignment horizontal="center"/>
    </xf>
    <xf numFmtId="169" fontId="0" fillId="2" borderId="0" xfId="0" quotePrefix="1" applyNumberFormat="1" applyFill="1" applyAlignment="1">
      <alignment horizontal="center"/>
    </xf>
    <xf numFmtId="0" fontId="0" fillId="2" borderId="0" xfId="0" quotePrefix="1" applyNumberFormat="1" applyFill="1" applyAlignment="1">
      <alignment horizontal="center"/>
    </xf>
    <xf numFmtId="177" fontId="51" fillId="2" borderId="6" xfId="0" applyNumberFormat="1" applyFont="1" applyFill="1" applyBorder="1" applyAlignment="1">
      <alignment horizontal="right"/>
    </xf>
    <xf numFmtId="164" fontId="10" fillId="15" borderId="0" xfId="0" applyFont="1" applyFill="1"/>
    <xf numFmtId="164" fontId="0" fillId="15" borderId="0" xfId="0" applyFill="1"/>
    <xf numFmtId="164" fontId="0" fillId="15" borderId="0" xfId="0" applyFill="1" applyAlignment="1">
      <alignment horizontal="left"/>
    </xf>
    <xf numFmtId="11" fontId="51" fillId="2" borderId="6" xfId="0" applyNumberFormat="1" applyFont="1" applyFill="1" applyBorder="1" applyAlignment="1">
      <alignment horizontal="right"/>
    </xf>
    <xf numFmtId="11" fontId="52" fillId="8" borderId="6" xfId="0" applyNumberFormat="1" applyFont="1" applyFill="1" applyBorder="1" applyAlignment="1">
      <alignment horizontal="right"/>
    </xf>
    <xf numFmtId="11" fontId="52" fillId="8" borderId="6" xfId="0" applyNumberFormat="1" applyFont="1" applyFill="1" applyBorder="1" applyAlignment="1" applyProtection="1">
      <alignment horizontal="right"/>
      <protection locked="0"/>
    </xf>
    <xf numFmtId="11" fontId="52" fillId="15" borderId="6" xfId="0" applyNumberFormat="1" applyFont="1" applyFill="1" applyBorder="1"/>
    <xf numFmtId="11" fontId="52" fillId="8" borderId="6" xfId="0" applyNumberFormat="1" applyFont="1" applyFill="1" applyBorder="1"/>
    <xf numFmtId="11" fontId="52" fillId="8" borderId="6" xfId="0" applyNumberFormat="1" applyFont="1" applyFill="1" applyBorder="1" applyProtection="1">
      <protection locked="0"/>
    </xf>
    <xf numFmtId="11" fontId="52" fillId="2" borderId="0" xfId="0" applyNumberFormat="1" applyFont="1" applyFill="1" applyAlignment="1">
      <alignment horizontal="right"/>
    </xf>
    <xf numFmtId="11" fontId="52" fillId="15" borderId="6" xfId="0" applyNumberFormat="1" applyFont="1" applyFill="1" applyBorder="1" applyAlignment="1">
      <alignment horizontal="right"/>
    </xf>
    <xf numFmtId="11" fontId="0" fillId="15" borderId="8" xfId="0" applyNumberFormat="1" applyFill="1" applyBorder="1"/>
    <xf numFmtId="164" fontId="39" fillId="15" borderId="0" xfId="0" applyFont="1" applyFill="1"/>
    <xf numFmtId="164" fontId="0" fillId="7" borderId="0" xfId="0" quotePrefix="1" applyFill="1" applyAlignment="1">
      <alignment horizontal="left"/>
    </xf>
    <xf numFmtId="164" fontId="0" fillId="7" borderId="0" xfId="0" quotePrefix="1" applyFill="1"/>
    <xf numFmtId="164" fontId="0" fillId="15" borderId="2" xfId="0" applyFill="1" applyBorder="1"/>
    <xf numFmtId="164" fontId="0" fillId="15" borderId="2" xfId="0" applyFill="1" applyBorder="1" applyAlignment="1">
      <alignment horizontal="center"/>
    </xf>
    <xf numFmtId="164" fontId="8" fillId="15" borderId="0" xfId="0" applyFont="1" applyFill="1"/>
    <xf numFmtId="11" fontId="8" fillId="15" borderId="0" xfId="0" applyNumberFormat="1" applyFont="1" applyFill="1"/>
    <xf numFmtId="164" fontId="11" fillId="15" borderId="0" xfId="0" applyFont="1" applyFill="1"/>
    <xf numFmtId="164" fontId="0" fillId="15" borderId="2" xfId="0" applyFill="1" applyBorder="1" applyAlignment="1">
      <alignment horizontal="left"/>
    </xf>
    <xf numFmtId="11" fontId="0" fillId="15" borderId="2" xfId="0" applyNumberFormat="1" applyFill="1" applyBorder="1" applyAlignment="1">
      <alignment horizontal="center"/>
    </xf>
    <xf numFmtId="11" fontId="52" fillId="8" borderId="14" xfId="0" applyNumberFormat="1" applyFont="1" applyFill="1" applyBorder="1" applyAlignment="1" applyProtection="1">
      <alignment horizontal="right"/>
      <protection locked="0"/>
    </xf>
    <xf numFmtId="164" fontId="0" fillId="2" borderId="43" xfId="0" applyFill="1" applyBorder="1" applyAlignment="1">
      <alignment horizontal="left"/>
    </xf>
    <xf numFmtId="164" fontId="22" fillId="15" borderId="0" xfId="0" applyFont="1" applyFill="1" applyAlignment="1">
      <alignment horizontal="right" vertical="center"/>
    </xf>
    <xf numFmtId="164" fontId="22" fillId="15" borderId="0" xfId="0" applyFont="1" applyFill="1" applyAlignment="1">
      <alignment horizontal="left" vertical="center"/>
    </xf>
    <xf numFmtId="164" fontId="0" fillId="15" borderId="0" xfId="0" applyFill="1" applyAlignment="1">
      <alignment horizontal="right"/>
    </xf>
    <xf numFmtId="164" fontId="8" fillId="15" borderId="2" xfId="0" applyFont="1" applyFill="1" applyBorder="1"/>
    <xf numFmtId="164" fontId="22" fillId="15" borderId="2" xfId="0" applyFont="1" applyFill="1" applyBorder="1" applyAlignment="1">
      <alignment horizontal="right" vertical="center"/>
    </xf>
    <xf numFmtId="164" fontId="22" fillId="15" borderId="2" xfId="0" applyFont="1" applyFill="1" applyBorder="1" applyAlignment="1">
      <alignment horizontal="left" vertical="center"/>
    </xf>
    <xf numFmtId="164" fontId="0" fillId="15" borderId="3" xfId="0" applyFill="1" applyBorder="1"/>
    <xf numFmtId="164" fontId="22" fillId="15" borderId="3" xfId="0" applyFont="1" applyFill="1" applyBorder="1" applyAlignment="1">
      <alignment horizontal="right" vertical="center"/>
    </xf>
    <xf numFmtId="164" fontId="11" fillId="15" borderId="3" xfId="0" applyFont="1" applyFill="1" applyBorder="1"/>
    <xf numFmtId="164" fontId="0" fillId="15" borderId="3" xfId="0" applyFill="1" applyBorder="1" applyAlignment="1">
      <alignment horizontal="left"/>
    </xf>
    <xf numFmtId="11" fontId="0" fillId="15" borderId="0" xfId="0" applyNumberFormat="1" applyFill="1" applyAlignment="1">
      <alignment horizontal="right"/>
    </xf>
    <xf numFmtId="164" fontId="39" fillId="7" borderId="0" xfId="0" applyFont="1" applyFill="1" applyAlignment="1">
      <alignment horizontal="left"/>
    </xf>
    <xf numFmtId="11" fontId="0" fillId="15" borderId="8" xfId="0" applyNumberFormat="1" applyFill="1" applyBorder="1" applyAlignment="1">
      <alignment horizontal="right"/>
    </xf>
    <xf numFmtId="11" fontId="0" fillId="15" borderId="0" xfId="0" applyNumberFormat="1" applyFill="1"/>
    <xf numFmtId="177" fontId="0" fillId="2" borderId="8" xfId="9" applyNumberFormat="1" applyFont="1" applyFill="1" applyBorder="1" applyAlignment="1" applyProtection="1">
      <alignment horizontal="right"/>
    </xf>
    <xf numFmtId="11" fontId="43" fillId="15" borderId="8" xfId="0" applyNumberFormat="1" applyFont="1" applyFill="1" applyBorder="1"/>
    <xf numFmtId="11" fontId="43" fillId="15" borderId="7" xfId="0" applyNumberFormat="1" applyFont="1" applyFill="1" applyBorder="1"/>
    <xf numFmtId="164" fontId="0" fillId="0" borderId="4" xfId="0" applyBorder="1"/>
    <xf numFmtId="164" fontId="21" fillId="0" borderId="4" xfId="0" applyFont="1" applyBorder="1"/>
    <xf numFmtId="11" fontId="0" fillId="7" borderId="0" xfId="0" applyNumberFormat="1" applyFill="1" applyAlignment="1">
      <alignment horizontal="left"/>
    </xf>
    <xf numFmtId="11" fontId="0" fillId="7" borderId="8" xfId="9" applyNumberFormat="1" applyFont="1" applyFill="1" applyBorder="1" applyAlignment="1" applyProtection="1"/>
    <xf numFmtId="164" fontId="11" fillId="7" borderId="0" xfId="0" applyFont="1" applyFill="1"/>
    <xf numFmtId="164" fontId="43" fillId="0" borderId="3" xfId="0" applyFont="1" applyBorder="1"/>
    <xf numFmtId="164" fontId="11" fillId="0" borderId="0" xfId="0" applyFont="1" applyAlignment="1">
      <alignment horizontal="left"/>
    </xf>
    <xf numFmtId="164" fontId="47" fillId="0" borderId="0" xfId="0" applyFont="1"/>
    <xf numFmtId="11" fontId="11" fillId="0" borderId="0" xfId="0" applyNumberFormat="1" applyFont="1"/>
    <xf numFmtId="11" fontId="11" fillId="0" borderId="0" xfId="0" applyNumberFormat="1" applyFont="1" applyAlignment="1">
      <alignment horizontal="right"/>
    </xf>
    <xf numFmtId="11" fontId="43" fillId="15" borderId="0" xfId="0" applyNumberFormat="1" applyFont="1" applyFill="1"/>
    <xf numFmtId="164" fontId="0" fillId="0" borderId="0" xfId="0" quotePrefix="1"/>
    <xf numFmtId="164" fontId="43" fillId="0" borderId="2" xfId="0" applyFont="1" applyBorder="1" applyAlignment="1">
      <alignment horizontal="center"/>
    </xf>
    <xf numFmtId="164" fontId="0" fillId="0" borderId="0" xfId="0" applyAlignment="1" applyProtection="1">
      <alignment horizontal="left"/>
      <protection locked="0"/>
    </xf>
    <xf numFmtId="164" fontId="0" fillId="0" borderId="0" xfId="0" quotePrefix="1" applyAlignment="1">
      <alignment horizontal="center"/>
    </xf>
    <xf numFmtId="164" fontId="0" fillId="0" borderId="0" xfId="0" applyAlignment="1" applyProtection="1">
      <alignment horizontal="right"/>
      <protection locked="0"/>
    </xf>
    <xf numFmtId="11" fontId="0" fillId="15" borderId="0" xfId="0" applyNumberFormat="1" applyFill="1" applyAlignment="1">
      <alignment horizontal="center"/>
    </xf>
    <xf numFmtId="9" fontId="0" fillId="0" borderId="0" xfId="9" quotePrefix="1" applyFont="1" applyFill="1" applyBorder="1" applyAlignment="1" applyProtection="1">
      <alignment horizontal="center"/>
    </xf>
    <xf numFmtId="164" fontId="0" fillId="6" borderId="2" xfId="0" quotePrefix="1" applyFill="1" applyBorder="1" applyAlignment="1">
      <alignment horizontal="center"/>
    </xf>
    <xf numFmtId="11" fontId="8" fillId="0" borderId="0" xfId="0" applyNumberFormat="1" applyFont="1"/>
    <xf numFmtId="168" fontId="0" fillId="0" borderId="0" xfId="0" applyNumberFormat="1" applyAlignment="1">
      <alignment horizontal="left"/>
    </xf>
    <xf numFmtId="49" fontId="0" fillId="0" borderId="0" xfId="0" applyNumberFormat="1" applyAlignment="1">
      <alignment horizontal="left"/>
    </xf>
    <xf numFmtId="11" fontId="11" fillId="0" borderId="0" xfId="0" applyNumberFormat="1" applyFont="1" applyAlignment="1">
      <alignment horizontal="left"/>
    </xf>
    <xf numFmtId="169" fontId="10" fillId="0" borderId="0" xfId="0" applyNumberFormat="1" applyFont="1" applyAlignment="1">
      <alignment horizontal="right"/>
    </xf>
    <xf numFmtId="2" fontId="10" fillId="2" borderId="0" xfId="0" applyNumberFormat="1" applyFont="1" applyFill="1" applyAlignment="1">
      <alignment horizontal="right"/>
    </xf>
    <xf numFmtId="14" fontId="10" fillId="2" borderId="0" xfId="0" applyNumberFormat="1" applyFont="1" applyFill="1" applyAlignment="1">
      <alignment horizontal="left"/>
    </xf>
    <xf numFmtId="164" fontId="57" fillId="2" borderId="0" xfId="1" applyNumberFormat="1" applyFont="1" applyFill="1" applyAlignment="1" applyProtection="1">
      <alignment horizontal="left"/>
    </xf>
    <xf numFmtId="164" fontId="52" fillId="2" borderId="0" xfId="0" applyFont="1" applyFill="1"/>
    <xf numFmtId="164" fontId="42" fillId="2" borderId="0" xfId="0" applyFont="1" applyFill="1"/>
    <xf numFmtId="164" fontId="43" fillId="0" borderId="2" xfId="0" applyFont="1" applyBorder="1"/>
    <xf numFmtId="11" fontId="0" fillId="15" borderId="6" xfId="0" applyNumberFormat="1" applyFill="1" applyBorder="1"/>
    <xf numFmtId="164" fontId="3" fillId="2" borderId="0" xfId="1" applyNumberFormat="1" applyFill="1" applyAlignment="1" applyProtection="1"/>
    <xf numFmtId="164" fontId="0" fillId="8" borderId="4" xfId="0" applyFill="1" applyBorder="1"/>
    <xf numFmtId="164" fontId="0" fillId="8" borderId="6" xfId="0" applyFill="1" applyBorder="1"/>
    <xf numFmtId="164" fontId="23" fillId="0" borderId="2" xfId="0" applyFont="1" applyBorder="1"/>
    <xf numFmtId="164" fontId="8" fillId="0" borderId="2" xfId="0" applyFont="1" applyBorder="1"/>
    <xf numFmtId="11" fontId="54" fillId="15" borderId="6" xfId="0" applyNumberFormat="1" applyFont="1" applyFill="1" applyBorder="1"/>
    <xf numFmtId="11" fontId="0" fillId="15" borderId="6" xfId="0" applyNumberFormat="1" applyFill="1" applyBorder="1" applyAlignment="1">
      <alignment horizontal="right"/>
    </xf>
    <xf numFmtId="11" fontId="52" fillId="15" borderId="29" xfId="0" applyNumberFormat="1" applyFont="1" applyFill="1" applyBorder="1" applyAlignment="1">
      <alignment horizontal="right"/>
    </xf>
    <xf numFmtId="11" fontId="54" fillId="15" borderId="29" xfId="0" applyNumberFormat="1" applyFont="1" applyFill="1" applyBorder="1"/>
    <xf numFmtId="11" fontId="0" fillId="15" borderId="29" xfId="0" applyNumberFormat="1" applyFill="1" applyBorder="1"/>
    <xf numFmtId="11" fontId="0" fillId="15" borderId="2" xfId="0" applyNumberFormat="1" applyFill="1" applyBorder="1"/>
    <xf numFmtId="11" fontId="52" fillId="15" borderId="29" xfId="0" applyNumberFormat="1" applyFont="1" applyFill="1" applyBorder="1" applyAlignment="1">
      <alignment horizontal="center"/>
    </xf>
    <xf numFmtId="11" fontId="54" fillId="15" borderId="29" xfId="0" applyNumberFormat="1" applyFont="1" applyFill="1" applyBorder="1" applyAlignment="1">
      <alignment horizontal="center"/>
    </xf>
    <xf numFmtId="11" fontId="0" fillId="15" borderId="29" xfId="0" applyNumberFormat="1" applyFill="1" applyBorder="1" applyAlignment="1">
      <alignment horizontal="center"/>
    </xf>
    <xf numFmtId="11" fontId="0" fillId="15" borderId="14" xfId="0" applyNumberFormat="1" applyFill="1" applyBorder="1"/>
    <xf numFmtId="11" fontId="0" fillId="15" borderId="4" xfId="0" applyNumberFormat="1" applyFill="1" applyBorder="1" applyAlignment="1">
      <alignment horizontal="center"/>
    </xf>
    <xf numFmtId="11" fontId="0" fillId="15" borderId="6" xfId="0" applyNumberFormat="1" applyFill="1" applyBorder="1" applyAlignment="1">
      <alignment horizontal="left"/>
    </xf>
    <xf numFmtId="11" fontId="0" fillId="15" borderId="7" xfId="0" applyNumberFormat="1" applyFill="1" applyBorder="1" applyAlignment="1">
      <alignment horizontal="left"/>
    </xf>
    <xf numFmtId="11" fontId="8" fillId="7" borderId="0" xfId="0" applyNumberFormat="1" applyFont="1" applyFill="1" applyAlignment="1">
      <alignment horizontal="center"/>
    </xf>
    <xf numFmtId="14" fontId="58" fillId="2" borderId="0" xfId="0" applyNumberFormat="1" applyFont="1" applyFill="1" applyAlignment="1">
      <alignment horizontal="right"/>
    </xf>
    <xf numFmtId="0" fontId="8" fillId="0" borderId="0" xfId="0" applyNumberFormat="1" applyFont="1" applyAlignment="1" applyProtection="1">
      <alignment horizontal="center"/>
      <protection locked="0"/>
    </xf>
    <xf numFmtId="2" fontId="8" fillId="0" borderId="0" xfId="15" applyNumberFormat="1">
      <alignment wrapText="1"/>
    </xf>
    <xf numFmtId="164" fontId="8" fillId="7" borderId="0" xfId="0" applyFont="1" applyFill="1" applyAlignment="1" applyProtection="1">
      <alignment horizontal="right"/>
      <protection locked="0"/>
    </xf>
    <xf numFmtId="170" fontId="10" fillId="7" borderId="0" xfId="0" applyNumberFormat="1" applyFont="1" applyFill="1" applyAlignment="1" applyProtection="1">
      <alignment horizontal="right"/>
      <protection locked="0"/>
    </xf>
    <xf numFmtId="169" fontId="8" fillId="7" borderId="0" xfId="0" applyNumberFormat="1" applyFont="1" applyFill="1" applyAlignment="1" applyProtection="1">
      <alignment horizontal="left"/>
      <protection locked="0"/>
    </xf>
    <xf numFmtId="164" fontId="10" fillId="7" borderId="0" xfId="0" applyFont="1" applyFill="1" applyAlignment="1" applyProtection="1">
      <alignment horizontal="right"/>
      <protection locked="0"/>
    </xf>
    <xf numFmtId="164" fontId="10" fillId="0" borderId="0" xfId="0" applyFont="1" applyAlignment="1" applyProtection="1">
      <alignment horizontal="left"/>
      <protection locked="0"/>
    </xf>
    <xf numFmtId="169" fontId="0" fillId="0" borderId="2" xfId="0" applyNumberFormat="1" applyBorder="1" applyAlignment="1" applyProtection="1">
      <alignment horizontal="left"/>
      <protection locked="0"/>
    </xf>
    <xf numFmtId="169" fontId="0" fillId="0" borderId="29" xfId="0" applyNumberFormat="1" applyBorder="1" applyAlignment="1" applyProtection="1">
      <alignment horizontal="left"/>
      <protection locked="0"/>
    </xf>
    <xf numFmtId="2" fontId="8" fillId="0" borderId="6" xfId="15" applyNumberFormat="1" applyBorder="1">
      <alignment wrapText="1"/>
    </xf>
    <xf numFmtId="11" fontId="0" fillId="7" borderId="8" xfId="9" applyNumberFormat="1" applyFont="1" applyFill="1" applyBorder="1" applyAlignment="1" applyProtection="1">
      <alignment horizontal="right"/>
    </xf>
    <xf numFmtId="11" fontId="22" fillId="0" borderId="0" xfId="0" applyNumberFormat="1" applyFont="1" applyAlignment="1">
      <alignment horizontal="center"/>
    </xf>
    <xf numFmtId="164" fontId="10" fillId="2" borderId="43" xfId="0" applyFont="1" applyFill="1" applyBorder="1"/>
    <xf numFmtId="164" fontId="0" fillId="2" borderId="43" xfId="0" applyFill="1" applyBorder="1"/>
    <xf numFmtId="164" fontId="0" fillId="2" borderId="43" xfId="0" applyFill="1" applyBorder="1" applyAlignment="1">
      <alignment horizontal="right"/>
    </xf>
    <xf numFmtId="164" fontId="9" fillId="2" borderId="3" xfId="0" applyFont="1" applyFill="1" applyBorder="1"/>
    <xf numFmtId="164" fontId="0" fillId="12" borderId="0" xfId="0" applyFill="1"/>
    <xf numFmtId="164" fontId="0" fillId="12" borderId="3" xfId="0" applyFill="1" applyBorder="1"/>
    <xf numFmtId="164" fontId="9" fillId="2" borderId="3" xfId="0" applyFont="1" applyFill="1" applyBorder="1" applyAlignment="1">
      <alignment horizontal="left"/>
    </xf>
    <xf numFmtId="178" fontId="0" fillId="2" borderId="43" xfId="0" applyNumberFormat="1" applyFill="1" applyBorder="1" applyAlignment="1">
      <alignment horizontal="right"/>
    </xf>
    <xf numFmtId="178" fontId="0" fillId="2" borderId="0" xfId="0" applyNumberFormat="1" applyFill="1"/>
    <xf numFmtId="178" fontId="0" fillId="2" borderId="43" xfId="0" applyNumberFormat="1" applyFill="1" applyBorder="1"/>
    <xf numFmtId="11" fontId="60" fillId="13" borderId="0" xfId="0" applyNumberFormat="1" applyFont="1" applyFill="1" applyAlignment="1">
      <alignment horizontal="center"/>
    </xf>
    <xf numFmtId="11" fontId="0" fillId="11" borderId="20" xfId="0" applyNumberFormat="1" applyFill="1" applyBorder="1" applyAlignment="1">
      <alignment horizontal="center"/>
    </xf>
    <xf numFmtId="11" fontId="0" fillId="11" borderId="10" xfId="0" applyNumberFormat="1" applyFill="1" applyBorder="1" applyAlignment="1">
      <alignment horizontal="center"/>
    </xf>
    <xf numFmtId="49" fontId="0" fillId="2" borderId="6" xfId="0" applyNumberFormat="1" applyFill="1" applyBorder="1"/>
    <xf numFmtId="49" fontId="0" fillId="2" borderId="6" xfId="0" applyNumberFormat="1" applyFill="1" applyBorder="1" applyAlignment="1">
      <alignment horizontal="left"/>
    </xf>
    <xf numFmtId="11" fontId="33" fillId="2" borderId="10" xfId="0" applyNumberFormat="1" applyFont="1" applyFill="1" applyBorder="1" applyAlignment="1">
      <alignment horizontal="center"/>
    </xf>
    <xf numFmtId="164" fontId="33" fillId="2" borderId="11" xfId="0" applyFont="1" applyFill="1" applyBorder="1" applyAlignment="1">
      <alignment horizontal="center"/>
    </xf>
    <xf numFmtId="11" fontId="33" fillId="2" borderId="10" xfId="0" applyNumberFormat="1" applyFont="1" applyFill="1" applyBorder="1" applyAlignment="1">
      <alignment horizontal="right"/>
    </xf>
    <xf numFmtId="49" fontId="11" fillId="2" borderId="9" xfId="0" applyNumberFormat="1" applyFont="1" applyFill="1" applyBorder="1" applyAlignment="1">
      <alignment horizontal="left"/>
    </xf>
    <xf numFmtId="11" fontId="0" fillId="2" borderId="25" xfId="0" applyNumberFormat="1" applyFill="1" applyBorder="1" applyAlignment="1">
      <alignment horizontal="left"/>
    </xf>
    <xf numFmtId="164" fontId="11" fillId="2" borderId="6" xfId="0" applyFont="1" applyFill="1" applyBorder="1" applyAlignment="1">
      <alignment horizontal="left"/>
    </xf>
    <xf numFmtId="164" fontId="11" fillId="2" borderId="11" xfId="0" applyFont="1" applyFill="1" applyBorder="1" applyAlignment="1">
      <alignment horizontal="left"/>
    </xf>
    <xf numFmtId="14" fontId="0" fillId="2" borderId="0" xfId="0" quotePrefix="1" applyNumberFormat="1" applyFill="1" applyAlignment="1">
      <alignment horizontal="right"/>
    </xf>
    <xf numFmtId="164" fontId="61" fillId="15" borderId="0" xfId="0" applyFont="1" applyFill="1" applyAlignment="1">
      <alignment horizontal="left" vertical="center"/>
    </xf>
    <xf numFmtId="164" fontId="29" fillId="15" borderId="0" xfId="0" applyFont="1" applyFill="1"/>
    <xf numFmtId="11" fontId="29" fillId="15" borderId="0" xfId="0" applyNumberFormat="1" applyFont="1" applyFill="1" applyAlignment="1">
      <alignment horizontal="left"/>
    </xf>
    <xf numFmtId="164" fontId="29" fillId="15" borderId="0" xfId="0" applyFont="1" applyFill="1" applyAlignment="1">
      <alignment horizontal="left"/>
    </xf>
    <xf numFmtId="164" fontId="29" fillId="15" borderId="3" xfId="0" applyFont="1" applyFill="1" applyBorder="1" applyAlignment="1">
      <alignment horizontal="left"/>
    </xf>
    <xf numFmtId="164" fontId="22" fillId="15" borderId="0" xfId="0" applyFont="1" applyFill="1" applyAlignment="1">
      <alignment horizontal="center" vertical="center"/>
    </xf>
    <xf numFmtId="164" fontId="61" fillId="0" borderId="0" xfId="0" applyFont="1" applyAlignment="1">
      <alignment horizontal="left" vertical="center"/>
    </xf>
    <xf numFmtId="164" fontId="22" fillId="0" borderId="0" xfId="0" applyFont="1" applyAlignment="1">
      <alignment horizontal="left" vertical="center"/>
    </xf>
    <xf numFmtId="164" fontId="29" fillId="0" borderId="0" xfId="0" applyFont="1" applyAlignment="1">
      <alignment horizontal="left"/>
    </xf>
    <xf numFmtId="164" fontId="29" fillId="0" borderId="0" xfId="0" applyFont="1"/>
    <xf numFmtId="11" fontId="29" fillId="0" borderId="0" xfId="0" applyNumberFormat="1" applyFont="1" applyAlignment="1">
      <alignment horizontal="left"/>
    </xf>
    <xf numFmtId="11" fontId="52" fillId="8" borderId="0" xfId="0" applyNumberFormat="1" applyFont="1" applyFill="1"/>
    <xf numFmtId="11" fontId="42" fillId="0" borderId="0" xfId="0" applyNumberFormat="1" applyFont="1" applyAlignment="1">
      <alignment horizontal="center" vertical="center" wrapText="1"/>
    </xf>
    <xf numFmtId="11" fontId="42" fillId="7" borderId="0" xfId="0" applyNumberFormat="1" applyFont="1" applyFill="1" applyAlignment="1">
      <alignment horizontal="center" vertical="center" wrapText="1"/>
    </xf>
    <xf numFmtId="164" fontId="8" fillId="7" borderId="12" xfId="0" applyFont="1" applyFill="1" applyBorder="1" applyAlignment="1">
      <alignment horizontal="center"/>
    </xf>
    <xf numFmtId="11" fontId="51" fillId="2" borderId="7" xfId="0" applyNumberFormat="1" applyFont="1" applyFill="1" applyBorder="1" applyAlignment="1">
      <alignment horizontal="right"/>
    </xf>
    <xf numFmtId="11" fontId="43" fillId="17" borderId="0" xfId="0" applyNumberFormat="1" applyFont="1" applyFill="1"/>
    <xf numFmtId="11" fontId="51" fillId="2" borderId="14" xfId="0" applyNumberFormat="1" applyFont="1" applyFill="1" applyBorder="1" applyAlignment="1">
      <alignment horizontal="right"/>
    </xf>
    <xf numFmtId="11" fontId="0" fillId="15" borderId="14" xfId="0" applyNumberFormat="1" applyFill="1" applyBorder="1" applyAlignment="1">
      <alignment horizontal="left"/>
    </xf>
    <xf numFmtId="11" fontId="52" fillId="15" borderId="6" xfId="0" applyNumberFormat="1" applyFont="1" applyFill="1" applyBorder="1" applyAlignment="1">
      <alignment horizontal="center"/>
    </xf>
    <xf numFmtId="11" fontId="54" fillId="15" borderId="6" xfId="0" applyNumberFormat="1" applyFont="1" applyFill="1" applyBorder="1" applyAlignment="1">
      <alignment horizontal="center"/>
    </xf>
    <xf numFmtId="11" fontId="0" fillId="15" borderId="6" xfId="0" applyNumberFormat="1" applyFill="1" applyBorder="1" applyAlignment="1">
      <alignment horizontal="center"/>
    </xf>
    <xf numFmtId="11" fontId="52" fillId="8" borderId="0" xfId="0" applyNumberFormat="1" applyFont="1" applyFill="1" applyAlignment="1" applyProtection="1">
      <alignment horizontal="right"/>
      <protection locked="0"/>
    </xf>
    <xf numFmtId="11" fontId="0" fillId="15" borderId="25" xfId="0" applyNumberFormat="1" applyFill="1" applyBorder="1" applyAlignment="1">
      <alignment horizontal="center"/>
    </xf>
    <xf numFmtId="11" fontId="0" fillId="8" borderId="0" xfId="0" applyNumberFormat="1" applyFill="1" applyAlignment="1" applyProtection="1">
      <alignment horizontal="right"/>
      <protection locked="0"/>
    </xf>
    <xf numFmtId="11" fontId="0" fillId="8" borderId="6" xfId="0" applyNumberFormat="1" applyFill="1" applyBorder="1" applyAlignment="1" applyProtection="1">
      <alignment horizontal="right"/>
      <protection locked="0"/>
    </xf>
    <xf numFmtId="11" fontId="0" fillId="15" borderId="8" xfId="0" applyNumberFormat="1" applyFill="1" applyBorder="1" applyAlignment="1">
      <alignment horizontal="left"/>
    </xf>
    <xf numFmtId="11" fontId="0" fillId="15" borderId="0" xfId="0" applyNumberFormat="1" applyFill="1" applyAlignment="1">
      <alignment horizontal="left"/>
    </xf>
    <xf numFmtId="11" fontId="52" fillId="8" borderId="0" xfId="0" applyNumberFormat="1" applyFont="1" applyFill="1" applyProtection="1">
      <protection locked="0"/>
    </xf>
    <xf numFmtId="164" fontId="38" fillId="8" borderId="0" xfId="0" applyFont="1" applyFill="1" applyAlignment="1">
      <alignment horizontal="center"/>
    </xf>
    <xf numFmtId="164" fontId="10" fillId="7" borderId="0" xfId="0" applyFont="1" applyFill="1"/>
    <xf numFmtId="11" fontId="0" fillId="7" borderId="0" xfId="0" applyNumberFormat="1" applyFill="1" applyAlignment="1">
      <alignment horizontal="center"/>
    </xf>
    <xf numFmtId="11" fontId="0" fillId="7" borderId="0" xfId="0" quotePrefix="1" applyNumberFormat="1" applyFill="1" applyAlignment="1">
      <alignment horizontal="center"/>
    </xf>
    <xf numFmtId="169" fontId="0" fillId="2" borderId="13" xfId="0" quotePrefix="1" applyNumberFormat="1" applyFill="1" applyBorder="1" applyAlignment="1">
      <alignment horizontal="left" vertical="center" wrapText="1"/>
    </xf>
    <xf numFmtId="11" fontId="0" fillId="7" borderId="13" xfId="0" applyNumberFormat="1" applyFill="1" applyBorder="1" applyAlignment="1">
      <alignment horizontal="center" vertical="center" wrapText="1"/>
    </xf>
    <xf numFmtId="11" fontId="0" fillId="7" borderId="0" xfId="0" applyNumberFormat="1" applyFill="1" applyAlignment="1">
      <alignment horizontal="right" vertical="center" wrapText="1"/>
    </xf>
    <xf numFmtId="164" fontId="0" fillId="7" borderId="3" xfId="0" applyFill="1" applyBorder="1" applyAlignment="1">
      <alignment horizontal="left"/>
    </xf>
    <xf numFmtId="164" fontId="0" fillId="7" borderId="2" xfId="0" applyFill="1" applyBorder="1" applyAlignment="1">
      <alignment horizontal="left"/>
    </xf>
    <xf numFmtId="164" fontId="0" fillId="7" borderId="0" xfId="0" applyFill="1" applyAlignment="1">
      <alignment horizontal="left" vertical="center"/>
    </xf>
    <xf numFmtId="164" fontId="0" fillId="7" borderId="4" xfId="0" applyFill="1" applyBorder="1" applyAlignment="1">
      <alignment horizontal="left"/>
    </xf>
    <xf numFmtId="164" fontId="0" fillId="7" borderId="0" xfId="0" applyFill="1" applyAlignment="1">
      <alignment vertical="center"/>
    </xf>
    <xf numFmtId="164" fontId="0" fillId="7" borderId="0" xfId="0" applyFill="1" applyAlignment="1">
      <alignment horizontal="center" vertical="center" wrapText="1"/>
    </xf>
    <xf numFmtId="164" fontId="8" fillId="7" borderId="0" xfId="0" applyFont="1" applyFill="1" applyAlignment="1">
      <alignment horizontal="center" vertical="center" wrapText="1"/>
    </xf>
    <xf numFmtId="164" fontId="8" fillId="0" borderId="0" xfId="0" applyFont="1" applyAlignment="1">
      <alignment horizontal="center" vertical="center" wrapText="1"/>
    </xf>
    <xf numFmtId="11" fontId="39" fillId="7" borderId="0" xfId="0" applyNumberFormat="1" applyFont="1" applyFill="1"/>
    <xf numFmtId="11" fontId="51" fillId="7" borderId="0" xfId="0" applyNumberFormat="1" applyFont="1" applyFill="1" applyAlignment="1">
      <alignment horizontal="right"/>
    </xf>
    <xf numFmtId="11" fontId="39" fillId="7" borderId="0" xfId="0" applyNumberFormat="1" applyFont="1" applyFill="1" applyAlignment="1">
      <alignment horizontal="left"/>
    </xf>
    <xf numFmtId="164" fontId="0" fillId="0" borderId="22" xfId="0" applyBorder="1"/>
    <xf numFmtId="164" fontId="0" fillId="0" borderId="25" xfId="0" applyBorder="1"/>
    <xf numFmtId="164" fontId="0" fillId="0" borderId="6" xfId="0" applyBorder="1"/>
    <xf numFmtId="164" fontId="11" fillId="2" borderId="7" xfId="0" applyFont="1" applyFill="1" applyBorder="1"/>
    <xf numFmtId="164" fontId="0" fillId="2" borderId="14" xfId="0" applyFill="1" applyBorder="1" applyAlignment="1">
      <alignment horizontal="left"/>
    </xf>
    <xf numFmtId="164" fontId="11" fillId="8" borderId="22" xfId="0" applyFont="1" applyFill="1" applyBorder="1"/>
    <xf numFmtId="164" fontId="11" fillId="8" borderId="5" xfId="0" applyFont="1" applyFill="1" applyBorder="1"/>
    <xf numFmtId="164" fontId="11" fillId="8" borderId="0" xfId="0" applyFont="1" applyFill="1"/>
    <xf numFmtId="164" fontId="11" fillId="18" borderId="0" xfId="0" applyFont="1" applyFill="1"/>
    <xf numFmtId="11" fontId="0" fillId="15" borderId="22" xfId="0" applyNumberFormat="1" applyFill="1" applyBorder="1" applyAlignment="1">
      <alignment horizontal="center"/>
    </xf>
    <xf numFmtId="14" fontId="0" fillId="2" borderId="0" xfId="0" applyNumberFormat="1" applyFill="1"/>
    <xf numFmtId="14" fontId="0" fillId="2" borderId="0" xfId="0" applyNumberFormat="1" applyFill="1" applyAlignment="1">
      <alignment horizontal="right"/>
    </xf>
    <xf numFmtId="11" fontId="51" fillId="7" borderId="6" xfId="0" applyNumberFormat="1" applyFont="1" applyFill="1" applyBorder="1" applyAlignment="1">
      <alignment horizontal="right"/>
    </xf>
    <xf numFmtId="164" fontId="42" fillId="7" borderId="6" xfId="0" applyFont="1" applyFill="1" applyBorder="1" applyAlignment="1">
      <alignment horizontal="center" vertical="center" wrapText="1"/>
    </xf>
    <xf numFmtId="11" fontId="51" fillId="7" borderId="6" xfId="0" applyNumberFormat="1" applyFont="1" applyFill="1" applyBorder="1" applyAlignment="1">
      <alignment horizontal="right" wrapText="1"/>
    </xf>
    <xf numFmtId="164" fontId="0" fillId="7" borderId="0" xfId="0" applyFill="1" applyAlignment="1">
      <alignment horizontal="left" wrapText="1"/>
    </xf>
    <xf numFmtId="164" fontId="0" fillId="7" borderId="0" xfId="0" applyFill="1" applyAlignment="1">
      <alignment horizontal="center" wrapText="1"/>
    </xf>
    <xf numFmtId="11" fontId="0" fillId="7" borderId="2" xfId="0" applyNumberFormat="1" applyFill="1" applyBorder="1" applyAlignment="1">
      <alignment horizontal="center"/>
    </xf>
    <xf numFmtId="164" fontId="62" fillId="7" borderId="0" xfId="0" applyFont="1" applyFill="1" applyAlignment="1">
      <alignment horizontal="left"/>
    </xf>
    <xf numFmtId="11" fontId="39" fillId="7" borderId="0" xfId="0" applyNumberFormat="1" applyFont="1" applyFill="1" applyAlignment="1" applyProtection="1">
      <alignment horizontal="right"/>
      <protection locked="0"/>
    </xf>
    <xf numFmtId="164" fontId="29" fillId="7" borderId="0" xfId="0" applyFont="1" applyFill="1" applyAlignment="1">
      <alignment horizontal="left"/>
    </xf>
    <xf numFmtId="164" fontId="29" fillId="7" borderId="0" xfId="0" applyFont="1" applyFill="1"/>
    <xf numFmtId="164" fontId="22" fillId="7" borderId="3" xfId="0" applyFont="1" applyFill="1" applyBorder="1" applyAlignment="1">
      <alignment horizontal="left"/>
    </xf>
    <xf numFmtId="164" fontId="22" fillId="7" borderId="3" xfId="0" applyFont="1" applyFill="1" applyBorder="1"/>
    <xf numFmtId="164" fontId="39" fillId="7" borderId="3" xfId="0" applyFont="1" applyFill="1" applyBorder="1" applyAlignment="1">
      <alignment horizontal="left"/>
    </xf>
    <xf numFmtId="164" fontId="8" fillId="7" borderId="3" xfId="0" applyFont="1" applyFill="1" applyBorder="1"/>
    <xf numFmtId="164" fontId="0" fillId="7" borderId="4" xfId="0" applyFill="1" applyBorder="1"/>
    <xf numFmtId="11" fontId="0" fillId="7" borderId="6" xfId="0" applyNumberFormat="1" applyFill="1" applyBorder="1"/>
    <xf numFmtId="164" fontId="39" fillId="7" borderId="3" xfId="0" applyFont="1" applyFill="1" applyBorder="1"/>
    <xf numFmtId="164" fontId="62" fillId="7" borderId="3" xfId="0" applyFont="1" applyFill="1" applyBorder="1" applyAlignment="1">
      <alignment horizontal="left"/>
    </xf>
    <xf numFmtId="11" fontId="52" fillId="7" borderId="3" xfId="0" applyNumberFormat="1" applyFont="1" applyFill="1" applyBorder="1" applyAlignment="1">
      <alignment horizontal="right"/>
    </xf>
    <xf numFmtId="11" fontId="54" fillId="7" borderId="3" xfId="0" applyNumberFormat="1" applyFont="1" applyFill="1" applyBorder="1"/>
    <xf numFmtId="11" fontId="0" fillId="7" borderId="3" xfId="0" applyNumberFormat="1" applyFill="1" applyBorder="1" applyAlignment="1">
      <alignment horizontal="left"/>
    </xf>
    <xf numFmtId="11" fontId="52" fillId="7" borderId="25" xfId="0" applyNumberFormat="1" applyFont="1" applyFill="1" applyBorder="1"/>
    <xf numFmtId="11" fontId="54" fillId="7" borderId="25" xfId="0" applyNumberFormat="1" applyFont="1" applyFill="1" applyBorder="1"/>
    <xf numFmtId="11" fontId="0" fillId="7" borderId="25" xfId="0" applyNumberFormat="1" applyFill="1" applyBorder="1"/>
    <xf numFmtId="11" fontId="0" fillId="7" borderId="4" xfId="0" applyNumberFormat="1" applyFill="1" applyBorder="1" applyAlignment="1">
      <alignment horizontal="right"/>
    </xf>
    <xf numFmtId="11" fontId="51" fillId="7" borderId="3" xfId="0" applyNumberFormat="1" applyFont="1" applyFill="1" applyBorder="1" applyAlignment="1">
      <alignment horizontal="right"/>
    </xf>
    <xf numFmtId="11" fontId="39" fillId="7" borderId="3" xfId="0" applyNumberFormat="1" applyFont="1" applyFill="1" applyBorder="1" applyAlignment="1">
      <alignment horizontal="left"/>
    </xf>
    <xf numFmtId="11" fontId="54" fillId="7" borderId="6" xfId="0" applyNumberFormat="1" applyFont="1" applyFill="1" applyBorder="1"/>
    <xf numFmtId="11" fontId="11" fillId="7" borderId="6" xfId="0" applyNumberFormat="1" applyFont="1" applyFill="1" applyBorder="1"/>
    <xf numFmtId="11" fontId="55" fillId="7" borderId="6" xfId="0" applyNumberFormat="1" applyFont="1" applyFill="1" applyBorder="1"/>
    <xf numFmtId="11" fontId="11" fillId="7" borderId="0" xfId="0" applyNumberFormat="1" applyFont="1" applyFill="1" applyAlignment="1">
      <alignment horizontal="right"/>
    </xf>
    <xf numFmtId="11" fontId="56" fillId="7" borderId="6" xfId="0" applyNumberFormat="1" applyFont="1" applyFill="1" applyBorder="1"/>
    <xf numFmtId="11" fontId="0" fillId="7" borderId="6" xfId="0" applyNumberFormat="1" applyFill="1" applyBorder="1" applyAlignment="1">
      <alignment horizontal="right"/>
    </xf>
    <xf numFmtId="11" fontId="54" fillId="7" borderId="0" xfId="0" applyNumberFormat="1" applyFont="1" applyFill="1"/>
    <xf numFmtId="11" fontId="53" fillId="7" borderId="3" xfId="0" applyNumberFormat="1" applyFont="1" applyFill="1" applyBorder="1"/>
    <xf numFmtId="11" fontId="0" fillId="7" borderId="3" xfId="0" quotePrefix="1" applyNumberFormat="1" applyFill="1" applyBorder="1"/>
    <xf numFmtId="11" fontId="22" fillId="7" borderId="3" xfId="0" quotePrefix="1" applyNumberFormat="1" applyFont="1" applyFill="1" applyBorder="1" applyAlignment="1">
      <alignment horizontal="center"/>
    </xf>
    <xf numFmtId="11" fontId="22" fillId="7" borderId="3" xfId="0" applyNumberFormat="1" applyFont="1" applyFill="1" applyBorder="1" applyAlignment="1">
      <alignment horizontal="center"/>
    </xf>
    <xf numFmtId="11" fontId="39" fillId="7" borderId="3" xfId="0" applyNumberFormat="1" applyFont="1" applyFill="1" applyBorder="1" applyAlignment="1" applyProtection="1">
      <alignment horizontal="right"/>
      <protection locked="0"/>
    </xf>
    <xf numFmtId="11" fontId="39" fillId="7" borderId="3" xfId="0" applyNumberFormat="1" applyFont="1" applyFill="1" applyBorder="1"/>
    <xf numFmtId="11" fontId="52" fillId="7" borderId="6" xfId="0" applyNumberFormat="1" applyFont="1" applyFill="1" applyBorder="1" applyAlignment="1" applyProtection="1">
      <alignment horizontal="right"/>
      <protection locked="0"/>
    </xf>
    <xf numFmtId="11" fontId="51" fillId="2" borderId="0" xfId="0" applyNumberFormat="1" applyFont="1" applyFill="1" applyAlignment="1">
      <alignment horizontal="right"/>
    </xf>
    <xf numFmtId="11" fontId="51" fillId="2" borderId="3" xfId="0" applyNumberFormat="1" applyFont="1" applyFill="1" applyBorder="1" applyAlignment="1">
      <alignment horizontal="right"/>
    </xf>
    <xf numFmtId="2" fontId="0" fillId="2" borderId="0" xfId="0" applyNumberFormat="1" applyFill="1"/>
    <xf numFmtId="164" fontId="9" fillId="7" borderId="3" xfId="0" applyFont="1" applyFill="1" applyBorder="1" applyAlignment="1">
      <alignment horizontal="left"/>
    </xf>
    <xf numFmtId="164" fontId="10" fillId="7" borderId="0" xfId="0" applyFont="1" applyFill="1" applyAlignment="1">
      <alignment horizontal="left"/>
    </xf>
    <xf numFmtId="164" fontId="3" fillId="0" borderId="0" xfId="1" applyNumberFormat="1" applyAlignment="1" applyProtection="1">
      <alignment horizontal="left"/>
    </xf>
    <xf numFmtId="164" fontId="9" fillId="2" borderId="5" xfId="0" applyFont="1" applyFill="1" applyBorder="1"/>
    <xf numFmtId="164" fontId="0" fillId="2" borderId="7" xfId="0" applyFill="1" applyBorder="1" applyAlignment="1">
      <alignment horizontal="left"/>
    </xf>
    <xf numFmtId="11" fontId="10" fillId="2" borderId="8" xfId="0" applyNumberFormat="1" applyFont="1" applyFill="1" applyBorder="1" applyAlignment="1">
      <alignment horizontal="left"/>
    </xf>
    <xf numFmtId="11" fontId="10" fillId="2" borderId="0" xfId="0" applyNumberFormat="1" applyFont="1" applyFill="1" applyAlignment="1">
      <alignment horizontal="left"/>
    </xf>
    <xf numFmtId="11" fontId="10" fillId="2" borderId="6" xfId="0" applyNumberFormat="1" applyFont="1" applyFill="1" applyBorder="1" applyAlignment="1">
      <alignment horizontal="left"/>
    </xf>
    <xf numFmtId="11" fontId="10" fillId="2" borderId="9" xfId="0" applyNumberFormat="1" applyFont="1" applyFill="1" applyBorder="1" applyAlignment="1">
      <alignment horizontal="left"/>
    </xf>
    <xf numFmtId="164" fontId="10" fillId="2" borderId="10" xfId="0" applyFont="1" applyFill="1" applyBorder="1" applyAlignment="1">
      <alignment horizontal="left"/>
    </xf>
    <xf numFmtId="11" fontId="10" fillId="2" borderId="10" xfId="0" applyNumberFormat="1" applyFont="1" applyFill="1" applyBorder="1" applyAlignment="1">
      <alignment horizontal="left"/>
    </xf>
    <xf numFmtId="11" fontId="10" fillId="2" borderId="11" xfId="0" applyNumberFormat="1" applyFont="1" applyFill="1" applyBorder="1" applyAlignment="1">
      <alignment horizontal="left"/>
    </xf>
    <xf numFmtId="11" fontId="0" fillId="2" borderId="0" xfId="0" quotePrefix="1" applyNumberFormat="1" applyFill="1" applyProtection="1">
      <protection locked="0"/>
    </xf>
    <xf numFmtId="164" fontId="0" fillId="2" borderId="0" xfId="0" applyFill="1" applyProtection="1">
      <protection locked="0"/>
    </xf>
    <xf numFmtId="168" fontId="0" fillId="2" borderId="0" xfId="0" applyNumberFormat="1" applyFill="1" applyAlignment="1">
      <alignment horizontal="left"/>
    </xf>
    <xf numFmtId="164" fontId="0" fillId="2" borderId="0" xfId="0" quotePrefix="1" applyFill="1" applyProtection="1">
      <protection locked="0"/>
    </xf>
    <xf numFmtId="164" fontId="0" fillId="2" borderId="24" xfId="0" applyFill="1" applyBorder="1" applyAlignment="1">
      <alignment horizontal="center"/>
    </xf>
    <xf numFmtId="164" fontId="0" fillId="2" borderId="26" xfId="0" applyFill="1" applyBorder="1" applyAlignment="1">
      <alignment horizontal="left"/>
    </xf>
    <xf numFmtId="164" fontId="0" fillId="2" borderId="21" xfId="0" applyFill="1" applyBorder="1" applyAlignment="1">
      <alignment horizontal="left"/>
    </xf>
    <xf numFmtId="164" fontId="0" fillId="2" borderId="24" xfId="0" applyFill="1" applyBorder="1" applyAlignment="1">
      <alignment horizontal="left"/>
    </xf>
    <xf numFmtId="164" fontId="0" fillId="2" borderId="23" xfId="0" applyFill="1" applyBorder="1"/>
    <xf numFmtId="164" fontId="0" fillId="2" borderId="14" xfId="0" applyFill="1" applyBorder="1"/>
    <xf numFmtId="164" fontId="0" fillId="2" borderId="8" xfId="0" applyFill="1" applyBorder="1" applyAlignment="1">
      <alignment horizontal="left"/>
    </xf>
    <xf numFmtId="164" fontId="0" fillId="2" borderId="20" xfId="0" applyFill="1" applyBorder="1"/>
    <xf numFmtId="164" fontId="0" fillId="2" borderId="11" xfId="0" applyFill="1" applyBorder="1"/>
    <xf numFmtId="164" fontId="0" fillId="2" borderId="10" xfId="0" applyFill="1" applyBorder="1" applyAlignment="1">
      <alignment horizontal="left"/>
    </xf>
    <xf numFmtId="11" fontId="0" fillId="2" borderId="10" xfId="0" applyNumberFormat="1" applyFill="1" applyBorder="1" applyAlignment="1">
      <alignment horizontal="left"/>
    </xf>
    <xf numFmtId="164" fontId="10" fillId="2" borderId="9" xfId="0" applyFont="1" applyFill="1" applyBorder="1" applyAlignment="1">
      <alignment horizontal="left"/>
    </xf>
    <xf numFmtId="172" fontId="0" fillId="2" borderId="0" xfId="0" applyNumberFormat="1" applyFill="1" applyAlignment="1">
      <alignment horizontal="left"/>
    </xf>
    <xf numFmtId="172" fontId="11" fillId="2" borderId="0" xfId="0" applyNumberFormat="1" applyFont="1" applyFill="1" applyAlignment="1">
      <alignment horizontal="left"/>
    </xf>
    <xf numFmtId="49" fontId="0" fillId="2" borderId="0" xfId="0" applyNumberFormat="1" applyFill="1" applyAlignment="1">
      <alignment horizontal="left"/>
    </xf>
    <xf numFmtId="164" fontId="39" fillId="2" borderId="0" xfId="0" quotePrefix="1" applyFont="1" applyFill="1"/>
    <xf numFmtId="164" fontId="11" fillId="2" borderId="27" xfId="0" applyFont="1" applyFill="1" applyBorder="1" applyAlignment="1">
      <alignment horizontal="left"/>
    </xf>
    <xf numFmtId="14" fontId="10" fillId="2" borderId="0" xfId="0" applyNumberFormat="1" applyFont="1" applyFill="1"/>
    <xf numFmtId="11" fontId="39" fillId="2" borderId="8" xfId="0" applyNumberFormat="1" applyFont="1" applyFill="1" applyBorder="1" applyAlignment="1">
      <alignment horizontal="left"/>
    </xf>
    <xf numFmtId="173" fontId="39" fillId="0" borderId="0" xfId="0" applyNumberFormat="1" applyFont="1" applyAlignment="1">
      <alignment horizontal="center"/>
    </xf>
    <xf numFmtId="166" fontId="0" fillId="2" borderId="0" xfId="0" quotePrefix="1" applyNumberFormat="1" applyFill="1" applyAlignment="1">
      <alignment horizontal="center"/>
    </xf>
    <xf numFmtId="11" fontId="8" fillId="7" borderId="0" xfId="0" applyNumberFormat="1" applyFont="1" applyFill="1"/>
    <xf numFmtId="164" fontId="8" fillId="7" borderId="4" xfId="0" applyFont="1" applyFill="1" applyBorder="1" applyAlignment="1">
      <alignment horizontal="center"/>
    </xf>
    <xf numFmtId="164" fontId="8" fillId="7" borderId="4" xfId="0" applyFont="1" applyFill="1" applyBorder="1"/>
    <xf numFmtId="164" fontId="8" fillId="0" borderId="4" xfId="0" applyFont="1" applyBorder="1"/>
    <xf numFmtId="49" fontId="24" fillId="7" borderId="0" xfId="3" applyNumberFormat="1" applyFont="1" applyFill="1" applyProtection="1">
      <protection locked="0"/>
    </xf>
    <xf numFmtId="164" fontId="8" fillId="0" borderId="0" xfId="0" applyFont="1" applyAlignment="1">
      <alignment horizontal="center" vertical="center"/>
    </xf>
    <xf numFmtId="164" fontId="8" fillId="7" borderId="2" xfId="0" applyFont="1" applyFill="1" applyBorder="1"/>
    <xf numFmtId="164" fontId="8" fillId="0" borderId="22" xfId="0" applyFont="1" applyBorder="1"/>
    <xf numFmtId="164" fontId="8" fillId="0" borderId="5" xfId="0" applyFont="1" applyBorder="1"/>
    <xf numFmtId="11" fontId="8" fillId="0" borderId="6" xfId="0" applyNumberFormat="1" applyFont="1" applyBorder="1"/>
    <xf numFmtId="164" fontId="8" fillId="0" borderId="6" xfId="0" applyFont="1" applyBorder="1"/>
    <xf numFmtId="164" fontId="8" fillId="0" borderId="23" xfId="0" applyFont="1" applyBorder="1"/>
    <xf numFmtId="11" fontId="8" fillId="0" borderId="3" xfId="0" applyNumberFormat="1" applyFont="1" applyBorder="1"/>
    <xf numFmtId="11" fontId="8" fillId="0" borderId="14" xfId="0" applyNumberFormat="1" applyFont="1" applyBorder="1"/>
    <xf numFmtId="11" fontId="8" fillId="0" borderId="4" xfId="0" applyNumberFormat="1" applyFont="1" applyBorder="1"/>
    <xf numFmtId="11" fontId="8" fillId="0" borderId="25" xfId="0" applyNumberFormat="1" applyFont="1" applyBorder="1"/>
    <xf numFmtId="11" fontId="8" fillId="14" borderId="0" xfId="0" applyNumberFormat="1" applyFont="1" applyFill="1"/>
    <xf numFmtId="11" fontId="8" fillId="14" borderId="6" xfId="0" applyNumberFormat="1" applyFont="1" applyFill="1" applyBorder="1"/>
    <xf numFmtId="11" fontId="8" fillId="14" borderId="3" xfId="0" applyNumberFormat="1" applyFont="1" applyFill="1" applyBorder="1"/>
    <xf numFmtId="11" fontId="8" fillId="14" borderId="14" xfId="0" applyNumberFormat="1" applyFont="1" applyFill="1" applyBorder="1"/>
    <xf numFmtId="11" fontId="8" fillId="14" borderId="22" xfId="0" applyNumberFormat="1" applyFont="1" applyFill="1" applyBorder="1"/>
    <xf numFmtId="11" fontId="8" fillId="14" borderId="4" xfId="0" applyNumberFormat="1" applyFont="1" applyFill="1" applyBorder="1"/>
    <xf numFmtId="11" fontId="8" fillId="14" borderId="25" xfId="0" applyNumberFormat="1" applyFont="1" applyFill="1" applyBorder="1"/>
    <xf numFmtId="11" fontId="8" fillId="14" borderId="5" xfId="0" applyNumberFormat="1" applyFont="1" applyFill="1" applyBorder="1"/>
    <xf numFmtId="11" fontId="8" fillId="14" borderId="23" xfId="0" applyNumberFormat="1" applyFont="1" applyFill="1" applyBorder="1"/>
    <xf numFmtId="164" fontId="8" fillId="14" borderId="22" xfId="0" applyFont="1" applyFill="1" applyBorder="1"/>
    <xf numFmtId="164" fontId="8" fillId="14" borderId="4" xfId="0" applyFont="1" applyFill="1" applyBorder="1"/>
    <xf numFmtId="164" fontId="8" fillId="14" borderId="5" xfId="0" applyFont="1" applyFill="1" applyBorder="1"/>
    <xf numFmtId="164" fontId="8" fillId="14" borderId="0" xfId="0" applyFont="1" applyFill="1"/>
    <xf numFmtId="164" fontId="8" fillId="14" borderId="23" xfId="0" applyFont="1" applyFill="1" applyBorder="1"/>
    <xf numFmtId="164" fontId="8" fillId="14" borderId="3" xfId="0" applyFont="1" applyFill="1" applyBorder="1"/>
    <xf numFmtId="9" fontId="8" fillId="0" borderId="0" xfId="9" applyFont="1" applyAlignment="1"/>
    <xf numFmtId="0" fontId="52" fillId="8" borderId="0" xfId="0" applyNumberFormat="1" applyFont="1" applyFill="1" applyAlignment="1">
      <alignment horizontal="center" vertical="center" wrapText="1"/>
    </xf>
    <xf numFmtId="0" fontId="52" fillId="8" borderId="6" xfId="0" applyNumberFormat="1" applyFont="1" applyFill="1" applyBorder="1" applyAlignment="1">
      <alignment horizontal="center" vertical="center" wrapText="1"/>
    </xf>
    <xf numFmtId="164" fontId="52" fillId="8" borderId="0" xfId="0" applyFont="1" applyFill="1" applyAlignment="1">
      <alignment horizontal="center" vertical="center"/>
    </xf>
    <xf numFmtId="164" fontId="52" fillId="8" borderId="6" xfId="0" applyFont="1" applyFill="1" applyBorder="1" applyAlignment="1">
      <alignment horizontal="center" vertical="center"/>
    </xf>
    <xf numFmtId="164" fontId="0" fillId="2" borderId="0" xfId="0" applyFill="1" applyAlignment="1">
      <alignment horizontal="center"/>
    </xf>
    <xf numFmtId="164" fontId="0" fillId="2" borderId="6" xfId="0" applyFill="1" applyBorder="1" applyAlignment="1">
      <alignment horizontal="center"/>
    </xf>
    <xf numFmtId="164" fontId="0" fillId="0" borderId="0" xfId="0" applyFont="1"/>
    <xf numFmtId="164" fontId="0" fillId="0" borderId="0" xfId="0" applyFont="1" applyAlignment="1">
      <alignment horizontal="left"/>
    </xf>
    <xf numFmtId="11" fontId="0" fillId="0" borderId="0" xfId="0" applyNumberFormat="1" applyFont="1"/>
    <xf numFmtId="11" fontId="0" fillId="0" borderId="0" xfId="0" applyNumberFormat="1" applyFont="1" applyAlignment="1">
      <alignment horizontal="right"/>
    </xf>
    <xf numFmtId="164" fontId="0" fillId="0" borderId="0" xfId="0" applyFont="1" applyAlignment="1">
      <alignment horizontal="center"/>
    </xf>
    <xf numFmtId="164" fontId="0" fillId="0" borderId="0" xfId="0" quotePrefix="1" applyFont="1"/>
    <xf numFmtId="164" fontId="0" fillId="0" borderId="2" xfId="0" applyFont="1" applyBorder="1"/>
    <xf numFmtId="164" fontId="0" fillId="0" borderId="2" xfId="0" applyFont="1" applyBorder="1" applyAlignment="1">
      <alignment horizontal="left"/>
    </xf>
    <xf numFmtId="11" fontId="0" fillId="0" borderId="2" xfId="0" applyNumberFormat="1" applyFont="1" applyBorder="1"/>
    <xf numFmtId="11" fontId="0" fillId="0" borderId="2" xfId="0" applyNumberFormat="1" applyFont="1" applyBorder="1" applyAlignment="1">
      <alignment horizontal="center"/>
    </xf>
    <xf numFmtId="164" fontId="0" fillId="0" borderId="2" xfId="0" applyFont="1" applyBorder="1" applyAlignment="1">
      <alignment horizontal="center"/>
    </xf>
    <xf numFmtId="164" fontId="0" fillId="7" borderId="0" xfId="0" applyFont="1" applyFill="1" applyAlignment="1">
      <alignment horizontal="left"/>
    </xf>
    <xf numFmtId="164" fontId="0" fillId="7" borderId="0" xfId="0" applyFont="1" applyFill="1"/>
    <xf numFmtId="11" fontId="0" fillId="8" borderId="6" xfId="0" applyNumberFormat="1" applyFont="1" applyFill="1" applyBorder="1" applyProtection="1">
      <protection locked="0"/>
    </xf>
    <xf numFmtId="164" fontId="0" fillId="7" borderId="0" xfId="0" applyFont="1" applyFill="1" applyAlignment="1" applyProtection="1">
      <alignment horizontal="right"/>
      <protection locked="0"/>
    </xf>
    <xf numFmtId="11" fontId="0" fillId="7" borderId="8" xfId="0" applyNumberFormat="1" applyFont="1" applyFill="1" applyBorder="1"/>
    <xf numFmtId="11" fontId="0" fillId="9" borderId="0" xfId="0" applyNumberFormat="1" applyFont="1" applyFill="1" applyAlignment="1">
      <alignment horizontal="right"/>
    </xf>
    <xf numFmtId="164" fontId="0" fillId="7" borderId="0" xfId="0" applyFont="1" applyFill="1" applyAlignment="1">
      <alignment horizontal="center"/>
    </xf>
    <xf numFmtId="164" fontId="0" fillId="15" borderId="0" xfId="0" applyFont="1" applyFill="1" applyAlignment="1">
      <alignment horizontal="left"/>
    </xf>
    <xf numFmtId="164" fontId="0" fillId="15" borderId="0" xfId="0" applyFont="1" applyFill="1"/>
    <xf numFmtId="11" fontId="0" fillId="15" borderId="8" xfId="0" applyNumberFormat="1" applyFont="1" applyFill="1" applyBorder="1"/>
    <xf numFmtId="164" fontId="0" fillId="15" borderId="0" xfId="0" applyFont="1" applyFill="1" applyAlignment="1">
      <alignment horizontal="center"/>
    </xf>
    <xf numFmtId="11" fontId="0" fillId="8" borderId="6" xfId="0" applyNumberFormat="1" applyFont="1" applyFill="1" applyBorder="1"/>
    <xf numFmtId="164" fontId="0" fillId="7" borderId="0" xfId="0" quotePrefix="1" applyFont="1" applyFill="1" applyAlignment="1">
      <alignment horizontal="left"/>
    </xf>
    <xf numFmtId="164" fontId="0" fillId="15" borderId="0" xfId="0" quotePrefix="1" applyFont="1" applyFill="1" applyAlignment="1">
      <alignment horizontal="left"/>
    </xf>
    <xf numFmtId="11" fontId="0" fillId="7" borderId="0" xfId="0" applyNumberFormat="1" applyFont="1" applyFill="1" applyAlignment="1">
      <alignment horizontal="left"/>
    </xf>
    <xf numFmtId="11" fontId="0" fillId="7" borderId="0" xfId="0" applyNumberFormat="1" applyFont="1" applyFill="1"/>
    <xf numFmtId="164" fontId="0" fillId="0" borderId="0" xfId="0" applyFont="1" applyAlignment="1" applyProtection="1">
      <alignment horizontal="right"/>
      <protection locked="0"/>
    </xf>
    <xf numFmtId="11" fontId="0" fillId="0" borderId="0" xfId="0" applyNumberFormat="1" applyFont="1" applyAlignment="1">
      <alignment horizontal="left"/>
    </xf>
    <xf numFmtId="11" fontId="11" fillId="8" borderId="6" xfId="0" applyNumberFormat="1" applyFont="1" applyFill="1" applyBorder="1" applyProtection="1">
      <protection locked="0"/>
    </xf>
    <xf numFmtId="164" fontId="0" fillId="7" borderId="8" xfId="0" applyFont="1" applyFill="1" applyBorder="1"/>
    <xf numFmtId="164" fontId="0" fillId="15" borderId="8" xfId="0" applyFont="1" applyFill="1" applyBorder="1"/>
    <xf numFmtId="164" fontId="0" fillId="0" borderId="0" xfId="0" quotePrefix="1" applyFont="1" applyAlignment="1">
      <alignment horizontal="left"/>
    </xf>
    <xf numFmtId="164" fontId="0" fillId="0" borderId="2" xfId="0" applyFont="1" applyBorder="1" applyAlignment="1" applyProtection="1">
      <alignment horizontal="center"/>
      <protection locked="0"/>
    </xf>
    <xf numFmtId="11" fontId="0" fillId="8" borderId="6" xfId="0" applyNumberFormat="1" applyFont="1" applyFill="1" applyBorder="1" applyAlignment="1">
      <alignment horizontal="right"/>
    </xf>
    <xf numFmtId="177" fontId="0" fillId="7" borderId="0" xfId="0" applyNumberFormat="1" applyFont="1" applyFill="1" applyAlignment="1">
      <alignment horizontal="left"/>
    </xf>
    <xf numFmtId="178" fontId="0" fillId="7" borderId="8" xfId="0" applyNumberFormat="1" applyFont="1" applyFill="1" applyBorder="1" applyAlignment="1">
      <alignment horizontal="right"/>
    </xf>
    <xf numFmtId="175" fontId="0" fillId="15" borderId="0" xfId="0" applyNumberFormat="1" applyFont="1" applyFill="1" applyAlignment="1">
      <alignment horizontal="center"/>
    </xf>
    <xf numFmtId="176" fontId="0" fillId="15" borderId="0" xfId="0" applyNumberFormat="1" applyFont="1" applyFill="1"/>
    <xf numFmtId="0" fontId="0" fillId="0" borderId="0" xfId="0" applyNumberFormat="1" applyFont="1"/>
    <xf numFmtId="175" fontId="0" fillId="7" borderId="0" xfId="0" applyNumberFormat="1" applyFont="1" applyFill="1" applyAlignment="1">
      <alignment horizontal="center"/>
    </xf>
    <xf numFmtId="176" fontId="0" fillId="7" borderId="0" xfId="0" applyNumberFormat="1" applyFont="1" applyFill="1"/>
    <xf numFmtId="0" fontId="0" fillId="7" borderId="0" xfId="0" applyNumberFormat="1" applyFont="1" applyFill="1"/>
    <xf numFmtId="164" fontId="0" fillId="2" borderId="0" xfId="0" applyFont="1" applyFill="1" applyAlignment="1">
      <alignment horizontal="left"/>
    </xf>
    <xf numFmtId="11" fontId="0" fillId="8" borderId="0" xfId="0" applyNumberFormat="1" applyFont="1" applyFill="1" applyAlignment="1">
      <alignment horizontal="left"/>
    </xf>
    <xf numFmtId="11" fontId="0" fillId="9" borderId="0" xfId="0" applyNumberFormat="1" applyFont="1" applyFill="1" applyAlignment="1">
      <alignment horizontal="left"/>
    </xf>
    <xf numFmtId="11" fontId="0" fillId="0" borderId="0" xfId="0" quotePrefix="1" applyNumberFormat="1" applyFont="1"/>
    <xf numFmtId="11" fontId="0" fillId="0" borderId="0" xfId="0" applyNumberFormat="1" applyFont="1" applyAlignment="1">
      <alignment horizontal="center"/>
    </xf>
    <xf numFmtId="164" fontId="0" fillId="0" borderId="3" xfId="0" applyFont="1" applyBorder="1"/>
    <xf numFmtId="164" fontId="0" fillId="0" borderId="3" xfId="0" applyFont="1" applyBorder="1" applyAlignment="1">
      <alignment horizontal="left"/>
    </xf>
    <xf numFmtId="11" fontId="0" fillId="0" borderId="3" xfId="0" applyNumberFormat="1" applyFont="1" applyBorder="1"/>
    <xf numFmtId="11" fontId="0" fillId="0" borderId="3" xfId="0" applyNumberFormat="1" applyFont="1" applyBorder="1" applyAlignment="1">
      <alignment horizontal="right"/>
    </xf>
    <xf numFmtId="164" fontId="0" fillId="0" borderId="3" xfId="0" applyFont="1" applyBorder="1" applyAlignment="1">
      <alignment horizontal="center"/>
    </xf>
    <xf numFmtId="11" fontId="0" fillId="15" borderId="0" xfId="0" applyNumberFormat="1" applyFont="1" applyFill="1"/>
    <xf numFmtId="164" fontId="0" fillId="15" borderId="0" xfId="0" quotePrefix="1" applyFont="1" applyFill="1" applyAlignment="1">
      <alignment horizontal="center"/>
    </xf>
    <xf numFmtId="11" fontId="0" fillId="9" borderId="0" xfId="0" applyNumberFormat="1" applyFont="1" applyFill="1"/>
    <xf numFmtId="164" fontId="43" fillId="8" borderId="6" xfId="0" applyFont="1" applyFill="1" applyBorder="1"/>
    <xf numFmtId="164" fontId="0" fillId="0" borderId="3" xfId="0" applyFont="1" applyBorder="1" applyAlignment="1" applyProtection="1">
      <alignment horizontal="right"/>
      <protection locked="0"/>
    </xf>
    <xf numFmtId="164" fontId="0" fillId="0" borderId="4" xfId="0" applyFont="1" applyBorder="1" applyAlignment="1">
      <alignment horizontal="left"/>
    </xf>
    <xf numFmtId="164" fontId="0" fillId="0" borderId="4" xfId="0" applyFont="1" applyBorder="1"/>
    <xf numFmtId="11" fontId="0" fillId="0" borderId="4" xfId="0" applyNumberFormat="1" applyFont="1" applyBorder="1"/>
    <xf numFmtId="11" fontId="0" fillId="0" borderId="4" xfId="0" applyNumberFormat="1" applyFont="1" applyBorder="1" applyAlignment="1">
      <alignment horizontal="center"/>
    </xf>
    <xf numFmtId="164" fontId="0" fillId="0" borderId="4" xfId="0" applyFont="1" applyBorder="1" applyAlignment="1">
      <alignment horizontal="center"/>
    </xf>
    <xf numFmtId="164" fontId="0" fillId="15" borderId="4" xfId="0" applyFont="1" applyFill="1" applyBorder="1"/>
    <xf numFmtId="11" fontId="0" fillId="8" borderId="14" xfId="0" applyNumberFormat="1" applyFont="1" applyFill="1" applyBorder="1"/>
    <xf numFmtId="11" fontId="0" fillId="0" borderId="4" xfId="0" applyNumberFormat="1" applyFont="1" applyBorder="1" applyAlignment="1">
      <alignment horizontal="right"/>
    </xf>
    <xf numFmtId="164" fontId="0" fillId="15" borderId="4" xfId="0" applyFont="1" applyFill="1" applyBorder="1" applyAlignment="1">
      <alignment horizontal="left"/>
    </xf>
    <xf numFmtId="11" fontId="0" fillId="15" borderId="4" xfId="0" applyNumberFormat="1" applyFont="1" applyFill="1" applyBorder="1"/>
    <xf numFmtId="11" fontId="0" fillId="9" borderId="4" xfId="0" applyNumberFormat="1" applyFont="1" applyFill="1" applyBorder="1" applyAlignment="1">
      <alignment horizontal="right"/>
    </xf>
    <xf numFmtId="164" fontId="0" fillId="15" borderId="4" xfId="0" applyFont="1" applyFill="1" applyBorder="1" applyAlignment="1">
      <alignment horizontal="center"/>
    </xf>
    <xf numFmtId="11" fontId="0" fillId="15" borderId="0" xfId="0" applyNumberFormat="1" applyFont="1" applyFill="1" applyAlignment="1">
      <alignment horizontal="center"/>
    </xf>
    <xf numFmtId="11" fontId="0" fillId="15" borderId="3" xfId="0" applyNumberFormat="1" applyFont="1" applyFill="1" applyBorder="1"/>
    <xf numFmtId="11" fontId="0" fillId="9" borderId="3" xfId="0" applyNumberFormat="1" applyFont="1" applyFill="1" applyBorder="1" applyAlignment="1">
      <alignment horizontal="right"/>
    </xf>
    <xf numFmtId="11" fontId="0" fillId="8" borderId="6" xfId="0" applyNumberFormat="1" applyFont="1" applyFill="1" applyBorder="1" applyAlignment="1">
      <alignment vertical="top"/>
    </xf>
    <xf numFmtId="164" fontId="0" fillId="15" borderId="3" xfId="0" applyFont="1" applyFill="1" applyBorder="1"/>
    <xf numFmtId="164" fontId="0" fillId="15" borderId="3" xfId="0" applyFont="1" applyFill="1" applyBorder="1" applyAlignment="1">
      <alignment horizontal="left"/>
    </xf>
    <xf numFmtId="164" fontId="0" fillId="15" borderId="3" xfId="0" applyFont="1" applyFill="1" applyBorder="1" applyAlignment="1">
      <alignment horizontal="center"/>
    </xf>
    <xf numFmtId="164" fontId="0" fillId="15" borderId="4" xfId="0" quotePrefix="1" applyFont="1" applyFill="1" applyBorder="1" applyAlignment="1">
      <alignment horizontal="left"/>
    </xf>
    <xf numFmtId="164" fontId="0" fillId="0" borderId="2" xfId="0" applyFont="1" applyBorder="1" applyAlignment="1" applyProtection="1">
      <alignment horizontal="right"/>
      <protection locked="0"/>
    </xf>
    <xf numFmtId="177" fontId="0" fillId="8" borderId="6" xfId="0" applyNumberFormat="1" applyFont="1" applyFill="1" applyBorder="1" applyAlignment="1">
      <alignment horizontal="right"/>
    </xf>
    <xf numFmtId="177" fontId="0" fillId="15" borderId="6" xfId="0" applyNumberFormat="1" applyFont="1" applyFill="1" applyBorder="1" applyAlignment="1">
      <alignment horizontal="right"/>
    </xf>
    <xf numFmtId="11" fontId="0" fillId="15" borderId="6" xfId="0" applyNumberFormat="1" applyFont="1" applyFill="1" applyBorder="1"/>
    <xf numFmtId="164" fontId="0" fillId="2" borderId="0" xfId="0" applyFont="1" applyFill="1"/>
    <xf numFmtId="164" fontId="0" fillId="7" borderId="0" xfId="0" applyFont="1" applyFill="1" applyAlignment="1">
      <alignment horizontal="right"/>
    </xf>
    <xf numFmtId="164" fontId="0" fillId="2" borderId="0" xfId="0" applyFont="1" applyFill="1" applyAlignment="1">
      <alignment horizontal="right"/>
    </xf>
    <xf numFmtId="11" fontId="0" fillId="2" borderId="0" xfId="0" applyNumberFormat="1" applyFont="1" applyFill="1" applyAlignment="1">
      <alignment horizontal="right"/>
    </xf>
    <xf numFmtId="164" fontId="0" fillId="2" borderId="2" xfId="0" applyFont="1" applyFill="1" applyBorder="1"/>
    <xf numFmtId="164" fontId="0" fillId="2" borderId="2" xfId="0" applyFont="1" applyFill="1" applyBorder="1" applyAlignment="1">
      <alignment horizontal="left"/>
    </xf>
    <xf numFmtId="164" fontId="0" fillId="2" borderId="2" xfId="0" applyFont="1" applyFill="1" applyBorder="1" applyAlignment="1">
      <alignment horizontal="center"/>
    </xf>
    <xf numFmtId="11" fontId="0" fillId="2" borderId="2" xfId="0" applyNumberFormat="1" applyFont="1" applyFill="1" applyBorder="1" applyAlignment="1">
      <alignment horizontal="center"/>
    </xf>
    <xf numFmtId="164" fontId="0" fillId="2" borderId="0" xfId="0" applyFont="1" applyFill="1" applyAlignment="1" applyProtection="1">
      <alignment horizontal="right"/>
      <protection locked="0"/>
    </xf>
    <xf numFmtId="164" fontId="0" fillId="8" borderId="6" xfId="0" applyFont="1" applyFill="1" applyBorder="1" applyAlignment="1" applyProtection="1">
      <alignment horizontal="right"/>
      <protection locked="0"/>
    </xf>
    <xf numFmtId="11" fontId="0" fillId="7" borderId="8" xfId="0" applyNumberFormat="1" applyFont="1" applyFill="1" applyBorder="1" applyAlignment="1">
      <alignment horizontal="right"/>
    </xf>
    <xf numFmtId="164" fontId="0" fillId="8" borderId="6" xfId="0" applyFont="1" applyFill="1" applyBorder="1" applyProtection="1">
      <protection locked="0"/>
    </xf>
    <xf numFmtId="164" fontId="0" fillId="2" borderId="0" xfId="0" quotePrefix="1" applyFont="1" applyFill="1" applyAlignment="1">
      <alignment horizontal="left"/>
    </xf>
    <xf numFmtId="11" fontId="0" fillId="2" borderId="0" xfId="0" quotePrefix="1" applyNumberFormat="1" applyFont="1" applyFill="1" applyAlignment="1">
      <alignment horizontal="left"/>
    </xf>
    <xf numFmtId="11" fontId="0" fillId="2" borderId="8" xfId="0" applyNumberFormat="1" applyFont="1" applyFill="1" applyBorder="1" applyAlignment="1">
      <alignment horizontal="right"/>
    </xf>
    <xf numFmtId="164" fontId="0" fillId="8" borderId="6" xfId="0" applyFont="1" applyFill="1" applyBorder="1" applyAlignment="1">
      <alignment horizontal="right"/>
    </xf>
    <xf numFmtId="164" fontId="0" fillId="8" borderId="6" xfId="0" applyFont="1" applyFill="1" applyBorder="1"/>
    <xf numFmtId="11" fontId="0" fillId="7" borderId="8" xfId="0" applyNumberFormat="1" applyFont="1" applyFill="1" applyBorder="1" applyAlignment="1">
      <alignment horizontal="right" vertical="center"/>
    </xf>
    <xf numFmtId="164" fontId="0" fillId="2" borderId="4" xfId="0" applyFont="1" applyFill="1" applyBorder="1" applyAlignment="1">
      <alignment horizontal="left"/>
    </xf>
    <xf numFmtId="164" fontId="0" fillId="2" borderId="4" xfId="0" quotePrefix="1" applyFont="1" applyFill="1" applyBorder="1" applyAlignment="1">
      <alignment horizontal="left"/>
    </xf>
    <xf numFmtId="164" fontId="0" fillId="2" borderId="4" xfId="0" applyFont="1" applyFill="1" applyBorder="1"/>
    <xf numFmtId="164" fontId="0" fillId="2" borderId="4" xfId="0" applyFont="1" applyFill="1" applyBorder="1" applyAlignment="1">
      <alignment horizontal="right"/>
    </xf>
    <xf numFmtId="11" fontId="0" fillId="2" borderId="4" xfId="0" applyNumberFormat="1" applyFont="1" applyFill="1" applyBorder="1" applyAlignment="1">
      <alignment horizontal="right"/>
    </xf>
    <xf numFmtId="11" fontId="0" fillId="2" borderId="4" xfId="0" quotePrefix="1" applyNumberFormat="1" applyFont="1" applyFill="1" applyBorder="1" applyAlignment="1">
      <alignment horizontal="right"/>
    </xf>
    <xf numFmtId="164" fontId="11" fillId="8" borderId="6" xfId="0" applyFont="1" applyFill="1" applyBorder="1" applyProtection="1">
      <protection locked="0"/>
    </xf>
    <xf numFmtId="11" fontId="0" fillId="12" borderId="8" xfId="0" applyNumberFormat="1" applyFont="1" applyFill="1" applyBorder="1" applyAlignment="1">
      <alignment horizontal="right"/>
    </xf>
    <xf numFmtId="11" fontId="0" fillId="2" borderId="0" xfId="0" applyNumberFormat="1" applyFont="1" applyFill="1"/>
    <xf numFmtId="177" fontId="0" fillId="15" borderId="0" xfId="0" quotePrefix="1" applyNumberFormat="1" applyFont="1" applyFill="1" applyAlignment="1">
      <alignment horizontal="left"/>
    </xf>
    <xf numFmtId="177" fontId="0" fillId="7" borderId="0" xfId="0" quotePrefix="1" applyNumberFormat="1" applyFont="1" applyFill="1" applyAlignment="1">
      <alignment horizontal="left"/>
    </xf>
    <xf numFmtId="177" fontId="0" fillId="7" borderId="8" xfId="0" applyNumberFormat="1" applyFont="1" applyFill="1" applyBorder="1" applyAlignment="1">
      <alignment horizontal="right"/>
    </xf>
    <xf numFmtId="177" fontId="0" fillId="2" borderId="8" xfId="0" applyNumberFormat="1" applyFont="1" applyFill="1" applyBorder="1" applyAlignment="1">
      <alignment horizontal="right"/>
    </xf>
    <xf numFmtId="177" fontId="0" fillId="2" borderId="0" xfId="0" quotePrefix="1" applyNumberFormat="1" applyFont="1" applyFill="1" applyAlignment="1">
      <alignment horizontal="left"/>
    </xf>
    <xf numFmtId="178" fontId="0" fillId="8" borderId="6" xfId="0" applyNumberFormat="1" applyFont="1" applyFill="1" applyBorder="1" applyAlignment="1" applyProtection="1">
      <alignment horizontal="right"/>
      <protection locked="0"/>
    </xf>
    <xf numFmtId="178" fontId="0" fillId="8" borderId="6" xfId="0" applyNumberFormat="1" applyFont="1" applyFill="1" applyBorder="1" applyAlignment="1">
      <alignment horizontal="right"/>
    </xf>
    <xf numFmtId="177" fontId="0" fillId="2" borderId="0" xfId="0" applyNumberFormat="1" applyFont="1" applyFill="1" applyAlignment="1">
      <alignment horizontal="left"/>
    </xf>
    <xf numFmtId="164" fontId="0" fillId="2" borderId="3" xfId="0" applyFont="1" applyFill="1" applyBorder="1"/>
    <xf numFmtId="164" fontId="0" fillId="2" borderId="3" xfId="0" applyFont="1" applyFill="1" applyBorder="1" applyAlignment="1">
      <alignment horizontal="right"/>
    </xf>
    <xf numFmtId="11" fontId="0" fillId="2" borderId="3" xfId="0" applyNumberFormat="1" applyFont="1" applyFill="1" applyBorder="1" applyAlignment="1">
      <alignment horizontal="right"/>
    </xf>
    <xf numFmtId="164" fontId="0" fillId="0" borderId="4" xfId="0" applyFont="1" applyBorder="1" applyAlignment="1" applyProtection="1">
      <alignment horizontal="center"/>
      <protection locked="0"/>
    </xf>
    <xf numFmtId="11" fontId="0" fillId="0" borderId="2" xfId="0" applyNumberFormat="1" applyFont="1" applyBorder="1" applyAlignment="1">
      <alignment horizontal="right"/>
    </xf>
    <xf numFmtId="164" fontId="0" fillId="8" borderId="0" xfId="0" applyFont="1" applyFill="1"/>
    <xf numFmtId="11" fontId="0" fillId="9" borderId="5" xfId="0" applyNumberFormat="1" applyFont="1" applyFill="1" applyBorder="1" applyAlignment="1">
      <alignment horizontal="right"/>
    </xf>
    <xf numFmtId="11" fontId="0" fillId="15" borderId="7" xfId="0" applyNumberFormat="1" applyFont="1" applyFill="1" applyBorder="1"/>
    <xf numFmtId="11" fontId="0" fillId="9" borderId="23" xfId="0" applyNumberFormat="1" applyFont="1" applyFill="1" applyBorder="1" applyAlignment="1">
      <alignment horizontal="right"/>
    </xf>
    <xf numFmtId="164" fontId="0" fillId="8" borderId="4" xfId="0" applyFont="1" applyFill="1" applyBorder="1"/>
    <xf numFmtId="11" fontId="0" fillId="9" borderId="22" xfId="0" applyNumberFormat="1" applyFont="1" applyFill="1" applyBorder="1" applyAlignment="1">
      <alignment horizontal="right"/>
    </xf>
    <xf numFmtId="11" fontId="0" fillId="15" borderId="5" xfId="0" applyNumberFormat="1" applyFont="1" applyFill="1" applyBorder="1"/>
    <xf numFmtId="11" fontId="0" fillId="15" borderId="0" xfId="0" quotePrefix="1" applyNumberFormat="1" applyFont="1" applyFill="1"/>
    <xf numFmtId="164" fontId="0" fillId="8" borderId="3" xfId="0" applyFont="1" applyFill="1" applyBorder="1"/>
    <xf numFmtId="164" fontId="0" fillId="0" borderId="0" xfId="0" applyFont="1" applyAlignment="1">
      <alignment horizontal="right"/>
    </xf>
    <xf numFmtId="164" fontId="0" fillId="7" borderId="2" xfId="0" applyFont="1" applyFill="1" applyBorder="1" applyAlignment="1">
      <alignment horizontal="center"/>
    </xf>
    <xf numFmtId="11" fontId="0" fillId="7" borderId="0" xfId="0" applyNumberFormat="1" applyFont="1" applyFill="1" applyAlignment="1">
      <alignment horizontal="right"/>
    </xf>
    <xf numFmtId="11" fontId="0" fillId="2" borderId="0" xfId="0" quotePrefix="1" applyNumberFormat="1" applyFont="1" applyFill="1" applyAlignment="1">
      <alignment horizontal="right"/>
    </xf>
    <xf numFmtId="164" fontId="0" fillId="2" borderId="0" xfId="0" quotePrefix="1" applyFont="1" applyFill="1"/>
    <xf numFmtId="11" fontId="0" fillId="2" borderId="8" xfId="0" applyNumberFormat="1" applyFont="1" applyFill="1" applyBorder="1"/>
    <xf numFmtId="11" fontId="0" fillId="2" borderId="0" xfId="0" quotePrefix="1" applyNumberFormat="1" applyFont="1" applyFill="1" applyAlignment="1">
      <alignment horizontal="center"/>
    </xf>
    <xf numFmtId="11" fontId="0" fillId="2" borderId="0" xfId="0" applyNumberFormat="1" applyFont="1" applyFill="1" applyAlignment="1">
      <alignment horizontal="center"/>
    </xf>
    <xf numFmtId="164" fontId="0" fillId="0" borderId="3" xfId="0" applyFont="1" applyBorder="1" applyAlignment="1">
      <alignment horizontal="right"/>
    </xf>
    <xf numFmtId="11" fontId="0" fillId="15" borderId="42" xfId="0" applyNumberFormat="1" applyFont="1" applyFill="1" applyBorder="1"/>
    <xf numFmtId="11" fontId="0" fillId="0" borderId="8" xfId="0" applyNumberFormat="1" applyFont="1" applyBorder="1"/>
    <xf numFmtId="164" fontId="0" fillId="8" borderId="0" xfId="0" applyFont="1" applyFill="1" applyAlignment="1">
      <alignment horizontal="right"/>
    </xf>
    <xf numFmtId="164" fontId="0" fillId="8" borderId="0" xfId="0" applyFont="1" applyFill="1" applyAlignment="1" applyProtection="1">
      <alignment horizontal="right"/>
      <protection locked="0"/>
    </xf>
    <xf numFmtId="164" fontId="0" fillId="15" borderId="6" xfId="0" applyFont="1" applyFill="1" applyBorder="1" applyAlignment="1" applyProtection="1">
      <alignment horizontal="right"/>
      <protection locked="0"/>
    </xf>
    <xf numFmtId="11" fontId="0" fillId="15" borderId="8" xfId="0" applyNumberFormat="1" applyFont="1" applyFill="1" applyBorder="1" applyAlignment="1">
      <alignment horizontal="right"/>
    </xf>
    <xf numFmtId="11" fontId="0" fillId="15" borderId="0" xfId="0" applyNumberFormat="1" applyFont="1" applyFill="1" applyAlignment="1">
      <alignment horizontal="right"/>
    </xf>
    <xf numFmtId="164" fontId="0" fillId="8" borderId="0" xfId="0" applyFont="1" applyFill="1" applyProtection="1">
      <protection locked="0"/>
    </xf>
    <xf numFmtId="164" fontId="0" fillId="15" borderId="0" xfId="0" applyFont="1" applyFill="1" applyProtection="1">
      <protection locked="0"/>
    </xf>
    <xf numFmtId="11" fontId="0" fillId="6" borderId="0" xfId="0" applyNumberFormat="1" applyFont="1" applyFill="1"/>
    <xf numFmtId="11" fontId="0" fillId="6" borderId="0" xfId="0" applyNumberFormat="1" applyFont="1" applyFill="1" applyAlignment="1">
      <alignment horizontal="right"/>
    </xf>
    <xf numFmtId="177" fontId="0" fillId="2" borderId="8" xfId="0" applyNumberFormat="1" applyFont="1" applyFill="1" applyBorder="1"/>
    <xf numFmtId="11" fontId="0" fillId="2" borderId="3" xfId="0" applyNumberFormat="1" applyFont="1" applyFill="1" applyBorder="1"/>
    <xf numFmtId="164" fontId="0" fillId="15" borderId="6" xfId="0" applyFont="1" applyFill="1" applyBorder="1" applyProtection="1">
      <protection locked="0"/>
    </xf>
    <xf numFmtId="164" fontId="0" fillId="2" borderId="3" xfId="0" applyFont="1" applyFill="1" applyBorder="1" applyAlignment="1">
      <alignment horizontal="left"/>
    </xf>
    <xf numFmtId="164" fontId="0" fillId="0" borderId="0" xfId="0" applyFont="1" applyAlignment="1" applyProtection="1">
      <alignment horizontal="center"/>
      <protection locked="0"/>
    </xf>
    <xf numFmtId="164" fontId="0" fillId="7" borderId="14" xfId="0" applyFont="1" applyFill="1" applyBorder="1" applyAlignment="1" applyProtection="1">
      <alignment horizontal="right"/>
      <protection locked="0"/>
    </xf>
    <xf numFmtId="2" fontId="0" fillId="7" borderId="0" xfId="0" applyNumberFormat="1" applyFont="1" applyFill="1" applyAlignment="1">
      <alignment horizontal="center"/>
    </xf>
    <xf numFmtId="1" fontId="0" fillId="7" borderId="0" xfId="0" applyNumberFormat="1" applyFont="1" applyFill="1" applyAlignment="1">
      <alignment horizontal="center"/>
    </xf>
    <xf numFmtId="169" fontId="0" fillId="7" borderId="0" xfId="0" applyNumberFormat="1" applyFont="1" applyFill="1" applyAlignment="1">
      <alignment horizontal="center"/>
    </xf>
    <xf numFmtId="9" fontId="0" fillId="7" borderId="0" xfId="0" applyNumberFormat="1" applyFont="1" applyFill="1" applyAlignment="1">
      <alignment horizontal="center"/>
    </xf>
    <xf numFmtId="9" fontId="0" fillId="7" borderId="0" xfId="9" applyFont="1" applyFill="1" applyBorder="1" applyAlignment="1">
      <alignment horizontal="center"/>
    </xf>
    <xf numFmtId="1" fontId="0" fillId="7" borderId="21" xfId="0" applyNumberFormat="1" applyFont="1" applyFill="1" applyBorder="1" applyAlignment="1">
      <alignment horizontal="center"/>
    </xf>
    <xf numFmtId="164" fontId="0" fillId="7" borderId="21" xfId="0" applyFont="1" applyFill="1" applyBorder="1" applyAlignment="1">
      <alignment horizontal="left"/>
    </xf>
    <xf numFmtId="164" fontId="0" fillId="7" borderId="21" xfId="0" applyFont="1" applyFill="1" applyBorder="1" applyAlignment="1">
      <alignment horizontal="center"/>
    </xf>
    <xf numFmtId="2" fontId="0" fillId="7" borderId="21" xfId="0" applyNumberFormat="1" applyFont="1" applyFill="1" applyBorder="1" applyAlignment="1">
      <alignment horizontal="center"/>
    </xf>
    <xf numFmtId="169" fontId="0" fillId="7" borderId="21" xfId="0" applyNumberFormat="1" applyFont="1" applyFill="1" applyBorder="1" applyAlignment="1">
      <alignment horizontal="center"/>
    </xf>
    <xf numFmtId="9" fontId="0" fillId="7" borderId="21" xfId="0" applyNumberFormat="1" applyFont="1" applyFill="1" applyBorder="1" applyAlignment="1">
      <alignment horizontal="center"/>
    </xf>
    <xf numFmtId="1" fontId="0" fillId="7" borderId="21" xfId="0" applyNumberFormat="1" applyFont="1" applyFill="1" applyBorder="1" applyAlignment="1">
      <alignment horizontal="right"/>
    </xf>
    <xf numFmtId="1" fontId="0" fillId="7" borderId="0" xfId="0" applyNumberFormat="1" applyFont="1" applyFill="1" applyAlignment="1">
      <alignment horizontal="right"/>
    </xf>
    <xf numFmtId="1" fontId="0" fillId="7" borderId="3" xfId="0" applyNumberFormat="1" applyFont="1" applyFill="1" applyBorder="1" applyAlignment="1">
      <alignment horizontal="center"/>
    </xf>
    <xf numFmtId="164" fontId="0" fillId="7" borderId="3" xfId="0" applyFont="1" applyFill="1" applyBorder="1" applyAlignment="1">
      <alignment horizontal="left"/>
    </xf>
    <xf numFmtId="164" fontId="11" fillId="7" borderId="3" xfId="0" applyFont="1" applyFill="1" applyBorder="1" applyAlignment="1">
      <alignment horizontal="left"/>
    </xf>
    <xf numFmtId="169" fontId="0" fillId="7" borderId="3" xfId="0" applyNumberFormat="1" applyFont="1" applyFill="1" applyBorder="1" applyAlignment="1">
      <alignment horizontal="center"/>
    </xf>
    <xf numFmtId="2" fontId="0" fillId="7" borderId="3" xfId="0" applyNumberFormat="1" applyFont="1" applyFill="1" applyBorder="1" applyAlignment="1">
      <alignment horizontal="center"/>
    </xf>
    <xf numFmtId="9" fontId="0" fillId="7" borderId="3" xfId="0" applyNumberFormat="1" applyFont="1" applyFill="1" applyBorder="1" applyAlignment="1">
      <alignment horizontal="center"/>
    </xf>
    <xf numFmtId="1" fontId="0" fillId="7" borderId="3" xfId="0" applyNumberFormat="1" applyFont="1" applyFill="1" applyBorder="1" applyAlignment="1">
      <alignment horizontal="right"/>
    </xf>
    <xf numFmtId="2" fontId="0" fillId="7" borderId="0" xfId="0" applyNumberFormat="1" applyFont="1" applyFill="1" applyAlignment="1">
      <alignment horizontal="left"/>
    </xf>
    <xf numFmtId="1" fontId="0" fillId="7" borderId="0" xfId="0" applyNumberFormat="1" applyFont="1" applyFill="1" applyAlignment="1">
      <alignment horizontal="left"/>
    </xf>
    <xf numFmtId="169" fontId="0" fillId="7" borderId="0" xfId="0" applyNumberFormat="1" applyFont="1" applyFill="1" applyAlignment="1">
      <alignment horizontal="left"/>
    </xf>
    <xf numFmtId="1" fontId="0" fillId="8" borderId="0" xfId="0" applyNumberFormat="1" applyFont="1" applyFill="1" applyAlignment="1">
      <alignment horizontal="center"/>
    </xf>
    <xf numFmtId="1" fontId="0" fillId="8" borderId="0" xfId="0" applyNumberFormat="1" applyFont="1" applyFill="1" applyAlignment="1">
      <alignment horizontal="left"/>
    </xf>
    <xf numFmtId="1" fontId="0" fillId="7" borderId="0" xfId="9" applyNumberFormat="1" applyFont="1" applyFill="1" applyBorder="1" applyAlignment="1">
      <alignment horizontal="center"/>
    </xf>
    <xf numFmtId="1" fontId="0" fillId="7" borderId="0" xfId="9" applyNumberFormat="1" applyFont="1" applyFill="1" applyBorder="1" applyAlignment="1">
      <alignment horizontal="right"/>
    </xf>
    <xf numFmtId="0" fontId="0" fillId="7" borderId="0" xfId="0" applyNumberFormat="1" applyFont="1" applyFill="1" applyAlignment="1">
      <alignment horizontal="center"/>
    </xf>
    <xf numFmtId="169" fontId="0" fillId="7" borderId="0" xfId="9" applyNumberFormat="1" applyFont="1" applyFill="1" applyBorder="1" applyAlignment="1">
      <alignment horizontal="center"/>
    </xf>
    <xf numFmtId="2" fontId="0" fillId="7" borderId="0" xfId="0" applyNumberFormat="1" applyFont="1" applyFill="1"/>
    <xf numFmtId="2" fontId="0" fillId="7" borderId="0" xfId="9" applyNumberFormat="1" applyFont="1" applyFill="1" applyBorder="1" applyAlignment="1">
      <alignment horizontal="center"/>
    </xf>
    <xf numFmtId="11" fontId="0" fillId="0" borderId="0" xfId="0" applyNumberFormat="1" applyFont="1" applyAlignment="1" applyProtection="1">
      <alignment horizontal="right"/>
      <protection locked="0"/>
    </xf>
    <xf numFmtId="0" fontId="0" fillId="7" borderId="3" xfId="0" applyNumberFormat="1" applyFont="1" applyFill="1" applyBorder="1" applyAlignment="1">
      <alignment horizontal="center"/>
    </xf>
    <xf numFmtId="2" fontId="0" fillId="7" borderId="3" xfId="9" applyNumberFormat="1" applyFont="1" applyFill="1" applyBorder="1" applyAlignment="1">
      <alignment horizontal="center"/>
    </xf>
    <xf numFmtId="169" fontId="0" fillId="7" borderId="3" xfId="9" applyNumberFormat="1" applyFont="1" applyFill="1" applyBorder="1" applyAlignment="1">
      <alignment horizontal="center"/>
    </xf>
    <xf numFmtId="9" fontId="0" fillId="7" borderId="3" xfId="9" applyFont="1" applyFill="1" applyBorder="1" applyAlignment="1">
      <alignment horizontal="center"/>
    </xf>
    <xf numFmtId="11" fontId="0" fillId="7" borderId="0" xfId="0" applyNumberFormat="1" applyFont="1" applyFill="1" applyAlignment="1" applyProtection="1">
      <alignment horizontal="right"/>
      <protection locked="0"/>
    </xf>
    <xf numFmtId="1" fontId="0" fillId="7" borderId="12" xfId="0" applyNumberFormat="1" applyFont="1" applyFill="1" applyBorder="1" applyAlignment="1">
      <alignment horizontal="center"/>
    </xf>
    <xf numFmtId="164" fontId="0" fillId="7" borderId="12" xfId="0" applyFont="1" applyFill="1" applyBorder="1"/>
    <xf numFmtId="164" fontId="0" fillId="7" borderId="12" xfId="0" applyFont="1" applyFill="1" applyBorder="1" applyAlignment="1">
      <alignment horizontal="left"/>
    </xf>
    <xf numFmtId="0" fontId="0" fillId="7" borderId="12" xfId="0" applyNumberFormat="1" applyFont="1" applyFill="1" applyBorder="1" applyAlignment="1">
      <alignment horizontal="center"/>
    </xf>
    <xf numFmtId="169" fontId="0" fillId="7" borderId="12" xfId="0" applyNumberFormat="1" applyFont="1" applyFill="1" applyBorder="1" applyAlignment="1">
      <alignment horizontal="center"/>
    </xf>
    <xf numFmtId="2" fontId="0" fillId="7" borderId="12" xfId="0" applyNumberFormat="1" applyFont="1" applyFill="1" applyBorder="1" applyAlignment="1">
      <alignment horizontal="center"/>
    </xf>
    <xf numFmtId="169" fontId="0" fillId="7" borderId="12" xfId="9" applyNumberFormat="1" applyFont="1" applyFill="1" applyBorder="1" applyAlignment="1">
      <alignment horizontal="center"/>
    </xf>
    <xf numFmtId="9" fontId="0" fillId="7" borderId="12" xfId="9" applyFont="1" applyFill="1" applyBorder="1" applyAlignment="1">
      <alignment horizontal="center"/>
    </xf>
    <xf numFmtId="1" fontId="0" fillId="0" borderId="0" xfId="0" applyNumberFormat="1" applyFont="1" applyAlignment="1">
      <alignment horizontal="center"/>
    </xf>
    <xf numFmtId="2" fontId="0" fillId="0" borderId="0" xfId="0" applyNumberFormat="1" applyFont="1" applyAlignment="1">
      <alignment horizontal="center"/>
    </xf>
    <xf numFmtId="169" fontId="0" fillId="0" borderId="0" xfId="0" applyNumberFormat="1" applyFont="1" applyAlignment="1">
      <alignment horizontal="center"/>
    </xf>
    <xf numFmtId="2" fontId="0" fillId="0" borderId="0" xfId="0" applyNumberFormat="1" applyFont="1"/>
    <xf numFmtId="9" fontId="0" fillId="0" borderId="0" xfId="0" applyNumberFormat="1" applyFont="1" applyAlignment="1">
      <alignment horizontal="center"/>
    </xf>
    <xf numFmtId="169" fontId="0" fillId="0" borderId="0" xfId="0" applyNumberFormat="1" applyFont="1" applyAlignment="1">
      <alignment horizontal="right"/>
    </xf>
    <xf numFmtId="164" fontId="0" fillId="2" borderId="13" xfId="0" applyFont="1" applyFill="1" applyBorder="1" applyAlignment="1">
      <alignment vertical="center" wrapText="1"/>
    </xf>
    <xf numFmtId="164" fontId="0" fillId="2" borderId="0" xfId="0" applyFont="1" applyFill="1" applyAlignment="1">
      <alignment vertical="center"/>
    </xf>
    <xf numFmtId="164" fontId="0" fillId="2" borderId="0" xfId="0" applyFont="1" applyFill="1" applyAlignment="1">
      <alignment horizontal="left" vertical="center"/>
    </xf>
    <xf numFmtId="164" fontId="0" fillId="15" borderId="2" xfId="0" applyFont="1" applyFill="1" applyBorder="1"/>
    <xf numFmtId="164" fontId="0" fillId="15" borderId="2" xfId="0" applyFont="1" applyFill="1" applyBorder="1" applyAlignment="1">
      <alignment horizontal="left"/>
    </xf>
    <xf numFmtId="164" fontId="0" fillId="15" borderId="0" xfId="0" applyFont="1" applyFill="1" applyAlignment="1">
      <alignment horizontal="right"/>
    </xf>
    <xf numFmtId="164" fontId="0" fillId="12" borderId="3" xfId="0" applyFont="1" applyFill="1" applyBorder="1"/>
    <xf numFmtId="164" fontId="0" fillId="12" borderId="0" xfId="0" applyFont="1" applyFill="1"/>
    <xf numFmtId="164" fontId="0" fillId="11" borderId="0" xfId="0" applyFont="1" applyFill="1"/>
  </cellXfs>
  <cellStyles count="23">
    <cellStyle name="Bad 2" xfId="22" xr:uid="{6CB3726F-7243-4497-A3EE-155E6216D041}"/>
    <cellStyle name="Hyperlink" xfId="1" builtinId="8"/>
    <cellStyle name="Hyperlink 2" xfId="2" xr:uid="{00000000-0005-0000-0000-000001000000}"/>
    <cellStyle name="Input 2" xfId="21" xr:uid="{087A935F-AC07-4513-ABEE-E93F7330F7E9}"/>
    <cellStyle name="Normal" xfId="0" builtinId="0"/>
    <cellStyle name="Normal 2" xfId="3" xr:uid="{00000000-0005-0000-0000-000003000000}"/>
    <cellStyle name="Normal 2 2" xfId="4" xr:uid="{00000000-0005-0000-0000-000004000000}"/>
    <cellStyle name="Normal 2 3" xfId="5" xr:uid="{00000000-0005-0000-0000-000005000000}"/>
    <cellStyle name="Normal 2 4" xfId="6" xr:uid="{00000000-0005-0000-0000-000006000000}"/>
    <cellStyle name="Normal 2 4 2" xfId="18" xr:uid="{0E40AB04-330F-4A2C-8A6A-11FE5140FE44}"/>
    <cellStyle name="Normal 3" xfId="7" xr:uid="{00000000-0005-0000-0000-000007000000}"/>
    <cellStyle name="Normal 3 2" xfId="19" xr:uid="{369C5F3B-8ED1-41AB-BEFF-865D5D4986C4}"/>
    <cellStyle name="Normal 4" xfId="8" xr:uid="{00000000-0005-0000-0000-000008000000}"/>
    <cellStyle name="Percent" xfId="9" builtinId="5"/>
    <cellStyle name="Percent 2 2" xfId="10" xr:uid="{00000000-0005-0000-0000-00000A000000}"/>
    <cellStyle name="Percent 3" xfId="11" xr:uid="{00000000-0005-0000-0000-00000B000000}"/>
    <cellStyle name="Percent 3 2" xfId="20" xr:uid="{5F34821E-CCDC-47E9-AB13-6A6DE8BD2239}"/>
    <cellStyle name="Percent 4" xfId="12" xr:uid="{00000000-0005-0000-0000-00000C000000}"/>
    <cellStyle name="XLConnect.Boolean" xfId="16" xr:uid="{00000000-0005-0000-0000-00000D000000}"/>
    <cellStyle name="XLConnect.DateTime" xfId="17" xr:uid="{00000000-0005-0000-0000-00000E000000}"/>
    <cellStyle name="XLConnect.Header" xfId="13" xr:uid="{00000000-0005-0000-0000-00000F000000}"/>
    <cellStyle name="XLConnect.Numeric" xfId="15" xr:uid="{00000000-0005-0000-0000-000010000000}"/>
    <cellStyle name="XLConnect.String" xfId="14" xr:uid="{00000000-0005-0000-0000-000011000000}"/>
  </cellStyles>
  <dxfs count="78">
    <dxf>
      <font>
        <color rgb="FFCC00CC"/>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color auto="1"/>
      </font>
      <numFmt numFmtId="15" formatCode="0.00E+00"/>
    </dxf>
    <dxf>
      <font>
        <strike val="0"/>
        <color auto="1"/>
      </font>
      <numFmt numFmtId="1" formatCode="0"/>
    </dxf>
    <dxf>
      <font>
        <strike val="0"/>
        <color auto="1"/>
      </font>
      <numFmt numFmtId="15" formatCode="0.00E+00"/>
    </dxf>
    <dxf>
      <font>
        <strike val="0"/>
        <color auto="1"/>
      </font>
      <numFmt numFmtId="1" formatCode="0"/>
    </dxf>
    <dxf>
      <font>
        <strike val="0"/>
        <color auto="1"/>
      </font>
      <numFmt numFmtId="15" formatCode="0.00E+00"/>
    </dxf>
    <dxf>
      <font>
        <strike val="0"/>
        <color auto="1"/>
      </font>
      <numFmt numFmtId="15" formatCode="0.00E+00"/>
    </dxf>
    <dxf>
      <fill>
        <patternFill>
          <bgColor theme="6"/>
        </patternFill>
      </fill>
    </dxf>
    <dxf>
      <fill>
        <patternFill>
          <bgColor theme="0" tint="-0.24994659260841701"/>
        </patternFill>
      </fill>
    </dxf>
    <dxf>
      <numFmt numFmtId="180" formatCode=";;"/>
      <fill>
        <patternFill>
          <bgColor rgb="FFFFFF00"/>
        </patternFill>
      </fill>
    </dxf>
    <dxf>
      <font>
        <strike val="0"/>
        <color auto="1"/>
      </font>
      <numFmt numFmtId="15" formatCode="0.00E+00"/>
    </dxf>
    <dxf>
      <font>
        <strike val="0"/>
        <color auto="1"/>
      </font>
      <numFmt numFmtId="15" formatCode="0.00E+00"/>
    </dxf>
    <dxf>
      <font>
        <strike val="0"/>
        <color auto="1"/>
      </font>
      <numFmt numFmtId="1" formatCode="0"/>
    </dxf>
    <dxf>
      <font>
        <strike val="0"/>
        <color auto="1"/>
      </font>
      <numFmt numFmtId="1" formatCode="0"/>
    </dxf>
    <dxf>
      <font>
        <strike val="0"/>
        <color auto="1"/>
      </font>
      <numFmt numFmtId="15" formatCode="0.00E+00"/>
    </dxf>
    <dxf>
      <font>
        <strike val="0"/>
        <color auto="1"/>
      </font>
      <numFmt numFmtId="1" formatCode="0"/>
    </dxf>
    <dxf>
      <font>
        <strike val="0"/>
        <color auto="1"/>
      </font>
      <numFmt numFmtId="15" formatCode="0.00E+00"/>
    </dxf>
    <dxf>
      <font>
        <strike val="0"/>
        <color auto="1"/>
      </font>
      <numFmt numFmtId="1" formatCode="0"/>
    </dxf>
    <dxf>
      <font>
        <strike val="0"/>
        <color auto="1"/>
      </font>
      <numFmt numFmtId="15" formatCode="0.00E+00"/>
    </dxf>
    <dxf>
      <font>
        <strike val="0"/>
        <color auto="1"/>
      </font>
      <numFmt numFmtId="15" formatCode="0.00E+00"/>
    </dxf>
    <dxf>
      <numFmt numFmtId="164" formatCode="General_)"/>
    </dxf>
    <dxf>
      <numFmt numFmtId="164" formatCode="General_)"/>
    </dxf>
    <dxf>
      <numFmt numFmtId="164" formatCode="General_)"/>
    </dxf>
    <dxf>
      <numFmt numFmtId="164" formatCode="General_)"/>
    </dxf>
    <dxf>
      <numFmt numFmtId="164" formatCode="General_)"/>
    </dxf>
    <dxf>
      <numFmt numFmtId="164" formatCode="General_)"/>
    </dxf>
    <dxf>
      <numFmt numFmtId="164" formatCode="General_)"/>
    </dxf>
    <dxf>
      <numFmt numFmtId="164" formatCode="General_)"/>
    </dxf>
    <dxf>
      <fill>
        <patternFill>
          <bgColor rgb="FFFF0000"/>
        </patternFill>
      </fill>
    </dxf>
    <dxf>
      <numFmt numFmtId="164" formatCode="General_)"/>
    </dxf>
    <dxf>
      <numFmt numFmtId="164" formatCode="General_)"/>
    </dxf>
    <dxf>
      <fill>
        <patternFill>
          <bgColor rgb="FFFF0000"/>
        </patternFill>
      </fill>
    </dxf>
    <dxf>
      <font>
        <color rgb="FFCC00CC"/>
      </font>
    </dxf>
    <dxf>
      <font>
        <color rgb="FF008000"/>
      </font>
      <numFmt numFmtId="15" formatCode="0.00E+00"/>
    </dxf>
    <dxf>
      <font>
        <color rgb="FFCC00CC"/>
      </font>
      <numFmt numFmtId="15" formatCode="0.00E+00"/>
    </dxf>
    <dxf>
      <font>
        <color rgb="FFCC00CC"/>
      </font>
      <numFmt numFmtId="15" formatCode="0.00E+00"/>
    </dxf>
    <dxf>
      <font>
        <color rgb="FFCC00CC"/>
      </font>
      <numFmt numFmtId="15" formatCode="0.00E+00"/>
    </dxf>
    <dxf>
      <font>
        <color rgb="FFCC00CC"/>
      </font>
      <numFmt numFmtId="15" formatCode="0.00E+00"/>
    </dxf>
    <dxf>
      <font>
        <color rgb="FFCC00CC"/>
      </font>
      <numFmt numFmtId="15" formatCode="0.00E+00"/>
    </dxf>
    <dxf>
      <font>
        <color rgb="FFCC00CC"/>
      </font>
      <numFmt numFmtId="15" formatCode="0.00E+00"/>
    </dxf>
    <dxf>
      <font>
        <color rgb="FF008C00"/>
      </font>
    </dxf>
    <dxf>
      <numFmt numFmtId="164" formatCode="General_)"/>
    </dxf>
    <dxf>
      <font>
        <color rgb="FFCC00CC"/>
      </font>
    </dxf>
    <dxf>
      <font>
        <color rgb="FFCC00CC"/>
      </font>
    </dxf>
    <dxf>
      <font>
        <color rgb="FF008000"/>
      </font>
      <numFmt numFmtId="15" formatCode="0.00E+00"/>
    </dxf>
    <dxf>
      <font>
        <color rgb="FFCC00CC"/>
      </font>
      <numFmt numFmtId="15" formatCode="0.00E+00"/>
    </dxf>
    <dxf>
      <font>
        <color rgb="FF008000"/>
      </font>
      <numFmt numFmtId="15" formatCode="0.00E+00"/>
    </dxf>
    <dxf>
      <font>
        <color rgb="FF008000"/>
      </font>
    </dxf>
    <dxf>
      <font>
        <color rgb="FFCC00CC"/>
      </font>
    </dxf>
    <dxf>
      <font>
        <color rgb="FFCC00CC"/>
      </font>
    </dxf>
    <dxf>
      <font>
        <color rgb="FFCC00CC"/>
      </font>
    </dxf>
    <dxf>
      <font>
        <color rgb="FFCC00CC"/>
      </font>
    </dxf>
    <dxf>
      <font>
        <color rgb="FFCC00CC"/>
      </font>
    </dxf>
    <dxf>
      <font>
        <color rgb="FFCC00CC"/>
      </font>
    </dxf>
    <dxf>
      <font>
        <color rgb="FFCC00CC"/>
      </font>
    </dxf>
    <dxf>
      <font>
        <color rgb="FFCC00CC"/>
      </font>
    </dxf>
    <dxf>
      <font>
        <color rgb="FF0000FF"/>
      </font>
    </dxf>
    <dxf>
      <font>
        <color rgb="FFCC00CC"/>
      </font>
    </dxf>
    <dxf>
      <font>
        <color rgb="FF0000FF"/>
      </font>
    </dxf>
    <dxf>
      <font>
        <color rgb="FFFF33CC"/>
      </font>
    </dxf>
    <dxf>
      <font>
        <color rgb="FFEAEAEA"/>
      </font>
    </dxf>
    <dxf>
      <font>
        <color rgb="FFCC00CC"/>
      </font>
    </dxf>
    <dxf>
      <numFmt numFmtId="164" formatCode="General_)"/>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EAEAEA"/>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C0000"/>
      <color rgb="FF008C00"/>
      <color rgb="FFEAEAEA"/>
      <color rgb="FF000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'nano micro output'!$Q$5</c:f>
              <c:strCache>
                <c:ptCount val="1"/>
                <c:pt idx="0">
                  <c:v>Air</c:v>
                </c:pt>
              </c:strCache>
            </c:strRef>
          </c:tx>
          <c:invertIfNegative val="0"/>
          <c:cat>
            <c:strRef>
              <c:f>'nano micro output'!$R$4:$V$4</c:f>
              <c:strCache>
                <c:ptCount val="5"/>
                <c:pt idx="0">
                  <c:v>Regional</c:v>
                </c:pt>
                <c:pt idx="1">
                  <c:v>Continental</c:v>
                </c:pt>
                <c:pt idx="2">
                  <c:v>Moderate</c:v>
                </c:pt>
                <c:pt idx="3">
                  <c:v>Arctic</c:v>
                </c:pt>
                <c:pt idx="4">
                  <c:v>Tropical</c:v>
                </c:pt>
              </c:strCache>
            </c:strRef>
          </c:cat>
          <c:val>
            <c:numRef>
              <c:f>'nano micro output'!$R$5:$V$5</c:f>
              <c:numCache>
                <c:formatCode>General_)</c:formatCode>
                <c:ptCount val="5"/>
                <c:pt idx="0">
                  <c:v>1.4939680322811894E-7</c:v>
                </c:pt>
                <c:pt idx="1">
                  <c:v>1.7366562556948739E-8</c:v>
                </c:pt>
                <c:pt idx="2">
                  <c:v>1.0002150960275044E-9</c:v>
                </c:pt>
                <c:pt idx="3">
                  <c:v>3.7633026534189611E-10</c:v>
                </c:pt>
                <c:pt idx="4">
                  <c:v>1.8694457466443466E-10</c:v>
                </c:pt>
              </c:numCache>
            </c:numRef>
          </c:val>
          <c:extLst>
            <c:ext xmlns:c16="http://schemas.microsoft.com/office/drawing/2014/chart" uri="{C3380CC4-5D6E-409C-BE32-E72D297353CC}">
              <c16:uniqueId val="{00000000-E441-43B6-AAEE-EA5DAF5A1591}"/>
            </c:ext>
          </c:extLst>
        </c:ser>
        <c:dLbls>
          <c:showLegendKey val="0"/>
          <c:showVal val="0"/>
          <c:showCatName val="0"/>
          <c:showSerName val="0"/>
          <c:showPercent val="0"/>
          <c:showBubbleSize val="0"/>
        </c:dLbls>
        <c:gapWidth val="150"/>
        <c:axId val="131388928"/>
        <c:axId val="131390464"/>
      </c:barChart>
      <c:catAx>
        <c:axId val="131388928"/>
        <c:scaling>
          <c:orientation val="minMax"/>
        </c:scaling>
        <c:delete val="0"/>
        <c:axPos val="b"/>
        <c:numFmt formatCode="General" sourceLinked="0"/>
        <c:majorTickMark val="out"/>
        <c:minorTickMark val="none"/>
        <c:tickLblPos val="nextTo"/>
        <c:crossAx val="131390464"/>
        <c:crosses val="autoZero"/>
        <c:auto val="1"/>
        <c:lblAlgn val="ctr"/>
        <c:lblOffset val="100"/>
        <c:noMultiLvlLbl val="0"/>
      </c:catAx>
      <c:valAx>
        <c:axId val="131390464"/>
        <c:scaling>
          <c:orientation val="minMax"/>
        </c:scaling>
        <c:delete val="0"/>
        <c:axPos val="l"/>
        <c:majorGridlines/>
        <c:title>
          <c:tx>
            <c:rich>
              <a:bodyPr rot="-5400000" vert="horz"/>
              <a:lstStyle/>
              <a:p>
                <a:pPr>
                  <a:defRPr/>
                </a:pPr>
                <a:r>
                  <a:rPr lang="en-US" sz="1000" b="1" i="0" baseline="0">
                    <a:effectLst/>
                  </a:rPr>
                  <a:t>User defined biovailable ENP concentration (g.m-3)</a:t>
                </a:r>
                <a:endParaRPr lang="en-US" sz="1000">
                  <a:effectLst/>
                </a:endParaRPr>
              </a:p>
            </c:rich>
          </c:tx>
          <c:overlay val="0"/>
        </c:title>
        <c:numFmt formatCode="0.0E+00" sourceLinked="0"/>
        <c:majorTickMark val="out"/>
        <c:minorTickMark val="none"/>
        <c:tickLblPos val="nextTo"/>
        <c:crossAx val="13138892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Water</a:t>
            </a:r>
          </a:p>
        </c:rich>
      </c:tx>
      <c:overlay val="0"/>
    </c:title>
    <c:autoTitleDeleted val="0"/>
    <c:plotArea>
      <c:layout/>
      <c:barChart>
        <c:barDir val="col"/>
        <c:grouping val="clustered"/>
        <c:varyColors val="0"/>
        <c:ser>
          <c:idx val="1"/>
          <c:order val="0"/>
          <c:tx>
            <c:strRef>
              <c:f>'nano micro output'!$Q$6</c:f>
              <c:strCache>
                <c:ptCount val="1"/>
                <c:pt idx="0">
                  <c:v>Fresh water lake</c:v>
                </c:pt>
              </c:strCache>
            </c:strRef>
          </c:tx>
          <c:invertIfNegative val="0"/>
          <c:cat>
            <c:strRef>
              <c:f>'nano micro output'!$R$4:$V$4</c:f>
              <c:strCache>
                <c:ptCount val="5"/>
                <c:pt idx="0">
                  <c:v>Regional</c:v>
                </c:pt>
                <c:pt idx="1">
                  <c:v>Continental</c:v>
                </c:pt>
                <c:pt idx="2">
                  <c:v>Moderate</c:v>
                </c:pt>
                <c:pt idx="3">
                  <c:v>Arctic</c:v>
                </c:pt>
                <c:pt idx="4">
                  <c:v>Tropical</c:v>
                </c:pt>
              </c:strCache>
            </c:strRef>
          </c:cat>
          <c:val>
            <c:numRef>
              <c:f>'nano micro output'!$R$6:$V$6</c:f>
              <c:numCache>
                <c:formatCode>General_)</c:formatCode>
                <c:ptCount val="5"/>
                <c:pt idx="0">
                  <c:v>1.3520307250266492E-4</c:v>
                </c:pt>
                <c:pt idx="1">
                  <c:v>1.0141474685336602E-6</c:v>
                </c:pt>
              </c:numCache>
            </c:numRef>
          </c:val>
          <c:extLst>
            <c:ext xmlns:c16="http://schemas.microsoft.com/office/drawing/2014/chart" uri="{C3380CC4-5D6E-409C-BE32-E72D297353CC}">
              <c16:uniqueId val="{00000000-909D-47A0-8076-1F85E6570D09}"/>
            </c:ext>
          </c:extLst>
        </c:ser>
        <c:ser>
          <c:idx val="3"/>
          <c:order val="1"/>
          <c:tx>
            <c:strRef>
              <c:f>'nano micro output'!$Q$8</c:f>
              <c:strCache>
                <c:ptCount val="1"/>
                <c:pt idx="0">
                  <c:v>Fresh water</c:v>
                </c:pt>
              </c:strCache>
            </c:strRef>
          </c:tx>
          <c:invertIfNegative val="0"/>
          <c:cat>
            <c:strRef>
              <c:f>'nano micro output'!$R$4:$V$4</c:f>
              <c:strCache>
                <c:ptCount val="5"/>
                <c:pt idx="0">
                  <c:v>Regional</c:v>
                </c:pt>
                <c:pt idx="1">
                  <c:v>Continental</c:v>
                </c:pt>
                <c:pt idx="2">
                  <c:v>Moderate</c:v>
                </c:pt>
                <c:pt idx="3">
                  <c:v>Arctic</c:v>
                </c:pt>
                <c:pt idx="4">
                  <c:v>Tropical</c:v>
                </c:pt>
              </c:strCache>
            </c:strRef>
          </c:cat>
          <c:val>
            <c:numRef>
              <c:f>'nano micro output'!$R$8:$V$8</c:f>
              <c:numCache>
                <c:formatCode>General_)</c:formatCode>
                <c:ptCount val="5"/>
                <c:pt idx="0">
                  <c:v>3.8121365266715652E-4</c:v>
                </c:pt>
                <c:pt idx="1">
                  <c:v>1.4123658246321383E-6</c:v>
                </c:pt>
              </c:numCache>
            </c:numRef>
          </c:val>
          <c:extLst>
            <c:ext xmlns:c16="http://schemas.microsoft.com/office/drawing/2014/chart" uri="{C3380CC4-5D6E-409C-BE32-E72D297353CC}">
              <c16:uniqueId val="{00000001-909D-47A0-8076-1F85E6570D09}"/>
            </c:ext>
          </c:extLst>
        </c:ser>
        <c:ser>
          <c:idx val="5"/>
          <c:order val="2"/>
          <c:tx>
            <c:strRef>
              <c:f>'nano micro output'!$Q$10</c:f>
              <c:strCache>
                <c:ptCount val="1"/>
                <c:pt idx="0">
                  <c:v>Surface sea/ocean water</c:v>
                </c:pt>
              </c:strCache>
            </c:strRef>
          </c:tx>
          <c:invertIfNegative val="0"/>
          <c:cat>
            <c:strRef>
              <c:f>'nano micro output'!$R$4:$V$4</c:f>
              <c:strCache>
                <c:ptCount val="5"/>
                <c:pt idx="0">
                  <c:v>Regional</c:v>
                </c:pt>
                <c:pt idx="1">
                  <c:v>Continental</c:v>
                </c:pt>
                <c:pt idx="2">
                  <c:v>Moderate</c:v>
                </c:pt>
                <c:pt idx="3">
                  <c:v>Arctic</c:v>
                </c:pt>
                <c:pt idx="4">
                  <c:v>Tropical</c:v>
                </c:pt>
              </c:strCache>
            </c:strRef>
          </c:cat>
          <c:val>
            <c:numRef>
              <c:f>'nano micro output'!$R$10:$V$10</c:f>
              <c:numCache>
                <c:formatCode>General_)</c:formatCode>
                <c:ptCount val="5"/>
                <c:pt idx="0">
                  <c:v>7.6702588541544491E-5</c:v>
                </c:pt>
                <c:pt idx="1">
                  <c:v>4.2872864100011527E-5</c:v>
                </c:pt>
                <c:pt idx="2">
                  <c:v>4.287704212228834E-5</c:v>
                </c:pt>
                <c:pt idx="3">
                  <c:v>5.214906615350612E-5</c:v>
                </c:pt>
                <c:pt idx="4">
                  <c:v>4.2950263063469032E-5</c:v>
                </c:pt>
              </c:numCache>
            </c:numRef>
          </c:val>
          <c:extLst>
            <c:ext xmlns:c16="http://schemas.microsoft.com/office/drawing/2014/chart" uri="{C3380CC4-5D6E-409C-BE32-E72D297353CC}">
              <c16:uniqueId val="{00000002-909D-47A0-8076-1F85E6570D09}"/>
            </c:ext>
          </c:extLst>
        </c:ser>
        <c:ser>
          <c:idx val="6"/>
          <c:order val="3"/>
          <c:tx>
            <c:strRef>
              <c:f>'nano micro output'!$Q$11</c:f>
              <c:strCache>
                <c:ptCount val="1"/>
                <c:pt idx="0">
                  <c:v>Deep sea/ocean water</c:v>
                </c:pt>
              </c:strCache>
            </c:strRef>
          </c:tx>
          <c:invertIfNegative val="0"/>
          <c:cat>
            <c:strRef>
              <c:f>'nano micro output'!$R$4:$V$4</c:f>
              <c:strCache>
                <c:ptCount val="5"/>
                <c:pt idx="0">
                  <c:v>Regional</c:v>
                </c:pt>
                <c:pt idx="1">
                  <c:v>Continental</c:v>
                </c:pt>
                <c:pt idx="2">
                  <c:v>Moderate</c:v>
                </c:pt>
                <c:pt idx="3">
                  <c:v>Arctic</c:v>
                </c:pt>
                <c:pt idx="4">
                  <c:v>Tropical</c:v>
                </c:pt>
              </c:strCache>
            </c:strRef>
          </c:cat>
          <c:val>
            <c:numRef>
              <c:f>'nano micro output'!$R$11:$V$11</c:f>
              <c:numCache>
                <c:formatCode>General_)</c:formatCode>
                <c:ptCount val="5"/>
                <c:pt idx="0">
                  <c:v>0</c:v>
                </c:pt>
                <c:pt idx="1">
                  <c:v>0</c:v>
                </c:pt>
                <c:pt idx="2">
                  <c:v>4.295016713346975E-5</c:v>
                </c:pt>
                <c:pt idx="3">
                  <c:v>4.2877085281219122E-5</c:v>
                </c:pt>
                <c:pt idx="4">
                  <c:v>4.6219578443557897E-5</c:v>
                </c:pt>
              </c:numCache>
            </c:numRef>
          </c:val>
          <c:extLst>
            <c:ext xmlns:c16="http://schemas.microsoft.com/office/drawing/2014/chart" uri="{C3380CC4-5D6E-409C-BE32-E72D297353CC}">
              <c16:uniqueId val="{00000003-909D-47A0-8076-1F85E6570D09}"/>
            </c:ext>
          </c:extLst>
        </c:ser>
        <c:dLbls>
          <c:showLegendKey val="0"/>
          <c:showVal val="0"/>
          <c:showCatName val="0"/>
          <c:showSerName val="0"/>
          <c:showPercent val="0"/>
          <c:showBubbleSize val="0"/>
        </c:dLbls>
        <c:gapWidth val="150"/>
        <c:axId val="131423616"/>
        <c:axId val="131429504"/>
      </c:barChart>
      <c:catAx>
        <c:axId val="131423616"/>
        <c:scaling>
          <c:orientation val="minMax"/>
        </c:scaling>
        <c:delete val="0"/>
        <c:axPos val="b"/>
        <c:numFmt formatCode="General" sourceLinked="0"/>
        <c:majorTickMark val="out"/>
        <c:minorTickMark val="none"/>
        <c:tickLblPos val="nextTo"/>
        <c:crossAx val="131429504"/>
        <c:crosses val="autoZero"/>
        <c:auto val="1"/>
        <c:lblAlgn val="ctr"/>
        <c:lblOffset val="100"/>
        <c:noMultiLvlLbl val="0"/>
      </c:catAx>
      <c:valAx>
        <c:axId val="131429504"/>
        <c:scaling>
          <c:orientation val="minMax"/>
        </c:scaling>
        <c:delete val="0"/>
        <c:axPos val="l"/>
        <c:majorGridlines/>
        <c:title>
          <c:tx>
            <c:rich>
              <a:bodyPr rot="-5400000" vert="horz"/>
              <a:lstStyle/>
              <a:p>
                <a:pPr>
                  <a:defRPr/>
                </a:pPr>
                <a:r>
                  <a:rPr lang="en-US" sz="1000" b="1" i="0" baseline="0">
                    <a:effectLst/>
                  </a:rPr>
                  <a:t>User defined biovailable ENP concentration (g.L-1)</a:t>
                </a:r>
                <a:endParaRPr lang="en-US" sz="1000">
                  <a:effectLst/>
                </a:endParaRPr>
              </a:p>
            </c:rich>
          </c:tx>
          <c:overlay val="0"/>
        </c:title>
        <c:numFmt formatCode="0.0E+00" sourceLinked="0"/>
        <c:majorTickMark val="out"/>
        <c:minorTickMark val="none"/>
        <c:tickLblPos val="nextTo"/>
        <c:crossAx val="13142361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Soil</a:t>
            </a:r>
          </a:p>
        </c:rich>
      </c:tx>
      <c:overlay val="0"/>
    </c:title>
    <c:autoTitleDeleted val="0"/>
    <c:plotArea>
      <c:layout/>
      <c:barChart>
        <c:barDir val="col"/>
        <c:grouping val="clustered"/>
        <c:varyColors val="0"/>
        <c:ser>
          <c:idx val="8"/>
          <c:order val="0"/>
          <c:tx>
            <c:strRef>
              <c:f>'nano micro output'!$Q$13</c:f>
              <c:strCache>
                <c:ptCount val="1"/>
                <c:pt idx="0">
                  <c:v>Natural soil</c:v>
                </c:pt>
              </c:strCache>
            </c:strRef>
          </c:tx>
          <c:invertIfNegative val="0"/>
          <c:cat>
            <c:strRef>
              <c:f>'nano micro output'!$R$4:$V$4</c:f>
              <c:strCache>
                <c:ptCount val="5"/>
                <c:pt idx="0">
                  <c:v>Regional</c:v>
                </c:pt>
                <c:pt idx="1">
                  <c:v>Continental</c:v>
                </c:pt>
                <c:pt idx="2">
                  <c:v>Moderate</c:v>
                </c:pt>
                <c:pt idx="3">
                  <c:v>Arctic</c:v>
                </c:pt>
                <c:pt idx="4">
                  <c:v>Tropical</c:v>
                </c:pt>
              </c:strCache>
            </c:strRef>
          </c:cat>
          <c:val>
            <c:numRef>
              <c:f>'nano micro output'!$R$13:$V$13</c:f>
              <c:numCache>
                <c:formatCode>General_)</c:formatCode>
                <c:ptCount val="5"/>
                <c:pt idx="0">
                  <c:v>9.3613714458040862E-6</c:v>
                </c:pt>
                <c:pt idx="1">
                  <c:v>6.8805178473205123E-7</c:v>
                </c:pt>
              </c:numCache>
            </c:numRef>
          </c:val>
          <c:extLst>
            <c:ext xmlns:c16="http://schemas.microsoft.com/office/drawing/2014/chart" uri="{C3380CC4-5D6E-409C-BE32-E72D297353CC}">
              <c16:uniqueId val="{00000000-C7A9-46FD-A537-D67062F0FBA6}"/>
            </c:ext>
          </c:extLst>
        </c:ser>
        <c:ser>
          <c:idx val="9"/>
          <c:order val="1"/>
          <c:tx>
            <c:strRef>
              <c:f>'nano micro output'!$Q$14</c:f>
              <c:strCache>
                <c:ptCount val="1"/>
                <c:pt idx="0">
                  <c:v>Agricultural soil</c:v>
                </c:pt>
              </c:strCache>
            </c:strRef>
          </c:tx>
          <c:invertIfNegative val="0"/>
          <c:cat>
            <c:strRef>
              <c:f>'nano micro output'!$R$4:$V$4</c:f>
              <c:strCache>
                <c:ptCount val="5"/>
                <c:pt idx="0">
                  <c:v>Regional</c:v>
                </c:pt>
                <c:pt idx="1">
                  <c:v>Continental</c:v>
                </c:pt>
                <c:pt idx="2">
                  <c:v>Moderate</c:v>
                </c:pt>
                <c:pt idx="3">
                  <c:v>Arctic</c:v>
                </c:pt>
                <c:pt idx="4">
                  <c:v>Tropical</c:v>
                </c:pt>
              </c:strCache>
            </c:strRef>
          </c:cat>
          <c:val>
            <c:numRef>
              <c:f>'nano micro output'!$R$14:$V$14</c:f>
              <c:numCache>
                <c:formatCode>General_)</c:formatCode>
                <c:ptCount val="5"/>
                <c:pt idx="0">
                  <c:v>8.5520943065958206E-5</c:v>
                </c:pt>
                <c:pt idx="1">
                  <c:v>3.7802815850107176E-7</c:v>
                </c:pt>
              </c:numCache>
            </c:numRef>
          </c:val>
          <c:extLst>
            <c:ext xmlns:c16="http://schemas.microsoft.com/office/drawing/2014/chart" uri="{C3380CC4-5D6E-409C-BE32-E72D297353CC}">
              <c16:uniqueId val="{00000001-C7A9-46FD-A537-D67062F0FBA6}"/>
            </c:ext>
          </c:extLst>
        </c:ser>
        <c:ser>
          <c:idx val="10"/>
          <c:order val="2"/>
          <c:tx>
            <c:strRef>
              <c:f>'nano micro output'!$Q$15</c:f>
              <c:strCache>
                <c:ptCount val="1"/>
                <c:pt idx="0">
                  <c:v>Other soil</c:v>
                </c:pt>
              </c:strCache>
            </c:strRef>
          </c:tx>
          <c:invertIfNegative val="0"/>
          <c:cat>
            <c:strRef>
              <c:f>'nano micro output'!$R$4:$V$4</c:f>
              <c:strCache>
                <c:ptCount val="5"/>
                <c:pt idx="0">
                  <c:v>Regional</c:v>
                </c:pt>
                <c:pt idx="1">
                  <c:v>Continental</c:v>
                </c:pt>
                <c:pt idx="2">
                  <c:v>Moderate</c:v>
                </c:pt>
                <c:pt idx="3">
                  <c:v>Arctic</c:v>
                </c:pt>
                <c:pt idx="4">
                  <c:v>Tropical</c:v>
                </c:pt>
              </c:strCache>
            </c:strRef>
          </c:cat>
          <c:val>
            <c:numRef>
              <c:f>'nano micro output'!$R$15:$V$15</c:f>
              <c:numCache>
                <c:formatCode>General_)</c:formatCode>
                <c:ptCount val="5"/>
                <c:pt idx="0">
                  <c:v>9.3613714458040862E-6</c:v>
                </c:pt>
                <c:pt idx="1">
                  <c:v>6.8805178473205101E-7</c:v>
                </c:pt>
                <c:pt idx="2">
                  <c:v>7.3784514251249645E-8</c:v>
                </c:pt>
                <c:pt idx="3">
                  <c:v>5.5339511346812112E-8</c:v>
                </c:pt>
                <c:pt idx="4">
                  <c:v>9.220350701975865E-9</c:v>
                </c:pt>
              </c:numCache>
            </c:numRef>
          </c:val>
          <c:extLst>
            <c:ext xmlns:c16="http://schemas.microsoft.com/office/drawing/2014/chart" uri="{C3380CC4-5D6E-409C-BE32-E72D297353CC}">
              <c16:uniqueId val="{00000002-C7A9-46FD-A537-D67062F0FBA6}"/>
            </c:ext>
          </c:extLst>
        </c:ser>
        <c:dLbls>
          <c:showLegendKey val="0"/>
          <c:showVal val="0"/>
          <c:showCatName val="0"/>
          <c:showSerName val="0"/>
          <c:showPercent val="0"/>
          <c:showBubbleSize val="0"/>
        </c:dLbls>
        <c:gapWidth val="150"/>
        <c:axId val="144494976"/>
        <c:axId val="144496512"/>
      </c:barChart>
      <c:catAx>
        <c:axId val="144494976"/>
        <c:scaling>
          <c:orientation val="minMax"/>
        </c:scaling>
        <c:delete val="0"/>
        <c:axPos val="b"/>
        <c:numFmt formatCode="General" sourceLinked="0"/>
        <c:majorTickMark val="out"/>
        <c:minorTickMark val="none"/>
        <c:tickLblPos val="nextTo"/>
        <c:crossAx val="144496512"/>
        <c:crosses val="autoZero"/>
        <c:auto val="1"/>
        <c:lblAlgn val="ctr"/>
        <c:lblOffset val="100"/>
        <c:noMultiLvlLbl val="0"/>
      </c:catAx>
      <c:valAx>
        <c:axId val="144496512"/>
        <c:scaling>
          <c:orientation val="minMax"/>
        </c:scaling>
        <c:delete val="0"/>
        <c:axPos val="l"/>
        <c:majorGridlines/>
        <c:title>
          <c:tx>
            <c:rich>
              <a:bodyPr rot="-5400000" vert="horz"/>
              <a:lstStyle/>
              <a:p>
                <a:pPr>
                  <a:defRPr/>
                </a:pPr>
                <a:r>
                  <a:rPr lang="en-US" sz="1000" b="1" i="0" baseline="0">
                    <a:effectLst/>
                  </a:rPr>
                  <a:t>User defined biovailable ENP concentration (g.kg-1)</a:t>
                </a:r>
                <a:endParaRPr lang="en-US" sz="1000">
                  <a:effectLst/>
                </a:endParaRPr>
              </a:p>
            </c:rich>
          </c:tx>
          <c:layout>
            <c:manualLayout>
              <c:xMode val="edge"/>
              <c:yMode val="edge"/>
              <c:x val="1.0806106624449675E-2"/>
              <c:y val="0.25744673162858484"/>
            </c:manualLayout>
          </c:layout>
          <c:overlay val="0"/>
        </c:title>
        <c:numFmt formatCode="0.0E+00" sourceLinked="0"/>
        <c:majorTickMark val="out"/>
        <c:minorTickMark val="none"/>
        <c:tickLblPos val="nextTo"/>
        <c:crossAx val="14449497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Sediment</a:t>
            </a:r>
          </a:p>
        </c:rich>
      </c:tx>
      <c:overlay val="0"/>
    </c:title>
    <c:autoTitleDeleted val="0"/>
    <c:plotArea>
      <c:layout/>
      <c:barChart>
        <c:barDir val="col"/>
        <c:grouping val="clustered"/>
        <c:varyColors val="0"/>
        <c:ser>
          <c:idx val="2"/>
          <c:order val="0"/>
          <c:tx>
            <c:strRef>
              <c:f>'nano micro output'!$Q$7</c:f>
              <c:strCache>
                <c:ptCount val="1"/>
                <c:pt idx="0">
                  <c:v>Fresh water lake sediment</c:v>
                </c:pt>
              </c:strCache>
            </c:strRef>
          </c:tx>
          <c:invertIfNegative val="0"/>
          <c:cat>
            <c:strRef>
              <c:f>'nano micro output'!$R$4:$V$4</c:f>
              <c:strCache>
                <c:ptCount val="5"/>
                <c:pt idx="0">
                  <c:v>Regional</c:v>
                </c:pt>
                <c:pt idx="1">
                  <c:v>Continental</c:v>
                </c:pt>
                <c:pt idx="2">
                  <c:v>Moderate</c:v>
                </c:pt>
                <c:pt idx="3">
                  <c:v>Arctic</c:v>
                </c:pt>
                <c:pt idx="4">
                  <c:v>Tropical</c:v>
                </c:pt>
              </c:strCache>
            </c:strRef>
          </c:cat>
          <c:val>
            <c:numRef>
              <c:f>'nano micro output'!$R$7:$V$7</c:f>
              <c:numCache>
                <c:formatCode>General_)</c:formatCode>
                <c:ptCount val="5"/>
                <c:pt idx="0">
                  <c:v>5.8779934428669044E-2</c:v>
                </c:pt>
                <c:pt idx="1">
                  <c:v>4.4414641367828447E-4</c:v>
                </c:pt>
              </c:numCache>
            </c:numRef>
          </c:val>
          <c:extLst>
            <c:ext xmlns:c16="http://schemas.microsoft.com/office/drawing/2014/chart" uri="{C3380CC4-5D6E-409C-BE32-E72D297353CC}">
              <c16:uniqueId val="{00000000-213C-44B5-8822-0DF102CA4A85}"/>
            </c:ext>
          </c:extLst>
        </c:ser>
        <c:ser>
          <c:idx val="4"/>
          <c:order val="1"/>
          <c:tx>
            <c:strRef>
              <c:f>'nano micro output'!$Q$9</c:f>
              <c:strCache>
                <c:ptCount val="1"/>
                <c:pt idx="0">
                  <c:v>Fresh water sediment</c:v>
                </c:pt>
              </c:strCache>
            </c:strRef>
          </c:tx>
          <c:invertIfNegative val="0"/>
          <c:cat>
            <c:strRef>
              <c:f>'nano micro output'!$R$4:$V$4</c:f>
              <c:strCache>
                <c:ptCount val="5"/>
                <c:pt idx="0">
                  <c:v>Regional</c:v>
                </c:pt>
                <c:pt idx="1">
                  <c:v>Continental</c:v>
                </c:pt>
                <c:pt idx="2">
                  <c:v>Moderate</c:v>
                </c:pt>
                <c:pt idx="3">
                  <c:v>Arctic</c:v>
                </c:pt>
                <c:pt idx="4">
                  <c:v>Tropical</c:v>
                </c:pt>
              </c:strCache>
            </c:strRef>
          </c:cat>
          <c:val>
            <c:numRef>
              <c:f>'nano micro output'!$R$9:$V$9</c:f>
              <c:numCache>
                <c:formatCode>General_)</c:formatCode>
                <c:ptCount val="5"/>
                <c:pt idx="0">
                  <c:v>1.6312185826757284E-2</c:v>
                </c:pt>
                <c:pt idx="1">
                  <c:v>6.1442112619502671E-5</c:v>
                </c:pt>
              </c:numCache>
            </c:numRef>
          </c:val>
          <c:extLst>
            <c:ext xmlns:c16="http://schemas.microsoft.com/office/drawing/2014/chart" uri="{C3380CC4-5D6E-409C-BE32-E72D297353CC}">
              <c16:uniqueId val="{00000001-213C-44B5-8822-0DF102CA4A85}"/>
            </c:ext>
          </c:extLst>
        </c:ser>
        <c:ser>
          <c:idx val="7"/>
          <c:order val="2"/>
          <c:tx>
            <c:strRef>
              <c:f>'nano micro output'!$Q$12</c:f>
              <c:strCache>
                <c:ptCount val="1"/>
                <c:pt idx="0">
                  <c:v>Marine sediment</c:v>
                </c:pt>
              </c:strCache>
            </c:strRef>
          </c:tx>
          <c:invertIfNegative val="0"/>
          <c:cat>
            <c:strRef>
              <c:f>'nano micro output'!$R$4:$V$4</c:f>
              <c:strCache>
                <c:ptCount val="5"/>
                <c:pt idx="0">
                  <c:v>Regional</c:v>
                </c:pt>
                <c:pt idx="1">
                  <c:v>Continental</c:v>
                </c:pt>
                <c:pt idx="2">
                  <c:v>Moderate</c:v>
                </c:pt>
                <c:pt idx="3">
                  <c:v>Arctic</c:v>
                </c:pt>
                <c:pt idx="4">
                  <c:v>Tropical</c:v>
                </c:pt>
              </c:strCache>
            </c:strRef>
          </c:cat>
          <c:val>
            <c:numRef>
              <c:f>'nano micro output'!$R$12:$V$12</c:f>
              <c:numCache>
                <c:formatCode>General_)</c:formatCode>
                <c:ptCount val="5"/>
                <c:pt idx="0">
                  <c:v>9.8486419214630135E-3</c:v>
                </c:pt>
                <c:pt idx="1">
                  <c:v>5.5953063342433019E-3</c:v>
                </c:pt>
                <c:pt idx="2">
                  <c:v>5.6053950976744692E-3</c:v>
                </c:pt>
                <c:pt idx="3">
                  <c:v>5.5958572382509711E-3</c:v>
                </c:pt>
                <c:pt idx="4">
                  <c:v>6.0326124782157922E-3</c:v>
                </c:pt>
              </c:numCache>
            </c:numRef>
          </c:val>
          <c:extLst>
            <c:ext xmlns:c16="http://schemas.microsoft.com/office/drawing/2014/chart" uri="{C3380CC4-5D6E-409C-BE32-E72D297353CC}">
              <c16:uniqueId val="{00000002-213C-44B5-8822-0DF102CA4A85}"/>
            </c:ext>
          </c:extLst>
        </c:ser>
        <c:dLbls>
          <c:showLegendKey val="0"/>
          <c:showVal val="0"/>
          <c:showCatName val="0"/>
          <c:showSerName val="0"/>
          <c:showPercent val="0"/>
          <c:showBubbleSize val="0"/>
        </c:dLbls>
        <c:gapWidth val="150"/>
        <c:axId val="144594048"/>
        <c:axId val="144595584"/>
      </c:barChart>
      <c:catAx>
        <c:axId val="144594048"/>
        <c:scaling>
          <c:orientation val="minMax"/>
        </c:scaling>
        <c:delete val="0"/>
        <c:axPos val="b"/>
        <c:numFmt formatCode="General" sourceLinked="0"/>
        <c:majorTickMark val="out"/>
        <c:minorTickMark val="none"/>
        <c:tickLblPos val="nextTo"/>
        <c:crossAx val="144595584"/>
        <c:crosses val="autoZero"/>
        <c:auto val="1"/>
        <c:lblAlgn val="ctr"/>
        <c:lblOffset val="100"/>
        <c:noMultiLvlLbl val="0"/>
      </c:catAx>
      <c:valAx>
        <c:axId val="144595584"/>
        <c:scaling>
          <c:orientation val="minMax"/>
        </c:scaling>
        <c:delete val="0"/>
        <c:axPos val="l"/>
        <c:majorGridlines/>
        <c:title>
          <c:tx>
            <c:rich>
              <a:bodyPr rot="-5400000" vert="horz"/>
              <a:lstStyle/>
              <a:p>
                <a:pPr>
                  <a:defRPr/>
                </a:pPr>
                <a:r>
                  <a:rPr lang="en-US"/>
                  <a:t>User defined biovailable ENP concentration (g.kg-1)</a:t>
                </a:r>
              </a:p>
            </c:rich>
          </c:tx>
          <c:layout>
            <c:manualLayout>
              <c:xMode val="edge"/>
              <c:yMode val="edge"/>
              <c:x val="2.7915824337806972E-2"/>
              <c:y val="0.11522505212327865"/>
            </c:manualLayout>
          </c:layout>
          <c:overlay val="0"/>
        </c:title>
        <c:numFmt formatCode="0.0E+00" sourceLinked="0"/>
        <c:majorTickMark val="out"/>
        <c:minorTickMark val="none"/>
        <c:tickLblPos val="nextTo"/>
        <c:crossAx val="1445940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SimpleBox dynamic output - Regional </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dynamicR!$J$19</c:f>
              <c:strCache>
                <c:ptCount val="1"/>
                <c:pt idx="0">
                  <c:v>aRG</c:v>
                </c:pt>
              </c:strCache>
            </c:strRef>
          </c:tx>
          <c:spPr>
            <a:ln w="19050" cap="rnd">
              <a:solidFill>
                <a:schemeClr val="accent1"/>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dynamicR!$J$20:$J$119</c:f>
              <c:numCache>
                <c:formatCode>0.00</c:formatCode>
                <c:ptCount val="100"/>
                <c:pt idx="0">
                  <c:v>0</c:v>
                </c:pt>
                <c:pt idx="1">
                  <c:v>5.4076255099663198E-2</c:v>
                </c:pt>
                <c:pt idx="2">
                  <c:v>7.2985394221466507E-2</c:v>
                </c:pt>
                <c:pt idx="3">
                  <c:v>9.1516536472099702E-2</c:v>
                </c:pt>
                <c:pt idx="4">
                  <c:v>0.10967724345568799</c:v>
                </c:pt>
                <c:pt idx="5">
                  <c:v>0.127474917081668</c:v>
                </c:pt>
                <c:pt idx="6">
                  <c:v>0.14491681157390801</c:v>
                </c:pt>
                <c:pt idx="7">
                  <c:v>0.16201003884071699</c:v>
                </c:pt>
                <c:pt idx="8">
                  <c:v>0.178761569751232</c:v>
                </c:pt>
                <c:pt idx="9">
                  <c:v>0.19517823548933</c:v>
                </c:pt>
                <c:pt idx="10">
                  <c:v>0.21126673010891101</c:v>
                </c:pt>
                <c:pt idx="11">
                  <c:v>0.22703361362927199</c:v>
                </c:pt>
                <c:pt idx="12">
                  <c:v>0.24248531492877701</c:v>
                </c:pt>
                <c:pt idx="13">
                  <c:v>0.25762813426126402</c:v>
                </c:pt>
                <c:pt idx="14">
                  <c:v>0.27246824627650801</c:v>
                </c:pt>
                <c:pt idx="15">
                  <c:v>0.28701170248436603</c:v>
                </c:pt>
                <c:pt idx="16">
                  <c:v>0.30126443327661001</c:v>
                </c:pt>
                <c:pt idx="17">
                  <c:v>0.31523225020213402</c:v>
                </c:pt>
                <c:pt idx="18">
                  <c:v>0.32892084857426002</c:v>
                </c:pt>
                <c:pt idx="19">
                  <c:v>0.34233580998123903</c:v>
                </c:pt>
                <c:pt idx="20">
                  <c:v>0.35548260452247699</c:v>
                </c:pt>
                <c:pt idx="21">
                  <c:v>0.36836659292593299</c:v>
                </c:pt>
                <c:pt idx="22">
                  <c:v>0.38099302870412599</c:v>
                </c:pt>
                <c:pt idx="23">
                  <c:v>0.39336706034283397</c:v>
                </c:pt>
                <c:pt idx="24">
                  <c:v>0.40549373343251699</c:v>
                </c:pt>
                <c:pt idx="25">
                  <c:v>0.41737799271550702</c:v>
                </c:pt>
                <c:pt idx="26">
                  <c:v>0.42902468408153899</c:v>
                </c:pt>
                <c:pt idx="27">
                  <c:v>0.440438556541487</c:v>
                </c:pt>
                <c:pt idx="28">
                  <c:v>0.45162426417243801</c:v>
                </c:pt>
                <c:pt idx="29">
                  <c:v>0.46258636801875103</c:v>
                </c:pt>
                <c:pt idx="30">
                  <c:v>0.473329337952342</c:v>
                </c:pt>
                <c:pt idx="31">
                  <c:v>0.48385755449060802</c:v>
                </c:pt>
                <c:pt idx="32">
                  <c:v>0.49417531058135999</c:v>
                </c:pt>
                <c:pt idx="33">
                  <c:v>0.50428681335540204</c:v>
                </c:pt>
                <c:pt idx="34">
                  <c:v>0.51419618584503501</c:v>
                </c:pt>
                <c:pt idx="35">
                  <c:v>0.52390746866205595</c:v>
                </c:pt>
                <c:pt idx="36">
                  <c:v>0.53342462164482896</c:v>
                </c:pt>
                <c:pt idx="37">
                  <c:v>0.54275152547438099</c:v>
                </c:pt>
                <c:pt idx="38">
                  <c:v>0.55189198325627598</c:v>
                </c:pt>
                <c:pt idx="39">
                  <c:v>0.56084972207218597</c:v>
                </c:pt>
                <c:pt idx="40">
                  <c:v>0.56962839449862501</c:v>
                </c:pt>
                <c:pt idx="41">
                  <c:v>0.57823158009687203</c:v>
                </c:pt>
                <c:pt idx="42">
                  <c:v>0.58666278693682306</c:v>
                </c:pt>
                <c:pt idx="43">
                  <c:v>0.59492545361621096</c:v>
                </c:pt>
                <c:pt idx="44">
                  <c:v>0.60302294937227496</c:v>
                </c:pt>
                <c:pt idx="45">
                  <c:v>0.61095858206855402</c:v>
                </c:pt>
                <c:pt idx="46">
                  <c:v>0.61873556142730102</c:v>
                </c:pt>
                <c:pt idx="47">
                  <c:v>0.62635708825559699</c:v>
                </c:pt>
                <c:pt idx="48">
                  <c:v>0.63382626126517605</c:v>
                </c:pt>
                <c:pt idx="49">
                  <c:v>0.64114612623276102</c:v>
                </c:pt>
                <c:pt idx="50">
                  <c:v>0.64114612623276102</c:v>
                </c:pt>
                <c:pt idx="51">
                  <c:v>0.59424308375779999</c:v>
                </c:pt>
                <c:pt idx="52">
                  <c:v>0.58236358018000001</c:v>
                </c:pt>
                <c:pt idx="53">
                  <c:v>0.57072195543958104</c:v>
                </c:pt>
                <c:pt idx="54">
                  <c:v>0.55931329916353401</c:v>
                </c:pt>
                <c:pt idx="55">
                  <c:v>0.54813265390091404</c:v>
                </c:pt>
                <c:pt idx="56">
                  <c:v>0.537175453728994</c:v>
                </c:pt>
                <c:pt idx="57">
                  <c:v>0.52643726843564198</c:v>
                </c:pt>
                <c:pt idx="58">
                  <c:v>0.51591373615799396</c:v>
                </c:pt>
                <c:pt idx="59">
                  <c:v>0.50560057154051397</c:v>
                </c:pt>
                <c:pt idx="60">
                  <c:v>0.49549356224230001</c:v>
                </c:pt>
                <c:pt idx="61">
                  <c:v>0.48558857953900197</c:v>
                </c:pt>
                <c:pt idx="62">
                  <c:v>0.47588159223265802</c:v>
                </c:pt>
                <c:pt idx="63">
                  <c:v>0.466368651222343</c:v>
                </c:pt>
                <c:pt idx="64">
                  <c:v>0.457045879024775</c:v>
                </c:pt>
                <c:pt idx="65">
                  <c:v>0.447909471815509</c:v>
                </c:pt>
                <c:pt idx="66">
                  <c:v>0.43895570228032699</c:v>
                </c:pt>
                <c:pt idx="67">
                  <c:v>0.43018091916620599</c:v>
                </c:pt>
                <c:pt idx="68">
                  <c:v>0.421581544918048</c:v>
                </c:pt>
                <c:pt idx="69">
                  <c:v>0.41315407339561799</c:v>
                </c:pt>
                <c:pt idx="70">
                  <c:v>0.40489506827237198</c:v>
                </c:pt>
                <c:pt idx="71">
                  <c:v>0.39680116180150199</c:v>
                </c:pt>
                <c:pt idx="72">
                  <c:v>0.38886905358489698</c:v>
                </c:pt>
                <c:pt idx="73">
                  <c:v>0.38109550925017799</c:v>
                </c:pt>
                <c:pt idx="74">
                  <c:v>0.37347735910037</c:v>
                </c:pt>
                <c:pt idx="75">
                  <c:v>0.36601149685405798</c:v>
                </c:pt>
                <c:pt idx="76">
                  <c:v>0.35869487837088798</c:v>
                </c:pt>
                <c:pt idx="77">
                  <c:v>0.35152452019826103</c:v>
                </c:pt>
                <c:pt idx="78">
                  <c:v>0.34449749841598498</c:v>
                </c:pt>
                <c:pt idx="79">
                  <c:v>0.337610947641173</c:v>
                </c:pt>
                <c:pt idx="80">
                  <c:v>0.33086205989072298</c:v>
                </c:pt>
                <c:pt idx="81">
                  <c:v>0.32424808332524102</c:v>
                </c:pt>
                <c:pt idx="82">
                  <c:v>0.31776632105626701</c:v>
                </c:pt>
                <c:pt idx="83">
                  <c:v>0.31141413007484198</c:v>
                </c:pt>
                <c:pt idx="84">
                  <c:v>0.30518892022079103</c:v>
                </c:pt>
                <c:pt idx="85">
                  <c:v>0.29908815313403703</c:v>
                </c:pt>
                <c:pt idx="86">
                  <c:v>0.29310934119723597</c:v>
                </c:pt>
                <c:pt idx="87">
                  <c:v>0.28725004651042702</c:v>
                </c:pt>
                <c:pt idx="88">
                  <c:v>0.28150787990270298</c:v>
                </c:pt>
                <c:pt idx="89">
                  <c:v>0.27588049996613001</c:v>
                </c:pt>
                <c:pt idx="90">
                  <c:v>0.27036561210163801</c:v>
                </c:pt>
                <c:pt idx="91">
                  <c:v>0.26496096757955101</c:v>
                </c:pt>
                <c:pt idx="92">
                  <c:v>0.25966436262077902</c:v>
                </c:pt>
                <c:pt idx="93">
                  <c:v>0.25447363749887097</c:v>
                </c:pt>
                <c:pt idx="94">
                  <c:v>0.24938667566171599</c:v>
                </c:pt>
                <c:pt idx="95">
                  <c:v>0.244401402867854</c:v>
                </c:pt>
                <c:pt idx="96">
                  <c:v>0.23951578633998399</c:v>
                </c:pt>
                <c:pt idx="97">
                  <c:v>0.23472783393587601</c:v>
                </c:pt>
                <c:pt idx="98">
                  <c:v>0.230035593336823</c:v>
                </c:pt>
                <c:pt idx="99">
                  <c:v>0.22543715125101699</c:v>
                </c:pt>
              </c:numCache>
            </c:numRef>
          </c:yVal>
          <c:smooth val="0"/>
          <c:extLst>
            <c:ext xmlns:c16="http://schemas.microsoft.com/office/drawing/2014/chart" uri="{C3380CC4-5D6E-409C-BE32-E72D297353CC}">
              <c16:uniqueId val="{00000000-05B1-4C8F-A5D2-C74BC92F11DF}"/>
            </c:ext>
          </c:extLst>
        </c:ser>
        <c:ser>
          <c:idx val="1"/>
          <c:order val="1"/>
          <c:tx>
            <c:strRef>
              <c:f>dynamicR!$K$19</c:f>
              <c:strCache>
                <c:ptCount val="1"/>
                <c:pt idx="0">
                  <c:v>aRS</c:v>
                </c:pt>
              </c:strCache>
            </c:strRef>
          </c:tx>
          <c:spPr>
            <a:ln w="19050" cap="rnd">
              <a:solidFill>
                <a:schemeClr val="accent2"/>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dynamicR!$K$20:$K$119</c:f>
              <c:numCache>
                <c:formatCode>0.00</c:formatCode>
                <c:ptCount val="100"/>
                <c:pt idx="0">
                  <c:v>0</c:v>
                </c:pt>
                <c:pt idx="1">
                  <c:v>1</c:v>
                </c:pt>
                <c:pt idx="2">
                  <c:v>0.999999999999999</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-8.7053091129707496E-215</c:v>
                </c:pt>
                <c:pt idx="52">
                  <c:v>2.0971097403205601E-216</c:v>
                </c:pt>
                <c:pt idx="53">
                  <c:v>-7.1026138551376099E-216</c:v>
                </c:pt>
                <c:pt idx="54">
                  <c:v>9.33973242284879E-215</c:v>
                </c:pt>
                <c:pt idx="55">
                  <c:v>-5.8795989446246902E-215</c:v>
                </c:pt>
                <c:pt idx="56">
                  <c:v>1.9168490060969601E-214</c:v>
                </c:pt>
                <c:pt idx="57">
                  <c:v>-5.5861679931866697E-215</c:v>
                </c:pt>
                <c:pt idx="58">
                  <c:v>1.04000784535833E-215</c:v>
                </c:pt>
                <c:pt idx="59">
                  <c:v>6.3346532473993599E-217</c:v>
                </c:pt>
                <c:pt idx="60">
                  <c:v>-1.17545554600092E-216</c:v>
                </c:pt>
                <c:pt idx="61">
                  <c:v>5.5953774721990502E-217</c:v>
                </c:pt>
                <c:pt idx="62">
                  <c:v>1.3911518922454501E-215</c:v>
                </c:pt>
                <c:pt idx="63">
                  <c:v>1.0804330034600499E-215</c:v>
                </c:pt>
                <c:pt idx="64">
                  <c:v>-8.75848997174339E-216</c:v>
                </c:pt>
                <c:pt idx="65">
                  <c:v>-2.00324517411425E-216</c:v>
                </c:pt>
                <c:pt idx="66">
                  <c:v>1.3993670079784301E-215</c:v>
                </c:pt>
                <c:pt idx="67">
                  <c:v>-4.5233067695828302E-216</c:v>
                </c:pt>
                <c:pt idx="68">
                  <c:v>-1.5358669124645099E-215</c:v>
                </c:pt>
                <c:pt idx="69">
                  <c:v>1.3156098373608299E-215</c:v>
                </c:pt>
                <c:pt idx="70">
                  <c:v>1.2259503151086699E-215</c:v>
                </c:pt>
                <c:pt idx="71">
                  <c:v>-2.2468794188020699E-215</c:v>
                </c:pt>
                <c:pt idx="72">
                  <c:v>-3.7329587625629602E-216</c:v>
                </c:pt>
                <c:pt idx="73">
                  <c:v>2.9697482274558298E-215</c:v>
                </c:pt>
                <c:pt idx="74">
                  <c:v>-1.05265213346249E-215</c:v>
                </c:pt>
                <c:pt idx="75">
                  <c:v>-3.0378903765899102E-215</c:v>
                </c:pt>
                <c:pt idx="76">
                  <c:v>2.9348543309535801E-215</c:v>
                </c:pt>
                <c:pt idx="77">
                  <c:v>-2.10387016108085E-215</c:v>
                </c:pt>
                <c:pt idx="78">
                  <c:v>8.2256617387708703E-216</c:v>
                </c:pt>
                <c:pt idx="79">
                  <c:v>-1.90349927588637E-216</c:v>
                </c:pt>
                <c:pt idx="80">
                  <c:v>1.80226334440919E-217</c:v>
                </c:pt>
                <c:pt idx="81">
                  <c:v>9.6218248926935906E-223</c:v>
                </c:pt>
                <c:pt idx="82">
                  <c:v>-2.9874677113150002E-223</c:v>
                </c:pt>
                <c:pt idx="83">
                  <c:v>6.3571203125558199E-224</c:v>
                </c:pt>
                <c:pt idx="84">
                  <c:v>-8.32878373218187E-225</c:v>
                </c:pt>
                <c:pt idx="85">
                  <c:v>4.9538486136254796E-226</c:v>
                </c:pt>
                <c:pt idx="86">
                  <c:v>1.1235065110817001E-230</c:v>
                </c:pt>
                <c:pt idx="87">
                  <c:v>-2.32902270997466E-231</c:v>
                </c:pt>
                <c:pt idx="88">
                  <c:v>3.40536602896339E-232</c:v>
                </c:pt>
                <c:pt idx="89">
                  <c:v>-3.1405048668102598E-233</c:v>
                </c:pt>
                <c:pt idx="90">
                  <c:v>1.36142837235156E-234</c:v>
                </c:pt>
                <c:pt idx="91">
                  <c:v>8.8748440415582207E-239</c:v>
                </c:pt>
                <c:pt idx="92">
                  <c:v>-1.3785126556580399E-239</c:v>
                </c:pt>
                <c:pt idx="93">
                  <c:v>1.5380113458152901E-240</c:v>
                </c:pt>
                <c:pt idx="94">
                  <c:v>-1.0971334419986E-241</c:v>
                </c:pt>
                <c:pt idx="95">
                  <c:v>3.7401167098731801E-243</c:v>
                </c:pt>
                <c:pt idx="96">
                  <c:v>5.5938854090720898E-247</c:v>
                </c:pt>
                <c:pt idx="97">
                  <c:v>-6.9600796119550998E-248</c:v>
                </c:pt>
                <c:pt idx="98">
                  <c:v>6.2840386201499704E-249</c:v>
                </c:pt>
                <c:pt idx="99">
                  <c:v>-3.6581436193535499E-250</c:v>
                </c:pt>
              </c:numCache>
            </c:numRef>
          </c:yVal>
          <c:smooth val="0"/>
          <c:extLst>
            <c:ext xmlns:c16="http://schemas.microsoft.com/office/drawing/2014/chart" uri="{C3380CC4-5D6E-409C-BE32-E72D297353CC}">
              <c16:uniqueId val="{00000001-05B1-4C8F-A5D2-C74BC92F11DF}"/>
            </c:ext>
          </c:extLst>
        </c:ser>
        <c:ser>
          <c:idx val="2"/>
          <c:order val="2"/>
          <c:tx>
            <c:strRef>
              <c:f>dynamicR!$L$19</c:f>
              <c:strCache>
                <c:ptCount val="1"/>
                <c:pt idx="0">
                  <c:v>aRA</c:v>
                </c:pt>
              </c:strCache>
            </c:strRef>
          </c:tx>
          <c:spPr>
            <a:ln w="19050" cap="rnd">
              <a:solidFill>
                <a:schemeClr val="accent3"/>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dynamicR!$L$20:$L$119</c:f>
              <c:numCache>
                <c:formatCode>0.00</c:formatCode>
                <c:ptCount val="100"/>
                <c:pt idx="0">
                  <c:v>0</c:v>
                </c:pt>
                <c:pt idx="1">
                  <c:v>1</c:v>
                </c:pt>
                <c:pt idx="2">
                  <c:v>0.999999999999998</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-2.5643645204072799E-101</c:v>
                </c:pt>
                <c:pt idx="52">
                  <c:v>6.17759043463423E-103</c:v>
                </c:pt>
                <c:pt idx="53">
                  <c:v>-2.0922282289765099E-102</c:v>
                </c:pt>
                <c:pt idx="54">
                  <c:v>2.7512508321913499E-101</c:v>
                </c:pt>
                <c:pt idx="55">
                  <c:v>-1.7319784334372499E-101</c:v>
                </c:pt>
                <c:pt idx="56">
                  <c:v>5.6465416716170501E-101</c:v>
                </c:pt>
                <c:pt idx="57">
                  <c:v>-1.6455359798879899E-101</c:v>
                </c:pt>
                <c:pt idx="58">
                  <c:v>3.06355880822341E-102</c:v>
                </c:pt>
                <c:pt idx="59">
                  <c:v>1.86615089818658E-103</c:v>
                </c:pt>
                <c:pt idx="60">
                  <c:v>-3.4626987131968302E-103</c:v>
                </c:pt>
                <c:pt idx="61">
                  <c:v>1.64805082839796E-103</c:v>
                </c:pt>
                <c:pt idx="62">
                  <c:v>4.0979723363645904E-102</c:v>
                </c:pt>
                <c:pt idx="63">
                  <c:v>3.1826691515118999E-102</c:v>
                </c:pt>
                <c:pt idx="64">
                  <c:v>-2.58004198711974E-102</c:v>
                </c:pt>
                <c:pt idx="65">
                  <c:v>-5.9010002899892595E-103</c:v>
                </c:pt>
                <c:pt idx="66">
                  <c:v>4.1221865597406601E-102</c:v>
                </c:pt>
                <c:pt idx="67">
                  <c:v>-1.33245912596043E-102</c:v>
                </c:pt>
                <c:pt idx="68">
                  <c:v>-4.52427594401685E-102</c:v>
                </c:pt>
                <c:pt idx="69">
                  <c:v>3.87546020263015E-102</c:v>
                </c:pt>
                <c:pt idx="70">
                  <c:v>3.61133693682776E-102</c:v>
                </c:pt>
                <c:pt idx="71">
                  <c:v>-6.6187406897489899E-102</c:v>
                </c:pt>
                <c:pt idx="72">
                  <c:v>-1.09963303027962E-102</c:v>
                </c:pt>
                <c:pt idx="73">
                  <c:v>8.7481243620279507E-102</c:v>
                </c:pt>
                <c:pt idx="74">
                  <c:v>-3.1008434622237201E-102</c:v>
                </c:pt>
                <c:pt idx="75">
                  <c:v>-8.9488516294444598E-102</c:v>
                </c:pt>
                <c:pt idx="76">
                  <c:v>8.6453276456155606E-102</c:v>
                </c:pt>
                <c:pt idx="77">
                  <c:v>-6.1974472601903E-102</c:v>
                </c:pt>
                <c:pt idx="78">
                  <c:v>2.4230442716777898E-102</c:v>
                </c:pt>
                <c:pt idx="79">
                  <c:v>-5.6070089557164204E-103</c:v>
                </c:pt>
                <c:pt idx="80">
                  <c:v>5.30774498410698E-104</c:v>
                </c:pt>
                <c:pt idx="81">
                  <c:v>5.7170440027377304E-108</c:v>
                </c:pt>
                <c:pt idx="82">
                  <c:v>-1.77504670089282E-108</c:v>
                </c:pt>
                <c:pt idx="83">
                  <c:v>3.7769862540490998E-109</c:v>
                </c:pt>
                <c:pt idx="84">
                  <c:v>-4.9474748096718798E-110</c:v>
                </c:pt>
                <c:pt idx="85">
                  <c:v>2.9387822000544199E-111</c:v>
                </c:pt>
                <c:pt idx="86">
                  <c:v>1.35381390922148E-114</c:v>
                </c:pt>
                <c:pt idx="87">
                  <c:v>-2.79103332855074E-115</c:v>
                </c:pt>
                <c:pt idx="88">
                  <c:v>4.0801080091976898E-116</c:v>
                </c:pt>
                <c:pt idx="89">
                  <c:v>-3.7599620165817298E-117</c:v>
                </c:pt>
                <c:pt idx="90">
                  <c:v>1.62158409371988E-118</c:v>
                </c:pt>
                <c:pt idx="91">
                  <c:v>2.14928024419965E-121</c:v>
                </c:pt>
                <c:pt idx="92">
                  <c:v>-3.3314044396208501E-122</c:v>
                </c:pt>
                <c:pt idx="93">
                  <c:v>3.7148110933383599E-123</c:v>
                </c:pt>
                <c:pt idx="94">
                  <c:v>-2.6442457721159102E-124</c:v>
                </c:pt>
                <c:pt idx="95">
                  <c:v>8.8804452425233101E-126</c:v>
                </c:pt>
                <c:pt idx="96">
                  <c:v>2.7273765468287298E-128</c:v>
                </c:pt>
                <c:pt idx="97">
                  <c:v>-3.3911516311475703E-129</c:v>
                </c:pt>
                <c:pt idx="98">
                  <c:v>3.0577496145072102E-130</c:v>
                </c:pt>
                <c:pt idx="99">
                  <c:v>-1.7708747297960701E-131</c:v>
                </c:pt>
              </c:numCache>
            </c:numRef>
          </c:yVal>
          <c:smooth val="0"/>
          <c:extLst>
            <c:ext xmlns:c16="http://schemas.microsoft.com/office/drawing/2014/chart" uri="{C3380CC4-5D6E-409C-BE32-E72D297353CC}">
              <c16:uniqueId val="{00000002-05B1-4C8F-A5D2-C74BC92F11DF}"/>
            </c:ext>
          </c:extLst>
        </c:ser>
        <c:ser>
          <c:idx val="3"/>
          <c:order val="3"/>
          <c:tx>
            <c:strRef>
              <c:f>dynamicR!$M$19</c:f>
              <c:strCache>
                <c:ptCount val="1"/>
                <c:pt idx="0">
                  <c:v>aRP</c:v>
                </c:pt>
              </c:strCache>
            </c:strRef>
          </c:tx>
          <c:spPr>
            <a:ln w="19050" cap="rnd">
              <a:solidFill>
                <a:schemeClr val="accent4"/>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dynamicR!$M$20:$M$119</c:f>
              <c:numCache>
                <c:formatCode>0.00</c:formatCode>
                <c:ptCount val="100"/>
                <c:pt idx="0">
                  <c:v>0</c:v>
                </c:pt>
                <c:pt idx="1">
                  <c:v>1</c:v>
                </c:pt>
                <c:pt idx="2">
                  <c:v>0.999999999999999</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1</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-1.2938318054906001E-214</c:v>
                </c:pt>
                <c:pt idx="52">
                  <c:v>3.11684240845116E-216</c:v>
                </c:pt>
                <c:pt idx="53">
                  <c:v>-1.05563036701465E-215</c:v>
                </c:pt>
                <c:pt idx="54">
                  <c:v>1.3881233805009001E-214</c:v>
                </c:pt>
                <c:pt idx="55">
                  <c:v>-8.7385894055639798E-215</c:v>
                </c:pt>
                <c:pt idx="56">
                  <c:v>2.84892842379818E-214</c:v>
                </c:pt>
                <c:pt idx="57">
                  <c:v>-8.3024759544429699E-215</c:v>
                </c:pt>
                <c:pt idx="58">
                  <c:v>1.54571794897755E-215</c:v>
                </c:pt>
                <c:pt idx="59">
                  <c:v>9.4149166939072105E-217</c:v>
                </c:pt>
                <c:pt idx="60">
                  <c:v>-1.7470279130954502E-216</c:v>
                </c:pt>
                <c:pt idx="61">
                  <c:v>8.3161636026891404E-217</c:v>
                </c:pt>
                <c:pt idx="62">
                  <c:v>2.06760791199328E-215</c:v>
                </c:pt>
                <c:pt idx="63">
                  <c:v>1.60580008465275E-215</c:v>
                </c:pt>
                <c:pt idx="64">
                  <c:v>-1.3017358682135901E-215</c:v>
                </c:pt>
                <c:pt idx="65">
                  <c:v>-2.9773352534314097E-216</c:v>
                </c:pt>
                <c:pt idx="66">
                  <c:v>2.0798176774273501E-215</c:v>
                </c:pt>
                <c:pt idx="67">
                  <c:v>-6.7227920382350097E-216</c:v>
                </c:pt>
                <c:pt idx="68">
                  <c:v>-2.2826914858697499E-215</c:v>
                </c:pt>
                <c:pt idx="69">
                  <c:v>1.9553330761265501E-215</c:v>
                </c:pt>
                <c:pt idx="70">
                  <c:v>1.8220760690177801E-215</c:v>
                </c:pt>
                <c:pt idx="71">
                  <c:v>-3.3394381228289899E-215</c:v>
                </c:pt>
                <c:pt idx="72">
                  <c:v>-5.5481325336517598E-216</c:v>
                </c:pt>
                <c:pt idx="73">
                  <c:v>4.4138062607992999E-215</c:v>
                </c:pt>
                <c:pt idx="74">
                  <c:v>-1.5645105986312201E-215</c:v>
                </c:pt>
                <c:pt idx="75">
                  <c:v>-4.5150829419978499E-215</c:v>
                </c:pt>
                <c:pt idx="76">
                  <c:v>4.3619449961235199E-215</c:v>
                </c:pt>
                <c:pt idx="77">
                  <c:v>-3.1268897487796003E-215</c:v>
                </c:pt>
                <c:pt idx="78">
                  <c:v>1.2225439498926899E-215</c:v>
                </c:pt>
                <c:pt idx="79">
                  <c:v>-2.8290873090383202E-216</c:v>
                </c:pt>
                <c:pt idx="80">
                  <c:v>2.6786247937152798E-217</c:v>
                </c:pt>
                <c:pt idx="81">
                  <c:v>1.43004964375387E-222</c:v>
                </c:pt>
                <c:pt idx="82">
                  <c:v>-4.4401422815990799E-223</c:v>
                </c:pt>
                <c:pt idx="83">
                  <c:v>9.4483090153652108E-224</c:v>
                </c:pt>
                <c:pt idx="84">
                  <c:v>-1.2378705430030299E-224</c:v>
                </c:pt>
                <c:pt idx="85">
                  <c:v>7.3626889161171595E-226</c:v>
                </c:pt>
                <c:pt idx="86">
                  <c:v>1.6618561912393799E-230</c:v>
                </c:pt>
                <c:pt idx="87">
                  <c:v>-3.4615246588459001E-231</c:v>
                </c:pt>
                <c:pt idx="88">
                  <c:v>5.0612468360472502E-232</c:v>
                </c:pt>
                <c:pt idx="89">
                  <c:v>-4.66759447290069E-233</c:v>
                </c:pt>
                <c:pt idx="90">
                  <c:v>2.02342985318674E-234</c:v>
                </c:pt>
                <c:pt idx="91">
                  <c:v>1.3168690840624899E-238</c:v>
                </c:pt>
                <c:pt idx="92">
                  <c:v>-2.0488242448239398E-239</c:v>
                </c:pt>
                <c:pt idx="93">
                  <c:v>2.2858805573224401E-240</c:v>
                </c:pt>
                <c:pt idx="94">
                  <c:v>-1.63062310486517E-241</c:v>
                </c:pt>
                <c:pt idx="95">
                  <c:v>5.5587901206906596E-243</c:v>
                </c:pt>
                <c:pt idx="96">
                  <c:v>8.3088324174334905E-247</c:v>
                </c:pt>
                <c:pt idx="97">
                  <c:v>-1.03444714844426E-247</c:v>
                </c:pt>
                <c:pt idx="98">
                  <c:v>9.33970029380182E-249</c:v>
                </c:pt>
                <c:pt idx="99">
                  <c:v>-5.4369442320405097E-250</c:v>
                </c:pt>
              </c:numCache>
            </c:numRef>
          </c:yVal>
          <c:smooth val="0"/>
          <c:extLst>
            <c:ext xmlns:c16="http://schemas.microsoft.com/office/drawing/2014/chart" uri="{C3380CC4-5D6E-409C-BE32-E72D297353CC}">
              <c16:uniqueId val="{00000003-05B1-4C8F-A5D2-C74BC92F11DF}"/>
            </c:ext>
          </c:extLst>
        </c:ser>
        <c:ser>
          <c:idx val="4"/>
          <c:order val="4"/>
          <c:tx>
            <c:strRef>
              <c:f>dynamicR!$N$19</c:f>
              <c:strCache>
                <c:ptCount val="1"/>
                <c:pt idx="0">
                  <c:v>cwRS</c:v>
                </c:pt>
              </c:strCache>
            </c:strRef>
          </c:tx>
          <c:spPr>
            <a:ln w="19050" cap="rnd">
              <a:solidFill>
                <a:schemeClr val="accent5"/>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dynamicR!$N$20:$N$119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0.999999999999999</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-1.3868094439365001E-214</c:v>
                </c:pt>
                <c:pt idx="52">
                  <c:v>3.3408255930866298E-216</c:v>
                </c:pt>
                <c:pt idx="53">
                  <c:v>-1.13149030368559E-215</c:v>
                </c:pt>
                <c:pt idx="54">
                  <c:v>1.48787701871047E-214</c:v>
                </c:pt>
                <c:pt idx="55">
                  <c:v>-9.366563916883741E-215</c:v>
                </c:pt>
                <c:pt idx="56">
                  <c:v>3.0536587669661299E-214</c:v>
                </c:pt>
                <c:pt idx="57">
                  <c:v>-8.8991103717837499E-215</c:v>
                </c:pt>
                <c:pt idx="58">
                  <c:v>1.65679668405123E-215</c:v>
                </c:pt>
                <c:pt idx="59">
                  <c:v>1.00914935803119E-216</c:v>
                </c:pt>
                <c:pt idx="60">
                  <c:v>-1.8725732306308801E-216</c:v>
                </c:pt>
                <c:pt idx="61">
                  <c:v>8.9137816443679992E-217</c:v>
                </c:pt>
                <c:pt idx="62">
                  <c:v>2.2161908223776399E-215</c:v>
                </c:pt>
                <c:pt idx="63">
                  <c:v>1.7211964558357201E-215</c:v>
                </c:pt>
                <c:pt idx="64">
                  <c:v>-1.3952815074660301E-215</c:v>
                </c:pt>
                <c:pt idx="65">
                  <c:v>-3.1912931970915001E-216</c:v>
                </c:pt>
                <c:pt idx="66">
                  <c:v>2.2292780087544099E-215</c:v>
                </c:pt>
                <c:pt idx="67">
                  <c:v>-7.2059068498753903E-216</c:v>
                </c:pt>
                <c:pt idx="68">
                  <c:v>-2.4467307809956599E-215</c:v>
                </c:pt>
                <c:pt idx="69">
                  <c:v>2.0958476667006799E-215</c:v>
                </c:pt>
                <c:pt idx="70">
                  <c:v>1.95301451421623E-215</c:v>
                </c:pt>
                <c:pt idx="71">
                  <c:v>-3.5794175853083799E-215</c:v>
                </c:pt>
                <c:pt idx="72">
                  <c:v>-5.9468336966080998E-216</c:v>
                </c:pt>
                <c:pt idx="73">
                  <c:v>4.7309922109487803E-215</c:v>
                </c:pt>
                <c:pt idx="74">
                  <c:v>-1.6769398153716001E-215</c:v>
                </c:pt>
                <c:pt idx="75">
                  <c:v>-4.8395468600634697E-215</c:v>
                </c:pt>
                <c:pt idx="76">
                  <c:v>4.6754040802664704E-215</c:v>
                </c:pt>
                <c:pt idx="77">
                  <c:v>-3.3515950116243998E-215</c:v>
                </c:pt>
                <c:pt idx="78">
                  <c:v>1.3103986814856999E-215</c:v>
                </c:pt>
                <c:pt idx="79">
                  <c:v>-3.03239182517506E-216</c:v>
                </c:pt>
                <c:pt idx="80">
                  <c:v>2.87111673833003E-217</c:v>
                </c:pt>
                <c:pt idx="81">
                  <c:v>1.53281616777092E-222</c:v>
                </c:pt>
                <c:pt idx="82">
                  <c:v>-4.75922075173692E-223</c:v>
                </c:pt>
                <c:pt idx="83">
                  <c:v>1.01272856170539E-223</c:v>
                </c:pt>
                <c:pt idx="84">
                  <c:v>-1.32682666138281E-224</c:v>
                </c:pt>
                <c:pt idx="85">
                  <c:v>7.8917838532640102E-226</c:v>
                </c:pt>
                <c:pt idx="86">
                  <c:v>1.7928635485669E-230</c:v>
                </c:pt>
                <c:pt idx="87">
                  <c:v>-3.7102769609827503E-231</c:v>
                </c:pt>
                <c:pt idx="88">
                  <c:v>5.4249571424166899E-232</c:v>
                </c:pt>
                <c:pt idx="89">
                  <c:v>-5.00301437568382E-233</c:v>
                </c:pt>
                <c:pt idx="90">
                  <c:v>2.1688378025320699E-234</c:v>
                </c:pt>
                <c:pt idx="91">
                  <c:v>1.41254870540608E-238</c:v>
                </c:pt>
                <c:pt idx="92">
                  <c:v>-2.1960557136374398E-239</c:v>
                </c:pt>
                <c:pt idx="93">
                  <c:v>2.45014669104993E-240</c:v>
                </c:pt>
                <c:pt idx="94">
                  <c:v>-1.7478003692722901E-241</c:v>
                </c:pt>
                <c:pt idx="95">
                  <c:v>5.9582386471180597E-243</c:v>
                </c:pt>
                <c:pt idx="96">
                  <c:v>8.9028666995678006E-247</c:v>
                </c:pt>
                <c:pt idx="97">
                  <c:v>-1.1087837553319801E-247</c:v>
                </c:pt>
                <c:pt idx="98">
                  <c:v>1.0010863722934999E-248</c:v>
                </c:pt>
                <c:pt idx="99">
                  <c:v>-5.8276507544368502E-250</c:v>
                </c:pt>
              </c:numCache>
            </c:numRef>
          </c:yVal>
          <c:smooth val="0"/>
          <c:extLst>
            <c:ext xmlns:c16="http://schemas.microsoft.com/office/drawing/2014/chart" uri="{C3380CC4-5D6E-409C-BE32-E72D297353CC}">
              <c16:uniqueId val="{00000004-05B1-4C8F-A5D2-C74BC92F11DF}"/>
            </c:ext>
          </c:extLst>
        </c:ser>
        <c:ser>
          <c:idx val="5"/>
          <c:order val="5"/>
          <c:tx>
            <c:strRef>
              <c:f>dynamicR!$O$19</c:f>
              <c:strCache>
                <c:ptCount val="1"/>
                <c:pt idx="0">
                  <c:v>cwRA</c:v>
                </c:pt>
              </c:strCache>
            </c:strRef>
          </c:tx>
          <c:spPr>
            <a:ln w="19050" cap="rnd">
              <a:solidFill>
                <a:schemeClr val="accent6"/>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dynamicR!$O$20:$O$119</c:f>
              <c:numCache>
                <c:formatCode>0.00</c:formatCode>
                <c:ptCount val="100"/>
                <c:pt idx="0">
                  <c:v>0</c:v>
                </c:pt>
                <c:pt idx="1">
                  <c:v>1</c:v>
                </c:pt>
                <c:pt idx="2">
                  <c:v>0.999999999999999</c:v>
                </c:pt>
                <c:pt idx="3">
                  <c:v>0.999999999999998</c:v>
                </c:pt>
                <c:pt idx="4">
                  <c:v>1</c:v>
                </c:pt>
                <c:pt idx="5">
                  <c:v>1</c:v>
                </c:pt>
                <c:pt idx="6">
                  <c:v>1</c:v>
                </c:pt>
                <c:pt idx="7">
                  <c:v>1</c:v>
                </c:pt>
                <c:pt idx="8">
                  <c:v>1</c:v>
                </c:pt>
                <c:pt idx="9">
                  <c:v>1</c:v>
                </c:pt>
                <c:pt idx="10">
                  <c:v>1</c:v>
                </c:pt>
                <c:pt idx="11">
                  <c:v>1</c:v>
                </c:pt>
                <c:pt idx="12">
                  <c:v>1</c:v>
                </c:pt>
                <c:pt idx="13">
                  <c:v>1</c:v>
                </c:pt>
                <c:pt idx="14">
                  <c:v>0.999999999999999</c:v>
                </c:pt>
                <c:pt idx="15">
                  <c:v>1</c:v>
                </c:pt>
                <c:pt idx="16">
                  <c:v>1</c:v>
                </c:pt>
                <c:pt idx="17">
                  <c:v>0.999999999999999</c:v>
                </c:pt>
                <c:pt idx="18">
                  <c:v>1</c:v>
                </c:pt>
                <c:pt idx="19">
                  <c:v>1</c:v>
                </c:pt>
                <c:pt idx="20">
                  <c:v>0.999999999999998</c:v>
                </c:pt>
                <c:pt idx="21">
                  <c:v>0.999999999999999</c:v>
                </c:pt>
                <c:pt idx="22">
                  <c:v>1</c:v>
                </c:pt>
                <c:pt idx="23">
                  <c:v>0.999999999999998</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-2.6125828680336399E-101</c:v>
                </c:pt>
                <c:pt idx="52">
                  <c:v>6.2937491197316098E-103</c:v>
                </c:pt>
                <c:pt idx="53">
                  <c:v>-2.1315688885640801E-102</c:v>
                </c:pt>
                <c:pt idx="54">
                  <c:v>2.8029832444540099E-101</c:v>
                </c:pt>
                <c:pt idx="55">
                  <c:v>-1.7645452288909002E-101</c:v>
                </c:pt>
                <c:pt idx="56">
                  <c:v>5.7527149146547894E-101</c:v>
                </c:pt>
                <c:pt idx="57">
                  <c:v>-1.6764773775932601E-101</c:v>
                </c:pt>
                <c:pt idx="58">
                  <c:v>3.1211636206389401E-102</c:v>
                </c:pt>
                <c:pt idx="59">
                  <c:v>1.9012405697607199E-103</c:v>
                </c:pt>
                <c:pt idx="60">
                  <c:v>-3.5278086465491198E-103</c:v>
                </c:pt>
                <c:pt idx="61">
                  <c:v>1.67903951337664E-103</c:v>
                </c:pt>
                <c:pt idx="62">
                  <c:v>4.17502746815653E-102</c:v>
                </c:pt>
                <c:pt idx="63">
                  <c:v>3.2425136235557499E-102</c:v>
                </c:pt>
                <c:pt idx="64">
                  <c:v>-2.62855511971996E-102</c:v>
                </c:pt>
                <c:pt idx="65">
                  <c:v>-6.0119581778733796E-103</c:v>
                </c:pt>
                <c:pt idx="66">
                  <c:v>4.1996969972350902E-102</c:v>
                </c:pt>
                <c:pt idx="67">
                  <c:v>-1.35751366638448E-102</c:v>
                </c:pt>
                <c:pt idx="68">
                  <c:v>-4.6093469621971599E-102</c:v>
                </c:pt>
                <c:pt idx="69">
                  <c:v>3.9483313867564901E-102</c:v>
                </c:pt>
                <c:pt idx="70">
                  <c:v>3.6792417494452102E-102</c:v>
                </c:pt>
                <c:pt idx="71">
                  <c:v>-6.7431944181500604E-102</c:v>
                </c:pt>
                <c:pt idx="72">
                  <c:v>-1.12030968720068E-102</c:v>
                </c:pt>
                <c:pt idx="73">
                  <c:v>8.9126173893884099E-102</c:v>
                </c:pt>
                <c:pt idx="74">
                  <c:v>-3.1591493467040301E-102</c:v>
                </c:pt>
                <c:pt idx="75">
                  <c:v>-9.1171189785366094E-102</c:v>
                </c:pt>
                <c:pt idx="76">
                  <c:v>8.8078877622873099E-102</c:v>
                </c:pt>
                <c:pt idx="77">
                  <c:v>-6.31397930975284E-102</c:v>
                </c:pt>
                <c:pt idx="78">
                  <c:v>2.46860533953434E-102</c:v>
                </c:pt>
                <c:pt idx="79">
                  <c:v>-5.7124388558171902E-103</c:v>
                </c:pt>
                <c:pt idx="80">
                  <c:v>5.4075477537878503E-104</c:v>
                </c:pt>
                <c:pt idx="81">
                  <c:v>5.8245429488410603E-108</c:v>
                </c:pt>
                <c:pt idx="82">
                  <c:v>-1.8084233330728201E-108</c:v>
                </c:pt>
                <c:pt idx="83">
                  <c:v>3.8480058585957699E-109</c:v>
                </c:pt>
                <c:pt idx="84">
                  <c:v>-5.04050343599968E-110</c:v>
                </c:pt>
                <c:pt idx="85">
                  <c:v>2.99404086049736E-111</c:v>
                </c:pt>
                <c:pt idx="86">
                  <c:v>1.37926976481825E-114</c:v>
                </c:pt>
                <c:pt idx="87">
                  <c:v>-2.8435137845716198E-115</c:v>
                </c:pt>
                <c:pt idx="88">
                  <c:v>4.1568272536119901E-116</c:v>
                </c:pt>
                <c:pt idx="89">
                  <c:v>-3.8306614948604803E-117</c:v>
                </c:pt>
                <c:pt idx="90">
                  <c:v>1.65207510074041E-118</c:v>
                </c:pt>
                <c:pt idx="91">
                  <c:v>2.1896923308991398E-121</c:v>
                </c:pt>
                <c:pt idx="92">
                  <c:v>-3.39404565482609E-122</c:v>
                </c:pt>
                <c:pt idx="93">
                  <c:v>3.7846615255400197E-123</c:v>
                </c:pt>
                <c:pt idx="94">
                  <c:v>-2.6939661076140998E-124</c:v>
                </c:pt>
                <c:pt idx="95">
                  <c:v>9.0474259829393195E-126</c:v>
                </c:pt>
                <c:pt idx="96">
                  <c:v>2.7786612282550001E-128</c:v>
                </c:pt>
                <c:pt idx="97">
                  <c:v>-3.4549163185592899E-129</c:v>
                </c:pt>
                <c:pt idx="98">
                  <c:v>3.11524525973355E-130</c:v>
                </c:pt>
                <c:pt idx="99">
                  <c:v>-1.8041729024594601E-131</c:v>
                </c:pt>
              </c:numCache>
            </c:numRef>
          </c:yVal>
          <c:smooth val="0"/>
          <c:extLst>
            <c:ext xmlns:c16="http://schemas.microsoft.com/office/drawing/2014/chart" uri="{C3380CC4-5D6E-409C-BE32-E72D297353CC}">
              <c16:uniqueId val="{00000005-05B1-4C8F-A5D2-C74BC92F11DF}"/>
            </c:ext>
          </c:extLst>
        </c:ser>
        <c:ser>
          <c:idx val="6"/>
          <c:order val="6"/>
          <c:tx>
            <c:strRef>
              <c:f>dynamicR!$P$19</c:f>
              <c:strCache>
                <c:ptCount val="1"/>
                <c:pt idx="0">
                  <c:v>cwRP</c:v>
                </c:pt>
              </c:strCache>
            </c:strRef>
          </c:tx>
          <c:spPr>
            <a:ln w="19050" cap="rnd">
              <a:solidFill>
                <a:schemeClr val="accent1">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dynamicR!$P$20:$P$119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-2.0611538118216299E-214</c:v>
                </c:pt>
                <c:pt idx="52">
                  <c:v>4.9653229007251202E-216</c:v>
                </c:pt>
                <c:pt idx="53">
                  <c:v>-1.6816844497197801E-215</c:v>
                </c:pt>
                <c:pt idx="54">
                  <c:v>2.2113661449901599E-214</c:v>
                </c:pt>
                <c:pt idx="55">
                  <c:v>-1.39211116414427E-214</c:v>
                </c:pt>
                <c:pt idx="56">
                  <c:v>4.5385186530171496E-214</c:v>
                </c:pt>
                <c:pt idx="57">
                  <c:v>-1.32263561576881E-214</c:v>
                </c:pt>
                <c:pt idx="58">
                  <c:v>2.4624240090086499E-215</c:v>
                </c:pt>
                <c:pt idx="59">
                  <c:v>1.49985428617358E-216</c:v>
                </c:pt>
                <c:pt idx="60">
                  <c:v>-2.78312319557407E-216</c:v>
                </c:pt>
                <c:pt idx="61">
                  <c:v>1.3248161433107201E-216</c:v>
                </c:pt>
                <c:pt idx="62">
                  <c:v>3.2938269022989297E-215</c:v>
                </c:pt>
                <c:pt idx="63">
                  <c:v>2.5581385560882402E-215</c:v>
                </c:pt>
                <c:pt idx="64">
                  <c:v>-2.0737455092613899E-215</c:v>
                </c:pt>
                <c:pt idx="65">
                  <c:v>-4.7430786553049997E-216</c:v>
                </c:pt>
                <c:pt idx="66">
                  <c:v>3.3132778115473502E-215</c:v>
                </c:pt>
                <c:pt idx="67">
                  <c:v>-1.07098222760969E-215</c:v>
                </c:pt>
                <c:pt idx="68">
                  <c:v>-3.6364682985556901E-215</c:v>
                </c:pt>
                <c:pt idx="69">
                  <c:v>3.1149661653652599E-215</c:v>
                </c:pt>
                <c:pt idx="70">
                  <c:v>2.90267953578297E-215</c:v>
                </c:pt>
                <c:pt idx="71">
                  <c:v>-5.3199308552329103E-215</c:v>
                </c:pt>
                <c:pt idx="72">
                  <c:v>-8.8385172502287406E-216</c:v>
                </c:pt>
                <c:pt idx="73">
                  <c:v>7.0314655496459502E-215</c:v>
                </c:pt>
                <c:pt idx="74">
                  <c:v>-2.4923618587507602E-215</c:v>
                </c:pt>
                <c:pt idx="75">
                  <c:v>-7.1928055479948996E-215</c:v>
                </c:pt>
                <c:pt idx="76">
                  <c:v>6.9488473570063499E-215</c:v>
                </c:pt>
                <c:pt idx="77">
                  <c:v>-4.9813281886331598E-215</c:v>
                </c:pt>
                <c:pt idx="78">
                  <c:v>1.9475879000275599E-215</c:v>
                </c:pt>
                <c:pt idx="79">
                  <c:v>-4.5069105382168002E-216</c:v>
                </c:pt>
                <c:pt idx="80">
                  <c:v>4.26721447307702E-217</c:v>
                </c:pt>
                <c:pt idx="81">
                  <c:v>2.2781572273750701E-222</c:v>
                </c:pt>
                <c:pt idx="82">
                  <c:v>-7.0734200276975692E-223</c:v>
                </c:pt>
                <c:pt idx="83">
                  <c:v>1.50517366274421E-223</c:v>
                </c:pt>
                <c:pt idx="84">
                  <c:v>-1.9720034205604601E-224</c:v>
                </c:pt>
                <c:pt idx="85">
                  <c:v>1.17292040036325E-225</c:v>
                </c:pt>
                <c:pt idx="86">
                  <c:v>2.6659204357231201E-230</c:v>
                </c:pt>
                <c:pt idx="87">
                  <c:v>-5.5144229626593501E-231</c:v>
                </c:pt>
                <c:pt idx="88">
                  <c:v>8.0628800024027203E-232</c:v>
                </c:pt>
                <c:pt idx="89">
                  <c:v>-7.4357671193318301E-233</c:v>
                </c:pt>
                <c:pt idx="90">
                  <c:v>3.2234496893416202E-234</c:v>
                </c:pt>
                <c:pt idx="91">
                  <c:v>2.09936263825188E-238</c:v>
                </c:pt>
                <c:pt idx="92">
                  <c:v>-3.2639020189719602E-239</c:v>
                </c:pt>
                <c:pt idx="93">
                  <c:v>3.6415474892939098E-240</c:v>
                </c:pt>
                <c:pt idx="94">
                  <c:v>-2.5976810196028801E-241</c:v>
                </c:pt>
                <c:pt idx="95">
                  <c:v>8.8554989930089902E-243</c:v>
                </c:pt>
                <c:pt idx="96">
                  <c:v>1.3239325748080299E-246</c:v>
                </c:pt>
                <c:pt idx="97">
                  <c:v>-1.6479375563781801E-247</c:v>
                </c:pt>
                <c:pt idx="98">
                  <c:v>1.48787177455629E-248</c:v>
                </c:pt>
                <c:pt idx="99">
                  <c:v>-8.6614034194670206E-250</c:v>
                </c:pt>
              </c:numCache>
            </c:numRef>
          </c:yVal>
          <c:smooth val="0"/>
          <c:extLst>
            <c:ext xmlns:c16="http://schemas.microsoft.com/office/drawing/2014/chart" uri="{C3380CC4-5D6E-409C-BE32-E72D297353CC}">
              <c16:uniqueId val="{00000006-05B1-4C8F-A5D2-C74BC92F11DF}"/>
            </c:ext>
          </c:extLst>
        </c:ser>
        <c:ser>
          <c:idx val="7"/>
          <c:order val="7"/>
          <c:tx>
            <c:strRef>
              <c:f>dynamicR!$Q$19</c:f>
              <c:strCache>
                <c:ptCount val="1"/>
                <c:pt idx="0">
                  <c:v>w0RD</c:v>
                </c:pt>
              </c:strCache>
            </c:strRef>
          </c:tx>
          <c:spPr>
            <a:ln w="19050" cap="rnd">
              <a:solidFill>
                <a:schemeClr val="accent2">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dynamicR!$Q$20:$Q$119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1.6286362544900601E-16</c:v>
                </c:pt>
                <c:pt idx="52">
                  <c:v>1.5960782142857E-16</c:v>
                </c:pt>
                <c:pt idx="53">
                  <c:v>1.56417212630312E-16</c:v>
                </c:pt>
                <c:pt idx="54">
                  <c:v>1.53290453273066E-16</c:v>
                </c:pt>
                <c:pt idx="55">
                  <c:v>1.5022618467305899E-16</c:v>
                </c:pt>
                <c:pt idx="56">
                  <c:v>1.47223155452285E-16</c:v>
                </c:pt>
                <c:pt idx="57">
                  <c:v>1.4428015142679299E-16</c:v>
                </c:pt>
                <c:pt idx="58">
                  <c:v>1.4139597714506801E-16</c:v>
                </c:pt>
                <c:pt idx="59">
                  <c:v>1.3856945812387299E-16</c:v>
                </c:pt>
                <c:pt idx="60">
                  <c:v>1.3579943989102299E-16</c:v>
                </c:pt>
                <c:pt idx="61">
                  <c:v>1.3308479089104199E-16</c:v>
                </c:pt>
                <c:pt idx="62">
                  <c:v>1.3042440629741501E-16</c:v>
                </c:pt>
                <c:pt idx="63">
                  <c:v>1.2781720378388299E-16</c:v>
                </c:pt>
                <c:pt idx="64">
                  <c:v>1.2526212065236401E-16</c:v>
                </c:pt>
                <c:pt idx="65">
                  <c:v>1.22758114392384E-16</c:v>
                </c:pt>
                <c:pt idx="66">
                  <c:v>1.2030416346255101E-16</c:v>
                </c:pt>
                <c:pt idx="67">
                  <c:v>1.1789926716749001E-16</c:v>
                </c:pt>
                <c:pt idx="68">
                  <c:v>1.15542445010147E-16</c:v>
                </c:pt>
                <c:pt idx="69">
                  <c:v>1.1323273606607101E-16</c:v>
                </c:pt>
                <c:pt idx="70">
                  <c:v>1.10969198544577E-16</c:v>
                </c:pt>
                <c:pt idx="71">
                  <c:v>1.08750909450567E-16</c:v>
                </c:pt>
                <c:pt idx="72">
                  <c:v>1.06576964247131E-16</c:v>
                </c:pt>
                <c:pt idx="73">
                  <c:v>1.0444647649297E-16</c:v>
                </c:pt>
                <c:pt idx="74">
                  <c:v>1.02358577472309E-16</c:v>
                </c:pt>
                <c:pt idx="75">
                  <c:v>1.00312415849613E-16</c:v>
                </c:pt>
                <c:pt idx="76">
                  <c:v>9.8307157320291503E-17</c:v>
                </c:pt>
                <c:pt idx="77">
                  <c:v>9.6341984212381604E-17</c:v>
                </c:pt>
                <c:pt idx="78">
                  <c:v>9.4416095169915501E-17</c:v>
                </c:pt>
                <c:pt idx="79">
                  <c:v>9.2528704880184005E-17</c:v>
                </c:pt>
                <c:pt idx="80">
                  <c:v>9.0679043761982897E-17</c:v>
                </c:pt>
                <c:pt idx="81">
                  <c:v>8.8866357621359402E-17</c:v>
                </c:pt>
                <c:pt idx="82">
                  <c:v>8.7089907324709405E-17</c:v>
                </c:pt>
                <c:pt idx="83">
                  <c:v>8.53489685051321E-17</c:v>
                </c:pt>
                <c:pt idx="84">
                  <c:v>8.3642831279940794E-17</c:v>
                </c:pt>
                <c:pt idx="85">
                  <c:v>8.1970799963251995E-17</c:v>
                </c:pt>
                <c:pt idx="86">
                  <c:v>8.0332192776193801E-17</c:v>
                </c:pt>
                <c:pt idx="87">
                  <c:v>7.8726341565888902E-17</c:v>
                </c:pt>
                <c:pt idx="88">
                  <c:v>7.71525915345846E-17</c:v>
                </c:pt>
                <c:pt idx="89">
                  <c:v>7.5610300974880204E-17</c:v>
                </c:pt>
                <c:pt idx="90">
                  <c:v>7.4098841008234801E-17</c:v>
                </c:pt>
                <c:pt idx="91">
                  <c:v>7.2617595327487395E-17</c:v>
                </c:pt>
                <c:pt idx="92">
                  <c:v>7.1165959945041201E-17</c:v>
                </c:pt>
                <c:pt idx="93">
                  <c:v>6.9743342946762896E-17</c:v>
                </c:pt>
                <c:pt idx="94">
                  <c:v>6.8349164251268998E-17</c:v>
                </c:pt>
                <c:pt idx="95">
                  <c:v>6.6982855373214603E-17</c:v>
                </c:pt>
                <c:pt idx="96">
                  <c:v>6.5643859191297296E-17</c:v>
                </c:pt>
                <c:pt idx="97">
                  <c:v>6.4331629721028602E-17</c:v>
                </c:pt>
                <c:pt idx="98">
                  <c:v>6.3045631892314604E-17</c:v>
                </c:pt>
                <c:pt idx="99">
                  <c:v>6.1785341331125903E-17</c:v>
                </c:pt>
              </c:numCache>
            </c:numRef>
          </c:yVal>
          <c:smooth val="0"/>
          <c:extLst>
            <c:ext xmlns:c16="http://schemas.microsoft.com/office/drawing/2014/chart" uri="{C3380CC4-5D6E-409C-BE32-E72D297353CC}">
              <c16:uniqueId val="{00000007-05B1-4C8F-A5D2-C74BC92F11DF}"/>
            </c:ext>
          </c:extLst>
        </c:ser>
        <c:ser>
          <c:idx val="8"/>
          <c:order val="8"/>
          <c:tx>
            <c:strRef>
              <c:f>dynamicR!$R$19</c:f>
              <c:strCache>
                <c:ptCount val="1"/>
                <c:pt idx="0">
                  <c:v>w0RS</c:v>
                </c:pt>
              </c:strCache>
            </c:strRef>
          </c:tx>
          <c:spPr>
            <a:ln w="19050" cap="rnd">
              <a:solidFill>
                <a:schemeClr val="accent3">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dynamicR!$R$20:$R$119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-9.8913150060480194E-215</c:v>
                </c:pt>
                <c:pt idx="52">
                  <c:v>2.3828188710144101E-216</c:v>
                </c:pt>
                <c:pt idx="53">
                  <c:v>-8.0702700617319001E-216</c:v>
                </c:pt>
                <c:pt idx="54">
                  <c:v>1.0612171859827401E-214</c:v>
                </c:pt>
                <c:pt idx="55">
                  <c:v>-6.6806318730382697E-215</c:v>
                </c:pt>
                <c:pt idx="56">
                  <c:v>2.17799934116049E-214</c:v>
                </c:pt>
                <c:pt idx="57">
                  <c:v>-6.3472241019663904E-215</c:v>
                </c:pt>
                <c:pt idx="58">
                  <c:v>1.1816978781036899E-215</c:v>
                </c:pt>
                <c:pt idx="59">
                  <c:v>7.1976825313225803E-217</c:v>
                </c:pt>
                <c:pt idx="60">
                  <c:v>-1.33559889063704E-216</c:v>
                </c:pt>
                <c:pt idx="61">
                  <c:v>6.3576882766780103E-217</c:v>
                </c:pt>
                <c:pt idx="62">
                  <c:v>1.58068157516631E-215</c:v>
                </c:pt>
                <c:pt idx="63">
                  <c:v>1.2276305350196701E-215</c:v>
                </c:pt>
                <c:pt idx="64">
                  <c:v>-9.9517412884853096E-216</c:v>
                </c:pt>
                <c:pt idx="65">
                  <c:v>-2.2761660713785801E-216</c:v>
                </c:pt>
                <c:pt idx="66">
                  <c:v>1.59001591324208E-215</c:v>
                </c:pt>
                <c:pt idx="67">
                  <c:v>-5.1395593172532102E-216</c:v>
                </c:pt>
                <c:pt idx="68">
                  <c:v>-1.7451124812270799E-215</c:v>
                </c:pt>
                <c:pt idx="69">
                  <c:v>1.4948477169284401E-215</c:v>
                </c:pt>
                <c:pt idx="70">
                  <c:v>1.39297303620364E-215</c:v>
                </c:pt>
                <c:pt idx="71">
                  <c:v>-2.5529928965471798E-215</c:v>
                </c:pt>
                <c:pt idx="72">
                  <c:v>-4.2415347811623303E-216</c:v>
                </c:pt>
                <c:pt idx="73">
                  <c:v>3.3743449095592898E-215</c:v>
                </c:pt>
                <c:pt idx="74">
                  <c:v>-1.1960648162854199E-215</c:v>
                </c:pt>
                <c:pt idx="75">
                  <c:v>-3.4517707034132001E-215</c:v>
                </c:pt>
                <c:pt idx="76">
                  <c:v>3.33469708993995E-215</c:v>
                </c:pt>
                <c:pt idx="77">
                  <c:v>-2.3905001450236498E-215</c:v>
                </c:pt>
                <c:pt idx="78">
                  <c:v>9.3463208629497503E-216</c:v>
                </c:pt>
                <c:pt idx="79">
                  <c:v>-2.1628308529843E-216</c:v>
                </c:pt>
                <c:pt idx="80">
                  <c:v>2.0478026001216601E-217</c:v>
                </c:pt>
                <c:pt idx="81">
                  <c:v>1.0932696982209699E-222</c:v>
                </c:pt>
                <c:pt idx="82">
                  <c:v>-3.3944787999124101E-223</c:v>
                </c:pt>
                <c:pt idx="83">
                  <c:v>7.2232117746584197E-224</c:v>
                </c:pt>
                <c:pt idx="84">
                  <c:v>-9.4634943906534496E-225</c:v>
                </c:pt>
                <c:pt idx="85">
                  <c:v>5.6287587459723201E-226</c:v>
                </c:pt>
                <c:pt idx="86">
                  <c:v>1.28168816498424E-230</c:v>
                </c:pt>
                <c:pt idx="87">
                  <c:v>-2.6463275212801899E-231</c:v>
                </c:pt>
                <c:pt idx="88">
                  <c:v>3.8693111043684202E-232</c:v>
                </c:pt>
                <c:pt idx="89">
                  <c:v>-3.5683657565924699E-233</c:v>
                </c:pt>
                <c:pt idx="90">
                  <c:v>1.5469091761126101E-234</c:v>
                </c:pt>
                <c:pt idx="91">
                  <c:v>1.00854394784744E-238</c:v>
                </c:pt>
                <c:pt idx="92">
                  <c:v>-1.56632054307778E-239</c:v>
                </c:pt>
                <c:pt idx="93">
                  <c:v>1.7475495209654601E-240</c:v>
                </c:pt>
                <c:pt idx="94">
                  <c:v>-1.24660694263477E-241</c:v>
                </c:pt>
                <c:pt idx="95">
                  <c:v>4.2496756985257198E-243</c:v>
                </c:pt>
                <c:pt idx="96">
                  <c:v>6.3519108765918695E-247</c:v>
                </c:pt>
                <c:pt idx="97">
                  <c:v>-7.9083157257351495E-248</c:v>
                </c:pt>
                <c:pt idx="98">
                  <c:v>7.1401749220352799E-249</c:v>
                </c:pt>
                <c:pt idx="99">
                  <c:v>-4.1565318999178297E-250</c:v>
                </c:pt>
              </c:numCache>
            </c:numRef>
          </c:yVal>
          <c:smooth val="0"/>
          <c:extLst>
            <c:ext xmlns:c16="http://schemas.microsoft.com/office/drawing/2014/chart" uri="{C3380CC4-5D6E-409C-BE32-E72D297353CC}">
              <c16:uniqueId val="{00000008-05B1-4C8F-A5D2-C74BC92F11DF}"/>
            </c:ext>
          </c:extLst>
        </c:ser>
        <c:ser>
          <c:idx val="9"/>
          <c:order val="9"/>
          <c:tx>
            <c:strRef>
              <c:f>dynamicR!$S$19</c:f>
              <c:strCache>
                <c:ptCount val="1"/>
                <c:pt idx="0">
                  <c:v>w0RA</c:v>
                </c:pt>
              </c:strCache>
            </c:strRef>
          </c:tx>
          <c:spPr>
            <a:ln w="19050" cap="rnd">
              <a:solidFill>
                <a:schemeClr val="accent4">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dynamicR!$S$20:$S$119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-9.4216229811839799E-101</c:v>
                </c:pt>
                <c:pt idx="52">
                  <c:v>2.2696823282969202E-102</c:v>
                </c:pt>
                <c:pt idx="53">
                  <c:v>-7.6869670816933893E-102</c:v>
                </c:pt>
                <c:pt idx="54">
                  <c:v>1.01082540596818E-100</c:v>
                </c:pt>
                <c:pt idx="55">
                  <c:v>-6.3633885434403206E-101</c:v>
                </c:pt>
                <c:pt idx="56">
                  <c:v>2.0745719403998399E-100</c:v>
                </c:pt>
                <c:pt idx="57">
                  <c:v>-6.0457939910393303E-101</c:v>
                </c:pt>
                <c:pt idx="58">
                  <c:v>1.1255691556208901E-101</c:v>
                </c:pt>
                <c:pt idx="59">
                  <c:v>6.8563459108256302E-103</c:v>
                </c:pt>
                <c:pt idx="60">
                  <c:v>-1.2722154561945699E-102</c:v>
                </c:pt>
                <c:pt idx="61">
                  <c:v>6.0550336894469095E-103</c:v>
                </c:pt>
                <c:pt idx="62">
                  <c:v>1.50561864522347E-101</c:v>
                </c:pt>
                <c:pt idx="63">
                  <c:v>1.16933098195215E-101</c:v>
                </c:pt>
                <c:pt idx="64">
                  <c:v>-9.4792228995694903E-102</c:v>
                </c:pt>
                <c:pt idx="65">
                  <c:v>-2.1680615028161301E-102</c:v>
                </c:pt>
                <c:pt idx="66">
                  <c:v>1.51451509039251E-101</c:v>
                </c:pt>
                <c:pt idx="67">
                  <c:v>-4.8955315931289497E-102</c:v>
                </c:pt>
                <c:pt idx="68">
                  <c:v>-1.6622450466541799E-101</c:v>
                </c:pt>
                <c:pt idx="69">
                  <c:v>1.42386640537398E-101</c:v>
                </c:pt>
                <c:pt idx="70">
                  <c:v>1.3268259958767201E-101</c:v>
                </c:pt>
                <c:pt idx="71">
                  <c:v>-2.4317634606645E-101</c:v>
                </c:pt>
                <c:pt idx="72">
                  <c:v>-4.0401151042456501E-102</c:v>
                </c:pt>
                <c:pt idx="73">
                  <c:v>3.2141112894597E-101</c:v>
                </c:pt>
                <c:pt idx="74">
                  <c:v>-1.1392677523013199E-101</c:v>
                </c:pt>
                <c:pt idx="75">
                  <c:v>-3.28785964391914E-101</c:v>
                </c:pt>
                <c:pt idx="76">
                  <c:v>3.1763431836271397E-101</c:v>
                </c:pt>
                <c:pt idx="77">
                  <c:v>-2.2769778275294499E-101</c:v>
                </c:pt>
                <c:pt idx="78">
                  <c:v>8.9024042482335405E-102</c:v>
                </c:pt>
                <c:pt idx="79">
                  <c:v>-2.06004739288896E-102</c:v>
                </c:pt>
                <c:pt idx="80">
                  <c:v>1.95009608562511E-103</c:v>
                </c:pt>
                <c:pt idx="81">
                  <c:v>2.1004749222608501E-107</c:v>
                </c:pt>
                <c:pt idx="82">
                  <c:v>-6.5216239156040496E-108</c:v>
                </c:pt>
                <c:pt idx="83">
                  <c:v>1.3876865272576E-108</c:v>
                </c:pt>
                <c:pt idx="84">
                  <c:v>-1.8177307661385299E-109</c:v>
                </c:pt>
                <c:pt idx="85">
                  <c:v>1.07972547882224E-110</c:v>
                </c:pt>
                <c:pt idx="86">
                  <c:v>4.9740143292574197E-114</c:v>
                </c:pt>
                <c:pt idx="87">
                  <c:v>-1.0254417202987901E-114</c:v>
                </c:pt>
                <c:pt idx="88">
                  <c:v>1.4990551544808099E-115</c:v>
                </c:pt>
                <c:pt idx="89">
                  <c:v>-1.3814316010386E-116</c:v>
                </c:pt>
                <c:pt idx="90">
                  <c:v>5.9577921515649902E-118</c:v>
                </c:pt>
                <c:pt idx="91">
                  <c:v>7.8966256347752006E-121</c:v>
                </c:pt>
                <c:pt idx="92">
                  <c:v>-1.22397719626448E-121</c:v>
                </c:pt>
                <c:pt idx="93">
                  <c:v>1.36484295604774E-122</c:v>
                </c:pt>
                <c:pt idx="94">
                  <c:v>-9.7151106186356903E-124</c:v>
                </c:pt>
                <c:pt idx="95">
                  <c:v>3.2627258635364899E-125</c:v>
                </c:pt>
                <c:pt idx="96">
                  <c:v>1.0020552358964699E-127</c:v>
                </c:pt>
                <c:pt idx="97">
                  <c:v>-1.24592863604664E-128</c:v>
                </c:pt>
                <c:pt idx="98">
                  <c:v>1.1234347920249001E-129</c:v>
                </c:pt>
                <c:pt idx="99">
                  <c:v>-6.5062952113703298E-131</c:v>
                </c:pt>
              </c:numCache>
            </c:numRef>
          </c:yVal>
          <c:smooth val="0"/>
          <c:extLst>
            <c:ext xmlns:c16="http://schemas.microsoft.com/office/drawing/2014/chart" uri="{C3380CC4-5D6E-409C-BE32-E72D297353CC}">
              <c16:uniqueId val="{00000009-05B1-4C8F-A5D2-C74BC92F11DF}"/>
            </c:ext>
          </c:extLst>
        </c:ser>
        <c:ser>
          <c:idx val="10"/>
          <c:order val="10"/>
          <c:tx>
            <c:strRef>
              <c:f>dynamicR!$T$19</c:f>
              <c:strCache>
                <c:ptCount val="1"/>
                <c:pt idx="0">
                  <c:v>w0RP</c:v>
                </c:pt>
              </c:strCache>
            </c:strRef>
          </c:tx>
          <c:spPr>
            <a:ln w="19050" cap="rnd">
              <a:solidFill>
                <a:schemeClr val="accent5">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dynamicR!$T$20:$T$119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2.39192705924868E-108</c:v>
                </c:pt>
                <c:pt idx="52">
                  <c:v>-5.7621801049452198E-110</c:v>
                </c:pt>
                <c:pt idx="53">
                  <c:v>1.9515431733091399E-109</c:v>
                </c:pt>
                <c:pt idx="54">
                  <c:v>-2.5662462253026699E-108</c:v>
                </c:pt>
                <c:pt idx="55">
                  <c:v>1.61551430180149E-108</c:v>
                </c:pt>
                <c:pt idx="56">
                  <c:v>-5.2668493181624498E-108</c:v>
                </c:pt>
                <c:pt idx="57">
                  <c:v>1.5348854968942499E-108</c:v>
                </c:pt>
                <c:pt idx="58">
                  <c:v>-2.8575613524535101E-109</c:v>
                </c:pt>
                <c:pt idx="59">
                  <c:v>-1.7406416558717699E-110</c:v>
                </c:pt>
                <c:pt idx="60">
                  <c:v>3.2298350486221402E-110</c:v>
                </c:pt>
                <c:pt idx="61">
                  <c:v>-1.53726746370025E-110</c:v>
                </c:pt>
                <c:pt idx="62">
                  <c:v>-3.8224112464512302E-109</c:v>
                </c:pt>
                <c:pt idx="63">
                  <c:v>-2.9686571449881302E-109</c:v>
                </c:pt>
                <c:pt idx="64">
                  <c:v>2.4065481775647601E-109</c:v>
                </c:pt>
                <c:pt idx="65">
                  <c:v>5.5042050008272503E-110</c:v>
                </c:pt>
                <c:pt idx="66">
                  <c:v>-3.8449945507250298E-109</c:v>
                </c:pt>
                <c:pt idx="67">
                  <c:v>1.2428583096449901E-109</c:v>
                </c:pt>
                <c:pt idx="68">
                  <c:v>4.2200468403779502E-109</c:v>
                </c:pt>
                <c:pt idx="69">
                  <c:v>-3.6148587865290701E-109</c:v>
                </c:pt>
                <c:pt idx="70">
                  <c:v>-3.36849778870556E-109</c:v>
                </c:pt>
                <c:pt idx="71">
                  <c:v>6.1736717274787695E-109</c:v>
                </c:pt>
                <c:pt idx="72">
                  <c:v>1.02569004936815E-109</c:v>
                </c:pt>
                <c:pt idx="73">
                  <c:v>-8.1598686967505302E-109</c:v>
                </c:pt>
                <c:pt idx="74">
                  <c:v>2.8923319377685199E-109</c:v>
                </c:pt>
                <c:pt idx="75">
                  <c:v>8.3470987367565497E-109</c:v>
                </c:pt>
                <c:pt idx="76">
                  <c:v>-8.0639858970354802E-109</c:v>
                </c:pt>
                <c:pt idx="77">
                  <c:v>5.7807120735254698E-109</c:v>
                </c:pt>
                <c:pt idx="78">
                  <c:v>-2.2601148843213698E-109</c:v>
                </c:pt>
                <c:pt idx="79">
                  <c:v>5.2300129396561001E-110</c:v>
                </c:pt>
                <c:pt idx="80">
                  <c:v>-4.95106438794417E-111</c:v>
                </c:pt>
                <c:pt idx="81">
                  <c:v>-4.3386470932433196E-115</c:v>
                </c:pt>
                <c:pt idx="82">
                  <c:v>1.34708205909208E-115</c:v>
                </c:pt>
                <c:pt idx="83">
                  <c:v>-2.86638090750447E-116</c:v>
                </c:pt>
                <c:pt idx="84">
                  <c:v>3.7548132484942396E-117</c:v>
                </c:pt>
                <c:pt idx="85">
                  <c:v>-2.2309270946132298E-118</c:v>
                </c:pt>
                <c:pt idx="86">
                  <c:v>-8.3589267093030099E-122</c:v>
                </c:pt>
                <c:pt idx="87">
                  <c:v>1.7233381285387601E-122</c:v>
                </c:pt>
                <c:pt idx="88">
                  <c:v>-2.5193787690293E-123</c:v>
                </c:pt>
                <c:pt idx="89">
                  <c:v>2.3220348003642202E-124</c:v>
                </c:pt>
                <c:pt idx="90">
                  <c:v>-1.00245512630141E-125</c:v>
                </c:pt>
                <c:pt idx="91">
                  <c:v>-1.07971990023069E-128</c:v>
                </c:pt>
                <c:pt idx="92">
                  <c:v>1.6736541087104098E-129</c:v>
                </c:pt>
                <c:pt idx="93">
                  <c:v>-1.8664742788288101E-130</c:v>
                </c:pt>
                <c:pt idx="94">
                  <c:v>1.3291396771425699E-131</c:v>
                </c:pt>
                <c:pt idx="95">
                  <c:v>-4.4770034200234703E-133</c:v>
                </c:pt>
                <c:pt idx="96">
                  <c:v>-1.1148001110930001E-135</c:v>
                </c:pt>
                <c:pt idx="97">
                  <c:v>1.38624428445745E-136</c:v>
                </c:pt>
                <c:pt idx="98">
                  <c:v>-1.2502771244024201E-137</c:v>
                </c:pt>
                <c:pt idx="99">
                  <c:v>7.2482352810931003E-139</c:v>
                </c:pt>
              </c:numCache>
            </c:numRef>
          </c:yVal>
          <c:smooth val="0"/>
          <c:extLst>
            <c:ext xmlns:c16="http://schemas.microsoft.com/office/drawing/2014/chart" uri="{C3380CC4-5D6E-409C-BE32-E72D297353CC}">
              <c16:uniqueId val="{0000000A-05B1-4C8F-A5D2-C74BC92F11DF}"/>
            </c:ext>
          </c:extLst>
        </c:ser>
        <c:ser>
          <c:idx val="11"/>
          <c:order val="11"/>
          <c:tx>
            <c:strRef>
              <c:f>dynamicR!$U$19</c:f>
              <c:strCache>
                <c:ptCount val="1"/>
                <c:pt idx="0">
                  <c:v>w1RD</c:v>
                </c:pt>
              </c:strCache>
            </c:strRef>
          </c:tx>
          <c:spPr>
            <a:ln w="19050" cap="rnd">
              <a:solidFill>
                <a:schemeClr val="accent6">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dynamicR!$U$20:$U$119</c:f>
              <c:numCache>
                <c:formatCode>0.00</c:formatCode>
                <c:ptCount val="100"/>
                <c:pt idx="0">
                  <c:v>0</c:v>
                </c:pt>
                <c:pt idx="1">
                  <c:v>0.999999999999999</c:v>
                </c:pt>
                <c:pt idx="2">
                  <c:v>1</c:v>
                </c:pt>
                <c:pt idx="3">
                  <c:v>1</c:v>
                </c:pt>
                <c:pt idx="4">
                  <c:v>1</c:v>
                </c:pt>
                <c:pt idx="5">
                  <c:v>1</c:v>
                </c:pt>
                <c:pt idx="6">
                  <c:v>1</c:v>
                </c:pt>
                <c:pt idx="7">
                  <c:v>1</c:v>
                </c:pt>
                <c:pt idx="8">
                  <c:v>1</c:v>
                </c:pt>
                <c:pt idx="9">
                  <c:v>1</c:v>
                </c:pt>
                <c:pt idx="10">
                  <c:v>1</c:v>
                </c:pt>
                <c:pt idx="11">
                  <c:v>1</c:v>
                </c:pt>
                <c:pt idx="12">
                  <c:v>0.999999999999999</c:v>
                </c:pt>
                <c:pt idx="13">
                  <c:v>0.999999999999999</c:v>
                </c:pt>
                <c:pt idx="14">
                  <c:v>1</c:v>
                </c:pt>
                <c:pt idx="15">
                  <c:v>0.999999999999999</c:v>
                </c:pt>
                <c:pt idx="16">
                  <c:v>0.999999999999998</c:v>
                </c:pt>
                <c:pt idx="17">
                  <c:v>1</c:v>
                </c:pt>
                <c:pt idx="18">
                  <c:v>1</c:v>
                </c:pt>
                <c:pt idx="19">
                  <c:v>0.999999999999996</c:v>
                </c:pt>
                <c:pt idx="20">
                  <c:v>1</c:v>
                </c:pt>
                <c:pt idx="21">
                  <c:v>1</c:v>
                </c:pt>
                <c:pt idx="22">
                  <c:v>0.99999999999999301</c:v>
                </c:pt>
                <c:pt idx="23">
                  <c:v>1</c:v>
                </c:pt>
                <c:pt idx="24">
                  <c:v>0.999999999999998</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9.2880362314619103E-18</c:v>
                </c:pt>
                <c:pt idx="52">
                  <c:v>9.1022787159045293E-18</c:v>
                </c:pt>
                <c:pt idx="53">
                  <c:v>8.9203297975153502E-18</c:v>
                </c:pt>
                <c:pt idx="54">
                  <c:v>8.7419211479075095E-18</c:v>
                </c:pt>
                <c:pt idx="55">
                  <c:v>8.5673090313502207E-18</c:v>
                </c:pt>
                <c:pt idx="56">
                  <c:v>8.3958187090084402E-18</c:v>
                </c:pt>
                <c:pt idx="57">
                  <c:v>8.2282096602928103E-18</c:v>
                </c:pt>
                <c:pt idx="58">
                  <c:v>8.0636671850008496E-18</c:v>
                </c:pt>
                <c:pt idx="59">
                  <c:v>7.9024824069167299E-18</c:v>
                </c:pt>
                <c:pt idx="60">
                  <c:v>7.7445126427385198E-18</c:v>
                </c:pt>
                <c:pt idx="61">
                  <c:v>7.5896972424387304E-18</c:v>
                </c:pt>
                <c:pt idx="62">
                  <c:v>7.4379657433517601E-18</c:v>
                </c:pt>
                <c:pt idx="63">
                  <c:v>7.2892823600603898E-18</c:v>
                </c:pt>
                <c:pt idx="64">
                  <c:v>7.14358644328192E-18</c:v>
                </c:pt>
                <c:pt idx="65">
                  <c:v>7.0007791136614797E-18</c:v>
                </c:pt>
                <c:pt idx="66">
                  <c:v>6.8608179151388699E-18</c:v>
                </c:pt>
                <c:pt idx="67">
                  <c:v>6.7236860737941503E-18</c:v>
                </c:pt>
                <c:pt idx="68">
                  <c:v>6.5892887382138701E-18</c:v>
                </c:pt>
                <c:pt idx="69">
                  <c:v>6.4575419766327197E-18</c:v>
                </c:pt>
                <c:pt idx="70">
                  <c:v>6.3284554514984504E-18</c:v>
                </c:pt>
                <c:pt idx="71">
                  <c:v>6.2019805454978101E-18</c:v>
                </c:pt>
                <c:pt idx="72">
                  <c:v>6.0779852728639102E-18</c:v>
                </c:pt>
                <c:pt idx="73">
                  <c:v>5.9564548196874701E-18</c:v>
                </c:pt>
                <c:pt idx="74">
                  <c:v>5.8374209837688202E-18</c:v>
                </c:pt>
                <c:pt idx="75">
                  <c:v>5.7207486374883802E-18</c:v>
                </c:pt>
                <c:pt idx="76">
                  <c:v>5.6063356870795304E-18</c:v>
                </c:pt>
                <c:pt idx="77">
                  <c:v>5.4943100970108098E-18</c:v>
                </c:pt>
                <c:pt idx="78">
                  <c:v>5.3844516439723798E-18</c:v>
                </c:pt>
                <c:pt idx="79">
                  <c:v>5.2768248165121903E-18</c:v>
                </c:pt>
                <c:pt idx="80">
                  <c:v>5.1713385732657001E-18</c:v>
                </c:pt>
                <c:pt idx="81">
                  <c:v>5.0679629532820801E-18</c:v>
                </c:pt>
                <c:pt idx="82">
                  <c:v>4.9666537149227997E-18</c:v>
                </c:pt>
                <c:pt idx="83">
                  <c:v>4.8673696431229503E-18</c:v>
                </c:pt>
                <c:pt idx="84">
                  <c:v>4.7700702777510898E-18</c:v>
                </c:pt>
                <c:pt idx="85">
                  <c:v>4.6747159386912998E-18</c:v>
                </c:pt>
                <c:pt idx="86">
                  <c:v>4.5812677456983603E-18</c:v>
                </c:pt>
                <c:pt idx="87">
                  <c:v>4.4896875945813403E-18</c:v>
                </c:pt>
                <c:pt idx="88">
                  <c:v>4.3999381428475297E-18</c:v>
                </c:pt>
                <c:pt idx="89">
                  <c:v>4.3119827945433602E-18</c:v>
                </c:pt>
                <c:pt idx="90">
                  <c:v>4.2257856853296097E-18</c:v>
                </c:pt>
                <c:pt idx="91">
                  <c:v>4.1413116678012797E-18</c:v>
                </c:pt>
                <c:pt idx="92">
                  <c:v>4.0585262971262203E-18</c:v>
                </c:pt>
                <c:pt idx="93">
                  <c:v>3.9773958170102998E-18</c:v>
                </c:pt>
                <c:pt idx="94">
                  <c:v>3.8978871459697504E-18</c:v>
                </c:pt>
                <c:pt idx="95">
                  <c:v>3.81996786383173E-18</c:v>
                </c:pt>
                <c:pt idx="96">
                  <c:v>3.7436061985038198E-18</c:v>
                </c:pt>
                <c:pt idx="97">
                  <c:v>3.6687710130153902E-18</c:v>
                </c:pt>
                <c:pt idx="98">
                  <c:v>3.5954317928332401E-18</c:v>
                </c:pt>
                <c:pt idx="99">
                  <c:v>3.5235586334104697E-18</c:v>
                </c:pt>
              </c:numCache>
            </c:numRef>
          </c:yVal>
          <c:smooth val="0"/>
          <c:extLst>
            <c:ext xmlns:c16="http://schemas.microsoft.com/office/drawing/2014/chart" uri="{C3380CC4-5D6E-409C-BE32-E72D297353CC}">
              <c16:uniqueId val="{0000000B-05B1-4C8F-A5D2-C74BC92F11DF}"/>
            </c:ext>
          </c:extLst>
        </c:ser>
        <c:ser>
          <c:idx val="12"/>
          <c:order val="12"/>
          <c:tx>
            <c:strRef>
              <c:f>dynamicR!$V$19</c:f>
              <c:strCache>
                <c:ptCount val="1"/>
                <c:pt idx="0">
                  <c:v>w1RS</c:v>
                </c:pt>
              </c:strCache>
            </c:strRef>
          </c:tx>
          <c:spPr>
            <a:ln w="19050" cap="rnd">
              <a:solidFill>
                <a:schemeClr val="accent1">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dynamicR!$V$20:$V$119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-1.0276406135876599E-217</c:v>
                </c:pt>
                <c:pt idx="52">
                  <c:v>2.4755871005807499E-219</c:v>
                </c:pt>
                <c:pt idx="53">
                  <c:v>-8.3844631351487697E-219</c:v>
                </c:pt>
                <c:pt idx="54">
                  <c:v>1.1025327483552301E-217</c:v>
                </c:pt>
                <c:pt idx="55">
                  <c:v>-6.9407238805596898E-218</c:v>
                </c:pt>
                <c:pt idx="56">
                  <c:v>2.2627937359064099E-217</c:v>
                </c:pt>
                <c:pt idx="57">
                  <c:v>-6.5943357572330896E-218</c:v>
                </c:pt>
                <c:pt idx="58">
                  <c:v>1.2277040236893699E-218</c:v>
                </c:pt>
                <c:pt idx="59">
                  <c:v>7.4779044362194795E-220</c:v>
                </c:pt>
                <c:pt idx="60">
                  <c:v>-1.38759674740338E-219</c:v>
                </c:pt>
                <c:pt idx="61">
                  <c:v>6.6052073235206598E-220</c:v>
                </c:pt>
                <c:pt idx="62">
                  <c:v>1.6422210498655999E-218</c:v>
                </c:pt>
                <c:pt idx="63">
                  <c:v>1.27542494183559E-218</c:v>
                </c:pt>
                <c:pt idx="64">
                  <c:v>-1.0339184870329E-218</c:v>
                </c:pt>
                <c:pt idx="65">
                  <c:v>-2.3647823155114601E-219</c:v>
                </c:pt>
                <c:pt idx="66">
                  <c:v>1.65191879463308E-218</c:v>
                </c:pt>
                <c:pt idx="67">
                  <c:v>-5.3396538749038097E-219</c:v>
                </c:pt>
                <c:pt idx="68">
                  <c:v>-1.81305361945072E-218</c:v>
                </c:pt>
                <c:pt idx="69">
                  <c:v>1.55304548724503E-218</c:v>
                </c:pt>
                <c:pt idx="70">
                  <c:v>1.44720459698419E-218</c:v>
                </c:pt>
                <c:pt idx="71">
                  <c:v>-2.6523866291197898E-218</c:v>
                </c:pt>
                <c:pt idx="72">
                  <c:v>-4.4066672319058202E-219</c:v>
                </c:pt>
                <c:pt idx="73">
                  <c:v>3.50571571595761E-218</c:v>
                </c:pt>
                <c:pt idx="74">
                  <c:v>-1.24263029895872E-218</c:v>
                </c:pt>
                <c:pt idx="75">
                  <c:v>-3.58615586941238E-218</c:v>
                </c:pt>
                <c:pt idx="76">
                  <c:v>3.4645243179029502E-218</c:v>
                </c:pt>
                <c:pt idx="77">
                  <c:v>-2.48356767076977E-218</c:v>
                </c:pt>
                <c:pt idx="78">
                  <c:v>9.7101940713887004E-219</c:v>
                </c:pt>
                <c:pt idx="79">
                  <c:v>-2.24703470317554E-219</c:v>
                </c:pt>
                <c:pt idx="80">
                  <c:v>2.1275281427452598E-220</c:v>
                </c:pt>
                <c:pt idx="81">
                  <c:v>1.13583326563227E-225</c:v>
                </c:pt>
                <c:pt idx="82">
                  <c:v>-3.5266340292613498E-226</c:v>
                </c:pt>
                <c:pt idx="83">
                  <c:v>7.5044294884732799E-227</c:v>
                </c:pt>
                <c:pt idx="84">
                  <c:v>-9.8319354987123905E-228</c:v>
                </c:pt>
                <c:pt idx="85">
                  <c:v>5.84791274856705E-229</c:v>
                </c:pt>
                <c:pt idx="86">
                  <c:v>1.31526000341971E-233</c:v>
                </c:pt>
                <c:pt idx="87">
                  <c:v>-2.7493561512646598E-234</c:v>
                </c:pt>
                <c:pt idx="88">
                  <c:v>4.0199546136792E-235</c:v>
                </c:pt>
                <c:pt idx="89">
                  <c:v>-3.7072929977637698E-236</c:v>
                </c:pt>
                <c:pt idx="90">
                  <c:v>1.60713662170117E-237</c:v>
                </c:pt>
                <c:pt idx="91">
                  <c:v>1.04664319110215E-241</c:v>
                </c:pt>
                <c:pt idx="92">
                  <c:v>-1.6273014344394401E-242</c:v>
                </c:pt>
                <c:pt idx="93">
                  <c:v>1.8155858151109199E-243</c:v>
                </c:pt>
                <c:pt idx="94">
                  <c:v>-1.2951403825027E-244</c:v>
                </c:pt>
                <c:pt idx="95">
                  <c:v>4.4151244495627202E-246</c:v>
                </c:pt>
                <c:pt idx="96">
                  <c:v>6.5994642958022097E-250</c:v>
                </c:pt>
                <c:pt idx="97">
                  <c:v>-8.2162061055952603E-251</c:v>
                </c:pt>
                <c:pt idx="98">
                  <c:v>7.4181608961784E-252</c:v>
                </c:pt>
                <c:pt idx="99">
                  <c:v>-4.31835935657237E-253</c:v>
                </c:pt>
              </c:numCache>
            </c:numRef>
          </c:yVal>
          <c:smooth val="0"/>
          <c:extLst>
            <c:ext xmlns:c16="http://schemas.microsoft.com/office/drawing/2014/chart" uri="{C3380CC4-5D6E-409C-BE32-E72D297353CC}">
              <c16:uniqueId val="{0000000C-05B1-4C8F-A5D2-C74BC92F11DF}"/>
            </c:ext>
          </c:extLst>
        </c:ser>
        <c:ser>
          <c:idx val="13"/>
          <c:order val="13"/>
          <c:tx>
            <c:strRef>
              <c:f>dynamicR!$W$19</c:f>
              <c:strCache>
                <c:ptCount val="1"/>
                <c:pt idx="0">
                  <c:v>w1RA</c:v>
                </c:pt>
              </c:strCache>
            </c:strRef>
          </c:tx>
          <c:spPr>
            <a:ln w="19050" cap="rnd">
              <a:solidFill>
                <a:schemeClr val="accent2">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dynamicR!$W$20:$W$119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1</c:v>
                </c:pt>
                <c:pt idx="21">
                  <c:v>1</c:v>
                </c:pt>
                <c:pt idx="22">
                  <c:v>0.999999999999998</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1.9012173442266299E-91</c:v>
                </c:pt>
                <c:pt idx="52">
                  <c:v>-4.5800668600901298E-93</c:v>
                </c:pt>
                <c:pt idx="53">
                  <c:v>1.55117092155757E-92</c:v>
                </c:pt>
                <c:pt idx="54">
                  <c:v>-2.0397749312399501E-91</c:v>
                </c:pt>
                <c:pt idx="55">
                  <c:v>1.28408642133994E-91</c:v>
                </c:pt>
                <c:pt idx="56">
                  <c:v>-4.1863377888606099E-91</c:v>
                </c:pt>
                <c:pt idx="57">
                  <c:v>1.2199969452188299E-91</c:v>
                </c:pt>
                <c:pt idx="58">
                  <c:v>-2.2713102269869602E-92</c:v>
                </c:pt>
                <c:pt idx="59">
                  <c:v>-1.38358930429794E-93</c:v>
                </c:pt>
                <c:pt idx="60">
                  <c:v>2.5672641656193001E-93</c:v>
                </c:pt>
                <c:pt idx="61">
                  <c:v>-1.22181778247988E-93</c:v>
                </c:pt>
                <c:pt idx="62">
                  <c:v>-3.0382303965675099E-92</c:v>
                </c:pt>
                <c:pt idx="63">
                  <c:v>-2.3596246979551202E-92</c:v>
                </c:pt>
                <c:pt idx="64">
                  <c:v>1.9128431821561101E-92</c:v>
                </c:pt>
                <c:pt idx="65">
                  <c:v>4.3749837413738697E-93</c:v>
                </c:pt>
                <c:pt idx="66">
                  <c:v>-3.0561860096321402E-92</c:v>
                </c:pt>
                <c:pt idx="67">
                  <c:v>9.87885437442908E-93</c:v>
                </c:pt>
                <c:pt idx="68">
                  <c:v>3.3542936017450598E-92</c:v>
                </c:pt>
                <c:pt idx="69">
                  <c:v>-2.8732635829980299E-92</c:v>
                </c:pt>
                <c:pt idx="70">
                  <c:v>-2.6774408850393499E-92</c:v>
                </c:pt>
                <c:pt idx="71">
                  <c:v>4.9071279761178801E-92</c:v>
                </c:pt>
                <c:pt idx="72">
                  <c:v>8.1526630280145998E-93</c:v>
                </c:pt>
                <c:pt idx="73">
                  <c:v>-6.48584971996469E-92</c:v>
                </c:pt>
                <c:pt idx="74">
                  <c:v>2.2989613615908401E-92</c:v>
                </c:pt>
                <c:pt idx="75">
                  <c:v>6.63466820771462E-92</c:v>
                </c:pt>
                <c:pt idx="76">
                  <c:v>-6.4096345495624298E-92</c:v>
                </c:pt>
                <c:pt idx="77">
                  <c:v>4.5947760995098602E-92</c:v>
                </c:pt>
                <c:pt idx="78">
                  <c:v>-1.7964364191757399E-92</c:v>
                </c:pt>
                <c:pt idx="79">
                  <c:v>4.1569824531371996E-93</c:v>
                </c:pt>
                <c:pt idx="80">
                  <c:v>-3.93487724152641E-94</c:v>
                </c:pt>
                <c:pt idx="81">
                  <c:v>-5.4367828342131203E-98</c:v>
                </c:pt>
                <c:pt idx="82">
                  <c:v>1.6880215981512201E-98</c:v>
                </c:pt>
                <c:pt idx="83">
                  <c:v>-3.5917591614380899E-99</c:v>
                </c:pt>
                <c:pt idx="84">
                  <c:v>4.7045787594927503E-100</c:v>
                </c:pt>
                <c:pt idx="85">
                  <c:v>-2.7933973734713999E-101</c:v>
                </c:pt>
                <c:pt idx="86">
                  <c:v>-1.65137777558602E-104</c:v>
                </c:pt>
                <c:pt idx="87">
                  <c:v>3.4044083260419198E-105</c:v>
                </c:pt>
                <c:pt idx="88">
                  <c:v>-4.9764941805790299E-106</c:v>
                </c:pt>
                <c:pt idx="89">
                  <c:v>4.58499629861462E-107</c:v>
                </c:pt>
                <c:pt idx="90">
                  <c:v>-1.9743592185094801E-108</c:v>
                </c:pt>
                <c:pt idx="91">
                  <c:v>-3.3626906861709698E-111</c:v>
                </c:pt>
                <c:pt idx="92">
                  <c:v>5.2118834088266601E-112</c:v>
                </c:pt>
                <c:pt idx="93">
                  <c:v>-5.8107588441068704E-113</c:v>
                </c:pt>
                <c:pt idx="94">
                  <c:v>4.1335132927975698E-114</c:v>
                </c:pt>
                <c:pt idx="95">
                  <c:v>-1.38195838894123E-115</c:v>
                </c:pt>
                <c:pt idx="96">
                  <c:v>-5.4730467220375796E-118</c:v>
                </c:pt>
                <c:pt idx="97">
                  <c:v>6.8041334974508596E-119</c:v>
                </c:pt>
                <c:pt idx="98">
                  <c:v>-6.1327867468554303E-120</c:v>
                </c:pt>
                <c:pt idx="99">
                  <c:v>3.5462951828854201E-121</c:v>
                </c:pt>
              </c:numCache>
            </c:numRef>
          </c:yVal>
          <c:smooth val="0"/>
          <c:extLst>
            <c:ext xmlns:c16="http://schemas.microsoft.com/office/drawing/2014/chart" uri="{C3380CC4-5D6E-409C-BE32-E72D297353CC}">
              <c16:uniqueId val="{0000000D-05B1-4C8F-A5D2-C74BC92F11DF}"/>
            </c:ext>
          </c:extLst>
        </c:ser>
        <c:ser>
          <c:idx val="14"/>
          <c:order val="14"/>
          <c:tx>
            <c:strRef>
              <c:f>dynamicR!$X$19</c:f>
              <c:strCache>
                <c:ptCount val="1"/>
                <c:pt idx="0">
                  <c:v>w1RP</c:v>
                </c:pt>
              </c:strCache>
            </c:strRef>
          </c:tx>
          <c:spPr>
            <a:ln w="19050" cap="rnd">
              <a:solidFill>
                <a:schemeClr val="accent3">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dynamicR!$X$20:$X$119</c:f>
              <c:numCache>
                <c:formatCode>0.00</c:formatCode>
                <c:ptCount val="100"/>
                <c:pt idx="0">
                  <c:v>0</c:v>
                </c:pt>
                <c:pt idx="1">
                  <c:v>1</c:v>
                </c:pt>
                <c:pt idx="2">
                  <c:v>0.999999999999999</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3.3824195194623503E-92</c:v>
                </c:pt>
                <c:pt idx="52">
                  <c:v>-8.1483134318267395E-94</c:v>
                </c:pt>
                <c:pt idx="53">
                  <c:v>2.75965597364517E-93</c:v>
                </c:pt>
                <c:pt idx="54">
                  <c:v>-3.6289248131887301E-92</c:v>
                </c:pt>
                <c:pt idx="55">
                  <c:v>2.28449330147581E-92</c:v>
                </c:pt>
                <c:pt idx="56">
                  <c:v>-7.4478323241474402E-92</c:v>
                </c:pt>
                <c:pt idx="57">
                  <c:v>2.1704723494074701E-92</c:v>
                </c:pt>
                <c:pt idx="58">
                  <c:v>-4.04083987087479E-93</c:v>
                </c:pt>
                <c:pt idx="59">
                  <c:v>-2.4615313508712401E-94</c:v>
                </c:pt>
                <c:pt idx="60">
                  <c:v>4.56738257058157E-94</c:v>
                </c:pt>
                <c:pt idx="61">
                  <c:v>-2.17368899049948E-94</c:v>
                </c:pt>
                <c:pt idx="62">
                  <c:v>-5.40525656534269E-93</c:v>
                </c:pt>
                <c:pt idx="63">
                  <c:v>-4.1979616846174398E-93</c:v>
                </c:pt>
                <c:pt idx="64">
                  <c:v>3.4031041698340698E-93</c:v>
                </c:pt>
                <c:pt idx="65">
                  <c:v>7.7834438284600496E-94</c:v>
                </c:pt>
                <c:pt idx="66">
                  <c:v>-5.4372027291111999E-93</c:v>
                </c:pt>
                <c:pt idx="67">
                  <c:v>1.75752894772654E-93</c:v>
                </c:pt>
                <c:pt idx="68">
                  <c:v>5.9675596956960298E-93</c:v>
                </c:pt>
                <c:pt idx="69">
                  <c:v>-5.1117690604020801E-93</c:v>
                </c:pt>
                <c:pt idx="70">
                  <c:v>-4.7633836070427602E-93</c:v>
                </c:pt>
                <c:pt idx="71">
                  <c:v>8.7301778533232004E-93</c:v>
                </c:pt>
                <c:pt idx="72">
                  <c:v>1.45042444460178E-93</c:v>
                </c:pt>
                <c:pt idx="73">
                  <c:v>-1.15388509599621E-92</c:v>
                </c:pt>
                <c:pt idx="74">
                  <c:v>4.0900378209202897E-93</c:v>
                </c:pt>
                <c:pt idx="75">
                  <c:v>1.1803610826428499E-92</c:v>
                </c:pt>
                <c:pt idx="76">
                  <c:v>-1.1403257072566701E-92</c:v>
                </c:pt>
                <c:pt idx="77">
                  <c:v>8.1744758013073808E-93</c:v>
                </c:pt>
                <c:pt idx="78">
                  <c:v>-3.1960025227077399E-93</c:v>
                </c:pt>
                <c:pt idx="79">
                  <c:v>7.3955829090451104E-94</c:v>
                </c:pt>
                <c:pt idx="80">
                  <c:v>-7.0003191817863901E-95</c:v>
                </c:pt>
                <c:pt idx="81">
                  <c:v>-1.0297385894396999E-98</c:v>
                </c:pt>
                <c:pt idx="82">
                  <c:v>3.1971450901099402E-99</c:v>
                </c:pt>
                <c:pt idx="83">
                  <c:v>-6.8028308882380204E-100</c:v>
                </c:pt>
                <c:pt idx="84">
                  <c:v>8.9103750490482105E-101</c:v>
                </c:pt>
                <c:pt idx="85">
                  <c:v>-5.2900232391890304E-102</c:v>
                </c:pt>
                <c:pt idx="86">
                  <c:v>-3.3297983763024401E-105</c:v>
                </c:pt>
                <c:pt idx="87">
                  <c:v>6.8645548969631895E-106</c:v>
                </c:pt>
                <c:pt idx="88">
                  <c:v>-1.0034297583972E-106</c:v>
                </c:pt>
                <c:pt idx="89">
                  <c:v>9.2443043192102207E-108</c:v>
                </c:pt>
                <c:pt idx="90">
                  <c:v>-3.9789191706688702E-109</c:v>
                </c:pt>
                <c:pt idx="91">
                  <c:v>-7.21846210501903E-112</c:v>
                </c:pt>
                <c:pt idx="92">
                  <c:v>1.118785055181E-112</c:v>
                </c:pt>
                <c:pt idx="93">
                  <c:v>-1.2472799694762E-113</c:v>
                </c:pt>
                <c:pt idx="94">
                  <c:v>8.8709214047430404E-115</c:v>
                </c:pt>
                <c:pt idx="95">
                  <c:v>-2.9618859250375997E-116</c:v>
                </c:pt>
                <c:pt idx="96">
                  <c:v>-1.2507472063871201E-118</c:v>
                </c:pt>
                <c:pt idx="97">
                  <c:v>1.5548788766400001E-119</c:v>
                </c:pt>
                <c:pt idx="98">
                  <c:v>-1.40130232794555E-120</c:v>
                </c:pt>
                <c:pt idx="99">
                  <c:v>8.0993928032600401E-122</c:v>
                </c:pt>
              </c:numCache>
            </c:numRef>
          </c:yVal>
          <c:smooth val="0"/>
          <c:extLst>
            <c:ext xmlns:c16="http://schemas.microsoft.com/office/drawing/2014/chart" uri="{C3380CC4-5D6E-409C-BE32-E72D297353CC}">
              <c16:uniqueId val="{0000000E-05B1-4C8F-A5D2-C74BC92F11DF}"/>
            </c:ext>
          </c:extLst>
        </c:ser>
        <c:ser>
          <c:idx val="15"/>
          <c:order val="15"/>
          <c:tx>
            <c:strRef>
              <c:f>dynamicR!$Y$19</c:f>
              <c:strCache>
                <c:ptCount val="1"/>
                <c:pt idx="0">
                  <c:v>w2RD</c:v>
                </c:pt>
              </c:strCache>
            </c:strRef>
          </c:tx>
          <c:spPr>
            <a:ln w="19050" cap="rnd">
              <a:solidFill>
                <a:schemeClr val="accent4">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dynamicR!$Y$20:$Y$119</c:f>
              <c:numCache>
                <c:formatCode>0.00</c:formatCode>
                <c:ptCount val="100"/>
                <c:pt idx="0">
                  <c:v>0</c:v>
                </c:pt>
                <c:pt idx="1">
                  <c:v>0.18919596427023799</c:v>
                </c:pt>
                <c:pt idx="2">
                  <c:v>0.20540404276999999</c:v>
                </c:pt>
                <c:pt idx="3">
                  <c:v>0.22128811905469001</c:v>
                </c:pt>
                <c:pt idx="4">
                  <c:v>0.236854674597231</c:v>
                </c:pt>
                <c:pt idx="5">
                  <c:v>0.25211005398731401</c:v>
                </c:pt>
                <c:pt idx="6">
                  <c:v>0.26706047522509802</c:v>
                </c:pt>
                <c:pt idx="7">
                  <c:v>0.28171203432412001</c:v>
                </c:pt>
                <c:pt idx="8">
                  <c:v>0.29607070640537497</c:v>
                </c:pt>
                <c:pt idx="9">
                  <c:v>0.31014234685782999</c:v>
                </c:pt>
                <c:pt idx="10">
                  <c:v>0.32393269352868798</c:v>
                </c:pt>
                <c:pt idx="11">
                  <c:v>0.33744736937662101</c:v>
                </c:pt>
                <c:pt idx="12">
                  <c:v>0.35069188495207998</c:v>
                </c:pt>
                <c:pt idx="13">
                  <c:v>0.36367164055426199</c:v>
                </c:pt>
                <c:pt idx="14">
                  <c:v>0.37639192882010902</c:v>
                </c:pt>
                <c:pt idx="15">
                  <c:v>0.38885793683646602</c:v>
                </c:pt>
                <c:pt idx="16">
                  <c:v>0.40107474787310898</c:v>
                </c:pt>
                <c:pt idx="17">
                  <c:v>0.41304734333295001</c:v>
                </c:pt>
                <c:pt idx="18">
                  <c:v>0.42478060498690501</c:v>
                </c:pt>
                <c:pt idx="19">
                  <c:v>0.436279317125781</c:v>
                </c:pt>
                <c:pt idx="20">
                  <c:v>0.44754816847707901</c:v>
                </c:pt>
                <c:pt idx="21">
                  <c:v>0.45859175401992902</c:v>
                </c:pt>
                <c:pt idx="22">
                  <c:v>0.46941457683311399</c:v>
                </c:pt>
                <c:pt idx="23">
                  <c:v>0.48002104997114498</c:v>
                </c:pt>
                <c:pt idx="24">
                  <c:v>0.490415498291213</c:v>
                </c:pt>
                <c:pt idx="25">
                  <c:v>0.50060216020794301</c:v>
                </c:pt>
                <c:pt idx="26">
                  <c:v>0.51058518940388897</c:v>
                </c:pt>
                <c:pt idx="27">
                  <c:v>0.52036865652131903</c:v>
                </c:pt>
                <c:pt idx="28">
                  <c:v>0.52995655082946402</c:v>
                </c:pt>
                <c:pt idx="29">
                  <c:v>0.53935278185400204</c:v>
                </c:pt>
                <c:pt idx="30">
                  <c:v>0.54856118097162498</c:v>
                </c:pt>
                <c:pt idx="31">
                  <c:v>0.55758550296828102</c:v>
                </c:pt>
                <c:pt idx="32">
                  <c:v>0.56642942756913495</c:v>
                </c:pt>
                <c:pt idx="33">
                  <c:v>0.57509656094081096</c:v>
                </c:pt>
                <c:pt idx="34">
                  <c:v>0.58359043716440695</c:v>
                </c:pt>
                <c:pt idx="35">
                  <c:v>0.59191451967381004</c:v>
                </c:pt>
                <c:pt idx="36">
                  <c:v>0.60007220266748795</c:v>
                </c:pt>
                <c:pt idx="37">
                  <c:v>0.60806681249373895</c:v>
                </c:pt>
                <c:pt idx="38">
                  <c:v>0.61590160900659996</c:v>
                </c:pt>
                <c:pt idx="39">
                  <c:v>0.62357978689578897</c:v>
                </c:pt>
                <c:pt idx="40">
                  <c:v>0.63110447698849603</c:v>
                </c:pt>
                <c:pt idx="41">
                  <c:v>0.63847874752647105</c:v>
                </c:pt>
                <c:pt idx="42">
                  <c:v>0.64570560541594102</c:v>
                </c:pt>
                <c:pt idx="43">
                  <c:v>0.65278799745563998</c:v>
                </c:pt>
                <c:pt idx="44">
                  <c:v>0.65972881153753504</c:v>
                </c:pt>
                <c:pt idx="45">
                  <c:v>0.666530877824143</c:v>
                </c:pt>
                <c:pt idx="46">
                  <c:v>0.67319696990163802</c:v>
                </c:pt>
                <c:pt idx="47">
                  <c:v>0.67972980591197396</c:v>
                </c:pt>
                <c:pt idx="48">
                  <c:v>0.68613204966226304</c:v>
                </c:pt>
                <c:pt idx="49">
                  <c:v>0.69240631170911304</c:v>
                </c:pt>
                <c:pt idx="50">
                  <c:v>0.69240631170911304</c:v>
                </c:pt>
                <c:pt idx="51">
                  <c:v>0.50935891303381797</c:v>
                </c:pt>
                <c:pt idx="52">
                  <c:v>0.499176327497376</c:v>
                </c:pt>
                <c:pt idx="53">
                  <c:v>0.48919764118911302</c:v>
                </c:pt>
                <c:pt idx="54">
                  <c:v>0.479418645153947</c:v>
                </c:pt>
                <c:pt idx="55">
                  <c:v>0.46983509008442298</c:v>
                </c:pt>
                <c:pt idx="56">
                  <c:v>0.46044306227253201</c:v>
                </c:pt>
                <c:pt idx="57">
                  <c:v>0.451238764337413</c:v>
                </c:pt>
                <c:pt idx="58">
                  <c:v>0.44221845748188399</c:v>
                </c:pt>
                <c:pt idx="59">
                  <c:v>0.43337846848904299</c:v>
                </c:pt>
                <c:pt idx="60">
                  <c:v>0.42471518672629299</c:v>
                </c:pt>
                <c:pt idx="61">
                  <c:v>0.416225073233564</c:v>
                </c:pt>
                <c:pt idx="62">
                  <c:v>0.40790467264607899</c:v>
                </c:pt>
                <c:pt idx="63">
                  <c:v>0.39975059996907703</c:v>
                </c:pt>
                <c:pt idx="64">
                  <c:v>0.39175953159522697</c:v>
                </c:pt>
                <c:pt idx="65">
                  <c:v>0.38392820705422598</c:v>
                </c:pt>
                <c:pt idx="66">
                  <c:v>0.37625343145705498</c:v>
                </c:pt>
                <c:pt idx="67">
                  <c:v>0.368732075111038</c:v>
                </c:pt>
                <c:pt idx="68">
                  <c:v>0.36136107149396102</c:v>
                </c:pt>
                <c:pt idx="69">
                  <c:v>0.35413741529728898</c:v>
                </c:pt>
                <c:pt idx="70">
                  <c:v>0.347058161053866</c:v>
                </c:pt>
                <c:pt idx="71">
                  <c:v>0.34012042207995302</c:v>
                </c:pt>
                <c:pt idx="72">
                  <c:v>0.33332136941997798</c:v>
                </c:pt>
                <c:pt idx="73">
                  <c:v>0.32665823071292299</c:v>
                </c:pt>
                <c:pt idx="74">
                  <c:v>0.32012828903475299</c:v>
                </c:pt>
                <c:pt idx="75">
                  <c:v>0.31372888181814101</c:v>
                </c:pt>
                <c:pt idx="76">
                  <c:v>0.307457399760387</c:v>
                </c:pt>
                <c:pt idx="77">
                  <c:v>0.30131128557808101</c:v>
                </c:pt>
                <c:pt idx="78">
                  <c:v>0.29528803301571099</c:v>
                </c:pt>
                <c:pt idx="79">
                  <c:v>0.28938518599388502</c:v>
                </c:pt>
                <c:pt idx="80">
                  <c:v>0.28360033763348003</c:v>
                </c:pt>
                <c:pt idx="81">
                  <c:v>0.277931129179388</c:v>
                </c:pt>
                <c:pt idx="82">
                  <c:v>0.27237524897798898</c:v>
                </c:pt>
                <c:pt idx="83">
                  <c:v>0.26693043155879198</c:v>
                </c:pt>
                <c:pt idx="84">
                  <c:v>0.261594456750949</c:v>
                </c:pt>
                <c:pt idx="85">
                  <c:v>0.256365148784365</c:v>
                </c:pt>
                <c:pt idx="86">
                  <c:v>0.25124037538337901</c:v>
                </c:pt>
                <c:pt idx="87">
                  <c:v>0.246218046887866</c:v>
                </c:pt>
                <c:pt idx="88">
                  <c:v>0.24129611540609899</c:v>
                </c:pt>
                <c:pt idx="89">
                  <c:v>0.23647257398666</c:v>
                </c:pt>
                <c:pt idx="90">
                  <c:v>0.23174545580061801</c:v>
                </c:pt>
                <c:pt idx="91">
                  <c:v>0.227112833336262</c:v>
                </c:pt>
                <c:pt idx="92">
                  <c:v>0.22257281761153699</c:v>
                </c:pt>
                <c:pt idx="93">
                  <c:v>0.21812355740436201</c:v>
                </c:pt>
                <c:pt idx="94">
                  <c:v>0.21376323849979501</c:v>
                </c:pt>
                <c:pt idx="95">
                  <c:v>0.20949008294971</c:v>
                </c:pt>
                <c:pt idx="96">
                  <c:v>0.20530234834723199</c:v>
                </c:pt>
                <c:pt idx="97">
                  <c:v>0.201198327116068</c:v>
                </c:pt>
                <c:pt idx="98">
                  <c:v>0.19717634581489199</c:v>
                </c:pt>
                <c:pt idx="99">
                  <c:v>0.19323476445451099</c:v>
                </c:pt>
              </c:numCache>
            </c:numRef>
          </c:yVal>
          <c:smooth val="0"/>
          <c:extLst>
            <c:ext xmlns:c16="http://schemas.microsoft.com/office/drawing/2014/chart" uri="{C3380CC4-5D6E-409C-BE32-E72D297353CC}">
              <c16:uniqueId val="{0000000F-05B1-4C8F-A5D2-C74BC92F11DF}"/>
            </c:ext>
          </c:extLst>
        </c:ser>
        <c:ser>
          <c:idx val="16"/>
          <c:order val="16"/>
          <c:tx>
            <c:strRef>
              <c:f>dynamicR!$Z$19</c:f>
              <c:strCache>
                <c:ptCount val="1"/>
                <c:pt idx="0">
                  <c:v>w2RS</c:v>
                </c:pt>
              </c:strCache>
            </c:strRef>
          </c:tx>
          <c:spPr>
            <a:ln w="19050" cap="rnd">
              <a:solidFill>
                <a:schemeClr val="accent5">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dynamicR!$Z$20:$Z$119</c:f>
              <c:numCache>
                <c:formatCode>0.00</c:formatCode>
                <c:ptCount val="100"/>
                <c:pt idx="0">
                  <c:v>0</c:v>
                </c:pt>
                <c:pt idx="1">
                  <c:v>1</c:v>
                </c:pt>
                <c:pt idx="2">
                  <c:v>0.999999999999999</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1</c:v>
                </c:pt>
                <c:pt idx="21">
                  <c:v>1</c:v>
                </c:pt>
                <c:pt idx="22">
                  <c:v>0.999999999999999</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-7.3916346894568197E-215</c:v>
                </c:pt>
                <c:pt idx="52">
                  <c:v>1.7806454739355301E-216</c:v>
                </c:pt>
                <c:pt idx="53">
                  <c:v>-6.0307941780775205E-216</c:v>
                </c:pt>
                <c:pt idx="54">
                  <c:v>7.9303203115171305E-215</c:v>
                </c:pt>
                <c:pt idx="55">
                  <c:v>-4.9923382025622499E-215</c:v>
                </c:pt>
                <c:pt idx="56">
                  <c:v>1.62758695128948E-214</c:v>
                </c:pt>
                <c:pt idx="57">
                  <c:v>-4.7431874418150703E-215</c:v>
                </c:pt>
                <c:pt idx="58">
                  <c:v>8.8306548555901397E-216</c:v>
                </c:pt>
                <c:pt idx="59">
                  <c:v>5.3787225459203498E-217</c:v>
                </c:pt>
                <c:pt idx="60">
                  <c:v>-9.98073454075462E-217</c:v>
                </c:pt>
                <c:pt idx="61">
                  <c:v>4.7510071644415696E-217</c:v>
                </c:pt>
                <c:pt idx="62">
                  <c:v>1.18122014818919E-215</c:v>
                </c:pt>
                <c:pt idx="63">
                  <c:v>9.1739028611435205E-216</c:v>
                </c:pt>
                <c:pt idx="64">
                  <c:v>-7.4367902455549695E-216</c:v>
                </c:pt>
                <c:pt idx="65">
                  <c:v>-1.7009455075442599E-216</c:v>
                </c:pt>
                <c:pt idx="66">
                  <c:v>1.1881955620728999E-215</c:v>
                </c:pt>
                <c:pt idx="67">
                  <c:v>-3.8407172663565901E-216</c:v>
                </c:pt>
                <c:pt idx="68">
                  <c:v>-1.30409695163619E-215</c:v>
                </c:pt>
                <c:pt idx="69">
                  <c:v>1.11707776534607E-215</c:v>
                </c:pt>
                <c:pt idx="70">
                  <c:v>1.04094831122132E-215</c:v>
                </c:pt>
                <c:pt idx="71">
                  <c:v>-1.9078141321841699E-215</c:v>
                </c:pt>
                <c:pt idx="72">
                  <c:v>-3.1696367070181601E-216</c:v>
                </c:pt>
                <c:pt idx="73">
                  <c:v>2.5215984400221299E-215</c:v>
                </c:pt>
                <c:pt idx="74">
                  <c:v>-8.9380168765987395E-216</c:v>
                </c:pt>
                <c:pt idx="75">
                  <c:v>-2.5794575997204998E-215</c:v>
                </c:pt>
                <c:pt idx="76">
                  <c:v>2.4919702061627798E-215</c:v>
                </c:pt>
                <c:pt idx="77">
                  <c:v>-1.78638568318478E-215</c:v>
                </c:pt>
                <c:pt idx="78">
                  <c:v>6.9843684447293294E-216</c:v>
                </c:pt>
                <c:pt idx="79">
                  <c:v>-1.6162517617762999E-216</c:v>
                </c:pt>
                <c:pt idx="80">
                  <c:v>1.53029283619163E-217</c:v>
                </c:pt>
                <c:pt idx="81">
                  <c:v>8.1698439641169797E-223</c:v>
                </c:pt>
                <c:pt idx="82">
                  <c:v>-2.5366439602009402E-223</c:v>
                </c:pt>
                <c:pt idx="83">
                  <c:v>5.3977985587727401E-224</c:v>
                </c:pt>
                <c:pt idx="84">
                  <c:v>-7.0719266741299397E-225</c:v>
                </c:pt>
                <c:pt idx="85">
                  <c:v>4.2062856539414703E-226</c:v>
                </c:pt>
                <c:pt idx="86">
                  <c:v>9.5634886722588503E-231</c:v>
                </c:pt>
                <c:pt idx="87">
                  <c:v>-1.9775616287491599E-231</c:v>
                </c:pt>
                <c:pt idx="88">
                  <c:v>2.89147924339863E-232</c:v>
                </c:pt>
                <c:pt idx="89">
                  <c:v>-2.6665857671321102E-233</c:v>
                </c:pt>
                <c:pt idx="90">
                  <c:v>1.1559793727435499E-234</c:v>
                </c:pt>
                <c:pt idx="91">
                  <c:v>7.5495944098177602E-239</c:v>
                </c:pt>
                <c:pt idx="92">
                  <c:v>-1.17048833592495E-239</c:v>
                </c:pt>
                <c:pt idx="93">
                  <c:v>1.3059180756198299E-240</c:v>
                </c:pt>
                <c:pt idx="94">
                  <c:v>-9.3157096718498203E-242</c:v>
                </c:pt>
                <c:pt idx="95">
                  <c:v>3.1757288274828802E-243</c:v>
                </c:pt>
                <c:pt idx="96">
                  <c:v>4.7471159901621803E-247</c:v>
                </c:pt>
                <c:pt idx="97">
                  <c:v>-5.9097695900266903E-248</c:v>
                </c:pt>
                <c:pt idx="98">
                  <c:v>5.3357455642345703E-249</c:v>
                </c:pt>
                <c:pt idx="99">
                  <c:v>-3.1061119349495401E-250</c:v>
                </c:pt>
              </c:numCache>
            </c:numRef>
          </c:yVal>
          <c:smooth val="0"/>
          <c:extLst>
            <c:ext xmlns:c16="http://schemas.microsoft.com/office/drawing/2014/chart" uri="{C3380CC4-5D6E-409C-BE32-E72D297353CC}">
              <c16:uniqueId val="{00000010-05B1-4C8F-A5D2-C74BC92F11DF}"/>
            </c:ext>
          </c:extLst>
        </c:ser>
        <c:ser>
          <c:idx val="17"/>
          <c:order val="17"/>
          <c:tx>
            <c:strRef>
              <c:f>dynamicR!$AA$19</c:f>
              <c:strCache>
                <c:ptCount val="1"/>
                <c:pt idx="0">
                  <c:v>w2RA</c:v>
                </c:pt>
              </c:strCache>
            </c:strRef>
          </c:tx>
          <c:spPr>
            <a:ln w="19050" cap="rnd">
              <a:solidFill>
                <a:schemeClr val="accent6">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dynamicR!$AA$20:$AA$119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6.9886204475145801E-34</c:v>
                </c:pt>
                <c:pt idx="52">
                  <c:v>-1.6186156160873799E-37</c:v>
                </c:pt>
                <c:pt idx="53">
                  <c:v>-3.8269848547365001E-35</c:v>
                </c:pt>
                <c:pt idx="54">
                  <c:v>-2.88277260509014E-33</c:v>
                </c:pt>
                <c:pt idx="55">
                  <c:v>1.5751028008376301E-33</c:v>
                </c:pt>
                <c:pt idx="56">
                  <c:v>-5.4119904246048303E-33</c:v>
                </c:pt>
                <c:pt idx="57">
                  <c:v>1.5775741427423301E-33</c:v>
                </c:pt>
                <c:pt idx="58">
                  <c:v>-2.95564559705858E-34</c:v>
                </c:pt>
                <c:pt idx="59">
                  <c:v>-1.8010049961448599E-35</c:v>
                </c:pt>
                <c:pt idx="60">
                  <c:v>3.3413271011932801E-35</c:v>
                </c:pt>
                <c:pt idx="61">
                  <c:v>-1.58926557247418E-35</c:v>
                </c:pt>
                <c:pt idx="62">
                  <c:v>-3.9538050483601002E-34</c:v>
                </c:pt>
                <c:pt idx="63">
                  <c:v>-3.0706784358351499E-34</c:v>
                </c:pt>
                <c:pt idx="64">
                  <c:v>2.4893482948557599E-34</c:v>
                </c:pt>
                <c:pt idx="65">
                  <c:v>5.69324340017165E-35</c:v>
                </c:pt>
                <c:pt idx="66">
                  <c:v>-3.9772256434845799E-34</c:v>
                </c:pt>
                <c:pt idx="67">
                  <c:v>1.2856241910776699E-34</c:v>
                </c:pt>
                <c:pt idx="68">
                  <c:v>4.3651539330267299E-34</c:v>
                </c:pt>
                <c:pt idx="69">
                  <c:v>-3.7391809407609701E-34</c:v>
                </c:pt>
                <c:pt idx="70">
                  <c:v>-3.4843118438964002E-34</c:v>
                </c:pt>
                <c:pt idx="71">
                  <c:v>6.3859604071776098E-34</c:v>
                </c:pt>
                <c:pt idx="72">
                  <c:v>1.0609494205281499E-34</c:v>
                </c:pt>
                <c:pt idx="73">
                  <c:v>-8.4404312726663108E-34</c:v>
                </c:pt>
                <c:pt idx="74">
                  <c:v>2.9917683275541801E-34</c:v>
                </c:pt>
                <c:pt idx="75">
                  <c:v>8.6340902668330397E-34</c:v>
                </c:pt>
                <c:pt idx="76">
                  <c:v>-8.3412159232847492E-34</c:v>
                </c:pt>
                <c:pt idx="77">
                  <c:v>5.97938576468813E-34</c:v>
                </c:pt>
                <c:pt idx="78">
                  <c:v>-2.3377111738916001E-34</c:v>
                </c:pt>
                <c:pt idx="79">
                  <c:v>5.4089227550784905E-35</c:v>
                </c:pt>
                <c:pt idx="80">
                  <c:v>-5.1159651696038301E-36</c:v>
                </c:pt>
                <c:pt idx="81">
                  <c:v>-2.73734580989018E-39</c:v>
                </c:pt>
                <c:pt idx="82">
                  <c:v>8.4987010161151298E-40</c:v>
                </c:pt>
                <c:pt idx="83">
                  <c:v>-1.80819034780048E-40</c:v>
                </c:pt>
                <c:pt idx="84">
                  <c:v>2.3676260486869599E-41</c:v>
                </c:pt>
                <c:pt idx="85">
                  <c:v>-1.4025423319402801E-42</c:v>
                </c:pt>
                <c:pt idx="86">
                  <c:v>-1.90555774043585E-45</c:v>
                </c:pt>
                <c:pt idx="87">
                  <c:v>3.92814990060912E-46</c:v>
                </c:pt>
                <c:pt idx="88">
                  <c:v>-5.74093927196634E-47</c:v>
                </c:pt>
                <c:pt idx="89">
                  <c:v>5.2851864076880798E-48</c:v>
                </c:pt>
                <c:pt idx="90">
                  <c:v>-2.2635481358280901E-49</c:v>
                </c:pt>
                <c:pt idx="91">
                  <c:v>-6.8800946135356605E-52</c:v>
                </c:pt>
                <c:pt idx="92">
                  <c:v>1.06621428428677E-52</c:v>
                </c:pt>
                <c:pt idx="93">
                  <c:v>-1.1882688462393099E-53</c:v>
                </c:pt>
                <c:pt idx="94">
                  <c:v>8.4400151009990899E-55</c:v>
                </c:pt>
                <c:pt idx="95">
                  <c:v>-2.7916184377570798E-56</c:v>
                </c:pt>
                <c:pt idx="96">
                  <c:v>-1.70141035786882E-58</c:v>
                </c:pt>
                <c:pt idx="97">
                  <c:v>2.11472880484172E-59</c:v>
                </c:pt>
                <c:pt idx="98">
                  <c:v>-1.90481543870465E-60</c:v>
                </c:pt>
                <c:pt idx="99">
                  <c:v>1.0985918072090399E-61</c:v>
                </c:pt>
              </c:numCache>
            </c:numRef>
          </c:yVal>
          <c:smooth val="0"/>
          <c:extLst>
            <c:ext xmlns:c16="http://schemas.microsoft.com/office/drawing/2014/chart" uri="{C3380CC4-5D6E-409C-BE32-E72D297353CC}">
              <c16:uniqueId val="{00000011-05B1-4C8F-A5D2-C74BC92F11DF}"/>
            </c:ext>
          </c:extLst>
        </c:ser>
        <c:ser>
          <c:idx val="18"/>
          <c:order val="18"/>
          <c:tx>
            <c:strRef>
              <c:f>dynamicR!$AB$19</c:f>
              <c:strCache>
                <c:ptCount val="1"/>
                <c:pt idx="0">
                  <c:v>w2RP</c:v>
                </c:pt>
              </c:strCache>
            </c:strRef>
          </c:tx>
          <c:spPr>
            <a:ln w="19050" cap="rnd">
              <a:solidFill>
                <a:schemeClr val="accent1">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dynamicR!$AB$20:$AB$119</c:f>
              <c:numCache>
                <c:formatCode>0.00</c:formatCode>
                <c:ptCount val="100"/>
                <c:pt idx="0">
                  <c:v>0</c:v>
                </c:pt>
                <c:pt idx="1">
                  <c:v>1</c:v>
                </c:pt>
                <c:pt idx="2">
                  <c:v>0.999999999999999</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1</c:v>
                </c:pt>
                <c:pt idx="21">
                  <c:v>1</c:v>
                </c:pt>
                <c:pt idx="22">
                  <c:v>0.999999999999999</c:v>
                </c:pt>
                <c:pt idx="23">
                  <c:v>1</c:v>
                </c:pt>
                <c:pt idx="24">
                  <c:v>1</c:v>
                </c:pt>
                <c:pt idx="25">
                  <c:v>1</c:v>
                </c:pt>
                <c:pt idx="26">
                  <c:v>1</c:v>
                </c:pt>
                <c:pt idx="27">
                  <c:v>1</c:v>
                </c:pt>
                <c:pt idx="28">
                  <c:v>1</c:v>
                </c:pt>
                <c:pt idx="29">
                  <c:v>1</c:v>
                </c:pt>
                <c:pt idx="30">
                  <c:v>1</c:v>
                </c:pt>
                <c:pt idx="31">
                  <c:v>1</c:v>
                </c:pt>
                <c:pt idx="32">
                  <c:v>1</c:v>
                </c:pt>
                <c:pt idx="33">
                  <c:v>1</c:v>
                </c:pt>
                <c:pt idx="34">
                  <c:v>0.999999999999999</c:v>
                </c:pt>
                <c:pt idx="35">
                  <c:v>1</c:v>
                </c:pt>
                <c:pt idx="36">
                  <c:v>1</c:v>
                </c:pt>
                <c:pt idx="37">
                  <c:v>1</c:v>
                </c:pt>
                <c:pt idx="38">
                  <c:v>1</c:v>
                </c:pt>
                <c:pt idx="39">
                  <c:v>1</c:v>
                </c:pt>
                <c:pt idx="40">
                  <c:v>1</c:v>
                </c:pt>
                <c:pt idx="41">
                  <c:v>1</c:v>
                </c:pt>
                <c:pt idx="42">
                  <c:v>1</c:v>
                </c:pt>
                <c:pt idx="43">
                  <c:v>1</c:v>
                </c:pt>
                <c:pt idx="44">
                  <c:v>1</c:v>
                </c:pt>
                <c:pt idx="45">
                  <c:v>1</c:v>
                </c:pt>
                <c:pt idx="46">
                  <c:v>0.999999999999999</c:v>
                </c:pt>
                <c:pt idx="47">
                  <c:v>1</c:v>
                </c:pt>
                <c:pt idx="48">
                  <c:v>1</c:v>
                </c:pt>
                <c:pt idx="49">
                  <c:v>1</c:v>
                </c:pt>
                <c:pt idx="50">
                  <c:v>1</c:v>
                </c:pt>
                <c:pt idx="51">
                  <c:v>-2.1404939753559599E-30</c:v>
                </c:pt>
                <c:pt idx="52">
                  <c:v>2.57933662294456E-34</c:v>
                </c:pt>
                <c:pt idx="53">
                  <c:v>1.18573024804633E-31</c:v>
                </c:pt>
                <c:pt idx="54">
                  <c:v>8.8598588198741394E-30</c:v>
                </c:pt>
                <c:pt idx="55">
                  <c:v>-4.84000215924988E-30</c:v>
                </c:pt>
                <c:pt idx="56">
                  <c:v>1.66312379650472E-29</c:v>
                </c:pt>
                <c:pt idx="57">
                  <c:v>-4.8479428596962901E-30</c:v>
                </c:pt>
                <c:pt idx="58">
                  <c:v>9.0828829485748708E-31</c:v>
                </c:pt>
                <c:pt idx="59">
                  <c:v>5.5345984562194198E-32</c:v>
                </c:pt>
                <c:pt idx="60">
                  <c:v>-1.02681041471263E-31</c:v>
                </c:pt>
                <c:pt idx="61">
                  <c:v>4.8839145907003401E-32</c:v>
                </c:pt>
                <c:pt idx="62">
                  <c:v>1.2150288458406E-30</c:v>
                </c:pt>
                <c:pt idx="63">
                  <c:v>9.4363856156719505E-31</c:v>
                </c:pt>
                <c:pt idx="64">
                  <c:v>-7.6499216560836999E-31</c:v>
                </c:pt>
                <c:pt idx="65">
                  <c:v>-1.74956910888833E-31</c:v>
                </c:pt>
                <c:pt idx="66">
                  <c:v>1.2222261200155701E-30</c:v>
                </c:pt>
                <c:pt idx="67">
                  <c:v>-3.9508028379972898E-31</c:v>
                </c:pt>
                <c:pt idx="68">
                  <c:v>-1.3414388979331099E-30</c:v>
                </c:pt>
                <c:pt idx="69">
                  <c:v>1.1490735038417499E-30</c:v>
                </c:pt>
                <c:pt idx="70">
                  <c:v>1.0707506607140099E-30</c:v>
                </c:pt>
                <c:pt idx="71">
                  <c:v>-1.9624452684636598E-30</c:v>
                </c:pt>
                <c:pt idx="72">
                  <c:v>-3.2603634533480602E-31</c:v>
                </c:pt>
                <c:pt idx="73">
                  <c:v>2.59379692465035E-30</c:v>
                </c:pt>
                <c:pt idx="74">
                  <c:v>-9.1938898220260707E-31</c:v>
                </c:pt>
                <c:pt idx="75">
                  <c:v>-2.6533095386821799E-30</c:v>
                </c:pt>
                <c:pt idx="76">
                  <c:v>2.5633074433405399E-30</c:v>
                </c:pt>
                <c:pt idx="77">
                  <c:v>-1.8375023908951601E-30</c:v>
                </c:pt>
                <c:pt idx="78">
                  <c:v>7.1839319244677502E-31</c:v>
                </c:pt>
                <c:pt idx="79">
                  <c:v>-1.6621958387645101E-31</c:v>
                </c:pt>
                <c:pt idx="80">
                  <c:v>1.5721696042691801E-32</c:v>
                </c:pt>
                <c:pt idx="81">
                  <c:v>8.4045207579671004E-36</c:v>
                </c:pt>
                <c:pt idx="82">
                  <c:v>-2.60937122002103E-36</c:v>
                </c:pt>
                <c:pt idx="83">
                  <c:v>5.5517198802541202E-37</c:v>
                </c:pt>
                <c:pt idx="84">
                  <c:v>-7.2693708042688302E-38</c:v>
                </c:pt>
                <c:pt idx="85">
                  <c:v>4.3062764225800202E-39</c:v>
                </c:pt>
                <c:pt idx="86">
                  <c:v>5.8434229696528895E-42</c:v>
                </c:pt>
                <c:pt idx="87">
                  <c:v>-1.2045709899148E-42</c:v>
                </c:pt>
                <c:pt idx="88">
                  <c:v>1.76046555072135E-43</c:v>
                </c:pt>
                <c:pt idx="89">
                  <c:v>-1.6207117779789301E-44</c:v>
                </c:pt>
                <c:pt idx="90">
                  <c:v>6.9413111577963902E-46</c:v>
                </c:pt>
                <c:pt idx="91">
                  <c:v>2.1073383345347899E-48</c:v>
                </c:pt>
                <c:pt idx="92">
                  <c:v>-3.2657602025508201E-49</c:v>
                </c:pt>
                <c:pt idx="93">
                  <c:v>3.63961136868151E-50</c:v>
                </c:pt>
                <c:pt idx="94">
                  <c:v>-2.5851485485056899E-51</c:v>
                </c:pt>
                <c:pt idx="95">
                  <c:v>8.5509118877484793E-53</c:v>
                </c:pt>
                <c:pt idx="96">
                  <c:v>5.2059800145529299E-55</c:v>
                </c:pt>
                <c:pt idx="97">
                  <c:v>-6.4706557833002903E-56</c:v>
                </c:pt>
                <c:pt idx="98">
                  <c:v>5.8283745033359201E-57</c:v>
                </c:pt>
                <c:pt idx="99">
                  <c:v>-3.3615116539960399E-58</c:v>
                </c:pt>
              </c:numCache>
            </c:numRef>
          </c:yVal>
          <c:smooth val="0"/>
          <c:extLst>
            <c:ext xmlns:c16="http://schemas.microsoft.com/office/drawing/2014/chart" uri="{C3380CC4-5D6E-409C-BE32-E72D297353CC}">
              <c16:uniqueId val="{00000012-05B1-4C8F-A5D2-C74BC92F11DF}"/>
            </c:ext>
          </c:extLst>
        </c:ser>
        <c:ser>
          <c:idx val="19"/>
          <c:order val="19"/>
          <c:tx>
            <c:strRef>
              <c:f>dynamicR!$AC$19</c:f>
              <c:strCache>
                <c:ptCount val="1"/>
                <c:pt idx="0">
                  <c:v>sd0RD</c:v>
                </c:pt>
              </c:strCache>
            </c:strRef>
          </c:tx>
          <c:spPr>
            <a:ln w="19050" cap="rnd">
              <a:solidFill>
                <a:schemeClr val="accent2">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dynamicR!$AC$20:$AC$119</c:f>
              <c:numCache>
                <c:formatCode>0.00</c:formatCode>
                <c:ptCount val="100"/>
                <c:pt idx="0">
                  <c:v>0</c:v>
                </c:pt>
                <c:pt idx="1">
                  <c:v>1</c:v>
                </c:pt>
                <c:pt idx="2">
                  <c:v>0.999999999999999</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0.999999999999999</c:v>
                </c:pt>
                <c:pt idx="41">
                  <c:v>1</c:v>
                </c:pt>
                <c:pt idx="42">
                  <c:v>1</c:v>
                </c:pt>
                <c:pt idx="43">
                  <c:v>1</c:v>
                </c:pt>
                <c:pt idx="44">
                  <c:v>1</c:v>
                </c:pt>
                <c:pt idx="45">
                  <c:v>1</c:v>
                </c:pt>
                <c:pt idx="46">
                  <c:v>1</c:v>
                </c:pt>
                <c:pt idx="47">
                  <c:v>1</c:v>
                </c:pt>
                <c:pt idx="48">
                  <c:v>1</c:v>
                </c:pt>
                <c:pt idx="49">
                  <c:v>1</c:v>
                </c:pt>
                <c:pt idx="50">
                  <c:v>1</c:v>
                </c:pt>
                <c:pt idx="51">
                  <c:v>7.6891759226168201E-19</c:v>
                </c:pt>
                <c:pt idx="52">
                  <c:v>7.5354617782781598E-19</c:v>
                </c:pt>
                <c:pt idx="53">
                  <c:v>7.3848256054700101E-19</c:v>
                </c:pt>
                <c:pt idx="54">
                  <c:v>7.2372039697180703E-19</c:v>
                </c:pt>
                <c:pt idx="55">
                  <c:v>7.0925325448768299E-19</c:v>
                </c:pt>
                <c:pt idx="56">
                  <c:v>6.9507525749401298E-19</c:v>
                </c:pt>
                <c:pt idx="57">
                  <c:v>6.81180628964974E-19</c:v>
                </c:pt>
                <c:pt idx="58">
                  <c:v>6.6756376505346605E-19</c:v>
                </c:pt>
                <c:pt idx="59">
                  <c:v>6.54219101476674E-19</c:v>
                </c:pt>
                <c:pt idx="60">
                  <c:v>6.4114119183849098E-19</c:v>
                </c:pt>
                <c:pt idx="61">
                  <c:v>6.2832469358729905E-19</c:v>
                </c:pt>
                <c:pt idx="62">
                  <c:v>6.15764390977138E-19</c:v>
                </c:pt>
                <c:pt idx="63">
                  <c:v>6.0345517269663099E-19</c:v>
                </c:pt>
                <c:pt idx="64">
                  <c:v>5.9139202149926704E-19</c:v>
                </c:pt>
                <c:pt idx="65">
                  <c:v>5.7957001756691401E-19</c:v>
                </c:pt>
                <c:pt idx="66">
                  <c:v>5.6798433711294503E-19</c:v>
                </c:pt>
                <c:pt idx="67">
                  <c:v>5.5663025345146103E-19</c:v>
                </c:pt>
                <c:pt idx="68">
                  <c:v>5.4550313951733099E-19</c:v>
                </c:pt>
                <c:pt idx="69">
                  <c:v>5.3459846012658103E-19</c:v>
                </c:pt>
                <c:pt idx="70">
                  <c:v>5.2391176545588902E-19</c:v>
                </c:pt>
                <c:pt idx="71">
                  <c:v>5.1343869761076001E-19</c:v>
                </c:pt>
                <c:pt idx="72">
                  <c:v>5.0317499038272199E-19</c:v>
                </c:pt>
                <c:pt idx="73">
                  <c:v>4.93116456751793E-19</c:v>
                </c:pt>
                <c:pt idx="74">
                  <c:v>4.8325899093128801E-19</c:v>
                </c:pt>
                <c:pt idx="75">
                  <c:v>4.7359857822142002E-19</c:v>
                </c:pt>
                <c:pt idx="76">
                  <c:v>4.6413128260518098E-19</c:v>
                </c:pt>
                <c:pt idx="77">
                  <c:v>4.5485323426963398E-19</c:v>
                </c:pt>
                <c:pt idx="78">
                  <c:v>4.4576065921295296E-19</c:v>
                </c:pt>
                <c:pt idx="79">
                  <c:v>4.3684984390709304E-19</c:v>
                </c:pt>
                <c:pt idx="80">
                  <c:v>4.2811715751857901E-19</c:v>
                </c:pt>
                <c:pt idx="81">
                  <c:v>4.1955903861413898E-19</c:v>
                </c:pt>
                <c:pt idx="82">
                  <c:v>4.11171997684258E-19</c:v>
                </c:pt>
                <c:pt idx="83">
                  <c:v>4.0295261481583399E-19</c:v>
                </c:pt>
                <c:pt idx="84">
                  <c:v>3.9489753848428101E-19</c:v>
                </c:pt>
                <c:pt idx="85">
                  <c:v>3.8700348419265998E-19</c:v>
                </c:pt>
                <c:pt idx="86">
                  <c:v>3.7926723310204101E-19</c:v>
                </c:pt>
                <c:pt idx="87">
                  <c:v>3.7168563070506999E-19</c:v>
                </c:pt>
                <c:pt idx="88">
                  <c:v>3.6425558554708498E-19</c:v>
                </c:pt>
                <c:pt idx="89">
                  <c:v>3.5697406797606499E-19</c:v>
                </c:pt>
                <c:pt idx="90">
                  <c:v>3.4983810890805801E-19</c:v>
                </c:pt>
                <c:pt idx="91">
                  <c:v>3.4284479861156802E-19</c:v>
                </c:pt>
                <c:pt idx="92">
                  <c:v>3.3599128551866301E-19</c:v>
                </c:pt>
                <c:pt idx="93">
                  <c:v>3.2927477506308399E-19</c:v>
                </c:pt>
                <c:pt idx="94">
                  <c:v>3.2269252854377199E-19</c:v>
                </c:pt>
                <c:pt idx="95">
                  <c:v>3.16241862007304E-19</c:v>
                </c:pt>
                <c:pt idx="96">
                  <c:v>3.09920145152583E-19</c:v>
                </c:pt>
                <c:pt idx="97">
                  <c:v>3.0372480025803599E-19</c:v>
                </c:pt>
                <c:pt idx="98">
                  <c:v>2.97653301131522E-19</c:v>
                </c:pt>
                <c:pt idx="99">
                  <c:v>2.91703172079545E-19</c:v>
                </c:pt>
              </c:numCache>
            </c:numRef>
          </c:yVal>
          <c:smooth val="0"/>
          <c:extLst>
            <c:ext xmlns:c16="http://schemas.microsoft.com/office/drawing/2014/chart" uri="{C3380CC4-5D6E-409C-BE32-E72D297353CC}">
              <c16:uniqueId val="{00000013-05B1-4C8F-A5D2-C74BC92F11DF}"/>
            </c:ext>
          </c:extLst>
        </c:ser>
        <c:ser>
          <c:idx val="20"/>
          <c:order val="20"/>
          <c:tx>
            <c:strRef>
              <c:f>dynamicR!$AD$19</c:f>
              <c:strCache>
                <c:ptCount val="1"/>
                <c:pt idx="0">
                  <c:v>sd0RS</c:v>
                </c:pt>
              </c:strCache>
            </c:strRef>
          </c:tx>
          <c:spPr>
            <a:ln w="19050" cap="rnd">
              <a:solidFill>
                <a:schemeClr val="accent3">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dynamicR!$AD$20:$AD$119</c:f>
              <c:numCache>
                <c:formatCode>0.00</c:formatCode>
                <c:ptCount val="100"/>
                <c:pt idx="0">
                  <c:v>0</c:v>
                </c:pt>
                <c:pt idx="1">
                  <c:v>1</c:v>
                </c:pt>
                <c:pt idx="2">
                  <c:v>0.999999999999999</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-1.10359152760316E-214</c:v>
                </c:pt>
                <c:pt idx="52">
                  <c:v>2.6585534111137101E-216</c:v>
                </c:pt>
                <c:pt idx="53">
                  <c:v>-9.0041437091081097E-216</c:v>
                </c:pt>
                <c:pt idx="54">
                  <c:v>1.1840188175838801E-214</c:v>
                </c:pt>
                <c:pt idx="55">
                  <c:v>-7.4536993081464496E-215</c:v>
                </c:pt>
                <c:pt idx="56">
                  <c:v>2.43003245296445E-214</c:v>
                </c:pt>
                <c:pt idx="57">
                  <c:v>-7.0817103869331605E-215</c:v>
                </c:pt>
                <c:pt idx="58">
                  <c:v>1.3184412596232099E-215</c:v>
                </c:pt>
                <c:pt idx="59">
                  <c:v>8.0305819269094593E-217</c:v>
                </c:pt>
                <c:pt idx="60">
                  <c:v>-1.4901513460859799E-216</c:v>
                </c:pt>
                <c:pt idx="61">
                  <c:v>7.0933854541945802E-217</c:v>
                </c:pt>
                <c:pt idx="62">
                  <c:v>1.7635944395278899E-215</c:v>
                </c:pt>
                <c:pt idx="63">
                  <c:v>1.3696891387675499E-215</c:v>
                </c:pt>
                <c:pt idx="64">
                  <c:v>-1.11033340779888E-215</c:v>
                </c:pt>
                <c:pt idx="65">
                  <c:v>-2.53955881436939E-216</c:v>
                </c:pt>
                <c:pt idx="66">
                  <c:v>1.7740089259024599E-215</c:v>
                </c:pt>
                <c:pt idx="67">
                  <c:v>-5.7342973916668699E-216</c:v>
                </c:pt>
                <c:pt idx="68">
                  <c:v>-1.94705291476492E-215</c:v>
                </c:pt>
                <c:pt idx="69">
                  <c:v>1.6678280831094299E-215</c:v>
                </c:pt>
                <c:pt idx="70">
                  <c:v>1.55416469683497E-215</c:v>
                </c:pt>
                <c:pt idx="71">
                  <c:v>-2.8484194079576799E-215</c:v>
                </c:pt>
                <c:pt idx="72">
                  <c:v>-4.7323555057786801E-216</c:v>
                </c:pt>
                <c:pt idx="73">
                  <c:v>3.7648164013817102E-215</c:v>
                </c:pt>
                <c:pt idx="74">
                  <c:v>-1.3344707071024401E-215</c:v>
                </c:pt>
                <c:pt idx="75">
                  <c:v>-3.8512017313950202E-215</c:v>
                </c:pt>
                <c:pt idx="76">
                  <c:v>3.7205806265625098E-215</c:v>
                </c:pt>
                <c:pt idx="77">
                  <c:v>-2.6671233660776102E-215</c:v>
                </c:pt>
                <c:pt idx="78">
                  <c:v>1.04278557825334E-215</c:v>
                </c:pt>
                <c:pt idx="79">
                  <c:v>-2.4131087031627601E-216</c:v>
                </c:pt>
                <c:pt idx="80">
                  <c:v>2.28476964340366E-217</c:v>
                </c:pt>
                <c:pt idx="81">
                  <c:v>1.21978027074099E-222</c:v>
                </c:pt>
                <c:pt idx="82">
                  <c:v>-3.7872795301000198E-223</c:v>
                </c:pt>
                <c:pt idx="83">
                  <c:v>8.0590636183887998E-224</c:v>
                </c:pt>
                <c:pt idx="84">
                  <c:v>-1.05585854607176E-224</c:v>
                </c:pt>
                <c:pt idx="85">
                  <c:v>6.2801016625273901E-226</c:v>
                </c:pt>
                <c:pt idx="86">
                  <c:v>1.4341218510074399E-230</c:v>
                </c:pt>
                <c:pt idx="87">
                  <c:v>-2.9525543978051501E-231</c:v>
                </c:pt>
                <c:pt idx="88">
                  <c:v>4.3170582482998602E-232</c:v>
                </c:pt>
                <c:pt idx="89">
                  <c:v>-3.9812864722347198E-233</c:v>
                </c:pt>
                <c:pt idx="90">
                  <c:v>1.72591090223394E-234</c:v>
                </c:pt>
                <c:pt idx="91">
                  <c:v>1.12637980720177E-238</c:v>
                </c:pt>
                <c:pt idx="92">
                  <c:v>-1.7475715980913999E-239</c:v>
                </c:pt>
                <c:pt idx="93">
                  <c:v>1.9497713208636501E-240</c:v>
                </c:pt>
                <c:pt idx="94">
                  <c:v>-1.3908598255724199E-241</c:v>
                </c:pt>
                <c:pt idx="95">
                  <c:v>4.7414195126781005E-243</c:v>
                </c:pt>
                <c:pt idx="96">
                  <c:v>7.0948144145667404E-247</c:v>
                </c:pt>
                <c:pt idx="97">
                  <c:v>-8.8234474360627393E-248</c:v>
                </c:pt>
                <c:pt idx="98">
                  <c:v>7.9664135173461799E-249</c:v>
                </c:pt>
                <c:pt idx="99">
                  <c:v>-4.6375086761899401E-250</c:v>
                </c:pt>
              </c:numCache>
            </c:numRef>
          </c:yVal>
          <c:smooth val="0"/>
          <c:extLst>
            <c:ext xmlns:c16="http://schemas.microsoft.com/office/drawing/2014/chart" uri="{C3380CC4-5D6E-409C-BE32-E72D297353CC}">
              <c16:uniqueId val="{00000014-05B1-4C8F-A5D2-C74BC92F11DF}"/>
            </c:ext>
          </c:extLst>
        </c:ser>
        <c:ser>
          <c:idx val="21"/>
          <c:order val="21"/>
          <c:tx>
            <c:strRef>
              <c:f>dynamicR!$AE$19</c:f>
              <c:strCache>
                <c:ptCount val="1"/>
                <c:pt idx="0">
                  <c:v>sd0RA</c:v>
                </c:pt>
              </c:strCache>
            </c:strRef>
          </c:tx>
          <c:spPr>
            <a:ln w="19050" cap="rnd">
              <a:solidFill>
                <a:schemeClr val="accent4">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dynamicR!$AE$20:$AE$119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7.1504260295682499E-89</c:v>
                </c:pt>
                <c:pt idx="52">
                  <c:v>-1.7225513021102199E-90</c:v>
                </c:pt>
                <c:pt idx="53">
                  <c:v>5.8339058070742502E-90</c:v>
                </c:pt>
                <c:pt idx="54">
                  <c:v>-7.6715375713355995E-89</c:v>
                </c:pt>
                <c:pt idx="55">
                  <c:v>4.82941291173095E-89</c:v>
                </c:pt>
                <c:pt idx="56">
                  <c:v>-1.5744698235513399E-88</c:v>
                </c:pt>
                <c:pt idx="57">
                  <c:v>4.5883729772834502E-89</c:v>
                </c:pt>
                <c:pt idx="58">
                  <c:v>-8.5423254267877598E-90</c:v>
                </c:pt>
                <c:pt idx="59">
                  <c:v>-5.2036694455748004E-91</c:v>
                </c:pt>
                <c:pt idx="60">
                  <c:v>9.6554336441883104E-91</c:v>
                </c:pt>
                <c:pt idx="61">
                  <c:v>-4.5951752346138899E-91</c:v>
                </c:pt>
                <c:pt idx="62">
                  <c:v>-1.14266983919281E-89</c:v>
                </c:pt>
                <c:pt idx="63">
                  <c:v>-8.8744802074682404E-90</c:v>
                </c:pt>
                <c:pt idx="64">
                  <c:v>7.1941531985746099E-90</c:v>
                </c:pt>
                <c:pt idx="65">
                  <c:v>1.6454180573416701E-90</c:v>
                </c:pt>
                <c:pt idx="66">
                  <c:v>-1.14942323306156E-89</c:v>
                </c:pt>
                <c:pt idx="67">
                  <c:v>3.7154115277465602E-90</c:v>
                </c:pt>
                <c:pt idx="68">
                  <c:v>1.2615405630587999E-89</c:v>
                </c:pt>
                <c:pt idx="69">
                  <c:v>-1.08062663910388E-89</c:v>
                </c:pt>
                <c:pt idx="70">
                  <c:v>-1.0069780554852699E-89</c:v>
                </c:pt>
                <c:pt idx="71">
                  <c:v>1.8455573192180499E-89</c:v>
                </c:pt>
                <c:pt idx="72">
                  <c:v>3.06619351932055E-90</c:v>
                </c:pt>
                <c:pt idx="73">
                  <c:v>-2.4393100873719299E-89</c:v>
                </c:pt>
                <c:pt idx="74">
                  <c:v>8.6463293287319503E-90</c:v>
                </c:pt>
                <c:pt idx="75">
                  <c:v>2.49528025672516E-89</c:v>
                </c:pt>
                <c:pt idx="76">
                  <c:v>-2.41064558431253E-89</c:v>
                </c:pt>
                <c:pt idx="77">
                  <c:v>1.7280820784099402E-89</c:v>
                </c:pt>
                <c:pt idx="78">
                  <c:v>-6.7563413183307996E-90</c:v>
                </c:pt>
                <c:pt idx="79">
                  <c:v>1.56342455078475E-90</c:v>
                </c:pt>
                <c:pt idx="80">
                  <c:v>-1.4798671124581901E-91</c:v>
                </c:pt>
                <c:pt idx="81">
                  <c:v>-2.1705915117138402E-95</c:v>
                </c:pt>
                <c:pt idx="82">
                  <c:v>6.7392798205379596E-96</c:v>
                </c:pt>
                <c:pt idx="83">
                  <c:v>-1.4339727795161899E-96</c:v>
                </c:pt>
                <c:pt idx="84">
                  <c:v>1.8782247529634999E-97</c:v>
                </c:pt>
                <c:pt idx="85">
                  <c:v>-1.1150941893819899E-98</c:v>
                </c:pt>
                <c:pt idx="86">
                  <c:v>-6.9986488005709797E-102</c:v>
                </c:pt>
                <c:pt idx="87">
                  <c:v>1.4428139282392799E-102</c:v>
                </c:pt>
                <c:pt idx="88">
                  <c:v>-2.1090421771250201E-103</c:v>
                </c:pt>
                <c:pt idx="89">
                  <c:v>1.9430047555028099E-104</c:v>
                </c:pt>
                <c:pt idx="90">
                  <c:v>-8.3632302353591498E-106</c:v>
                </c:pt>
                <c:pt idx="91">
                  <c:v>-1.5128263967777301E-108</c:v>
                </c:pt>
                <c:pt idx="92">
                  <c:v>2.3447235744716898E-109</c:v>
                </c:pt>
                <c:pt idx="93">
                  <c:v>-2.6140261448616501E-110</c:v>
                </c:pt>
                <c:pt idx="94">
                  <c:v>1.8591677274593601E-111</c:v>
                </c:pt>
                <c:pt idx="95">
                  <c:v>-6.2079117896107805E-113</c:v>
                </c:pt>
                <c:pt idx="96">
                  <c:v>-2.6137319881478501E-115</c:v>
                </c:pt>
                <c:pt idx="97">
                  <c:v>3.24929423621772E-116</c:v>
                </c:pt>
                <c:pt idx="98">
                  <c:v>-2.92837490007685E-117</c:v>
                </c:pt>
                <c:pt idx="99">
                  <c:v>1.69260883504332E-118</c:v>
                </c:pt>
              </c:numCache>
            </c:numRef>
          </c:yVal>
          <c:smooth val="0"/>
          <c:extLst>
            <c:ext xmlns:c16="http://schemas.microsoft.com/office/drawing/2014/chart" uri="{C3380CC4-5D6E-409C-BE32-E72D297353CC}">
              <c16:uniqueId val="{00000015-05B1-4C8F-A5D2-C74BC92F11DF}"/>
            </c:ext>
          </c:extLst>
        </c:ser>
        <c:ser>
          <c:idx val="22"/>
          <c:order val="22"/>
          <c:tx>
            <c:strRef>
              <c:f>dynamicR!$AF$19</c:f>
              <c:strCache>
                <c:ptCount val="1"/>
                <c:pt idx="0">
                  <c:v>sd0RP</c:v>
                </c:pt>
              </c:strCache>
            </c:strRef>
          </c:tx>
          <c:spPr>
            <a:ln w="19050" cap="rnd">
              <a:solidFill>
                <a:schemeClr val="accent5">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dynamicR!$AF$20:$AF$119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0.999999999999998</c:v>
                </c:pt>
                <c:pt idx="18">
                  <c:v>1</c:v>
                </c:pt>
                <c:pt idx="19">
                  <c:v>1</c:v>
                </c:pt>
                <c:pt idx="20">
                  <c:v>0.999999999999997</c:v>
                </c:pt>
                <c:pt idx="21">
                  <c:v>1</c:v>
                </c:pt>
                <c:pt idx="22">
                  <c:v>1.00000000000001</c:v>
                </c:pt>
                <c:pt idx="23">
                  <c:v>0.999999999999997</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5.6787043574314801E-89</c:v>
                </c:pt>
                <c:pt idx="52">
                  <c:v>-1.3680107352682199E-90</c:v>
                </c:pt>
                <c:pt idx="53">
                  <c:v>4.6331541865185901E-90</c:v>
                </c:pt>
                <c:pt idx="54">
                  <c:v>-6.0925591884222997E-89</c:v>
                </c:pt>
                <c:pt idx="55">
                  <c:v>3.8354089700992098E-89</c:v>
                </c:pt>
                <c:pt idx="56">
                  <c:v>-1.25040782265731E-88</c:v>
                </c:pt>
                <c:pt idx="57">
                  <c:v>3.6439805820472002E-89</c:v>
                </c:pt>
                <c:pt idx="58">
                  <c:v>-6.7841189316058197E-90</c:v>
                </c:pt>
                <c:pt idx="59">
                  <c:v>-4.13263492500861E-91</c:v>
                </c:pt>
                <c:pt idx="60">
                  <c:v>7.6681239481912403E-91</c:v>
                </c:pt>
                <c:pt idx="61">
                  <c:v>-3.6493827787734701E-91</c:v>
                </c:pt>
                <c:pt idx="62">
                  <c:v>-9.0748217860364801E-90</c:v>
                </c:pt>
                <c:pt idx="63">
                  <c:v>-7.0479086402922002E-90</c:v>
                </c:pt>
                <c:pt idx="64">
                  <c:v>5.7134314689381699E-90</c:v>
                </c:pt>
                <c:pt idx="65">
                  <c:v>1.3067532826849299E-90</c:v>
                </c:pt>
                <c:pt idx="66">
                  <c:v>-9.12845569121855E-90</c:v>
                </c:pt>
                <c:pt idx="67">
                  <c:v>2.9506946205827699E-90</c:v>
                </c:pt>
                <c:pt idx="68">
                  <c:v>1.0018865811406899E-89</c:v>
                </c:pt>
                <c:pt idx="69">
                  <c:v>-8.5820889208368195E-90</c:v>
                </c:pt>
                <c:pt idx="70">
                  <c:v>-7.9971887613955395E-90</c:v>
                </c:pt>
                <c:pt idx="71">
                  <c:v>1.4656992941766801E-89</c:v>
                </c:pt>
                <c:pt idx="72">
                  <c:v>2.4351005684189499E-90</c:v>
                </c:pt>
                <c:pt idx="73">
                  <c:v>-1.9372441246386899E-89</c:v>
                </c:pt>
                <c:pt idx="74">
                  <c:v>6.8667164451498104E-90</c:v>
                </c:pt>
                <c:pt idx="75">
                  <c:v>1.98169434943624E-89</c:v>
                </c:pt>
                <c:pt idx="76">
                  <c:v>-1.9144794337430701E-89</c:v>
                </c:pt>
                <c:pt idx="77">
                  <c:v>1.3724031522781E-89</c:v>
                </c:pt>
                <c:pt idx="78">
                  <c:v>-5.3657313150748802E-90</c:v>
                </c:pt>
                <c:pt idx="79">
                  <c:v>1.2416359203379299E-90</c:v>
                </c:pt>
                <c:pt idx="80">
                  <c:v>-1.17527651924922E-91</c:v>
                </c:pt>
                <c:pt idx="81">
                  <c:v>-1.72383399499787E-95</c:v>
                </c:pt>
                <c:pt idx="82">
                  <c:v>5.3521814606302801E-96</c:v>
                </c:pt>
                <c:pt idx="83">
                  <c:v>-1.13882829013077E-96</c:v>
                </c:pt>
                <c:pt idx="84">
                  <c:v>1.4916430155010799E-97</c:v>
                </c:pt>
                <c:pt idx="85">
                  <c:v>-8.8558222479898899E-99</c:v>
                </c:pt>
                <c:pt idx="86">
                  <c:v>-5.5581864806784302E-102</c:v>
                </c:pt>
                <c:pt idx="87">
                  <c:v>1.14584973205819E-102</c:v>
                </c:pt>
                <c:pt idx="88">
                  <c:v>-1.67495292970805E-103</c:v>
                </c:pt>
                <c:pt idx="89">
                  <c:v>1.5430898139133001E-104</c:v>
                </c:pt>
                <c:pt idx="90">
                  <c:v>-6.6418858463176402E-106</c:v>
                </c:pt>
                <c:pt idx="91">
                  <c:v>-1.2014543035768201E-108</c:v>
                </c:pt>
                <c:pt idx="92">
                  <c:v>1.86212568365389E-109</c:v>
                </c:pt>
                <c:pt idx="93">
                  <c:v>-2.0759996084050599E-110</c:v>
                </c:pt>
                <c:pt idx="94">
                  <c:v>1.47650839183419E-111</c:v>
                </c:pt>
                <c:pt idx="95">
                  <c:v>-4.9301812999886002E-113</c:v>
                </c:pt>
                <c:pt idx="96">
                  <c:v>-2.0757679179847099E-115</c:v>
                </c:pt>
                <c:pt idx="97">
                  <c:v>2.5805149915747702E-116</c:v>
                </c:pt>
                <c:pt idx="98">
                  <c:v>-2.3256482056915702E-117</c:v>
                </c:pt>
                <c:pt idx="99">
                  <c:v>1.34423114801851E-118</c:v>
                </c:pt>
              </c:numCache>
            </c:numRef>
          </c:yVal>
          <c:smooth val="0"/>
          <c:extLst>
            <c:ext xmlns:c16="http://schemas.microsoft.com/office/drawing/2014/chart" uri="{C3380CC4-5D6E-409C-BE32-E72D297353CC}">
              <c16:uniqueId val="{00000016-05B1-4C8F-A5D2-C74BC92F11DF}"/>
            </c:ext>
          </c:extLst>
        </c:ser>
        <c:ser>
          <c:idx val="23"/>
          <c:order val="23"/>
          <c:tx>
            <c:strRef>
              <c:f>dynamicR!$AG$19</c:f>
              <c:strCache>
                <c:ptCount val="1"/>
                <c:pt idx="0">
                  <c:v>sd1RD</c:v>
                </c:pt>
              </c:strCache>
            </c:strRef>
          </c:tx>
          <c:spPr>
            <a:ln w="19050" cap="rnd">
              <a:solidFill>
                <a:schemeClr val="accent6">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dynamicR!$AG$20:$AG$119</c:f>
              <c:numCache>
                <c:formatCode>0.00</c:formatCode>
                <c:ptCount val="100"/>
                <c:pt idx="0">
                  <c:v>0</c:v>
                </c:pt>
                <c:pt idx="1">
                  <c:v>0.999999999999999</c:v>
                </c:pt>
                <c:pt idx="2">
                  <c:v>1</c:v>
                </c:pt>
                <c:pt idx="3">
                  <c:v>1</c:v>
                </c:pt>
                <c:pt idx="4">
                  <c:v>1</c:v>
                </c:pt>
                <c:pt idx="5">
                  <c:v>1</c:v>
                </c:pt>
                <c:pt idx="6">
                  <c:v>1</c:v>
                </c:pt>
                <c:pt idx="7">
                  <c:v>1</c:v>
                </c:pt>
                <c:pt idx="8">
                  <c:v>1</c:v>
                </c:pt>
                <c:pt idx="9">
                  <c:v>1</c:v>
                </c:pt>
                <c:pt idx="10">
                  <c:v>1</c:v>
                </c:pt>
                <c:pt idx="11">
                  <c:v>1</c:v>
                </c:pt>
                <c:pt idx="12">
                  <c:v>0.999999999999999</c:v>
                </c:pt>
                <c:pt idx="13">
                  <c:v>1</c:v>
                </c:pt>
                <c:pt idx="14">
                  <c:v>1</c:v>
                </c:pt>
                <c:pt idx="15">
                  <c:v>0.999999999999999</c:v>
                </c:pt>
                <c:pt idx="16">
                  <c:v>0.999999999999999</c:v>
                </c:pt>
                <c:pt idx="17">
                  <c:v>1</c:v>
                </c:pt>
                <c:pt idx="18">
                  <c:v>1</c:v>
                </c:pt>
                <c:pt idx="19">
                  <c:v>0.999999999999996</c:v>
                </c:pt>
                <c:pt idx="20">
                  <c:v>1</c:v>
                </c:pt>
                <c:pt idx="21">
                  <c:v>1</c:v>
                </c:pt>
                <c:pt idx="22">
                  <c:v>0.99999999999999201</c:v>
                </c:pt>
                <c:pt idx="23">
                  <c:v>1</c:v>
                </c:pt>
                <c:pt idx="24">
                  <c:v>0.999999999999998</c:v>
                </c:pt>
                <c:pt idx="25">
                  <c:v>1</c:v>
                </c:pt>
                <c:pt idx="26">
                  <c:v>1</c:v>
                </c:pt>
                <c:pt idx="27">
                  <c:v>1</c:v>
                </c:pt>
                <c:pt idx="28">
                  <c:v>1</c:v>
                </c:pt>
                <c:pt idx="29">
                  <c:v>1</c:v>
                </c:pt>
                <c:pt idx="30">
                  <c:v>1</c:v>
                </c:pt>
                <c:pt idx="31">
                  <c:v>1</c:v>
                </c:pt>
                <c:pt idx="32">
                  <c:v>1</c:v>
                </c:pt>
                <c:pt idx="33">
                  <c:v>1</c:v>
                </c:pt>
                <c:pt idx="34">
                  <c:v>1</c:v>
                </c:pt>
                <c:pt idx="35">
                  <c:v>0.999999999999999</c:v>
                </c:pt>
                <c:pt idx="36">
                  <c:v>1</c:v>
                </c:pt>
                <c:pt idx="37">
                  <c:v>0.999999999999999</c:v>
                </c:pt>
                <c:pt idx="38">
                  <c:v>1</c:v>
                </c:pt>
                <c:pt idx="39">
                  <c:v>1</c:v>
                </c:pt>
                <c:pt idx="40">
                  <c:v>1</c:v>
                </c:pt>
                <c:pt idx="41">
                  <c:v>1</c:v>
                </c:pt>
                <c:pt idx="42">
                  <c:v>1</c:v>
                </c:pt>
                <c:pt idx="43">
                  <c:v>1</c:v>
                </c:pt>
                <c:pt idx="44">
                  <c:v>1</c:v>
                </c:pt>
                <c:pt idx="45">
                  <c:v>1</c:v>
                </c:pt>
                <c:pt idx="46">
                  <c:v>1</c:v>
                </c:pt>
                <c:pt idx="47">
                  <c:v>1</c:v>
                </c:pt>
                <c:pt idx="48">
                  <c:v>1</c:v>
                </c:pt>
                <c:pt idx="49">
                  <c:v>1</c:v>
                </c:pt>
                <c:pt idx="50">
                  <c:v>1</c:v>
                </c:pt>
                <c:pt idx="51">
                  <c:v>8.8867518391708704E-18</c:v>
                </c:pt>
                <c:pt idx="52">
                  <c:v>8.7090153055509404E-18</c:v>
                </c:pt>
                <c:pt idx="53">
                  <c:v>8.5349279554952004E-18</c:v>
                </c:pt>
                <c:pt idx="54">
                  <c:v>8.3642221892748796E-18</c:v>
                </c:pt>
                <c:pt idx="55">
                  <c:v>8.1971621261012598E-18</c:v>
                </c:pt>
                <c:pt idx="56">
                  <c:v>8.0330679619673605E-18</c:v>
                </c:pt>
                <c:pt idx="57">
                  <c:v>7.8727133597531205E-18</c:v>
                </c:pt>
                <c:pt idx="58">
                  <c:v>7.7152764830519205E-18</c:v>
                </c:pt>
                <c:pt idx="59">
                  <c:v>7.5610561856392399E-18</c:v>
                </c:pt>
                <c:pt idx="60">
                  <c:v>7.4099115909782997E-18</c:v>
                </c:pt>
                <c:pt idx="61">
                  <c:v>7.2617848895404502E-18</c:v>
                </c:pt>
                <c:pt idx="62">
                  <c:v>7.1166082401962298E-18</c:v>
                </c:pt>
                <c:pt idx="63">
                  <c:v>6.9743488746081008E-18</c:v>
                </c:pt>
                <c:pt idx="64">
                  <c:v>6.8349487613101702E-18</c:v>
                </c:pt>
                <c:pt idx="65">
                  <c:v>6.69831105718342E-18</c:v>
                </c:pt>
                <c:pt idx="66">
                  <c:v>6.5643960365764903E-18</c:v>
                </c:pt>
                <c:pt idx="67">
                  <c:v>6.4331899353940299E-18</c:v>
                </c:pt>
                <c:pt idx="68">
                  <c:v>6.3045997922973097E-18</c:v>
                </c:pt>
                <c:pt idx="69">
                  <c:v>6.1785436497643002E-18</c:v>
                </c:pt>
                <c:pt idx="70">
                  <c:v>6.0550343465831099E-18</c:v>
                </c:pt>
                <c:pt idx="71">
                  <c:v>5.9340255939333204E-18</c:v>
                </c:pt>
                <c:pt idx="72">
                  <c:v>5.8153865489650296E-18</c:v>
                </c:pt>
                <c:pt idx="73">
                  <c:v>5.69910506455353E-18</c:v>
                </c:pt>
                <c:pt idx="74">
                  <c:v>5.5852161774426496E-18</c:v>
                </c:pt>
                <c:pt idx="75">
                  <c:v>5.4735856884405701E-18</c:v>
                </c:pt>
                <c:pt idx="76">
                  <c:v>5.3641128232465703E-18</c:v>
                </c:pt>
                <c:pt idx="77">
                  <c:v>5.2569299189099401E-18</c:v>
                </c:pt>
                <c:pt idx="78">
                  <c:v>5.1518163697032097E-18</c:v>
                </c:pt>
                <c:pt idx="79">
                  <c:v>5.0488400748678097E-18</c:v>
                </c:pt>
                <c:pt idx="80">
                  <c:v>4.9479112524440397E-18</c:v>
                </c:pt>
                <c:pt idx="81">
                  <c:v>4.8490019760049998E-18</c:v>
                </c:pt>
                <c:pt idx="82">
                  <c:v>4.7520697968704897E-18</c:v>
                </c:pt>
                <c:pt idx="83">
                  <c:v>4.65707528605033E-18</c:v>
                </c:pt>
                <c:pt idx="84">
                  <c:v>4.5639797328396098E-18</c:v>
                </c:pt>
                <c:pt idx="85">
                  <c:v>4.4727451711690303E-18</c:v>
                </c:pt>
                <c:pt idx="86">
                  <c:v>4.3833344006653604E-18</c:v>
                </c:pt>
                <c:pt idx="87">
                  <c:v>4.2957109634223004E-18</c:v>
                </c:pt>
                <c:pt idx="88">
                  <c:v>4.2098391303265099E-18</c:v>
                </c:pt>
                <c:pt idx="89">
                  <c:v>4.1256838865501103E-18</c:v>
                </c:pt>
                <c:pt idx="90">
                  <c:v>4.0432109172700902E-18</c:v>
                </c:pt>
                <c:pt idx="91">
                  <c:v>3.9623865936225502E-18</c:v>
                </c:pt>
                <c:pt idx="92">
                  <c:v>3.8831779589618597E-18</c:v>
                </c:pt>
                <c:pt idx="93">
                  <c:v>3.8055527154321602E-18</c:v>
                </c:pt>
                <c:pt idx="94">
                  <c:v>3.7294792108328101E-18</c:v>
                </c:pt>
                <c:pt idx="95">
                  <c:v>3.6549264257022202E-18</c:v>
                </c:pt>
                <c:pt idx="96">
                  <c:v>3.5818639606589497E-18</c:v>
                </c:pt>
                <c:pt idx="97">
                  <c:v>3.5102620240029602E-18</c:v>
                </c:pt>
                <c:pt idx="98">
                  <c:v>3.4400914195792802E-18</c:v>
                </c:pt>
                <c:pt idx="99">
                  <c:v>3.3713235348648001E-18</c:v>
                </c:pt>
              </c:numCache>
            </c:numRef>
          </c:yVal>
          <c:smooth val="0"/>
          <c:extLst>
            <c:ext xmlns:c16="http://schemas.microsoft.com/office/drawing/2014/chart" uri="{C3380CC4-5D6E-409C-BE32-E72D297353CC}">
              <c16:uniqueId val="{00000017-05B1-4C8F-A5D2-C74BC92F11DF}"/>
            </c:ext>
          </c:extLst>
        </c:ser>
        <c:ser>
          <c:idx val="24"/>
          <c:order val="24"/>
          <c:tx>
            <c:strRef>
              <c:f>dynamicR!$AH$19</c:f>
              <c:strCache>
                <c:ptCount val="1"/>
                <c:pt idx="0">
                  <c:v>sd1RS</c:v>
                </c:pt>
              </c:strCache>
            </c:strRef>
          </c:tx>
          <c:spPr>
            <a:ln w="19050" cap="rnd">
              <a:solidFill>
                <a:schemeClr val="accent1">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dynamicR!$AH$20:$AH$119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-1.14655687328561E-217</c:v>
                </c:pt>
                <c:pt idx="52">
                  <c:v>2.7620565392368599E-219</c:v>
                </c:pt>
                <c:pt idx="53">
                  <c:v>-9.3546945271496002E-219</c:v>
                </c:pt>
                <c:pt idx="54">
                  <c:v>1.23011535768896E-217</c:v>
                </c:pt>
                <c:pt idx="55">
                  <c:v>-7.7438888250001598E-218</c:v>
                </c:pt>
                <c:pt idx="56">
                  <c:v>2.5246391366557898E-217</c:v>
                </c:pt>
                <c:pt idx="57">
                  <c:v>-7.3574174569018199E-218</c:v>
                </c:pt>
                <c:pt idx="58">
                  <c:v>1.36977117164089E-218</c:v>
                </c:pt>
                <c:pt idx="59">
                  <c:v>8.3432307163390904E-220</c:v>
                </c:pt>
                <c:pt idx="60">
                  <c:v>-1.5481663216710601E-219</c:v>
                </c:pt>
                <c:pt idx="61">
                  <c:v>7.3695470568558896E-220</c:v>
                </c:pt>
                <c:pt idx="62">
                  <c:v>1.8322551756472199E-218</c:v>
                </c:pt>
                <c:pt idx="63">
                  <c:v>1.4230142470887601E-218</c:v>
                </c:pt>
                <c:pt idx="64">
                  <c:v>-1.1535612085951501E-218</c:v>
                </c:pt>
                <c:pt idx="65">
                  <c:v>-2.6384296055816499E-219</c:v>
                </c:pt>
                <c:pt idx="66">
                  <c:v>1.8430751216245099E-218</c:v>
                </c:pt>
                <c:pt idx="67">
                  <c:v>-5.9575466099755804E-219</c:v>
                </c:pt>
                <c:pt idx="68">
                  <c:v>-2.0228561059038701E-218</c:v>
                </c:pt>
                <c:pt idx="69">
                  <c:v>1.73276041751697E-218</c:v>
                </c:pt>
                <c:pt idx="70">
                  <c:v>1.6146718575198501E-218</c:v>
                </c:pt>
                <c:pt idx="71">
                  <c:v>-2.9593148434067198E-218</c:v>
                </c:pt>
                <c:pt idx="72">
                  <c:v>-4.9165968513648102E-219</c:v>
                </c:pt>
                <c:pt idx="73">
                  <c:v>3.9113892526446401E-218</c:v>
                </c:pt>
                <c:pt idx="74">
                  <c:v>-1.3864246819084099E-218</c:v>
                </c:pt>
                <c:pt idx="75">
                  <c:v>-4.00113775971039E-218</c:v>
                </c:pt>
                <c:pt idx="76">
                  <c:v>3.8654312786654901E-218</c:v>
                </c:pt>
                <c:pt idx="77">
                  <c:v>-2.7709605349477299E-218</c:v>
                </c:pt>
                <c:pt idx="78">
                  <c:v>1.08338358866471E-218</c:v>
                </c:pt>
                <c:pt idx="79">
                  <c:v>-2.50705650441477E-219</c:v>
                </c:pt>
                <c:pt idx="80">
                  <c:v>2.3737209136389901E-220</c:v>
                </c:pt>
                <c:pt idx="81">
                  <c:v>1.2672692070380501E-225</c:v>
                </c:pt>
                <c:pt idx="82">
                  <c:v>-3.93472739171953E-226</c:v>
                </c:pt>
                <c:pt idx="83">
                  <c:v>8.3728225012653098E-227</c:v>
                </c:pt>
                <c:pt idx="84">
                  <c:v>-1.0969660200474801E-227</c:v>
                </c:pt>
                <c:pt idx="85">
                  <c:v>6.5246160667832698E-229</c:v>
                </c:pt>
                <c:pt idx="86">
                  <c:v>1.4750887132508501E-233</c:v>
                </c:pt>
                <c:pt idx="87">
                  <c:v>-3.0675053503126102E-234</c:v>
                </c:pt>
                <c:pt idx="88">
                  <c:v>4.4851349961196303E-235</c:v>
                </c:pt>
                <c:pt idx="89">
                  <c:v>-4.1362923806425098E-236</c:v>
                </c:pt>
                <c:pt idx="90">
                  <c:v>1.79310693737629E-237</c:v>
                </c:pt>
                <c:pt idx="91">
                  <c:v>1.16844869731544E-241</c:v>
                </c:pt>
                <c:pt idx="92">
                  <c:v>-1.81560913447961E-242</c:v>
                </c:pt>
                <c:pt idx="93">
                  <c:v>2.0256815443081499E-243</c:v>
                </c:pt>
                <c:pt idx="94">
                  <c:v>-1.4450091286467E-244</c:v>
                </c:pt>
                <c:pt idx="95">
                  <c:v>4.9260186471290202E-246</c:v>
                </c:pt>
                <c:pt idx="96">
                  <c:v>7.3609407607339504E-250</c:v>
                </c:pt>
                <c:pt idx="97">
                  <c:v>-9.1669698929959007E-251</c:v>
                </c:pt>
                <c:pt idx="98">
                  <c:v>8.27657430450962E-252</c:v>
                </c:pt>
                <c:pt idx="99">
                  <c:v>-4.8180694094669598E-253</c:v>
                </c:pt>
              </c:numCache>
            </c:numRef>
          </c:yVal>
          <c:smooth val="0"/>
          <c:extLst>
            <c:ext xmlns:c16="http://schemas.microsoft.com/office/drawing/2014/chart" uri="{C3380CC4-5D6E-409C-BE32-E72D297353CC}">
              <c16:uniqueId val="{00000018-05B1-4C8F-A5D2-C74BC92F11DF}"/>
            </c:ext>
          </c:extLst>
        </c:ser>
        <c:ser>
          <c:idx val="25"/>
          <c:order val="25"/>
          <c:tx>
            <c:strRef>
              <c:f>dynamicR!$AI$19</c:f>
              <c:strCache>
                <c:ptCount val="1"/>
                <c:pt idx="0">
                  <c:v>sd1RA</c:v>
                </c:pt>
              </c:strCache>
            </c:strRef>
          </c:tx>
          <c:spPr>
            <a:ln w="19050" cap="rnd">
              <a:solidFill>
                <a:schemeClr val="accent2">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dynamicR!$AI$20:$AI$119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0.999999999999999</c:v>
                </c:pt>
                <c:pt idx="14">
                  <c:v>1</c:v>
                </c:pt>
                <c:pt idx="15">
                  <c:v>1</c:v>
                </c:pt>
                <c:pt idx="16">
                  <c:v>0.999999999999999</c:v>
                </c:pt>
                <c:pt idx="17">
                  <c:v>1</c:v>
                </c:pt>
                <c:pt idx="18">
                  <c:v>1</c:v>
                </c:pt>
                <c:pt idx="19">
                  <c:v>0.999999999999999</c:v>
                </c:pt>
                <c:pt idx="20">
                  <c:v>1</c:v>
                </c:pt>
                <c:pt idx="21">
                  <c:v>1</c:v>
                </c:pt>
                <c:pt idx="22">
                  <c:v>0.999999999999999</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0.999999999999999</c:v>
                </c:pt>
                <c:pt idx="41">
                  <c:v>1</c:v>
                </c:pt>
                <c:pt idx="42">
                  <c:v>1</c:v>
                </c:pt>
                <c:pt idx="43">
                  <c:v>1</c:v>
                </c:pt>
                <c:pt idx="44">
                  <c:v>1</c:v>
                </c:pt>
                <c:pt idx="45">
                  <c:v>1</c:v>
                </c:pt>
                <c:pt idx="46">
                  <c:v>1</c:v>
                </c:pt>
                <c:pt idx="47">
                  <c:v>1</c:v>
                </c:pt>
                <c:pt idx="48">
                  <c:v>1</c:v>
                </c:pt>
                <c:pt idx="49">
                  <c:v>1</c:v>
                </c:pt>
                <c:pt idx="50">
                  <c:v>1</c:v>
                </c:pt>
                <c:pt idx="51">
                  <c:v>9.6040590521664406E-89</c:v>
                </c:pt>
                <c:pt idx="52">
                  <c:v>-2.31363622190555E-90</c:v>
                </c:pt>
                <c:pt idx="53">
                  <c:v>7.8357812547857799E-90</c:v>
                </c:pt>
                <c:pt idx="54">
                  <c:v>-1.0303987427772701E-88</c:v>
                </c:pt>
                <c:pt idx="55">
                  <c:v>6.4866018277431296E-89</c:v>
                </c:pt>
                <c:pt idx="56">
                  <c:v>-2.1147412765011201E-88</c:v>
                </c:pt>
                <c:pt idx="57">
                  <c:v>6.1628501910220701E-89</c:v>
                </c:pt>
                <c:pt idx="58">
                  <c:v>-1.1473581359453901E-89</c:v>
                </c:pt>
                <c:pt idx="59">
                  <c:v>-6.9892838738429505E-91</c:v>
                </c:pt>
                <c:pt idx="60">
                  <c:v>1.2968648560646399E-90</c:v>
                </c:pt>
                <c:pt idx="61">
                  <c:v>-6.1719846275284796E-91</c:v>
                </c:pt>
                <c:pt idx="62">
                  <c:v>-1.53477128350467E-89</c:v>
                </c:pt>
                <c:pt idx="63">
                  <c:v>-1.1919713676415599E-89</c:v>
                </c:pt>
                <c:pt idx="64">
                  <c:v>9.6627910948381601E-90</c:v>
                </c:pt>
                <c:pt idx="65">
                  <c:v>2.2100350000218502E-90</c:v>
                </c:pt>
                <c:pt idx="66">
                  <c:v>-1.54384208535993E-89</c:v>
                </c:pt>
                <c:pt idx="67">
                  <c:v>4.9903365278593203E-90</c:v>
                </c:pt>
                <c:pt idx="68">
                  <c:v>1.6944319128873E-89</c:v>
                </c:pt>
                <c:pt idx="69">
                  <c:v>-1.4514382845520999E-89</c:v>
                </c:pt>
                <c:pt idx="70">
                  <c:v>-1.3525175479632201E-89</c:v>
                </c:pt>
                <c:pt idx="71">
                  <c:v>2.4788511065176701E-89</c:v>
                </c:pt>
                <c:pt idx="72">
                  <c:v>4.1183425036509004E-90</c:v>
                </c:pt>
                <c:pt idx="73">
                  <c:v>-3.2763471693329798E-89</c:v>
                </c:pt>
                <c:pt idx="74">
                  <c:v>1.1613274059393701E-89</c:v>
                </c:pt>
                <c:pt idx="75">
                  <c:v>3.3515232207486801E-89</c:v>
                </c:pt>
                <c:pt idx="76">
                  <c:v>-3.2378465769507201E-89</c:v>
                </c:pt>
                <c:pt idx="77">
                  <c:v>2.3210647986651499E-89</c:v>
                </c:pt>
                <c:pt idx="78">
                  <c:v>-9.0747458523095906E-90</c:v>
                </c:pt>
                <c:pt idx="79">
                  <c:v>2.0999056655770499E-90</c:v>
                </c:pt>
                <c:pt idx="80">
                  <c:v>-1.9876748601023099E-91</c:v>
                </c:pt>
                <c:pt idx="81">
                  <c:v>-2.92085581225895E-95</c:v>
                </c:pt>
                <c:pt idx="82">
                  <c:v>9.0687094382664898E-96</c:v>
                </c:pt>
                <c:pt idx="83">
                  <c:v>-1.92962469709198E-96</c:v>
                </c:pt>
                <c:pt idx="84">
                  <c:v>2.5274308883347399E-97</c:v>
                </c:pt>
                <c:pt idx="85">
                  <c:v>-1.5005201219284E-98</c:v>
                </c:pt>
                <c:pt idx="86">
                  <c:v>-9.4342692773202597E-102</c:v>
                </c:pt>
                <c:pt idx="87">
                  <c:v>1.9449259990069098E-102</c:v>
                </c:pt>
                <c:pt idx="88">
                  <c:v>-2.8430062918810302E-103</c:v>
                </c:pt>
                <c:pt idx="89">
                  <c:v>2.6191818211959301E-104</c:v>
                </c:pt>
                <c:pt idx="90">
                  <c:v>-1.1273545273530801E-105</c:v>
                </c:pt>
                <c:pt idx="91">
                  <c:v>-2.04266638542089E-108</c:v>
                </c:pt>
                <c:pt idx="92">
                  <c:v>3.16591838764907E-109</c:v>
                </c:pt>
                <c:pt idx="93">
                  <c:v>-3.5295346885459298E-110</c:v>
                </c:pt>
                <c:pt idx="94">
                  <c:v>2.5102907483644801E-111</c:v>
                </c:pt>
                <c:pt idx="95">
                  <c:v>-8.3817809245700005E-113</c:v>
                </c:pt>
                <c:pt idx="96">
                  <c:v>-3.5346124478937298E-115</c:v>
                </c:pt>
                <c:pt idx="97">
                  <c:v>4.3940972861191098E-116</c:v>
                </c:pt>
                <c:pt idx="98">
                  <c:v>-3.96009955075606E-117</c:v>
                </c:pt>
                <c:pt idx="99">
                  <c:v>2.2889237443657199E-118</c:v>
                </c:pt>
              </c:numCache>
            </c:numRef>
          </c:yVal>
          <c:smooth val="0"/>
          <c:extLst>
            <c:ext xmlns:c16="http://schemas.microsoft.com/office/drawing/2014/chart" uri="{C3380CC4-5D6E-409C-BE32-E72D297353CC}">
              <c16:uniqueId val="{00000019-05B1-4C8F-A5D2-C74BC92F11DF}"/>
            </c:ext>
          </c:extLst>
        </c:ser>
        <c:ser>
          <c:idx val="26"/>
          <c:order val="26"/>
          <c:tx>
            <c:strRef>
              <c:f>dynamicR!$AJ$19</c:f>
              <c:strCache>
                <c:ptCount val="1"/>
                <c:pt idx="0">
                  <c:v>sd1RP</c:v>
                </c:pt>
              </c:strCache>
            </c:strRef>
          </c:tx>
          <c:spPr>
            <a:ln w="19050" cap="rnd">
              <a:solidFill>
                <a:schemeClr val="accent3">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dynamicR!$AJ$20:$AJ$119</c:f>
              <c:numCache>
                <c:formatCode>0.00</c:formatCode>
                <c:ptCount val="100"/>
                <c:pt idx="0">
                  <c:v>0</c:v>
                </c:pt>
                <c:pt idx="1">
                  <c:v>1</c:v>
                </c:pt>
                <c:pt idx="2">
                  <c:v>0.999999999999999</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1</c:v>
                </c:pt>
                <c:pt idx="21">
                  <c:v>1</c:v>
                </c:pt>
                <c:pt idx="22">
                  <c:v>0.999999999999999</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3.7505345798884498E-89</c:v>
                </c:pt>
                <c:pt idx="52">
                  <c:v>-9.03510953262915E-91</c:v>
                </c:pt>
                <c:pt idx="53">
                  <c:v>3.0599946251872598E-90</c:v>
                </c:pt>
                <c:pt idx="54">
                  <c:v>-4.0238675052303797E-89</c:v>
                </c:pt>
                <c:pt idx="55">
                  <c:v>2.5331190089733801E-89</c:v>
                </c:pt>
                <c:pt idx="56">
                  <c:v>-8.2583939504375203E-89</c:v>
                </c:pt>
                <c:pt idx="57">
                  <c:v>2.4066889677793499E-89</c:v>
                </c:pt>
                <c:pt idx="58">
                  <c:v>-4.4806122587149997E-90</c:v>
                </c:pt>
                <c:pt idx="59">
                  <c:v>-2.7294238427306398E-91</c:v>
                </c:pt>
                <c:pt idx="60">
                  <c:v>5.0644588922208303E-91</c:v>
                </c:pt>
                <c:pt idx="61">
                  <c:v>-2.4102566320967199E-91</c:v>
                </c:pt>
                <c:pt idx="62">
                  <c:v>-5.9935208303288501E-90</c:v>
                </c:pt>
                <c:pt idx="63">
                  <c:v>-4.65483379985994E-90</c:v>
                </c:pt>
                <c:pt idx="64">
                  <c:v>3.7734703266911698E-90</c:v>
                </c:pt>
                <c:pt idx="65">
                  <c:v>8.6305308896625995E-91</c:v>
                </c:pt>
                <c:pt idx="66">
                  <c:v>-6.0289436851758599E-90</c:v>
                </c:pt>
                <c:pt idx="67">
                  <c:v>1.94880408759762E-90</c:v>
                </c:pt>
                <c:pt idx="68">
                  <c:v>6.6170204192643598E-90</c:v>
                </c:pt>
                <c:pt idx="69">
                  <c:v>-5.6680924540986004E-90</c:v>
                </c:pt>
                <c:pt idx="70">
                  <c:v>-5.2817916008818303E-90</c:v>
                </c:pt>
                <c:pt idx="71">
                  <c:v>9.68029948952195E-90</c:v>
                </c:pt>
                <c:pt idx="72">
                  <c:v>1.6082768706800601E-90</c:v>
                </c:pt>
                <c:pt idx="73">
                  <c:v>-1.27946457877017E-89</c:v>
                </c:pt>
                <c:pt idx="74">
                  <c:v>4.5351643327830904E-90</c:v>
                </c:pt>
                <c:pt idx="75">
                  <c:v>1.3088219978410301E-89</c:v>
                </c:pt>
                <c:pt idx="76">
                  <c:v>-1.26442950019379E-89</c:v>
                </c:pt>
                <c:pt idx="77">
                  <c:v>9.0641194565630106E-90</c:v>
                </c:pt>
                <c:pt idx="78">
                  <c:v>-3.5438296103565601E-90</c:v>
                </c:pt>
                <c:pt idx="79">
                  <c:v>8.2004591305155896E-91</c:v>
                </c:pt>
                <c:pt idx="80">
                  <c:v>-7.7621831401934305E-92</c:v>
                </c:pt>
                <c:pt idx="81">
                  <c:v>-1.13920012717111E-95</c:v>
                </c:pt>
                <c:pt idx="82">
                  <c:v>3.53700282555085E-96</c:v>
                </c:pt>
                <c:pt idx="83">
                  <c:v>-7.5259756208264597E-97</c:v>
                </c:pt>
                <c:pt idx="84">
                  <c:v>9.8575590434119106E-98</c:v>
                </c:pt>
                <c:pt idx="85">
                  <c:v>-5.8523847102898601E-99</c:v>
                </c:pt>
                <c:pt idx="86">
                  <c:v>-3.6753776381965298E-102</c:v>
                </c:pt>
                <c:pt idx="87">
                  <c:v>7.57693361109091E-103</c:v>
                </c:pt>
                <c:pt idx="88">
                  <c:v>-1.1075627625698601E-103</c:v>
                </c:pt>
                <c:pt idx="89">
                  <c:v>1.02036759077781E-104</c:v>
                </c:pt>
                <c:pt idx="90">
                  <c:v>-4.3919245607575304E-106</c:v>
                </c:pt>
                <c:pt idx="91">
                  <c:v>-7.9494328164037901E-109</c:v>
                </c:pt>
                <c:pt idx="92">
                  <c:v>1.2320734240737499E-109</c:v>
                </c:pt>
                <c:pt idx="93">
                  <c:v>-1.3735822207859699E-110</c:v>
                </c:pt>
                <c:pt idx="94">
                  <c:v>9.76927864755278E-112</c:v>
                </c:pt>
                <c:pt idx="95">
                  <c:v>-3.2619978963952E-113</c:v>
                </c:pt>
                <c:pt idx="96">
                  <c:v>-1.37426015032284E-115</c:v>
                </c:pt>
                <c:pt idx="97">
                  <c:v>1.70842638556083E-116</c:v>
                </c:pt>
                <c:pt idx="98">
                  <c:v>-1.53969040820042E-117</c:v>
                </c:pt>
                <c:pt idx="99">
                  <c:v>8.8994132045772698E-119</c:v>
                </c:pt>
              </c:numCache>
            </c:numRef>
          </c:yVal>
          <c:smooth val="0"/>
          <c:extLst>
            <c:ext xmlns:c16="http://schemas.microsoft.com/office/drawing/2014/chart" uri="{C3380CC4-5D6E-409C-BE32-E72D297353CC}">
              <c16:uniqueId val="{0000001A-05B1-4C8F-A5D2-C74BC92F11DF}"/>
            </c:ext>
          </c:extLst>
        </c:ser>
        <c:ser>
          <c:idx val="27"/>
          <c:order val="27"/>
          <c:tx>
            <c:strRef>
              <c:f>dynamicR!$AK$19</c:f>
              <c:strCache>
                <c:ptCount val="1"/>
                <c:pt idx="0">
                  <c:v>sd2RD</c:v>
                </c:pt>
              </c:strCache>
            </c:strRef>
          </c:tx>
          <c:spPr>
            <a:ln w="19050" cap="rnd">
              <a:solidFill>
                <a:schemeClr val="accent4">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dynamicR!$AK$20:$AK$119</c:f>
              <c:numCache>
                <c:formatCode>0.00</c:formatCode>
                <c:ptCount val="100"/>
                <c:pt idx="0">
                  <c:v>0</c:v>
                </c:pt>
                <c:pt idx="1">
                  <c:v>0.19204857396493499</c:v>
                </c:pt>
                <c:pt idx="2">
                  <c:v>0.20819962842458101</c:v>
                </c:pt>
                <c:pt idx="3">
                  <c:v>0.22402782058930501</c:v>
                </c:pt>
                <c:pt idx="4">
                  <c:v>0.239539609128603</c:v>
                </c:pt>
                <c:pt idx="5">
                  <c:v>0.25474131631032698</c:v>
                </c:pt>
                <c:pt idx="6">
                  <c:v>0.26963913825816699</c:v>
                </c:pt>
                <c:pt idx="7">
                  <c:v>0.28423914953837398</c:v>
                </c:pt>
                <c:pt idx="8">
                  <c:v>0.29854730424998499</c:v>
                </c:pt>
                <c:pt idx="9">
                  <c:v>0.31256943718125602</c:v>
                </c:pt>
                <c:pt idx="10">
                  <c:v>0.32631126599222099</c:v>
                </c:pt>
                <c:pt idx="11">
                  <c:v>0.33977839385858799</c:v>
                </c:pt>
                <c:pt idx="12">
                  <c:v>0.35297631194332502</c:v>
                </c:pt>
                <c:pt idx="13">
                  <c:v>0.36591040154603799</c:v>
                </c:pt>
                <c:pt idx="14">
                  <c:v>0.378585936682859</c:v>
                </c:pt>
                <c:pt idx="15">
                  <c:v>0.391008086191173</c:v>
                </c:pt>
                <c:pt idx="16">
                  <c:v>0.40318191545655502</c:v>
                </c:pt>
                <c:pt idx="17">
                  <c:v>0.41511238835610398</c:v>
                </c:pt>
                <c:pt idx="18">
                  <c:v>0.42680436948545702</c:v>
                </c:pt>
                <c:pt idx="19">
                  <c:v>0.43826262630309798</c:v>
                </c:pt>
                <c:pt idx="20">
                  <c:v>0.44949183104042301</c:v>
                </c:pt>
                <c:pt idx="21">
                  <c:v>0.46049656251028498</c:v>
                </c:pt>
                <c:pt idx="22">
                  <c:v>0.47128130794851603</c:v>
                </c:pt>
                <c:pt idx="23">
                  <c:v>0.48185046488341399</c:v>
                </c:pt>
                <c:pt idx="24">
                  <c:v>0.492208342956242</c:v>
                </c:pt>
                <c:pt idx="25">
                  <c:v>0.50235916566983596</c:v>
                </c:pt>
                <c:pt idx="26">
                  <c:v>0.51230707209306203</c:v>
                </c:pt>
                <c:pt idx="27">
                  <c:v>0.52205611854666201</c:v>
                </c:pt>
                <c:pt idx="28">
                  <c:v>0.53161028026462498</c:v>
                </c:pt>
                <c:pt idx="29">
                  <c:v>0.54097345301794897</c:v>
                </c:pt>
                <c:pt idx="30">
                  <c:v>0.550149454703593</c:v>
                </c:pt>
                <c:pt idx="31">
                  <c:v>0.55914202689723702</c:v>
                </c:pt>
                <c:pt idx="32">
                  <c:v>0.56795483637786004</c:v>
                </c:pt>
                <c:pt idx="33">
                  <c:v>0.57659147662469701</c:v>
                </c:pt>
                <c:pt idx="34">
                  <c:v>0.58505546928507302</c:v>
                </c:pt>
                <c:pt idx="35">
                  <c:v>0.59335026560765503</c:v>
                </c:pt>
                <c:pt idx="36">
                  <c:v>0.60147924784927898</c:v>
                </c:pt>
                <c:pt idx="37">
                  <c:v>0.60944573065532404</c:v>
                </c:pt>
                <c:pt idx="38">
                  <c:v>0.61725296241085303</c:v>
                </c:pt>
                <c:pt idx="39">
                  <c:v>0.62490412656587302</c:v>
                </c:pt>
                <c:pt idx="40">
                  <c:v>0.63240234293254804</c:v>
                </c:pt>
                <c:pt idx="41">
                  <c:v>0.63975066895779098</c:v>
                </c:pt>
                <c:pt idx="42">
                  <c:v>0.64695210096878797</c:v>
                </c:pt>
                <c:pt idx="43">
                  <c:v>0.65400957539670401</c:v>
                </c:pt>
                <c:pt idx="44">
                  <c:v>0.66092596997318698</c:v>
                </c:pt>
                <c:pt idx="45">
                  <c:v>0.66770410490353904</c:v>
                </c:pt>
                <c:pt idx="46">
                  <c:v>0.674346744015769</c:v>
                </c:pt>
                <c:pt idx="47">
                  <c:v>0.68085659588873604</c:v>
                </c:pt>
                <c:pt idx="48">
                  <c:v>0.68723631495761595</c:v>
                </c:pt>
                <c:pt idx="49">
                  <c:v>0.69348850259443195</c:v>
                </c:pt>
                <c:pt idx="50">
                  <c:v>0.69348850259443195</c:v>
                </c:pt>
                <c:pt idx="51">
                  <c:v>0.50756686204569801</c:v>
                </c:pt>
                <c:pt idx="52">
                  <c:v>0.49742010137067499</c:v>
                </c:pt>
                <c:pt idx="53">
                  <c:v>0.487476522555776</c:v>
                </c:pt>
                <c:pt idx="54">
                  <c:v>0.47773193145406501</c:v>
                </c:pt>
                <c:pt idx="55">
                  <c:v>0.46818209370820602</c:v>
                </c:pt>
                <c:pt idx="56">
                  <c:v>0.45882310937958098</c:v>
                </c:pt>
                <c:pt idx="57">
                  <c:v>0.44965119444746598</c:v>
                </c:pt>
                <c:pt idx="58">
                  <c:v>0.44066262326868599</c:v>
                </c:pt>
                <c:pt idx="59">
                  <c:v>0.43185373554963102</c:v>
                </c:pt>
                <c:pt idx="60">
                  <c:v>0.42322093336080402</c:v>
                </c:pt>
                <c:pt idx="61">
                  <c:v>0.41476069019307499</c:v>
                </c:pt>
                <c:pt idx="62">
                  <c:v>0.406469562838497</c:v>
                </c:pt>
                <c:pt idx="63">
                  <c:v>0.39834417821155998</c:v>
                </c:pt>
                <c:pt idx="64">
                  <c:v>0.39038122439820699</c:v>
                </c:pt>
                <c:pt idx="65">
                  <c:v>0.38257745239927998</c:v>
                </c:pt>
                <c:pt idx="66">
                  <c:v>0.37492967856617199</c:v>
                </c:pt>
                <c:pt idx="67">
                  <c:v>0.36743478421723902</c:v>
                </c:pt>
                <c:pt idx="68">
                  <c:v>0.36008971361905501</c:v>
                </c:pt>
                <c:pt idx="69">
                  <c:v>0.352891472036508</c:v>
                </c:pt>
                <c:pt idx="70">
                  <c:v>0.34583712436532199</c:v>
                </c:pt>
                <c:pt idx="71">
                  <c:v>0.33892379407782802</c:v>
                </c:pt>
                <c:pt idx="72">
                  <c:v>0.33214866217142403</c:v>
                </c:pt>
                <c:pt idx="73">
                  <c:v>0.32550896603894403</c:v>
                </c:pt>
                <c:pt idx="74">
                  <c:v>0.31900199831516501</c:v>
                </c:pt>
                <c:pt idx="75">
                  <c:v>0.31262510580033098</c:v>
                </c:pt>
                <c:pt idx="76">
                  <c:v>0.30637568837192197</c:v>
                </c:pt>
                <c:pt idx="77">
                  <c:v>0.30025119774367798</c:v>
                </c:pt>
                <c:pt idx="78">
                  <c:v>0.29424913647772</c:v>
                </c:pt>
                <c:pt idx="79">
                  <c:v>0.28836705713575</c:v>
                </c:pt>
                <c:pt idx="80">
                  <c:v>0.28260256130664502</c:v>
                </c:pt>
                <c:pt idx="81">
                  <c:v>0.27695329853398198</c:v>
                </c:pt>
                <c:pt idx="82">
                  <c:v>0.27141696529711101</c:v>
                </c:pt>
                <c:pt idx="83">
                  <c:v>0.265991304096027</c:v>
                </c:pt>
                <c:pt idx="84">
                  <c:v>0.26067410257099599</c:v>
                </c:pt>
                <c:pt idx="85">
                  <c:v>0.25546319260681999</c:v>
                </c:pt>
                <c:pt idx="86">
                  <c:v>0.25035644942971302</c:v>
                </c:pt>
                <c:pt idx="87">
                  <c:v>0.24535179073149399</c:v>
                </c:pt>
                <c:pt idx="88">
                  <c:v>0.24044717582542599</c:v>
                </c:pt>
                <c:pt idx="89">
                  <c:v>0.23564060482104299</c:v>
                </c:pt>
                <c:pt idx="90">
                  <c:v>0.230930117809208</c:v>
                </c:pt>
                <c:pt idx="91">
                  <c:v>0.226313794059672</c:v>
                </c:pt>
                <c:pt idx="92">
                  <c:v>0.221789751236289</c:v>
                </c:pt>
                <c:pt idx="93">
                  <c:v>0.217356144630037</c:v>
                </c:pt>
                <c:pt idx="94">
                  <c:v>0.213011166408829</c:v>
                </c:pt>
                <c:pt idx="95">
                  <c:v>0.20875304487980501</c:v>
                </c:pt>
                <c:pt idx="96">
                  <c:v>0.20458004376630801</c:v>
                </c:pt>
                <c:pt idx="97">
                  <c:v>0.20049046149972199</c:v>
                </c:pt>
                <c:pt idx="98">
                  <c:v>0.19648263052630099</c:v>
                </c:pt>
                <c:pt idx="99">
                  <c:v>0.19255491662674501</c:v>
                </c:pt>
              </c:numCache>
            </c:numRef>
          </c:yVal>
          <c:smooth val="0"/>
          <c:extLst>
            <c:ext xmlns:c16="http://schemas.microsoft.com/office/drawing/2014/chart" uri="{C3380CC4-5D6E-409C-BE32-E72D297353CC}">
              <c16:uniqueId val="{0000001B-05B1-4C8F-A5D2-C74BC92F11DF}"/>
            </c:ext>
          </c:extLst>
        </c:ser>
        <c:ser>
          <c:idx val="28"/>
          <c:order val="28"/>
          <c:tx>
            <c:strRef>
              <c:f>dynamicR!$AL$19</c:f>
              <c:strCache>
                <c:ptCount val="1"/>
                <c:pt idx="0">
                  <c:v>sd2RS</c:v>
                </c:pt>
              </c:strCache>
            </c:strRef>
          </c:tx>
          <c:spPr>
            <a:ln w="19050" cap="rnd">
              <a:solidFill>
                <a:schemeClr val="accent5">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dynamicR!$AL$20:$AL$119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1</c:v>
                </c:pt>
                <c:pt idx="21">
                  <c:v>1</c:v>
                </c:pt>
                <c:pt idx="22">
                  <c:v>0.999999999999999</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-7.4389684021116995E-215</c:v>
                </c:pt>
                <c:pt idx="52">
                  <c:v>1.7920481426501499E-216</c:v>
                </c:pt>
                <c:pt idx="53">
                  <c:v>-6.0694134063632897E-216</c:v>
                </c:pt>
                <c:pt idx="54">
                  <c:v>7.9811036677555196E-215</c:v>
                </c:pt>
                <c:pt idx="55">
                  <c:v>-5.0243076109047496E-215</c:v>
                </c:pt>
                <c:pt idx="56">
                  <c:v>1.63800952077005E-214</c:v>
                </c:pt>
                <c:pt idx="57">
                  <c:v>-4.7735613646576596E-215</c:v>
                </c:pt>
                <c:pt idx="58">
                  <c:v>8.8872036709532197E-216</c:v>
                </c:pt>
                <c:pt idx="59">
                  <c:v>5.4131662415583399E-217</c:v>
                </c:pt>
                <c:pt idx="60">
                  <c:v>-1.00446481149981E-216</c:v>
                </c:pt>
                <c:pt idx="61">
                  <c:v>4.7814311625845298E-217</c:v>
                </c:pt>
                <c:pt idx="62">
                  <c:v>1.1887843210796201E-215</c:v>
                </c:pt>
                <c:pt idx="63">
                  <c:v>9.2326497318503801E-216</c:v>
                </c:pt>
                <c:pt idx="64">
                  <c:v>-7.4844131778707801E-216</c:v>
                </c:pt>
                <c:pt idx="65">
                  <c:v>-1.7118378428267602E-216</c:v>
                </c:pt>
                <c:pt idx="66">
                  <c:v>1.1958044033824199E-215</c:v>
                </c:pt>
                <c:pt idx="67">
                  <c:v>-3.86531204614452E-216</c:v>
                </c:pt>
                <c:pt idx="68">
                  <c:v>-1.31244799002918E-215</c:v>
                </c:pt>
                <c:pt idx="69">
                  <c:v>1.12423119001639E-215</c:v>
                </c:pt>
                <c:pt idx="70">
                  <c:v>1.04761422612991E-215</c:v>
                </c:pt>
                <c:pt idx="71">
                  <c:v>-1.92003119092703E-215</c:v>
                </c:pt>
                <c:pt idx="72">
                  <c:v>-3.1899340919629002E-216</c:v>
                </c:pt>
                <c:pt idx="73">
                  <c:v>2.5377459859219101E-215</c:v>
                </c:pt>
                <c:pt idx="74">
                  <c:v>-8.9952532055383294E-216</c:v>
                </c:pt>
                <c:pt idx="75">
                  <c:v>-2.5959756579993399E-215</c:v>
                </c:pt>
                <c:pt idx="76">
                  <c:v>2.5079280219061602E-215</c:v>
                </c:pt>
                <c:pt idx="77">
                  <c:v>-1.7978251512443901E-215</c:v>
                </c:pt>
                <c:pt idx="78">
                  <c:v>7.0290942060763596E-216</c:v>
                </c:pt>
                <c:pt idx="79">
                  <c:v>-1.6266017441898299E-216</c:v>
                </c:pt>
                <c:pt idx="80">
                  <c:v>1.5400923639093499E-217</c:v>
                </c:pt>
                <c:pt idx="81">
                  <c:v>8.2221624390945806E-223</c:v>
                </c:pt>
                <c:pt idx="82">
                  <c:v>-2.5528884768232899E-223</c:v>
                </c:pt>
                <c:pt idx="83">
                  <c:v>5.4323666405300299E-224</c:v>
                </c:pt>
                <c:pt idx="84">
                  <c:v>-7.1172173470007795E-225</c:v>
                </c:pt>
                <c:pt idx="85">
                  <c:v>4.2332251256395899E-226</c:v>
                </c:pt>
                <c:pt idx="86">
                  <c:v>9.5712514192726998E-231</c:v>
                </c:pt>
                <c:pt idx="87">
                  <c:v>-1.9902257735246599E-231</c:v>
                </c:pt>
                <c:pt idx="88">
                  <c:v>2.9099965417719898E-232</c:v>
                </c:pt>
                <c:pt idx="89">
                  <c:v>-2.6836645759523701E-233</c:v>
                </c:pt>
                <c:pt idx="90">
                  <c:v>1.1633847107596601E-234</c:v>
                </c:pt>
                <c:pt idx="91">
                  <c:v>7.5949154827230202E-239</c:v>
                </c:pt>
                <c:pt idx="92">
                  <c:v>-1.17798374493267E-239</c:v>
                </c:pt>
                <c:pt idx="93">
                  <c:v>1.31428088159334E-240</c:v>
                </c:pt>
                <c:pt idx="94">
                  <c:v>-9.3753691884213301E-242</c:v>
                </c:pt>
                <c:pt idx="95">
                  <c:v>3.1960667039538E-243</c:v>
                </c:pt>
                <c:pt idx="96">
                  <c:v>4.7757972963523102E-247</c:v>
                </c:pt>
                <c:pt idx="97">
                  <c:v>-5.9476151385910698E-248</c:v>
                </c:pt>
                <c:pt idx="98">
                  <c:v>5.36991641816208E-249</c:v>
                </c:pt>
                <c:pt idx="99">
                  <c:v>-3.1260068760891302E-250</c:v>
                </c:pt>
              </c:numCache>
            </c:numRef>
          </c:yVal>
          <c:smooth val="0"/>
          <c:extLst>
            <c:ext xmlns:c16="http://schemas.microsoft.com/office/drawing/2014/chart" uri="{C3380CC4-5D6E-409C-BE32-E72D297353CC}">
              <c16:uniqueId val="{0000001C-05B1-4C8F-A5D2-C74BC92F11DF}"/>
            </c:ext>
          </c:extLst>
        </c:ser>
        <c:ser>
          <c:idx val="29"/>
          <c:order val="29"/>
          <c:tx>
            <c:strRef>
              <c:f>dynamicR!$AM$19</c:f>
              <c:strCache>
                <c:ptCount val="1"/>
                <c:pt idx="0">
                  <c:v>sd2RA</c:v>
                </c:pt>
              </c:strCache>
            </c:strRef>
          </c:tx>
          <c:spPr>
            <a:ln w="19050" cap="rnd">
              <a:solidFill>
                <a:schemeClr val="accent6">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dynamicR!$AM$20:$AM$119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0.999999999999999</c:v>
                </c:pt>
                <c:pt idx="14">
                  <c:v>1</c:v>
                </c:pt>
                <c:pt idx="15">
                  <c:v>1</c:v>
                </c:pt>
                <c:pt idx="16">
                  <c:v>0.999999999999999</c:v>
                </c:pt>
                <c:pt idx="17">
                  <c:v>1</c:v>
                </c:pt>
                <c:pt idx="18">
                  <c:v>1</c:v>
                </c:pt>
                <c:pt idx="19">
                  <c:v>0.999999999999998</c:v>
                </c:pt>
                <c:pt idx="20">
                  <c:v>0.999999999999999</c:v>
                </c:pt>
                <c:pt idx="21">
                  <c:v>1</c:v>
                </c:pt>
                <c:pt idx="22">
                  <c:v>0.999999999999999</c:v>
                </c:pt>
                <c:pt idx="23">
                  <c:v>1</c:v>
                </c:pt>
                <c:pt idx="24">
                  <c:v>1</c:v>
                </c:pt>
                <c:pt idx="25">
                  <c:v>0.999999999999999</c:v>
                </c:pt>
                <c:pt idx="26">
                  <c:v>1</c:v>
                </c:pt>
                <c:pt idx="27">
                  <c:v>0.999999999999999</c:v>
                </c:pt>
                <c:pt idx="28">
                  <c:v>1</c:v>
                </c:pt>
                <c:pt idx="29">
                  <c:v>1</c:v>
                </c:pt>
                <c:pt idx="30">
                  <c:v>1</c:v>
                </c:pt>
                <c:pt idx="31">
                  <c:v>1</c:v>
                </c:pt>
                <c:pt idx="32">
                  <c:v>1</c:v>
                </c:pt>
                <c:pt idx="33">
                  <c:v>1</c:v>
                </c:pt>
                <c:pt idx="34">
                  <c:v>0.999999999999999</c:v>
                </c:pt>
                <c:pt idx="35">
                  <c:v>1</c:v>
                </c:pt>
                <c:pt idx="36">
                  <c:v>0.999999999999999</c:v>
                </c:pt>
                <c:pt idx="37">
                  <c:v>0.999999999999999</c:v>
                </c:pt>
                <c:pt idx="38">
                  <c:v>1</c:v>
                </c:pt>
                <c:pt idx="39">
                  <c:v>1</c:v>
                </c:pt>
                <c:pt idx="40">
                  <c:v>0.999999999999999</c:v>
                </c:pt>
                <c:pt idx="41">
                  <c:v>0.999999999999999</c:v>
                </c:pt>
                <c:pt idx="42">
                  <c:v>0.999999999999999</c:v>
                </c:pt>
                <c:pt idx="43">
                  <c:v>1</c:v>
                </c:pt>
                <c:pt idx="44">
                  <c:v>0.999999999999999</c:v>
                </c:pt>
                <c:pt idx="45">
                  <c:v>1</c:v>
                </c:pt>
                <c:pt idx="46">
                  <c:v>0.999999999999999</c:v>
                </c:pt>
                <c:pt idx="47">
                  <c:v>1</c:v>
                </c:pt>
                <c:pt idx="48">
                  <c:v>1</c:v>
                </c:pt>
                <c:pt idx="49">
                  <c:v>1</c:v>
                </c:pt>
                <c:pt idx="50">
                  <c:v>1</c:v>
                </c:pt>
                <c:pt idx="51">
                  <c:v>7.0080230655374702E-34</c:v>
                </c:pt>
                <c:pt idx="52">
                  <c:v>-2.0888413507002299E-37</c:v>
                </c:pt>
                <c:pt idx="53">
                  <c:v>-3.8111193113729298E-35</c:v>
                </c:pt>
                <c:pt idx="54">
                  <c:v>-2.8847888818037399E-33</c:v>
                </c:pt>
                <c:pt idx="55">
                  <c:v>1.5763735221070699E-33</c:v>
                </c:pt>
                <c:pt idx="56">
                  <c:v>-5.4161235654442499E-33</c:v>
                </c:pt>
                <c:pt idx="57">
                  <c:v>1.5787721810348298E-33</c:v>
                </c:pt>
                <c:pt idx="58">
                  <c:v>-2.9578388221055098E-34</c:v>
                </c:pt>
                <c:pt idx="59">
                  <c:v>-1.8025440464507401E-35</c:v>
                </c:pt>
                <c:pt idx="60">
                  <c:v>3.34401342264916E-35</c:v>
                </c:pt>
                <c:pt idx="61">
                  <c:v>-1.5901926114313299E-35</c:v>
                </c:pt>
                <c:pt idx="62">
                  <c:v>-3.9568019286498797E-34</c:v>
                </c:pt>
                <c:pt idx="63">
                  <c:v>-3.0729976926530898E-34</c:v>
                </c:pt>
                <c:pt idx="64">
                  <c:v>2.4912601383333601E-34</c:v>
                </c:pt>
                <c:pt idx="65">
                  <c:v>5.6975040356164105E-35</c:v>
                </c:pt>
                <c:pt idx="66">
                  <c:v>-3.9802603255674502E-34</c:v>
                </c:pt>
                <c:pt idx="67">
                  <c:v>1.2866128472275001E-34</c:v>
                </c:pt>
                <c:pt idx="68">
                  <c:v>4.3684773082755898E-34</c:v>
                </c:pt>
                <c:pt idx="69">
                  <c:v>-3.7420358260560398E-34</c:v>
                </c:pt>
                <c:pt idx="70">
                  <c:v>-3.48696052507836E-34</c:v>
                </c:pt>
                <c:pt idx="71">
                  <c:v>6.3908242497600903E-34</c:v>
                </c:pt>
                <c:pt idx="72">
                  <c:v>1.0617541246871201E-34</c:v>
                </c:pt>
                <c:pt idx="73">
                  <c:v>-8.4468520891767598E-34</c:v>
                </c:pt>
                <c:pt idx="74">
                  <c:v>2.9940405633638798E-34</c:v>
                </c:pt>
                <c:pt idx="75">
                  <c:v>8.6406555410029499E-34</c:v>
                </c:pt>
                <c:pt idx="76">
                  <c:v>-8.34754959490397E-34</c:v>
                </c:pt>
                <c:pt idx="77">
                  <c:v>5.98390630349551E-34</c:v>
                </c:pt>
                <c:pt idx="78">
                  <c:v>-2.33945222885374E-34</c:v>
                </c:pt>
                <c:pt idx="79">
                  <c:v>5.4127373375264895E-35</c:v>
                </c:pt>
                <c:pt idx="80">
                  <c:v>-5.1181072478369103E-36</c:v>
                </c:pt>
                <c:pt idx="81">
                  <c:v>-3.4903932811218702E-39</c:v>
                </c:pt>
                <c:pt idx="82">
                  <c:v>1.08365607410198E-39</c:v>
                </c:pt>
                <c:pt idx="83">
                  <c:v>-2.3055072813834201E-40</c:v>
                </c:pt>
                <c:pt idx="84">
                  <c:v>3.0183649741761301E-41</c:v>
                </c:pt>
                <c:pt idx="85">
                  <c:v>-1.7861958388510099E-42</c:v>
                </c:pt>
                <c:pt idx="86">
                  <c:v>-3.03307214774623E-45</c:v>
                </c:pt>
                <c:pt idx="87">
                  <c:v>6.2521978039905799E-46</c:v>
                </c:pt>
                <c:pt idx="88">
                  <c:v>-9.1365475218394904E-47</c:v>
                </c:pt>
                <c:pt idx="89">
                  <c:v>8.4078011817879198E-48</c:v>
                </c:pt>
                <c:pt idx="90">
                  <c:v>-3.5906373178968097E-49</c:v>
                </c:pt>
                <c:pt idx="91">
                  <c:v>-1.3448241229992199E-51</c:v>
                </c:pt>
                <c:pt idx="92">
                  <c:v>2.0839146690515298E-52</c:v>
                </c:pt>
                <c:pt idx="93">
                  <c:v>-2.3219142346573198E-53</c:v>
                </c:pt>
                <c:pt idx="94">
                  <c:v>1.64765667837591E-54</c:v>
                </c:pt>
                <c:pt idx="95">
                  <c:v>-5.4132709736045199E-56</c:v>
                </c:pt>
                <c:pt idx="96">
                  <c:v>-4.0289251010981498E-58</c:v>
                </c:pt>
                <c:pt idx="97">
                  <c:v>5.0068379650604603E-59</c:v>
                </c:pt>
                <c:pt idx="98">
                  <c:v>-4.5076764460163098E-60</c:v>
                </c:pt>
                <c:pt idx="99">
                  <c:v>2.5948234355534901E-61</c:v>
                </c:pt>
              </c:numCache>
            </c:numRef>
          </c:yVal>
          <c:smooth val="0"/>
          <c:extLst>
            <c:ext xmlns:c16="http://schemas.microsoft.com/office/drawing/2014/chart" uri="{C3380CC4-5D6E-409C-BE32-E72D297353CC}">
              <c16:uniqueId val="{0000001D-05B1-4C8F-A5D2-C74BC92F11DF}"/>
            </c:ext>
          </c:extLst>
        </c:ser>
        <c:ser>
          <c:idx val="30"/>
          <c:order val="30"/>
          <c:tx>
            <c:strRef>
              <c:f>dynamicR!$AN$19</c:f>
              <c:strCache>
                <c:ptCount val="1"/>
                <c:pt idx="0">
                  <c:v>sd2RP</c:v>
                </c:pt>
              </c:strCache>
            </c:strRef>
          </c:tx>
          <c:spPr>
            <a:ln w="19050" cap="rnd">
              <a:solidFill>
                <a:schemeClr val="accent1">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dynamicR!$AN$20:$AN$119</c:f>
              <c:numCache>
                <c:formatCode>0.00</c:formatCode>
                <c:ptCount val="100"/>
                <c:pt idx="0">
                  <c:v>0</c:v>
                </c:pt>
                <c:pt idx="1">
                  <c:v>1</c:v>
                </c:pt>
                <c:pt idx="2">
                  <c:v>1</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0.999999999999998</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-2.13730217285748E-30</c:v>
                </c:pt>
                <c:pt idx="52">
                  <c:v>1.9703033173729899E-34</c:v>
                </c:pt>
                <c:pt idx="53">
                  <c:v>1.18745906170881E-31</c:v>
                </c:pt>
                <c:pt idx="54">
                  <c:v>8.8542984970255299E-30</c:v>
                </c:pt>
                <c:pt idx="55">
                  <c:v>-4.8367236172398597E-30</c:v>
                </c:pt>
                <c:pt idx="56">
                  <c:v>1.6620268613662401E-29</c:v>
                </c:pt>
                <c:pt idx="57">
                  <c:v>-4.8447259463739899E-30</c:v>
                </c:pt>
                <c:pt idx="58">
                  <c:v>9.0767627362208792E-31</c:v>
                </c:pt>
                <c:pt idx="59">
                  <c:v>5.5314934260274999E-32</c:v>
                </c:pt>
                <c:pt idx="60">
                  <c:v>-1.02618227841234E-31</c:v>
                </c:pt>
                <c:pt idx="61">
                  <c:v>4.8798464726247801E-32</c:v>
                </c:pt>
                <c:pt idx="62">
                  <c:v>1.21422953989635E-30</c:v>
                </c:pt>
                <c:pt idx="63">
                  <c:v>9.4301525179845295E-31</c:v>
                </c:pt>
                <c:pt idx="64">
                  <c:v>-7.6449661327612498E-31</c:v>
                </c:pt>
                <c:pt idx="65">
                  <c:v>-1.7484013049492501E-31</c:v>
                </c:pt>
                <c:pt idx="66">
                  <c:v>1.22142825664722E-30</c:v>
                </c:pt>
                <c:pt idx="67">
                  <c:v>-3.9482475143116097E-31</c:v>
                </c:pt>
                <c:pt idx="68">
                  <c:v>-1.34056096332107E-30</c:v>
                </c:pt>
                <c:pt idx="69">
                  <c:v>1.1483239594073499E-30</c:v>
                </c:pt>
                <c:pt idx="70">
                  <c:v>1.070048629518E-30</c:v>
                </c:pt>
                <c:pt idx="71">
                  <c:v>-1.9611615007326599E-30</c:v>
                </c:pt>
                <c:pt idx="72">
                  <c:v>-3.2582202666820601E-31</c:v>
                </c:pt>
                <c:pt idx="73">
                  <c:v>2.59209774222244E-30</c:v>
                </c:pt>
                <c:pt idx="74">
                  <c:v>-9.1878556563931704E-31</c:v>
                </c:pt>
                <c:pt idx="75">
                  <c:v>-2.6515704879235602E-30</c:v>
                </c:pt>
                <c:pt idx="76">
                  <c:v>2.5616246386146101E-30</c:v>
                </c:pt>
                <c:pt idx="77">
                  <c:v>-1.8362899925467099E-30</c:v>
                </c:pt>
                <c:pt idx="78">
                  <c:v>7.1791108690241602E-31</c:v>
                </c:pt>
                <c:pt idx="79">
                  <c:v>-1.6610144796084601E-31</c:v>
                </c:pt>
                <c:pt idx="80">
                  <c:v>1.5706005747103801E-32</c:v>
                </c:pt>
                <c:pt idx="81">
                  <c:v>1.0712791588519501E-35</c:v>
                </c:pt>
                <c:pt idx="82">
                  <c:v>-3.3259811462394998E-36</c:v>
                </c:pt>
                <c:pt idx="83">
                  <c:v>7.0761148530177198E-37</c:v>
                </c:pt>
                <c:pt idx="84">
                  <c:v>-9.26403882298286E-38</c:v>
                </c:pt>
                <c:pt idx="85">
                  <c:v>5.4822566306169603E-39</c:v>
                </c:pt>
                <c:pt idx="86">
                  <c:v>9.3021931554337806E-42</c:v>
                </c:pt>
                <c:pt idx="87">
                  <c:v>-1.91749804711775E-42</c:v>
                </c:pt>
                <c:pt idx="88">
                  <c:v>2.8021058663158698E-43</c:v>
                </c:pt>
                <c:pt idx="89">
                  <c:v>-2.57860984424964E-44</c:v>
                </c:pt>
                <c:pt idx="90">
                  <c:v>1.1012355632465799E-45</c:v>
                </c:pt>
                <c:pt idx="91">
                  <c:v>4.1210816345534901E-48</c:v>
                </c:pt>
                <c:pt idx="92">
                  <c:v>-6.3859491598150103E-49</c:v>
                </c:pt>
                <c:pt idx="93">
                  <c:v>7.1152826129296397E-50</c:v>
                </c:pt>
                <c:pt idx="94">
                  <c:v>-5.0491059872125898E-51</c:v>
                </c:pt>
                <c:pt idx="95">
                  <c:v>1.65890062052632E-52</c:v>
                </c:pt>
                <c:pt idx="96">
                  <c:v>1.2336799689262E-54</c:v>
                </c:pt>
                <c:pt idx="97">
                  <c:v>-1.5331230037837799E-55</c:v>
                </c:pt>
                <c:pt idx="98">
                  <c:v>1.3802795790952299E-56</c:v>
                </c:pt>
                <c:pt idx="99">
                  <c:v>-7.9455793912437803E-58</c:v>
                </c:pt>
              </c:numCache>
            </c:numRef>
          </c:yVal>
          <c:smooth val="0"/>
          <c:extLst>
            <c:ext xmlns:c16="http://schemas.microsoft.com/office/drawing/2014/chart" uri="{C3380CC4-5D6E-409C-BE32-E72D297353CC}">
              <c16:uniqueId val="{0000001E-05B1-4C8F-A5D2-C74BC92F11DF}"/>
            </c:ext>
          </c:extLst>
        </c:ser>
        <c:ser>
          <c:idx val="31"/>
          <c:order val="31"/>
          <c:tx>
            <c:strRef>
              <c:f>dynamicR!$AO$19</c:f>
              <c:strCache>
                <c:ptCount val="1"/>
                <c:pt idx="0">
                  <c:v>s1RD</c:v>
                </c:pt>
              </c:strCache>
            </c:strRef>
          </c:tx>
          <c:spPr>
            <a:ln w="19050" cap="rnd">
              <a:solidFill>
                <a:schemeClr val="accent2">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dynamicR!$AO$20:$AO$119</c:f>
              <c:numCache>
                <c:formatCode>0.00</c:formatCode>
                <c:ptCount val="100"/>
                <c:pt idx="0">
                  <c:v>0</c:v>
                </c:pt>
                <c:pt idx="1">
                  <c:v>1</c:v>
                </c:pt>
                <c:pt idx="2">
                  <c:v>0.999999999999996</c:v>
                </c:pt>
                <c:pt idx="3">
                  <c:v>0.999999999999994</c:v>
                </c:pt>
                <c:pt idx="4">
                  <c:v>0.999999999999999</c:v>
                </c:pt>
                <c:pt idx="5">
                  <c:v>1</c:v>
                </c:pt>
                <c:pt idx="6">
                  <c:v>1</c:v>
                </c:pt>
                <c:pt idx="7">
                  <c:v>0.999999999999999</c:v>
                </c:pt>
                <c:pt idx="8">
                  <c:v>1</c:v>
                </c:pt>
                <c:pt idx="9">
                  <c:v>1</c:v>
                </c:pt>
                <c:pt idx="10">
                  <c:v>1</c:v>
                </c:pt>
                <c:pt idx="11">
                  <c:v>1</c:v>
                </c:pt>
                <c:pt idx="12">
                  <c:v>1</c:v>
                </c:pt>
                <c:pt idx="13">
                  <c:v>1</c:v>
                </c:pt>
                <c:pt idx="14">
                  <c:v>0.999999999999999</c:v>
                </c:pt>
                <c:pt idx="15">
                  <c:v>1</c:v>
                </c:pt>
                <c:pt idx="16">
                  <c:v>1</c:v>
                </c:pt>
                <c:pt idx="17">
                  <c:v>0.999999999999999</c:v>
                </c:pt>
                <c:pt idx="18">
                  <c:v>1</c:v>
                </c:pt>
                <c:pt idx="19">
                  <c:v>1</c:v>
                </c:pt>
                <c:pt idx="20">
                  <c:v>0.999999999999998</c:v>
                </c:pt>
                <c:pt idx="21">
                  <c:v>1</c:v>
                </c:pt>
                <c:pt idx="22">
                  <c:v>1</c:v>
                </c:pt>
                <c:pt idx="23">
                  <c:v>0.999999999999998</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4.0778096873008902E-16</c:v>
                </c:pt>
                <c:pt idx="52">
                  <c:v>3.9962902618437E-16</c:v>
                </c:pt>
                <c:pt idx="53">
                  <c:v>3.9164032064618198E-16</c:v>
                </c:pt>
                <c:pt idx="54">
                  <c:v>3.8381148252369102E-16</c:v>
                </c:pt>
                <c:pt idx="55">
                  <c:v>3.7613910991920299E-16</c:v>
                </c:pt>
                <c:pt idx="56">
                  <c:v>3.6862006960930401E-16</c:v>
                </c:pt>
                <c:pt idx="57">
                  <c:v>3.6125132149757898E-16</c:v>
                </c:pt>
                <c:pt idx="58">
                  <c:v>3.54029872390424E-16</c:v>
                </c:pt>
                <c:pt idx="59">
                  <c:v>3.4695278159486099E-16</c:v>
                </c:pt>
                <c:pt idx="60">
                  <c:v>3.4001715852201498E-16</c:v>
                </c:pt>
                <c:pt idx="61">
                  <c:v>3.3322016996227602E-16</c:v>
                </c:pt>
                <c:pt idx="62">
                  <c:v>3.2655904963051101E-16</c:v>
                </c:pt>
                <c:pt idx="63">
                  <c:v>3.2003108757813302E-16</c:v>
                </c:pt>
                <c:pt idx="64">
                  <c:v>3.1363362300196E-16</c:v>
                </c:pt>
                <c:pt idx="65">
                  <c:v>3.0736404564491902E-16</c:v>
                </c:pt>
                <c:pt idx="66">
                  <c:v>3.0121979775270698E-16</c:v>
                </c:pt>
                <c:pt idx="67">
                  <c:v>2.9519837376566199E-16</c:v>
                </c:pt>
                <c:pt idx="68">
                  <c:v>2.8929731869706499E-16</c:v>
                </c:pt>
                <c:pt idx="69">
                  <c:v>2.83514226566439E-16</c:v>
                </c:pt>
                <c:pt idx="70">
                  <c:v>2.7784673930077801E-16</c:v>
                </c:pt>
                <c:pt idx="71">
                  <c:v>2.7229254588781598E-16</c:v>
                </c:pt>
                <c:pt idx="72">
                  <c:v>2.6684938153126599E-16</c:v>
                </c:pt>
                <c:pt idx="73">
                  <c:v>2.6151502674293799E-16</c:v>
                </c:pt>
                <c:pt idx="74">
                  <c:v>2.56287306416132E-16</c:v>
                </c:pt>
                <c:pt idx="75">
                  <c:v>2.5116408896115299E-16</c:v>
                </c:pt>
                <c:pt idx="76">
                  <c:v>2.4614328543068201E-16</c:v>
                </c:pt>
                <c:pt idx="77">
                  <c:v>2.4122284852245399E-16</c:v>
                </c:pt>
                <c:pt idx="78">
                  <c:v>2.3640077178655002E-16</c:v>
                </c:pt>
                <c:pt idx="79">
                  <c:v>2.3167508894241002E-16</c:v>
                </c:pt>
                <c:pt idx="80">
                  <c:v>2.27043873098339E-16</c:v>
                </c:pt>
                <c:pt idx="81">
                  <c:v>2.2250523588951301E-16</c:v>
                </c:pt>
                <c:pt idx="82">
                  <c:v>2.1805732665949501E-16</c:v>
                </c:pt>
                <c:pt idx="83">
                  <c:v>2.1369833172499199E-16</c:v>
                </c:pt>
                <c:pt idx="84">
                  <c:v>2.0942647366855499E-16</c:v>
                </c:pt>
                <c:pt idx="85">
                  <c:v>2.0524001061895299E-16</c:v>
                </c:pt>
                <c:pt idx="86">
                  <c:v>2.0113723552559199E-16</c:v>
                </c:pt>
                <c:pt idx="87">
                  <c:v>1.9711647545489401E-16</c:v>
                </c:pt>
                <c:pt idx="88">
                  <c:v>1.9317609091209001E-16</c:v>
                </c:pt>
                <c:pt idx="89">
                  <c:v>1.89314475178278E-16</c:v>
                </c:pt>
                <c:pt idx="90">
                  <c:v>1.85530053655693E-16</c:v>
                </c:pt>
                <c:pt idx="91">
                  <c:v>1.8182128322302499E-16</c:v>
                </c:pt>
                <c:pt idx="92">
                  <c:v>1.7818665160491599E-16</c:v>
                </c:pt>
                <c:pt idx="93">
                  <c:v>1.7462467675577199E-16</c:v>
                </c:pt>
                <c:pt idx="94">
                  <c:v>1.71133906257055E-16</c:v>
                </c:pt>
                <c:pt idx="95">
                  <c:v>1.6771291672460799E-16</c:v>
                </c:pt>
                <c:pt idx="96">
                  <c:v>1.6436031322776899E-16</c:v>
                </c:pt>
                <c:pt idx="97">
                  <c:v>1.6107472872044299E-16</c:v>
                </c:pt>
                <c:pt idx="98">
                  <c:v>1.5785482348419301E-16</c:v>
                </c:pt>
                <c:pt idx="99">
                  <c:v>1.5469928458159299E-16</c:v>
                </c:pt>
              </c:numCache>
            </c:numRef>
          </c:yVal>
          <c:smooth val="0"/>
          <c:extLst>
            <c:ext xmlns:c16="http://schemas.microsoft.com/office/drawing/2014/chart" uri="{C3380CC4-5D6E-409C-BE32-E72D297353CC}">
              <c16:uniqueId val="{0000001F-05B1-4C8F-A5D2-C74BC92F11DF}"/>
            </c:ext>
          </c:extLst>
        </c:ser>
        <c:ser>
          <c:idx val="32"/>
          <c:order val="32"/>
          <c:tx>
            <c:strRef>
              <c:f>dynamicR!$AP$19</c:f>
              <c:strCache>
                <c:ptCount val="1"/>
                <c:pt idx="0">
                  <c:v>s1RS</c:v>
                </c:pt>
              </c:strCache>
            </c:strRef>
          </c:tx>
          <c:spPr>
            <a:ln w="19050" cap="rnd">
              <a:solidFill>
                <a:schemeClr val="accent3">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dynamicR!$AP$20:$AP$119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-1.0928456333117E-214</c:v>
                </c:pt>
                <c:pt idx="52">
                  <c:v>2.63266630690965E-216</c:v>
                </c:pt>
                <c:pt idx="53">
                  <c:v>-8.9164679626576696E-216</c:v>
                </c:pt>
                <c:pt idx="54">
                  <c:v>1.17248977152881E-214</c:v>
                </c:pt>
                <c:pt idx="55">
                  <c:v>-7.3811210803392303E-215</c:v>
                </c:pt>
                <c:pt idx="56">
                  <c:v>2.4063707068715299E-214</c:v>
                </c:pt>
                <c:pt idx="57">
                  <c:v>-7.0127542556821202E-215</c:v>
                </c:pt>
                <c:pt idx="58">
                  <c:v>1.3056033141822099E-215</c:v>
                </c:pt>
                <c:pt idx="59">
                  <c:v>7.9523864275755804E-217</c:v>
                </c:pt>
                <c:pt idx="60">
                  <c:v>-1.4756414226894101E-216</c:v>
                </c:pt>
                <c:pt idx="61">
                  <c:v>7.0243156380097803E-217</c:v>
                </c:pt>
                <c:pt idx="62">
                  <c:v>1.74642194205824E-215</c:v>
                </c:pt>
                <c:pt idx="63">
                  <c:v>1.3563521817311199E-215</c:v>
                </c:pt>
                <c:pt idx="64">
                  <c:v>-1.09952185316447E-215</c:v>
                </c:pt>
                <c:pt idx="65">
                  <c:v>-2.5148305852844399E-216</c:v>
                </c:pt>
                <c:pt idx="66">
                  <c:v>1.75673502034437E-215</c:v>
                </c:pt>
                <c:pt idx="67">
                  <c:v>-5.6784613075640003E-216</c:v>
                </c:pt>
                <c:pt idx="68">
                  <c:v>-1.92809404275747E-215</c:v>
                </c:pt>
                <c:pt idx="69">
                  <c:v>1.65158808320066E-215</c:v>
                </c:pt>
                <c:pt idx="70">
                  <c:v>1.5390314617069799E-215</c:v>
                </c:pt>
                <c:pt idx="71">
                  <c:v>-2.8206837370010701E-215</c:v>
                </c:pt>
                <c:pt idx="72">
                  <c:v>-4.6862755448042599E-216</c:v>
                </c:pt>
                <c:pt idx="73">
                  <c:v>3.7281575762701299E-215</c:v>
                </c:pt>
                <c:pt idx="74">
                  <c:v>-1.3214766794918799E-215</c:v>
                </c:pt>
                <c:pt idx="75">
                  <c:v>-3.8137017537895499E-215</c:v>
                </c:pt>
                <c:pt idx="76">
                  <c:v>3.68435253468192E-215</c:v>
                </c:pt>
                <c:pt idx="77">
                  <c:v>-2.6411530135811999E-215</c:v>
                </c:pt>
                <c:pt idx="78">
                  <c:v>1.03263175132884E-215</c:v>
                </c:pt>
                <c:pt idx="79">
                  <c:v>-2.3896117459421799E-216</c:v>
                </c:pt>
                <c:pt idx="80">
                  <c:v>2.26252235114063E-217</c:v>
                </c:pt>
                <c:pt idx="81">
                  <c:v>1.20790331348049E-222</c:v>
                </c:pt>
                <c:pt idx="82">
                  <c:v>-3.7504033040185703E-223</c:v>
                </c:pt>
                <c:pt idx="83">
                  <c:v>7.9805939659859798E-224</c:v>
                </c:pt>
                <c:pt idx="84">
                  <c:v>-1.04557788106238E-224</c:v>
                </c:pt>
                <c:pt idx="85">
                  <c:v>6.2189538883184097E-226</c:v>
                </c:pt>
                <c:pt idx="86">
                  <c:v>1.4122603654605999E-230</c:v>
                </c:pt>
                <c:pt idx="87">
                  <c:v>-2.92380520789493E-231</c:v>
                </c:pt>
                <c:pt idx="88">
                  <c:v>4.27502377695493E-232</c:v>
                </c:pt>
                <c:pt idx="89">
                  <c:v>-3.9425215959181099E-233</c:v>
                </c:pt>
                <c:pt idx="90">
                  <c:v>1.70910657850497E-234</c:v>
                </c:pt>
                <c:pt idx="91">
                  <c:v>1.1135973825756601E-238</c:v>
                </c:pt>
                <c:pt idx="92">
                  <c:v>-1.73055538806058E-239</c:v>
                </c:pt>
                <c:pt idx="93">
                  <c:v>1.9307867703559201E-240</c:v>
                </c:pt>
                <c:pt idx="94">
                  <c:v>-1.377318458185E-241</c:v>
                </c:pt>
                <c:pt idx="95">
                  <c:v>4.6952807844380997E-243</c:v>
                </c:pt>
                <c:pt idx="96">
                  <c:v>7.0155341003239001E-247</c:v>
                </c:pt>
                <c:pt idx="97">
                  <c:v>-8.7375375913226693E-248</c:v>
                </c:pt>
                <c:pt idx="98">
                  <c:v>7.8888459435747099E-249</c:v>
                </c:pt>
                <c:pt idx="99">
                  <c:v>-4.59235880737766E-250</c:v>
                </c:pt>
              </c:numCache>
            </c:numRef>
          </c:yVal>
          <c:smooth val="0"/>
          <c:extLst>
            <c:ext xmlns:c16="http://schemas.microsoft.com/office/drawing/2014/chart" uri="{C3380CC4-5D6E-409C-BE32-E72D297353CC}">
              <c16:uniqueId val="{00000020-05B1-4C8F-A5D2-C74BC92F11DF}"/>
            </c:ext>
          </c:extLst>
        </c:ser>
        <c:ser>
          <c:idx val="33"/>
          <c:order val="33"/>
          <c:tx>
            <c:strRef>
              <c:f>dynamicR!$AQ$19</c:f>
              <c:strCache>
                <c:ptCount val="1"/>
                <c:pt idx="0">
                  <c:v>s1RA</c:v>
                </c:pt>
              </c:strCache>
            </c:strRef>
          </c:tx>
          <c:spPr>
            <a:ln w="19050" cap="rnd">
              <a:solidFill>
                <a:schemeClr val="accent4">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dynamicR!$AQ$20:$AQ$119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0.999999999999998</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-3.7545924563232399E-94</c:v>
                </c:pt>
                <c:pt idx="52">
                  <c:v>9.0448764845599801E-96</c:v>
                </c:pt>
                <c:pt idx="53">
                  <c:v>-3.0633112471356503E-95</c:v>
                </c:pt>
                <c:pt idx="54">
                  <c:v>4.02822081219995E-94</c:v>
                </c:pt>
                <c:pt idx="55">
                  <c:v>-2.5358605141391101E-94</c:v>
                </c:pt>
                <c:pt idx="56">
                  <c:v>8.2673322050572899E-94</c:v>
                </c:pt>
                <c:pt idx="57">
                  <c:v>-2.4092949935125899E-94</c:v>
                </c:pt>
                <c:pt idx="58">
                  <c:v>4.4854708378202501E-95</c:v>
                </c:pt>
                <c:pt idx="59">
                  <c:v>2.7323456616246701E-96</c:v>
                </c:pt>
                <c:pt idx="60">
                  <c:v>-5.0699118967838702E-96</c:v>
                </c:pt>
                <c:pt idx="61">
                  <c:v>2.4129173657196799E-96</c:v>
                </c:pt>
                <c:pt idx="62">
                  <c:v>6.0000081527052699E-95</c:v>
                </c:pt>
                <c:pt idx="63">
                  <c:v>4.6598736823904803E-95</c:v>
                </c:pt>
                <c:pt idx="64">
                  <c:v>-3.77755001492737E-95</c:v>
                </c:pt>
                <c:pt idx="65">
                  <c:v>-8.6398827426634092E-96</c:v>
                </c:pt>
                <c:pt idx="66">
                  <c:v>6.0354655936470103E-95</c:v>
                </c:pt>
                <c:pt idx="67">
                  <c:v>-1.9509107882199501E-95</c:v>
                </c:pt>
                <c:pt idx="68">
                  <c:v>-6.6241798568751899E-95</c:v>
                </c:pt>
                <c:pt idx="69">
                  <c:v>5.67422364648187E-95</c:v>
                </c:pt>
                <c:pt idx="70">
                  <c:v>5.28750712727528E-95</c:v>
                </c:pt>
                <c:pt idx="71">
                  <c:v>-9.69077292402681E-95</c:v>
                </c:pt>
                <c:pt idx="72">
                  <c:v>-1.6100175789146999E-95</c:v>
                </c:pt>
                <c:pt idx="73">
                  <c:v>1.28084902042396E-94</c:v>
                </c:pt>
                <c:pt idx="74">
                  <c:v>-4.54007223650931E-95</c:v>
                </c:pt>
                <c:pt idx="75">
                  <c:v>-1.3102382622271599E-94</c:v>
                </c:pt>
                <c:pt idx="76">
                  <c:v>1.2657978826115001E-94</c:v>
                </c:pt>
                <c:pt idx="77">
                  <c:v>-9.0739324359093506E-95</c:v>
                </c:pt>
                <c:pt idx="78">
                  <c:v>3.5476710986051901E-95</c:v>
                </c:pt>
                <c:pt idx="79">
                  <c:v>-8.2093880541451697E-96</c:v>
                </c:pt>
                <c:pt idx="80">
                  <c:v>7.7709070757774502E-97</c:v>
                </c:pt>
                <c:pt idx="81">
                  <c:v>1.0009187391696101E-100</c:v>
                </c:pt>
                <c:pt idx="82">
                  <c:v>-3.1076744717608899E-101</c:v>
                </c:pt>
                <c:pt idx="83">
                  <c:v>6.6125154709781297E-102</c:v>
                </c:pt>
                <c:pt idx="84">
                  <c:v>-8.6613944682627302E-103</c:v>
                </c:pt>
                <c:pt idx="85">
                  <c:v>5.1434277165861402E-104</c:v>
                </c:pt>
                <c:pt idx="86">
                  <c:v>2.8341889464962703E-107</c:v>
                </c:pt>
                <c:pt idx="87">
                  <c:v>-5.8428946647247797E-108</c:v>
                </c:pt>
                <c:pt idx="88">
                  <c:v>8.5411732647177705E-109</c:v>
                </c:pt>
                <c:pt idx="89">
                  <c:v>-7.8697809079905098E-110</c:v>
                </c:pt>
                <c:pt idx="90">
                  <c:v>3.3904366428119501E-111</c:v>
                </c:pt>
                <c:pt idx="91">
                  <c:v>5.3802125756516197E-114</c:v>
                </c:pt>
                <c:pt idx="92">
                  <c:v>-8.3390285086784508E-115</c:v>
                </c:pt>
                <c:pt idx="93">
                  <c:v>9.2976997213066305E-116</c:v>
                </c:pt>
                <c:pt idx="94">
                  <c:v>-6.6152721448308802E-117</c:v>
                </c:pt>
                <c:pt idx="95">
                  <c:v>2.2147590541115901E-118</c:v>
                </c:pt>
                <c:pt idx="96">
                  <c:v>8.1634992654052505E-121</c:v>
                </c:pt>
                <c:pt idx="97">
                  <c:v>-1.01493431781267E-121</c:v>
                </c:pt>
                <c:pt idx="98">
                  <c:v>9.1490322069736806E-123</c:v>
                </c:pt>
                <c:pt idx="99">
                  <c:v>-5.2929530869420201E-124</c:v>
                </c:pt>
              </c:numCache>
            </c:numRef>
          </c:yVal>
          <c:smooth val="0"/>
          <c:extLst>
            <c:ext xmlns:c16="http://schemas.microsoft.com/office/drawing/2014/chart" uri="{C3380CC4-5D6E-409C-BE32-E72D297353CC}">
              <c16:uniqueId val="{00000021-05B1-4C8F-A5D2-C74BC92F11DF}"/>
            </c:ext>
          </c:extLst>
        </c:ser>
        <c:ser>
          <c:idx val="34"/>
          <c:order val="34"/>
          <c:tx>
            <c:strRef>
              <c:f>dynamicR!$AR$19</c:f>
              <c:strCache>
                <c:ptCount val="1"/>
                <c:pt idx="0">
                  <c:v>s1RP</c:v>
                </c:pt>
              </c:strCache>
            </c:strRef>
          </c:tx>
          <c:spPr>
            <a:ln w="19050" cap="rnd">
              <a:solidFill>
                <a:schemeClr val="accent5">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dynamicR!$AR$20:$AR$119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2.0178677896835401E-89</c:v>
                </c:pt>
                <c:pt idx="52">
                  <c:v>-4.8610821846114102E-91</c:v>
                </c:pt>
                <c:pt idx="53">
                  <c:v>1.64634247231678E-90</c:v>
                </c:pt>
                <c:pt idx="54">
                  <c:v>-2.16492674993179E-89</c:v>
                </c:pt>
                <c:pt idx="55">
                  <c:v>1.36287217613672E-89</c:v>
                </c:pt>
                <c:pt idx="56">
                  <c:v>-4.4431924763338997E-89</c:v>
                </c:pt>
                <c:pt idx="57">
                  <c:v>1.2948500978385699E-89</c:v>
                </c:pt>
                <c:pt idx="58">
                  <c:v>-2.41066508152597E-90</c:v>
                </c:pt>
                <c:pt idx="59">
                  <c:v>-1.46848869416858E-91</c:v>
                </c:pt>
                <c:pt idx="60">
                  <c:v>2.7247874251904598E-91</c:v>
                </c:pt>
                <c:pt idx="61">
                  <c:v>-1.2967690694332999E-91</c:v>
                </c:pt>
                <c:pt idx="62">
                  <c:v>-3.2246423199746299E-90</c:v>
                </c:pt>
                <c:pt idx="63">
                  <c:v>-2.5044000673625002E-90</c:v>
                </c:pt>
                <c:pt idx="64">
                  <c:v>2.03020774150735E-90</c:v>
                </c:pt>
                <c:pt idx="65">
                  <c:v>4.6434099962429401E-91</c:v>
                </c:pt>
                <c:pt idx="66">
                  <c:v>-3.2437006105791598E-90</c:v>
                </c:pt>
                <c:pt idx="67">
                  <c:v>1.0484982820023601E-90</c:v>
                </c:pt>
                <c:pt idx="68">
                  <c:v>3.5600984538263098E-90</c:v>
                </c:pt>
                <c:pt idx="69">
                  <c:v>-3.04955493630409E-90</c:v>
                </c:pt>
                <c:pt idx="70">
                  <c:v>-2.8417167953803199E-90</c:v>
                </c:pt>
                <c:pt idx="71">
                  <c:v>5.2082080887300896E-90</c:v>
                </c:pt>
                <c:pt idx="72">
                  <c:v>8.6528733454634304E-91</c:v>
                </c:pt>
                <c:pt idx="73">
                  <c:v>-6.8837929667411204E-90</c:v>
                </c:pt>
                <c:pt idx="74">
                  <c:v>2.4400153605847202E-90</c:v>
                </c:pt>
                <c:pt idx="75">
                  <c:v>7.0417421519223196E-90</c:v>
                </c:pt>
                <c:pt idx="76">
                  <c:v>-6.8029010087676096E-90</c:v>
                </c:pt>
                <c:pt idx="77">
                  <c:v>4.8766899951057202E-90</c:v>
                </c:pt>
                <c:pt idx="78">
                  <c:v>-1.9066560239559701E-90</c:v>
                </c:pt>
                <c:pt idx="79">
                  <c:v>4.4120217714858797E-91</c:v>
                </c:pt>
                <c:pt idx="80">
                  <c:v>-4.1762172285395997E-92</c:v>
                </c:pt>
                <c:pt idx="81">
                  <c:v>-6.1430807689689301E-96</c:v>
                </c:pt>
                <c:pt idx="82">
                  <c:v>1.9073113071348102E-96</c:v>
                </c:pt>
                <c:pt idx="83">
                  <c:v>-4.0583445472718902E-97</c:v>
                </c:pt>
                <c:pt idx="84">
                  <c:v>5.3156359482640999E-98</c:v>
                </c:pt>
                <c:pt idx="85">
                  <c:v>-3.1558535648160798E-99</c:v>
                </c:pt>
                <c:pt idx="86">
                  <c:v>-1.9864197889483599E-102</c:v>
                </c:pt>
                <c:pt idx="87">
                  <c:v>4.09511047739802E-103</c:v>
                </c:pt>
                <c:pt idx="88">
                  <c:v>-5.9860483344458801E-104</c:v>
                </c:pt>
                <c:pt idx="89">
                  <c:v>5.5147710287449699E-105</c:v>
                </c:pt>
                <c:pt idx="90">
                  <c:v>-2.3736594524335799E-106</c:v>
                </c:pt>
                <c:pt idx="91">
                  <c:v>-4.3061809499728702E-109</c:v>
                </c:pt>
                <c:pt idx="92">
                  <c:v>6.6741183641847298E-110</c:v>
                </c:pt>
                <c:pt idx="93">
                  <c:v>-7.4406555878227197E-111</c:v>
                </c:pt>
                <c:pt idx="94">
                  <c:v>5.2919532463523998E-112</c:v>
                </c:pt>
                <c:pt idx="95">
                  <c:v>-1.76691540596608E-113</c:v>
                </c:pt>
                <c:pt idx="96">
                  <c:v>-7.4612381686314696E-116</c:v>
                </c:pt>
                <c:pt idx="97">
                  <c:v>9.27551022782568E-117</c:v>
                </c:pt>
                <c:pt idx="98">
                  <c:v>-8.3593613482756199E-118</c:v>
                </c:pt>
                <c:pt idx="99">
                  <c:v>4.83163109499587E-119</c:v>
                </c:pt>
              </c:numCache>
            </c:numRef>
          </c:yVal>
          <c:smooth val="0"/>
          <c:extLst>
            <c:ext xmlns:c16="http://schemas.microsoft.com/office/drawing/2014/chart" uri="{C3380CC4-5D6E-409C-BE32-E72D297353CC}">
              <c16:uniqueId val="{00000022-05B1-4C8F-A5D2-C74BC92F11DF}"/>
            </c:ext>
          </c:extLst>
        </c:ser>
        <c:ser>
          <c:idx val="35"/>
          <c:order val="35"/>
          <c:tx>
            <c:strRef>
              <c:f>dynamicR!$AS$19</c:f>
              <c:strCache>
                <c:ptCount val="1"/>
                <c:pt idx="0">
                  <c:v>s2RD</c:v>
                </c:pt>
              </c:strCache>
            </c:strRef>
          </c:tx>
          <c:spPr>
            <a:ln w="19050" cap="rnd">
              <a:solidFill>
                <a:schemeClr val="accent6">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dynamicR!$AS$20:$AS$119</c:f>
              <c:numCache>
                <c:formatCode>0.00</c:formatCode>
                <c:ptCount val="100"/>
                <c:pt idx="0">
                  <c:v>0</c:v>
                </c:pt>
                <c:pt idx="1">
                  <c:v>0.999999999999999</c:v>
                </c:pt>
                <c:pt idx="2">
                  <c:v>0.999999999999999</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1</c:v>
                </c:pt>
                <c:pt idx="21">
                  <c:v>1</c:v>
                </c:pt>
                <c:pt idx="22">
                  <c:v>0.999999999999998</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1.1549855819825E-17</c:v>
                </c:pt>
                <c:pt idx="52">
                  <c:v>1.13188019337742E-17</c:v>
                </c:pt>
                <c:pt idx="53">
                  <c:v>1.10925524222926E-17</c:v>
                </c:pt>
                <c:pt idx="54">
                  <c:v>1.08706290811769E-17</c:v>
                </c:pt>
                <c:pt idx="55">
                  <c:v>1.06536023698177E-17</c:v>
                </c:pt>
                <c:pt idx="56">
                  <c:v>1.0440178035710099E-17</c:v>
                </c:pt>
                <c:pt idx="57">
                  <c:v>1.02319257185048E-17</c:v>
                </c:pt>
                <c:pt idx="58">
                  <c:v>1.00272691240476E-17</c:v>
                </c:pt>
                <c:pt idx="59">
                  <c:v>9.8268404340379997E-18</c:v>
                </c:pt>
                <c:pt idx="60">
                  <c:v>9.6304042455271007E-18</c:v>
                </c:pt>
                <c:pt idx="61">
                  <c:v>9.4378880677386302E-18</c:v>
                </c:pt>
                <c:pt idx="62">
                  <c:v>9.2491986547585907E-18</c:v>
                </c:pt>
                <c:pt idx="63">
                  <c:v>9.0643110759208606E-18</c:v>
                </c:pt>
                <c:pt idx="64">
                  <c:v>8.8831498793717896E-18</c:v>
                </c:pt>
                <c:pt idx="65">
                  <c:v>8.7055623630249703E-18</c:v>
                </c:pt>
                <c:pt idx="66">
                  <c:v>8.5315076533736096E-18</c:v>
                </c:pt>
                <c:pt idx="67">
                  <c:v>8.3609952915801604E-18</c:v>
                </c:pt>
                <c:pt idx="68">
                  <c:v>8.1938779550668703E-18</c:v>
                </c:pt>
                <c:pt idx="69">
                  <c:v>8.0300292960327297E-18</c:v>
                </c:pt>
                <c:pt idx="70">
                  <c:v>7.8695091397549306E-18</c:v>
                </c:pt>
                <c:pt idx="71">
                  <c:v>7.7122600629481001E-18</c:v>
                </c:pt>
                <c:pt idx="72">
                  <c:v>7.5580572823958206E-18</c:v>
                </c:pt>
                <c:pt idx="73">
                  <c:v>7.40690933951673E-18</c:v>
                </c:pt>
                <c:pt idx="74">
                  <c:v>7.2589171408327106E-18</c:v>
                </c:pt>
                <c:pt idx="75">
                  <c:v>7.1138473369006495E-18</c:v>
                </c:pt>
                <c:pt idx="76">
                  <c:v>6.9715318454233697E-18</c:v>
                </c:pt>
                <c:pt idx="77">
                  <c:v>6.8322615127120403E-18</c:v>
                </c:pt>
                <c:pt idx="78">
                  <c:v>6.69563082226868E-18</c:v>
                </c:pt>
                <c:pt idx="79">
                  <c:v>6.5618024066170099E-18</c:v>
                </c:pt>
                <c:pt idx="80">
                  <c:v>6.4306274808750703E-18</c:v>
                </c:pt>
                <c:pt idx="81">
                  <c:v>6.3020786335752497E-18</c:v>
                </c:pt>
                <c:pt idx="82">
                  <c:v>6.1760992732227799E-18</c:v>
                </c:pt>
                <c:pt idx="83">
                  <c:v>6.05263821992507E-18</c:v>
                </c:pt>
                <c:pt idx="84">
                  <c:v>5.9316451789285196E-18</c:v>
                </c:pt>
                <c:pt idx="85">
                  <c:v>5.8130708030969398E-18</c:v>
                </c:pt>
                <c:pt idx="86">
                  <c:v>5.6968667450492397E-18</c:v>
                </c:pt>
                <c:pt idx="87">
                  <c:v>5.5829856216662397E-18</c:v>
                </c:pt>
                <c:pt idx="88">
                  <c:v>5.4713809970620101E-18</c:v>
                </c:pt>
                <c:pt idx="89">
                  <c:v>5.3620073636886503E-18</c:v>
                </c:pt>
                <c:pt idx="90">
                  <c:v>5.2548201237679198E-18</c:v>
                </c:pt>
                <c:pt idx="91">
                  <c:v>5.1497755710390698E-18</c:v>
                </c:pt>
                <c:pt idx="92">
                  <c:v>5.0468308728999499E-18</c:v>
                </c:pt>
                <c:pt idx="93">
                  <c:v>4.94594405295446E-18</c:v>
                </c:pt>
                <c:pt idx="94">
                  <c:v>4.8470739739420798E-18</c:v>
                </c:pt>
                <c:pt idx="95">
                  <c:v>4.7501803209511301E-18</c:v>
                </c:pt>
                <c:pt idx="96">
                  <c:v>4.65522358496649E-18</c:v>
                </c:pt>
                <c:pt idx="97">
                  <c:v>4.5621650467553102E-18</c:v>
                </c:pt>
                <c:pt idx="98">
                  <c:v>4.4709667610938903E-18</c:v>
                </c:pt>
                <c:pt idx="99">
                  <c:v>4.3815915412845503E-18</c:v>
                </c:pt>
              </c:numCache>
            </c:numRef>
          </c:yVal>
          <c:smooth val="0"/>
          <c:extLst>
            <c:ext xmlns:c16="http://schemas.microsoft.com/office/drawing/2014/chart" uri="{C3380CC4-5D6E-409C-BE32-E72D297353CC}">
              <c16:uniqueId val="{00000023-05B1-4C8F-A5D2-C74BC92F11DF}"/>
            </c:ext>
          </c:extLst>
        </c:ser>
        <c:ser>
          <c:idx val="36"/>
          <c:order val="36"/>
          <c:tx>
            <c:strRef>
              <c:f>dynamicR!$AT$19</c:f>
              <c:strCache>
                <c:ptCount val="1"/>
                <c:pt idx="0">
                  <c:v>s2RS</c:v>
                </c:pt>
              </c:strCache>
            </c:strRef>
          </c:tx>
          <c:spPr>
            <a:ln w="19050" cap="rnd">
              <a:solidFill>
                <a:schemeClr val="accent1">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dynamicR!$AT$20:$AT$119</c:f>
              <c:numCache>
                <c:formatCode>0.00</c:formatCode>
                <c:ptCount val="100"/>
                <c:pt idx="0">
                  <c:v>0</c:v>
                </c:pt>
                <c:pt idx="1">
                  <c:v>1</c:v>
                </c:pt>
                <c:pt idx="2">
                  <c:v>0.999999999999999</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0.999999999999999</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-1.08941439691336E-216</c:v>
                </c:pt>
                <c:pt idx="52">
                  <c:v>2.6244003707269402E-218</c:v>
                </c:pt>
                <c:pt idx="53">
                  <c:v>-8.8884724556736704E-218</c:v>
                </c:pt>
                <c:pt idx="54">
                  <c:v>1.16880848019497E-216</c:v>
                </c:pt>
                <c:pt idx="55">
                  <c:v>-7.3579464189936005E-217</c:v>
                </c:pt>
                <c:pt idx="56">
                  <c:v>2.3988153714504399E-216</c:v>
                </c:pt>
                <c:pt idx="57">
                  <c:v>-6.9907361553029703E-217</c:v>
                </c:pt>
                <c:pt idx="58">
                  <c:v>1.3015040823969901E-217</c:v>
                </c:pt>
                <c:pt idx="59">
                  <c:v>7.9274181429081206E-219</c:v>
                </c:pt>
                <c:pt idx="60">
                  <c:v>-1.47100831847028E-218</c:v>
                </c:pt>
                <c:pt idx="61">
                  <c:v>7.0022612378562797E-219</c:v>
                </c:pt>
                <c:pt idx="62">
                  <c:v>1.7409386622155299E-217</c:v>
                </c:pt>
                <c:pt idx="63">
                  <c:v>1.3520936125969399E-217</c:v>
                </c:pt>
                <c:pt idx="64">
                  <c:v>-1.0960696599293301E-217</c:v>
                </c:pt>
                <c:pt idx="65">
                  <c:v>-2.5069347157216802E-218</c:v>
                </c:pt>
                <c:pt idx="66">
                  <c:v>1.7512193603002199E-217</c:v>
                </c:pt>
                <c:pt idx="67">
                  <c:v>-5.6606325162074496E-218</c:v>
                </c:pt>
                <c:pt idx="68">
                  <c:v>-1.9220403629766E-217</c:v>
                </c:pt>
                <c:pt idx="69">
                  <c:v>1.64640255533538E-217</c:v>
                </c:pt>
                <c:pt idx="70">
                  <c:v>1.5341993303714501E-217</c:v>
                </c:pt>
                <c:pt idx="71">
                  <c:v>-2.8118275734902399E-217</c:v>
                </c:pt>
                <c:pt idx="72">
                  <c:v>-4.6715619411709704E-218</c:v>
                </c:pt>
                <c:pt idx="73">
                  <c:v>3.7164521969479299E-217</c:v>
                </c:pt>
                <c:pt idx="74">
                  <c:v>-1.31732760974831E-217</c:v>
                </c:pt>
                <c:pt idx="75">
                  <c:v>-3.8017277895091803E-217</c:v>
                </c:pt>
                <c:pt idx="76">
                  <c:v>3.6727846910237598E-217</c:v>
                </c:pt>
                <c:pt idx="77">
                  <c:v>-2.63286052667859E-217</c:v>
                </c:pt>
                <c:pt idx="78">
                  <c:v>1.0293895744352499E-217</c:v>
                </c:pt>
                <c:pt idx="79">
                  <c:v>-2.3821090287565201E-218</c:v>
                </c:pt>
                <c:pt idx="80">
                  <c:v>2.2554186593600699E-219</c:v>
                </c:pt>
                <c:pt idx="81">
                  <c:v>1.20411060437938E-224</c:v>
                </c:pt>
                <c:pt idx="82">
                  <c:v>-3.7386270795167201E-225</c:v>
                </c:pt>
                <c:pt idx="83">
                  <c:v>7.9555340624775299E-226</c:v>
                </c:pt>
                <c:pt idx="84">
                  <c:v>-1.04229445817642E-226</c:v>
                </c:pt>
                <c:pt idx="85">
                  <c:v>6.1994266142344201E-228</c:v>
                </c:pt>
                <c:pt idx="86">
                  <c:v>1.4062645419849099E-232</c:v>
                </c:pt>
                <c:pt idx="87">
                  <c:v>-2.9146255425919702E-233</c:v>
                </c:pt>
                <c:pt idx="88">
                  <c:v>4.2616011884458199E-234</c:v>
                </c:pt>
                <c:pt idx="89">
                  <c:v>-3.9301436081431402E-235</c:v>
                </c:pt>
                <c:pt idx="90">
                  <c:v>1.7037422555404199E-236</c:v>
                </c:pt>
                <c:pt idx="91">
                  <c:v>1.11010071985097E-240</c:v>
                </c:pt>
                <c:pt idx="92">
                  <c:v>-1.72512224267854E-241</c:v>
                </c:pt>
                <c:pt idx="93">
                  <c:v>1.9247246770277001E-242</c:v>
                </c:pt>
                <c:pt idx="94">
                  <c:v>-1.37299233807025E-243</c:v>
                </c:pt>
                <c:pt idx="95">
                  <c:v>4.6805318240133797E-245</c:v>
                </c:pt>
                <c:pt idx="96">
                  <c:v>6.9943146023283403E-249</c:v>
                </c:pt>
                <c:pt idx="97">
                  <c:v>-8.7100991609843995E-250</c:v>
                </c:pt>
                <c:pt idx="98">
                  <c:v>7.8640764566702896E-251</c:v>
                </c:pt>
                <c:pt idx="99">
                  <c:v>-4.5779427740984102E-252</c:v>
                </c:pt>
              </c:numCache>
            </c:numRef>
          </c:yVal>
          <c:smooth val="0"/>
          <c:extLst>
            <c:ext xmlns:c16="http://schemas.microsoft.com/office/drawing/2014/chart" uri="{C3380CC4-5D6E-409C-BE32-E72D297353CC}">
              <c16:uniqueId val="{00000024-05B1-4C8F-A5D2-C74BC92F11DF}"/>
            </c:ext>
          </c:extLst>
        </c:ser>
        <c:ser>
          <c:idx val="37"/>
          <c:order val="37"/>
          <c:tx>
            <c:strRef>
              <c:f>dynamicR!$AU$19</c:f>
              <c:strCache>
                <c:ptCount val="1"/>
                <c:pt idx="0">
                  <c:v>s2RA</c:v>
                </c:pt>
              </c:strCache>
            </c:strRef>
          </c:tx>
          <c:spPr>
            <a:ln w="19050" cap="rnd">
              <a:solidFill>
                <a:schemeClr val="accent2">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dynamicR!$AU$20:$AU$119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0.999999999999999</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1.3362602406475799E-90</c:v>
                </c:pt>
                <c:pt idx="52">
                  <c:v>-3.2190750270874501E-92</c:v>
                </c:pt>
                <c:pt idx="53">
                  <c:v>1.09023202544355E-91</c:v>
                </c:pt>
                <c:pt idx="54">
                  <c:v>-1.4336446864461101E-90</c:v>
                </c:pt>
                <c:pt idx="55">
                  <c:v>9.0251313806468102E-91</c:v>
                </c:pt>
                <c:pt idx="56">
                  <c:v>-2.94234468427567E-90</c:v>
                </c:pt>
                <c:pt idx="57">
                  <c:v>8.5746819958114305E-91</c:v>
                </c:pt>
                <c:pt idx="58">
                  <c:v>-1.59637800628725E-91</c:v>
                </c:pt>
                <c:pt idx="59">
                  <c:v>-9.7244819693577405E-93</c:v>
                </c:pt>
                <c:pt idx="60">
                  <c:v>1.8043876179591999E-92</c:v>
                </c:pt>
                <c:pt idx="61">
                  <c:v>-8.5874796525658102E-93</c:v>
                </c:pt>
                <c:pt idx="62">
                  <c:v>-2.1354036649962301E-91</c:v>
                </c:pt>
                <c:pt idx="63">
                  <c:v>-1.65844935056025E-91</c:v>
                </c:pt>
                <c:pt idx="64">
                  <c:v>1.3444313987250099E-91</c:v>
                </c:pt>
                <c:pt idx="65">
                  <c:v>3.0749334633262401E-92</c:v>
                </c:pt>
                <c:pt idx="66">
                  <c:v>-2.14802366970757E-91</c:v>
                </c:pt>
                <c:pt idx="67">
                  <c:v>6.9432989218873204E-92</c:v>
                </c:pt>
                <c:pt idx="68">
                  <c:v>2.35754696507298E-91</c:v>
                </c:pt>
                <c:pt idx="69">
                  <c:v>-2.0194576397295399E-91</c:v>
                </c:pt>
                <c:pt idx="70">
                  <c:v>-1.88182472440958E-91</c:v>
                </c:pt>
                <c:pt idx="71">
                  <c:v>3.4489481365912601E-91</c:v>
                </c:pt>
                <c:pt idx="72">
                  <c:v>5.7300547480408401E-92</c:v>
                </c:pt>
                <c:pt idx="73">
                  <c:v>-4.5585441045694098E-91</c:v>
                </c:pt>
                <c:pt idx="74">
                  <c:v>1.61581245542337E-91</c:v>
                </c:pt>
                <c:pt idx="75">
                  <c:v>4.6631403670919897E-91</c:v>
                </c:pt>
                <c:pt idx="76">
                  <c:v>-4.5049766877028699E-91</c:v>
                </c:pt>
                <c:pt idx="77">
                  <c:v>3.2294133235683701E-91</c:v>
                </c:pt>
                <c:pt idx="78">
                  <c:v>-1.2626155402221099E-91</c:v>
                </c:pt>
                <c:pt idx="79">
                  <c:v>2.92171244687669E-92</c:v>
                </c:pt>
                <c:pt idx="80">
                  <c:v>-2.7656070107939701E-93</c:v>
                </c:pt>
                <c:pt idx="81">
                  <c:v>-3.8212099093120802E-97</c:v>
                </c:pt>
                <c:pt idx="82">
                  <c:v>1.1864157649347599E-97</c:v>
                </c:pt>
                <c:pt idx="83">
                  <c:v>-2.5244461938944699E-98</c:v>
                </c:pt>
                <c:pt idx="84">
                  <c:v>3.3065847327422501E-99</c:v>
                </c:pt>
                <c:pt idx="85">
                  <c:v>-1.9633224731600601E-100</c:v>
                </c:pt>
                <c:pt idx="86">
                  <c:v>-1.1606546242962301E-103</c:v>
                </c:pt>
                <c:pt idx="87">
                  <c:v>2.3927658776164701E-104</c:v>
                </c:pt>
                <c:pt idx="88">
                  <c:v>-3.4976960327654596E-105</c:v>
                </c:pt>
                <c:pt idx="89">
                  <c:v>3.2225343632928101E-106</c:v>
                </c:pt>
                <c:pt idx="90">
                  <c:v>-1.3876653510468899E-107</c:v>
                </c:pt>
                <c:pt idx="91">
                  <c:v>-2.3634416303560701E-110</c:v>
                </c:pt>
                <c:pt idx="92">
                  <c:v>3.6631350687720997E-111</c:v>
                </c:pt>
                <c:pt idx="93">
                  <c:v>-4.0840504111228198E-112</c:v>
                </c:pt>
                <c:pt idx="94">
                  <c:v>2.9052103665650102E-113</c:v>
                </c:pt>
                <c:pt idx="95">
                  <c:v>-9.7129963245559392E-115</c:v>
                </c:pt>
                <c:pt idx="96">
                  <c:v>-3.8466905631391701E-117</c:v>
                </c:pt>
                <c:pt idx="97">
                  <c:v>4.7822333822996004E-118</c:v>
                </c:pt>
                <c:pt idx="98">
                  <c:v>-4.3103824109288201E-119</c:v>
                </c:pt>
                <c:pt idx="99">
                  <c:v>2.4924865013834201E-120</c:v>
                </c:pt>
              </c:numCache>
            </c:numRef>
          </c:yVal>
          <c:smooth val="0"/>
          <c:extLst>
            <c:ext xmlns:c16="http://schemas.microsoft.com/office/drawing/2014/chart" uri="{C3380CC4-5D6E-409C-BE32-E72D297353CC}">
              <c16:uniqueId val="{00000025-05B1-4C8F-A5D2-C74BC92F11DF}"/>
            </c:ext>
          </c:extLst>
        </c:ser>
        <c:ser>
          <c:idx val="38"/>
          <c:order val="38"/>
          <c:tx>
            <c:strRef>
              <c:f>dynamicR!$AV$19</c:f>
              <c:strCache>
                <c:ptCount val="1"/>
                <c:pt idx="0">
                  <c:v>s2RP</c:v>
                </c:pt>
              </c:strCache>
            </c:strRef>
          </c:tx>
          <c:spPr>
            <a:ln w="19050" cap="rnd">
              <a:solidFill>
                <a:schemeClr val="accent3">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dynamicR!$AV$20:$AV$119</c:f>
              <c:numCache>
                <c:formatCode>0.00</c:formatCode>
                <c:ptCount val="100"/>
                <c:pt idx="0">
                  <c:v>0</c:v>
                </c:pt>
                <c:pt idx="1">
                  <c:v>1</c:v>
                </c:pt>
                <c:pt idx="2">
                  <c:v>0.999999999999999</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0.999999999999999</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1.92491734291074E-89</c:v>
                </c:pt>
                <c:pt idx="52">
                  <c:v>-4.6371627829300198E-91</c:v>
                </c:pt>
                <c:pt idx="53">
                  <c:v>1.5705058555979601E-90</c:v>
                </c:pt>
                <c:pt idx="54">
                  <c:v>-2.06520222445586E-89</c:v>
                </c:pt>
                <c:pt idx="55">
                  <c:v>1.30009324773108E-89</c:v>
                </c:pt>
                <c:pt idx="56">
                  <c:v>-4.2385226130381001E-89</c:v>
                </c:pt>
                <c:pt idx="57">
                  <c:v>1.2352045177225199E-89</c:v>
                </c:pt>
                <c:pt idx="58">
                  <c:v>-2.2996209398057098E-90</c:v>
                </c:pt>
                <c:pt idx="59">
                  <c:v>-1.40084468071717E-91</c:v>
                </c:pt>
                <c:pt idx="60">
                  <c:v>2.5992736498708102E-91</c:v>
                </c:pt>
                <c:pt idx="61">
                  <c:v>-1.23703509135354E-91</c:v>
                </c:pt>
                <c:pt idx="62">
                  <c:v>-3.0761033794898702E-90</c:v>
                </c:pt>
                <c:pt idx="63">
                  <c:v>-2.3890381462745799E-90</c:v>
                </c:pt>
                <c:pt idx="64">
                  <c:v>1.9366888714869599E-90</c:v>
                </c:pt>
                <c:pt idx="65">
                  <c:v>4.4295173735517199E-91</c:v>
                </c:pt>
                <c:pt idx="66">
                  <c:v>-3.0942837750328002E-90</c:v>
                </c:pt>
                <c:pt idx="67">
                  <c:v>1.00020057703545E-90</c:v>
                </c:pt>
                <c:pt idx="68">
                  <c:v>3.39610716445295E-90</c:v>
                </c:pt>
                <c:pt idx="69">
                  <c:v>-2.9090811679015802E-90</c:v>
                </c:pt>
                <c:pt idx="70">
                  <c:v>-2.71081681957437E-90</c:v>
                </c:pt>
                <c:pt idx="71">
                  <c:v>4.9682987798190002E-90</c:v>
                </c:pt>
                <c:pt idx="72">
                  <c:v>8.2542900263833395E-91</c:v>
                </c:pt>
                <c:pt idx="73">
                  <c:v>-6.5667000269698098E-90</c:v>
                </c:pt>
                <c:pt idx="74">
                  <c:v>2.3276192371427002E-90</c:v>
                </c:pt>
                <c:pt idx="75">
                  <c:v>6.7173734890229597E-90</c:v>
                </c:pt>
                <c:pt idx="76">
                  <c:v>-6.4895342513520397E-90</c:v>
                </c:pt>
                <c:pt idx="77">
                  <c:v>4.6520516341750903E-90</c:v>
                </c:pt>
                <c:pt idx="78">
                  <c:v>-1.81882840195529E-90</c:v>
                </c:pt>
                <c:pt idx="79">
                  <c:v>4.2087877428667399E-91</c:v>
                </c:pt>
                <c:pt idx="80">
                  <c:v>-3.9838452123318601E-92</c:v>
                </c:pt>
                <c:pt idx="81">
                  <c:v>-5.86019138965123E-96</c:v>
                </c:pt>
                <c:pt idx="82">
                  <c:v>1.8194794615769599E-96</c:v>
                </c:pt>
                <c:pt idx="83">
                  <c:v>-3.87145742246992E-97</c:v>
                </c:pt>
                <c:pt idx="84">
                  <c:v>5.0708503891357297E-98</c:v>
                </c:pt>
                <c:pt idx="85">
                  <c:v>-3.0105260582671599E-99</c:v>
                </c:pt>
                <c:pt idx="86">
                  <c:v>-1.8949688382412502E-102</c:v>
                </c:pt>
                <c:pt idx="87">
                  <c:v>3.90658600928902E-103</c:v>
                </c:pt>
                <c:pt idx="88">
                  <c:v>-5.7104717301058403E-104</c:v>
                </c:pt>
                <c:pt idx="89">
                  <c:v>5.2608902526705301E-105</c:v>
                </c:pt>
                <c:pt idx="90">
                  <c:v>-2.26438417360059E-106</c:v>
                </c:pt>
                <c:pt idx="91">
                  <c:v>-4.10799745742647E-109</c:v>
                </c:pt>
                <c:pt idx="92">
                  <c:v>6.3669562149707904E-110</c:v>
                </c:pt>
                <c:pt idx="93">
                  <c:v>-7.0982150084847604E-111</c:v>
                </c:pt>
                <c:pt idx="94">
                  <c:v>5.0484018370174E-112</c:v>
                </c:pt>
                <c:pt idx="95">
                  <c:v>-1.6855960391732901E-113</c:v>
                </c:pt>
                <c:pt idx="96">
                  <c:v>-7.1179519007997297E-116</c:v>
                </c:pt>
                <c:pt idx="97">
                  <c:v>8.8487506633842397E-117</c:v>
                </c:pt>
                <c:pt idx="98">
                  <c:v>-7.9747527850971191E-118</c:v>
                </c:pt>
                <c:pt idx="99">
                  <c:v>4.6093303722977299E-119</c:v>
                </c:pt>
              </c:numCache>
            </c:numRef>
          </c:yVal>
          <c:smooth val="0"/>
          <c:extLst>
            <c:ext xmlns:c16="http://schemas.microsoft.com/office/drawing/2014/chart" uri="{C3380CC4-5D6E-409C-BE32-E72D297353CC}">
              <c16:uniqueId val="{00000026-05B1-4C8F-A5D2-C74BC92F11DF}"/>
            </c:ext>
          </c:extLst>
        </c:ser>
        <c:ser>
          <c:idx val="39"/>
          <c:order val="39"/>
          <c:tx>
            <c:strRef>
              <c:f>dynamicR!$AW$19</c:f>
              <c:strCache>
                <c:ptCount val="1"/>
                <c:pt idx="0">
                  <c:v>s3RD</c:v>
                </c:pt>
              </c:strCache>
            </c:strRef>
          </c:tx>
          <c:spPr>
            <a:ln w="19050" cap="rnd">
              <a:solidFill>
                <a:schemeClr val="accent4">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dynamicR!$AW$20:$AW$119</c:f>
              <c:numCache>
                <c:formatCode>0.00</c:formatCode>
                <c:ptCount val="100"/>
                <c:pt idx="0">
                  <c:v>0</c:v>
                </c:pt>
                <c:pt idx="1">
                  <c:v>1</c:v>
                </c:pt>
                <c:pt idx="2">
                  <c:v>1</c:v>
                </c:pt>
                <c:pt idx="3">
                  <c:v>1</c:v>
                </c:pt>
                <c:pt idx="4">
                  <c:v>1</c:v>
                </c:pt>
                <c:pt idx="5">
                  <c:v>0.999999999999999</c:v>
                </c:pt>
                <c:pt idx="6">
                  <c:v>1</c:v>
                </c:pt>
                <c:pt idx="7">
                  <c:v>0.999999999999999</c:v>
                </c:pt>
                <c:pt idx="8">
                  <c:v>1</c:v>
                </c:pt>
                <c:pt idx="9">
                  <c:v>1</c:v>
                </c:pt>
                <c:pt idx="10">
                  <c:v>1</c:v>
                </c:pt>
                <c:pt idx="11">
                  <c:v>1</c:v>
                </c:pt>
                <c:pt idx="12">
                  <c:v>1</c:v>
                </c:pt>
                <c:pt idx="13">
                  <c:v>1</c:v>
                </c:pt>
                <c:pt idx="14">
                  <c:v>0.999999999999999</c:v>
                </c:pt>
                <c:pt idx="15">
                  <c:v>1</c:v>
                </c:pt>
                <c:pt idx="16">
                  <c:v>0.999999999999999</c:v>
                </c:pt>
                <c:pt idx="17">
                  <c:v>0.999999999999999</c:v>
                </c:pt>
                <c:pt idx="18">
                  <c:v>1</c:v>
                </c:pt>
                <c:pt idx="19">
                  <c:v>1</c:v>
                </c:pt>
                <c:pt idx="20">
                  <c:v>0.999999999999998</c:v>
                </c:pt>
                <c:pt idx="21">
                  <c:v>1</c:v>
                </c:pt>
                <c:pt idx="22">
                  <c:v>1</c:v>
                </c:pt>
                <c:pt idx="23">
                  <c:v>0.999999999999999</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4.0778096873008798E-16</c:v>
                </c:pt>
                <c:pt idx="52">
                  <c:v>3.9962902618437E-16</c:v>
                </c:pt>
                <c:pt idx="53">
                  <c:v>3.9164032064618198E-16</c:v>
                </c:pt>
                <c:pt idx="54">
                  <c:v>3.8381148252368998E-16</c:v>
                </c:pt>
                <c:pt idx="55">
                  <c:v>3.7613910991920299E-16</c:v>
                </c:pt>
                <c:pt idx="56">
                  <c:v>3.6862006960930401E-16</c:v>
                </c:pt>
                <c:pt idx="57">
                  <c:v>3.6125132149757898E-16</c:v>
                </c:pt>
                <c:pt idx="58">
                  <c:v>3.54029872390424E-16</c:v>
                </c:pt>
                <c:pt idx="59">
                  <c:v>3.4695278159486099E-16</c:v>
                </c:pt>
                <c:pt idx="60">
                  <c:v>3.4001715852201498E-16</c:v>
                </c:pt>
                <c:pt idx="61">
                  <c:v>3.3322016996227602E-16</c:v>
                </c:pt>
                <c:pt idx="62">
                  <c:v>3.2655904963051002E-16</c:v>
                </c:pt>
                <c:pt idx="63">
                  <c:v>3.2003108757813302E-16</c:v>
                </c:pt>
                <c:pt idx="64">
                  <c:v>3.1363362300196E-16</c:v>
                </c:pt>
                <c:pt idx="65">
                  <c:v>3.0736404564491902E-16</c:v>
                </c:pt>
                <c:pt idx="66">
                  <c:v>3.0121979775270698E-16</c:v>
                </c:pt>
                <c:pt idx="67">
                  <c:v>2.9519837376566199E-16</c:v>
                </c:pt>
                <c:pt idx="68">
                  <c:v>2.8929731869706499E-16</c:v>
                </c:pt>
                <c:pt idx="69">
                  <c:v>2.83514226566439E-16</c:v>
                </c:pt>
                <c:pt idx="70">
                  <c:v>2.7784673930077801E-16</c:v>
                </c:pt>
                <c:pt idx="71">
                  <c:v>2.7229254588781598E-16</c:v>
                </c:pt>
                <c:pt idx="72">
                  <c:v>2.6684938153126599E-16</c:v>
                </c:pt>
                <c:pt idx="73">
                  <c:v>2.6151502674293799E-16</c:v>
                </c:pt>
                <c:pt idx="74">
                  <c:v>2.56287306416132E-16</c:v>
                </c:pt>
                <c:pt idx="75">
                  <c:v>2.5116408896115299E-16</c:v>
                </c:pt>
                <c:pt idx="76">
                  <c:v>2.4614328543068201E-16</c:v>
                </c:pt>
                <c:pt idx="77">
                  <c:v>2.4122284852245498E-16</c:v>
                </c:pt>
                <c:pt idx="78">
                  <c:v>2.3640077178654899E-16</c:v>
                </c:pt>
                <c:pt idx="79">
                  <c:v>2.3167508894241002E-16</c:v>
                </c:pt>
                <c:pt idx="80">
                  <c:v>2.2704387309833801E-16</c:v>
                </c:pt>
                <c:pt idx="81">
                  <c:v>2.2250523588951301E-16</c:v>
                </c:pt>
                <c:pt idx="82">
                  <c:v>2.1805732665949501E-16</c:v>
                </c:pt>
                <c:pt idx="83">
                  <c:v>2.1369833172499199E-16</c:v>
                </c:pt>
                <c:pt idx="84">
                  <c:v>2.0942647366855499E-16</c:v>
                </c:pt>
                <c:pt idx="85">
                  <c:v>2.0524001061895299E-16</c:v>
                </c:pt>
                <c:pt idx="86">
                  <c:v>2.0113723552559199E-16</c:v>
                </c:pt>
                <c:pt idx="87">
                  <c:v>1.9711647545489401E-16</c:v>
                </c:pt>
                <c:pt idx="88">
                  <c:v>1.9317609091209001E-16</c:v>
                </c:pt>
                <c:pt idx="89">
                  <c:v>1.89314475178278E-16</c:v>
                </c:pt>
                <c:pt idx="90">
                  <c:v>1.85530053655693E-16</c:v>
                </c:pt>
                <c:pt idx="91">
                  <c:v>1.8182128322302499E-16</c:v>
                </c:pt>
                <c:pt idx="92">
                  <c:v>1.7818665160491599E-16</c:v>
                </c:pt>
                <c:pt idx="93">
                  <c:v>1.7462467675577199E-16</c:v>
                </c:pt>
                <c:pt idx="94">
                  <c:v>1.71133906257055E-16</c:v>
                </c:pt>
                <c:pt idx="95">
                  <c:v>1.6771291672460799E-16</c:v>
                </c:pt>
                <c:pt idx="96">
                  <c:v>1.6436031322776899E-16</c:v>
                </c:pt>
                <c:pt idx="97">
                  <c:v>1.6107472872044201E-16</c:v>
                </c:pt>
                <c:pt idx="98">
                  <c:v>1.5785482348419301E-16</c:v>
                </c:pt>
                <c:pt idx="99">
                  <c:v>1.5469928458159299E-16</c:v>
                </c:pt>
              </c:numCache>
            </c:numRef>
          </c:yVal>
          <c:smooth val="0"/>
          <c:extLst>
            <c:ext xmlns:c16="http://schemas.microsoft.com/office/drawing/2014/chart" uri="{C3380CC4-5D6E-409C-BE32-E72D297353CC}">
              <c16:uniqueId val="{00000027-05B1-4C8F-A5D2-C74BC92F11DF}"/>
            </c:ext>
          </c:extLst>
        </c:ser>
        <c:ser>
          <c:idx val="40"/>
          <c:order val="40"/>
          <c:tx>
            <c:strRef>
              <c:f>dynamicR!$AX$19</c:f>
              <c:strCache>
                <c:ptCount val="1"/>
                <c:pt idx="0">
                  <c:v>s3RS</c:v>
                </c:pt>
              </c:strCache>
            </c:strRef>
          </c:tx>
          <c:spPr>
            <a:ln w="19050" cap="rnd">
              <a:solidFill>
                <a:schemeClr val="accent5">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dynamicR!$AX$20:$AX$119</c:f>
              <c:numCache>
                <c:formatCode>0.00</c:formatCode>
                <c:ptCount val="100"/>
                <c:pt idx="0">
                  <c:v>0</c:v>
                </c:pt>
                <c:pt idx="1">
                  <c:v>1</c:v>
                </c:pt>
                <c:pt idx="2">
                  <c:v>0.999999999999999</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-1.09284563643476E-214</c:v>
                </c:pt>
                <c:pt idx="52">
                  <c:v>2.6326663076339701E-216</c:v>
                </c:pt>
                <c:pt idx="53">
                  <c:v>-8.9164679737464305E-216</c:v>
                </c:pt>
                <c:pt idx="54">
                  <c:v>1.17248977338623E-214</c:v>
                </c:pt>
                <c:pt idx="55">
                  <c:v>-7.3811210946871396E-215</c:v>
                </c:pt>
                <c:pt idx="56">
                  <c:v>2.40637071101596E-214</c:v>
                </c:pt>
                <c:pt idx="57">
                  <c:v>-7.0127542677082499E-215</c:v>
                </c:pt>
                <c:pt idx="58">
                  <c:v>1.3056033163983701E-215</c:v>
                </c:pt>
                <c:pt idx="59">
                  <c:v>7.9523864410750206E-217</c:v>
                </c:pt>
                <c:pt idx="60">
                  <c:v>-1.4756414251941899E-216</c:v>
                </c:pt>
                <c:pt idx="61">
                  <c:v>7.0243156499337597E-217</c:v>
                </c:pt>
                <c:pt idx="62">
                  <c:v>1.74642194502261E-215</c:v>
                </c:pt>
                <c:pt idx="63">
                  <c:v>1.35635218403338E-215</c:v>
                </c:pt>
                <c:pt idx="64">
                  <c:v>-1.09952185503079E-215</c:v>
                </c:pt>
                <c:pt idx="65">
                  <c:v>-2.5148305895530501E-216</c:v>
                </c:pt>
                <c:pt idx="66">
                  <c:v>1.75673502332623E-215</c:v>
                </c:pt>
                <c:pt idx="67">
                  <c:v>-5.6784613172026603E-216</c:v>
                </c:pt>
                <c:pt idx="68">
                  <c:v>-1.9280940460301999E-215</c:v>
                </c:pt>
                <c:pt idx="69">
                  <c:v>1.65158808600406E-215</c:v>
                </c:pt>
                <c:pt idx="70">
                  <c:v>1.5390314643193099E-215</c:v>
                </c:pt>
                <c:pt idx="71">
                  <c:v>-2.8206837417888801E-215</c:v>
                </c:pt>
                <c:pt idx="72">
                  <c:v>-4.6862755527586E-216</c:v>
                </c:pt>
                <c:pt idx="73">
                  <c:v>3.7281575825982798E-215</c:v>
                </c:pt>
                <c:pt idx="74">
                  <c:v>-1.32147668173496E-215</c:v>
                </c:pt>
                <c:pt idx="75">
                  <c:v>-3.81370176026289E-215</c:v>
                </c:pt>
                <c:pt idx="76">
                  <c:v>3.6843525409357401E-215</c:v>
                </c:pt>
                <c:pt idx="77">
                  <c:v>-2.64115301806426E-215</c:v>
                </c:pt>
                <c:pt idx="78">
                  <c:v>1.03263175308165E-215</c:v>
                </c:pt>
                <c:pt idx="79">
                  <c:v>-2.3896117499982499E-216</c:v>
                </c:pt>
                <c:pt idx="80">
                  <c:v>2.2625223549806199E-217</c:v>
                </c:pt>
                <c:pt idx="81">
                  <c:v>1.20790337838771E-222</c:v>
                </c:pt>
                <c:pt idx="82">
                  <c:v>-3.7504036016605201E-223</c:v>
                </c:pt>
                <c:pt idx="83">
                  <c:v>7.9805951992241302E-224</c:v>
                </c:pt>
                <c:pt idx="84">
                  <c:v>-1.04557816179637E-224</c:v>
                </c:pt>
                <c:pt idx="85">
                  <c:v>6.21895841953043E-226</c:v>
                </c:pt>
                <c:pt idx="86">
                  <c:v>1.41333766497773E-230</c:v>
                </c:pt>
                <c:pt idx="87">
                  <c:v>-2.9238060639769899E-231</c:v>
                </c:pt>
                <c:pt idx="88">
                  <c:v>4.27502498695325E-232</c:v>
                </c:pt>
                <c:pt idx="89">
                  <c:v>-3.9425229894782402E-233</c:v>
                </c:pt>
                <c:pt idx="90">
                  <c:v>1.70910966245503E-234</c:v>
                </c:pt>
                <c:pt idx="91">
                  <c:v>1.1122843095489799E-238</c:v>
                </c:pt>
                <c:pt idx="92">
                  <c:v>-1.7305559479912199E-239</c:v>
                </c:pt>
                <c:pt idx="93">
                  <c:v>1.9307880265644499E-240</c:v>
                </c:pt>
                <c:pt idx="94">
                  <c:v>-1.37731900082988E-241</c:v>
                </c:pt>
                <c:pt idx="95">
                  <c:v>4.6952787727414103E-243</c:v>
                </c:pt>
                <c:pt idx="96">
                  <c:v>7.0175708902434206E-247</c:v>
                </c:pt>
                <c:pt idx="97">
                  <c:v>-8.7375366358681796E-248</c:v>
                </c:pt>
                <c:pt idx="98">
                  <c:v>7.8888498267973504E-249</c:v>
                </c:pt>
                <c:pt idx="99">
                  <c:v>-4.5923640644985599E-250</c:v>
                </c:pt>
              </c:numCache>
            </c:numRef>
          </c:yVal>
          <c:smooth val="0"/>
          <c:extLst>
            <c:ext xmlns:c16="http://schemas.microsoft.com/office/drawing/2014/chart" uri="{C3380CC4-5D6E-409C-BE32-E72D297353CC}">
              <c16:uniqueId val="{00000028-05B1-4C8F-A5D2-C74BC92F11DF}"/>
            </c:ext>
          </c:extLst>
        </c:ser>
        <c:ser>
          <c:idx val="41"/>
          <c:order val="41"/>
          <c:tx>
            <c:strRef>
              <c:f>dynamicR!$AY$19</c:f>
              <c:strCache>
                <c:ptCount val="1"/>
                <c:pt idx="0">
                  <c:v>s3RA</c:v>
                </c:pt>
              </c:strCache>
            </c:strRef>
          </c:tx>
          <c:spPr>
            <a:ln w="19050" cap="rnd">
              <a:solidFill>
                <a:schemeClr val="accent6">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dynamicR!$AY$20:$AY$119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-3.7545924641834497E-94</c:v>
                </c:pt>
                <c:pt idx="52">
                  <c:v>9.0448765069498897E-96</c:v>
                </c:pt>
                <c:pt idx="53">
                  <c:v>-3.0633112548969397E-95</c:v>
                </c:pt>
                <c:pt idx="54">
                  <c:v>4.0282208188214799E-94</c:v>
                </c:pt>
                <c:pt idx="55">
                  <c:v>-2.53586051848604E-94</c:v>
                </c:pt>
                <c:pt idx="56">
                  <c:v>8.2673322190807401E-94</c:v>
                </c:pt>
                <c:pt idx="57">
                  <c:v>-2.4092949976002399E-94</c:v>
                </c:pt>
                <c:pt idx="58">
                  <c:v>4.4854708454169401E-95</c:v>
                </c:pt>
                <c:pt idx="59">
                  <c:v>2.7323456662525098E-96</c:v>
                </c:pt>
                <c:pt idx="60">
                  <c:v>-5.0699119053704603E-96</c:v>
                </c:pt>
                <c:pt idx="61">
                  <c:v>2.4129173698061799E-96</c:v>
                </c:pt>
                <c:pt idx="62">
                  <c:v>6.0000081628670601E-95</c:v>
                </c:pt>
                <c:pt idx="63">
                  <c:v>4.6598736902825702E-95</c:v>
                </c:pt>
                <c:pt idx="64">
                  <c:v>-3.7775500213251503E-95</c:v>
                </c:pt>
                <c:pt idx="65">
                  <c:v>-8.6398827572960296E-96</c:v>
                </c:pt>
                <c:pt idx="66">
                  <c:v>6.0354656038688497E-95</c:v>
                </c:pt>
                <c:pt idx="67">
                  <c:v>-1.95091079152408E-95</c:v>
                </c:pt>
                <c:pt idx="68">
                  <c:v>-6.6241798680940904E-95</c:v>
                </c:pt>
                <c:pt idx="69">
                  <c:v>5.6742236560919297E-95</c:v>
                </c:pt>
                <c:pt idx="70">
                  <c:v>5.2875071362303597E-95</c:v>
                </c:pt>
                <c:pt idx="71">
                  <c:v>-9.6907729404393996E-95</c:v>
                </c:pt>
                <c:pt idx="72">
                  <c:v>-1.6100175816414501E-95</c:v>
                </c:pt>
                <c:pt idx="73">
                  <c:v>1.28084902259325E-94</c:v>
                </c:pt>
                <c:pt idx="74">
                  <c:v>-4.5400722441985102E-95</c:v>
                </c:pt>
                <c:pt idx="75">
                  <c:v>-1.3102382644462101E-94</c:v>
                </c:pt>
                <c:pt idx="76">
                  <c:v>1.26579788475529E-94</c:v>
                </c:pt>
                <c:pt idx="77">
                  <c:v>-9.0739324512772604E-95</c:v>
                </c:pt>
                <c:pt idx="78">
                  <c:v>3.5476711046135201E-95</c:v>
                </c:pt>
                <c:pt idx="79">
                  <c:v>-8.2093880680479608E-96</c:v>
                </c:pt>
                <c:pt idx="80">
                  <c:v>7.7709070889326198E-97</c:v>
                </c:pt>
                <c:pt idx="81">
                  <c:v>1.00091874297713E-100</c:v>
                </c:pt>
                <c:pt idx="82">
                  <c:v>-3.10767448365755E-101</c:v>
                </c:pt>
                <c:pt idx="83">
                  <c:v>6.6125154706240297E-102</c:v>
                </c:pt>
                <c:pt idx="84">
                  <c:v>-8.6613943826923104E-103</c:v>
                </c:pt>
                <c:pt idx="85">
                  <c:v>5.1434276204565098E-104</c:v>
                </c:pt>
                <c:pt idx="86">
                  <c:v>2.83417292103472E-107</c:v>
                </c:pt>
                <c:pt idx="87">
                  <c:v>-5.8428947122567399E-108</c:v>
                </c:pt>
                <c:pt idx="88">
                  <c:v>8.5411733553741299E-109</c:v>
                </c:pt>
                <c:pt idx="89">
                  <c:v>-7.8697809596354904E-110</c:v>
                </c:pt>
                <c:pt idx="90">
                  <c:v>3.3904366897326297E-111</c:v>
                </c:pt>
                <c:pt idx="91">
                  <c:v>5.3801998614809702E-114</c:v>
                </c:pt>
                <c:pt idx="92">
                  <c:v>-8.3390286376533196E-115</c:v>
                </c:pt>
                <c:pt idx="93">
                  <c:v>9.2976999920837802E-116</c:v>
                </c:pt>
                <c:pt idx="94">
                  <c:v>-6.6152723972330404E-117</c:v>
                </c:pt>
                <c:pt idx="95">
                  <c:v>2.2147589941816701E-118</c:v>
                </c:pt>
                <c:pt idx="96">
                  <c:v>8.1634891292488997E-121</c:v>
                </c:pt>
                <c:pt idx="97">
                  <c:v>-1.01493435335721E-121</c:v>
                </c:pt>
                <c:pt idx="98">
                  <c:v>9.1490327877886596E-123</c:v>
                </c:pt>
                <c:pt idx="99">
                  <c:v>-5.2929532933020096E-124</c:v>
                </c:pt>
              </c:numCache>
            </c:numRef>
          </c:yVal>
          <c:smooth val="0"/>
          <c:extLst>
            <c:ext xmlns:c16="http://schemas.microsoft.com/office/drawing/2014/chart" uri="{C3380CC4-5D6E-409C-BE32-E72D297353CC}">
              <c16:uniqueId val="{00000029-05B1-4C8F-A5D2-C74BC92F11DF}"/>
            </c:ext>
          </c:extLst>
        </c:ser>
        <c:ser>
          <c:idx val="42"/>
          <c:order val="42"/>
          <c:tx>
            <c:strRef>
              <c:f>dynamicR!$AZ$19</c:f>
              <c:strCache>
                <c:ptCount val="1"/>
                <c:pt idx="0">
                  <c:v>s3RP</c:v>
                </c:pt>
              </c:strCache>
            </c:strRef>
          </c:tx>
          <c:spPr>
            <a:ln w="19050" cap="rnd">
              <a:solidFill>
                <a:schemeClr val="accent1">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dynamicR!$AZ$20:$AZ$119</c:f>
              <c:numCache>
                <c:formatCode>0.00</c:formatCode>
                <c:ptCount val="100"/>
                <c:pt idx="0">
                  <c:v>0</c:v>
                </c:pt>
                <c:pt idx="1">
                  <c:v>1</c:v>
                </c:pt>
                <c:pt idx="2">
                  <c:v>1</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0.999999999999999</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2.0178677901217001E-89</c:v>
                </c:pt>
                <c:pt idx="52">
                  <c:v>-4.8610821854109599E-91</c:v>
                </c:pt>
                <c:pt idx="53">
                  <c:v>1.64634247252788E-90</c:v>
                </c:pt>
                <c:pt idx="54">
                  <c:v>-2.1649267507295298E-89</c:v>
                </c:pt>
                <c:pt idx="55">
                  <c:v>1.3628721766021001E-89</c:v>
                </c:pt>
                <c:pt idx="56">
                  <c:v>-4.4431924778936401E-89</c:v>
                </c:pt>
                <c:pt idx="57">
                  <c:v>1.2948500982931899E-89</c:v>
                </c:pt>
                <c:pt idx="58">
                  <c:v>-2.4106650823751699E-90</c:v>
                </c:pt>
                <c:pt idx="59">
                  <c:v>-1.4684886946861201E-91</c:v>
                </c:pt>
                <c:pt idx="60">
                  <c:v>2.7247874261505699E-91</c:v>
                </c:pt>
                <c:pt idx="61">
                  <c:v>-1.2967690698900301E-91</c:v>
                </c:pt>
                <c:pt idx="62">
                  <c:v>-3.2246423211106698E-90</c:v>
                </c:pt>
                <c:pt idx="63">
                  <c:v>-2.5044000682447702E-90</c:v>
                </c:pt>
                <c:pt idx="64">
                  <c:v>2.0302077422226201E-90</c:v>
                </c:pt>
                <c:pt idx="65">
                  <c:v>4.6434099978785199E-91</c:v>
                </c:pt>
                <c:pt idx="66">
                  <c:v>-3.2437006117219301E-90</c:v>
                </c:pt>
                <c:pt idx="67">
                  <c:v>1.04849828237179E-90</c:v>
                </c:pt>
                <c:pt idx="68">
                  <c:v>3.5600984550805299E-90</c:v>
                </c:pt>
                <c:pt idx="69">
                  <c:v>-3.04955493737849E-90</c:v>
                </c:pt>
                <c:pt idx="70">
                  <c:v>-2.8417167963814101E-90</c:v>
                </c:pt>
                <c:pt idx="71">
                  <c:v>5.2082080905649797E-90</c:v>
                </c:pt>
                <c:pt idx="72">
                  <c:v>8.6528733485112696E-91</c:v>
                </c:pt>
                <c:pt idx="73">
                  <c:v>-6.8837929691663E-90</c:v>
                </c:pt>
                <c:pt idx="74">
                  <c:v>2.4400153614444299E-90</c:v>
                </c:pt>
                <c:pt idx="75">
                  <c:v>7.0417421544030798E-90</c:v>
                </c:pt>
                <c:pt idx="76">
                  <c:v>-6.80290101116445E-90</c:v>
                </c:pt>
                <c:pt idx="77">
                  <c:v>4.8766899968238996E-90</c:v>
                </c:pt>
                <c:pt idx="78">
                  <c:v>-1.9066560246277699E-90</c:v>
                </c:pt>
                <c:pt idx="79">
                  <c:v>4.4120217730406899E-91</c:v>
                </c:pt>
                <c:pt idx="80">
                  <c:v>-4.1762172300137299E-92</c:v>
                </c:pt>
                <c:pt idx="81">
                  <c:v>-6.1430807587875702E-96</c:v>
                </c:pt>
                <c:pt idx="82">
                  <c:v>1.9073113033764201E-96</c:v>
                </c:pt>
                <c:pt idx="83">
                  <c:v>-4.0583445381627699E-97</c:v>
                </c:pt>
                <c:pt idx="84">
                  <c:v>5.3156359439884198E-98</c:v>
                </c:pt>
                <c:pt idx="85">
                  <c:v>-3.1558536070084801E-99</c:v>
                </c:pt>
                <c:pt idx="86">
                  <c:v>-1.9864153401837601E-102</c:v>
                </c:pt>
                <c:pt idx="87">
                  <c:v>4.0951104508099901E-103</c:v>
                </c:pt>
                <c:pt idx="88">
                  <c:v>-5.9860483244100699E-104</c:v>
                </c:pt>
                <c:pt idx="89">
                  <c:v>5.5147710632023602E-105</c:v>
                </c:pt>
                <c:pt idx="90">
                  <c:v>-2.3736594324176302E-106</c:v>
                </c:pt>
                <c:pt idx="91">
                  <c:v>-4.3061778063757601E-109</c:v>
                </c:pt>
                <c:pt idx="92">
                  <c:v>6.67411830187732E-110</c:v>
                </c:pt>
                <c:pt idx="93">
                  <c:v>-7.4406554916314906E-111</c:v>
                </c:pt>
                <c:pt idx="94">
                  <c:v>5.2919532499748399E-112</c:v>
                </c:pt>
                <c:pt idx="95">
                  <c:v>-1.7669153652039399E-113</c:v>
                </c:pt>
                <c:pt idx="96">
                  <c:v>-7.4612335441432499E-116</c:v>
                </c:pt>
                <c:pt idx="97">
                  <c:v>9.2755101663044793E-117</c:v>
                </c:pt>
                <c:pt idx="98">
                  <c:v>-8.3593612950375997E-118</c:v>
                </c:pt>
                <c:pt idx="99">
                  <c:v>4.8316309965930899E-119</c:v>
                </c:pt>
              </c:numCache>
            </c:numRef>
          </c:yVal>
          <c:smooth val="0"/>
          <c:extLst>
            <c:ext xmlns:c16="http://schemas.microsoft.com/office/drawing/2014/chart" uri="{C3380CC4-5D6E-409C-BE32-E72D297353CC}">
              <c16:uniqueId val="{0000002A-05B1-4C8F-A5D2-C74BC92F11DF}"/>
            </c:ext>
          </c:extLst>
        </c:ser>
        <c:dLbls>
          <c:showLegendKey val="0"/>
          <c:showVal val="0"/>
          <c:showCatName val="0"/>
          <c:showSerName val="0"/>
          <c:showPercent val="0"/>
          <c:showBubbleSize val="0"/>
        </c:dLbls>
        <c:axId val="150131840"/>
        <c:axId val="150133760"/>
      </c:scatterChart>
      <c:valAx>
        <c:axId val="150131840"/>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33760"/>
        <c:crosses val="autoZero"/>
        <c:crossBetween val="midCat"/>
      </c:valAx>
      <c:valAx>
        <c:axId val="150133760"/>
        <c:scaling>
          <c:orientation val="minMax"/>
          <c:max val="1.0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steady state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3184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SimpleBox dynamic output - Continental </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9"/>
          <c:order val="0"/>
          <c:tx>
            <c:strRef>
              <c:f>dynamicR!$BA$19</c:f>
              <c:strCache>
                <c:ptCount val="1"/>
                <c:pt idx="0">
                  <c:v>aCG</c:v>
                </c:pt>
              </c:strCache>
            </c:strRef>
          </c:tx>
          <c:spPr>
            <a:ln w="19050" cap="rnd">
              <a:solidFill>
                <a:schemeClr val="accent4">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dynamicR!$BA$20:$BA$119</c:f>
              <c:numCache>
                <c:formatCode>0.00</c:formatCode>
                <c:ptCount val="100"/>
                <c:pt idx="0">
                  <c:v>0</c:v>
                </c:pt>
                <c:pt idx="1">
                  <c:v>2.0752011463963299E-2</c:v>
                </c:pt>
                <c:pt idx="2">
                  <c:v>4.0327306565499099E-2</c:v>
                </c:pt>
                <c:pt idx="3">
                  <c:v>5.9511288225796398E-2</c:v>
                </c:pt>
                <c:pt idx="4">
                  <c:v>7.8311784439097906E-2</c:v>
                </c:pt>
                <c:pt idx="5">
                  <c:v>9.6736457879026003E-2</c:v>
                </c:pt>
                <c:pt idx="6">
                  <c:v>0.11479281833077</c:v>
                </c:pt>
                <c:pt idx="7">
                  <c:v>0.132488228250282</c:v>
                </c:pt>
                <c:pt idx="8">
                  <c:v>0.14982990408563099</c:v>
                </c:pt>
                <c:pt idx="9">
                  <c:v>0.16682491767860799</c:v>
                </c:pt>
                <c:pt idx="10">
                  <c:v>0.18348019891003201</c:v>
                </c:pt>
                <c:pt idx="11">
                  <c:v>0.19980253890417499</c:v>
                </c:pt>
                <c:pt idx="12">
                  <c:v>0.21579859302436599</c:v>
                </c:pt>
                <c:pt idx="13">
                  <c:v>0.231474883478059</c:v>
                </c:pt>
                <c:pt idx="14">
                  <c:v>0.24683780244369799</c:v>
                </c:pt>
                <c:pt idx="15">
                  <c:v>0.26189361462167299</c:v>
                </c:pt>
                <c:pt idx="16">
                  <c:v>0.27664845932738602</c:v>
                </c:pt>
                <c:pt idx="17">
                  <c:v>0.29110835284660402</c:v>
                </c:pt>
                <c:pt idx="18">
                  <c:v>0.30527919113462498</c:v>
                </c:pt>
                <c:pt idx="19">
                  <c:v>0.31916675241522002</c:v>
                </c:pt>
                <c:pt idx="20">
                  <c:v>0.33277669949563699</c:v>
                </c:pt>
                <c:pt idx="21">
                  <c:v>0.34611458195859901</c:v>
                </c:pt>
                <c:pt idx="22">
                  <c:v>0.35918583839426199</c:v>
                </c:pt>
                <c:pt idx="23">
                  <c:v>0.371995798666021</c:v>
                </c:pt>
                <c:pt idx="24">
                  <c:v>0.38454968611702001</c:v>
                </c:pt>
                <c:pt idx="25">
                  <c:v>0.396852619689466</c:v>
                </c:pt>
                <c:pt idx="26">
                  <c:v>0.40890961599046199</c:v>
                </c:pt>
                <c:pt idx="27">
                  <c:v>0.42072559133526899</c:v>
                </c:pt>
                <c:pt idx="28">
                  <c:v>0.43230536376091599</c:v>
                </c:pt>
                <c:pt idx="29">
                  <c:v>0.44365365499421799</c:v>
                </c:pt>
                <c:pt idx="30">
                  <c:v>0.45477509237760899</c:v>
                </c:pt>
                <c:pt idx="31">
                  <c:v>0.46567421075110499</c:v>
                </c:pt>
                <c:pt idx="32">
                  <c:v>0.476355454300117</c:v>
                </c:pt>
                <c:pt idx="33">
                  <c:v>0.48682317836977801</c:v>
                </c:pt>
                <c:pt idx="34">
                  <c:v>0.49708165124398401</c:v>
                </c:pt>
                <c:pt idx="35">
                  <c:v>0.50713505588250996</c:v>
                </c:pt>
                <c:pt idx="36">
                  <c:v>0.51698749162610302</c:v>
                </c:pt>
                <c:pt idx="37">
                  <c:v>0.52664297586951903</c:v>
                </c:pt>
                <c:pt idx="38">
                  <c:v>0.536105445699116</c:v>
                </c:pt>
                <c:pt idx="39">
                  <c:v>0.54537875949909398</c:v>
                </c:pt>
                <c:pt idx="40">
                  <c:v>0.55446669852372699</c:v>
                </c:pt>
                <c:pt idx="41">
                  <c:v>0.56337296843978002</c:v>
                </c:pt>
                <c:pt idx="42">
                  <c:v>0.57210120090407302</c:v>
                </c:pt>
                <c:pt idx="43">
                  <c:v>0.58065495565413905</c:v>
                </c:pt>
                <c:pt idx="44">
                  <c:v>0.58903772062316995</c:v>
                </c:pt>
                <c:pt idx="45">
                  <c:v>0.59725292021153198</c:v>
                </c:pt>
                <c:pt idx="46">
                  <c:v>0.60530387720458401</c:v>
                </c:pt>
                <c:pt idx="47">
                  <c:v>0.61319390518667505</c:v>
                </c:pt>
                <c:pt idx="48">
                  <c:v>0.62092621203045495</c:v>
                </c:pt>
                <c:pt idx="49">
                  <c:v>0.62850395081335997</c:v>
                </c:pt>
                <c:pt idx="50">
                  <c:v>0.62850395081335997</c:v>
                </c:pt>
                <c:pt idx="51">
                  <c:v>0.61517785932373203</c:v>
                </c:pt>
                <c:pt idx="52">
                  <c:v>0.60287984899670299</c:v>
                </c:pt>
                <c:pt idx="53">
                  <c:v>0.59082809781505896</c:v>
                </c:pt>
                <c:pt idx="54">
                  <c:v>0.57901752241672699</c:v>
                </c:pt>
                <c:pt idx="55">
                  <c:v>0.56744299070316995</c:v>
                </c:pt>
                <c:pt idx="56">
                  <c:v>0.55609977589734105</c:v>
                </c:pt>
                <c:pt idx="57">
                  <c:v>0.54498329171377402</c:v>
                </c:pt>
                <c:pt idx="58">
                  <c:v>0.53408902262418101</c:v>
                </c:pt>
                <c:pt idx="59">
                  <c:v>0.52341253230288998</c:v>
                </c:pt>
                <c:pt idx="60">
                  <c:v>0.51294946001112396</c:v>
                </c:pt>
                <c:pt idx="61">
                  <c:v>0.50269553157240898</c:v>
                </c:pt>
                <c:pt idx="62">
                  <c:v>0.49264657377245102</c:v>
                </c:pt>
                <c:pt idx="63">
                  <c:v>0.48279849838621097</c:v>
                </c:pt>
                <c:pt idx="64">
                  <c:v>0.47314729132933497</c:v>
                </c:pt>
                <c:pt idx="65">
                  <c:v>0.46368901477125801</c:v>
                </c:pt>
                <c:pt idx="66">
                  <c:v>0.45441981008704202</c:v>
                </c:pt>
                <c:pt idx="67">
                  <c:v>0.44533589739252599</c:v>
                </c:pt>
                <c:pt idx="68">
                  <c:v>0.436433573097807</c:v>
                </c:pt>
                <c:pt idx="69">
                  <c:v>0.42770920754373998</c:v>
                </c:pt>
                <c:pt idx="70">
                  <c:v>0.41915924334435301</c:v>
                </c:pt>
                <c:pt idx="71">
                  <c:v>0.41078019410943301</c:v>
                </c:pt>
                <c:pt idx="72">
                  <c:v>0.40256864317011398</c:v>
                </c:pt>
                <c:pt idx="73">
                  <c:v>0.39452124220930102</c:v>
                </c:pt>
                <c:pt idx="74">
                  <c:v>0.38663470986376602</c:v>
                </c:pt>
                <c:pt idx="75">
                  <c:v>0.37890583041993697</c:v>
                </c:pt>
                <c:pt idx="76">
                  <c:v>0.37133145249449101</c:v>
                </c:pt>
                <c:pt idx="77">
                  <c:v>0.36390848752983801</c:v>
                </c:pt>
                <c:pt idx="78">
                  <c:v>0.35663390859809002</c:v>
                </c:pt>
                <c:pt idx="79">
                  <c:v>0.34950474937088799</c:v>
                </c:pt>
                <c:pt idx="80">
                  <c:v>0.34251810294181401</c:v>
                </c:pt>
                <c:pt idx="81">
                  <c:v>0.33567112052606501</c:v>
                </c:pt>
                <c:pt idx="82">
                  <c:v>0.328961010225651</c:v>
                </c:pt>
                <c:pt idx="83">
                  <c:v>0.32238503592022499</c:v>
                </c:pt>
                <c:pt idx="84">
                  <c:v>0.31594051620004798</c:v>
                </c:pt>
                <c:pt idx="85">
                  <c:v>0.30962482328036101</c:v>
                </c:pt>
                <c:pt idx="86">
                  <c:v>0.30343538190677</c:v>
                </c:pt>
                <c:pt idx="87">
                  <c:v>0.29736966829377498</c:v>
                </c:pt>
                <c:pt idx="88">
                  <c:v>0.29142520910161801</c:v>
                </c:pt>
                <c:pt idx="89">
                  <c:v>0.28559958043617201</c:v>
                </c:pt>
                <c:pt idx="90">
                  <c:v>0.27989040686121902</c:v>
                </c:pt>
                <c:pt idx="91">
                  <c:v>0.27429536042588099</c:v>
                </c:pt>
                <c:pt idx="92">
                  <c:v>0.26881215971344502</c:v>
                </c:pt>
                <c:pt idx="93">
                  <c:v>0.26343856891178202</c:v>
                </c:pt>
                <c:pt idx="94">
                  <c:v>0.25817239690410199</c:v>
                </c:pt>
                <c:pt idx="95">
                  <c:v>0.25301149637484499</c:v>
                </c:pt>
                <c:pt idx="96">
                  <c:v>0.24795376293336299</c:v>
                </c:pt>
                <c:pt idx="97">
                  <c:v>0.242997134255622</c:v>
                </c:pt>
                <c:pt idx="98">
                  <c:v>0.238139589244069</c:v>
                </c:pt>
                <c:pt idx="99">
                  <c:v>0.23337914720294101</c:v>
                </c:pt>
              </c:numCache>
            </c:numRef>
          </c:yVal>
          <c:smooth val="0"/>
          <c:extLst>
            <c:ext xmlns:c16="http://schemas.microsoft.com/office/drawing/2014/chart" uri="{C3380CC4-5D6E-409C-BE32-E72D297353CC}">
              <c16:uniqueId val="{00000000-D137-48DF-AE00-9067040BCA60}"/>
            </c:ext>
          </c:extLst>
        </c:ser>
        <c:ser>
          <c:idx val="10"/>
          <c:order val="1"/>
          <c:tx>
            <c:strRef>
              <c:f>dynamicR!$BB$19</c:f>
              <c:strCache>
                <c:ptCount val="1"/>
                <c:pt idx="0">
                  <c:v>aCS</c:v>
                </c:pt>
              </c:strCache>
            </c:strRef>
          </c:tx>
          <c:spPr>
            <a:ln w="19050" cap="rnd">
              <a:solidFill>
                <a:schemeClr val="accent5">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dynamicR!$BB$20:$BB$119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1</c:v>
                </c:pt>
                <c:pt idx="21">
                  <c:v>1</c:v>
                </c:pt>
                <c:pt idx="22">
                  <c:v>0.999999999999999</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-3.2745450075095699E-214</c:v>
                </c:pt>
                <c:pt idx="52">
                  <c:v>7.8883829958816201E-216</c:v>
                </c:pt>
                <c:pt idx="53">
                  <c:v>-2.6716835664569098E-215</c:v>
                </c:pt>
                <c:pt idx="54">
                  <c:v>3.5131865187984102E-214</c:v>
                </c:pt>
                <c:pt idx="55">
                  <c:v>-2.2116401865383301E-214</c:v>
                </c:pt>
                <c:pt idx="56">
                  <c:v>7.2103222808071696E-214</c:v>
                </c:pt>
                <c:pt idx="57">
                  <c:v>-2.1012647022154499E-214</c:v>
                </c:pt>
                <c:pt idx="58">
                  <c:v>3.9120409182293499E-215</c:v>
                </c:pt>
                <c:pt idx="59">
                  <c:v>2.3828111313990201E-216</c:v>
                </c:pt>
                <c:pt idx="60">
                  <c:v>-4.4215341394189603E-216</c:v>
                </c:pt>
                <c:pt idx="61">
                  <c:v>2.1047288942939199E-216</c:v>
                </c:pt>
                <c:pt idx="62">
                  <c:v>5.2328866077556395E-215</c:v>
                </c:pt>
                <c:pt idx="63">
                  <c:v>4.0641021486572101E-215</c:v>
                </c:pt>
                <c:pt idx="64">
                  <c:v>-3.2945492963619299E-215</c:v>
                </c:pt>
                <c:pt idx="65">
                  <c:v>-7.5353057434678798E-216</c:v>
                </c:pt>
                <c:pt idx="66">
                  <c:v>5.2637881716610096E-215</c:v>
                </c:pt>
                <c:pt idx="67">
                  <c:v>-1.7014642002258301E-215</c:v>
                </c:pt>
                <c:pt idx="68">
                  <c:v>-5.7772393096184799E-215</c:v>
                </c:pt>
                <c:pt idx="69">
                  <c:v>4.9487314342396996E-215</c:v>
                </c:pt>
                <c:pt idx="70">
                  <c:v>4.61147270938984E-215</c:v>
                </c:pt>
                <c:pt idx="71">
                  <c:v>-8.4517479977784503E-215</c:v>
                </c:pt>
                <c:pt idx="72">
                  <c:v>-1.40417089067029E-215</c:v>
                </c:pt>
                <c:pt idx="73">
                  <c:v>1.11708547531615E-214</c:v>
                </c:pt>
                <c:pt idx="74">
                  <c:v>-3.9596030329443298E-215</c:v>
                </c:pt>
                <c:pt idx="75">
                  <c:v>-1.14271748154172E-214</c:v>
                </c:pt>
                <c:pt idx="76">
                  <c:v>1.1039599636652099E-214</c:v>
                </c:pt>
                <c:pt idx="77">
                  <c:v>-7.9138116058675298E-215</c:v>
                </c:pt>
                <c:pt idx="78">
                  <c:v>3.0941233227425201E-215</c:v>
                </c:pt>
                <c:pt idx="79">
                  <c:v>-7.16010661681043E-216</c:v>
                </c:pt>
                <c:pt idx="80">
                  <c:v>6.7793026564143403E-217</c:v>
                </c:pt>
                <c:pt idx="81">
                  <c:v>3.6192982980331202E-222</c:v>
                </c:pt>
                <c:pt idx="82">
                  <c:v>-1.12375128022458E-222</c:v>
                </c:pt>
                <c:pt idx="83">
                  <c:v>2.3912637470886101E-223</c:v>
                </c:pt>
                <c:pt idx="84">
                  <c:v>-3.1329158433784802E-224</c:v>
                </c:pt>
                <c:pt idx="85">
                  <c:v>1.8634168715211201E-225</c:v>
                </c:pt>
                <c:pt idx="86">
                  <c:v>4.2124343582438099E-230</c:v>
                </c:pt>
                <c:pt idx="87">
                  <c:v>-8.7607450111695998E-231</c:v>
                </c:pt>
                <c:pt idx="88">
                  <c:v>1.2809471778071199E-231</c:v>
                </c:pt>
                <c:pt idx="89">
                  <c:v>-1.1813184446314399E-232</c:v>
                </c:pt>
                <c:pt idx="90">
                  <c:v>5.12109215299565E-234</c:v>
                </c:pt>
                <c:pt idx="91">
                  <c:v>3.3255833186905398E-238</c:v>
                </c:pt>
                <c:pt idx="92">
                  <c:v>-5.1853531067362902E-239</c:v>
                </c:pt>
                <c:pt idx="93">
                  <c:v>5.7853195827178195E-240</c:v>
                </c:pt>
                <c:pt idx="94">
                  <c:v>-4.1269311227010503E-241</c:v>
                </c:pt>
                <c:pt idx="95">
                  <c:v>1.4068692757142499E-242</c:v>
                </c:pt>
                <c:pt idx="96">
                  <c:v>2.10003413775384E-246</c:v>
                </c:pt>
                <c:pt idx="97">
                  <c:v>-2.6180741732397899E-247</c:v>
                </c:pt>
                <c:pt idx="98">
                  <c:v>2.3637788023102999E-248</c:v>
                </c:pt>
                <c:pt idx="99">
                  <c:v>-1.3760350032295799E-249</c:v>
                </c:pt>
              </c:numCache>
            </c:numRef>
          </c:yVal>
          <c:smooth val="0"/>
          <c:extLst>
            <c:ext xmlns:c16="http://schemas.microsoft.com/office/drawing/2014/chart" uri="{C3380CC4-5D6E-409C-BE32-E72D297353CC}">
              <c16:uniqueId val="{00000001-D137-48DF-AE00-9067040BCA60}"/>
            </c:ext>
          </c:extLst>
        </c:ser>
        <c:ser>
          <c:idx val="11"/>
          <c:order val="2"/>
          <c:tx>
            <c:strRef>
              <c:f>dynamicR!$BC$19</c:f>
              <c:strCache>
                <c:ptCount val="1"/>
                <c:pt idx="0">
                  <c:v>aCA</c:v>
                </c:pt>
              </c:strCache>
            </c:strRef>
          </c:tx>
          <c:spPr>
            <a:ln w="19050" cap="rnd">
              <a:solidFill>
                <a:schemeClr val="accent6">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dynamicR!$BC$20:$BC$119</c:f>
              <c:numCache>
                <c:formatCode>0.00</c:formatCode>
                <c:ptCount val="100"/>
                <c:pt idx="0">
                  <c:v>0</c:v>
                </c:pt>
                <c:pt idx="1">
                  <c:v>1</c:v>
                </c:pt>
                <c:pt idx="2">
                  <c:v>0.999999999999998</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0.999999999999998</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-1.25791017005755E-100</c:v>
                </c:pt>
                <c:pt idx="52">
                  <c:v>3.0303234120971299E-102</c:v>
                </c:pt>
                <c:pt idx="53">
                  <c:v>-1.02631086536002E-101</c:v>
                </c:pt>
                <c:pt idx="54">
                  <c:v>1.3495844188243299E-100</c:v>
                </c:pt>
                <c:pt idx="55">
                  <c:v>-8.4959578392560695E-101</c:v>
                </c:pt>
                <c:pt idx="56">
                  <c:v>2.7698254813541901E-100</c:v>
                </c:pt>
                <c:pt idx="57">
                  <c:v>-8.0719274781941903E-101</c:v>
                </c:pt>
                <c:pt idx="58">
                  <c:v>1.50278236558759E-101</c:v>
                </c:pt>
                <c:pt idx="59">
                  <c:v>9.1541205404421902E-103</c:v>
                </c:pt>
                <c:pt idx="60">
                  <c:v>-1.6985743996712401E-102</c:v>
                </c:pt>
                <c:pt idx="61">
                  <c:v>8.0842636865987896E-103</c:v>
                </c:pt>
                <c:pt idx="62">
                  <c:v>2.0101982521842901E-101</c:v>
                </c:pt>
                <c:pt idx="63">
                  <c:v>1.56121014016546E-101</c:v>
                </c:pt>
                <c:pt idx="64">
                  <c:v>-1.26560051346546E-101</c:v>
                </c:pt>
                <c:pt idx="65">
                  <c:v>-2.8946463019800199E-102</c:v>
                </c:pt>
                <c:pt idx="66">
                  <c:v>2.02207617265649E-101</c:v>
                </c:pt>
                <c:pt idx="67">
                  <c:v>-6.53617639715206E-102</c:v>
                </c:pt>
                <c:pt idx="68">
                  <c:v>-2.2193150291322301E-101</c:v>
                </c:pt>
                <c:pt idx="69">
                  <c:v>1.9010482956671701E-101</c:v>
                </c:pt>
                <c:pt idx="70">
                  <c:v>1.77148662865295E-101</c:v>
                </c:pt>
                <c:pt idx="71">
                  <c:v>-3.2467229825171999E-101</c:v>
                </c:pt>
                <c:pt idx="72">
                  <c:v>-5.3940832540438499E-102</c:v>
                </c:pt>
                <c:pt idx="73">
                  <c:v>4.2912598863563799E-101</c:v>
                </c:pt>
                <c:pt idx="74">
                  <c:v>-1.5210717878074599E-101</c:v>
                </c:pt>
                <c:pt idx="75">
                  <c:v>-4.3897236067054598E-101</c:v>
                </c:pt>
                <c:pt idx="76">
                  <c:v>4.2408345143185702E-101</c:v>
                </c:pt>
                <c:pt idx="77">
                  <c:v>-3.0400638725373199E-101</c:v>
                </c:pt>
                <c:pt idx="78">
                  <c:v>1.18858766240795E-101</c:v>
                </c:pt>
                <c:pt idx="79">
                  <c:v>-2.7504333064294498E-102</c:v>
                </c:pt>
                <c:pt idx="80">
                  <c:v>2.6036338985027801E-103</c:v>
                </c:pt>
                <c:pt idx="81">
                  <c:v>2.80440933932925E-107</c:v>
                </c:pt>
                <c:pt idx="82">
                  <c:v>-8.7072227498804707E-108</c:v>
                </c:pt>
                <c:pt idx="83">
                  <c:v>1.8527434083954399E-108</c:v>
                </c:pt>
                <c:pt idx="84">
                  <c:v>-2.4269088537886902E-109</c:v>
                </c:pt>
                <c:pt idx="85">
                  <c:v>1.44157508950081E-110</c:v>
                </c:pt>
                <c:pt idx="86">
                  <c:v>6.64089841004514E-114</c:v>
                </c:pt>
                <c:pt idx="87">
                  <c:v>-1.36909912278082E-114</c:v>
                </c:pt>
                <c:pt idx="88">
                  <c:v>2.0014351794011801E-115</c:v>
                </c:pt>
                <c:pt idx="89">
                  <c:v>-1.84439239144494E-116</c:v>
                </c:pt>
                <c:pt idx="90">
                  <c:v>7.9544348132646302E-118</c:v>
                </c:pt>
                <c:pt idx="91">
                  <c:v>1.05429588134046E-120</c:v>
                </c:pt>
                <c:pt idx="92">
                  <c:v>-1.6341699839676201E-121</c:v>
                </c:pt>
                <c:pt idx="93">
                  <c:v>1.8222442741323801E-122</c:v>
                </c:pt>
                <c:pt idx="94">
                  <c:v>-1.29709467374712E-123</c:v>
                </c:pt>
                <c:pt idx="95">
                  <c:v>4.3561677597747301E-125</c:v>
                </c:pt>
                <c:pt idx="96">
                  <c:v>1.33787276399478E-127</c:v>
                </c:pt>
                <c:pt idx="97">
                  <c:v>-1.6634780598932501E-128</c:v>
                </c:pt>
                <c:pt idx="98">
                  <c:v>1.49993273537012E-129</c:v>
                </c:pt>
                <c:pt idx="99">
                  <c:v>-8.6867575211741596E-131</c:v>
                </c:pt>
              </c:numCache>
            </c:numRef>
          </c:yVal>
          <c:smooth val="0"/>
          <c:extLst>
            <c:ext xmlns:c16="http://schemas.microsoft.com/office/drawing/2014/chart" uri="{C3380CC4-5D6E-409C-BE32-E72D297353CC}">
              <c16:uniqueId val="{00000002-D137-48DF-AE00-9067040BCA60}"/>
            </c:ext>
          </c:extLst>
        </c:ser>
        <c:ser>
          <c:idx val="12"/>
          <c:order val="3"/>
          <c:tx>
            <c:strRef>
              <c:f>dynamicR!$BD$19</c:f>
              <c:strCache>
                <c:ptCount val="1"/>
                <c:pt idx="0">
                  <c:v>aCP</c:v>
                </c:pt>
              </c:strCache>
            </c:strRef>
          </c:tx>
          <c:spPr>
            <a:ln w="19050" cap="rnd">
              <a:solidFill>
                <a:schemeClr val="accent1">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dynamicR!$BD$20:$BD$119</c:f>
              <c:numCache>
                <c:formatCode>0.00</c:formatCode>
                <c:ptCount val="100"/>
                <c:pt idx="0">
                  <c:v>0</c:v>
                </c:pt>
                <c:pt idx="1">
                  <c:v>1</c:v>
                </c:pt>
                <c:pt idx="2">
                  <c:v>0.999999999999998</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-2.7710876635363001E-214</c:v>
                </c:pt>
                <c:pt idx="52">
                  <c:v>6.6755535207046305E-216</c:v>
                </c:pt>
                <c:pt idx="53">
                  <c:v>-2.2609154173342599E-215</c:v>
                </c:pt>
                <c:pt idx="54">
                  <c:v>2.9730383134784898E-214</c:v>
                </c:pt>
                <c:pt idx="55">
                  <c:v>-1.87160316906028E-214</c:v>
                </c:pt>
                <c:pt idx="56">
                  <c:v>6.10174389876993E-214</c:v>
                </c:pt>
                <c:pt idx="57">
                  <c:v>-1.7781977804258501E-214</c:v>
                </c:pt>
                <c:pt idx="58">
                  <c:v>3.3105693298772801E-215</c:v>
                </c:pt>
                <c:pt idx="59">
                  <c:v>2.0164567844235199E-216</c:v>
                </c:pt>
                <c:pt idx="60">
                  <c:v>-3.7417285807931099E-216</c:v>
                </c:pt>
                <c:pt idx="61">
                  <c:v>1.7811293569763801E-216</c:v>
                </c:pt>
                <c:pt idx="62">
                  <c:v>4.4283365824823202E-215</c:v>
                </c:pt>
                <c:pt idx="63">
                  <c:v>3.4392513289260601E-215</c:v>
                </c:pt>
                <c:pt idx="64">
                  <c:v>-2.7880163025602303E-215</c:v>
                </c:pt>
                <c:pt idx="65">
                  <c:v>-6.3767615439106605E-216</c:v>
                </c:pt>
                <c:pt idx="66">
                  <c:v>4.4544870680853798E-215</c:v>
                </c:pt>
                <c:pt idx="67">
                  <c:v>-1.4398661248416999E-215</c:v>
                </c:pt>
                <c:pt idx="68">
                  <c:v>-4.8889957108225999E-215</c:v>
                </c:pt>
                <c:pt idx="69">
                  <c:v>4.18786992530001E-215</c:v>
                </c:pt>
                <c:pt idx="70">
                  <c:v>3.9024643239628301E-215</c:v>
                </c:pt>
                <c:pt idx="71">
                  <c:v>-7.1523019033155304E-215</c:v>
                </c:pt>
                <c:pt idx="72">
                  <c:v>-1.18828130424133E-215</c:v>
                </c:pt>
                <c:pt idx="73">
                  <c:v>9.4533492638088903E-215</c:v>
                </c:pt>
                <c:pt idx="74">
                  <c:v>-3.3508188266317899E-215</c:v>
                </c:pt>
                <c:pt idx="75">
                  <c:v>-9.6702604246254006E-215</c:v>
                </c:pt>
                <c:pt idx="76">
                  <c:v>9.3422744636761003E-215</c:v>
                </c:pt>
                <c:pt idx="77">
                  <c:v>-6.6970725849855802E-215</c:v>
                </c:pt>
                <c:pt idx="78">
                  <c:v>2.61840558144451E-215</c:v>
                </c:pt>
                <c:pt idx="79">
                  <c:v>-6.05924883193591E-216</c:v>
                </c:pt>
                <c:pt idx="80">
                  <c:v>5.7369930226737198E-217</c:v>
                </c:pt>
                <c:pt idx="81">
                  <c:v>3.0628352599391899E-222</c:v>
                </c:pt>
                <c:pt idx="82">
                  <c:v>-9.5097567170309998E-223</c:v>
                </c:pt>
                <c:pt idx="83">
                  <c:v>2.0236089171473999E-223</c:v>
                </c:pt>
                <c:pt idx="84">
                  <c:v>-2.65123138729284E-224</c:v>
                </c:pt>
                <c:pt idx="85">
                  <c:v>1.5769160235230699E-225</c:v>
                </c:pt>
                <c:pt idx="86">
                  <c:v>3.5808149227835899E-230</c:v>
                </c:pt>
                <c:pt idx="87">
                  <c:v>-7.41378695075539E-231</c:v>
                </c:pt>
                <c:pt idx="88">
                  <c:v>1.08400217941497E-231</c:v>
                </c:pt>
                <c:pt idx="89">
                  <c:v>-9.9969097314040499E-233</c:v>
                </c:pt>
                <c:pt idx="90">
                  <c:v>4.3337231142865099E-234</c:v>
                </c:pt>
                <c:pt idx="91">
                  <c:v>2.8136298048817499E-238</c:v>
                </c:pt>
                <c:pt idx="92">
                  <c:v>-4.3881077238645603E-239</c:v>
                </c:pt>
                <c:pt idx="93">
                  <c:v>4.8958266529426503E-240</c:v>
                </c:pt>
                <c:pt idx="94">
                  <c:v>-3.4924151906183403E-241</c:v>
                </c:pt>
                <c:pt idx="95">
                  <c:v>1.1905639732407901E-242</c:v>
                </c:pt>
                <c:pt idx="96">
                  <c:v>1.77860866857567E-246</c:v>
                </c:pt>
                <c:pt idx="97">
                  <c:v>-2.2155468848717299E-247</c:v>
                </c:pt>
                <c:pt idx="98">
                  <c:v>2.0003475460091701E-248</c:v>
                </c:pt>
                <c:pt idx="99">
                  <c:v>-1.1644689065518701E-249</c:v>
                </c:pt>
              </c:numCache>
            </c:numRef>
          </c:yVal>
          <c:smooth val="0"/>
          <c:extLst>
            <c:ext xmlns:c16="http://schemas.microsoft.com/office/drawing/2014/chart" uri="{C3380CC4-5D6E-409C-BE32-E72D297353CC}">
              <c16:uniqueId val="{00000003-D137-48DF-AE00-9067040BCA60}"/>
            </c:ext>
          </c:extLst>
        </c:ser>
        <c:ser>
          <c:idx val="13"/>
          <c:order val="4"/>
          <c:tx>
            <c:strRef>
              <c:f>dynamicR!$BE$19</c:f>
              <c:strCache>
                <c:ptCount val="1"/>
                <c:pt idx="0">
                  <c:v>cwCS</c:v>
                </c:pt>
              </c:strCache>
            </c:strRef>
          </c:tx>
          <c:spPr>
            <a:ln w="19050" cap="rnd">
              <a:solidFill>
                <a:schemeClr val="accent2">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dynamicR!$BE$20:$BE$119</c:f>
              <c:numCache>
                <c:formatCode>0.00</c:formatCode>
                <c:ptCount val="100"/>
                <c:pt idx="0">
                  <c:v>0</c:v>
                </c:pt>
                <c:pt idx="1">
                  <c:v>1</c:v>
                </c:pt>
                <c:pt idx="2">
                  <c:v>0.999999999999998</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1</c:v>
                </c:pt>
                <c:pt idx="21">
                  <c:v>1</c:v>
                </c:pt>
                <c:pt idx="22">
                  <c:v>0.999999999999999</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-5.21655206490942E-214</c:v>
                </c:pt>
                <c:pt idx="52">
                  <c:v>1.25666806059648E-215</c:v>
                </c:pt>
                <c:pt idx="53">
                  <c:v>-4.2561566702185799E-215</c:v>
                </c:pt>
                <c:pt idx="54">
                  <c:v>5.5967227259263003E-214</c:v>
                </c:pt>
                <c:pt idx="55">
                  <c:v>-3.5232791682548101E-214</c:v>
                </c:pt>
                <c:pt idx="56">
                  <c:v>1.14864879328486E-213</c:v>
                </c:pt>
                <c:pt idx="57">
                  <c:v>-3.3474442204792402E-214</c:v>
                </c:pt>
                <c:pt idx="58">
                  <c:v>6.2321223733220703E-215</c:v>
                </c:pt>
                <c:pt idx="59">
                  <c:v>3.7959650407019498E-216</c:v>
                </c:pt>
                <c:pt idx="60">
                  <c:v>-7.0437764866613596E-216</c:v>
                </c:pt>
                <c:pt idx="61">
                  <c:v>3.3529628922801501E-216</c:v>
                </c:pt>
                <c:pt idx="62">
                  <c:v>8.3363109913513598E-215</c:v>
                </c:pt>
                <c:pt idx="63">
                  <c:v>6.4743652884839897E-215</c:v>
                </c:pt>
                <c:pt idx="64">
                  <c:v>-5.2484201492358403E-215</c:v>
                </c:pt>
                <c:pt idx="65">
                  <c:v>-1.20042066264852E-215</c:v>
                </c:pt>
                <c:pt idx="66">
                  <c:v>8.3855390878388305E-215</c:v>
                </c:pt>
                <c:pt idx="67">
                  <c:v>-2.7105373719949299E-215</c:v>
                </c:pt>
                <c:pt idx="68">
                  <c:v>-9.2034984066081303E-215</c:v>
                </c:pt>
                <c:pt idx="69">
                  <c:v>7.8836342808108699E-215</c:v>
                </c:pt>
                <c:pt idx="70">
                  <c:v>7.3463603389815697E-215</c:v>
                </c:pt>
                <c:pt idx="71">
                  <c:v>-1.3464155639373001E-214</c:v>
                </c:pt>
                <c:pt idx="72">
                  <c:v>-2.23693080073285E-215</c:v>
                </c:pt>
                <c:pt idx="73">
                  <c:v>1.7795860342846401E-214</c:v>
                </c:pt>
                <c:pt idx="74">
                  <c:v>-6.3078917544286095E-215</c:v>
                </c:pt>
                <c:pt idx="75">
                  <c:v>-1.8204194005020401E-214</c:v>
                </c:pt>
                <c:pt idx="76">
                  <c:v>1.75867628499239E-214</c:v>
                </c:pt>
                <c:pt idx="77">
                  <c:v>-1.26071898014569E-214</c:v>
                </c:pt>
                <c:pt idx="78">
                  <c:v>4.9291292163194896E-215</c:v>
                </c:pt>
                <c:pt idx="79">
                  <c:v>-1.14064912854212E-215</c:v>
                </c:pt>
                <c:pt idx="80">
                  <c:v>1.0799847098656E-216</c:v>
                </c:pt>
                <c:pt idx="81">
                  <c:v>5.7657653300685398E-222</c:v>
                </c:pt>
                <c:pt idx="82">
                  <c:v>-1.7902050851154201E-222</c:v>
                </c:pt>
                <c:pt idx="83">
                  <c:v>3.8094303305709797E-223</c:v>
                </c:pt>
                <c:pt idx="84">
                  <c:v>-4.9909268147695903E-224</c:v>
                </c:pt>
                <c:pt idx="85">
                  <c:v>2.9685363822033798E-225</c:v>
                </c:pt>
                <c:pt idx="86">
                  <c:v>6.7172881055286204E-230</c:v>
                </c:pt>
                <c:pt idx="87">
                  <c:v>-1.3956405041869999E-230</c:v>
                </c:pt>
                <c:pt idx="88">
                  <c:v>2.0406270781240601E-231</c:v>
                </c:pt>
                <c:pt idx="89">
                  <c:v>-1.8819113025243601E-232</c:v>
                </c:pt>
                <c:pt idx="90">
                  <c:v>8.1582065455843598E-234</c:v>
                </c:pt>
                <c:pt idx="91">
                  <c:v>5.2990955834108598E-238</c:v>
                </c:pt>
                <c:pt idx="92">
                  <c:v>-8.2605835086564493E-239</c:v>
                </c:pt>
                <c:pt idx="93">
                  <c:v>9.2163667007730396E-240</c:v>
                </c:pt>
                <c:pt idx="94">
                  <c:v>-6.5744575930927094E-241</c:v>
                </c:pt>
                <c:pt idx="95">
                  <c:v>2.2412339887942798E-242</c:v>
                </c:pt>
                <c:pt idx="96">
                  <c:v>3.3421253983332998E-246</c:v>
                </c:pt>
                <c:pt idx="97">
                  <c:v>-4.1707539517796198E-247</c:v>
                </c:pt>
                <c:pt idx="98">
                  <c:v>3.76564490508575E-248</c:v>
                </c:pt>
                <c:pt idx="99">
                  <c:v>-2.19210748205729E-249</c:v>
                </c:pt>
              </c:numCache>
            </c:numRef>
          </c:yVal>
          <c:smooth val="0"/>
          <c:extLst>
            <c:ext xmlns:c16="http://schemas.microsoft.com/office/drawing/2014/chart" uri="{C3380CC4-5D6E-409C-BE32-E72D297353CC}">
              <c16:uniqueId val="{00000004-D137-48DF-AE00-9067040BCA60}"/>
            </c:ext>
          </c:extLst>
        </c:ser>
        <c:ser>
          <c:idx val="14"/>
          <c:order val="5"/>
          <c:tx>
            <c:strRef>
              <c:f>dynamicR!$BF$19</c:f>
              <c:strCache>
                <c:ptCount val="1"/>
                <c:pt idx="0">
                  <c:v>cwCA</c:v>
                </c:pt>
              </c:strCache>
            </c:strRef>
          </c:tx>
          <c:spPr>
            <a:ln w="19050" cap="rnd">
              <a:solidFill>
                <a:schemeClr val="accent3">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dynamicR!$BF$20:$BF$119</c:f>
              <c:numCache>
                <c:formatCode>0.00</c:formatCode>
                <c:ptCount val="100"/>
                <c:pt idx="0">
                  <c:v>0</c:v>
                </c:pt>
                <c:pt idx="1">
                  <c:v>1</c:v>
                </c:pt>
                <c:pt idx="2">
                  <c:v>0.999999999999998</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0.999999999999999</c:v>
                </c:pt>
                <c:pt idx="22">
                  <c:v>1</c:v>
                </c:pt>
                <c:pt idx="23">
                  <c:v>0.999999999999998</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-1.28156294936996E-100</c:v>
                </c:pt>
                <c:pt idx="52">
                  <c:v>3.0873033059634999E-102</c:v>
                </c:pt>
                <c:pt idx="53">
                  <c:v>-1.04560883214206E-101</c:v>
                </c:pt>
                <c:pt idx="54">
                  <c:v>1.37496097128982E-100</c:v>
                </c:pt>
                <c:pt idx="55">
                  <c:v>-8.6557093251825497E-101</c:v>
                </c:pt>
                <c:pt idx="56">
                  <c:v>2.8219071595822399E-100</c:v>
                </c:pt>
                <c:pt idx="57">
                  <c:v>-8.2237058240413198E-101</c:v>
                </c:pt>
                <c:pt idx="58">
                  <c:v>1.5310395349476899E-101</c:v>
                </c:pt>
                <c:pt idx="59">
                  <c:v>9.3262476164422009E-103</c:v>
                </c:pt>
                <c:pt idx="60">
                  <c:v>-1.73051309257928E-102</c:v>
                </c:pt>
                <c:pt idx="61">
                  <c:v>8.2362739931990195E-103</c:v>
                </c:pt>
                <c:pt idx="62">
                  <c:v>2.04799648149553E-101</c:v>
                </c:pt>
                <c:pt idx="63">
                  <c:v>1.5905659406776201E-101</c:v>
                </c:pt>
                <c:pt idx="64">
                  <c:v>-1.28939789681926E-101</c:v>
                </c:pt>
                <c:pt idx="65">
                  <c:v>-2.94907501545558E-102</c:v>
                </c:pt>
                <c:pt idx="66">
                  <c:v>2.0600977452928101E-101</c:v>
                </c:pt>
                <c:pt idx="67">
                  <c:v>-6.6590776552790098E-102</c:v>
                </c:pt>
                <c:pt idx="68">
                  <c:v>-2.2610453302574301E-101</c:v>
                </c:pt>
                <c:pt idx="69">
                  <c:v>1.9367941527403401E-101</c:v>
                </c:pt>
                <c:pt idx="70">
                  <c:v>1.80479630730721E-101</c:v>
                </c:pt>
                <c:pt idx="71">
                  <c:v>-3.3077718764110497E-101</c:v>
                </c:pt>
                <c:pt idx="72">
                  <c:v>-5.4955094668757601E-102</c:v>
                </c:pt>
                <c:pt idx="73">
                  <c:v>4.3719494526925898E-101</c:v>
                </c:pt>
                <c:pt idx="74">
                  <c:v>-1.54967285746409E-101</c:v>
                </c:pt>
                <c:pt idx="75">
                  <c:v>-4.4722646094741698E-101</c:v>
                </c:pt>
                <c:pt idx="76">
                  <c:v>4.3205759205549799E-101</c:v>
                </c:pt>
                <c:pt idx="77">
                  <c:v>-3.0972269067057699E-101</c:v>
                </c:pt>
                <c:pt idx="78">
                  <c:v>1.2109369550567799E-101</c:v>
                </c:pt>
                <c:pt idx="79">
                  <c:v>-2.8021503491184902E-102</c:v>
                </c:pt>
                <c:pt idx="80">
                  <c:v>2.6525906374868802E-103</c:v>
                </c:pt>
                <c:pt idx="81">
                  <c:v>2.8571413104035501E-107</c:v>
                </c:pt>
                <c:pt idx="82">
                  <c:v>-8.8709467237174202E-108</c:v>
                </c:pt>
                <c:pt idx="83">
                  <c:v>1.8875809882651601E-108</c:v>
                </c:pt>
                <c:pt idx="84">
                  <c:v>-2.4725426283597302E-109</c:v>
                </c:pt>
                <c:pt idx="85">
                  <c:v>1.4686814488726E-110</c:v>
                </c:pt>
                <c:pt idx="86">
                  <c:v>6.7657178764336004E-114</c:v>
                </c:pt>
                <c:pt idx="87">
                  <c:v>-1.3948426147169199E-114</c:v>
                </c:pt>
                <c:pt idx="88">
                  <c:v>2.0390686447908498E-115</c:v>
                </c:pt>
                <c:pt idx="89">
                  <c:v>-1.8790729567878399E-116</c:v>
                </c:pt>
                <c:pt idx="90">
                  <c:v>8.1040046589732197E-118</c:v>
                </c:pt>
                <c:pt idx="91">
                  <c:v>1.0741181099502E-120</c:v>
                </c:pt>
                <c:pt idx="92">
                  <c:v>-1.6648976875731201E-121</c:v>
                </c:pt>
                <c:pt idx="93">
                  <c:v>1.8565083770895499E-122</c:v>
                </c:pt>
                <c:pt idx="94">
                  <c:v>-1.3214842847550999E-123</c:v>
                </c:pt>
                <c:pt idx="95">
                  <c:v>4.4380779184504298E-125</c:v>
                </c:pt>
                <c:pt idx="96">
                  <c:v>1.36302840046215E-127</c:v>
                </c:pt>
                <c:pt idx="97">
                  <c:v>-1.69475684059203E-128</c:v>
                </c:pt>
                <c:pt idx="98">
                  <c:v>1.528136350202E-129</c:v>
                </c:pt>
                <c:pt idx="99">
                  <c:v>-8.8500970597839002E-131</c:v>
                </c:pt>
              </c:numCache>
            </c:numRef>
          </c:yVal>
          <c:smooth val="0"/>
          <c:extLst>
            <c:ext xmlns:c16="http://schemas.microsoft.com/office/drawing/2014/chart" uri="{C3380CC4-5D6E-409C-BE32-E72D297353CC}">
              <c16:uniqueId val="{00000005-D137-48DF-AE00-9067040BCA60}"/>
            </c:ext>
          </c:extLst>
        </c:ser>
        <c:ser>
          <c:idx val="15"/>
          <c:order val="6"/>
          <c:tx>
            <c:strRef>
              <c:f>dynamicR!$BG$19</c:f>
              <c:strCache>
                <c:ptCount val="1"/>
                <c:pt idx="0">
                  <c:v>cwCP</c:v>
                </c:pt>
              </c:strCache>
            </c:strRef>
          </c:tx>
          <c:spPr>
            <a:ln w="19050" cap="rnd">
              <a:solidFill>
                <a:schemeClr val="accent4">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dynamicR!$BG$20:$BG$119</c:f>
              <c:numCache>
                <c:formatCode>0.00</c:formatCode>
                <c:ptCount val="100"/>
                <c:pt idx="0">
                  <c:v>0</c:v>
                </c:pt>
                <c:pt idx="1">
                  <c:v>1</c:v>
                </c:pt>
                <c:pt idx="2">
                  <c:v>0.999999999999999</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0.999999999999999</c:v>
                </c:pt>
                <c:pt idx="18">
                  <c:v>1</c:v>
                </c:pt>
                <c:pt idx="19">
                  <c:v>1</c:v>
                </c:pt>
                <c:pt idx="20">
                  <c:v>0.999999999999998</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-4.4145132887379404E-214</c:v>
                </c:pt>
                <c:pt idx="52">
                  <c:v>1.0634568087664601E-215</c:v>
                </c:pt>
                <c:pt idx="53">
                  <c:v>-3.6017775300400499E-215</c:v>
                </c:pt>
                <c:pt idx="54">
                  <c:v>4.7362332023347603E-214</c:v>
                </c:pt>
                <c:pt idx="55">
                  <c:v>-2.9815791434377902E-214</c:v>
                </c:pt>
                <c:pt idx="56">
                  <c:v>9.7204539383538198E-214</c:v>
                </c:pt>
                <c:pt idx="57">
                  <c:v>-2.83277861313269E-214</c:v>
                </c:pt>
                <c:pt idx="58">
                  <c:v>5.2739408969889098E-215</c:v>
                </c:pt>
                <c:pt idx="59">
                  <c:v>3.2123398855916899E-216</c:v>
                </c:pt>
                <c:pt idx="60">
                  <c:v>-5.9608041461583695E-216</c:v>
                </c:pt>
                <c:pt idx="61">
                  <c:v>2.83744879583385E-216</c:v>
                </c:pt>
                <c:pt idx="62">
                  <c:v>7.0546129927602495E-215</c:v>
                </c:pt>
                <c:pt idx="63">
                  <c:v>5.4789392491953396E-215</c:v>
                </c:pt>
                <c:pt idx="64">
                  <c:v>-4.44148173150913E-215</c:v>
                </c:pt>
                <c:pt idx="65">
                  <c:v>-1.0158573993079701E-215</c:v>
                </c:pt>
                <c:pt idx="66">
                  <c:v>7.09627232738089E-215</c:v>
                </c:pt>
                <c:pt idx="67">
                  <c:v>-2.2937954428137699E-215</c:v>
                </c:pt>
                <c:pt idx="68">
                  <c:v>-7.7884713640680404E-215</c:v>
                </c:pt>
                <c:pt idx="69">
                  <c:v>6.6715347934213303E-215</c:v>
                </c:pt>
                <c:pt idx="70">
                  <c:v>6.2168660874868702E-215</c:v>
                </c:pt>
                <c:pt idx="71">
                  <c:v>-1.13940575643846E-214</c:v>
                </c:pt>
                <c:pt idx="72">
                  <c:v>-1.8930053241924601E-215</c:v>
                </c:pt>
                <c:pt idx="73">
                  <c:v>1.50597677704489E-214</c:v>
                </c:pt>
                <c:pt idx="74">
                  <c:v>-5.3380608249726403E-215</c:v>
                </c:pt>
                <c:pt idx="75">
                  <c:v>-1.5405320612891901E-214</c:v>
                </c:pt>
                <c:pt idx="76">
                  <c:v>1.4882818770843599E-214</c:v>
                </c:pt>
                <c:pt idx="77">
                  <c:v>-1.0668849214938E-214</c:v>
                </c:pt>
                <c:pt idx="78">
                  <c:v>4.1712814035511702E-215</c:v>
                </c:pt>
                <c:pt idx="79">
                  <c:v>-9.6527566818725394E-216</c:v>
                </c:pt>
                <c:pt idx="80">
                  <c:v>9.1393833244756405E-217</c:v>
                </c:pt>
                <c:pt idx="81">
                  <c:v>4.87928556649502E-222</c:v>
                </c:pt>
                <c:pt idx="82">
                  <c:v>-1.5149629308526001E-222</c:v>
                </c:pt>
                <c:pt idx="83">
                  <c:v>3.22373371341734E-223</c:v>
                </c:pt>
                <c:pt idx="84">
                  <c:v>-4.2235743420849102E-224</c:v>
                </c:pt>
                <c:pt idx="85">
                  <c:v>2.51212397639111E-225</c:v>
                </c:pt>
                <c:pt idx="86">
                  <c:v>5.7117608392312498E-230</c:v>
                </c:pt>
                <c:pt idx="87">
                  <c:v>-1.18106172956193E-230</c:v>
                </c:pt>
                <c:pt idx="88">
                  <c:v>1.7268817099251401E-231</c:v>
                </c:pt>
                <c:pt idx="89">
                  <c:v>-1.5925681277518099E-232</c:v>
                </c:pt>
                <c:pt idx="90">
                  <c:v>6.9038731698077295E-234</c:v>
                </c:pt>
                <c:pt idx="91">
                  <c:v>4.4917648092283099E-238</c:v>
                </c:pt>
                <c:pt idx="92">
                  <c:v>-6.9905267922913999E-239</c:v>
                </c:pt>
                <c:pt idx="93">
                  <c:v>7.7993570513297001E-240</c:v>
                </c:pt>
                <c:pt idx="94">
                  <c:v>-5.5636374018822599E-241</c:v>
                </c:pt>
                <c:pt idx="95">
                  <c:v>1.89664469700864E-242</c:v>
                </c:pt>
                <c:pt idx="96">
                  <c:v>2.83087740044602E-246</c:v>
                </c:pt>
                <c:pt idx="97">
                  <c:v>-3.5295016632611999E-247</c:v>
                </c:pt>
                <c:pt idx="98">
                  <c:v>3.1866768718352302E-248</c:v>
                </c:pt>
                <c:pt idx="99">
                  <c:v>-1.8550724233728001E-249</c:v>
                </c:pt>
              </c:numCache>
            </c:numRef>
          </c:yVal>
          <c:smooth val="0"/>
          <c:extLst>
            <c:ext xmlns:c16="http://schemas.microsoft.com/office/drawing/2014/chart" uri="{C3380CC4-5D6E-409C-BE32-E72D297353CC}">
              <c16:uniqueId val="{00000006-D137-48DF-AE00-9067040BCA60}"/>
            </c:ext>
          </c:extLst>
        </c:ser>
        <c:ser>
          <c:idx val="16"/>
          <c:order val="7"/>
          <c:tx>
            <c:strRef>
              <c:f>dynamicR!$BH$19</c:f>
              <c:strCache>
                <c:ptCount val="1"/>
                <c:pt idx="0">
                  <c:v>w0CD</c:v>
                </c:pt>
              </c:strCache>
            </c:strRef>
          </c:tx>
          <c:spPr>
            <a:ln w="19050" cap="rnd">
              <a:solidFill>
                <a:schemeClr val="accent5">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dynamicR!$BH$20:$BH$119</c:f>
              <c:numCache>
                <c:formatCode>0.00</c:formatCode>
                <c:ptCount val="100"/>
                <c:pt idx="0">
                  <c:v>0</c:v>
                </c:pt>
                <c:pt idx="1">
                  <c:v>0.999999999999996</c:v>
                </c:pt>
                <c:pt idx="2">
                  <c:v>0.99999999999999001</c:v>
                </c:pt>
                <c:pt idx="3">
                  <c:v>0.99999999999998801</c:v>
                </c:pt>
                <c:pt idx="4">
                  <c:v>0.999999999999996</c:v>
                </c:pt>
                <c:pt idx="5">
                  <c:v>0.999999999999996</c:v>
                </c:pt>
                <c:pt idx="6">
                  <c:v>0.999999999999997</c:v>
                </c:pt>
                <c:pt idx="7">
                  <c:v>0.999999999999996</c:v>
                </c:pt>
                <c:pt idx="8">
                  <c:v>0.999999999999997</c:v>
                </c:pt>
                <c:pt idx="9">
                  <c:v>0.999999999999997</c:v>
                </c:pt>
                <c:pt idx="10">
                  <c:v>0.999999999999997</c:v>
                </c:pt>
                <c:pt idx="11">
                  <c:v>0.999999999999997</c:v>
                </c:pt>
                <c:pt idx="12">
                  <c:v>0.999999999999997</c:v>
                </c:pt>
                <c:pt idx="13">
                  <c:v>0.999999999999997</c:v>
                </c:pt>
                <c:pt idx="14">
                  <c:v>0.999999999999997</c:v>
                </c:pt>
                <c:pt idx="15">
                  <c:v>0.999999999999997</c:v>
                </c:pt>
                <c:pt idx="16">
                  <c:v>0.999999999999997</c:v>
                </c:pt>
                <c:pt idx="17">
                  <c:v>0.999999999999997</c:v>
                </c:pt>
                <c:pt idx="18">
                  <c:v>0.999999999999997</c:v>
                </c:pt>
                <c:pt idx="19">
                  <c:v>0.999999999999998</c:v>
                </c:pt>
                <c:pt idx="20">
                  <c:v>0.999999999999997</c:v>
                </c:pt>
                <c:pt idx="21">
                  <c:v>0.999999999999997</c:v>
                </c:pt>
                <c:pt idx="22">
                  <c:v>0.999999999999999</c:v>
                </c:pt>
                <c:pt idx="23">
                  <c:v>0.999999999999997</c:v>
                </c:pt>
                <c:pt idx="24">
                  <c:v>0.999999999999998</c:v>
                </c:pt>
                <c:pt idx="25">
                  <c:v>0.999999999999997</c:v>
                </c:pt>
                <c:pt idx="26">
                  <c:v>0.999999999999998</c:v>
                </c:pt>
                <c:pt idx="27">
                  <c:v>0.999999999999997</c:v>
                </c:pt>
                <c:pt idx="28">
                  <c:v>0.999999999999998</c:v>
                </c:pt>
                <c:pt idx="29">
                  <c:v>0.999999999999998</c:v>
                </c:pt>
                <c:pt idx="30">
                  <c:v>0.999999999999998</c:v>
                </c:pt>
                <c:pt idx="31">
                  <c:v>0.999999999999998</c:v>
                </c:pt>
                <c:pt idx="32">
                  <c:v>0.999999999999998</c:v>
                </c:pt>
                <c:pt idx="33">
                  <c:v>0.999999999999998</c:v>
                </c:pt>
                <c:pt idx="34">
                  <c:v>0.999999999999998</c:v>
                </c:pt>
                <c:pt idx="35">
                  <c:v>0.999999999999998</c:v>
                </c:pt>
                <c:pt idx="36">
                  <c:v>0.999999999999998</c:v>
                </c:pt>
                <c:pt idx="37">
                  <c:v>0.999999999999998</c:v>
                </c:pt>
                <c:pt idx="38">
                  <c:v>0.999999999999998</c:v>
                </c:pt>
                <c:pt idx="39">
                  <c:v>0.999999999999998</c:v>
                </c:pt>
                <c:pt idx="40">
                  <c:v>0.999999999999998</c:v>
                </c:pt>
                <c:pt idx="41">
                  <c:v>0.999999999999998</c:v>
                </c:pt>
                <c:pt idx="42">
                  <c:v>0.999999999999998</c:v>
                </c:pt>
                <c:pt idx="43">
                  <c:v>0.999999999999998</c:v>
                </c:pt>
                <c:pt idx="44">
                  <c:v>0.999999999999998</c:v>
                </c:pt>
                <c:pt idx="45">
                  <c:v>0.999999999999998</c:v>
                </c:pt>
                <c:pt idx="46">
                  <c:v>0.999999999999998</c:v>
                </c:pt>
                <c:pt idx="47">
                  <c:v>0.999999999999999</c:v>
                </c:pt>
                <c:pt idx="48">
                  <c:v>0.999999999999998</c:v>
                </c:pt>
                <c:pt idx="49">
                  <c:v>0.999999999999999</c:v>
                </c:pt>
                <c:pt idx="50">
                  <c:v>0.999999999999999</c:v>
                </c:pt>
                <c:pt idx="51">
                  <c:v>2.43896970068705E-15</c:v>
                </c:pt>
                <c:pt idx="52">
                  <c:v>2.3902122977607901E-15</c:v>
                </c:pt>
                <c:pt idx="53">
                  <c:v>2.3424312284278399E-15</c:v>
                </c:pt>
                <c:pt idx="54">
                  <c:v>2.29560633815483E-15</c:v>
                </c:pt>
                <c:pt idx="55">
                  <c:v>2.24971728122046E-15</c:v>
                </c:pt>
                <c:pt idx="56">
                  <c:v>2.2047453152331702E-15</c:v>
                </c:pt>
                <c:pt idx="57">
                  <c:v>2.16067226035192E-15</c:v>
                </c:pt>
                <c:pt idx="58">
                  <c:v>2.1174802111591299E-15</c:v>
                </c:pt>
                <c:pt idx="59">
                  <c:v>2.0751515805296001E-15</c:v>
                </c:pt>
                <c:pt idx="60">
                  <c:v>2.0336690793283298E-15</c:v>
                </c:pt>
                <c:pt idx="61">
                  <c:v>1.9930157619233298E-15</c:v>
                </c:pt>
                <c:pt idx="62">
                  <c:v>1.9531750829191198E-15</c:v>
                </c:pt>
                <c:pt idx="63">
                  <c:v>1.91413083400284E-15</c:v>
                </c:pt>
                <c:pt idx="64">
                  <c:v>1.8758671007034801E-15</c:v>
                </c:pt>
                <c:pt idx="65">
                  <c:v>1.83836827071764E-15</c:v>
                </c:pt>
                <c:pt idx="66">
                  <c:v>1.8016190459790301E-15</c:v>
                </c:pt>
                <c:pt idx="67">
                  <c:v>1.7656044406965199E-15</c:v>
                </c:pt>
                <c:pt idx="68">
                  <c:v>1.7303097712527E-15</c:v>
                </c:pt>
                <c:pt idx="69">
                  <c:v>1.69572064717825E-15</c:v>
                </c:pt>
                <c:pt idx="70">
                  <c:v>1.6618229649006099E-15</c:v>
                </c:pt>
                <c:pt idx="71">
                  <c:v>1.6286029020912E-15</c:v>
                </c:pt>
                <c:pt idx="72">
                  <c:v>1.59604691251566E-15</c:v>
                </c:pt>
                <c:pt idx="73">
                  <c:v>1.56414172138095E-15</c:v>
                </c:pt>
                <c:pt idx="74">
                  <c:v>1.53287431951986E-15</c:v>
                </c:pt>
                <c:pt idx="75">
                  <c:v>1.50223195739306E-15</c:v>
                </c:pt>
                <c:pt idx="76">
                  <c:v>1.47220214063288E-15</c:v>
                </c:pt>
                <c:pt idx="77">
                  <c:v>1.44277262484184E-15</c:v>
                </c:pt>
                <c:pt idx="78">
                  <c:v>1.4139314086103799E-15</c:v>
                </c:pt>
                <c:pt idx="79">
                  <c:v>1.3856667318851899E-15</c:v>
                </c:pt>
                <c:pt idx="80">
                  <c:v>1.35796706959418E-15</c:v>
                </c:pt>
                <c:pt idx="81">
                  <c:v>1.3308211273311299E-15</c:v>
                </c:pt>
                <c:pt idx="82">
                  <c:v>1.3042178361677401E-15</c:v>
                </c:pt>
                <c:pt idx="83">
                  <c:v>1.27814634832352E-15</c:v>
                </c:pt>
                <c:pt idx="84">
                  <c:v>1.2525960329265E-15</c:v>
                </c:pt>
                <c:pt idx="85">
                  <c:v>1.2275564717093001E-15</c:v>
                </c:pt>
                <c:pt idx="86">
                  <c:v>1.20301745466952E-15</c:v>
                </c:pt>
                <c:pt idx="87">
                  <c:v>1.1789689758612699E-15</c:v>
                </c:pt>
                <c:pt idx="88">
                  <c:v>1.1554012293387701E-15</c:v>
                </c:pt>
                <c:pt idx="89">
                  <c:v>1.13230460519127E-15</c:v>
                </c:pt>
                <c:pt idx="90">
                  <c:v>1.10966968562702E-15</c:v>
                </c:pt>
                <c:pt idx="91">
                  <c:v>1.08748724111741E-15</c:v>
                </c:pt>
                <c:pt idx="92">
                  <c:v>1.0657482266258799E-15</c:v>
                </c:pt>
                <c:pt idx="93">
                  <c:v>1.0444437779224001E-15</c:v>
                </c:pt>
                <c:pt idx="94">
                  <c:v>1.02356520797871E-15</c:v>
                </c:pt>
                <c:pt idx="95">
                  <c:v>1.0031040034234099E-15</c:v>
                </c:pt>
                <c:pt idx="96">
                  <c:v>9.8305182106770207E-16</c:v>
                </c:pt>
                <c:pt idx="97">
                  <c:v>9.6340048450250995E-16</c:v>
                </c:pt>
                <c:pt idx="98">
                  <c:v>9.4414198076764492E-16</c:v>
                </c:pt>
                <c:pt idx="99">
                  <c:v>9.2526845708220194E-16</c:v>
                </c:pt>
              </c:numCache>
            </c:numRef>
          </c:yVal>
          <c:smooth val="0"/>
          <c:extLst>
            <c:ext xmlns:c16="http://schemas.microsoft.com/office/drawing/2014/chart" uri="{C3380CC4-5D6E-409C-BE32-E72D297353CC}">
              <c16:uniqueId val="{00000007-D137-48DF-AE00-9067040BCA60}"/>
            </c:ext>
          </c:extLst>
        </c:ser>
        <c:ser>
          <c:idx val="17"/>
          <c:order val="8"/>
          <c:tx>
            <c:strRef>
              <c:f>dynamicR!$BI$19</c:f>
              <c:strCache>
                <c:ptCount val="1"/>
                <c:pt idx="0">
                  <c:v>w0CS</c:v>
                </c:pt>
              </c:strCache>
            </c:strRef>
          </c:tx>
          <c:spPr>
            <a:ln w="19050" cap="rnd">
              <a:solidFill>
                <a:schemeClr val="accent6">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dynamicR!$BI$20:$BI$119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0.999999999999999</c:v>
                </c:pt>
                <c:pt idx="22">
                  <c:v>1</c:v>
                </c:pt>
                <c:pt idx="23">
                  <c:v>0.999999999999998</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-3.6468527505343899E-214</c:v>
                </c:pt>
                <c:pt idx="52">
                  <c:v>8.7852732205769798E-216</c:v>
                </c:pt>
                <c:pt idx="53">
                  <c:v>-2.9754475407230598E-215</c:v>
                </c:pt>
                <c:pt idx="54">
                  <c:v>3.9126272513821901E-214</c:v>
                </c:pt>
                <c:pt idx="55">
                  <c:v>-2.46309826859411E-214</c:v>
                </c:pt>
                <c:pt idx="56">
                  <c:v>8.0301183189385698E-214</c:v>
                </c:pt>
                <c:pt idx="57">
                  <c:v>-2.3401733685456302E-214</c:v>
                </c:pt>
                <c:pt idx="58">
                  <c:v>4.3568304200825299E-215</c:v>
                </c:pt>
                <c:pt idx="59">
                  <c:v>2.6537309398304E-216</c:v>
                </c:pt>
                <c:pt idx="60">
                  <c:v>-4.9242517766836398E-216</c:v>
                </c:pt>
                <c:pt idx="61">
                  <c:v>2.34403143125619E-216</c:v>
                </c:pt>
                <c:pt idx="62">
                  <c:v>5.8278530398986498E-215</c:v>
                </c:pt>
                <c:pt idx="63">
                  <c:v>4.5261806411794798E-215</c:v>
                </c:pt>
                <c:pt idx="64">
                  <c:v>-3.669131508304E-215</c:v>
                </c:pt>
                <c:pt idx="65">
                  <c:v>-8.39205161039655E-216</c:v>
                </c:pt>
                <c:pt idx="66">
                  <c:v>5.8622680361793197E-215</c:v>
                </c:pt>
                <c:pt idx="67">
                  <c:v>-1.8949165259701999E-215</c:v>
                </c:pt>
                <c:pt idx="68">
                  <c:v>-6.4340973150232696E-215</c:v>
                </c:pt>
                <c:pt idx="69">
                  <c:v>5.5113901168678996E-215</c:v>
                </c:pt>
                <c:pt idx="70">
                  <c:v>5.13578589835982E-215</c:v>
                </c:pt>
                <c:pt idx="71">
                  <c:v>-9.4126911116911906E-215</c:v>
                </c:pt>
                <c:pt idx="72">
                  <c:v>-1.56382169290699E-215</c:v>
                </c:pt>
                <c:pt idx="73">
                  <c:v>1.2440953666947401E-214</c:v>
                </c:pt>
                <c:pt idx="74">
                  <c:v>-4.4098002311256498E-215</c:v>
                </c:pt>
                <c:pt idx="75">
                  <c:v>-1.2726416694522001E-214</c:v>
                </c:pt>
                <c:pt idx="76">
                  <c:v>1.2294775164126499E-214</c:v>
                </c:pt>
                <c:pt idx="77">
                  <c:v>-8.8135926652955098E-215</c:v>
                </c:pt>
                <c:pt idx="78">
                  <c:v>3.4459175907882999E-215</c:v>
                </c:pt>
                <c:pt idx="79">
                  <c:v>-7.9741932590201305E-216</c:v>
                </c:pt>
                <c:pt idx="80">
                  <c:v>7.5500928179992296E-217</c:v>
                </c:pt>
                <c:pt idx="81">
                  <c:v>4.0308030680807898E-222</c:v>
                </c:pt>
                <c:pt idx="82">
                  <c:v>-1.25151884143738E-222</c:v>
                </c:pt>
                <c:pt idx="83">
                  <c:v>2.66314392560691E-223</c:v>
                </c:pt>
                <c:pt idx="84">
                  <c:v>-3.4891186218655E-224</c:v>
                </c:pt>
                <c:pt idx="85">
                  <c:v>2.07527877828445E-225</c:v>
                </c:pt>
                <c:pt idx="86">
                  <c:v>4.70191465865361E-230</c:v>
                </c:pt>
                <c:pt idx="87">
                  <c:v>-9.7568181269182403E-231</c:v>
                </c:pt>
                <c:pt idx="88">
                  <c:v>1.42658708399264E-231</c:v>
                </c:pt>
                <c:pt idx="89">
                  <c:v>-1.3156300507534899E-232</c:v>
                </c:pt>
                <c:pt idx="90">
                  <c:v>5.7033370278505196E-234</c:v>
                </c:pt>
                <c:pt idx="91">
                  <c:v>3.7042606693349E-238</c:v>
                </c:pt>
                <c:pt idx="92">
                  <c:v>-5.7749130028323496E-239</c:v>
                </c:pt>
                <c:pt idx="93">
                  <c:v>6.4430932400734196E-240</c:v>
                </c:pt>
                <c:pt idx="94">
                  <c:v>-4.5961528829925601E-241</c:v>
                </c:pt>
                <c:pt idx="95">
                  <c:v>1.5668238832311E-242</c:v>
                </c:pt>
                <c:pt idx="96">
                  <c:v>2.3397105647468901E-246</c:v>
                </c:pt>
                <c:pt idx="97">
                  <c:v>-2.9157414204624899E-247</c:v>
                </c:pt>
                <c:pt idx="98">
                  <c:v>2.6325321638235499E-248</c:v>
                </c:pt>
                <c:pt idx="99">
                  <c:v>-1.53248481130888E-249</c:v>
                </c:pt>
              </c:numCache>
            </c:numRef>
          </c:yVal>
          <c:smooth val="0"/>
          <c:extLst>
            <c:ext xmlns:c16="http://schemas.microsoft.com/office/drawing/2014/chart" uri="{C3380CC4-5D6E-409C-BE32-E72D297353CC}">
              <c16:uniqueId val="{00000008-D137-48DF-AE00-9067040BCA60}"/>
            </c:ext>
          </c:extLst>
        </c:ser>
        <c:ser>
          <c:idx val="18"/>
          <c:order val="9"/>
          <c:tx>
            <c:strRef>
              <c:f>dynamicR!$BJ$19</c:f>
              <c:strCache>
                <c:ptCount val="1"/>
                <c:pt idx="0">
                  <c:v>w0CA</c:v>
                </c:pt>
              </c:strCache>
            </c:strRef>
          </c:tx>
          <c:spPr>
            <a:ln w="19050" cap="rnd">
              <a:solidFill>
                <a:schemeClr val="accent1">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dynamicR!$BJ$20:$BJ$119</c:f>
              <c:numCache>
                <c:formatCode>0.00</c:formatCode>
                <c:ptCount val="100"/>
                <c:pt idx="0">
                  <c:v>0</c:v>
                </c:pt>
                <c:pt idx="1">
                  <c:v>1</c:v>
                </c:pt>
                <c:pt idx="2">
                  <c:v>0.999999999999997</c:v>
                </c:pt>
                <c:pt idx="3">
                  <c:v>0.999999999999996</c:v>
                </c:pt>
                <c:pt idx="4">
                  <c:v>1</c:v>
                </c:pt>
                <c:pt idx="5">
                  <c:v>1</c:v>
                </c:pt>
                <c:pt idx="6">
                  <c:v>1</c:v>
                </c:pt>
                <c:pt idx="7">
                  <c:v>0.999999999999999</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0.999999999999999</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-7.1172939225573603E-100</c:v>
                </c:pt>
                <c:pt idx="52">
                  <c:v>1.7145661940204501E-101</c:v>
                </c:pt>
                <c:pt idx="53">
                  <c:v>-5.80689805181209E-101</c:v>
                </c:pt>
                <c:pt idx="54">
                  <c:v>7.6359896087269201E-100</c:v>
                </c:pt>
                <c:pt idx="55">
                  <c:v>-4.8070387334731103E-100</c:v>
                </c:pt>
                <c:pt idx="56">
                  <c:v>1.5671756651628699E-99</c:v>
                </c:pt>
                <c:pt idx="57">
                  <c:v>-4.5671210695823998E-100</c:v>
                </c:pt>
                <c:pt idx="58">
                  <c:v>8.5027882417697599E-101</c:v>
                </c:pt>
                <c:pt idx="59">
                  <c:v>5.1794291893050298E-102</c:v>
                </c:pt>
                <c:pt idx="60">
                  <c:v>-9.6105855139202605E-102</c:v>
                </c:pt>
                <c:pt idx="61">
                  <c:v>4.5741009338328703E-102</c:v>
                </c:pt>
                <c:pt idx="62">
                  <c:v>1.13737627308494E-100</c:v>
                </c:pt>
                <c:pt idx="63">
                  <c:v>8.8333743639187201E-101</c:v>
                </c:pt>
                <c:pt idx="64">
                  <c:v>-7.1608061227569495E-101</c:v>
                </c:pt>
                <c:pt idx="65">
                  <c:v>-1.6377996644204098E-101</c:v>
                </c:pt>
                <c:pt idx="66">
                  <c:v>1.1440968365437701E-100</c:v>
                </c:pt>
                <c:pt idx="67">
                  <c:v>-3.6981884462089502E-101</c:v>
                </c:pt>
                <c:pt idx="68">
                  <c:v>-1.25569518026047E-100</c:v>
                </c:pt>
                <c:pt idx="69">
                  <c:v>1.07561889636049E-100</c:v>
                </c:pt>
                <c:pt idx="70">
                  <c:v>1.0023125118768E-100</c:v>
                </c:pt>
                <c:pt idx="71">
                  <c:v>-1.8370057190040601E-100</c:v>
                </c:pt>
                <c:pt idx="72">
                  <c:v>-3.0519886789919997E-101</c:v>
                </c:pt>
                <c:pt idx="73">
                  <c:v>2.4280078699100198E-100</c:v>
                </c:pt>
                <c:pt idx="74">
                  <c:v>-8.6062703478672803E-101</c:v>
                </c:pt>
                <c:pt idx="75">
                  <c:v>-2.4837189417723101E-100</c:v>
                </c:pt>
                <c:pt idx="76">
                  <c:v>2.3994770413435599E-100</c:v>
                </c:pt>
                <c:pt idx="77">
                  <c:v>-1.7200773672592599E-100</c:v>
                </c:pt>
                <c:pt idx="78">
                  <c:v>6.7250650737317498E-101</c:v>
                </c:pt>
                <c:pt idx="79">
                  <c:v>-1.5562035137756101E-101</c:v>
                </c:pt>
                <c:pt idx="80">
                  <c:v>1.4731439631576101E-102</c:v>
                </c:pt>
                <c:pt idx="81">
                  <c:v>1.5867433184293301E-106</c:v>
                </c:pt>
                <c:pt idx="82">
                  <c:v>-4.9265730644020298E-107</c:v>
                </c:pt>
                <c:pt idx="83">
                  <c:v>1.0482878471922799E-107</c:v>
                </c:pt>
                <c:pt idx="84">
                  <c:v>-1.3731523976298399E-108</c:v>
                </c:pt>
                <c:pt idx="85">
                  <c:v>8.15647556462349E-110</c:v>
                </c:pt>
                <c:pt idx="86">
                  <c:v>3.75743272437014E-113</c:v>
                </c:pt>
                <c:pt idx="87">
                  <c:v>-7.7464043571832597E-114</c:v>
                </c:pt>
                <c:pt idx="88">
                  <c:v>1.13241809352021E-114</c:v>
                </c:pt>
                <c:pt idx="89">
                  <c:v>-1.0435627887787101E-115</c:v>
                </c:pt>
                <c:pt idx="90">
                  <c:v>4.5006432391261002E-117</c:v>
                </c:pt>
                <c:pt idx="91">
                  <c:v>5.9652446519056999E-120</c:v>
                </c:pt>
                <c:pt idx="92">
                  <c:v>-9.24618342734973E-121</c:v>
                </c:pt>
                <c:pt idx="93">
                  <c:v>1.0310313715990001E-121</c:v>
                </c:pt>
                <c:pt idx="94">
                  <c:v>-7.33900139501152E-123</c:v>
                </c:pt>
                <c:pt idx="95">
                  <c:v>2.4647328651439002E-124</c:v>
                </c:pt>
                <c:pt idx="96">
                  <c:v>7.5697226100908805E-127</c:v>
                </c:pt>
                <c:pt idx="97">
                  <c:v>-9.412009569528309E-128</c:v>
                </c:pt>
                <c:pt idx="98">
                  <c:v>8.4866653313598405E-129</c:v>
                </c:pt>
                <c:pt idx="99">
                  <c:v>-4.9149939028873498E-130</c:v>
                </c:pt>
              </c:numCache>
            </c:numRef>
          </c:yVal>
          <c:smooth val="0"/>
          <c:extLst>
            <c:ext xmlns:c16="http://schemas.microsoft.com/office/drawing/2014/chart" uri="{C3380CC4-5D6E-409C-BE32-E72D297353CC}">
              <c16:uniqueId val="{00000009-D137-48DF-AE00-9067040BCA60}"/>
            </c:ext>
          </c:extLst>
        </c:ser>
        <c:ser>
          <c:idx val="19"/>
          <c:order val="10"/>
          <c:tx>
            <c:strRef>
              <c:f>dynamicR!$BK$19</c:f>
              <c:strCache>
                <c:ptCount val="1"/>
                <c:pt idx="0">
                  <c:v>w0CP</c:v>
                </c:pt>
              </c:strCache>
            </c:strRef>
          </c:tx>
          <c:spPr>
            <a:ln w="19050" cap="rnd">
              <a:solidFill>
                <a:schemeClr val="accent2">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dynamicR!$BK$20:$BK$119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0.999999999999999</c:v>
                </c:pt>
                <c:pt idx="18">
                  <c:v>1</c:v>
                </c:pt>
                <c:pt idx="19">
                  <c:v>1</c:v>
                </c:pt>
                <c:pt idx="20">
                  <c:v>0.999999999999998</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-3.7869236081845198E-109</c:v>
                </c:pt>
                <c:pt idx="52">
                  <c:v>9.1227435990829996E-111</c:v>
                </c:pt>
                <c:pt idx="53">
                  <c:v>-3.0897029271783803E-110</c:v>
                </c:pt>
                <c:pt idx="54">
                  <c:v>4.0629075312450301E-109</c:v>
                </c:pt>
                <c:pt idx="55">
                  <c:v>-2.5576988652208202E-109</c:v>
                </c:pt>
                <c:pt idx="56">
                  <c:v>8.3385300034538597E-109</c:v>
                </c:pt>
                <c:pt idx="57">
                  <c:v>-2.43004642553471E-109</c:v>
                </c:pt>
                <c:pt idx="58">
                  <c:v>4.52411993587647E-110</c:v>
                </c:pt>
                <c:pt idx="59">
                  <c:v>2.7558038408417399E-111</c:v>
                </c:pt>
                <c:pt idx="60">
                  <c:v>-5.1135098833234703E-111</c:v>
                </c:pt>
                <c:pt idx="61">
                  <c:v>2.4338143200121101E-111</c:v>
                </c:pt>
                <c:pt idx="62">
                  <c:v>6.0516807689916801E-110</c:v>
                </c:pt>
                <c:pt idx="63">
                  <c:v>4.7000084025992599E-110</c:v>
                </c:pt>
                <c:pt idx="64">
                  <c:v>-3.8100721070014601E-110</c:v>
                </c:pt>
                <c:pt idx="65">
                  <c:v>-8.71431326725183E-111</c:v>
                </c:pt>
                <c:pt idx="66">
                  <c:v>6.08743512916677E-110</c:v>
                </c:pt>
                <c:pt idx="67">
                  <c:v>-1.9677062197017701E-110</c:v>
                </c:pt>
                <c:pt idx="68">
                  <c:v>-6.6812217044338004E-110</c:v>
                </c:pt>
                <c:pt idx="69">
                  <c:v>5.7230818307770001E-110</c:v>
                </c:pt>
                <c:pt idx="70">
                  <c:v>5.3330404092838399E-110</c:v>
                </c:pt>
                <c:pt idx="71">
                  <c:v>-9.7742208100928005E-110</c:v>
                </c:pt>
                <c:pt idx="72">
                  <c:v>-1.6238830320580599E-110</c:v>
                </c:pt>
                <c:pt idx="73">
                  <c:v>1.2918788261324E-109</c:v>
                </c:pt>
                <c:pt idx="74">
                  <c:v>-4.5791697071946801E-110</c:v>
                </c:pt>
                <c:pt idx="75">
                  <c:v>-1.3215212754991599E-109</c:v>
                </c:pt>
                <c:pt idx="76">
                  <c:v>1.2766985489853901E-109</c:v>
                </c:pt>
                <c:pt idx="77">
                  <c:v>-9.1520826312592104E-110</c:v>
                </c:pt>
                <c:pt idx="78">
                  <c:v>3.5782367479759002E-110</c:v>
                </c:pt>
                <c:pt idx="79">
                  <c:v>-8.2802068484885299E-111</c:v>
                </c:pt>
                <c:pt idx="80">
                  <c:v>7.8385553628704398E-112</c:v>
                </c:pt>
                <c:pt idx="81">
                  <c:v>6.9584375547072902E-116</c:v>
                </c:pt>
                <c:pt idx="82">
                  <c:v>-2.1604855950622699E-116</c:v>
                </c:pt>
                <c:pt idx="83">
                  <c:v>4.5971744600677999E-117</c:v>
                </c:pt>
                <c:pt idx="84">
                  <c:v>-6.0220519458211699E-118</c:v>
                </c:pt>
                <c:pt idx="85">
                  <c:v>3.57795673815164E-119</c:v>
                </c:pt>
                <c:pt idx="86">
                  <c:v>1.3581136208312601E-122</c:v>
                </c:pt>
                <c:pt idx="87">
                  <c:v>-2.7999240322541301E-123</c:v>
                </c:pt>
                <c:pt idx="88">
                  <c:v>4.0932501855005202E-124</c:v>
                </c:pt>
                <c:pt idx="89">
                  <c:v>-3.7725928957083801E-125</c:v>
                </c:pt>
                <c:pt idx="90">
                  <c:v>1.628587673346E-126</c:v>
                </c:pt>
                <c:pt idx="91">
                  <c:v>1.77709675904101E-129</c:v>
                </c:pt>
                <c:pt idx="92">
                  <c:v>-2.7546043073392199E-130</c:v>
                </c:pt>
                <c:pt idx="93">
                  <c:v>3.07194088256444E-131</c:v>
                </c:pt>
                <c:pt idx="94">
                  <c:v>-2.18751492569761E-132</c:v>
                </c:pt>
                <c:pt idx="95">
                  <c:v>7.3670722095938397E-134</c:v>
                </c:pt>
                <c:pt idx="96">
                  <c:v>1.8587119020362899E-136</c:v>
                </c:pt>
                <c:pt idx="97">
                  <c:v>-2.3112654485565302E-137</c:v>
                </c:pt>
                <c:pt idx="98">
                  <c:v>2.0845388776969599E-138</c:v>
                </c:pt>
                <c:pt idx="99">
                  <c:v>-1.2084006833394701E-139</c:v>
                </c:pt>
              </c:numCache>
            </c:numRef>
          </c:yVal>
          <c:smooth val="0"/>
          <c:extLst>
            <c:ext xmlns:c16="http://schemas.microsoft.com/office/drawing/2014/chart" uri="{C3380CC4-5D6E-409C-BE32-E72D297353CC}">
              <c16:uniqueId val="{0000000A-D137-48DF-AE00-9067040BCA60}"/>
            </c:ext>
          </c:extLst>
        </c:ser>
        <c:ser>
          <c:idx val="20"/>
          <c:order val="11"/>
          <c:tx>
            <c:strRef>
              <c:f>dynamicR!$BL$19</c:f>
              <c:strCache>
                <c:ptCount val="1"/>
                <c:pt idx="0">
                  <c:v>w1CD</c:v>
                </c:pt>
              </c:strCache>
            </c:strRef>
          </c:tx>
          <c:spPr>
            <a:ln w="19050" cap="rnd">
              <a:solidFill>
                <a:schemeClr val="accent3">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dynamicR!$BL$20:$BL$119</c:f>
              <c:numCache>
                <c:formatCode>0.00</c:formatCode>
                <c:ptCount val="100"/>
                <c:pt idx="0">
                  <c:v>0</c:v>
                </c:pt>
                <c:pt idx="1">
                  <c:v>0.99999999999999101</c:v>
                </c:pt>
                <c:pt idx="2">
                  <c:v>0.99999999999999001</c:v>
                </c:pt>
                <c:pt idx="3">
                  <c:v>0.99999999999999001</c:v>
                </c:pt>
                <c:pt idx="4">
                  <c:v>0.99999999999999201</c:v>
                </c:pt>
                <c:pt idx="5">
                  <c:v>0.99999999999999201</c:v>
                </c:pt>
                <c:pt idx="6">
                  <c:v>0.99999999999999301</c:v>
                </c:pt>
                <c:pt idx="7">
                  <c:v>0.99999999999999301</c:v>
                </c:pt>
                <c:pt idx="8">
                  <c:v>0.99999999999999301</c:v>
                </c:pt>
                <c:pt idx="9">
                  <c:v>0.99999999999999301</c:v>
                </c:pt>
                <c:pt idx="10">
                  <c:v>0.99999999999999301</c:v>
                </c:pt>
                <c:pt idx="11">
                  <c:v>0.99999999999999301</c:v>
                </c:pt>
                <c:pt idx="12">
                  <c:v>0.999999999999994</c:v>
                </c:pt>
                <c:pt idx="13">
                  <c:v>0.99999999999999301</c:v>
                </c:pt>
                <c:pt idx="14">
                  <c:v>0.99999999999999301</c:v>
                </c:pt>
                <c:pt idx="15">
                  <c:v>0.999999999999994</c:v>
                </c:pt>
                <c:pt idx="16">
                  <c:v>0.999999999999994</c:v>
                </c:pt>
                <c:pt idx="17">
                  <c:v>0.99999999999999301</c:v>
                </c:pt>
                <c:pt idx="18">
                  <c:v>0.999999999999995</c:v>
                </c:pt>
                <c:pt idx="19">
                  <c:v>0.999999999999995</c:v>
                </c:pt>
                <c:pt idx="20">
                  <c:v>0.99999999999999201</c:v>
                </c:pt>
                <c:pt idx="21">
                  <c:v>0.999999999999994</c:v>
                </c:pt>
                <c:pt idx="22">
                  <c:v>0.999999999999998</c:v>
                </c:pt>
                <c:pt idx="23">
                  <c:v>0.99999999999999301</c:v>
                </c:pt>
                <c:pt idx="24">
                  <c:v>0.999999999999996</c:v>
                </c:pt>
                <c:pt idx="25">
                  <c:v>0.999999999999995</c:v>
                </c:pt>
                <c:pt idx="26">
                  <c:v>0.999999999999995</c:v>
                </c:pt>
                <c:pt idx="27">
                  <c:v>0.999999999999995</c:v>
                </c:pt>
                <c:pt idx="28">
                  <c:v>0.999999999999995</c:v>
                </c:pt>
                <c:pt idx="29">
                  <c:v>0.999999999999995</c:v>
                </c:pt>
                <c:pt idx="30">
                  <c:v>0.999999999999995</c:v>
                </c:pt>
                <c:pt idx="31">
                  <c:v>0.999999999999996</c:v>
                </c:pt>
                <c:pt idx="32">
                  <c:v>0.999999999999996</c:v>
                </c:pt>
                <c:pt idx="33">
                  <c:v>0.999999999999996</c:v>
                </c:pt>
                <c:pt idx="34">
                  <c:v>0.999999999999996</c:v>
                </c:pt>
                <c:pt idx="35">
                  <c:v>0.999999999999996</c:v>
                </c:pt>
                <c:pt idx="36">
                  <c:v>0.999999999999996</c:v>
                </c:pt>
                <c:pt idx="37">
                  <c:v>0.999999999999996</c:v>
                </c:pt>
                <c:pt idx="38">
                  <c:v>0.999999999999996</c:v>
                </c:pt>
                <c:pt idx="39">
                  <c:v>0.999999999999996</c:v>
                </c:pt>
                <c:pt idx="40">
                  <c:v>0.999999999999996</c:v>
                </c:pt>
                <c:pt idx="41">
                  <c:v>0.999999999999997</c:v>
                </c:pt>
                <c:pt idx="42">
                  <c:v>0.999999999999996</c:v>
                </c:pt>
                <c:pt idx="43">
                  <c:v>0.999999999999997</c:v>
                </c:pt>
                <c:pt idx="44">
                  <c:v>0.999999999999997</c:v>
                </c:pt>
                <c:pt idx="45">
                  <c:v>0.999999999999997</c:v>
                </c:pt>
                <c:pt idx="46">
                  <c:v>0.999999999999997</c:v>
                </c:pt>
                <c:pt idx="47">
                  <c:v>0.999999999999997</c:v>
                </c:pt>
                <c:pt idx="48">
                  <c:v>0.999999999999996</c:v>
                </c:pt>
                <c:pt idx="49">
                  <c:v>0.999999999999997</c:v>
                </c:pt>
                <c:pt idx="50">
                  <c:v>0.999999999999997</c:v>
                </c:pt>
                <c:pt idx="51">
                  <c:v>5.2695268798578299E-15</c:v>
                </c:pt>
                <c:pt idx="52">
                  <c:v>5.1641837640713998E-15</c:v>
                </c:pt>
                <c:pt idx="53">
                  <c:v>5.0609501726442597E-15</c:v>
                </c:pt>
                <c:pt idx="54">
                  <c:v>4.9597823438313001E-15</c:v>
                </c:pt>
                <c:pt idx="55">
                  <c:v>4.86063669724181E-15</c:v>
                </c:pt>
                <c:pt idx="56">
                  <c:v>4.7634720561816502E-15</c:v>
                </c:pt>
                <c:pt idx="57">
                  <c:v>4.6682500798410698E-15</c:v>
                </c:pt>
                <c:pt idx="58">
                  <c:v>4.5749312378750297E-15</c:v>
                </c:pt>
                <c:pt idx="59">
                  <c:v>4.4834779375470003E-15</c:v>
                </c:pt>
                <c:pt idx="60">
                  <c:v>4.3938527377878097E-15</c:v>
                </c:pt>
                <c:pt idx="61">
                  <c:v>4.3060190310290902E-15</c:v>
                </c:pt>
                <c:pt idx="62">
                  <c:v>4.2199410616072003E-15</c:v>
                </c:pt>
                <c:pt idx="63">
                  <c:v>4.1355838399304999E-15</c:v>
                </c:pt>
                <c:pt idx="64">
                  <c:v>4.0529129818675896E-15</c:v>
                </c:pt>
                <c:pt idx="65">
                  <c:v>3.9718947115753898E-15</c:v>
                </c:pt>
                <c:pt idx="66">
                  <c:v>3.89249599462899E-15</c:v>
                </c:pt>
                <c:pt idx="67">
                  <c:v>3.8146844990058403E-15</c:v>
                </c:pt>
                <c:pt idx="68">
                  <c:v>3.73842845589545E-15</c:v>
                </c:pt>
                <c:pt idx="69">
                  <c:v>3.6636967409427603E-15</c:v>
                </c:pt>
                <c:pt idx="70">
                  <c:v>3.5904589543189604E-15</c:v>
                </c:pt>
                <c:pt idx="71">
                  <c:v>3.5186852366798099E-15</c:v>
                </c:pt>
                <c:pt idx="72">
                  <c:v>3.4483462296724299E-15</c:v>
                </c:pt>
                <c:pt idx="73">
                  <c:v>3.37941329282373E-15</c:v>
                </c:pt>
                <c:pt idx="74">
                  <c:v>3.3118584111585598E-15</c:v>
                </c:pt>
                <c:pt idx="75">
                  <c:v>3.2456539406388399E-15</c:v>
                </c:pt>
                <c:pt idx="76">
                  <c:v>3.1807728248185901E-15</c:v>
                </c:pt>
                <c:pt idx="77">
                  <c:v>3.11718880657096E-15</c:v>
                </c:pt>
                <c:pt idx="78">
                  <c:v>3.0548757587195502E-15</c:v>
                </c:pt>
                <c:pt idx="79">
                  <c:v>2.9938083966759199E-15</c:v>
                </c:pt>
                <c:pt idx="80">
                  <c:v>2.9339617665399099E-15</c:v>
                </c:pt>
                <c:pt idx="81">
                  <c:v>2.8753114808983898E-15</c:v>
                </c:pt>
                <c:pt idx="82">
                  <c:v>2.8178336223649999E-15</c:v>
                </c:pt>
                <c:pt idx="83">
                  <c:v>2.7615047538268699E-15</c:v>
                </c:pt>
                <c:pt idx="84">
                  <c:v>2.7063019067334401E-15</c:v>
                </c:pt>
                <c:pt idx="85">
                  <c:v>2.6522025718444001E-15</c:v>
                </c:pt>
                <c:pt idx="86">
                  <c:v>2.5991846898948899E-15</c:v>
                </c:pt>
                <c:pt idx="87">
                  <c:v>2.5472266424941198E-15</c:v>
                </c:pt>
                <c:pt idx="88">
                  <c:v>2.4963072433625198E-15</c:v>
                </c:pt>
                <c:pt idx="89">
                  <c:v>2.4464057297648301E-15</c:v>
                </c:pt>
                <c:pt idx="90">
                  <c:v>2.3975017540494101E-15</c:v>
                </c:pt>
                <c:pt idx="91">
                  <c:v>2.3495753753173101E-15</c:v>
                </c:pt>
                <c:pt idx="92">
                  <c:v>2.3026070512747198E-15</c:v>
                </c:pt>
                <c:pt idx="93">
                  <c:v>2.2565776302702402E-15</c:v>
                </c:pt>
                <c:pt idx="94">
                  <c:v>2.2114683435064401E-15</c:v>
                </c:pt>
                <c:pt idx="95">
                  <c:v>2.16726079738107E-15</c:v>
                </c:pt>
                <c:pt idx="96">
                  <c:v>2.1239369659805799E-15</c:v>
                </c:pt>
                <c:pt idx="97">
                  <c:v>2.08147918372816E-15</c:v>
                </c:pt>
                <c:pt idx="98">
                  <c:v>2.0398701381871702E-15</c:v>
                </c:pt>
                <c:pt idx="99">
                  <c:v>1.9990928629970599E-15</c:v>
                </c:pt>
              </c:numCache>
            </c:numRef>
          </c:yVal>
          <c:smooth val="0"/>
          <c:extLst>
            <c:ext xmlns:c16="http://schemas.microsoft.com/office/drawing/2014/chart" uri="{C3380CC4-5D6E-409C-BE32-E72D297353CC}">
              <c16:uniqueId val="{0000000B-D137-48DF-AE00-9067040BCA60}"/>
            </c:ext>
          </c:extLst>
        </c:ser>
        <c:ser>
          <c:idx val="21"/>
          <c:order val="12"/>
          <c:tx>
            <c:strRef>
              <c:f>dynamicR!$BM$19</c:f>
              <c:strCache>
                <c:ptCount val="1"/>
                <c:pt idx="0">
                  <c:v>w1CS</c:v>
                </c:pt>
              </c:strCache>
            </c:strRef>
          </c:tx>
          <c:spPr>
            <a:ln w="19050" cap="rnd">
              <a:solidFill>
                <a:schemeClr val="accent4">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dynamicR!$BM$20:$BM$119</c:f>
              <c:numCache>
                <c:formatCode>0.00</c:formatCode>
                <c:ptCount val="100"/>
                <c:pt idx="0">
                  <c:v>0</c:v>
                </c:pt>
                <c:pt idx="1">
                  <c:v>1</c:v>
                </c:pt>
                <c:pt idx="2">
                  <c:v>0.999999999999996</c:v>
                </c:pt>
                <c:pt idx="3">
                  <c:v>0.999999999999994</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1</c:v>
                </c:pt>
                <c:pt idx="21">
                  <c:v>1</c:v>
                </c:pt>
                <c:pt idx="22">
                  <c:v>0.999999999999999</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-3.6468316146234102E-214</c:v>
                </c:pt>
                <c:pt idx="52">
                  <c:v>8.7852218251329295E-216</c:v>
                </c:pt>
                <c:pt idx="53">
                  <c:v>-2.9754301784833899E-215</c:v>
                </c:pt>
                <c:pt idx="54">
                  <c:v>3.9126045372952301E-214</c:v>
                </c:pt>
                <c:pt idx="55">
                  <c:v>-2.4630839799891902E-214</c:v>
                </c:pt>
                <c:pt idx="56">
                  <c:v>8.0300717090827999E-214</c:v>
                </c:pt>
                <c:pt idx="57">
                  <c:v>-2.3401597849712601E-214</c:v>
                </c:pt>
                <c:pt idx="58">
                  <c:v>4.3568051298351902E-215</c:v>
                </c:pt>
                <c:pt idx="59">
                  <c:v>2.6537155356253501E-216</c:v>
                </c:pt>
                <c:pt idx="60">
                  <c:v>-4.9242231927058999E-216</c:v>
                </c:pt>
                <c:pt idx="61">
                  <c:v>2.34401782477341E-216</c:v>
                </c:pt>
                <c:pt idx="62">
                  <c:v>5.8278192107546199E-215</c:v>
                </c:pt>
                <c:pt idx="63">
                  <c:v>4.5261543678991099E-215</c:v>
                </c:pt>
                <c:pt idx="64">
                  <c:v>-3.6691102099670399E-215</c:v>
                </c:pt>
                <c:pt idx="65">
                  <c:v>-8.3920028967587102E-216</c:v>
                </c:pt>
                <c:pt idx="66">
                  <c:v>5.8622340072654403E-215</c:v>
                </c:pt>
                <c:pt idx="67">
                  <c:v>-1.89490552648146E-215</c:v>
                </c:pt>
                <c:pt idx="68">
                  <c:v>-6.4340599667918103E-215</c:v>
                </c:pt>
                <c:pt idx="69">
                  <c:v>5.5113581247074702E-215</c:v>
                </c:pt>
                <c:pt idx="70">
                  <c:v>5.1357560864823696E-215</c:v>
                </c:pt>
                <c:pt idx="71">
                  <c:v>-9.4126364735113707E-215</c:v>
                </c:pt>
                <c:pt idx="72">
                  <c:v>-1.5638126153360601E-215</c:v>
                </c:pt>
                <c:pt idx="73">
                  <c:v>1.24408814505052E-214</c:v>
                </c:pt>
                <c:pt idx="74">
                  <c:v>-4.4097746334029003E-215</c:v>
                </c:pt>
                <c:pt idx="75">
                  <c:v>-1.27263428210425E-214</c:v>
                </c:pt>
                <c:pt idx="76">
                  <c:v>1.2294703796211901E-214</c:v>
                </c:pt>
                <c:pt idx="77">
                  <c:v>-8.8135415047235897E-215</c:v>
                </c:pt>
                <c:pt idx="78">
                  <c:v>3.44589758814904E-215</c:v>
                </c:pt>
                <c:pt idx="79">
                  <c:v>-7.9741469709394696E-216</c:v>
                </c:pt>
                <c:pt idx="80">
                  <c:v>7.5500489917083992E-217</c:v>
                </c:pt>
                <c:pt idx="81">
                  <c:v>4.0307797662892703E-222</c:v>
                </c:pt>
                <c:pt idx="82">
                  <c:v>-1.25151165653694E-222</c:v>
                </c:pt>
                <c:pt idx="83">
                  <c:v>2.6631291702768599E-223</c:v>
                </c:pt>
                <c:pt idx="84">
                  <c:v>-3.4891008704109099E-224</c:v>
                </c:pt>
                <c:pt idx="85">
                  <c:v>2.0752709776122701E-225</c:v>
                </c:pt>
                <c:pt idx="86">
                  <c:v>4.68695204349951E-230</c:v>
                </c:pt>
                <c:pt idx="87">
                  <c:v>-9.7567625396437004E-231</c:v>
                </c:pt>
                <c:pt idx="88">
                  <c:v>1.4265795520682701E-231</c:v>
                </c:pt>
                <c:pt idx="89">
                  <c:v>-1.31562441441646E-232</c:v>
                </c:pt>
                <c:pt idx="90">
                  <c:v>5.7033184182999201E-234</c:v>
                </c:pt>
                <c:pt idx="91">
                  <c:v>3.71459987909432E-238</c:v>
                </c:pt>
                <c:pt idx="92">
                  <c:v>-5.77488003937995E-239</c:v>
                </c:pt>
                <c:pt idx="93">
                  <c:v>6.4430583510146604E-240</c:v>
                </c:pt>
                <c:pt idx="94">
                  <c:v>-4.5961313781790902E-241</c:v>
                </c:pt>
                <c:pt idx="95">
                  <c:v>1.56682173067781E-242</c:v>
                </c:pt>
                <c:pt idx="96">
                  <c:v>2.3390676928169598E-246</c:v>
                </c:pt>
                <c:pt idx="97">
                  <c:v>-2.9157258323683003E-247</c:v>
                </c:pt>
                <c:pt idx="98">
                  <c:v>2.6325192346970101E-248</c:v>
                </c:pt>
                <c:pt idx="99">
                  <c:v>-1.53247756790444E-249</c:v>
                </c:pt>
              </c:numCache>
            </c:numRef>
          </c:yVal>
          <c:smooth val="0"/>
          <c:extLst>
            <c:ext xmlns:c16="http://schemas.microsoft.com/office/drawing/2014/chart" uri="{C3380CC4-5D6E-409C-BE32-E72D297353CC}">
              <c16:uniqueId val="{0000000C-D137-48DF-AE00-9067040BCA60}"/>
            </c:ext>
          </c:extLst>
        </c:ser>
        <c:ser>
          <c:idx val="22"/>
          <c:order val="13"/>
          <c:tx>
            <c:strRef>
              <c:f>dynamicR!$BN$19</c:f>
              <c:strCache>
                <c:ptCount val="1"/>
                <c:pt idx="0">
                  <c:v>w1CA</c:v>
                </c:pt>
              </c:strCache>
            </c:strRef>
          </c:tx>
          <c:spPr>
            <a:ln w="19050" cap="rnd">
              <a:solidFill>
                <a:schemeClr val="accent5">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dynamicR!$BN$20:$BN$119</c:f>
              <c:numCache>
                <c:formatCode>0.00</c:formatCode>
                <c:ptCount val="100"/>
                <c:pt idx="0">
                  <c:v>0</c:v>
                </c:pt>
                <c:pt idx="1">
                  <c:v>1</c:v>
                </c:pt>
                <c:pt idx="2">
                  <c:v>0.999999999999998</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3.1587970202207099E-90</c:v>
                </c:pt>
                <c:pt idx="52">
                  <c:v>-7.6095995077638102E-92</c:v>
                </c:pt>
                <c:pt idx="53">
                  <c:v>2.5772084718987499E-91</c:v>
                </c:pt>
                <c:pt idx="54">
                  <c:v>-3.3890049596921901E-90</c:v>
                </c:pt>
                <c:pt idx="55">
                  <c:v>2.13345848299653E-90</c:v>
                </c:pt>
                <c:pt idx="56">
                  <c:v>-6.9554335947654598E-90</c:v>
                </c:pt>
                <c:pt idx="57">
                  <c:v>2.0269762903372399E-90</c:v>
                </c:pt>
                <c:pt idx="58">
                  <c:v>-3.7736909962160599E-91</c:v>
                </c:pt>
                <c:pt idx="59">
                  <c:v>-2.2987804487173801E-92</c:v>
                </c:pt>
                <c:pt idx="60">
                  <c:v>4.26540888339565E-92</c:v>
                </c:pt>
                <c:pt idx="61">
                  <c:v>-2.0299985563644599E-92</c:v>
                </c:pt>
                <c:pt idx="62">
                  <c:v>-5.0478988410871797E-91</c:v>
                </c:pt>
                <c:pt idx="63">
                  <c:v>-3.9204224001914899E-91</c:v>
                </c:pt>
                <c:pt idx="64">
                  <c:v>3.1781130642850702E-91</c:v>
                </c:pt>
                <c:pt idx="65">
                  <c:v>7.2688607007477193E-92</c:v>
                </c:pt>
                <c:pt idx="66">
                  <c:v>-5.0777315975959005E-91</c:v>
                </c:pt>
                <c:pt idx="67">
                  <c:v>1.64133247932613E-91</c:v>
                </c:pt>
                <c:pt idx="68">
                  <c:v>5.57302543443208E-91</c:v>
                </c:pt>
                <c:pt idx="69">
                  <c:v>-4.7738132764346801E-91</c:v>
                </c:pt>
                <c:pt idx="70">
                  <c:v>-4.4484615157644798E-91</c:v>
                </c:pt>
                <c:pt idx="71">
                  <c:v>8.1529980211391196E-91</c:v>
                </c:pt>
                <c:pt idx="72">
                  <c:v>1.35453250774054E-91</c:v>
                </c:pt>
                <c:pt idx="73">
                  <c:v>-1.0775981341220201E-90</c:v>
                </c:pt>
                <c:pt idx="74">
                  <c:v>3.8196328257541902E-91</c:v>
                </c:pt>
                <c:pt idx="75">
                  <c:v>1.1023237306298099E-90</c:v>
                </c:pt>
                <c:pt idx="76">
                  <c:v>-1.0649352744129601E-90</c:v>
                </c:pt>
                <c:pt idx="77">
                  <c:v>7.6340374332139305E-91</c:v>
                </c:pt>
                <c:pt idx="78">
                  <c:v>-2.9847072544135099E-91</c:v>
                </c:pt>
                <c:pt idx="79">
                  <c:v>6.9066577422934205E-92</c:v>
                </c:pt>
                <c:pt idx="80">
                  <c:v>-6.5376229733498399E-93</c:v>
                </c:pt>
                <c:pt idx="81">
                  <c:v>-9.11483641406098E-97</c:v>
                </c:pt>
                <c:pt idx="82">
                  <c:v>2.8299893217711999E-97</c:v>
                </c:pt>
                <c:pt idx="83">
                  <c:v>-6.0216253995523796E-98</c:v>
                </c:pt>
                <c:pt idx="84">
                  <c:v>7.8872613367939005E-99</c:v>
                </c:pt>
                <c:pt idx="85">
                  <c:v>-4.6830733804260504E-100</c:v>
                </c:pt>
                <c:pt idx="86">
                  <c:v>-2.79428499327816E-103</c:v>
                </c:pt>
                <c:pt idx="87">
                  <c:v>5.7605752130665606E-104</c:v>
                </c:pt>
                <c:pt idx="88">
                  <c:v>-8.4206697975973894E-105</c:v>
                </c:pt>
                <c:pt idx="89">
                  <c:v>7.7581464563855196E-106</c:v>
                </c:pt>
                <c:pt idx="90">
                  <c:v>-3.3405365841085801E-107</c:v>
                </c:pt>
                <c:pt idx="91">
                  <c:v>-5.7442185945889996E-110</c:v>
                </c:pt>
                <c:pt idx="92">
                  <c:v>8.9030356259024007E-111</c:v>
                </c:pt>
                <c:pt idx="93">
                  <c:v>-9.9259735855199394E-112</c:v>
                </c:pt>
                <c:pt idx="94">
                  <c:v>7.0606918074016998E-113</c:v>
                </c:pt>
                <c:pt idx="95">
                  <c:v>-2.3601295953056002E-114</c:v>
                </c:pt>
                <c:pt idx="96">
                  <c:v>-9.4405389237473695E-117</c:v>
                </c:pt>
                <c:pt idx="97">
                  <c:v>1.17364894003126E-117</c:v>
                </c:pt>
                <c:pt idx="98">
                  <c:v>-1.0578291653187601E-118</c:v>
                </c:pt>
                <c:pt idx="99">
                  <c:v>6.1164879945496802E-120</c:v>
                </c:pt>
              </c:numCache>
            </c:numRef>
          </c:yVal>
          <c:smooth val="0"/>
          <c:extLst>
            <c:ext xmlns:c16="http://schemas.microsoft.com/office/drawing/2014/chart" uri="{C3380CC4-5D6E-409C-BE32-E72D297353CC}">
              <c16:uniqueId val="{0000000D-D137-48DF-AE00-9067040BCA60}"/>
            </c:ext>
          </c:extLst>
        </c:ser>
        <c:ser>
          <c:idx val="23"/>
          <c:order val="14"/>
          <c:tx>
            <c:strRef>
              <c:f>dynamicR!$BO$19</c:f>
              <c:strCache>
                <c:ptCount val="1"/>
                <c:pt idx="0">
                  <c:v>w1CP</c:v>
                </c:pt>
              </c:strCache>
            </c:strRef>
          </c:tx>
          <c:spPr>
            <a:ln w="19050" cap="rnd">
              <a:solidFill>
                <a:schemeClr val="accent6">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dynamicR!$BO$20:$BO$119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0.999999999999999</c:v>
                </c:pt>
                <c:pt idx="21">
                  <c:v>1</c:v>
                </c:pt>
                <c:pt idx="22">
                  <c:v>0.999999999999999</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2.6589360960286499E-91</c:v>
                </c:pt>
                <c:pt idx="52">
                  <c:v>-6.4054271575503602E-93</c:v>
                </c:pt>
                <c:pt idx="53">
                  <c:v>2.1693793228947401E-92</c:v>
                </c:pt>
                <c:pt idx="54">
                  <c:v>-2.8527150538449298E-91</c:v>
                </c:pt>
                <c:pt idx="55">
                  <c:v>1.7958511508457801E-91</c:v>
                </c:pt>
                <c:pt idx="56">
                  <c:v>-5.8547767953639596E-91</c:v>
                </c:pt>
                <c:pt idx="57">
                  <c:v>1.7062188734556599E-91</c:v>
                </c:pt>
                <c:pt idx="58">
                  <c:v>-3.1765245904214503E-92</c:v>
                </c:pt>
                <c:pt idx="59">
                  <c:v>-1.9350182892938901E-93</c:v>
                </c:pt>
                <c:pt idx="60">
                  <c:v>3.59043846252452E-93</c:v>
                </c:pt>
                <c:pt idx="61">
                  <c:v>-1.7087527473746801E-93</c:v>
                </c:pt>
                <c:pt idx="62">
                  <c:v>-4.2490982125552298E-92</c:v>
                </c:pt>
                <c:pt idx="63">
                  <c:v>-3.3000380529155003E-92</c:v>
                </c:pt>
                <c:pt idx="64">
                  <c:v>2.6751960906244499E-92</c:v>
                </c:pt>
                <c:pt idx="65">
                  <c:v>6.1186037318394302E-93</c:v>
                </c:pt>
                <c:pt idx="66">
                  <c:v>-4.2742108574761101E-92</c:v>
                </c:pt>
                <c:pt idx="67">
                  <c:v>1.3816016929703E-92</c:v>
                </c:pt>
                <c:pt idx="68">
                  <c:v>4.69112712611201E-92</c:v>
                </c:pt>
                <c:pt idx="69">
                  <c:v>-4.0183858696114097E-92</c:v>
                </c:pt>
                <c:pt idx="70">
                  <c:v>-3.7445186417604001E-92</c:v>
                </c:pt>
                <c:pt idx="71">
                  <c:v>6.8628343899767204E-92</c:v>
                </c:pt>
                <c:pt idx="72">
                  <c:v>1.14018563217486E-92</c:v>
                </c:pt>
                <c:pt idx="73">
                  <c:v>-9.0707458478600895E-92</c:v>
                </c:pt>
                <c:pt idx="74">
                  <c:v>3.2151983307239301E-92</c:v>
                </c:pt>
                <c:pt idx="75">
                  <c:v>9.2788749018737895E-92</c:v>
                </c:pt>
                <c:pt idx="76">
                  <c:v>-8.9641550619283696E-92</c:v>
                </c:pt>
                <c:pt idx="77">
                  <c:v>6.4259950022907698E-92</c:v>
                </c:pt>
                <c:pt idx="78">
                  <c:v>-2.5123935597688299E-92</c:v>
                </c:pt>
                <c:pt idx="79">
                  <c:v>5.8137087972824199E-93</c:v>
                </c:pt>
                <c:pt idx="80">
                  <c:v>-5.5030179301197505E-94</c:v>
                </c:pt>
                <c:pt idx="81">
                  <c:v>-7.9505855983995095E-98</c:v>
                </c:pt>
                <c:pt idx="82">
                  <c:v>2.4685087302848801E-98</c:v>
                </c:pt>
                <c:pt idx="83">
                  <c:v>-5.25245752545514E-99</c:v>
                </c:pt>
                <c:pt idx="84">
                  <c:v>6.8797233442475705E-100</c:v>
                </c:pt>
                <c:pt idx="85">
                  <c:v>-4.0845789277326001E-101</c:v>
                </c:pt>
                <c:pt idx="86">
                  <c:v>-2.5253896248472401E-104</c:v>
                </c:pt>
                <c:pt idx="87">
                  <c:v>5.2062513964206202E-105</c:v>
                </c:pt>
                <c:pt idx="88">
                  <c:v>-7.61030106277917E-106</c:v>
                </c:pt>
                <c:pt idx="89">
                  <c:v>7.0112796386555997E-107</c:v>
                </c:pt>
                <c:pt idx="90">
                  <c:v>-3.0181799923571702E-108</c:v>
                </c:pt>
                <c:pt idx="91">
                  <c:v>-5.3783063698959901E-111</c:v>
                </c:pt>
                <c:pt idx="92">
                  <c:v>8.3358475804736303E-112</c:v>
                </c:pt>
                <c:pt idx="93">
                  <c:v>-9.2933666741770801E-113</c:v>
                </c:pt>
                <c:pt idx="94">
                  <c:v>6.6099991732449995E-114</c:v>
                </c:pt>
                <c:pt idx="95">
                  <c:v>-2.20783781904843E-115</c:v>
                </c:pt>
                <c:pt idx="96">
                  <c:v>-9.1560768176590899E-118</c:v>
                </c:pt>
                <c:pt idx="97">
                  <c:v>1.1382605880488601E-118</c:v>
                </c:pt>
                <c:pt idx="98">
                  <c:v>-1.02586742581593E-119</c:v>
                </c:pt>
                <c:pt idx="99">
                  <c:v>5.9301831200665304E-121</c:v>
                </c:pt>
              </c:numCache>
            </c:numRef>
          </c:yVal>
          <c:smooth val="0"/>
          <c:extLst>
            <c:ext xmlns:c16="http://schemas.microsoft.com/office/drawing/2014/chart" uri="{C3380CC4-5D6E-409C-BE32-E72D297353CC}">
              <c16:uniqueId val="{0000000E-D137-48DF-AE00-9067040BCA60}"/>
            </c:ext>
          </c:extLst>
        </c:ser>
        <c:ser>
          <c:idx val="24"/>
          <c:order val="15"/>
          <c:tx>
            <c:strRef>
              <c:f>dynamicR!$BP$19</c:f>
              <c:strCache>
                <c:ptCount val="1"/>
                <c:pt idx="0">
                  <c:v>w2CD</c:v>
                </c:pt>
              </c:strCache>
            </c:strRef>
          </c:tx>
          <c:spPr>
            <a:ln w="19050" cap="rnd">
              <a:solidFill>
                <a:schemeClr val="accent1">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dynamicR!$BP$20:$BP$119</c:f>
              <c:numCache>
                <c:formatCode>0.00</c:formatCode>
                <c:ptCount val="100"/>
                <c:pt idx="0">
                  <c:v>0</c:v>
                </c:pt>
                <c:pt idx="1">
                  <c:v>2.0131817151505998E-2</c:v>
                </c:pt>
                <c:pt idx="2">
                  <c:v>3.9719510018295101E-2</c:v>
                </c:pt>
                <c:pt idx="3">
                  <c:v>5.8915641610433202E-2</c:v>
                </c:pt>
                <c:pt idx="4">
                  <c:v>7.7728044879925698E-2</c:v>
                </c:pt>
                <c:pt idx="5">
                  <c:v>9.6164387353444999E-2</c:v>
                </c:pt>
                <c:pt idx="6">
                  <c:v>0.114232183572418</c:v>
                </c:pt>
                <c:pt idx="7">
                  <c:v>0.13193880065571201</c:v>
                </c:pt>
                <c:pt idx="8">
                  <c:v>0.14929145962183801</c:v>
                </c:pt>
                <c:pt idx="9">
                  <c:v>0.166297236791452</c:v>
                </c:pt>
                <c:pt idx="10">
                  <c:v>0.182963066434323</c:v>
                </c:pt>
                <c:pt idx="11">
                  <c:v>0.199295743975798</c:v>
                </c:pt>
                <c:pt idx="12">
                  <c:v>0.21530192899429301</c:v>
                </c:pt>
                <c:pt idx="13">
                  <c:v>0.23098814782802299</c:v>
                </c:pt>
                <c:pt idx="14">
                  <c:v>0.24636079670383501</c:v>
                </c:pt>
                <c:pt idx="15">
                  <c:v>0.261426144289788</c:v>
                </c:pt>
                <c:pt idx="16">
                  <c:v>0.276190333789541</c:v>
                </c:pt>
                <c:pt idx="17">
                  <c:v>0.29065938529920099</c:v>
                </c:pt>
                <c:pt idx="18">
                  <c:v>0.30483919850819502</c:v>
                </c:pt>
                <c:pt idx="19">
                  <c:v>0.31873555529985498</c:v>
                </c:pt>
                <c:pt idx="20">
                  <c:v>0.33235412206789999</c:v>
                </c:pt>
                <c:pt idx="21">
                  <c:v>0.34570045190981302</c:v>
                </c:pt>
                <c:pt idx="22">
                  <c:v>0.35877998686020701</c:v>
                </c:pt>
                <c:pt idx="23">
                  <c:v>0.371598060158078</c:v>
                </c:pt>
                <c:pt idx="24">
                  <c:v>0.38415989845471399</c:v>
                </c:pt>
                <c:pt idx="25">
                  <c:v>0.39647062393433502</c:v>
                </c:pt>
                <c:pt idx="26">
                  <c:v>0.40853525638124999</c:v>
                </c:pt>
                <c:pt idx="27">
                  <c:v>0.42035871522440499</c:v>
                </c:pt>
                <c:pt idx="28">
                  <c:v>0.43194582155227301</c:v>
                </c:pt>
                <c:pt idx="29">
                  <c:v>0.44330130008211499</c:v>
                </c:pt>
                <c:pt idx="30">
                  <c:v>0.45442978108703203</c:v>
                </c:pt>
                <c:pt idx="31">
                  <c:v>0.46533580227912402</c:v>
                </c:pt>
                <c:pt idx="32">
                  <c:v>0.47602381065847199</c:v>
                </c:pt>
                <c:pt idx="33">
                  <c:v>0.48649816432861098</c:v>
                </c:pt>
                <c:pt idx="34">
                  <c:v>0.49676313427669899</c:v>
                </c:pt>
                <c:pt idx="35">
                  <c:v>0.50682290611173797</c:v>
                </c:pt>
                <c:pt idx="36">
                  <c:v>0.51668158177073997</c:v>
                </c:pt>
                <c:pt idx="37">
                  <c:v>0.52634318119282497</c:v>
                </c:pt>
                <c:pt idx="38">
                  <c:v>0.53581164395785696</c:v>
                </c:pt>
                <c:pt idx="39">
                  <c:v>0.54509083089369303</c:v>
                </c:pt>
                <c:pt idx="40">
                  <c:v>0.554184525649422</c:v>
                </c:pt>
                <c:pt idx="41">
                  <c:v>0.56309643623873595</c:v>
                </c:pt>
                <c:pt idx="42">
                  <c:v>0.57183019655047995</c:v>
                </c:pt>
                <c:pt idx="43">
                  <c:v>0.58038936783274298</c:v>
                </c:pt>
                <c:pt idx="44">
                  <c:v>0.58877744014394495</c:v>
                </c:pt>
                <c:pt idx="45">
                  <c:v>0.59699783377564997</c:v>
                </c:pt>
                <c:pt idx="46">
                  <c:v>0.60505390064610698</c:v>
                </c:pt>
                <c:pt idx="47">
                  <c:v>0.61294892566844095</c:v>
                </c:pt>
                <c:pt idx="48">
                  <c:v>0.62068612809134405</c:v>
                </c:pt>
                <c:pt idx="49">
                  <c:v>0.62826866280952598</c:v>
                </c:pt>
                <c:pt idx="50">
                  <c:v>0.62826866280952598</c:v>
                </c:pt>
                <c:pt idx="51">
                  <c:v>0.61556747443038495</c:v>
                </c:pt>
                <c:pt idx="52">
                  <c:v>0.60326167531420005</c:v>
                </c:pt>
                <c:pt idx="53">
                  <c:v>0.59120229130865698</c:v>
                </c:pt>
                <c:pt idx="54">
                  <c:v>0.57938423583188403</c:v>
                </c:pt>
                <c:pt idx="55">
                  <c:v>0.56780237353542395</c:v>
                </c:pt>
                <c:pt idx="56">
                  <c:v>0.55645197464779095</c:v>
                </c:pt>
                <c:pt idx="57">
                  <c:v>0.54532844998005903</c:v>
                </c:pt>
                <c:pt idx="58">
                  <c:v>0.53442728114301397</c:v>
                </c:pt>
                <c:pt idx="59">
                  <c:v>0.52374402900179495</c:v>
                </c:pt>
                <c:pt idx="60">
                  <c:v>0.513274330055699</c:v>
                </c:pt>
                <c:pt idx="61">
                  <c:v>0.50301390742125796</c:v>
                </c:pt>
                <c:pt idx="62">
                  <c:v>0.49295858524111003</c:v>
                </c:pt>
                <c:pt idx="63">
                  <c:v>0.483104272701043</c:v>
                </c:pt>
                <c:pt idx="64">
                  <c:v>0.47344695317443303</c:v>
                </c:pt>
                <c:pt idx="65">
                  <c:v>0.46398268633666501</c:v>
                </c:pt>
                <c:pt idx="66">
                  <c:v>0.45470761111901697</c:v>
                </c:pt>
                <c:pt idx="67">
                  <c:v>0.44561794524346598</c:v>
                </c:pt>
                <c:pt idx="68">
                  <c:v>0.43670998277441198</c:v>
                </c:pt>
                <c:pt idx="69">
                  <c:v>0.42798009175385499</c:v>
                </c:pt>
                <c:pt idx="70">
                  <c:v>0.41942471254292002</c:v>
                </c:pt>
                <c:pt idx="71">
                  <c:v>0.41104035654334198</c:v>
                </c:pt>
                <c:pt idx="72">
                  <c:v>0.40282360492219099</c:v>
                </c:pt>
                <c:pt idx="73">
                  <c:v>0.39477110724183101</c:v>
                </c:pt>
                <c:pt idx="74">
                  <c:v>0.386879580060982</c:v>
                </c:pt>
                <c:pt idx="75">
                  <c:v>0.37914580562926897</c:v>
                </c:pt>
                <c:pt idx="76">
                  <c:v>0.37156663056737699</c:v>
                </c:pt>
                <c:pt idx="77">
                  <c:v>0.36413896436196103</c:v>
                </c:pt>
                <c:pt idx="78">
                  <c:v>0.35685977816771602</c:v>
                </c:pt>
                <c:pt idx="79">
                  <c:v>0.34972610377781799</c:v>
                </c:pt>
                <c:pt idx="80">
                  <c:v>0.34273503244470399</c:v>
                </c:pt>
                <c:pt idx="81">
                  <c:v>0.33588371357935098</c:v>
                </c:pt>
                <c:pt idx="82">
                  <c:v>0.32916935351555399</c:v>
                </c:pt>
                <c:pt idx="83">
                  <c:v>0.32258921440007998</c:v>
                </c:pt>
                <c:pt idx="84">
                  <c:v>0.31614061312495101</c:v>
                </c:pt>
                <c:pt idx="85">
                  <c:v>0.309820920241133</c:v>
                </c:pt>
                <c:pt idx="86">
                  <c:v>0.30362755886323201</c:v>
                </c:pt>
                <c:pt idx="87">
                  <c:v>0.29755800360733498</c:v>
                </c:pt>
                <c:pt idx="88">
                  <c:v>0.291609779567228</c:v>
                </c:pt>
                <c:pt idx="89">
                  <c:v>0.28578046131364199</c:v>
                </c:pt>
                <c:pt idx="90">
                  <c:v>0.28006767190590598</c:v>
                </c:pt>
                <c:pt idx="91">
                  <c:v>0.27446908191876301</c:v>
                </c:pt>
                <c:pt idx="92">
                  <c:v>0.26898240849059402</c:v>
                </c:pt>
                <c:pt idx="93">
                  <c:v>0.26360541439324697</c:v>
                </c:pt>
                <c:pt idx="94">
                  <c:v>0.25833590712221699</c:v>
                </c:pt>
                <c:pt idx="95">
                  <c:v>0.25317173800196702</c:v>
                </c:pt>
                <c:pt idx="96">
                  <c:v>0.24811080130905999</c:v>
                </c:pt>
                <c:pt idx="97">
                  <c:v>0.24315103341331601</c:v>
                </c:pt>
                <c:pt idx="98">
                  <c:v>0.23829041193714501</c:v>
                </c:pt>
                <c:pt idx="99">
                  <c:v>0.23352695493033601</c:v>
                </c:pt>
              </c:numCache>
            </c:numRef>
          </c:yVal>
          <c:smooth val="0"/>
          <c:extLst>
            <c:ext xmlns:c16="http://schemas.microsoft.com/office/drawing/2014/chart" uri="{C3380CC4-5D6E-409C-BE32-E72D297353CC}">
              <c16:uniqueId val="{0000000F-D137-48DF-AE00-9067040BCA60}"/>
            </c:ext>
          </c:extLst>
        </c:ser>
        <c:ser>
          <c:idx val="25"/>
          <c:order val="16"/>
          <c:tx>
            <c:strRef>
              <c:f>dynamicR!$BQ$19</c:f>
              <c:strCache>
                <c:ptCount val="1"/>
                <c:pt idx="0">
                  <c:v>w2CS</c:v>
                </c:pt>
              </c:strCache>
            </c:strRef>
          </c:tx>
          <c:spPr>
            <a:ln w="19050" cap="rnd">
              <a:solidFill>
                <a:schemeClr val="accent2">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dynamicR!$BQ$20:$BQ$119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0.999999999999999</c:v>
                </c:pt>
                <c:pt idx="36">
                  <c:v>1</c:v>
                </c:pt>
                <c:pt idx="37">
                  <c:v>1</c:v>
                </c:pt>
                <c:pt idx="38">
                  <c:v>1</c:v>
                </c:pt>
                <c:pt idx="39">
                  <c:v>1</c:v>
                </c:pt>
                <c:pt idx="40">
                  <c:v>1</c:v>
                </c:pt>
                <c:pt idx="41">
                  <c:v>1</c:v>
                </c:pt>
                <c:pt idx="42">
                  <c:v>1</c:v>
                </c:pt>
                <c:pt idx="43">
                  <c:v>1</c:v>
                </c:pt>
                <c:pt idx="44">
                  <c:v>1</c:v>
                </c:pt>
                <c:pt idx="45">
                  <c:v>0.999999999999999</c:v>
                </c:pt>
                <c:pt idx="46">
                  <c:v>1</c:v>
                </c:pt>
                <c:pt idx="47">
                  <c:v>1</c:v>
                </c:pt>
                <c:pt idx="48">
                  <c:v>1</c:v>
                </c:pt>
                <c:pt idx="49">
                  <c:v>1</c:v>
                </c:pt>
                <c:pt idx="50">
                  <c:v>1</c:v>
                </c:pt>
                <c:pt idx="51">
                  <c:v>-3.66121101411117E-214</c:v>
                </c:pt>
                <c:pt idx="52">
                  <c:v>8.8198621325174397E-216</c:v>
                </c:pt>
                <c:pt idx="53">
                  <c:v>-2.9871623239470201E-215</c:v>
                </c:pt>
                <c:pt idx="54">
                  <c:v>3.9280319269527097E-214</c:v>
                </c:pt>
                <c:pt idx="55">
                  <c:v>-2.4727959036165501E-214</c:v>
                </c:pt>
                <c:pt idx="56">
                  <c:v>8.0617342499384403E-214</c:v>
                </c:pt>
                <c:pt idx="57">
                  <c:v>-2.34938702593799E-214</c:v>
                </c:pt>
                <c:pt idx="58">
                  <c:v>4.3739839964750401E-215</c:v>
                </c:pt>
                <c:pt idx="59">
                  <c:v>2.66417912624478E-216</c:v>
                </c:pt>
                <c:pt idx="60">
                  <c:v>-4.9436393866859797E-216</c:v>
                </c:pt>
                <c:pt idx="61">
                  <c:v>2.35326027845513E-216</c:v>
                </c:pt>
                <c:pt idx="62">
                  <c:v>5.8507982805177899E-215</c:v>
                </c:pt>
                <c:pt idx="63">
                  <c:v>4.54400097796323E-215</c:v>
                </c:pt>
                <c:pt idx="64">
                  <c:v>-3.6835774980613898E-215</c:v>
                </c:pt>
                <c:pt idx="65">
                  <c:v>-8.42509253338612E-216</c:v>
                </c:pt>
                <c:pt idx="66">
                  <c:v>5.8853487744449797E-215</c:v>
                </c:pt>
                <c:pt idx="67">
                  <c:v>-1.9023771320192101E-215</c:v>
                </c:pt>
                <c:pt idx="68">
                  <c:v>-6.4594294416314297E-215</c:v>
                </c:pt>
                <c:pt idx="69">
                  <c:v>5.5330893895696701E-215</c:v>
                </c:pt>
                <c:pt idx="70">
                  <c:v>5.1560063538859704E-215</c:v>
                </c:pt>
                <c:pt idx="71">
                  <c:v>-9.44975046458737E-215</c:v>
                </c:pt>
                <c:pt idx="72">
                  <c:v>-1.5699787227399E-215</c:v>
                </c:pt>
                <c:pt idx="73">
                  <c:v>1.24899358004135E-214</c:v>
                </c:pt>
                <c:pt idx="74">
                  <c:v>-4.4271623586011301E-215</c:v>
                </c:pt>
                <c:pt idx="75">
                  <c:v>-1.2776522744087201E-214</c:v>
                </c:pt>
                <c:pt idx="76">
                  <c:v>1.23431817681659E-214</c:v>
                </c:pt>
                <c:pt idx="77">
                  <c:v>-8.8482932665362098E-215</c:v>
                </c:pt>
                <c:pt idx="78">
                  <c:v>3.45948474969465E-215</c:v>
                </c:pt>
                <c:pt idx="79">
                  <c:v>-8.0055890031842694E-216</c:v>
                </c:pt>
                <c:pt idx="80">
                  <c:v>7.5798188071744807E-217</c:v>
                </c:pt>
                <c:pt idx="81">
                  <c:v>4.0466733614231202E-222</c:v>
                </c:pt>
                <c:pt idx="82">
                  <c:v>-1.25644634810912E-222</c:v>
                </c:pt>
                <c:pt idx="83">
                  <c:v>2.6736289838620402E-223</c:v>
                </c:pt>
                <c:pt idx="84">
                  <c:v>-3.5028551058988299E-224</c:v>
                </c:pt>
                <c:pt idx="85">
                  <c:v>2.0834491499879001E-225</c:v>
                </c:pt>
                <c:pt idx="86">
                  <c:v>4.74182174033969E-230</c:v>
                </c:pt>
                <c:pt idx="87">
                  <c:v>-9.7952315125668303E-231</c:v>
                </c:pt>
                <c:pt idx="88">
                  <c:v>1.4322036967843199E-231</c:v>
                </c:pt>
                <c:pt idx="89">
                  <c:v>-1.3208100535878399E-232</c:v>
                </c:pt>
                <c:pt idx="90">
                  <c:v>5.7257882902458002E-234</c:v>
                </c:pt>
                <c:pt idx="91">
                  <c:v>3.7232310987848899E-238</c:v>
                </c:pt>
                <c:pt idx="92">
                  <c:v>-5.7976500456941501E-239</c:v>
                </c:pt>
                <c:pt idx="93">
                  <c:v>6.4684588343014796E-240</c:v>
                </c:pt>
                <c:pt idx="94">
                  <c:v>-4.61424197313664E-241</c:v>
                </c:pt>
                <c:pt idx="95">
                  <c:v>1.57299525621854E-242</c:v>
                </c:pt>
                <c:pt idx="96">
                  <c:v>2.3446803606007E-246</c:v>
                </c:pt>
                <c:pt idx="97">
                  <c:v>-2.9272200696940603E-247</c:v>
                </c:pt>
                <c:pt idx="98">
                  <c:v>2.6428964453129601E-248</c:v>
                </c:pt>
                <c:pt idx="99">
                  <c:v>-1.5385168159887301E-249</c:v>
                </c:pt>
              </c:numCache>
            </c:numRef>
          </c:yVal>
          <c:smooth val="0"/>
          <c:extLst>
            <c:ext xmlns:c16="http://schemas.microsoft.com/office/drawing/2014/chart" uri="{C3380CC4-5D6E-409C-BE32-E72D297353CC}">
              <c16:uniqueId val="{00000010-D137-48DF-AE00-9067040BCA60}"/>
            </c:ext>
          </c:extLst>
        </c:ser>
        <c:ser>
          <c:idx val="26"/>
          <c:order val="17"/>
          <c:tx>
            <c:strRef>
              <c:f>dynamicR!$BR$19</c:f>
              <c:strCache>
                <c:ptCount val="1"/>
                <c:pt idx="0">
                  <c:v>w2CA</c:v>
                </c:pt>
              </c:strCache>
            </c:strRef>
          </c:tx>
          <c:spPr>
            <a:ln w="19050" cap="rnd">
              <a:solidFill>
                <a:schemeClr val="accent3">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dynamicR!$BR$20:$BR$119</c:f>
              <c:numCache>
                <c:formatCode>0.00</c:formatCode>
                <c:ptCount val="100"/>
                <c:pt idx="0">
                  <c:v>0</c:v>
                </c:pt>
                <c:pt idx="1">
                  <c:v>1</c:v>
                </c:pt>
                <c:pt idx="2">
                  <c:v>0.999999999999999</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1.22544429380479E-29</c:v>
                </c:pt>
                <c:pt idx="52">
                  <c:v>-2.6472948967368501E-33</c:v>
                </c:pt>
                <c:pt idx="53">
                  <c:v>-6.7213999084660002E-31</c:v>
                </c:pt>
                <c:pt idx="54">
                  <c:v>-5.05735872128167E-29</c:v>
                </c:pt>
                <c:pt idx="55">
                  <c:v>2.76319490663174E-29</c:v>
                </c:pt>
                <c:pt idx="56">
                  <c:v>-9.49432326217705E-29</c:v>
                </c:pt>
                <c:pt idx="57">
                  <c:v>2.76756214109294E-29</c:v>
                </c:pt>
                <c:pt idx="58">
                  <c:v>-5.1851609756965803E-30</c:v>
                </c:pt>
                <c:pt idx="59">
                  <c:v>-3.15942924964247E-31</c:v>
                </c:pt>
                <c:pt idx="60">
                  <c:v>5.86165130583688E-31</c:v>
                </c:pt>
                <c:pt idx="61">
                  <c:v>-2.7882337091859102E-31</c:v>
                </c:pt>
                <c:pt idx="62">
                  <c:v>-6.9362198249215295E-30</c:v>
                </c:pt>
                <c:pt idx="63">
                  <c:v>-5.3869422716710302E-30</c:v>
                </c:pt>
                <c:pt idx="64">
                  <c:v>4.3670867527687597E-30</c:v>
                </c:pt>
                <c:pt idx="65">
                  <c:v>9.9877745111048299E-31</c:v>
                </c:pt>
                <c:pt idx="66">
                  <c:v>-6.9772952886420498E-30</c:v>
                </c:pt>
                <c:pt idx="67">
                  <c:v>2.255381671217E-30</c:v>
                </c:pt>
                <c:pt idx="68">
                  <c:v>7.6578468412420101E-30</c:v>
                </c:pt>
                <c:pt idx="69">
                  <c:v>-6.5596895079474701E-30</c:v>
                </c:pt>
                <c:pt idx="70">
                  <c:v>-6.1125763664599202E-30</c:v>
                </c:pt>
                <c:pt idx="71">
                  <c:v>1.12029730359155E-29</c:v>
                </c:pt>
                <c:pt idx="72">
                  <c:v>1.8612392601185101E-30</c:v>
                </c:pt>
                <c:pt idx="73">
                  <c:v>-1.48071624109884E-29</c:v>
                </c:pt>
                <c:pt idx="74">
                  <c:v>5.2485016527591599E-30</c:v>
                </c:pt>
                <c:pt idx="75">
                  <c:v>1.5146902658427201E-29</c:v>
                </c:pt>
                <c:pt idx="76">
                  <c:v>-1.4633114359686201E-29</c:v>
                </c:pt>
                <c:pt idx="77">
                  <c:v>1.04897334034632E-29</c:v>
                </c:pt>
                <c:pt idx="78">
                  <c:v>-4.1010998883793802E-30</c:v>
                </c:pt>
                <c:pt idx="79">
                  <c:v>9.4891203548761698E-31</c:v>
                </c:pt>
                <c:pt idx="80">
                  <c:v>-8.9760224941631602E-32</c:v>
                </c:pt>
                <c:pt idx="81">
                  <c:v>-4.3661902444132198E-35</c:v>
                </c:pt>
                <c:pt idx="82">
                  <c:v>1.3555862132122701E-35</c:v>
                </c:pt>
                <c:pt idx="83">
                  <c:v>-2.8841864533205E-36</c:v>
                </c:pt>
                <c:pt idx="84">
                  <c:v>3.7766779867145298E-37</c:v>
                </c:pt>
                <c:pt idx="85">
                  <c:v>-2.2378771659311E-38</c:v>
                </c:pt>
                <c:pt idx="86">
                  <c:v>-2.8302134214734498E-41</c:v>
                </c:pt>
                <c:pt idx="87">
                  <c:v>5.8343008812629104E-42</c:v>
                </c:pt>
                <c:pt idx="88">
                  <c:v>-8.5269615897225996E-43</c:v>
                </c:pt>
                <c:pt idx="89">
                  <c:v>7.8507805302936104E-44</c:v>
                </c:pt>
                <c:pt idx="90">
                  <c:v>-3.3645744722636599E-45</c:v>
                </c:pt>
                <c:pt idx="91">
                  <c:v>-9.6764119694719703E-48</c:v>
                </c:pt>
                <c:pt idx="92">
                  <c:v>1.49958763319401E-48</c:v>
                </c:pt>
                <c:pt idx="93">
                  <c:v>-1.67133065494426E-49</c:v>
                </c:pt>
                <c:pt idx="94">
                  <c:v>1.1873275147853301E-50</c:v>
                </c:pt>
                <c:pt idx="95">
                  <c:v>-3.9323372411831802E-52</c:v>
                </c:pt>
                <c:pt idx="96">
                  <c:v>-2.29404324607528E-54</c:v>
                </c:pt>
                <c:pt idx="97">
                  <c:v>2.8514059372728299E-55</c:v>
                </c:pt>
                <c:pt idx="98">
                  <c:v>-2.56857074998405E-56</c:v>
                </c:pt>
                <c:pt idx="99">
                  <c:v>1.48187163874227E-57</c:v>
                </c:pt>
              </c:numCache>
            </c:numRef>
          </c:yVal>
          <c:smooth val="0"/>
          <c:extLst>
            <c:ext xmlns:c16="http://schemas.microsoft.com/office/drawing/2014/chart" uri="{C3380CC4-5D6E-409C-BE32-E72D297353CC}">
              <c16:uniqueId val="{00000011-D137-48DF-AE00-9067040BCA60}"/>
            </c:ext>
          </c:extLst>
        </c:ser>
        <c:ser>
          <c:idx val="27"/>
          <c:order val="18"/>
          <c:tx>
            <c:strRef>
              <c:f>dynamicR!$BS$19</c:f>
              <c:strCache>
                <c:ptCount val="1"/>
                <c:pt idx="0">
                  <c:v>w2CP</c:v>
                </c:pt>
              </c:strCache>
            </c:strRef>
          </c:tx>
          <c:spPr>
            <a:ln w="19050" cap="rnd">
              <a:solidFill>
                <a:schemeClr val="accent4">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dynamicR!$BS$20:$BS$119</c:f>
              <c:numCache>
                <c:formatCode>0.00</c:formatCode>
                <c:ptCount val="100"/>
                <c:pt idx="0">
                  <c:v>0</c:v>
                </c:pt>
                <c:pt idx="1">
                  <c:v>1.00000000000001</c:v>
                </c:pt>
                <c:pt idx="2">
                  <c:v>1.00000000000004</c:v>
                </c:pt>
                <c:pt idx="3">
                  <c:v>1.00000000000006</c:v>
                </c:pt>
                <c:pt idx="4">
                  <c:v>0.99999999999994904</c:v>
                </c:pt>
                <c:pt idx="5">
                  <c:v>0.99999999999997402</c:v>
                </c:pt>
                <c:pt idx="6">
                  <c:v>0.999999999999995</c:v>
                </c:pt>
                <c:pt idx="7">
                  <c:v>1.0000000000000799</c:v>
                </c:pt>
                <c:pt idx="8">
                  <c:v>0.99999999999996403</c:v>
                </c:pt>
                <c:pt idx="9">
                  <c:v>1.00000000000002</c:v>
                </c:pt>
                <c:pt idx="10">
                  <c:v>0.999999999999999</c:v>
                </c:pt>
                <c:pt idx="11">
                  <c:v>0.99999999999999001</c:v>
                </c:pt>
                <c:pt idx="12">
                  <c:v>1.00000000000002</c:v>
                </c:pt>
                <c:pt idx="13">
                  <c:v>0.999999999999994</c:v>
                </c:pt>
                <c:pt idx="14">
                  <c:v>0.99999999999996503</c:v>
                </c:pt>
                <c:pt idx="15">
                  <c:v>1</c:v>
                </c:pt>
                <c:pt idx="16">
                  <c:v>1.00000000000002</c:v>
                </c:pt>
                <c:pt idx="17">
                  <c:v>0.99999999999995803</c:v>
                </c:pt>
                <c:pt idx="18">
                  <c:v>1.00000000000001</c:v>
                </c:pt>
                <c:pt idx="19">
                  <c:v>1.00000000000006</c:v>
                </c:pt>
                <c:pt idx="20">
                  <c:v>0.99999999999993205</c:v>
                </c:pt>
                <c:pt idx="21">
                  <c:v>0.99999999999995903</c:v>
                </c:pt>
                <c:pt idx="22">
                  <c:v>1.0000000000001401</c:v>
                </c:pt>
                <c:pt idx="23">
                  <c:v>0.99999999999992695</c:v>
                </c:pt>
                <c:pt idx="24">
                  <c:v>1.00000000000004</c:v>
                </c:pt>
                <c:pt idx="25">
                  <c:v>0.99999999999998801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-8.4783704421628805E-26</c:v>
                </c:pt>
                <c:pt idx="52">
                  <c:v>1.07352283323628E-29</c:v>
                </c:pt>
                <c:pt idx="53">
                  <c:v>4.6935940381706801E-27</c:v>
                </c:pt>
                <c:pt idx="54">
                  <c:v>3.50868612643329E-25</c:v>
                </c:pt>
                <c:pt idx="55">
                  <c:v>-1.9167616322210601E-25</c:v>
                </c:pt>
                <c:pt idx="56">
                  <c:v>6.5863600153071899E-25</c:v>
                </c:pt>
                <c:pt idx="57">
                  <c:v>-1.91990151914393E-25</c:v>
                </c:pt>
                <c:pt idx="58">
                  <c:v>3.5970521475165002E-26</c:v>
                </c:pt>
                <c:pt idx="59">
                  <c:v>2.1917606726972199E-27</c:v>
                </c:pt>
                <c:pt idx="60">
                  <c:v>-4.0663473437011598E-27</c:v>
                </c:pt>
                <c:pt idx="61">
                  <c:v>1.9342546788749899E-27</c:v>
                </c:pt>
                <c:pt idx="62">
                  <c:v>4.8117974690248597E-26</c:v>
                </c:pt>
                <c:pt idx="63">
                  <c:v>3.7370319619836999E-26</c:v>
                </c:pt>
                <c:pt idx="64">
                  <c:v>-3.0295373470021E-26</c:v>
                </c:pt>
                <c:pt idx="65">
                  <c:v>-6.9287233217457193E-27</c:v>
                </c:pt>
                <c:pt idx="66">
                  <c:v>4.8402923603783702E-26</c:v>
                </c:pt>
                <c:pt idx="67">
                  <c:v>-1.56460436713739E-26</c:v>
                </c:pt>
                <c:pt idx="68">
                  <c:v>-5.3124048822122599E-26</c:v>
                </c:pt>
                <c:pt idx="69">
                  <c:v>4.55059069436875E-26</c:v>
                </c:pt>
                <c:pt idx="70">
                  <c:v>4.2404191676618199E-26</c:v>
                </c:pt>
                <c:pt idx="71">
                  <c:v>-7.7717313867977203E-26</c:v>
                </c:pt>
                <c:pt idx="72">
                  <c:v>-1.29117971883874E-26</c:v>
                </c:pt>
                <c:pt idx="73">
                  <c:v>1.0272031225938501E-25</c:v>
                </c:pt>
                <c:pt idx="74">
                  <c:v>-3.6409928760366001E-26</c:v>
                </c:pt>
                <c:pt idx="75">
                  <c:v>-1.0507715979868901E-25</c:v>
                </c:pt>
                <c:pt idx="76">
                  <c:v>1.01512905327713E-25</c:v>
                </c:pt>
                <c:pt idx="77">
                  <c:v>-7.2769424697279699E-26</c:v>
                </c:pt>
                <c:pt idx="78">
                  <c:v>2.8450168142011001E-26</c:v>
                </c:pt>
                <c:pt idx="79">
                  <c:v>-6.58279670535162E-27</c:v>
                </c:pt>
                <c:pt idx="80">
                  <c:v>6.22685002189544E-28</c:v>
                </c:pt>
                <c:pt idx="81">
                  <c:v>3.0290237412444999E-31</c:v>
                </c:pt>
                <c:pt idx="82">
                  <c:v>-9.4043151039716501E-32</c:v>
                </c:pt>
                <c:pt idx="83">
                  <c:v>2.0008907699901001E-32</c:v>
                </c:pt>
                <c:pt idx="84">
                  <c:v>-2.6200530331392101E-33</c:v>
                </c:pt>
                <c:pt idx="85">
                  <c:v>1.55251902961696E-34</c:v>
                </c:pt>
                <c:pt idx="86">
                  <c:v>1.96277279186958E-37</c:v>
                </c:pt>
                <c:pt idx="87">
                  <c:v>-4.04612180010361E-38</c:v>
                </c:pt>
                <c:pt idx="88">
                  <c:v>5.9134987335802004E-39</c:v>
                </c:pt>
                <c:pt idx="89">
                  <c:v>-5.4445666726611202E-40</c:v>
                </c:pt>
                <c:pt idx="90">
                  <c:v>2.3333645501635099E-41</c:v>
                </c:pt>
                <c:pt idx="91">
                  <c:v>6.7080649045915697E-44</c:v>
                </c:pt>
                <c:pt idx="92">
                  <c:v>-1.03957135565704E-44</c:v>
                </c:pt>
                <c:pt idx="93">
                  <c:v>1.15863062136503E-45</c:v>
                </c:pt>
                <c:pt idx="94">
                  <c:v>-8.2310233404455696E-47</c:v>
                </c:pt>
                <c:pt idx="95">
                  <c:v>2.72608179073752E-48</c:v>
                </c:pt>
                <c:pt idx="96">
                  <c:v>1.5897316892997001E-50</c:v>
                </c:pt>
                <c:pt idx="97">
                  <c:v>-1.97597333457113E-51</c:v>
                </c:pt>
                <c:pt idx="98">
                  <c:v>1.7799749932873298E-52</c:v>
                </c:pt>
                <c:pt idx="99">
                  <c:v>-1.02691456000692E-53</c:v>
                </c:pt>
              </c:numCache>
            </c:numRef>
          </c:yVal>
          <c:smooth val="0"/>
          <c:extLst>
            <c:ext xmlns:c16="http://schemas.microsoft.com/office/drawing/2014/chart" uri="{C3380CC4-5D6E-409C-BE32-E72D297353CC}">
              <c16:uniqueId val="{00000012-D137-48DF-AE00-9067040BCA60}"/>
            </c:ext>
          </c:extLst>
        </c:ser>
        <c:ser>
          <c:idx val="28"/>
          <c:order val="19"/>
          <c:tx>
            <c:strRef>
              <c:f>dynamicR!$BT$19</c:f>
              <c:strCache>
                <c:ptCount val="1"/>
                <c:pt idx="0">
                  <c:v>sd0CD</c:v>
                </c:pt>
              </c:strCache>
            </c:strRef>
          </c:tx>
          <c:spPr>
            <a:ln w="19050" cap="rnd">
              <a:solidFill>
                <a:schemeClr val="accent5">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dynamicR!$BT$20:$BT$119</c:f>
              <c:numCache>
                <c:formatCode>0.00</c:formatCode>
                <c:ptCount val="100"/>
                <c:pt idx="0">
                  <c:v>0</c:v>
                </c:pt>
                <c:pt idx="1">
                  <c:v>0.999999999999995</c:v>
                </c:pt>
                <c:pt idx="2">
                  <c:v>0.99999999999999201</c:v>
                </c:pt>
                <c:pt idx="3">
                  <c:v>0.99999999999999001</c:v>
                </c:pt>
                <c:pt idx="4">
                  <c:v>0.999999999999996</c:v>
                </c:pt>
                <c:pt idx="5">
                  <c:v>0.999999999999997</c:v>
                </c:pt>
                <c:pt idx="6">
                  <c:v>0.999999999999997</c:v>
                </c:pt>
                <c:pt idx="7">
                  <c:v>0.999999999999997</c:v>
                </c:pt>
                <c:pt idx="8">
                  <c:v>0.999999999999998</c:v>
                </c:pt>
                <c:pt idx="9">
                  <c:v>0.999999999999997</c:v>
                </c:pt>
                <c:pt idx="10">
                  <c:v>0.999999999999997</c:v>
                </c:pt>
                <c:pt idx="11">
                  <c:v>0.999999999999997</c:v>
                </c:pt>
                <c:pt idx="12">
                  <c:v>0.999999999999997</c:v>
                </c:pt>
                <c:pt idx="13">
                  <c:v>0.999999999999997</c:v>
                </c:pt>
                <c:pt idx="14">
                  <c:v>0.999999999999997</c:v>
                </c:pt>
                <c:pt idx="15">
                  <c:v>0.999999999999998</c:v>
                </c:pt>
                <c:pt idx="16">
                  <c:v>0.999999999999998</c:v>
                </c:pt>
                <c:pt idx="17">
                  <c:v>0.999999999999997</c:v>
                </c:pt>
                <c:pt idx="18">
                  <c:v>0.999999999999998</c:v>
                </c:pt>
                <c:pt idx="19">
                  <c:v>0.999999999999998</c:v>
                </c:pt>
                <c:pt idx="20">
                  <c:v>0.999999999999997</c:v>
                </c:pt>
                <c:pt idx="21">
                  <c:v>0.999999999999998</c:v>
                </c:pt>
                <c:pt idx="22">
                  <c:v>1</c:v>
                </c:pt>
                <c:pt idx="23">
                  <c:v>0.999999999999997</c:v>
                </c:pt>
                <c:pt idx="24">
                  <c:v>0.999999999999999</c:v>
                </c:pt>
                <c:pt idx="25">
                  <c:v>0.999999999999997</c:v>
                </c:pt>
                <c:pt idx="26">
                  <c:v>0.999999999999998</c:v>
                </c:pt>
                <c:pt idx="27">
                  <c:v>0.999999999999998</c:v>
                </c:pt>
                <c:pt idx="28">
                  <c:v>0.999999999999999</c:v>
                </c:pt>
                <c:pt idx="29">
                  <c:v>0.999999999999998</c:v>
                </c:pt>
                <c:pt idx="30">
                  <c:v>0.999999999999999</c:v>
                </c:pt>
                <c:pt idx="31">
                  <c:v>0.999999999999998</c:v>
                </c:pt>
                <c:pt idx="32">
                  <c:v>0.999999999999998</c:v>
                </c:pt>
                <c:pt idx="33">
                  <c:v>0.999999999999998</c:v>
                </c:pt>
                <c:pt idx="34">
                  <c:v>0.999999999999999</c:v>
                </c:pt>
                <c:pt idx="35">
                  <c:v>0.999999999999998</c:v>
                </c:pt>
                <c:pt idx="36">
                  <c:v>0.999999999999999</c:v>
                </c:pt>
                <c:pt idx="37">
                  <c:v>0.999999999999998</c:v>
                </c:pt>
                <c:pt idx="38">
                  <c:v>0.999999999999999</c:v>
                </c:pt>
                <c:pt idx="39">
                  <c:v>0.999999999999999</c:v>
                </c:pt>
                <c:pt idx="40">
                  <c:v>0.999999999999998</c:v>
                </c:pt>
                <c:pt idx="41">
                  <c:v>0.999999999999999</c:v>
                </c:pt>
                <c:pt idx="42">
                  <c:v>0.999999999999999</c:v>
                </c:pt>
                <c:pt idx="43">
                  <c:v>0.999999999999999</c:v>
                </c:pt>
                <c:pt idx="44">
                  <c:v>0.999999999999998</c:v>
                </c:pt>
                <c:pt idx="45">
                  <c:v>0.999999999999999</c:v>
                </c:pt>
                <c:pt idx="46">
                  <c:v>0.999999999999999</c:v>
                </c:pt>
                <c:pt idx="47">
                  <c:v>0.999999999999999</c:v>
                </c:pt>
                <c:pt idx="48">
                  <c:v>0.999999999999999</c:v>
                </c:pt>
                <c:pt idx="49">
                  <c:v>0.999999999999999</c:v>
                </c:pt>
                <c:pt idx="50">
                  <c:v>0.999999999999999</c:v>
                </c:pt>
                <c:pt idx="51">
                  <c:v>2.4132977235701099E-15</c:v>
                </c:pt>
                <c:pt idx="52">
                  <c:v>2.36505352676236E-15</c:v>
                </c:pt>
                <c:pt idx="53">
                  <c:v>2.3177753891015801E-15</c:v>
                </c:pt>
                <c:pt idx="54">
                  <c:v>2.2714433635542801E-15</c:v>
                </c:pt>
                <c:pt idx="55">
                  <c:v>2.2260373266392E-15</c:v>
                </c:pt>
                <c:pt idx="56">
                  <c:v>2.1815387186232399E-15</c:v>
                </c:pt>
                <c:pt idx="57">
                  <c:v>2.1379295711025701E-15</c:v>
                </c:pt>
                <c:pt idx="58">
                  <c:v>2.09519214903706E-15</c:v>
                </c:pt>
                <c:pt idx="59">
                  <c:v>2.0533090590982401E-15</c:v>
                </c:pt>
                <c:pt idx="60">
                  <c:v>2.0122631922687501E-15</c:v>
                </c:pt>
                <c:pt idx="61">
                  <c:v>1.9720377813766999E-15</c:v>
                </c:pt>
                <c:pt idx="62">
                  <c:v>1.9326164549986902E-15</c:v>
                </c:pt>
                <c:pt idx="63">
                  <c:v>1.89398317605463E-15</c:v>
                </c:pt>
                <c:pt idx="64">
                  <c:v>1.8561221975842601E-15</c:v>
                </c:pt>
                <c:pt idx="65">
                  <c:v>1.8190180706602699E-15</c:v>
                </c:pt>
                <c:pt idx="66">
                  <c:v>1.7826556586225302E-15</c:v>
                </c:pt>
                <c:pt idx="67">
                  <c:v>1.74702013439282E-15</c:v>
                </c:pt>
                <c:pt idx="68">
                  <c:v>1.71209696796672E-15</c:v>
                </c:pt>
                <c:pt idx="69">
                  <c:v>1.67787191963948E-15</c:v>
                </c:pt>
                <c:pt idx="70">
                  <c:v>1.6443310358243601E-15</c:v>
                </c:pt>
                <c:pt idx="71">
                  <c:v>1.6114606397807001E-15</c:v>
                </c:pt>
                <c:pt idx="72">
                  <c:v>1.57924732591048E-15</c:v>
                </c:pt>
                <c:pt idx="73">
                  <c:v>1.54767796001355E-15</c:v>
                </c:pt>
                <c:pt idx="74">
                  <c:v>1.51673967182462E-15</c:v>
                </c:pt>
                <c:pt idx="75">
                  <c:v>1.48641984390522E-15</c:v>
                </c:pt>
                <c:pt idx="76">
                  <c:v>1.4567061120794601E-15</c:v>
                </c:pt>
                <c:pt idx="77">
                  <c:v>1.42758636506162E-15</c:v>
                </c:pt>
                <c:pt idx="78">
                  <c:v>1.39904872353693E-15</c:v>
                </c:pt>
                <c:pt idx="79">
                  <c:v>1.3710815538840299E-15</c:v>
                </c:pt>
                <c:pt idx="80">
                  <c:v>1.34367345119721E-15</c:v>
                </c:pt>
                <c:pt idx="81">
                  <c:v>1.3168132402694201E-15</c:v>
                </c:pt>
                <c:pt idx="82">
                  <c:v>1.2904899686299399E-15</c:v>
                </c:pt>
                <c:pt idx="83">
                  <c:v>1.2646929026818199E-15</c:v>
                </c:pt>
                <c:pt idx="84">
                  <c:v>1.2394115234514499E-15</c:v>
                </c:pt>
                <c:pt idx="85">
                  <c:v>1.2146355223314001E-15</c:v>
                </c:pt>
                <c:pt idx="86">
                  <c:v>1.1903547967871699E-15</c:v>
                </c:pt>
                <c:pt idx="87">
                  <c:v>1.16655944619294E-15</c:v>
                </c:pt>
                <c:pt idx="88">
                  <c:v>1.14323976781784E-15</c:v>
                </c:pt>
                <c:pt idx="89">
                  <c:v>1.1203862529026199E-15</c:v>
                </c:pt>
                <c:pt idx="90">
                  <c:v>1.0979895827848099E-15</c:v>
                </c:pt>
                <c:pt idx="91">
                  <c:v>1.0760406250835099E-15</c:v>
                </c:pt>
                <c:pt idx="92">
                  <c:v>1.0545304299679E-15</c:v>
                </c:pt>
                <c:pt idx="93">
                  <c:v>1.0334502265106199E-15</c:v>
                </c:pt>
                <c:pt idx="94">
                  <c:v>1.0127914191208699E-15</c:v>
                </c:pt>
                <c:pt idx="95">
                  <c:v>9.92545584036841E-16</c:v>
                </c:pt>
                <c:pt idx="96">
                  <c:v>9.7270446588803708E-16</c:v>
                </c:pt>
                <c:pt idx="97">
                  <c:v>9.5325997432820195E-16</c:v>
                </c:pt>
                <c:pt idx="98">
                  <c:v>9.3420418073954005E-16</c:v>
                </c:pt>
                <c:pt idx="99">
                  <c:v>9.1552931499753307E-16</c:v>
                </c:pt>
              </c:numCache>
            </c:numRef>
          </c:yVal>
          <c:smooth val="0"/>
          <c:extLst>
            <c:ext xmlns:c16="http://schemas.microsoft.com/office/drawing/2014/chart" uri="{C3380CC4-5D6E-409C-BE32-E72D297353CC}">
              <c16:uniqueId val="{00000013-D137-48DF-AE00-9067040BCA60}"/>
            </c:ext>
          </c:extLst>
        </c:ser>
        <c:ser>
          <c:idx val="29"/>
          <c:order val="20"/>
          <c:tx>
            <c:strRef>
              <c:f>dynamicR!$BU$19</c:f>
              <c:strCache>
                <c:ptCount val="1"/>
                <c:pt idx="0">
                  <c:v>sd0CS</c:v>
                </c:pt>
              </c:strCache>
            </c:strRef>
          </c:tx>
          <c:spPr>
            <a:ln w="19050" cap="rnd">
              <a:solidFill>
                <a:schemeClr val="accent6">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dynamicR!$BU$20:$BU$119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0.999999999999999</c:v>
                </c:pt>
                <c:pt idx="15">
                  <c:v>1</c:v>
                </c:pt>
                <c:pt idx="16">
                  <c:v>1</c:v>
                </c:pt>
                <c:pt idx="17">
                  <c:v>0.999999999999999</c:v>
                </c:pt>
                <c:pt idx="18">
                  <c:v>1</c:v>
                </c:pt>
                <c:pt idx="19">
                  <c:v>1</c:v>
                </c:pt>
                <c:pt idx="20">
                  <c:v>0.999999999999998</c:v>
                </c:pt>
                <c:pt idx="21">
                  <c:v>0.999999999999999</c:v>
                </c:pt>
                <c:pt idx="22">
                  <c:v>1</c:v>
                </c:pt>
                <c:pt idx="23">
                  <c:v>0.999999999999997</c:v>
                </c:pt>
                <c:pt idx="24">
                  <c:v>1</c:v>
                </c:pt>
                <c:pt idx="25">
                  <c:v>1</c:v>
                </c:pt>
                <c:pt idx="26">
                  <c:v>0.999999999999999</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-3.6893955962826799E-214</c:v>
                </c:pt>
                <c:pt idx="52">
                  <c:v>8.8877589665248097E-216</c:v>
                </c:pt>
                <c:pt idx="53">
                  <c:v>-3.0101580033356701E-215</c:v>
                </c:pt>
                <c:pt idx="54">
                  <c:v>3.95827056322637E-214</c:v>
                </c:pt>
                <c:pt idx="55">
                  <c:v>-2.4918318887874999E-214</c:v>
                </c:pt>
                <c:pt idx="56">
                  <c:v>8.1237948016720405E-214</c:v>
                </c:pt>
                <c:pt idx="57">
                  <c:v>-2.36747299247618E-214</c:v>
                </c:pt>
                <c:pt idx="58">
                  <c:v>4.4076556428590598E-215</c:v>
                </c:pt>
                <c:pt idx="59">
                  <c:v>2.6846884142333999E-216</c:v>
                </c:pt>
                <c:pt idx="60">
                  <c:v>-4.98169633371927E-216</c:v>
                </c:pt>
                <c:pt idx="61">
                  <c:v>2.3713760621459901E-216</c:v>
                </c:pt>
                <c:pt idx="62">
                  <c:v>5.8958386855408202E-215</c:v>
                </c:pt>
                <c:pt idx="63">
                  <c:v>4.5789814429629901E-215</c:v>
                </c:pt>
                <c:pt idx="64">
                  <c:v>-3.7119342819550701E-215</c:v>
                </c:pt>
                <c:pt idx="65">
                  <c:v>-8.4899502778963004E-216</c:v>
                </c:pt>
                <c:pt idx="66">
                  <c:v>5.9306551548384103E-215</c:v>
                </c:pt>
                <c:pt idx="67">
                  <c:v>-1.9170219432781999E-215</c:v>
                </c:pt>
                <c:pt idx="68">
                  <c:v>-6.50915518918233E-215</c:v>
                </c:pt>
                <c:pt idx="69">
                  <c:v>5.5756840194280101E-215</c:v>
                </c:pt>
                <c:pt idx="70">
                  <c:v>5.1956981366727905E-215</c:v>
                </c:pt>
                <c:pt idx="71">
                  <c:v>-9.522496193953599E-215</c:v>
                </c:pt>
                <c:pt idx="72">
                  <c:v>-1.5820646765122301E-215</c:v>
                </c:pt>
                <c:pt idx="73">
                  <c:v>1.2586085375256E-214</c:v>
                </c:pt>
                <c:pt idx="74">
                  <c:v>-4.4612433807409401E-215</c:v>
                </c:pt>
                <c:pt idx="75">
                  <c:v>-1.28748785122384E-214</c:v>
                </c:pt>
                <c:pt idx="76">
                  <c:v>1.24382016063924E-214</c:v>
                </c:pt>
                <c:pt idx="77">
                  <c:v>-8.9164088797190701E-215</c:v>
                </c:pt>
                <c:pt idx="78">
                  <c:v>3.4861164308477101E-215</c:v>
                </c:pt>
                <c:pt idx="79">
                  <c:v>-8.06721734069769E-216</c:v>
                </c:pt>
                <c:pt idx="80">
                  <c:v>7.6381694958689098E-217</c:v>
                </c:pt>
                <c:pt idx="81">
                  <c:v>4.0778252187547999E-222</c:v>
                </c:pt>
                <c:pt idx="82">
                  <c:v>-1.26611869631586E-222</c:v>
                </c:pt>
                <c:pt idx="83">
                  <c:v>2.6942113694219199E-223</c:v>
                </c:pt>
                <c:pt idx="84">
                  <c:v>-3.52982198089072E-224</c:v>
                </c:pt>
                <c:pt idx="85">
                  <c:v>2.0994900944568499E-225</c:v>
                </c:pt>
                <c:pt idx="86">
                  <c:v>4.7409619966891296E-230</c:v>
                </c:pt>
                <c:pt idx="87">
                  <c:v>-9.8706381284707896E-231</c:v>
                </c:pt>
                <c:pt idx="88">
                  <c:v>1.4432293740296799E-231</c:v>
                </c:pt>
                <c:pt idx="89">
                  <c:v>-1.33097816099246E-232</c:v>
                </c:pt>
                <c:pt idx="90">
                  <c:v>5.7698752574537704E-234</c:v>
                </c:pt>
                <c:pt idx="91">
                  <c:v>3.7467360784949102E-238</c:v>
                </c:pt>
                <c:pt idx="92">
                  <c:v>-5.8422812349500501E-239</c:v>
                </c:pt>
                <c:pt idx="93">
                  <c:v>6.5182567908645403E-240</c:v>
                </c:pt>
                <c:pt idx="94">
                  <c:v>-4.64976986162707E-241</c:v>
                </c:pt>
                <c:pt idx="95">
                  <c:v>1.5851048622237201E-242</c:v>
                </c:pt>
                <c:pt idx="96">
                  <c:v>2.36716760137497E-246</c:v>
                </c:pt>
                <c:pt idx="97">
                  <c:v>-2.9497565460466798E-247</c:v>
                </c:pt>
                <c:pt idx="98">
                  <c:v>2.6632429829021901E-248</c:v>
                </c:pt>
                <c:pt idx="99">
                  <c:v>-1.5503620606808999E-249</c:v>
                </c:pt>
              </c:numCache>
            </c:numRef>
          </c:yVal>
          <c:smooth val="0"/>
          <c:extLst>
            <c:ext xmlns:c16="http://schemas.microsoft.com/office/drawing/2014/chart" uri="{C3380CC4-5D6E-409C-BE32-E72D297353CC}">
              <c16:uniqueId val="{00000014-D137-48DF-AE00-9067040BCA60}"/>
            </c:ext>
          </c:extLst>
        </c:ser>
        <c:ser>
          <c:idx val="30"/>
          <c:order val="21"/>
          <c:tx>
            <c:strRef>
              <c:f>dynamicR!$BV$19</c:f>
              <c:strCache>
                <c:ptCount val="1"/>
                <c:pt idx="0">
                  <c:v>sd0CA</c:v>
                </c:pt>
              </c:strCache>
            </c:strRef>
          </c:tx>
          <c:spPr>
            <a:ln w="19050" cap="rnd">
              <a:solidFill>
                <a:schemeClr val="accent1">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dynamicR!$BV$20:$BV$119</c:f>
              <c:numCache>
                <c:formatCode>0.00</c:formatCode>
                <c:ptCount val="100"/>
                <c:pt idx="0">
                  <c:v>0</c:v>
                </c:pt>
                <c:pt idx="1">
                  <c:v>1</c:v>
                </c:pt>
                <c:pt idx="2">
                  <c:v>0.999999999999996</c:v>
                </c:pt>
                <c:pt idx="3">
                  <c:v>0.999999999999995</c:v>
                </c:pt>
                <c:pt idx="4">
                  <c:v>0.999999999999999</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0.999999999999998</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1.3875285077457499E-88</c:v>
                </c:pt>
                <c:pt idx="52">
                  <c:v>-3.3425826977561799E-90</c:v>
                </c:pt>
                <c:pt idx="53">
                  <c:v>1.1320599038714101E-89</c:v>
                </c:pt>
                <c:pt idx="54">
                  <c:v>-1.4886493515164601E-88</c:v>
                </c:pt>
                <c:pt idx="55">
                  <c:v>9.3713969767890998E-89</c:v>
                </c:pt>
                <c:pt idx="56">
                  <c:v>-3.0552330090110802E-88</c:v>
                </c:pt>
                <c:pt idx="57">
                  <c:v>8.9036629136131504E-89</c:v>
                </c:pt>
                <c:pt idx="58">
                  <c:v>-1.6576243137646699E-89</c:v>
                </c:pt>
                <c:pt idx="59">
                  <c:v>-1.00976356944923E-90</c:v>
                </c:pt>
                <c:pt idx="60">
                  <c:v>1.87362114997143E-90</c:v>
                </c:pt>
                <c:pt idx="61">
                  <c:v>-8.9168625505482705E-91</c:v>
                </c:pt>
                <c:pt idx="62">
                  <c:v>-2.2173321830524198E-89</c:v>
                </c:pt>
                <c:pt idx="63">
                  <c:v>-1.7220784075881199E-89</c:v>
                </c:pt>
                <c:pt idx="64">
                  <c:v>1.39601369295586E-89</c:v>
                </c:pt>
                <c:pt idx="65">
                  <c:v>3.1929068985937298E-90</c:v>
                </c:pt>
                <c:pt idx="66">
                  <c:v>-2.2304370339283501E-89</c:v>
                </c:pt>
                <c:pt idx="67">
                  <c:v>7.2096954633128304E-90</c:v>
                </c:pt>
                <c:pt idx="68">
                  <c:v>2.4479988838006E-89</c:v>
                </c:pt>
                <c:pt idx="69">
                  <c:v>-2.09693836561241E-89</c:v>
                </c:pt>
                <c:pt idx="70">
                  <c:v>-1.9540244903428799E-89</c:v>
                </c:pt>
                <c:pt idx="71">
                  <c:v>3.5812738724092299E-89</c:v>
                </c:pt>
                <c:pt idx="72">
                  <c:v>5.9498985067404896E-90</c:v>
                </c:pt>
                <c:pt idx="73">
                  <c:v>-4.7334414333651403E-89</c:v>
                </c:pt>
                <c:pt idx="74">
                  <c:v>1.67780610189818E-89</c:v>
                </c:pt>
                <c:pt idx="75">
                  <c:v>4.8420506339472699E-89</c:v>
                </c:pt>
                <c:pt idx="76">
                  <c:v>-4.6778184326338103E-89</c:v>
                </c:pt>
                <c:pt idx="77">
                  <c:v>3.3533150835329399E-89</c:v>
                </c:pt>
                <c:pt idx="78">
                  <c:v>-1.3110570111195901E-89</c:v>
                </c:pt>
                <c:pt idx="79">
                  <c:v>3.03379983393627E-90</c:v>
                </c:pt>
                <c:pt idx="80">
                  <c:v>-2.8716579707568603E-91</c:v>
                </c:pt>
                <c:pt idx="81">
                  <c:v>-4.2120862066930097E-95</c:v>
                </c:pt>
                <c:pt idx="82">
                  <c:v>1.30777382186743E-95</c:v>
                </c:pt>
                <c:pt idx="83">
                  <c:v>-2.7826594468403798E-96</c:v>
                </c:pt>
                <c:pt idx="84">
                  <c:v>3.6447413209258302E-97</c:v>
                </c:pt>
                <c:pt idx="85">
                  <c:v>-2.1638675825335598E-98</c:v>
                </c:pt>
                <c:pt idx="86">
                  <c:v>-1.35813776988615E-101</c:v>
                </c:pt>
                <c:pt idx="87">
                  <c:v>2.79987496944029E-102</c:v>
                </c:pt>
                <c:pt idx="88">
                  <c:v>-4.0927345422415401E-103</c:v>
                </c:pt>
                <c:pt idx="89">
                  <c:v>3.7705279653773101E-104</c:v>
                </c:pt>
                <c:pt idx="90">
                  <c:v>-1.6229393866299401E-105</c:v>
                </c:pt>
                <c:pt idx="91">
                  <c:v>-2.9357994767518101E-108</c:v>
                </c:pt>
                <c:pt idx="92">
                  <c:v>4.5501856965874696E-109</c:v>
                </c:pt>
                <c:pt idx="93">
                  <c:v>-5.0727959647786999E-110</c:v>
                </c:pt>
                <c:pt idx="94">
                  <c:v>3.60791272634803E-111</c:v>
                </c:pt>
                <c:pt idx="95">
                  <c:v>-1.20471082929528E-112</c:v>
                </c:pt>
                <c:pt idx="96">
                  <c:v>-5.0723307428508196E-115</c:v>
                </c:pt>
                <c:pt idx="97">
                  <c:v>6.3057343955012199E-116</c:v>
                </c:pt>
                <c:pt idx="98">
                  <c:v>-5.6829429272066799E-117</c:v>
                </c:pt>
                <c:pt idx="99">
                  <c:v>3.2847564457339699E-118</c:v>
                </c:pt>
              </c:numCache>
            </c:numRef>
          </c:yVal>
          <c:smooth val="0"/>
          <c:extLst>
            <c:ext xmlns:c16="http://schemas.microsoft.com/office/drawing/2014/chart" uri="{C3380CC4-5D6E-409C-BE32-E72D297353CC}">
              <c16:uniqueId val="{00000015-D137-48DF-AE00-9067040BCA60}"/>
            </c:ext>
          </c:extLst>
        </c:ser>
        <c:ser>
          <c:idx val="31"/>
          <c:order val="22"/>
          <c:tx>
            <c:strRef>
              <c:f>dynamicR!$BW$19</c:f>
              <c:strCache>
                <c:ptCount val="1"/>
                <c:pt idx="0">
                  <c:v>sd0CP</c:v>
                </c:pt>
              </c:strCache>
            </c:strRef>
          </c:tx>
          <c:spPr>
            <a:ln w="19050" cap="rnd">
              <a:solidFill>
                <a:schemeClr val="accent2">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dynamicR!$BW$20:$BW$119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0.999999999999998</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5.9590262555896101E-89</c:v>
                </c:pt>
                <c:pt idx="52">
                  <c:v>-1.4355408166712601E-90</c:v>
                </c:pt>
                <c:pt idx="53">
                  <c:v>4.8618638498766999E-90</c:v>
                </c:pt>
                <c:pt idx="54">
                  <c:v>-6.3933104993203096E-89</c:v>
                </c:pt>
                <c:pt idx="55">
                  <c:v>4.02473897662602E-89</c:v>
                </c:pt>
                <c:pt idx="56">
                  <c:v>-1.3121325887192801E-88</c:v>
                </c:pt>
                <c:pt idx="57">
                  <c:v>3.8238609734490302E-89</c:v>
                </c:pt>
                <c:pt idx="58">
                  <c:v>-7.1190081920108004E-90</c:v>
                </c:pt>
                <c:pt idx="59">
                  <c:v>-4.3366371156659998E-91</c:v>
                </c:pt>
                <c:pt idx="60">
                  <c:v>8.0466509839476598E-91</c:v>
                </c:pt>
                <c:pt idx="61">
                  <c:v>-3.8295298287602597E-91</c:v>
                </c:pt>
                <c:pt idx="62">
                  <c:v>-9.5227886346023899E-90</c:v>
                </c:pt>
                <c:pt idx="63">
                  <c:v>-7.3958195407145802E-90</c:v>
                </c:pt>
                <c:pt idx="64">
                  <c:v>5.9954676302620903E-90</c:v>
                </c:pt>
                <c:pt idx="65">
                  <c:v>1.3712594692697901E-90</c:v>
                </c:pt>
                <c:pt idx="66">
                  <c:v>-9.5790701092200291E-90</c:v>
                </c:pt>
                <c:pt idx="67">
                  <c:v>3.0963518475821902E-90</c:v>
                </c:pt>
                <c:pt idx="68">
                  <c:v>1.0513434173892799E-89</c:v>
                </c:pt>
                <c:pt idx="69">
                  <c:v>-9.0057326494156704E-90</c:v>
                </c:pt>
                <c:pt idx="70">
                  <c:v>-8.3919596488949403E-90</c:v>
                </c:pt>
                <c:pt idx="71">
                  <c:v>1.5380516455874001E-89</c:v>
                </c:pt>
                <c:pt idx="72">
                  <c:v>2.5553061607138198E-90</c:v>
                </c:pt>
                <c:pt idx="73">
                  <c:v>-2.0328736771480799E-89</c:v>
                </c:pt>
                <c:pt idx="74">
                  <c:v>7.2056830277127403E-90</c:v>
                </c:pt>
                <c:pt idx="75">
                  <c:v>2.0795181298296499E-89</c:v>
                </c:pt>
                <c:pt idx="76">
                  <c:v>-2.0089852366502499E-89</c:v>
                </c:pt>
                <c:pt idx="77">
                  <c:v>1.44015006004866E-89</c:v>
                </c:pt>
                <c:pt idx="78">
                  <c:v>-5.6306037048621203E-90</c:v>
                </c:pt>
                <c:pt idx="79">
                  <c:v>1.3029276713284799E-90</c:v>
                </c:pt>
                <c:pt idx="80">
                  <c:v>-1.2332925168084E-91</c:v>
                </c:pt>
                <c:pt idx="81">
                  <c:v>-1.8089669702908001E-95</c:v>
                </c:pt>
                <c:pt idx="82">
                  <c:v>5.6165034027734304E-96</c:v>
                </c:pt>
                <c:pt idx="83">
                  <c:v>-1.19507028178869E-96</c:v>
                </c:pt>
                <c:pt idx="84">
                  <c:v>1.56530906888087E-97</c:v>
                </c:pt>
                <c:pt idx="85">
                  <c:v>-9.2931743596317907E-99</c:v>
                </c:pt>
                <c:pt idx="86">
                  <c:v>-5.8328016869561202E-102</c:v>
                </c:pt>
                <c:pt idx="87">
                  <c:v>1.20246383579738E-102</c:v>
                </c:pt>
                <c:pt idx="88">
                  <c:v>-1.75770895587803E-103</c:v>
                </c:pt>
                <c:pt idx="89">
                  <c:v>1.6193307419110301E-104</c:v>
                </c:pt>
                <c:pt idx="90">
                  <c:v>-6.9700469050574501E-106</c:v>
                </c:pt>
                <c:pt idx="91">
                  <c:v>-1.2608410912391101E-108</c:v>
                </c:pt>
                <c:pt idx="92">
                  <c:v>1.9541707460621201E-109</c:v>
                </c:pt>
                <c:pt idx="93">
                  <c:v>-2.1786164689318201E-110</c:v>
                </c:pt>
                <c:pt idx="94">
                  <c:v>1.5494922543502E-111</c:v>
                </c:pt>
                <c:pt idx="95">
                  <c:v>-5.1738782766264902E-113</c:v>
                </c:pt>
                <c:pt idx="96">
                  <c:v>-2.1784185248885901E-115</c:v>
                </c:pt>
                <c:pt idx="97">
                  <c:v>2.7081271876264E-116</c:v>
                </c:pt>
                <c:pt idx="98">
                  <c:v>-2.4406566169035198E-117</c:v>
                </c:pt>
                <c:pt idx="99">
                  <c:v>1.41070616872908E-118</c:v>
                </c:pt>
              </c:numCache>
            </c:numRef>
          </c:yVal>
          <c:smooth val="0"/>
          <c:extLst>
            <c:ext xmlns:c16="http://schemas.microsoft.com/office/drawing/2014/chart" uri="{C3380CC4-5D6E-409C-BE32-E72D297353CC}">
              <c16:uniqueId val="{00000016-D137-48DF-AE00-9067040BCA60}"/>
            </c:ext>
          </c:extLst>
        </c:ser>
        <c:ser>
          <c:idx val="32"/>
          <c:order val="23"/>
          <c:tx>
            <c:strRef>
              <c:f>dynamicR!$BX$19</c:f>
              <c:strCache>
                <c:ptCount val="1"/>
                <c:pt idx="0">
                  <c:v>sd1CD</c:v>
                </c:pt>
              </c:strCache>
            </c:strRef>
          </c:tx>
          <c:spPr>
            <a:ln w="19050" cap="rnd">
              <a:solidFill>
                <a:schemeClr val="accent3">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dynamicR!$BX$20:$BX$119</c:f>
              <c:numCache>
                <c:formatCode>0.00</c:formatCode>
                <c:ptCount val="100"/>
                <c:pt idx="0">
                  <c:v>0</c:v>
                </c:pt>
                <c:pt idx="1">
                  <c:v>0.99999999999999101</c:v>
                </c:pt>
                <c:pt idx="2">
                  <c:v>0.99999999999999001</c:v>
                </c:pt>
                <c:pt idx="3">
                  <c:v>0.99999999999998801</c:v>
                </c:pt>
                <c:pt idx="4">
                  <c:v>0.99999999999999201</c:v>
                </c:pt>
                <c:pt idx="5">
                  <c:v>0.99999999999999201</c:v>
                </c:pt>
                <c:pt idx="6">
                  <c:v>0.99999999999999301</c:v>
                </c:pt>
                <c:pt idx="7">
                  <c:v>0.99999999999999301</c:v>
                </c:pt>
                <c:pt idx="8">
                  <c:v>0.99999999999999301</c:v>
                </c:pt>
                <c:pt idx="9">
                  <c:v>0.99999999999999301</c:v>
                </c:pt>
                <c:pt idx="10">
                  <c:v>0.99999999999999301</c:v>
                </c:pt>
                <c:pt idx="11">
                  <c:v>0.99999999999999301</c:v>
                </c:pt>
                <c:pt idx="12">
                  <c:v>0.99999999999999301</c:v>
                </c:pt>
                <c:pt idx="13">
                  <c:v>0.999999999999994</c:v>
                </c:pt>
                <c:pt idx="14">
                  <c:v>0.999999999999994</c:v>
                </c:pt>
                <c:pt idx="15">
                  <c:v>0.999999999999994</c:v>
                </c:pt>
                <c:pt idx="16">
                  <c:v>0.999999999999994</c:v>
                </c:pt>
                <c:pt idx="17">
                  <c:v>0.999999999999994</c:v>
                </c:pt>
                <c:pt idx="18">
                  <c:v>0.999999999999994</c:v>
                </c:pt>
                <c:pt idx="19">
                  <c:v>0.999999999999995</c:v>
                </c:pt>
                <c:pt idx="20">
                  <c:v>0.999999999999994</c:v>
                </c:pt>
                <c:pt idx="21">
                  <c:v>0.999999999999994</c:v>
                </c:pt>
                <c:pt idx="22">
                  <c:v>0.999999999999996</c:v>
                </c:pt>
                <c:pt idx="23">
                  <c:v>0.999999999999995</c:v>
                </c:pt>
                <c:pt idx="24">
                  <c:v>0.999999999999996</c:v>
                </c:pt>
                <c:pt idx="25">
                  <c:v>0.999999999999995</c:v>
                </c:pt>
                <c:pt idx="26">
                  <c:v>0.999999999999995</c:v>
                </c:pt>
                <c:pt idx="27">
                  <c:v>0.999999999999996</c:v>
                </c:pt>
                <c:pt idx="28">
                  <c:v>0.999999999999995</c:v>
                </c:pt>
                <c:pt idx="29">
                  <c:v>0.999999999999995</c:v>
                </c:pt>
                <c:pt idx="30">
                  <c:v>0.999999999999995</c:v>
                </c:pt>
                <c:pt idx="31">
                  <c:v>0.999999999999996</c:v>
                </c:pt>
                <c:pt idx="32">
                  <c:v>0.999999999999996</c:v>
                </c:pt>
                <c:pt idx="33">
                  <c:v>0.999999999999996</c:v>
                </c:pt>
                <c:pt idx="34">
                  <c:v>0.999999999999996</c:v>
                </c:pt>
                <c:pt idx="35">
                  <c:v>0.999999999999996</c:v>
                </c:pt>
                <c:pt idx="36">
                  <c:v>0.999999999999996</c:v>
                </c:pt>
                <c:pt idx="37">
                  <c:v>0.999999999999996</c:v>
                </c:pt>
                <c:pt idx="38">
                  <c:v>0.999999999999996</c:v>
                </c:pt>
                <c:pt idx="39">
                  <c:v>0.999999999999996</c:v>
                </c:pt>
                <c:pt idx="40">
                  <c:v>0.999999999999996</c:v>
                </c:pt>
                <c:pt idx="41">
                  <c:v>0.999999999999997</c:v>
                </c:pt>
                <c:pt idx="42">
                  <c:v>0.999999999999996</c:v>
                </c:pt>
                <c:pt idx="43">
                  <c:v>0.999999999999997</c:v>
                </c:pt>
                <c:pt idx="44">
                  <c:v>0.999999999999997</c:v>
                </c:pt>
                <c:pt idx="45">
                  <c:v>0.999999999999997</c:v>
                </c:pt>
                <c:pt idx="46">
                  <c:v>0.999999999999998</c:v>
                </c:pt>
                <c:pt idx="47">
                  <c:v>0.999999999999997</c:v>
                </c:pt>
                <c:pt idx="48">
                  <c:v>0.999999999999996</c:v>
                </c:pt>
                <c:pt idx="49">
                  <c:v>0.999999999999998</c:v>
                </c:pt>
                <c:pt idx="50">
                  <c:v>0.999999999999998</c:v>
                </c:pt>
                <c:pt idx="51">
                  <c:v>5.2477720843174603E-15</c:v>
                </c:pt>
                <c:pt idx="52">
                  <c:v>5.1428638655101897E-15</c:v>
                </c:pt>
                <c:pt idx="53">
                  <c:v>5.0400564656161603E-15</c:v>
                </c:pt>
                <c:pt idx="54">
                  <c:v>4.9393062960527002E-15</c:v>
                </c:pt>
                <c:pt idx="55">
                  <c:v>4.8405699694201499E-15</c:v>
                </c:pt>
                <c:pt idx="56">
                  <c:v>4.74380645538446E-15</c:v>
                </c:pt>
                <c:pt idx="57">
                  <c:v>4.6489776038841599E-15</c:v>
                </c:pt>
                <c:pt idx="58">
                  <c:v>4.5560440185301997E-15</c:v>
                </c:pt>
                <c:pt idx="59">
                  <c:v>4.4649682758115603E-15</c:v>
                </c:pt>
                <c:pt idx="60">
                  <c:v>4.3757130862213402E-15</c:v>
                </c:pt>
                <c:pt idx="61">
                  <c:v>4.2882419934744898E-15</c:v>
                </c:pt>
                <c:pt idx="62">
                  <c:v>4.2025193892295799E-15</c:v>
                </c:pt>
                <c:pt idx="63">
                  <c:v>4.11851042936256E-15</c:v>
                </c:pt>
                <c:pt idx="64">
                  <c:v>4.0361808716923101E-15</c:v>
                </c:pt>
                <c:pt idx="65">
                  <c:v>3.9554970782721298E-15</c:v>
                </c:pt>
                <c:pt idx="66">
                  <c:v>3.8764261516759102E-15</c:v>
                </c:pt>
                <c:pt idx="67">
                  <c:v>3.7989358949395E-15</c:v>
                </c:pt>
                <c:pt idx="68">
                  <c:v>3.7229946688821803E-15</c:v>
                </c:pt>
                <c:pt idx="69">
                  <c:v>3.6485714765020998E-15</c:v>
                </c:pt>
                <c:pt idx="70">
                  <c:v>3.5756360459558902E-15</c:v>
                </c:pt>
                <c:pt idx="71">
                  <c:v>3.50415864132859E-15</c:v>
                </c:pt>
                <c:pt idx="72">
                  <c:v>3.4341100223214399E-15</c:v>
                </c:pt>
                <c:pt idx="73">
                  <c:v>3.36546166810107E-15</c:v>
                </c:pt>
                <c:pt idx="74">
                  <c:v>3.29818568253592E-15</c:v>
                </c:pt>
                <c:pt idx="75">
                  <c:v>3.2322545323227299E-15</c:v>
                </c:pt>
                <c:pt idx="76">
                  <c:v>3.1676412705804499E-15</c:v>
                </c:pt>
                <c:pt idx="77">
                  <c:v>3.1043197554215499E-15</c:v>
                </c:pt>
                <c:pt idx="78">
                  <c:v>3.0422639606973498E-15</c:v>
                </c:pt>
                <c:pt idx="79">
                  <c:v>2.9814487104850301E-15</c:v>
                </c:pt>
                <c:pt idx="80">
                  <c:v>2.9218491520575E-15</c:v>
                </c:pt>
                <c:pt idx="81">
                  <c:v>2.8634409991941798E-15</c:v>
                </c:pt>
                <c:pt idx="82">
                  <c:v>2.8062004331678098E-15</c:v>
                </c:pt>
                <c:pt idx="83">
                  <c:v>2.7501041136273701E-15</c:v>
                </c:pt>
                <c:pt idx="84">
                  <c:v>2.6951291668469401E-15</c:v>
                </c:pt>
                <c:pt idx="85">
                  <c:v>2.6412531765135301E-15</c:v>
                </c:pt>
                <c:pt idx="86">
                  <c:v>2.5884541744321098E-15</c:v>
                </c:pt>
                <c:pt idx="87">
                  <c:v>2.5367106314615999E-15</c:v>
                </c:pt>
                <c:pt idx="88">
                  <c:v>2.4860014487882102E-15</c:v>
                </c:pt>
                <c:pt idx="89">
                  <c:v>2.4363059493938802E-15</c:v>
                </c:pt>
                <c:pt idx="90">
                  <c:v>2.3876038696305398E-15</c:v>
                </c:pt>
                <c:pt idx="91">
                  <c:v>2.3398753509235701E-15</c:v>
                </c:pt>
                <c:pt idx="92">
                  <c:v>2.2931009316578799E-15</c:v>
                </c:pt>
                <c:pt idx="93">
                  <c:v>2.2472615392480301E-15</c:v>
                </c:pt>
                <c:pt idx="94">
                  <c:v>2.2023384823820299E-15</c:v>
                </c:pt>
                <c:pt idx="95">
                  <c:v>2.1583134433940302E-15</c:v>
                </c:pt>
                <c:pt idx="96">
                  <c:v>2.1151684707889799E-15</c:v>
                </c:pt>
                <c:pt idx="97">
                  <c:v>2.0728859719209E-15</c:v>
                </c:pt>
                <c:pt idx="98">
                  <c:v>2.0314487058261E-15</c:v>
                </c:pt>
                <c:pt idx="99">
                  <c:v>1.9908397761882102E-15</c:v>
                </c:pt>
              </c:numCache>
            </c:numRef>
          </c:yVal>
          <c:smooth val="0"/>
          <c:extLst>
            <c:ext xmlns:c16="http://schemas.microsoft.com/office/drawing/2014/chart" uri="{C3380CC4-5D6E-409C-BE32-E72D297353CC}">
              <c16:uniqueId val="{00000017-D137-48DF-AE00-9067040BCA60}"/>
            </c:ext>
          </c:extLst>
        </c:ser>
        <c:ser>
          <c:idx val="33"/>
          <c:order val="24"/>
          <c:tx>
            <c:strRef>
              <c:f>dynamicR!$BY$19</c:f>
              <c:strCache>
                <c:ptCount val="1"/>
                <c:pt idx="0">
                  <c:v>sd1CS</c:v>
                </c:pt>
              </c:strCache>
            </c:strRef>
          </c:tx>
          <c:spPr>
            <a:ln w="19050" cap="rnd">
              <a:solidFill>
                <a:schemeClr val="accent4">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dynamicR!$BY$20:$BY$119</c:f>
              <c:numCache>
                <c:formatCode>0.00</c:formatCode>
                <c:ptCount val="100"/>
                <c:pt idx="0">
                  <c:v>0</c:v>
                </c:pt>
                <c:pt idx="1">
                  <c:v>1</c:v>
                </c:pt>
                <c:pt idx="2">
                  <c:v>0.999999999999996</c:v>
                </c:pt>
                <c:pt idx="3">
                  <c:v>0.999999999999994</c:v>
                </c:pt>
                <c:pt idx="4">
                  <c:v>0.999999999999999</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1</c:v>
                </c:pt>
                <c:pt idx="21">
                  <c:v>1</c:v>
                </c:pt>
                <c:pt idx="22">
                  <c:v>0.999999999999998</c:v>
                </c:pt>
                <c:pt idx="23">
                  <c:v>1</c:v>
                </c:pt>
                <c:pt idx="24">
                  <c:v>0.999999999999999</c:v>
                </c:pt>
                <c:pt idx="25">
                  <c:v>1</c:v>
                </c:pt>
                <c:pt idx="26">
                  <c:v>1</c:v>
                </c:pt>
                <c:pt idx="27">
                  <c:v>1</c:v>
                </c:pt>
                <c:pt idx="28">
                  <c:v>1</c:v>
                </c:pt>
                <c:pt idx="29">
                  <c:v>0.999999999999999</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-3.6893736407822801E-214</c:v>
                </c:pt>
                <c:pt idx="52">
                  <c:v>8.8877056399452803E-216</c:v>
                </c:pt>
                <c:pt idx="53">
                  <c:v>-3.0101399790206699E-215</c:v>
                </c:pt>
                <c:pt idx="54">
                  <c:v>3.9582469898739996E-214</c:v>
                </c:pt>
                <c:pt idx="55">
                  <c:v>-2.4918170562770802E-214</c:v>
                </c:pt>
                <c:pt idx="56">
                  <c:v>8.1237464237060106E-214</c:v>
                </c:pt>
                <c:pt idx="57">
                  <c:v>-2.3674588936711699E-214</c:v>
                </c:pt>
                <c:pt idx="58">
                  <c:v>4.4076293936263602E-215</c:v>
                </c:pt>
                <c:pt idx="59">
                  <c:v>2.6846724259139101E-216</c:v>
                </c:pt>
                <c:pt idx="60">
                  <c:v>-4.9816666658610503E-216</c:v>
                </c:pt>
                <c:pt idx="61">
                  <c:v>2.3713619397162599E-216</c:v>
                </c:pt>
                <c:pt idx="62">
                  <c:v>5.8958035736235798E-215</c:v>
                </c:pt>
                <c:pt idx="63">
                  <c:v>4.5789541734215201E-215</c:v>
                </c:pt>
                <c:pt idx="64">
                  <c:v>-3.71191217600281E-215</c:v>
                </c:pt>
                <c:pt idx="65">
                  <c:v>-8.4898997170773294E-216</c:v>
                </c:pt>
                <c:pt idx="66">
                  <c:v>5.9306198355762502E-215</c:v>
                </c:pt>
                <c:pt idx="67">
                  <c:v>-1.91701052669798E-215</c:v>
                </c:pt>
                <c:pt idx="68">
                  <c:v>-6.5091164247368202E-215</c:v>
                </c:pt>
                <c:pt idx="69">
                  <c:v>5.5756508141513203E-215</c:v>
                </c:pt>
                <c:pt idx="70">
                  <c:v>5.1956671943535996E-215</c:v>
                </c:pt>
                <c:pt idx="71">
                  <c:v>-9.5224394839391791E-215</c:v>
                </c:pt>
                <c:pt idx="72">
                  <c:v>-1.58205525472729E-215</c:v>
                </c:pt>
                <c:pt idx="73">
                  <c:v>1.2586010420426E-214</c:v>
                </c:pt>
                <c:pt idx="74">
                  <c:v>-4.4612168123737097E-215</c:v>
                </c:pt>
                <c:pt idx="75">
                  <c:v>-1.28748018375376E-214</c:v>
                </c:pt>
                <c:pt idx="76">
                  <c:v>1.2438127532265501E-214</c:v>
                </c:pt>
                <c:pt idx="77">
                  <c:v>-8.9163557791804996E-215</c:v>
                </c:pt>
                <c:pt idx="78">
                  <c:v>3.4860956697248299E-215</c:v>
                </c:pt>
                <c:pt idx="79">
                  <c:v>-8.0671692974116105E-216</c:v>
                </c:pt>
                <c:pt idx="80">
                  <c:v>7.6381240077221499E-217</c:v>
                </c:pt>
                <c:pt idx="81">
                  <c:v>4.0778010010774297E-222</c:v>
                </c:pt>
                <c:pt idx="82">
                  <c:v>-1.26611120213451E-222</c:v>
                </c:pt>
                <c:pt idx="83">
                  <c:v>2.6941957565792598E-223</c:v>
                </c:pt>
                <c:pt idx="84">
                  <c:v>-3.5298024168191699E-224</c:v>
                </c:pt>
                <c:pt idx="85">
                  <c:v>2.0994783245568799E-225</c:v>
                </c:pt>
                <c:pt idx="86">
                  <c:v>4.7656441627335501E-230</c:v>
                </c:pt>
                <c:pt idx="87">
                  <c:v>-9.8705793637622002E-231</c:v>
                </c:pt>
                <c:pt idx="88">
                  <c:v>1.4432212412958201E-231</c:v>
                </c:pt>
                <c:pt idx="89">
                  <c:v>-1.33097175690305E-232</c:v>
                </c:pt>
                <c:pt idx="90">
                  <c:v>5.7698473059185098E-234</c:v>
                </c:pt>
                <c:pt idx="91">
                  <c:v>3.7541394467300302E-238</c:v>
                </c:pt>
                <c:pt idx="92">
                  <c:v>-5.8422489083996901E-239</c:v>
                </c:pt>
                <c:pt idx="93">
                  <c:v>6.5182192304830605E-240</c:v>
                </c:pt>
                <c:pt idx="94">
                  <c:v>-4.6497448627049497E-241</c:v>
                </c:pt>
                <c:pt idx="95">
                  <c:v>1.5850984197245001E-242</c:v>
                </c:pt>
                <c:pt idx="96">
                  <c:v>2.3650775295463803E-246</c:v>
                </c:pt>
                <c:pt idx="97">
                  <c:v>-2.94973829310819E-247</c:v>
                </c:pt>
                <c:pt idx="98">
                  <c:v>2.6632284705629601E-248</c:v>
                </c:pt>
                <c:pt idx="99">
                  <c:v>-1.5503537046589101E-249</c:v>
                </c:pt>
              </c:numCache>
            </c:numRef>
          </c:yVal>
          <c:smooth val="0"/>
          <c:extLst>
            <c:ext xmlns:c16="http://schemas.microsoft.com/office/drawing/2014/chart" uri="{C3380CC4-5D6E-409C-BE32-E72D297353CC}">
              <c16:uniqueId val="{00000018-D137-48DF-AE00-9067040BCA60}"/>
            </c:ext>
          </c:extLst>
        </c:ser>
        <c:ser>
          <c:idx val="34"/>
          <c:order val="25"/>
          <c:tx>
            <c:strRef>
              <c:f>dynamicR!$BZ$19</c:f>
              <c:strCache>
                <c:ptCount val="1"/>
                <c:pt idx="0">
                  <c:v>sd1CA</c:v>
                </c:pt>
              </c:strCache>
            </c:strRef>
          </c:tx>
          <c:spPr>
            <a:ln w="19050" cap="rnd">
              <a:solidFill>
                <a:schemeClr val="accent5">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dynamicR!$BZ$20:$BZ$119</c:f>
              <c:numCache>
                <c:formatCode>0.00</c:formatCode>
                <c:ptCount val="100"/>
                <c:pt idx="0">
                  <c:v>0</c:v>
                </c:pt>
                <c:pt idx="1">
                  <c:v>1</c:v>
                </c:pt>
                <c:pt idx="2">
                  <c:v>0.999999999999998</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1.16111542728107E-87</c:v>
                </c:pt>
                <c:pt idx="52">
                  <c:v>-2.7971487763279701E-89</c:v>
                </c:pt>
                <c:pt idx="53">
                  <c:v>9.4733382617107906E-89</c:v>
                </c:pt>
                <c:pt idx="54">
                  <c:v>-1.2457356333745399E-87</c:v>
                </c:pt>
                <c:pt idx="55">
                  <c:v>7.8421986926898996E-88</c:v>
                </c:pt>
                <c:pt idx="56">
                  <c:v>-2.55668868095005E-87</c:v>
                </c:pt>
                <c:pt idx="57">
                  <c:v>7.4507889402877504E-88</c:v>
                </c:pt>
                <c:pt idx="58">
                  <c:v>-1.3871383643928601E-88</c:v>
                </c:pt>
                <c:pt idx="59">
                  <c:v>-8.4499133477497903E-90</c:v>
                </c:pt>
                <c:pt idx="60">
                  <c:v>1.56788729069715E-89</c:v>
                </c:pt>
                <c:pt idx="61">
                  <c:v>-7.4618639120987396E-90</c:v>
                </c:pt>
                <c:pt idx="62">
                  <c:v>-1.8555141773968E-88</c:v>
                </c:pt>
                <c:pt idx="63">
                  <c:v>-1.44107460332687E-88</c:v>
                </c:pt>
                <c:pt idx="64">
                  <c:v>1.1682158511371499E-88</c:v>
                </c:pt>
                <c:pt idx="65">
                  <c:v>2.67189795455951E-89</c:v>
                </c:pt>
                <c:pt idx="66">
                  <c:v>-1.86648039994405E-88</c:v>
                </c:pt>
                <c:pt idx="67">
                  <c:v>6.0332361814448701E-89</c:v>
                </c:pt>
                <c:pt idx="68">
                  <c:v>2.0485411789009599E-88</c:v>
                </c:pt>
                <c:pt idx="69">
                  <c:v>-1.75476565969687E-88</c:v>
                </c:pt>
                <c:pt idx="70">
                  <c:v>-1.6351722085692101E-88</c:v>
                </c:pt>
                <c:pt idx="71">
                  <c:v>2.9968914587613998E-88</c:v>
                </c:pt>
                <c:pt idx="72">
                  <c:v>4.9790108240364E-89</c:v>
                </c:pt>
                <c:pt idx="73">
                  <c:v>-3.9610515726303102E-88</c:v>
                </c:pt>
                <c:pt idx="74">
                  <c:v>1.4040263867312299E-88</c:v>
                </c:pt>
                <c:pt idx="75">
                  <c:v>4.0519382572484998E-88</c:v>
                </c:pt>
                <c:pt idx="76">
                  <c:v>-3.9145050994088898E-88</c:v>
                </c:pt>
                <c:pt idx="77">
                  <c:v>2.8061307144557801E-88</c:v>
                </c:pt>
                <c:pt idx="78">
                  <c:v>-1.09712275607614E-88</c:v>
                </c:pt>
                <c:pt idx="79">
                  <c:v>2.5387559777572699E-89</c:v>
                </c:pt>
                <c:pt idx="80">
                  <c:v>-2.4030874445525399E-90</c:v>
                </c:pt>
                <c:pt idx="81">
                  <c:v>-3.4446104476031701E-94</c:v>
                </c:pt>
                <c:pt idx="82">
                  <c:v>1.06948758767155E-94</c:v>
                </c:pt>
                <c:pt idx="83">
                  <c:v>-2.2756416344255899E-95</c:v>
                </c:pt>
                <c:pt idx="84">
                  <c:v>2.9806654376752299E-96</c:v>
                </c:pt>
                <c:pt idx="85">
                  <c:v>-1.7696855020296699E-97</c:v>
                </c:pt>
                <c:pt idx="86">
                  <c:v>-1.0853355443276799E-100</c:v>
                </c:pt>
                <c:pt idx="87">
                  <c:v>2.2374898564725399E-101</c:v>
                </c:pt>
                <c:pt idx="88">
                  <c:v>-3.2706852004604501E-102</c:v>
                </c:pt>
                <c:pt idx="89">
                  <c:v>3.0132693381317002E-103</c:v>
                </c:pt>
                <c:pt idx="90">
                  <c:v>-1.29721479577911E-104</c:v>
                </c:pt>
                <c:pt idx="91">
                  <c:v>-2.29244001198777E-107</c:v>
                </c:pt>
                <c:pt idx="92">
                  <c:v>3.5530626527599698E-108</c:v>
                </c:pt>
                <c:pt idx="93">
                  <c:v>-3.9612204323924901E-109</c:v>
                </c:pt>
                <c:pt idx="94">
                  <c:v>2.8175293962522798E-110</c:v>
                </c:pt>
                <c:pt idx="95">
                  <c:v>-9.4126639007846397E-112</c:v>
                </c:pt>
                <c:pt idx="96">
                  <c:v>-3.8699054934239E-114</c:v>
                </c:pt>
                <c:pt idx="97">
                  <c:v>4.8110014358547299E-115</c:v>
                </c:pt>
                <c:pt idx="98">
                  <c:v>-4.33602642426454E-116</c:v>
                </c:pt>
                <c:pt idx="99">
                  <c:v>2.5066637208499E-117</c:v>
                </c:pt>
              </c:numCache>
            </c:numRef>
          </c:yVal>
          <c:smooth val="0"/>
          <c:extLst>
            <c:ext xmlns:c16="http://schemas.microsoft.com/office/drawing/2014/chart" uri="{C3380CC4-5D6E-409C-BE32-E72D297353CC}">
              <c16:uniqueId val="{00000019-D137-48DF-AE00-9067040BCA60}"/>
            </c:ext>
          </c:extLst>
        </c:ser>
        <c:ser>
          <c:idx val="35"/>
          <c:order val="26"/>
          <c:tx>
            <c:strRef>
              <c:f>dynamicR!$CA$19</c:f>
              <c:strCache>
                <c:ptCount val="1"/>
                <c:pt idx="0">
                  <c:v>sd1CP</c:v>
                </c:pt>
              </c:strCache>
            </c:strRef>
          </c:tx>
          <c:spPr>
            <a:ln w="19050" cap="rnd">
              <a:solidFill>
                <a:schemeClr val="accent6">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dynamicR!$CA$20:$CA$119</c:f>
              <c:numCache>
                <c:formatCode>0.00</c:formatCode>
                <c:ptCount val="100"/>
                <c:pt idx="0">
                  <c:v>0</c:v>
                </c:pt>
                <c:pt idx="1">
                  <c:v>1</c:v>
                </c:pt>
                <c:pt idx="2">
                  <c:v>0.999999999999997</c:v>
                </c:pt>
                <c:pt idx="3">
                  <c:v>0.999999999999995</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0.999999999999998</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4.7289456525529198E-89</c:v>
                </c:pt>
                <c:pt idx="52">
                  <c:v>-1.1392118769561E-90</c:v>
                </c:pt>
                <c:pt idx="53">
                  <c:v>3.8582641027350102E-90</c:v>
                </c:pt>
                <c:pt idx="54">
                  <c:v>-5.07358354309353E-89</c:v>
                </c:pt>
                <c:pt idx="55">
                  <c:v>3.1939400927984001E-89</c:v>
                </c:pt>
                <c:pt idx="56">
                  <c:v>-1.04127819149314E-88</c:v>
                </c:pt>
                <c:pt idx="57">
                  <c:v>3.0345282149195201E-89</c:v>
                </c:pt>
                <c:pt idx="58">
                  <c:v>-5.6494827373449197E-90</c:v>
                </c:pt>
                <c:pt idx="59">
                  <c:v>-3.4414487227210701E-91</c:v>
                </c:pt>
                <c:pt idx="60">
                  <c:v>6.3856310504482498E-91</c:v>
                </c:pt>
                <c:pt idx="61">
                  <c:v>-3.0390372431095198E-91</c:v>
                </c:pt>
                <c:pt idx="62">
                  <c:v>-7.55706574012929E-90</c:v>
                </c:pt>
                <c:pt idx="63">
                  <c:v>-5.8691523674024898E-90</c:v>
                </c:pt>
                <c:pt idx="64">
                  <c:v>4.7578640769950203E-90</c:v>
                </c:pt>
                <c:pt idx="65">
                  <c:v>1.0882001421361399E-90</c:v>
                </c:pt>
                <c:pt idx="66">
                  <c:v>-7.6017286573890201E-90</c:v>
                </c:pt>
                <c:pt idx="67">
                  <c:v>2.4571929713311701E-90</c:v>
                </c:pt>
                <c:pt idx="68">
                  <c:v>8.3432186635850804E-90</c:v>
                </c:pt>
                <c:pt idx="69">
                  <c:v>-7.14674122646881E-90</c:v>
                </c:pt>
                <c:pt idx="70">
                  <c:v>-6.6596656104985199E-90</c:v>
                </c:pt>
                <c:pt idx="71">
                  <c:v>1.22056227295563E-89</c:v>
                </c:pt>
                <c:pt idx="72">
                  <c:v>2.0278321026975201E-90</c:v>
                </c:pt>
                <c:pt idx="73">
                  <c:v>-1.6132416418670102E-89</c:v>
                </c:pt>
                <c:pt idx="74">
                  <c:v>5.7182639108120298E-90</c:v>
                </c:pt>
                <c:pt idx="75">
                  <c:v>1.6502576147277901E-89</c:v>
                </c:pt>
                <c:pt idx="76">
                  <c:v>-1.5942843693641101E-89</c:v>
                </c:pt>
                <c:pt idx="77">
                  <c:v>1.1428699616560701E-89</c:v>
                </c:pt>
                <c:pt idx="78">
                  <c:v>-4.4683185790229496E-90</c:v>
                </c:pt>
                <c:pt idx="79">
                  <c:v>1.0339744681258599E-90</c:v>
                </c:pt>
                <c:pt idx="80">
                  <c:v>-9.7871909969822893E-92</c:v>
                </c:pt>
                <c:pt idx="81">
                  <c:v>-1.40714164783325E-95</c:v>
                </c:pt>
                <c:pt idx="82">
                  <c:v>4.3689132264783498E-96</c:v>
                </c:pt>
                <c:pt idx="83">
                  <c:v>-9.2961141791329995E-97</c:v>
                </c:pt>
                <c:pt idx="84">
                  <c:v>1.2176162919714501E-97</c:v>
                </c:pt>
                <c:pt idx="85">
                  <c:v>-7.22920918594272E-99</c:v>
                </c:pt>
                <c:pt idx="86">
                  <c:v>-4.4474960636789402E-102</c:v>
                </c:pt>
                <c:pt idx="87">
                  <c:v>9.1687637587301895E-103</c:v>
                </c:pt>
                <c:pt idx="88">
                  <c:v>-1.3402569831011601E-103</c:v>
                </c:pt>
                <c:pt idx="89">
                  <c:v>1.23476931558636E-104</c:v>
                </c:pt>
                <c:pt idx="90">
                  <c:v>-5.3155674494357703E-106</c:v>
                </c:pt>
                <c:pt idx="91">
                  <c:v>-9.4241489985851897E-109</c:v>
                </c:pt>
                <c:pt idx="92">
                  <c:v>1.4606522685311999E-109</c:v>
                </c:pt>
                <c:pt idx="93">
                  <c:v>-1.6284404289925499E-110</c:v>
                </c:pt>
                <c:pt idx="94">
                  <c:v>1.1582624366478599E-111</c:v>
                </c:pt>
                <c:pt idx="95">
                  <c:v>-3.8691933302408398E-113</c:v>
                </c:pt>
                <c:pt idx="96">
                  <c:v>-1.5961763906725099E-115</c:v>
                </c:pt>
                <c:pt idx="97">
                  <c:v>1.9843342107707401E-116</c:v>
                </c:pt>
                <c:pt idx="98">
                  <c:v>-1.7884160132770599E-117</c:v>
                </c:pt>
                <c:pt idx="99">
                  <c:v>1.0338605308656399E-118</c:v>
                </c:pt>
              </c:numCache>
            </c:numRef>
          </c:yVal>
          <c:smooth val="0"/>
          <c:extLst>
            <c:ext xmlns:c16="http://schemas.microsoft.com/office/drawing/2014/chart" uri="{C3380CC4-5D6E-409C-BE32-E72D297353CC}">
              <c16:uniqueId val="{0000001A-D137-48DF-AE00-9067040BCA60}"/>
            </c:ext>
          </c:extLst>
        </c:ser>
        <c:ser>
          <c:idx val="36"/>
          <c:order val="27"/>
          <c:tx>
            <c:strRef>
              <c:f>dynamicR!$CB$19</c:f>
              <c:strCache>
                <c:ptCount val="1"/>
                <c:pt idx="0">
                  <c:v>sd2CD</c:v>
                </c:pt>
              </c:strCache>
            </c:strRef>
          </c:tx>
          <c:spPr>
            <a:ln w="19050" cap="rnd">
              <a:solidFill>
                <a:schemeClr val="accent1">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dynamicR!$CB$20:$CB$119</c:f>
              <c:numCache>
                <c:formatCode>0.00</c:formatCode>
                <c:ptCount val="100"/>
                <c:pt idx="0">
                  <c:v>0</c:v>
                </c:pt>
                <c:pt idx="1">
                  <c:v>2.0131948052879201E-2</c:v>
                </c:pt>
                <c:pt idx="2">
                  <c:v>3.9719638302932798E-2</c:v>
                </c:pt>
                <c:pt idx="3">
                  <c:v>5.8915767330644402E-2</c:v>
                </c:pt>
                <c:pt idx="4">
                  <c:v>7.7728168086972804E-2</c:v>
                </c:pt>
                <c:pt idx="5">
                  <c:v>9.6164508097566603E-2</c:v>
                </c:pt>
                <c:pt idx="6">
                  <c:v>0.114232301902849</c:v>
                </c:pt>
                <c:pt idx="7">
                  <c:v>0.13193891662070101</c:v>
                </c:pt>
                <c:pt idx="8">
                  <c:v>0.14929157326867101</c:v>
                </c:pt>
                <c:pt idx="9">
                  <c:v>0.16629734816646999</c:v>
                </c:pt>
                <c:pt idx="10">
                  <c:v>0.18296317558294001</c:v>
                </c:pt>
                <c:pt idx="11">
                  <c:v>0.199295850942519</c:v>
                </c:pt>
                <c:pt idx="12">
                  <c:v>0.21530203382273599</c:v>
                </c:pt>
                <c:pt idx="13">
                  <c:v>0.23098825056093</c:v>
                </c:pt>
                <c:pt idx="14">
                  <c:v>0.24636089738309799</c:v>
                </c:pt>
                <c:pt idx="15">
                  <c:v>0.261426242956459</c:v>
                </c:pt>
                <c:pt idx="16">
                  <c:v>0.276190430483853</c:v>
                </c:pt>
                <c:pt idx="17">
                  <c:v>0.29065948006058001</c:v>
                </c:pt>
                <c:pt idx="18">
                  <c:v>0.30483929137528099</c:v>
                </c:pt>
                <c:pt idx="19">
                  <c:v>0.31873564631051698</c:v>
                </c:pt>
                <c:pt idx="20">
                  <c:v>0.33235421125924602</c:v>
                </c:pt>
                <c:pt idx="21">
                  <c:v>0.34570053931821199</c:v>
                </c:pt>
                <c:pt idx="22">
                  <c:v>0.35878007252130101</c:v>
                </c:pt>
                <c:pt idx="23">
                  <c:v>0.37159814410679398</c:v>
                </c:pt>
                <c:pt idx="24">
                  <c:v>0.38415998072528501</c:v>
                </c:pt>
                <c:pt idx="25">
                  <c:v>0.39647070456030697</c:v>
                </c:pt>
                <c:pt idx="26">
                  <c:v>0.40853533539549802</c:v>
                </c:pt>
                <c:pt idx="27">
                  <c:v>0.420358792659148</c:v>
                </c:pt>
                <c:pt idx="28">
                  <c:v>0.43194589743908501</c:v>
                </c:pt>
                <c:pt idx="29">
                  <c:v>0.44330137445193901</c:v>
                </c:pt>
                <c:pt idx="30">
                  <c:v>0.45442985397019298</c:v>
                </c:pt>
                <c:pt idx="31">
                  <c:v>0.46533587370534202</c:v>
                </c:pt>
                <c:pt idx="32">
                  <c:v>0.47602388065687001</c:v>
                </c:pt>
                <c:pt idx="33">
                  <c:v>0.48649823292773098</c:v>
                </c:pt>
                <c:pt idx="34">
                  <c:v>0.49676320150451397</c:v>
                </c:pt>
                <c:pt idx="35">
                  <c:v>0.50682297199565995</c:v>
                </c:pt>
                <c:pt idx="36">
                  <c:v>0.51668164633763403</c:v>
                </c:pt>
                <c:pt idx="37">
                  <c:v>0.52634324446901803</c:v>
                </c:pt>
                <c:pt idx="38">
                  <c:v>0.53581170596914995</c:v>
                </c:pt>
                <c:pt idx="39">
                  <c:v>0.54509089166537295</c:v>
                </c:pt>
                <c:pt idx="40">
                  <c:v>0.55418458520626701</c:v>
                </c:pt>
                <c:pt idx="41">
                  <c:v>0.56309649460503297</c:v>
                </c:pt>
                <c:pt idx="42">
                  <c:v>0.57183025375002605</c:v>
                </c:pt>
                <c:pt idx="43">
                  <c:v>0.58038942388886205</c:v>
                </c:pt>
                <c:pt idx="44">
                  <c:v>0.58877749507949495</c:v>
                </c:pt>
                <c:pt idx="45">
                  <c:v>0.59699788761303196</c:v>
                </c:pt>
                <c:pt idx="46">
                  <c:v>0.60505395340727197</c:v>
                </c:pt>
                <c:pt idx="47">
                  <c:v>0.61294897737490295</c:v>
                </c:pt>
                <c:pt idx="48">
                  <c:v>0.62068617876418697</c:v>
                </c:pt>
                <c:pt idx="49">
                  <c:v>0.62826871246941196</c:v>
                </c:pt>
                <c:pt idx="50">
                  <c:v>0.62826871246941196</c:v>
                </c:pt>
                <c:pt idx="51">
                  <c:v>0.61556739219623302</c:v>
                </c:pt>
                <c:pt idx="52">
                  <c:v>0.60326159472398599</c:v>
                </c:pt>
                <c:pt idx="53">
                  <c:v>0.59120221232947201</c:v>
                </c:pt>
                <c:pt idx="54">
                  <c:v>0.57938415843147695</c:v>
                </c:pt>
                <c:pt idx="55">
                  <c:v>0.56780229768225998</c:v>
                </c:pt>
                <c:pt idx="56">
                  <c:v>0.55645190031091096</c:v>
                </c:pt>
                <c:pt idx="57">
                  <c:v>0.54532837712920201</c:v>
                </c:pt>
                <c:pt idx="58">
                  <c:v>0.53442720974844604</c:v>
                </c:pt>
                <c:pt idx="59">
                  <c:v>0.52374395903441295</c:v>
                </c:pt>
                <c:pt idx="60">
                  <c:v>0.51327426148697197</c:v>
                </c:pt>
                <c:pt idx="61">
                  <c:v>0.50301384022322904</c:v>
                </c:pt>
                <c:pt idx="62">
                  <c:v>0.49295851938637703</c:v>
                </c:pt>
                <c:pt idx="63">
                  <c:v>0.48310420816275501</c:v>
                </c:pt>
                <c:pt idx="64">
                  <c:v>0.47344688992627698</c:v>
                </c:pt>
                <c:pt idx="65">
                  <c:v>0.46398262435284698</c:v>
                </c:pt>
                <c:pt idx="66">
                  <c:v>0.45470755037426203</c:v>
                </c:pt>
                <c:pt idx="67">
                  <c:v>0.44561788571300998</c:v>
                </c:pt>
                <c:pt idx="68">
                  <c:v>0.43670992443397899</c:v>
                </c:pt>
                <c:pt idx="69">
                  <c:v>0.427980034579651</c:v>
                </c:pt>
                <c:pt idx="70">
                  <c:v>0.41942465651163602</c:v>
                </c:pt>
                <c:pt idx="71">
                  <c:v>0.41104030163213501</c:v>
                </c:pt>
                <c:pt idx="72">
                  <c:v>0.40282355110866502</c:v>
                </c:pt>
                <c:pt idx="73">
                  <c:v>0.39477105450403899</c:v>
                </c:pt>
                <c:pt idx="74">
                  <c:v>0.386879528377431</c:v>
                </c:pt>
                <c:pt idx="75">
                  <c:v>0.37914575497888198</c:v>
                </c:pt>
                <c:pt idx="76">
                  <c:v>0.37156658092949002</c:v>
                </c:pt>
                <c:pt idx="77">
                  <c:v>0.36413891571634799</c:v>
                </c:pt>
                <c:pt idx="78">
                  <c:v>0.35685973049453301</c:v>
                </c:pt>
                <c:pt idx="79">
                  <c:v>0.34972605705762899</c:v>
                </c:pt>
                <c:pt idx="80">
                  <c:v>0.34273498665845697</c:v>
                </c:pt>
                <c:pt idx="81">
                  <c:v>0.33588366870837699</c:v>
                </c:pt>
                <c:pt idx="82">
                  <c:v>0.32916930954155699</c:v>
                </c:pt>
                <c:pt idx="83">
                  <c:v>0.32258917130512899</c:v>
                </c:pt>
                <c:pt idx="84">
                  <c:v>0.31614057089147302</c:v>
                </c:pt>
                <c:pt idx="85">
                  <c:v>0.30982087885190901</c:v>
                </c:pt>
                <c:pt idx="86">
                  <c:v>0.30362751830138401</c:v>
                </c:pt>
                <c:pt idx="87">
                  <c:v>0.29755796385632299</c:v>
                </c:pt>
                <c:pt idx="88">
                  <c:v>0.29160974061084499</c:v>
                </c:pt>
                <c:pt idx="89">
                  <c:v>0.28578042313600199</c:v>
                </c:pt>
                <c:pt idx="90">
                  <c:v>0.28006763449144201</c:v>
                </c:pt>
                <c:pt idx="91">
                  <c:v>0.27446904525221899</c:v>
                </c:pt>
                <c:pt idx="92">
                  <c:v>0.26898237255702001</c:v>
                </c:pt>
                <c:pt idx="93">
                  <c:v>0.26360537917798899</c:v>
                </c:pt>
                <c:pt idx="94">
                  <c:v>0.25833587261091701</c:v>
                </c:pt>
                <c:pt idx="95">
                  <c:v>0.25317170418055202</c:v>
                </c:pt>
                <c:pt idx="96">
                  <c:v>0.24811076816374</c:v>
                </c:pt>
                <c:pt idx="97">
                  <c:v>0.24315100093057501</c:v>
                </c:pt>
                <c:pt idx="98">
                  <c:v>0.23829038010373799</c:v>
                </c:pt>
                <c:pt idx="99">
                  <c:v>0.23352692373328399</c:v>
                </c:pt>
              </c:numCache>
            </c:numRef>
          </c:yVal>
          <c:smooth val="0"/>
          <c:extLst>
            <c:ext xmlns:c16="http://schemas.microsoft.com/office/drawing/2014/chart" uri="{C3380CC4-5D6E-409C-BE32-E72D297353CC}">
              <c16:uniqueId val="{0000001B-D137-48DF-AE00-9067040BCA60}"/>
            </c:ext>
          </c:extLst>
        </c:ser>
        <c:ser>
          <c:idx val="37"/>
          <c:order val="28"/>
          <c:tx>
            <c:strRef>
              <c:f>dynamicR!$CC$19</c:f>
              <c:strCache>
                <c:ptCount val="1"/>
                <c:pt idx="0">
                  <c:v>sd2CS</c:v>
                </c:pt>
              </c:strCache>
            </c:strRef>
          </c:tx>
          <c:spPr>
            <a:ln w="19050" cap="rnd">
              <a:solidFill>
                <a:schemeClr val="accent2">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dynamicR!$CC$20:$CC$119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-3.66185437111513E-214</c:v>
                </c:pt>
                <c:pt idx="52">
                  <c:v>8.8214131276482698E-216</c:v>
                </c:pt>
                <c:pt idx="53">
                  <c:v>-2.98768751524316E-215</c:v>
                </c:pt>
                <c:pt idx="54">
                  <c:v>3.92872226846599E-214</c:v>
                </c:pt>
                <c:pt idx="55">
                  <c:v>-2.47323046510596E-214</c:v>
                </c:pt>
                <c:pt idx="56">
                  <c:v>8.0631510590097004E-214</c:v>
                </c:pt>
                <c:pt idx="57">
                  <c:v>-2.3497999196105201E-214</c:v>
                </c:pt>
                <c:pt idx="58">
                  <c:v>4.3747527058597302E-215</c:v>
                </c:pt>
                <c:pt idx="59">
                  <c:v>2.6646473445785502E-216</c:v>
                </c:pt>
                <c:pt idx="60">
                  <c:v>-4.9445082106220803E-216</c:v>
                </c:pt>
                <c:pt idx="61">
                  <c:v>2.3536738541017001E-216</c:v>
                </c:pt>
                <c:pt idx="62">
                  <c:v>5.8518265338334097E-215</c:v>
                </c:pt>
                <c:pt idx="63">
                  <c:v>4.5447995671211101E-215</c:v>
                </c:pt>
                <c:pt idx="64">
                  <c:v>-3.68422487139309E-215</c:v>
                </c:pt>
                <c:pt idx="65">
                  <c:v>-8.4265732081448595E-216</c:v>
                </c:pt>
                <c:pt idx="66">
                  <c:v>5.8863830998653705E-215</c:v>
                </c:pt>
                <c:pt idx="67">
                  <c:v>-1.9027114668398299E-215</c:v>
                </c:pt>
                <c:pt idx="68">
                  <c:v>-6.4605646593269098E-215</c:v>
                </c:pt>
                <c:pt idx="69">
                  <c:v>5.5340618068771598E-215</c:v>
                </c:pt>
                <c:pt idx="70">
                  <c:v>5.1569125004278502E-215</c:v>
                </c:pt>
                <c:pt idx="71">
                  <c:v>-9.4514112186898997E-215</c:v>
                </c:pt>
                <c:pt idx="72">
                  <c:v>-1.5702546399310299E-215</c:v>
                </c:pt>
                <c:pt idx="73">
                  <c:v>1.2492130854367401E-214</c:v>
                </c:pt>
                <c:pt idx="74">
                  <c:v>-4.4279404138605501E-215</c:v>
                </c:pt>
                <c:pt idx="75">
                  <c:v>-1.27787681644973E-214</c:v>
                </c:pt>
                <c:pt idx="76">
                  <c:v>1.2345351030712599E-214</c:v>
                </c:pt>
                <c:pt idx="77">
                  <c:v>-8.84984831705283E-215</c:v>
                </c:pt>
                <c:pt idx="78">
                  <c:v>3.4600927396635102E-215</c:v>
                </c:pt>
                <c:pt idx="79">
                  <c:v>-8.0069959519539195E-216</c:v>
                </c:pt>
                <c:pt idx="80">
                  <c:v>7.5811509286252605E-217</c:v>
                </c:pt>
                <c:pt idx="81">
                  <c:v>4.04738364634604E-222</c:v>
                </c:pt>
                <c:pt idx="82">
                  <c:v>-1.2566667485892701E-222</c:v>
                </c:pt>
                <c:pt idx="83">
                  <c:v>2.67409774196645E-223</c:v>
                </c:pt>
                <c:pt idx="84">
                  <c:v>-3.503469327653E-224</c:v>
                </c:pt>
                <c:pt idx="85">
                  <c:v>2.08381471174289E-225</c:v>
                </c:pt>
                <c:pt idx="86">
                  <c:v>4.7307171765449297E-230</c:v>
                </c:pt>
                <c:pt idx="87">
                  <c:v>-9.7969517426515304E-231</c:v>
                </c:pt>
                <c:pt idx="88">
                  <c:v>1.4324551537618099E-231</c:v>
                </c:pt>
                <c:pt idx="89">
                  <c:v>-1.32104212858453E-232</c:v>
                </c:pt>
                <c:pt idx="90">
                  <c:v>5.7268030552117E-234</c:v>
                </c:pt>
                <c:pt idx="91">
                  <c:v>3.7313153688440801E-238</c:v>
                </c:pt>
                <c:pt idx="92">
                  <c:v>-5.7986677082658504E-239</c:v>
                </c:pt>
                <c:pt idx="93">
                  <c:v>6.4695961225757501E-240</c:v>
                </c:pt>
                <c:pt idx="94">
                  <c:v>-4.6150567442869597E-241</c:v>
                </c:pt>
                <c:pt idx="95">
                  <c:v>1.5732735335935601E-242</c:v>
                </c:pt>
                <c:pt idx="96">
                  <c:v>2.3487563775528499E-246</c:v>
                </c:pt>
                <c:pt idx="97">
                  <c:v>-2.9277339298134998E-247</c:v>
                </c:pt>
                <c:pt idx="98">
                  <c:v>2.6433604227247501E-248</c:v>
                </c:pt>
                <c:pt idx="99">
                  <c:v>-1.53878823020153E-249</c:v>
                </c:pt>
              </c:numCache>
            </c:numRef>
          </c:yVal>
          <c:smooth val="0"/>
          <c:extLst>
            <c:ext xmlns:c16="http://schemas.microsoft.com/office/drawing/2014/chart" uri="{C3380CC4-5D6E-409C-BE32-E72D297353CC}">
              <c16:uniqueId val="{0000001C-D137-48DF-AE00-9067040BCA60}"/>
            </c:ext>
          </c:extLst>
        </c:ser>
        <c:ser>
          <c:idx val="38"/>
          <c:order val="29"/>
          <c:tx>
            <c:strRef>
              <c:f>dynamicR!$CD$19</c:f>
              <c:strCache>
                <c:ptCount val="1"/>
                <c:pt idx="0">
                  <c:v>sd2CA</c:v>
                </c:pt>
              </c:strCache>
            </c:strRef>
          </c:tx>
          <c:spPr>
            <a:ln w="19050" cap="rnd">
              <a:solidFill>
                <a:schemeClr val="accent3">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dynamicR!$CD$20:$CD$119</c:f>
              <c:numCache>
                <c:formatCode>0.00</c:formatCode>
                <c:ptCount val="100"/>
                <c:pt idx="0">
                  <c:v>0</c:v>
                </c:pt>
                <c:pt idx="1">
                  <c:v>1</c:v>
                </c:pt>
                <c:pt idx="2">
                  <c:v>0.999999999999999</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6.9255483260965202E-27</c:v>
                </c:pt>
                <c:pt idx="52">
                  <c:v>-1.6695924599289501E-28</c:v>
                </c:pt>
                <c:pt idx="53">
                  <c:v>5.65737361804961E-28</c:v>
                </c:pt>
                <c:pt idx="54">
                  <c:v>-7.4147297849586906E-27</c:v>
                </c:pt>
                <c:pt idx="55">
                  <c:v>4.6694923143800398E-27</c:v>
                </c:pt>
                <c:pt idx="56">
                  <c:v>-1.52213126743472E-26</c:v>
                </c:pt>
                <c:pt idx="57">
                  <c:v>4.4358429501536401E-27</c:v>
                </c:pt>
                <c:pt idx="58">
                  <c:v>-8.2582174036129301E-28</c:v>
                </c:pt>
                <c:pt idx="59">
                  <c:v>-5.0306093031703397E-29</c:v>
                </c:pt>
                <c:pt idx="60">
                  <c:v>9.33431305749636E-29</c:v>
                </c:pt>
                <c:pt idx="61">
                  <c:v>-4.4423349997101499E-29</c:v>
                </c:pt>
                <c:pt idx="62">
                  <c:v>-1.1046661885380999E-27</c:v>
                </c:pt>
                <c:pt idx="63">
                  <c:v>-8.5793266953735691E-28</c:v>
                </c:pt>
                <c:pt idx="64">
                  <c:v>6.9548863941831401E-28</c:v>
                </c:pt>
                <c:pt idx="65">
                  <c:v>1.59069346690685E-28</c:v>
                </c:pt>
                <c:pt idx="66">
                  <c:v>-1.11119505260057E-27</c:v>
                </c:pt>
                <c:pt idx="67">
                  <c:v>3.5918425323757598E-28</c:v>
                </c:pt>
                <c:pt idx="68">
                  <c:v>1.2195834910622501E-27</c:v>
                </c:pt>
                <c:pt idx="69">
                  <c:v>-1.0446865425497199E-27</c:v>
                </c:pt>
                <c:pt idx="70">
                  <c:v>-9.7348735992351394E-28</c:v>
                </c:pt>
                <c:pt idx="71">
                  <c:v>1.7841766754827101E-27</c:v>
                </c:pt>
                <c:pt idx="72">
                  <c:v>2.9642160997886802E-28</c:v>
                </c:pt>
                <c:pt idx="73">
                  <c:v>-2.3581820300005301E-27</c:v>
                </c:pt>
                <c:pt idx="74">
                  <c:v>8.3587643059496996E-28</c:v>
                </c:pt>
                <c:pt idx="75">
                  <c:v>2.4122906983569401E-27</c:v>
                </c:pt>
                <c:pt idx="76">
                  <c:v>-2.3304708219108899E-27</c:v>
                </c:pt>
                <c:pt idx="77">
                  <c:v>1.6706083631847299E-27</c:v>
                </c:pt>
                <c:pt idx="78">
                  <c:v>-6.5316333391643204E-28</c:v>
                </c:pt>
                <c:pt idx="79">
                  <c:v>1.5114260420396801E-28</c:v>
                </c:pt>
                <c:pt idx="80">
                  <c:v>-1.43064188718956E-29</c:v>
                </c:pt>
                <c:pt idx="81">
                  <c:v>-2.1280336833364398E-33</c:v>
                </c:pt>
                <c:pt idx="82">
                  <c:v>6.6071400901917297E-34</c:v>
                </c:pt>
                <c:pt idx="83">
                  <c:v>-1.4058528594296501E-34</c:v>
                </c:pt>
                <c:pt idx="84">
                  <c:v>1.8413757587574799E-35</c:v>
                </c:pt>
                <c:pt idx="85">
                  <c:v>-1.0931450925173099E-36</c:v>
                </c:pt>
                <c:pt idx="86">
                  <c:v>-7.09854234044845E-40</c:v>
                </c:pt>
                <c:pt idx="87">
                  <c:v>1.46340427867368E-40</c:v>
                </c:pt>
                <c:pt idx="88">
                  <c:v>-2.1391071216955899E-41</c:v>
                </c:pt>
                <c:pt idx="89">
                  <c:v>1.9705841295404101E-42</c:v>
                </c:pt>
                <c:pt idx="90">
                  <c:v>-8.4783870374360998E-44</c:v>
                </c:pt>
                <c:pt idx="91">
                  <c:v>-1.6209140729776101E-46</c:v>
                </c:pt>
                <c:pt idx="92">
                  <c:v>2.5122013330926199E-47</c:v>
                </c:pt>
                <c:pt idx="93">
                  <c:v>-2.8005731122838003E-48</c:v>
                </c:pt>
                <c:pt idx="94">
                  <c:v>1.9913817250934799E-49</c:v>
                </c:pt>
                <c:pt idx="95">
                  <c:v>-6.6384705820780101E-51</c:v>
                </c:pt>
                <c:pt idx="96">
                  <c:v>-3.0110943530666299E-53</c:v>
                </c:pt>
                <c:pt idx="97">
                  <c:v>3.7430710570005801E-54</c:v>
                </c:pt>
                <c:pt idx="98">
                  <c:v>-3.3728206574148103E-55</c:v>
                </c:pt>
                <c:pt idx="99">
                  <c:v>1.94821543748709E-56</c:v>
                </c:pt>
              </c:numCache>
            </c:numRef>
          </c:yVal>
          <c:smooth val="0"/>
          <c:extLst>
            <c:ext xmlns:c16="http://schemas.microsoft.com/office/drawing/2014/chart" uri="{C3380CC4-5D6E-409C-BE32-E72D297353CC}">
              <c16:uniqueId val="{0000001D-D137-48DF-AE00-9067040BCA60}"/>
            </c:ext>
          </c:extLst>
        </c:ser>
        <c:ser>
          <c:idx val="39"/>
          <c:order val="30"/>
          <c:tx>
            <c:strRef>
              <c:f>dynamicR!$CE$19</c:f>
              <c:strCache>
                <c:ptCount val="1"/>
                <c:pt idx="0">
                  <c:v>sd2CP</c:v>
                </c:pt>
              </c:strCache>
            </c:strRef>
          </c:tx>
          <c:spPr>
            <a:ln w="19050" cap="rnd">
              <a:solidFill>
                <a:schemeClr val="accent4">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dynamicR!$CE$20:$CE$119</c:f>
              <c:numCache>
                <c:formatCode>0.00</c:formatCode>
                <c:ptCount val="100"/>
                <c:pt idx="0">
                  <c:v>0</c:v>
                </c:pt>
                <c:pt idx="1">
                  <c:v>1.00000000000001</c:v>
                </c:pt>
                <c:pt idx="2">
                  <c:v>1.00000000000003</c:v>
                </c:pt>
                <c:pt idx="3">
                  <c:v>1.00000000000005</c:v>
                </c:pt>
                <c:pt idx="4">
                  <c:v>0.99999999999992295</c:v>
                </c:pt>
                <c:pt idx="5">
                  <c:v>0.999999999999999</c:v>
                </c:pt>
                <c:pt idx="6">
                  <c:v>0.99999999999996303</c:v>
                </c:pt>
                <c:pt idx="7">
                  <c:v>1.00000000000005</c:v>
                </c:pt>
                <c:pt idx="8">
                  <c:v>0.99999999999997702</c:v>
                </c:pt>
                <c:pt idx="9">
                  <c:v>1.00000000000001</c:v>
                </c:pt>
                <c:pt idx="10">
                  <c:v>1.00000000000001</c:v>
                </c:pt>
                <c:pt idx="11">
                  <c:v>0.99999999999998701</c:v>
                </c:pt>
                <c:pt idx="12">
                  <c:v>1.00000000000001</c:v>
                </c:pt>
                <c:pt idx="13">
                  <c:v>1.00000000000002</c:v>
                </c:pt>
                <c:pt idx="14">
                  <c:v>0.99999999999997102</c:v>
                </c:pt>
                <c:pt idx="15">
                  <c:v>0.99999999999996902</c:v>
                </c:pt>
                <c:pt idx="16">
                  <c:v>1.00000000000005</c:v>
                </c:pt>
                <c:pt idx="17">
                  <c:v>0.99999999999998901</c:v>
                </c:pt>
                <c:pt idx="18">
                  <c:v>0.99999999999991895</c:v>
                </c:pt>
                <c:pt idx="19">
                  <c:v>1.0000000000000899</c:v>
                </c:pt>
                <c:pt idx="20">
                  <c:v>1.00000000000005</c:v>
                </c:pt>
                <c:pt idx="21">
                  <c:v>0.99999999999980904</c:v>
                </c:pt>
                <c:pt idx="22">
                  <c:v>1.0000000000000699</c:v>
                </c:pt>
                <c:pt idx="23">
                  <c:v>0.99999999999996103</c:v>
                </c:pt>
                <c:pt idx="24">
                  <c:v>1.00000000000001</c:v>
                </c:pt>
                <c:pt idx="25">
                  <c:v>0.999999999999999</c:v>
                </c:pt>
                <c:pt idx="26">
                  <c:v>1</c:v>
                </c:pt>
                <c:pt idx="27">
                  <c:v>0.999999999999999</c:v>
                </c:pt>
                <c:pt idx="28">
                  <c:v>1</c:v>
                </c:pt>
                <c:pt idx="29">
                  <c:v>1</c:v>
                </c:pt>
                <c:pt idx="30">
                  <c:v>1</c:v>
                </c:pt>
                <c:pt idx="31">
                  <c:v>0.999999999999999</c:v>
                </c:pt>
                <c:pt idx="32">
                  <c:v>1</c:v>
                </c:pt>
                <c:pt idx="33">
                  <c:v>1</c:v>
                </c:pt>
                <c:pt idx="34">
                  <c:v>1</c:v>
                </c:pt>
                <c:pt idx="35">
                  <c:v>0.999999999999999</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2.8406113931697101E-24</c:v>
                </c:pt>
                <c:pt idx="52">
                  <c:v>-7.0102029886884202E-26</c:v>
                </c:pt>
                <c:pt idx="53">
                  <c:v>2.4131109826544901E-25</c:v>
                </c:pt>
                <c:pt idx="54">
                  <c:v>-2.83385373331163E-24</c:v>
                </c:pt>
                <c:pt idx="55">
                  <c:v>1.8079991146253699E-24</c:v>
                </c:pt>
                <c:pt idx="56">
                  <c:v>-5.8666301156619902E-24</c:v>
                </c:pt>
                <c:pt idx="57">
                  <c:v>1.70963458362061E-24</c:v>
                </c:pt>
                <c:pt idx="58">
                  <c:v>-3.1810218995960601E-25</c:v>
                </c:pt>
                <c:pt idx="59">
                  <c:v>-1.9376780918403599E-26</c:v>
                </c:pt>
                <c:pt idx="60">
                  <c:v>3.5954403294837999E-26</c:v>
                </c:pt>
                <c:pt idx="61">
                  <c:v>-1.7112713084519399E-26</c:v>
                </c:pt>
                <c:pt idx="62">
                  <c:v>-4.2550892833280202E-25</c:v>
                </c:pt>
                <c:pt idx="63">
                  <c:v>-3.3046942266371602E-25</c:v>
                </c:pt>
                <c:pt idx="64">
                  <c:v>2.67895818474774E-25</c:v>
                </c:pt>
                <c:pt idx="65">
                  <c:v>6.1272522505031998E-26</c:v>
                </c:pt>
                <c:pt idx="66">
                  <c:v>-4.28022944665336E-25</c:v>
                </c:pt>
                <c:pt idx="67">
                  <c:v>1.3835441213306301E-25</c:v>
                </c:pt>
                <c:pt idx="68">
                  <c:v>4.6977356557051197E-25</c:v>
                </c:pt>
                <c:pt idx="69">
                  <c:v>-4.0240435142055202E-25</c:v>
                </c:pt>
                <c:pt idx="70">
                  <c:v>-3.7497952539708902E-25</c:v>
                </c:pt>
                <c:pt idx="71">
                  <c:v>6.8725015176110204E-25</c:v>
                </c:pt>
                <c:pt idx="72">
                  <c:v>1.14179302707129E-25</c:v>
                </c:pt>
                <c:pt idx="73">
                  <c:v>-9.0835261525911602E-25</c:v>
                </c:pt>
                <c:pt idx="74">
                  <c:v>3.2197298815004902E-25</c:v>
                </c:pt>
                <c:pt idx="75">
                  <c:v>9.2919495613063795E-25</c:v>
                </c:pt>
                <c:pt idx="76">
                  <c:v>-8.9767898292728904E-25</c:v>
                </c:pt>
                <c:pt idx="77">
                  <c:v>6.4350600779133399E-25</c:v>
                </c:pt>
                <c:pt idx="78">
                  <c:v>-2.5159481443422601E-25</c:v>
                </c:pt>
                <c:pt idx="79">
                  <c:v>5.8220184972330896E-26</c:v>
                </c:pt>
                <c:pt idx="80">
                  <c:v>-5.5114616603930497E-27</c:v>
                </c:pt>
                <c:pt idx="81">
                  <c:v>-4.9999027043041204E-31</c:v>
                </c:pt>
                <c:pt idx="82">
                  <c:v>1.5524232829857099E-31</c:v>
                </c:pt>
                <c:pt idx="83">
                  <c:v>-3.3035082829365799E-32</c:v>
                </c:pt>
                <c:pt idx="84">
                  <c:v>4.3284001706554303E-33</c:v>
                </c:pt>
                <c:pt idx="85">
                  <c:v>-2.5757477354923599E-34</c:v>
                </c:pt>
                <c:pt idx="86">
                  <c:v>3.61302265689479E-38</c:v>
                </c:pt>
                <c:pt idx="87">
                  <c:v>-7.4417964616685497E-39</c:v>
                </c:pt>
                <c:pt idx="88">
                  <c:v>1.08524070771225E-39</c:v>
                </c:pt>
                <c:pt idx="89">
                  <c:v>-9.9060615515951508E-41</c:v>
                </c:pt>
                <c:pt idx="90">
                  <c:v>3.9885268046393799E-42</c:v>
                </c:pt>
                <c:pt idx="91">
                  <c:v>7.4827263954436896E-44</c:v>
                </c:pt>
                <c:pt idx="92">
                  <c:v>-1.1593506904083801E-44</c:v>
                </c:pt>
                <c:pt idx="93">
                  <c:v>1.2912584124634101E-45</c:v>
                </c:pt>
                <c:pt idx="94">
                  <c:v>-9.1490055299045608E-47</c:v>
                </c:pt>
                <c:pt idx="95">
                  <c:v>2.9730115310101203E-48</c:v>
                </c:pt>
                <c:pt idx="96">
                  <c:v>2.87337294271758E-50</c:v>
                </c:pt>
                <c:pt idx="97">
                  <c:v>-3.5704870518746398E-51</c:v>
                </c:pt>
                <c:pt idx="98">
                  <c:v>3.21369169444547E-52</c:v>
                </c:pt>
                <c:pt idx="99">
                  <c:v>-1.8480460872039799E-53</c:v>
                </c:pt>
              </c:numCache>
            </c:numRef>
          </c:yVal>
          <c:smooth val="0"/>
          <c:extLst>
            <c:ext xmlns:c16="http://schemas.microsoft.com/office/drawing/2014/chart" uri="{C3380CC4-5D6E-409C-BE32-E72D297353CC}">
              <c16:uniqueId val="{0000001E-D137-48DF-AE00-9067040BCA60}"/>
            </c:ext>
          </c:extLst>
        </c:ser>
        <c:ser>
          <c:idx val="40"/>
          <c:order val="31"/>
          <c:tx>
            <c:strRef>
              <c:f>dynamicR!$CF$19</c:f>
              <c:strCache>
                <c:ptCount val="1"/>
                <c:pt idx="0">
                  <c:v>s1CD</c:v>
                </c:pt>
              </c:strCache>
            </c:strRef>
          </c:tx>
          <c:spPr>
            <a:ln w="19050" cap="rnd">
              <a:solidFill>
                <a:schemeClr val="accent5">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dynamicR!$CF$20:$CF$119</c:f>
              <c:numCache>
                <c:formatCode>0.00</c:formatCode>
                <c:ptCount val="100"/>
                <c:pt idx="0">
                  <c:v>0</c:v>
                </c:pt>
                <c:pt idx="1">
                  <c:v>0.99999999999999001</c:v>
                </c:pt>
                <c:pt idx="2">
                  <c:v>0.99999999999998801</c:v>
                </c:pt>
                <c:pt idx="3">
                  <c:v>0.99999999999998701</c:v>
                </c:pt>
                <c:pt idx="4">
                  <c:v>0.99999999999999101</c:v>
                </c:pt>
                <c:pt idx="5">
                  <c:v>0.99999999999999101</c:v>
                </c:pt>
                <c:pt idx="6">
                  <c:v>0.99999999999999201</c:v>
                </c:pt>
                <c:pt idx="7">
                  <c:v>0.99999999999999101</c:v>
                </c:pt>
                <c:pt idx="8">
                  <c:v>0.99999999999999201</c:v>
                </c:pt>
                <c:pt idx="9">
                  <c:v>0.99999999999999101</c:v>
                </c:pt>
                <c:pt idx="10">
                  <c:v>0.99999999999999201</c:v>
                </c:pt>
                <c:pt idx="11">
                  <c:v>0.99999999999999201</c:v>
                </c:pt>
                <c:pt idx="12">
                  <c:v>0.99999999999999201</c:v>
                </c:pt>
                <c:pt idx="13">
                  <c:v>0.99999999999999201</c:v>
                </c:pt>
                <c:pt idx="14">
                  <c:v>0.99999999999999201</c:v>
                </c:pt>
                <c:pt idx="15">
                  <c:v>0.99999999999999201</c:v>
                </c:pt>
                <c:pt idx="16">
                  <c:v>0.99999999999999301</c:v>
                </c:pt>
                <c:pt idx="17">
                  <c:v>0.99999999999999301</c:v>
                </c:pt>
                <c:pt idx="18">
                  <c:v>0.99999999999999301</c:v>
                </c:pt>
                <c:pt idx="19">
                  <c:v>0.99999999999999301</c:v>
                </c:pt>
                <c:pt idx="20">
                  <c:v>0.999999999999994</c:v>
                </c:pt>
                <c:pt idx="21">
                  <c:v>0.999999999999994</c:v>
                </c:pt>
                <c:pt idx="22">
                  <c:v>0.99999999999999301</c:v>
                </c:pt>
                <c:pt idx="23">
                  <c:v>0.999999999999994</c:v>
                </c:pt>
                <c:pt idx="24">
                  <c:v>0.999999999999994</c:v>
                </c:pt>
                <c:pt idx="25">
                  <c:v>0.999999999999994</c:v>
                </c:pt>
                <c:pt idx="26">
                  <c:v>0.999999999999994</c:v>
                </c:pt>
                <c:pt idx="27">
                  <c:v>0.999999999999994</c:v>
                </c:pt>
                <c:pt idx="28">
                  <c:v>0.999999999999995</c:v>
                </c:pt>
                <c:pt idx="29">
                  <c:v>0.999999999999994</c:v>
                </c:pt>
                <c:pt idx="30">
                  <c:v>0.999999999999995</c:v>
                </c:pt>
                <c:pt idx="31">
                  <c:v>0.999999999999995</c:v>
                </c:pt>
                <c:pt idx="32">
                  <c:v>0.999999999999995</c:v>
                </c:pt>
                <c:pt idx="33">
                  <c:v>0.999999999999994</c:v>
                </c:pt>
                <c:pt idx="34">
                  <c:v>0.999999999999995</c:v>
                </c:pt>
                <c:pt idx="35">
                  <c:v>0.999999999999995</c:v>
                </c:pt>
                <c:pt idx="36">
                  <c:v>0.999999999999995</c:v>
                </c:pt>
                <c:pt idx="37">
                  <c:v>0.999999999999995</c:v>
                </c:pt>
                <c:pt idx="38">
                  <c:v>0.999999999999995</c:v>
                </c:pt>
                <c:pt idx="39">
                  <c:v>0.999999999999996</c:v>
                </c:pt>
                <c:pt idx="40">
                  <c:v>0.999999999999996</c:v>
                </c:pt>
                <c:pt idx="41">
                  <c:v>0.999999999999996</c:v>
                </c:pt>
                <c:pt idx="42">
                  <c:v>0.999999999999995</c:v>
                </c:pt>
                <c:pt idx="43">
                  <c:v>0.999999999999996</c:v>
                </c:pt>
                <c:pt idx="44">
                  <c:v>0.999999999999996</c:v>
                </c:pt>
                <c:pt idx="45">
                  <c:v>0.999999999999996</c:v>
                </c:pt>
                <c:pt idx="46">
                  <c:v>0.999999999999996</c:v>
                </c:pt>
                <c:pt idx="47">
                  <c:v>0.999999999999996</c:v>
                </c:pt>
                <c:pt idx="48">
                  <c:v>0.999999999999996</c:v>
                </c:pt>
                <c:pt idx="49">
                  <c:v>0.999999999999997</c:v>
                </c:pt>
                <c:pt idx="50">
                  <c:v>0.999999999999997</c:v>
                </c:pt>
                <c:pt idx="51">
                  <c:v>6.2032099342459603E-15</c:v>
                </c:pt>
                <c:pt idx="52">
                  <c:v>6.0792016678953202E-15</c:v>
                </c:pt>
                <c:pt idx="53">
                  <c:v>5.9576765812524098E-15</c:v>
                </c:pt>
                <c:pt idx="54">
                  <c:v>5.8385834157074801E-15</c:v>
                </c:pt>
                <c:pt idx="55">
                  <c:v>5.72187042121044E-15</c:v>
                </c:pt>
                <c:pt idx="56">
                  <c:v>5.6074899348144898E-15</c:v>
                </c:pt>
                <c:pt idx="57">
                  <c:v>5.49539571023122E-15</c:v>
                </c:pt>
                <c:pt idx="58">
                  <c:v>5.3855422146631003E-15</c:v>
                </c:pt>
                <c:pt idx="59">
                  <c:v>5.2778847139579704E-15</c:v>
                </c:pt>
                <c:pt idx="60">
                  <c:v>5.1723792361529399E-15</c:v>
                </c:pt>
                <c:pt idx="61">
                  <c:v>5.0689826821449697E-15</c:v>
                </c:pt>
                <c:pt idx="62">
                  <c:v>4.9676529708936197E-15</c:v>
                </c:pt>
                <c:pt idx="63">
                  <c:v>4.8683488783564104E-15</c:v>
                </c:pt>
                <c:pt idx="64">
                  <c:v>4.7710299280961999E-15</c:v>
                </c:pt>
                <c:pt idx="65">
                  <c:v>4.67565641258899E-15</c:v>
                </c:pt>
                <c:pt idx="66">
                  <c:v>4.5821894229888296E-15</c:v>
                </c:pt>
                <c:pt idx="67">
                  <c:v>4.49059084444048E-15</c:v>
                </c:pt>
                <c:pt idx="68">
                  <c:v>4.4008233314100098E-15</c:v>
                </c:pt>
                <c:pt idx="69">
                  <c:v>4.31285028385198E-15</c:v>
                </c:pt>
                <c:pt idx="70">
                  <c:v>4.2266358304947203E-15</c:v>
                </c:pt>
                <c:pt idx="71">
                  <c:v>4.1421448159598503E-15</c:v>
                </c:pt>
                <c:pt idx="72">
                  <c:v>4.0593427879117098E-15</c:v>
                </c:pt>
                <c:pt idx="73">
                  <c:v>3.9781959832464803E-15</c:v>
                </c:pt>
                <c:pt idx="74">
                  <c:v>3.8986713139964802E-15</c:v>
                </c:pt>
                <c:pt idx="75">
                  <c:v>3.8207363541796704E-15</c:v>
                </c:pt>
                <c:pt idx="76">
                  <c:v>3.7443593264946903E-15</c:v>
                </c:pt>
                <c:pt idx="77">
                  <c:v>3.66950908714928E-15</c:v>
                </c:pt>
                <c:pt idx="78">
                  <c:v>3.5961551138017397E-15</c:v>
                </c:pt>
                <c:pt idx="79">
                  <c:v>3.5242674951711998E-15</c:v>
                </c:pt>
                <c:pt idx="80">
                  <c:v>3.45381691916456E-15</c:v>
                </c:pt>
                <c:pt idx="81">
                  <c:v>3.3847746597638702E-15</c:v>
                </c:pt>
                <c:pt idx="82">
                  <c:v>3.3171125645753801E-15</c:v>
                </c:pt>
                <c:pt idx="83">
                  <c:v>3.2508030436449599E-15</c:v>
                </c:pt>
                <c:pt idx="84">
                  <c:v>3.1858190586985601E-15</c:v>
                </c:pt>
                <c:pt idx="85">
                  <c:v>3.12213411219526E-15</c:v>
                </c:pt>
                <c:pt idx="86">
                  <c:v>3.0597222362894901E-15</c:v>
                </c:pt>
                <c:pt idx="87">
                  <c:v>2.99855798212763E-15</c:v>
                </c:pt>
                <c:pt idx="88">
                  <c:v>2.9386164095309799E-15</c:v>
                </c:pt>
                <c:pt idx="89">
                  <c:v>2.8798730769109602E-15</c:v>
                </c:pt>
                <c:pt idx="90">
                  <c:v>2.8223040313094E-15</c:v>
                </c:pt>
                <c:pt idx="91">
                  <c:v>2.7658857985914498E-15</c:v>
                </c:pt>
                <c:pt idx="92">
                  <c:v>2.7105953738543901E-15</c:v>
                </c:pt>
                <c:pt idx="93">
                  <c:v>2.6564102120540302E-15</c:v>
                </c:pt>
                <c:pt idx="94">
                  <c:v>2.6033082188363399E-15</c:v>
                </c:pt>
                <c:pt idx="95">
                  <c:v>2.5512677415214699E-15</c:v>
                </c:pt>
                <c:pt idx="96">
                  <c:v>2.5002675602674498E-15</c:v>
                </c:pt>
                <c:pt idx="97">
                  <c:v>2.4502868794153602E-15</c:v>
                </c:pt>
                <c:pt idx="98">
                  <c:v>2.4013053190177901E-15</c:v>
                </c:pt>
                <c:pt idx="99">
                  <c:v>2.3533029065229899E-15</c:v>
                </c:pt>
              </c:numCache>
            </c:numRef>
          </c:yVal>
          <c:smooth val="0"/>
          <c:extLst>
            <c:ext xmlns:c16="http://schemas.microsoft.com/office/drawing/2014/chart" uri="{C3380CC4-5D6E-409C-BE32-E72D297353CC}">
              <c16:uniqueId val="{0000001F-D137-48DF-AE00-9067040BCA60}"/>
            </c:ext>
          </c:extLst>
        </c:ser>
        <c:ser>
          <c:idx val="41"/>
          <c:order val="32"/>
          <c:tx>
            <c:strRef>
              <c:f>dynamicR!$CG$19</c:f>
              <c:strCache>
                <c:ptCount val="1"/>
                <c:pt idx="0">
                  <c:v>s1CS</c:v>
                </c:pt>
              </c:strCache>
            </c:strRef>
          </c:tx>
          <c:spPr>
            <a:ln w="19050" cap="rnd">
              <a:solidFill>
                <a:schemeClr val="accent6">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dynamicR!$CG$20:$CG$119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1</c:v>
                </c:pt>
                <c:pt idx="21">
                  <c:v>1</c:v>
                </c:pt>
                <c:pt idx="22">
                  <c:v>0.999999999999998</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-4.1107927925044697E-214</c:v>
                </c:pt>
                <c:pt idx="52">
                  <c:v>9.9029048418384499E-216</c:v>
                </c:pt>
                <c:pt idx="53">
                  <c:v>-3.3539735954927998E-215</c:v>
                </c:pt>
                <c:pt idx="54">
                  <c:v>4.4103781233139503E-214</c:v>
                </c:pt>
                <c:pt idx="55">
                  <c:v>-2.7764451070660199E-214</c:v>
                </c:pt>
                <c:pt idx="56">
                  <c:v>9.0516821458869598E-214</c:v>
                </c:pt>
                <c:pt idx="57">
                  <c:v>-2.6378821150263399E-214</c:v>
                </c:pt>
                <c:pt idx="58">
                  <c:v>4.9110912867474298E-215</c:v>
                </c:pt>
                <c:pt idx="59">
                  <c:v>2.9913293930163698E-216</c:v>
                </c:pt>
                <c:pt idx="60">
                  <c:v>-5.5506980218365903E-216</c:v>
                </c:pt>
                <c:pt idx="61">
                  <c:v>2.6422309862770401E-216</c:v>
                </c:pt>
                <c:pt idx="62">
                  <c:v>6.5692523061642404E-215</c:v>
                </c:pt>
                <c:pt idx="63">
                  <c:v>5.10198565605911E-215</c:v>
                </c:pt>
                <c:pt idx="64">
                  <c:v>-4.1359057027571398E-215</c:v>
                </c:pt>
                <c:pt idx="65">
                  <c:v>-9.4596593321095803E-216</c:v>
                </c:pt>
                <c:pt idx="66">
                  <c:v>6.6080454590005796E-215</c:v>
                </c:pt>
                <c:pt idx="67">
                  <c:v>-2.13598123923115E-215</c:v>
                </c:pt>
                <c:pt idx="68">
                  <c:v>-7.2526208769219898E-215</c:v>
                </c:pt>
                <c:pt idx="69">
                  <c:v>6.2125300668249201E-215</c:v>
                </c:pt>
                <c:pt idx="70">
                  <c:v>5.7891427813616401E-215</c:v>
                </c:pt>
                <c:pt idx="71">
                  <c:v>-1.0610141053551101E-214</c:v>
                </c:pt>
                <c:pt idx="72">
                  <c:v>-1.76276566897371E-215</c:v>
                </c:pt>
                <c:pt idx="73">
                  <c:v>1.40236486760998E-214</c:v>
                </c:pt>
                <c:pt idx="74">
                  <c:v>-4.9707997335760604E-215</c:v>
                </c:pt>
                <c:pt idx="75">
                  <c:v>-1.4345427320718801E-214</c:v>
                </c:pt>
                <c:pt idx="76">
                  <c:v>1.38588738507585E-214</c:v>
                </c:pt>
                <c:pt idx="77">
                  <c:v>-9.9348273790884306E-215</c:v>
                </c:pt>
                <c:pt idx="78">
                  <c:v>3.8842952842430098E-215</c:v>
                </c:pt>
                <c:pt idx="79">
                  <c:v>-8.9886424894342905E-216</c:v>
                </c:pt>
                <c:pt idx="80">
                  <c:v>8.51058946009072E-217</c:v>
                </c:pt>
                <c:pt idx="81">
                  <c:v>4.5435888262101702E-222</c:v>
                </c:pt>
                <c:pt idx="82">
                  <c:v>-1.4107331533820501E-222</c:v>
                </c:pt>
                <c:pt idx="83">
                  <c:v>3.0019411842054902E-223</c:v>
                </c:pt>
                <c:pt idx="84">
                  <c:v>-3.93299507737843E-224</c:v>
                </c:pt>
                <c:pt idx="85">
                  <c:v>2.3392929966719E-225</c:v>
                </c:pt>
                <c:pt idx="86">
                  <c:v>5.2918817194502403E-230</c:v>
                </c:pt>
                <c:pt idx="87">
                  <c:v>-1.0998048619247499E-230</c:v>
                </c:pt>
                <c:pt idx="88">
                  <c:v>1.6080731737520701E-231</c:v>
                </c:pt>
                <c:pt idx="89">
                  <c:v>-1.48300113965758E-232</c:v>
                </c:pt>
                <c:pt idx="90">
                  <c:v>6.4289055913363995E-234</c:v>
                </c:pt>
                <c:pt idx="91">
                  <c:v>4.1745692271514802E-238</c:v>
                </c:pt>
                <c:pt idx="92">
                  <c:v>-6.5095813478275403E-239</c:v>
                </c:pt>
                <c:pt idx="93">
                  <c:v>7.2627671426801695E-240</c:v>
                </c:pt>
                <c:pt idx="94">
                  <c:v>-5.1808640210720301E-241</c:v>
                </c:pt>
                <c:pt idx="95">
                  <c:v>1.7661570985376401E-242</c:v>
                </c:pt>
                <c:pt idx="96">
                  <c:v>2.6352738116908101E-246</c:v>
                </c:pt>
                <c:pt idx="97">
                  <c:v>-3.2866747828442697E-247</c:v>
                </c:pt>
                <c:pt idx="98">
                  <c:v>2.9674375740180901E-248</c:v>
                </c:pt>
                <c:pt idx="99">
                  <c:v>-1.7274435835054901E-249</c:v>
                </c:pt>
              </c:numCache>
            </c:numRef>
          </c:yVal>
          <c:smooth val="0"/>
          <c:extLst>
            <c:ext xmlns:c16="http://schemas.microsoft.com/office/drawing/2014/chart" uri="{C3380CC4-5D6E-409C-BE32-E72D297353CC}">
              <c16:uniqueId val="{00000020-D137-48DF-AE00-9067040BCA60}"/>
            </c:ext>
          </c:extLst>
        </c:ser>
        <c:ser>
          <c:idx val="42"/>
          <c:order val="33"/>
          <c:tx>
            <c:strRef>
              <c:f>dynamicR!$CH$19</c:f>
              <c:strCache>
                <c:ptCount val="1"/>
                <c:pt idx="0">
                  <c:v>s1CA</c:v>
                </c:pt>
              </c:strCache>
            </c:strRef>
          </c:tx>
          <c:spPr>
            <a:ln w="19050" cap="rnd">
              <a:solidFill>
                <a:schemeClr val="accent1">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dynamicR!$CH$20:$CH$119</c:f>
              <c:numCache>
                <c:formatCode>0.00</c:formatCode>
                <c:ptCount val="100"/>
                <c:pt idx="0">
                  <c:v>0</c:v>
                </c:pt>
                <c:pt idx="1">
                  <c:v>1</c:v>
                </c:pt>
                <c:pt idx="2">
                  <c:v>0.999999999999997</c:v>
                </c:pt>
                <c:pt idx="3">
                  <c:v>0.999999999999997</c:v>
                </c:pt>
                <c:pt idx="4">
                  <c:v>1</c:v>
                </c:pt>
                <c:pt idx="5">
                  <c:v>1</c:v>
                </c:pt>
                <c:pt idx="6">
                  <c:v>1</c:v>
                </c:pt>
                <c:pt idx="7">
                  <c:v>0.999999999999999</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-8.45977484174395E-94</c:v>
                </c:pt>
                <c:pt idx="52">
                  <c:v>2.0379740143632101E-95</c:v>
                </c:pt>
                <c:pt idx="53">
                  <c:v>-6.90219344545648E-95</c:v>
                </c:pt>
                <c:pt idx="54">
                  <c:v>9.07630893974298E-94</c:v>
                </c:pt>
                <c:pt idx="55">
                  <c:v>-5.71375168529204E-94</c:v>
                </c:pt>
                <c:pt idx="56">
                  <c:v>1.86277924426172E-93</c:v>
                </c:pt>
                <c:pt idx="57">
                  <c:v>-5.4285767112166095E-94</c:v>
                </c:pt>
                <c:pt idx="58">
                  <c:v>1.0106575821800801E-94</c:v>
                </c:pt>
                <c:pt idx="59">
                  <c:v>6.1564682057395904E-96</c:v>
                </c:pt>
                <c:pt idx="60">
                  <c:v>-1.1423427070999301E-95</c:v>
                </c:pt>
                <c:pt idx="61">
                  <c:v>5.4367385698912496E-96</c:v>
                </c:pt>
                <c:pt idx="62">
                  <c:v>1.3519101900187699E-94</c:v>
                </c:pt>
                <c:pt idx="63">
                  <c:v>1.04995369257661E-94</c:v>
                </c:pt>
                <c:pt idx="64">
                  <c:v>-8.5115023655211094E-95</c:v>
                </c:pt>
                <c:pt idx="65">
                  <c:v>-1.9467216082195801E-95</c:v>
                </c:pt>
                <c:pt idx="66">
                  <c:v>1.3598993917838599E-94</c:v>
                </c:pt>
                <c:pt idx="67">
                  <c:v>-4.39575431780899E-95</c:v>
                </c:pt>
                <c:pt idx="68">
                  <c:v>-1.49254734678837E-94</c:v>
                </c:pt>
                <c:pt idx="69">
                  <c:v>1.27850505747543E-94</c:v>
                </c:pt>
                <c:pt idx="70">
                  <c:v>1.1913708420443399E-94</c:v>
                </c:pt>
                <c:pt idx="71">
                  <c:v>-2.18350614394523E-94</c:v>
                </c:pt>
                <c:pt idx="72">
                  <c:v>-3.6276603558657703E-95</c:v>
                </c:pt>
                <c:pt idx="73">
                  <c:v>2.88598414954874E-94</c:v>
                </c:pt>
                <c:pt idx="74">
                  <c:v>-1.02296026334427E-94</c:v>
                </c:pt>
                <c:pt idx="75">
                  <c:v>-2.9522034186887502E-94</c:v>
                </c:pt>
                <c:pt idx="76">
                  <c:v>2.8520712179954499E-94</c:v>
                </c:pt>
                <c:pt idx="77">
                  <c:v>-2.0445208425450701E-94</c:v>
                </c:pt>
                <c:pt idx="78">
                  <c:v>7.9935436535572598E-95</c:v>
                </c:pt>
                <c:pt idx="79">
                  <c:v>-1.8497233806539301E-95</c:v>
                </c:pt>
                <c:pt idx="80">
                  <c:v>1.7509256977288099E-96</c:v>
                </c:pt>
                <c:pt idx="81">
                  <c:v>2.2552508777411099E-100</c:v>
                </c:pt>
                <c:pt idx="82">
                  <c:v>-7.0021524366726003E-101</c:v>
                </c:pt>
                <c:pt idx="83">
                  <c:v>1.4899192833289999E-101</c:v>
                </c:pt>
                <c:pt idx="84">
                  <c:v>-1.9515687442118001E-102</c:v>
                </c:pt>
                <c:pt idx="85">
                  <c:v>1.15890721376682E-103</c:v>
                </c:pt>
                <c:pt idx="86">
                  <c:v>6.3859238852262806E-107</c:v>
                </c:pt>
                <c:pt idx="87">
                  <c:v>-1.31650991938236E-107</c:v>
                </c:pt>
                <c:pt idx="88">
                  <c:v>1.9244809355744201E-108</c:v>
                </c:pt>
                <c:pt idx="89">
                  <c:v>-1.77320405504475E-109</c:v>
                </c:pt>
                <c:pt idx="90">
                  <c:v>7.6392668569457907E-111</c:v>
                </c:pt>
                <c:pt idx="91">
                  <c:v>1.21225879270289E-113</c:v>
                </c:pt>
                <c:pt idx="92">
                  <c:v>-1.8789341369256499E-114</c:v>
                </c:pt>
                <c:pt idx="93">
                  <c:v>2.0949401074443999E-115</c:v>
                </c:pt>
                <c:pt idx="94">
                  <c:v>-1.49054059596751E-116</c:v>
                </c:pt>
                <c:pt idx="95">
                  <c:v>4.9902528598828204E-118</c:v>
                </c:pt>
                <c:pt idx="96">
                  <c:v>1.8393818611915799E-120</c:v>
                </c:pt>
                <c:pt idx="97">
                  <c:v>-2.2868309348171101E-121</c:v>
                </c:pt>
                <c:pt idx="98">
                  <c:v>2.0614427457889099E-122</c:v>
                </c:pt>
                <c:pt idx="99">
                  <c:v>-1.1925982383822901E-123</c:v>
                </c:pt>
              </c:numCache>
            </c:numRef>
          </c:yVal>
          <c:smooth val="0"/>
          <c:extLst>
            <c:ext xmlns:c16="http://schemas.microsoft.com/office/drawing/2014/chart" uri="{C3380CC4-5D6E-409C-BE32-E72D297353CC}">
              <c16:uniqueId val="{00000021-D137-48DF-AE00-9067040BCA60}"/>
            </c:ext>
          </c:extLst>
        </c:ser>
        <c:ser>
          <c:idx val="43"/>
          <c:order val="34"/>
          <c:tx>
            <c:strRef>
              <c:f>dynamicR!$CI$19</c:f>
              <c:strCache>
                <c:ptCount val="1"/>
                <c:pt idx="0">
                  <c:v>s1CP</c:v>
                </c:pt>
              </c:strCache>
            </c:strRef>
          </c:tx>
          <c:spPr>
            <a:ln w="19050" cap="rnd">
              <a:solidFill>
                <a:schemeClr val="accent2">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dynamicR!$CI$20:$CI$119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0.999999999999999</c:v>
                </c:pt>
                <c:pt idx="21">
                  <c:v>0.999999999999999</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2.06704860962095E-89</c:v>
                </c:pt>
                <c:pt idx="52">
                  <c:v>-4.9795597142646595E-91</c:v>
                </c:pt>
                <c:pt idx="53">
                  <c:v>1.6864682274990401E-90</c:v>
                </c:pt>
                <c:pt idx="54">
                  <c:v>-2.2176917875986101E-89</c:v>
                </c:pt>
                <c:pt idx="55">
                  <c:v>1.39608900543104E-89</c:v>
                </c:pt>
                <c:pt idx="56">
                  <c:v>-4.5514849250384802E-89</c:v>
                </c:pt>
                <c:pt idx="57">
                  <c:v>1.32640904751734E-89</c:v>
                </c:pt>
                <c:pt idx="58">
                  <c:v>-2.46941941772051E-90</c:v>
                </c:pt>
                <c:pt idx="59">
                  <c:v>-1.5042796794433899E-91</c:v>
                </c:pt>
                <c:pt idx="60">
                  <c:v>2.7911977605231199E-91</c:v>
                </c:pt>
                <c:pt idx="61">
                  <c:v>-1.3283747895541901E-91</c:v>
                </c:pt>
                <c:pt idx="62">
                  <c:v>-3.3032354519808401E-90</c:v>
                </c:pt>
                <c:pt idx="63">
                  <c:v>-2.5654389751109001E-90</c:v>
                </c:pt>
                <c:pt idx="64">
                  <c:v>2.07968931781738E-90</c:v>
                </c:pt>
                <c:pt idx="65">
                  <c:v>4.7565822797338902E-91</c:v>
                </c:pt>
                <c:pt idx="66">
                  <c:v>-3.32275824394729E-90</c:v>
                </c:pt>
                <c:pt idx="67">
                  <c:v>1.07405298100738E-90</c:v>
                </c:pt>
                <c:pt idx="68">
                  <c:v>3.6468675463248799E-90</c:v>
                </c:pt>
                <c:pt idx="69">
                  <c:v>-3.1238807218910999E-90</c:v>
                </c:pt>
                <c:pt idx="70">
                  <c:v>-2.91097701126228E-90</c:v>
                </c:pt>
                <c:pt idx="71">
                  <c:v>5.3351460077972499E-90</c:v>
                </c:pt>
                <c:pt idx="72">
                  <c:v>8.8637669422072703E-91</c:v>
                </c:pt>
                <c:pt idx="73">
                  <c:v>-7.0515693573154401E-90</c:v>
                </c:pt>
                <c:pt idx="74">
                  <c:v>2.4994850413440102E-90</c:v>
                </c:pt>
                <c:pt idx="75">
                  <c:v>7.2133681853188098E-90</c:v>
                </c:pt>
                <c:pt idx="76">
                  <c:v>-6.9687058466237996E-90</c:v>
                </c:pt>
                <c:pt idx="77">
                  <c:v>4.9955479342219103E-90</c:v>
                </c:pt>
                <c:pt idx="78">
                  <c:v>-1.9531263154525499E-90</c:v>
                </c:pt>
                <c:pt idx="79">
                  <c:v>4.5195545069313298E-91</c:v>
                </c:pt>
                <c:pt idx="80">
                  <c:v>-4.2780027784871202E-92</c:v>
                </c:pt>
                <c:pt idx="81">
                  <c:v>-6.2928040431441702E-96</c:v>
                </c:pt>
                <c:pt idx="82">
                  <c:v>1.9537975742898899E-96</c:v>
                </c:pt>
                <c:pt idx="83">
                  <c:v>-4.1572572270777398E-97</c:v>
                </c:pt>
                <c:pt idx="84">
                  <c:v>5.4451921477348401E-98</c:v>
                </c:pt>
                <c:pt idx="85">
                  <c:v>-3.23277013619965E-99</c:v>
                </c:pt>
                <c:pt idx="86">
                  <c:v>-2.0348305044132499E-102</c:v>
                </c:pt>
                <c:pt idx="87">
                  <c:v>4.1949192428553802E-103</c:v>
                </c:pt>
                <c:pt idx="88">
                  <c:v>-6.1319442950785105E-104</c:v>
                </c:pt>
                <c:pt idx="89">
                  <c:v>5.6491807405206196E-105</c:v>
                </c:pt>
                <c:pt idx="90">
                  <c:v>-2.4315119317256502E-106</c:v>
                </c:pt>
                <c:pt idx="91">
                  <c:v>-4.4111304618923597E-109</c:v>
                </c:pt>
                <c:pt idx="92">
                  <c:v>6.8367844134999196E-110</c:v>
                </c:pt>
                <c:pt idx="93">
                  <c:v>-7.6220041080070107E-111</c:v>
                </c:pt>
                <c:pt idx="94">
                  <c:v>5.4209322563916297E-112</c:v>
                </c:pt>
                <c:pt idx="95">
                  <c:v>-1.8099798013935199E-113</c:v>
                </c:pt>
                <c:pt idx="96">
                  <c:v>-7.6430858378203904E-116</c:v>
                </c:pt>
                <c:pt idx="97">
                  <c:v>9.5015790798240606E-117</c:v>
                </c:pt>
                <c:pt idx="98">
                  <c:v>-8.56310111193831E-118</c:v>
                </c:pt>
                <c:pt idx="99">
                  <c:v>4.9493905808270898E-119</c:v>
                </c:pt>
              </c:numCache>
            </c:numRef>
          </c:yVal>
          <c:smooth val="0"/>
          <c:extLst>
            <c:ext xmlns:c16="http://schemas.microsoft.com/office/drawing/2014/chart" uri="{C3380CC4-5D6E-409C-BE32-E72D297353CC}">
              <c16:uniqueId val="{00000022-D137-48DF-AE00-9067040BCA60}"/>
            </c:ext>
          </c:extLst>
        </c:ser>
        <c:ser>
          <c:idx val="44"/>
          <c:order val="35"/>
          <c:tx>
            <c:strRef>
              <c:f>dynamicR!$CJ$19</c:f>
              <c:strCache>
                <c:ptCount val="1"/>
                <c:pt idx="0">
                  <c:v>s2CD</c:v>
                </c:pt>
              </c:strCache>
            </c:strRef>
          </c:tx>
          <c:spPr>
            <a:ln w="19050" cap="rnd">
              <a:solidFill>
                <a:schemeClr val="accent3">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dynamicR!$CJ$20:$CJ$119</c:f>
              <c:numCache>
                <c:formatCode>0.00</c:formatCode>
                <c:ptCount val="100"/>
                <c:pt idx="0">
                  <c:v>0</c:v>
                </c:pt>
                <c:pt idx="1">
                  <c:v>0.99999999999998901</c:v>
                </c:pt>
                <c:pt idx="2">
                  <c:v>0.99999999999999001</c:v>
                </c:pt>
                <c:pt idx="3">
                  <c:v>0.99999999999998901</c:v>
                </c:pt>
                <c:pt idx="4">
                  <c:v>0.99999999999999101</c:v>
                </c:pt>
                <c:pt idx="5">
                  <c:v>0.99999999999999101</c:v>
                </c:pt>
                <c:pt idx="6">
                  <c:v>0.99999999999999201</c:v>
                </c:pt>
                <c:pt idx="7">
                  <c:v>0.99999999999999201</c:v>
                </c:pt>
                <c:pt idx="8">
                  <c:v>0.99999999999999301</c:v>
                </c:pt>
                <c:pt idx="9">
                  <c:v>0.99999999999999201</c:v>
                </c:pt>
                <c:pt idx="10">
                  <c:v>0.99999999999999301</c:v>
                </c:pt>
                <c:pt idx="11">
                  <c:v>0.99999999999999301</c:v>
                </c:pt>
                <c:pt idx="12">
                  <c:v>0.99999999999999301</c:v>
                </c:pt>
                <c:pt idx="13">
                  <c:v>0.99999999999999301</c:v>
                </c:pt>
                <c:pt idx="14">
                  <c:v>0.99999999999999301</c:v>
                </c:pt>
                <c:pt idx="15">
                  <c:v>0.999999999999994</c:v>
                </c:pt>
                <c:pt idx="16">
                  <c:v>0.99999999999999301</c:v>
                </c:pt>
                <c:pt idx="17">
                  <c:v>0.99999999999999201</c:v>
                </c:pt>
                <c:pt idx="18">
                  <c:v>0.999999999999994</c:v>
                </c:pt>
                <c:pt idx="19">
                  <c:v>0.999999999999995</c:v>
                </c:pt>
                <c:pt idx="20">
                  <c:v>0.99999999999999101</c:v>
                </c:pt>
                <c:pt idx="21">
                  <c:v>0.999999999999994</c:v>
                </c:pt>
                <c:pt idx="22">
                  <c:v>0.999999999999998</c:v>
                </c:pt>
                <c:pt idx="23">
                  <c:v>0.99999999999999201</c:v>
                </c:pt>
                <c:pt idx="24">
                  <c:v>0.999999999999995</c:v>
                </c:pt>
                <c:pt idx="25">
                  <c:v>0.999999999999994</c:v>
                </c:pt>
                <c:pt idx="26">
                  <c:v>0.999999999999995</c:v>
                </c:pt>
                <c:pt idx="27">
                  <c:v>0.999999999999995</c:v>
                </c:pt>
                <c:pt idx="28">
                  <c:v>0.999999999999995</c:v>
                </c:pt>
                <c:pt idx="29">
                  <c:v>0.999999999999994</c:v>
                </c:pt>
                <c:pt idx="30">
                  <c:v>0.999999999999995</c:v>
                </c:pt>
                <c:pt idx="31">
                  <c:v>0.999999999999995</c:v>
                </c:pt>
                <c:pt idx="32">
                  <c:v>0.999999999999995</c:v>
                </c:pt>
                <c:pt idx="33">
                  <c:v>0.999999999999995</c:v>
                </c:pt>
                <c:pt idx="34">
                  <c:v>0.999999999999996</c:v>
                </c:pt>
                <c:pt idx="35">
                  <c:v>0.999999999999995</c:v>
                </c:pt>
                <c:pt idx="36">
                  <c:v>0.999999999999996</c:v>
                </c:pt>
                <c:pt idx="37">
                  <c:v>0.999999999999996</c:v>
                </c:pt>
                <c:pt idx="38">
                  <c:v>0.999999999999996</c:v>
                </c:pt>
                <c:pt idx="39">
                  <c:v>0.999999999999996</c:v>
                </c:pt>
                <c:pt idx="40">
                  <c:v>0.999999999999996</c:v>
                </c:pt>
                <c:pt idx="41">
                  <c:v>0.999999999999996</c:v>
                </c:pt>
                <c:pt idx="42">
                  <c:v>0.999999999999996</c:v>
                </c:pt>
                <c:pt idx="43">
                  <c:v>0.999999999999996</c:v>
                </c:pt>
                <c:pt idx="44">
                  <c:v>0.999999999999996</c:v>
                </c:pt>
                <c:pt idx="45">
                  <c:v>0.999999999999996</c:v>
                </c:pt>
                <c:pt idx="46">
                  <c:v>0.999999999999997</c:v>
                </c:pt>
                <c:pt idx="47">
                  <c:v>0.999999999999997</c:v>
                </c:pt>
                <c:pt idx="48">
                  <c:v>0.999999999999996</c:v>
                </c:pt>
                <c:pt idx="49">
                  <c:v>0.999999999999997</c:v>
                </c:pt>
                <c:pt idx="50">
                  <c:v>0.999999999999997</c:v>
                </c:pt>
                <c:pt idx="51">
                  <c:v>5.7834543949968798E-15</c:v>
                </c:pt>
                <c:pt idx="52">
                  <c:v>5.6678372935054603E-15</c:v>
                </c:pt>
                <c:pt idx="53">
                  <c:v>5.5545355223707603E-15</c:v>
                </c:pt>
                <c:pt idx="54">
                  <c:v>5.44350090824726E-15</c:v>
                </c:pt>
                <c:pt idx="55">
                  <c:v>5.3346858705847201E-15</c:v>
                </c:pt>
                <c:pt idx="56">
                  <c:v>5.2280447645484098E-15</c:v>
                </c:pt>
                <c:pt idx="57">
                  <c:v>5.1235361311782201E-15</c:v>
                </c:pt>
                <c:pt idx="58">
                  <c:v>5.0211160252569901E-15</c:v>
                </c:pt>
                <c:pt idx="59">
                  <c:v>4.9207434561085899E-15</c:v>
                </c:pt>
                <c:pt idx="60">
                  <c:v>4.82237727350573E-15</c:v>
                </c:pt>
                <c:pt idx="61">
                  <c:v>4.7259773025192399E-15</c:v>
                </c:pt>
                <c:pt idx="62">
                  <c:v>4.6315042947119203E-15</c:v>
                </c:pt>
                <c:pt idx="63">
                  <c:v>4.5389198674623E-15</c:v>
                </c:pt>
                <c:pt idx="64">
                  <c:v>4.4481862831831998E-15</c:v>
                </c:pt>
                <c:pt idx="65">
                  <c:v>4.3592664423832003E-15</c:v>
                </c:pt>
                <c:pt idx="66">
                  <c:v>4.2721241006932901E-15</c:v>
                </c:pt>
                <c:pt idx="67">
                  <c:v>4.1867238030095198E-15</c:v>
                </c:pt>
                <c:pt idx="68">
                  <c:v>4.1030306529836201E-15</c:v>
                </c:pt>
                <c:pt idx="69">
                  <c:v>4.0210104689233904E-15</c:v>
                </c:pt>
                <c:pt idx="70">
                  <c:v>3.9406299336591703E-15</c:v>
                </c:pt>
                <c:pt idx="71">
                  <c:v>3.8618562787319801E-15</c:v>
                </c:pt>
                <c:pt idx="72">
                  <c:v>3.7846572222582098E-15</c:v>
                </c:pt>
                <c:pt idx="73">
                  <c:v>3.7090013572988297E-15</c:v>
                </c:pt>
                <c:pt idx="74">
                  <c:v>3.6348579975959302E-15</c:v>
                </c:pt>
                <c:pt idx="75">
                  <c:v>3.5621967381456499E-15</c:v>
                </c:pt>
                <c:pt idx="76">
                  <c:v>3.4909878428752098E-15</c:v>
                </c:pt>
                <c:pt idx="77">
                  <c:v>3.4212026247134999E-15</c:v>
                </c:pt>
                <c:pt idx="78">
                  <c:v>3.3528122775362301E-15</c:v>
                </c:pt>
                <c:pt idx="79">
                  <c:v>3.28578913269984E-15</c:v>
                </c:pt>
                <c:pt idx="80">
                  <c:v>3.2201057672523799E-15</c:v>
                </c:pt>
                <c:pt idx="81">
                  <c:v>3.1557354251017701E-15</c:v>
                </c:pt>
                <c:pt idx="82">
                  <c:v>3.0926518546758799E-15</c:v>
                </c:pt>
                <c:pt idx="83">
                  <c:v>3.0308293331536002E-15</c:v>
                </c:pt>
                <c:pt idx="84">
                  <c:v>2.9702426519208698E-15</c:v>
                </c:pt>
                <c:pt idx="85">
                  <c:v>2.9108671064474202E-15</c:v>
                </c:pt>
                <c:pt idx="86">
                  <c:v>2.85267848606877E-15</c:v>
                </c:pt>
                <c:pt idx="87">
                  <c:v>2.7956530639913899E-15</c:v>
                </c:pt>
                <c:pt idx="88">
                  <c:v>2.7397675876760599E-15</c:v>
                </c:pt>
                <c:pt idx="89">
                  <c:v>2.6849992694354199E-15</c:v>
                </c:pt>
                <c:pt idx="90">
                  <c:v>2.6313257771480099E-15</c:v>
                </c:pt>
                <c:pt idx="91">
                  <c:v>2.57872522511499E-15</c:v>
                </c:pt>
                <c:pt idx="92">
                  <c:v>2.5271761651178701E-15</c:v>
                </c:pt>
                <c:pt idx="93">
                  <c:v>2.4766575776791999E-15</c:v>
                </c:pt>
                <c:pt idx="94">
                  <c:v>2.4271488635146098E-15</c:v>
                </c:pt>
                <c:pt idx="95">
                  <c:v>2.3786298351269599E-15</c:v>
                </c:pt>
                <c:pt idx="96">
                  <c:v>2.3310807085678801E-15</c:v>
                </c:pt>
                <c:pt idx="97">
                  <c:v>2.2844820953686899E-15</c:v>
                </c:pt>
                <c:pt idx="98">
                  <c:v>2.23881499464203E-15</c:v>
                </c:pt>
                <c:pt idx="99">
                  <c:v>2.1940607853287801E-15</c:v>
                </c:pt>
              </c:numCache>
            </c:numRef>
          </c:yVal>
          <c:smooth val="0"/>
          <c:extLst>
            <c:ext xmlns:c16="http://schemas.microsoft.com/office/drawing/2014/chart" uri="{C3380CC4-5D6E-409C-BE32-E72D297353CC}">
              <c16:uniqueId val="{00000023-D137-48DF-AE00-9067040BCA60}"/>
            </c:ext>
          </c:extLst>
        </c:ser>
        <c:ser>
          <c:idx val="45"/>
          <c:order val="36"/>
          <c:tx>
            <c:strRef>
              <c:f>dynamicR!$CK$19</c:f>
              <c:strCache>
                <c:ptCount val="1"/>
                <c:pt idx="0">
                  <c:v>s2CS</c:v>
                </c:pt>
              </c:strCache>
            </c:strRef>
          </c:tx>
          <c:spPr>
            <a:ln w="19050" cap="rnd">
              <a:solidFill>
                <a:schemeClr val="accent4">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dynamicR!$CK$20:$CK$119</c:f>
              <c:numCache>
                <c:formatCode>0.00</c:formatCode>
                <c:ptCount val="100"/>
                <c:pt idx="0">
                  <c:v>0</c:v>
                </c:pt>
                <c:pt idx="1">
                  <c:v>1</c:v>
                </c:pt>
                <c:pt idx="2">
                  <c:v>0.999999999999998</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-4.1107927668439702E-214</c:v>
                </c:pt>
                <c:pt idx="52">
                  <c:v>9.9029048909684204E-216</c:v>
                </c:pt>
                <c:pt idx="53">
                  <c:v>-3.3539735815266399E-215</c:v>
                </c:pt>
                <c:pt idx="54">
                  <c:v>4.4103781889516002E-214</c:v>
                </c:pt>
                <c:pt idx="55">
                  <c:v>-2.7764451356642401E-214</c:v>
                </c:pt>
                <c:pt idx="56">
                  <c:v>9.0516822590459007E-214</c:v>
                </c:pt>
                <c:pt idx="57">
                  <c:v>-2.6378821481344102E-214</c:v>
                </c:pt>
                <c:pt idx="58">
                  <c:v>4.9110913494291702E-215</c:v>
                </c:pt>
                <c:pt idx="59">
                  <c:v>2.9913294311950302E-216</c:v>
                </c:pt>
                <c:pt idx="60">
                  <c:v>-5.5506980926811798E-216</c:v>
                </c:pt>
                <c:pt idx="61">
                  <c:v>2.6422310200011199E-216</c:v>
                </c:pt>
                <c:pt idx="62">
                  <c:v>6.5692523900093603E-215</c:v>
                </c:pt>
                <c:pt idx="63">
                  <c:v>5.1019857211772196E-215</c:v>
                </c:pt>
                <c:pt idx="64">
                  <c:v>-4.1359057555447202E-215</c:v>
                </c:pt>
                <c:pt idx="65">
                  <c:v>-9.4596594528466106E-216</c:v>
                </c:pt>
                <c:pt idx="66">
                  <c:v>6.6080455433408002E-215</c:v>
                </c:pt>
                <c:pt idx="67">
                  <c:v>-2.13598126649312E-215</c:v>
                </c:pt>
                <c:pt idx="68">
                  <c:v>-7.25262096948916E-215</c:v>
                </c:pt>
                <c:pt idx="69">
                  <c:v>6.2125301461169496E-215</c:v>
                </c:pt>
                <c:pt idx="70">
                  <c:v>5.7891428552501404E-215</c:v>
                </c:pt>
                <c:pt idx="71">
                  <c:v>-1.0610141188971101E-214</c:v>
                </c:pt>
                <c:pt idx="72">
                  <c:v>-1.7627656914725901E-215</c:v>
                </c:pt>
                <c:pt idx="73">
                  <c:v>1.40236488550874E-214</c:v>
                </c:pt>
                <c:pt idx="74">
                  <c:v>-4.9707997970194198E-215</c:v>
                </c:pt>
                <c:pt idx="75">
                  <c:v>-1.43454275038135E-214</c:v>
                </c:pt>
                <c:pt idx="76">
                  <c:v>1.38588740276425E-214</c:v>
                </c:pt>
                <c:pt idx="77">
                  <c:v>-9.934827505888941E-215</c:v>
                </c:pt>
                <c:pt idx="78">
                  <c:v>3.8842953338190602E-215</c:v>
                </c:pt>
                <c:pt idx="79">
                  <c:v>-8.9886426041584196E-216</c:v>
                </c:pt>
                <c:pt idx="80">
                  <c:v>8.5105895687157005E-217</c:v>
                </c:pt>
                <c:pt idx="81">
                  <c:v>4.5435887660041197E-222</c:v>
                </c:pt>
                <c:pt idx="82">
                  <c:v>-1.4107331513054001E-222</c:v>
                </c:pt>
                <c:pt idx="83">
                  <c:v>3.0019414309695199E-223</c:v>
                </c:pt>
                <c:pt idx="84">
                  <c:v>-3.9329968824614402E-224</c:v>
                </c:pt>
                <c:pt idx="85">
                  <c:v>2.3392968848059499E-225</c:v>
                </c:pt>
                <c:pt idx="86">
                  <c:v>5.2632720666305796E-230</c:v>
                </c:pt>
                <c:pt idx="87">
                  <c:v>-1.09980509196493E-230</c:v>
                </c:pt>
                <c:pt idx="88">
                  <c:v>1.60807368641435E-231</c:v>
                </c:pt>
                <c:pt idx="89">
                  <c:v>-1.48300166281274E-232</c:v>
                </c:pt>
                <c:pt idx="90">
                  <c:v>6.42891321512504E-234</c:v>
                </c:pt>
                <c:pt idx="91">
                  <c:v>4.1740075268009003E-238</c:v>
                </c:pt>
                <c:pt idx="92">
                  <c:v>-6.50958150518174E-239</c:v>
                </c:pt>
                <c:pt idx="93">
                  <c:v>7.2627651902817104E-240</c:v>
                </c:pt>
                <c:pt idx="94">
                  <c:v>-5.1808628499640199E-241</c:v>
                </c:pt>
                <c:pt idx="95">
                  <c:v>1.7661587060657599E-242</c:v>
                </c:pt>
                <c:pt idx="96">
                  <c:v>2.6355866812880498E-246</c:v>
                </c:pt>
                <c:pt idx="97">
                  <c:v>-3.2866760472287498E-247</c:v>
                </c:pt>
                <c:pt idx="98">
                  <c:v>2.9674407363447301E-248</c:v>
                </c:pt>
                <c:pt idx="99">
                  <c:v>-1.7274469224908899E-249</c:v>
                </c:pt>
              </c:numCache>
            </c:numRef>
          </c:yVal>
          <c:smooth val="0"/>
          <c:extLst>
            <c:ext xmlns:c16="http://schemas.microsoft.com/office/drawing/2014/chart" uri="{C3380CC4-5D6E-409C-BE32-E72D297353CC}">
              <c16:uniqueId val="{00000024-D137-48DF-AE00-9067040BCA60}"/>
            </c:ext>
          </c:extLst>
        </c:ser>
        <c:ser>
          <c:idx val="46"/>
          <c:order val="37"/>
          <c:tx>
            <c:strRef>
              <c:f>dynamicR!$CL$19</c:f>
              <c:strCache>
                <c:ptCount val="1"/>
                <c:pt idx="0">
                  <c:v>s2CA</c:v>
                </c:pt>
              </c:strCache>
            </c:strRef>
          </c:tx>
          <c:spPr>
            <a:ln w="19050" cap="rnd">
              <a:solidFill>
                <a:schemeClr val="accent5">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dynamicR!$CL$20:$CL$119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0.999999999999998</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3.6935617001913501E-90</c:v>
                </c:pt>
                <c:pt idx="52">
                  <c:v>-8.8978567487158306E-92</c:v>
                </c:pt>
                <c:pt idx="53">
                  <c:v>3.0135142274432599E-91</c:v>
                </c:pt>
                <c:pt idx="54">
                  <c:v>-3.9627423908321399E-90</c:v>
                </c:pt>
                <c:pt idx="55">
                  <c:v>2.4946397844017099E-90</c:v>
                </c:pt>
                <c:pt idx="56">
                  <c:v>-8.1329454363143195E-90</c:v>
                </c:pt>
                <c:pt idx="57">
                  <c:v>2.3701309087917099E-90</c:v>
                </c:pt>
                <c:pt idx="58">
                  <c:v>-4.4125541409136401E-91</c:v>
                </c:pt>
                <c:pt idx="59">
                  <c:v>-2.6879475295400801E-92</c:v>
                </c:pt>
                <c:pt idx="60">
                  <c:v>4.9875142504351798E-92</c:v>
                </c:pt>
                <c:pt idx="61">
                  <c:v>-2.3736683136260398E-92</c:v>
                </c:pt>
                <c:pt idx="62">
                  <c:v>-5.9024768866717196E-91</c:v>
                </c:pt>
                <c:pt idx="63">
                  <c:v>-4.5841257650061602E-91</c:v>
                </c:pt>
                <c:pt idx="64">
                  <c:v>3.7161476243434703E-91</c:v>
                </c:pt>
                <c:pt idx="65">
                  <c:v>8.4994345532186895E-92</c:v>
                </c:pt>
                <c:pt idx="66">
                  <c:v>-5.9373598867056201E-91</c:v>
                </c:pt>
                <c:pt idx="67">
                  <c:v>1.91919973143639E-91</c:v>
                </c:pt>
                <c:pt idx="68">
                  <c:v>6.5165039747232799E-91</c:v>
                </c:pt>
                <c:pt idx="69">
                  <c:v>-5.5819900646921104E-91</c:v>
                </c:pt>
                <c:pt idx="70">
                  <c:v>-5.2015584325668604E-91</c:v>
                </c:pt>
                <c:pt idx="71">
                  <c:v>9.5332498455721199E-91</c:v>
                </c:pt>
                <c:pt idx="72">
                  <c:v>1.5838464766210301E-91</c:v>
                </c:pt>
                <c:pt idx="73">
                  <c:v>-1.2600288018210501E-90</c:v>
                </c:pt>
                <c:pt idx="74">
                  <c:v>4.4662729710867998E-91</c:v>
                </c:pt>
                <c:pt idx="75">
                  <c:v>1.28894029205085E-90</c:v>
                </c:pt>
                <c:pt idx="76">
                  <c:v>-1.2452222130192601E-90</c:v>
                </c:pt>
                <c:pt idx="77">
                  <c:v>8.9264328858896697E-91</c:v>
                </c:pt>
                <c:pt idx="78">
                  <c:v>-3.4900001180462301E-91</c:v>
                </c:pt>
                <c:pt idx="79">
                  <c:v>8.0759157951616504E-92</c:v>
                </c:pt>
                <c:pt idx="80">
                  <c:v>-7.6444242025145902E-93</c:v>
                </c:pt>
                <c:pt idx="81">
                  <c:v>-1.05622199112181E-96</c:v>
                </c:pt>
                <c:pt idx="82">
                  <c:v>3.27937603124749E-97</c:v>
                </c:pt>
                <c:pt idx="83">
                  <c:v>-6.9778306821768595E-98</c:v>
                </c:pt>
                <c:pt idx="84">
                  <c:v>9.1397425896451803E-99</c:v>
                </c:pt>
                <c:pt idx="85">
                  <c:v>-5.42682671750935E-100</c:v>
                </c:pt>
                <c:pt idx="86">
                  <c:v>-3.2081741987915602E-103</c:v>
                </c:pt>
                <c:pt idx="87">
                  <c:v>6.6138527346641397E-104</c:v>
                </c:pt>
                <c:pt idx="88">
                  <c:v>-9.6679942243673802E-105</c:v>
                </c:pt>
                <c:pt idx="89">
                  <c:v>8.9074189835072591E-106</c:v>
                </c:pt>
                <c:pt idx="90">
                  <c:v>-3.8356511095415499E-107</c:v>
                </c:pt>
                <c:pt idx="91">
                  <c:v>-6.5327849300768898E-110</c:v>
                </c:pt>
                <c:pt idx="92">
                  <c:v>1.0125284753232401E-110</c:v>
                </c:pt>
                <c:pt idx="93">
                  <c:v>-1.1288738503833101E-111</c:v>
                </c:pt>
                <c:pt idx="94">
                  <c:v>8.0303026522772102E-113</c:v>
                </c:pt>
                <c:pt idx="95">
                  <c:v>-2.6847733449654398E-114</c:v>
                </c:pt>
                <c:pt idx="96">
                  <c:v>-1.06326363994347E-116</c:v>
                </c:pt>
                <c:pt idx="97">
                  <c:v>1.3218588411553601E-117</c:v>
                </c:pt>
                <c:pt idx="98">
                  <c:v>-1.1914343637837699E-118</c:v>
                </c:pt>
                <c:pt idx="99">
                  <c:v>6.8894912776529707E-120</c:v>
                </c:pt>
              </c:numCache>
            </c:numRef>
          </c:yVal>
          <c:smooth val="0"/>
          <c:extLst>
            <c:ext xmlns:c16="http://schemas.microsoft.com/office/drawing/2014/chart" uri="{C3380CC4-5D6E-409C-BE32-E72D297353CC}">
              <c16:uniqueId val="{00000025-D137-48DF-AE00-9067040BCA60}"/>
            </c:ext>
          </c:extLst>
        </c:ser>
        <c:ser>
          <c:idx val="47"/>
          <c:order val="38"/>
          <c:tx>
            <c:strRef>
              <c:f>dynamicR!$CM$19</c:f>
              <c:strCache>
                <c:ptCount val="1"/>
                <c:pt idx="0">
                  <c:v>s2CP</c:v>
                </c:pt>
              </c:strCache>
            </c:strRef>
          </c:tx>
          <c:spPr>
            <a:ln w="19050" cap="rnd">
              <a:solidFill>
                <a:schemeClr val="accent6">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dynamicR!$CM$20:$CM$119</c:f>
              <c:numCache>
                <c:formatCode>0.00</c:formatCode>
                <c:ptCount val="100"/>
                <c:pt idx="0">
                  <c:v>0</c:v>
                </c:pt>
                <c:pt idx="1">
                  <c:v>1</c:v>
                </c:pt>
                <c:pt idx="2">
                  <c:v>0.999999999999999</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2.0655266967732402E-89</c:v>
                </c:pt>
                <c:pt idx="52">
                  <c:v>-4.9758934049362799E-91</c:v>
                </c:pt>
                <c:pt idx="53">
                  <c:v>1.68522652691429E-90</c:v>
                </c:pt>
                <c:pt idx="54">
                  <c:v>-2.2160589622943401E-89</c:v>
                </c:pt>
                <c:pt idx="55">
                  <c:v>1.39506110318904E-89</c:v>
                </c:pt>
                <c:pt idx="56">
                  <c:v>-4.5481337914981199E-89</c:v>
                </c:pt>
                <c:pt idx="57">
                  <c:v>1.3254324488362999E-89</c:v>
                </c:pt>
                <c:pt idx="58">
                  <c:v>-2.46760125137378E-90</c:v>
                </c:pt>
                <c:pt idx="59">
                  <c:v>-1.5031721216674E-91</c:v>
                </c:pt>
                <c:pt idx="60">
                  <c:v>2.7891426800222198E-91</c:v>
                </c:pt>
                <c:pt idx="61">
                  <c:v>-1.3273967402969101E-91</c:v>
                </c:pt>
                <c:pt idx="62">
                  <c:v>-3.3008033703267602E-90</c:v>
                </c:pt>
                <c:pt idx="63">
                  <c:v>-2.5635501126655998E-90</c:v>
                </c:pt>
                <c:pt idx="64">
                  <c:v>2.0781580999201501E-90</c:v>
                </c:pt>
                <c:pt idx="65">
                  <c:v>4.7530801380168599E-91</c:v>
                </c:pt>
                <c:pt idx="66">
                  <c:v>-3.3203117884385101E-90</c:v>
                </c:pt>
                <c:pt idx="67">
                  <c:v>1.07326218543052E-90</c:v>
                </c:pt>
                <c:pt idx="68">
                  <c:v>3.6441824579628498E-90</c:v>
                </c:pt>
                <c:pt idx="69">
                  <c:v>-3.1215806944551501E-90</c:v>
                </c:pt>
                <c:pt idx="70">
                  <c:v>-2.9088337388301399E-90</c:v>
                </c:pt>
                <c:pt idx="71">
                  <c:v>5.3312178864212103E-90</c:v>
                </c:pt>
                <c:pt idx="72">
                  <c:v>8.8572407937922205E-91</c:v>
                </c:pt>
                <c:pt idx="73">
                  <c:v>-7.0463774805063898E-90</c:v>
                </c:pt>
                <c:pt idx="74">
                  <c:v>2.49764473912849E-90</c:v>
                </c:pt>
                <c:pt idx="75">
                  <c:v>7.2080571804409701E-90</c:v>
                </c:pt>
                <c:pt idx="76">
                  <c:v>-6.96357497980663E-90</c:v>
                </c:pt>
                <c:pt idx="77">
                  <c:v>4.9918698491746104E-90</c:v>
                </c:pt>
                <c:pt idx="78">
                  <c:v>-1.9516882817559299E-90</c:v>
                </c:pt>
                <c:pt idx="79">
                  <c:v>4.5162268795232802E-91</c:v>
                </c:pt>
                <c:pt idx="80">
                  <c:v>-4.2748529816667903E-92</c:v>
                </c:pt>
                <c:pt idx="81">
                  <c:v>-6.2882605420422804E-96</c:v>
                </c:pt>
                <c:pt idx="82">
                  <c:v>1.9523869010799401E-96</c:v>
                </c:pt>
                <c:pt idx="83">
                  <c:v>-4.1542556110863199E-97</c:v>
                </c:pt>
                <c:pt idx="84">
                  <c:v>5.44126060896258E-98</c:v>
                </c:pt>
                <c:pt idx="85">
                  <c:v>-3.2304359361943002E-99</c:v>
                </c:pt>
                <c:pt idx="86">
                  <c:v>-2.03338986908926E-102</c:v>
                </c:pt>
                <c:pt idx="87">
                  <c:v>4.1919502254039599E-103</c:v>
                </c:pt>
                <c:pt idx="88">
                  <c:v>-6.1276042873214801E-104</c:v>
                </c:pt>
                <c:pt idx="89">
                  <c:v>5.6451822898223497E-105</c:v>
                </c:pt>
                <c:pt idx="90">
                  <c:v>-2.4297905866402002E-106</c:v>
                </c:pt>
                <c:pt idx="91">
                  <c:v>-4.40807908555138E-109</c:v>
                </c:pt>
                <c:pt idx="92">
                  <c:v>6.8320430466826305E-110</c:v>
                </c:pt>
                <c:pt idx="93">
                  <c:v>-7.6167181206397905E-111</c:v>
                </c:pt>
                <c:pt idx="94">
                  <c:v>5.4171724274332603E-112</c:v>
                </c:pt>
                <c:pt idx="95">
                  <c:v>-1.80872372424376E-113</c:v>
                </c:pt>
                <c:pt idx="96">
                  <c:v>-7.6378992014661802E-116</c:v>
                </c:pt>
                <c:pt idx="97">
                  <c:v>9.4951251156491406E-117</c:v>
                </c:pt>
                <c:pt idx="98">
                  <c:v>-8.5572844178624192E-118</c:v>
                </c:pt>
                <c:pt idx="99">
                  <c:v>4.9460280991921498E-119</c:v>
                </c:pt>
              </c:numCache>
            </c:numRef>
          </c:yVal>
          <c:smooth val="0"/>
          <c:extLst>
            <c:ext xmlns:c16="http://schemas.microsoft.com/office/drawing/2014/chart" uri="{C3380CC4-5D6E-409C-BE32-E72D297353CC}">
              <c16:uniqueId val="{00000026-D137-48DF-AE00-9067040BCA60}"/>
            </c:ext>
          </c:extLst>
        </c:ser>
        <c:ser>
          <c:idx val="48"/>
          <c:order val="39"/>
          <c:tx>
            <c:strRef>
              <c:f>dynamicR!$CN$19</c:f>
              <c:strCache>
                <c:ptCount val="1"/>
                <c:pt idx="0">
                  <c:v>s3CD</c:v>
                </c:pt>
              </c:strCache>
            </c:strRef>
          </c:tx>
          <c:spPr>
            <a:ln w="19050" cap="rnd">
              <a:solidFill>
                <a:schemeClr val="accent1">
                  <a:lumMod val="50000"/>
                  <a:lumOff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dynamicR!$CN$20:$CN$119</c:f>
              <c:numCache>
                <c:formatCode>0.00</c:formatCode>
                <c:ptCount val="100"/>
                <c:pt idx="0">
                  <c:v>0</c:v>
                </c:pt>
                <c:pt idx="1">
                  <c:v>0.99999999999999001</c:v>
                </c:pt>
                <c:pt idx="2">
                  <c:v>0.99999999999998901</c:v>
                </c:pt>
                <c:pt idx="3">
                  <c:v>0.99999999999998801</c:v>
                </c:pt>
                <c:pt idx="4">
                  <c:v>0.99999999999999101</c:v>
                </c:pt>
                <c:pt idx="5">
                  <c:v>0.99999999999999101</c:v>
                </c:pt>
                <c:pt idx="6">
                  <c:v>0.99999999999999101</c:v>
                </c:pt>
                <c:pt idx="7">
                  <c:v>0.99999999999999101</c:v>
                </c:pt>
                <c:pt idx="8">
                  <c:v>0.99999999999999201</c:v>
                </c:pt>
                <c:pt idx="9">
                  <c:v>0.99999999999999201</c:v>
                </c:pt>
                <c:pt idx="10">
                  <c:v>0.99999999999999201</c:v>
                </c:pt>
                <c:pt idx="11">
                  <c:v>0.99999999999999201</c:v>
                </c:pt>
                <c:pt idx="12">
                  <c:v>0.99999999999999201</c:v>
                </c:pt>
                <c:pt idx="13">
                  <c:v>0.99999999999999201</c:v>
                </c:pt>
                <c:pt idx="14">
                  <c:v>0.99999999999999201</c:v>
                </c:pt>
                <c:pt idx="15">
                  <c:v>0.99999999999999301</c:v>
                </c:pt>
                <c:pt idx="16">
                  <c:v>0.99999999999999201</c:v>
                </c:pt>
                <c:pt idx="17">
                  <c:v>0.99999999999999201</c:v>
                </c:pt>
                <c:pt idx="18">
                  <c:v>0.999999999999994</c:v>
                </c:pt>
                <c:pt idx="19">
                  <c:v>0.99999999999999301</c:v>
                </c:pt>
                <c:pt idx="20">
                  <c:v>0.99999999999999201</c:v>
                </c:pt>
                <c:pt idx="21">
                  <c:v>0.999999999999995</c:v>
                </c:pt>
                <c:pt idx="22">
                  <c:v>0.999999999999995</c:v>
                </c:pt>
                <c:pt idx="23">
                  <c:v>0.99999999999999301</c:v>
                </c:pt>
                <c:pt idx="24">
                  <c:v>0.999999999999994</c:v>
                </c:pt>
                <c:pt idx="25">
                  <c:v>0.99999999999999301</c:v>
                </c:pt>
                <c:pt idx="26">
                  <c:v>0.999999999999994</c:v>
                </c:pt>
                <c:pt idx="27">
                  <c:v>0.999999999999994</c:v>
                </c:pt>
                <c:pt idx="28">
                  <c:v>0.999999999999995</c:v>
                </c:pt>
                <c:pt idx="29">
                  <c:v>0.999999999999994</c:v>
                </c:pt>
                <c:pt idx="30">
                  <c:v>0.999999999999995</c:v>
                </c:pt>
                <c:pt idx="31">
                  <c:v>0.999999999999994</c:v>
                </c:pt>
                <c:pt idx="32">
                  <c:v>0.999999999999995</c:v>
                </c:pt>
                <c:pt idx="33">
                  <c:v>0.999999999999995</c:v>
                </c:pt>
                <c:pt idx="34">
                  <c:v>0.999999999999995</c:v>
                </c:pt>
                <c:pt idx="35">
                  <c:v>0.999999999999995</c:v>
                </c:pt>
                <c:pt idx="36">
                  <c:v>0.999999999999995</c:v>
                </c:pt>
                <c:pt idx="37">
                  <c:v>0.999999999999995</c:v>
                </c:pt>
                <c:pt idx="38">
                  <c:v>0.999999999999995</c:v>
                </c:pt>
                <c:pt idx="39">
                  <c:v>0.999999999999996</c:v>
                </c:pt>
                <c:pt idx="40">
                  <c:v>0.999999999999995</c:v>
                </c:pt>
                <c:pt idx="41">
                  <c:v>0.999999999999996</c:v>
                </c:pt>
                <c:pt idx="42">
                  <c:v>0.999999999999996</c:v>
                </c:pt>
                <c:pt idx="43">
                  <c:v>0.999999999999996</c:v>
                </c:pt>
                <c:pt idx="44">
                  <c:v>0.999999999999996</c:v>
                </c:pt>
                <c:pt idx="45">
                  <c:v>0.999999999999996</c:v>
                </c:pt>
                <c:pt idx="46">
                  <c:v>0.999999999999996</c:v>
                </c:pt>
                <c:pt idx="47">
                  <c:v>0.999999999999996</c:v>
                </c:pt>
                <c:pt idx="48">
                  <c:v>0.999999999999996</c:v>
                </c:pt>
                <c:pt idx="49">
                  <c:v>0.999999999999996</c:v>
                </c:pt>
                <c:pt idx="50">
                  <c:v>0.999999999999996</c:v>
                </c:pt>
                <c:pt idx="51">
                  <c:v>6.2032099342459603E-15</c:v>
                </c:pt>
                <c:pt idx="52">
                  <c:v>6.0792016678953202E-15</c:v>
                </c:pt>
                <c:pt idx="53">
                  <c:v>5.9576765812524098E-15</c:v>
                </c:pt>
                <c:pt idx="54">
                  <c:v>5.8385834157074801E-15</c:v>
                </c:pt>
                <c:pt idx="55">
                  <c:v>5.72187042121044E-15</c:v>
                </c:pt>
                <c:pt idx="56">
                  <c:v>5.6074899348144898E-15</c:v>
                </c:pt>
                <c:pt idx="57">
                  <c:v>5.49539571023122E-15</c:v>
                </c:pt>
                <c:pt idx="58">
                  <c:v>5.3855422146631003E-15</c:v>
                </c:pt>
                <c:pt idx="59">
                  <c:v>5.2778847139579704E-15</c:v>
                </c:pt>
                <c:pt idx="60">
                  <c:v>5.1723792361529399E-15</c:v>
                </c:pt>
                <c:pt idx="61">
                  <c:v>5.0689826821449697E-15</c:v>
                </c:pt>
                <c:pt idx="62">
                  <c:v>4.9676529708936197E-15</c:v>
                </c:pt>
                <c:pt idx="63">
                  <c:v>4.8683488783564104E-15</c:v>
                </c:pt>
                <c:pt idx="64">
                  <c:v>4.7710299280961999E-15</c:v>
                </c:pt>
                <c:pt idx="65">
                  <c:v>4.67565641258899E-15</c:v>
                </c:pt>
                <c:pt idx="66">
                  <c:v>4.5821894229888296E-15</c:v>
                </c:pt>
                <c:pt idx="67">
                  <c:v>4.49059084444048E-15</c:v>
                </c:pt>
                <c:pt idx="68">
                  <c:v>4.4008233314100098E-15</c:v>
                </c:pt>
                <c:pt idx="69">
                  <c:v>4.31285028385198E-15</c:v>
                </c:pt>
                <c:pt idx="70">
                  <c:v>4.2266358304947203E-15</c:v>
                </c:pt>
                <c:pt idx="71">
                  <c:v>4.1421448159598503E-15</c:v>
                </c:pt>
                <c:pt idx="72">
                  <c:v>4.0593427879117098E-15</c:v>
                </c:pt>
                <c:pt idx="73">
                  <c:v>3.9781959832464803E-15</c:v>
                </c:pt>
                <c:pt idx="74">
                  <c:v>3.8986713139964802E-15</c:v>
                </c:pt>
                <c:pt idx="75">
                  <c:v>3.8207363541796798E-15</c:v>
                </c:pt>
                <c:pt idx="76">
                  <c:v>3.7443593264946903E-15</c:v>
                </c:pt>
                <c:pt idx="77">
                  <c:v>3.66950908714928E-15</c:v>
                </c:pt>
                <c:pt idx="78">
                  <c:v>3.5961551138017397E-15</c:v>
                </c:pt>
                <c:pt idx="79">
                  <c:v>3.5242674951711998E-15</c:v>
                </c:pt>
                <c:pt idx="80">
                  <c:v>3.45381691916456E-15</c:v>
                </c:pt>
                <c:pt idx="81">
                  <c:v>3.3847746597638702E-15</c:v>
                </c:pt>
                <c:pt idx="82">
                  <c:v>3.3171125645753801E-15</c:v>
                </c:pt>
                <c:pt idx="83">
                  <c:v>3.2508030436449599E-15</c:v>
                </c:pt>
                <c:pt idx="84">
                  <c:v>3.1858190586985601E-15</c:v>
                </c:pt>
                <c:pt idx="85">
                  <c:v>3.12213411219526E-15</c:v>
                </c:pt>
                <c:pt idx="86">
                  <c:v>3.0597222362894901E-15</c:v>
                </c:pt>
                <c:pt idx="87">
                  <c:v>2.99855798212763E-15</c:v>
                </c:pt>
                <c:pt idx="88">
                  <c:v>2.9386164095309799E-15</c:v>
                </c:pt>
                <c:pt idx="89">
                  <c:v>2.8798730769109602E-15</c:v>
                </c:pt>
                <c:pt idx="90">
                  <c:v>2.8223040313094E-15</c:v>
                </c:pt>
                <c:pt idx="91">
                  <c:v>2.7658857985914498E-15</c:v>
                </c:pt>
                <c:pt idx="92">
                  <c:v>2.7105953738543901E-15</c:v>
                </c:pt>
                <c:pt idx="93">
                  <c:v>2.6564102120540302E-15</c:v>
                </c:pt>
                <c:pt idx="94">
                  <c:v>2.6033082188363399E-15</c:v>
                </c:pt>
                <c:pt idx="95">
                  <c:v>2.5512677415214699E-15</c:v>
                </c:pt>
                <c:pt idx="96">
                  <c:v>2.5002675602674498E-15</c:v>
                </c:pt>
                <c:pt idx="97">
                  <c:v>2.4502868794153602E-15</c:v>
                </c:pt>
                <c:pt idx="98">
                  <c:v>2.4013053190177901E-15</c:v>
                </c:pt>
                <c:pt idx="99">
                  <c:v>2.3533029065229899E-15</c:v>
                </c:pt>
              </c:numCache>
            </c:numRef>
          </c:yVal>
          <c:smooth val="0"/>
          <c:extLst>
            <c:ext xmlns:c16="http://schemas.microsoft.com/office/drawing/2014/chart" uri="{C3380CC4-5D6E-409C-BE32-E72D297353CC}">
              <c16:uniqueId val="{00000027-D137-48DF-AE00-9067040BCA60}"/>
            </c:ext>
          </c:extLst>
        </c:ser>
        <c:ser>
          <c:idx val="49"/>
          <c:order val="40"/>
          <c:tx>
            <c:strRef>
              <c:f>dynamicR!$CO$19</c:f>
              <c:strCache>
                <c:ptCount val="1"/>
                <c:pt idx="0">
                  <c:v>s3CS</c:v>
                </c:pt>
              </c:strCache>
            </c:strRef>
          </c:tx>
          <c:spPr>
            <a:ln w="19050" cap="rnd">
              <a:solidFill>
                <a:schemeClr val="accent2">
                  <a:lumMod val="50000"/>
                  <a:lumOff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dynamicR!$CO$20:$CO$119</c:f>
              <c:numCache>
                <c:formatCode>0.00</c:formatCode>
                <c:ptCount val="100"/>
                <c:pt idx="0">
                  <c:v>0</c:v>
                </c:pt>
                <c:pt idx="1">
                  <c:v>1</c:v>
                </c:pt>
                <c:pt idx="2">
                  <c:v>0.999999999999999</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1</c:v>
                </c:pt>
                <c:pt idx="21">
                  <c:v>1</c:v>
                </c:pt>
                <c:pt idx="22">
                  <c:v>0.999999999999998</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-4.1107927597948603E-214</c:v>
                </c:pt>
                <c:pt idx="52">
                  <c:v>9.9029056283013195E-216</c:v>
                </c:pt>
                <c:pt idx="53">
                  <c:v>-3.3539737528986898E-215</c:v>
                </c:pt>
                <c:pt idx="54">
                  <c:v>4.41037827434228E-214</c:v>
                </c:pt>
                <c:pt idx="55">
                  <c:v>-2.7764451688317198E-214</c:v>
                </c:pt>
                <c:pt idx="56">
                  <c:v>9.0516824144758094E-214</c:v>
                </c:pt>
                <c:pt idx="57">
                  <c:v>-2.6378821939561798E-214</c:v>
                </c:pt>
                <c:pt idx="58">
                  <c:v>4.91109143656541E-215</c:v>
                </c:pt>
                <c:pt idx="59">
                  <c:v>2.9913294842693901E-216</c:v>
                </c:pt>
                <c:pt idx="60">
                  <c:v>-5.5506981911659497E-216</c:v>
                </c:pt>
                <c:pt idx="61">
                  <c:v>2.6422310668819101E-216</c:v>
                </c:pt>
                <c:pt idx="62">
                  <c:v>6.5692525065660098E-215</c:v>
                </c:pt>
                <c:pt idx="63">
                  <c:v>5.1019858117004298E-215</c:v>
                </c:pt>
                <c:pt idx="64">
                  <c:v>-4.13590582892709E-215</c:v>
                </c:pt>
                <c:pt idx="65">
                  <c:v>-9.4596596206862405E-216</c:v>
                </c:pt>
                <c:pt idx="66">
                  <c:v>6.6080456605857004E-215</c:v>
                </c:pt>
                <c:pt idx="67">
                  <c:v>-2.1359813043914099E-215</c:v>
                </c:pt>
                <c:pt idx="68">
                  <c:v>-7.25262109817056E-215</c:v>
                </c:pt>
                <c:pt idx="69">
                  <c:v>6.2125302563444203E-215</c:v>
                </c:pt>
                <c:pt idx="70">
                  <c:v>5.7891429579653405E-215</c:v>
                </c:pt>
                <c:pt idx="71">
                  <c:v>-1.06101413772242E-214</c:v>
                </c:pt>
                <c:pt idx="72">
                  <c:v>-1.76276572274871E-215</c:v>
                </c:pt>
                <c:pt idx="73">
                  <c:v>1.40236491039055E-214</c:v>
                </c:pt>
                <c:pt idx="74">
                  <c:v>-4.9707998852153296E-215</c:v>
                </c:pt>
                <c:pt idx="75">
                  <c:v>-1.4345427758340599E-214</c:v>
                </c:pt>
                <c:pt idx="76">
                  <c:v>1.3858874273537501E-214</c:v>
                </c:pt>
                <c:pt idx="77">
                  <c:v>-9.9348276821604605E-215</c:v>
                </c:pt>
                <c:pt idx="78">
                  <c:v>3.8842954027374002E-215</c:v>
                </c:pt>
                <c:pt idx="79">
                  <c:v>-8.9886427636413894E-216</c:v>
                </c:pt>
                <c:pt idx="80">
                  <c:v>8.5105897197142403E-217</c:v>
                </c:pt>
                <c:pt idx="81">
                  <c:v>4.5435888901683002E-222</c:v>
                </c:pt>
                <c:pt idx="82">
                  <c:v>-1.4107330676065299E-222</c:v>
                </c:pt>
                <c:pt idx="83">
                  <c:v>3.0019406119092702E-223</c:v>
                </c:pt>
                <c:pt idx="84">
                  <c:v>-3.9329941563455701E-224</c:v>
                </c:pt>
                <c:pt idx="85">
                  <c:v>2.33929332504961E-225</c:v>
                </c:pt>
                <c:pt idx="86">
                  <c:v>5.2598838275279102E-230</c:v>
                </c:pt>
                <c:pt idx="87">
                  <c:v>-1.0998046152885E-230</c:v>
                </c:pt>
                <c:pt idx="88">
                  <c:v>1.6080727527398999E-231</c:v>
                </c:pt>
                <c:pt idx="89">
                  <c:v>-1.48300077759238E-232</c:v>
                </c:pt>
                <c:pt idx="90">
                  <c:v>6.4289042712360601E-234</c:v>
                </c:pt>
                <c:pt idx="91">
                  <c:v>4.1727459121940301E-238</c:v>
                </c:pt>
                <c:pt idx="92">
                  <c:v>-6.5095811154354196E-239</c:v>
                </c:pt>
                <c:pt idx="93">
                  <c:v>7.2627667784026703E-240</c:v>
                </c:pt>
                <c:pt idx="94">
                  <c:v>-5.1808647891578701E-241</c:v>
                </c:pt>
                <c:pt idx="95">
                  <c:v>1.7661545053536101E-242</c:v>
                </c:pt>
                <c:pt idx="96">
                  <c:v>2.6360571547936799E-246</c:v>
                </c:pt>
                <c:pt idx="97">
                  <c:v>-3.2866742772522299E-247</c:v>
                </c:pt>
                <c:pt idx="98">
                  <c:v>2.96743730733216E-248</c:v>
                </c:pt>
                <c:pt idx="99">
                  <c:v>-1.7274455988406199E-249</c:v>
                </c:pt>
              </c:numCache>
            </c:numRef>
          </c:yVal>
          <c:smooth val="0"/>
          <c:extLst>
            <c:ext xmlns:c16="http://schemas.microsoft.com/office/drawing/2014/chart" uri="{C3380CC4-5D6E-409C-BE32-E72D297353CC}">
              <c16:uniqueId val="{00000028-D137-48DF-AE00-9067040BCA60}"/>
            </c:ext>
          </c:extLst>
        </c:ser>
        <c:ser>
          <c:idx val="50"/>
          <c:order val="41"/>
          <c:tx>
            <c:strRef>
              <c:f>dynamicR!$CP$19</c:f>
              <c:strCache>
                <c:ptCount val="1"/>
                <c:pt idx="0">
                  <c:v>s3CA</c:v>
                </c:pt>
              </c:strCache>
            </c:strRef>
          </c:tx>
          <c:spPr>
            <a:ln w="19050" cap="rnd">
              <a:solidFill>
                <a:schemeClr val="accent3">
                  <a:lumMod val="50000"/>
                  <a:lumOff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dynamicR!$CP$20:$CP$119</c:f>
              <c:numCache>
                <c:formatCode>0.00</c:formatCode>
                <c:ptCount val="100"/>
                <c:pt idx="0">
                  <c:v>0</c:v>
                </c:pt>
                <c:pt idx="1">
                  <c:v>1</c:v>
                </c:pt>
                <c:pt idx="2">
                  <c:v>0.999999999999998</c:v>
                </c:pt>
                <c:pt idx="3">
                  <c:v>0.999999999999998</c:v>
                </c:pt>
                <c:pt idx="4">
                  <c:v>1</c:v>
                </c:pt>
                <c:pt idx="5">
                  <c:v>1</c:v>
                </c:pt>
                <c:pt idx="6">
                  <c:v>1</c:v>
                </c:pt>
                <c:pt idx="7">
                  <c:v>0.999999999999999</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0.999999999999998</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0.999999999999999</c:v>
                </c:pt>
                <c:pt idx="45">
                  <c:v>1</c:v>
                </c:pt>
                <c:pt idx="46">
                  <c:v>1</c:v>
                </c:pt>
                <c:pt idx="47">
                  <c:v>1</c:v>
                </c:pt>
                <c:pt idx="48">
                  <c:v>1</c:v>
                </c:pt>
                <c:pt idx="49">
                  <c:v>1</c:v>
                </c:pt>
                <c:pt idx="50">
                  <c:v>1</c:v>
                </c:pt>
                <c:pt idx="51">
                  <c:v>-8.4597748404121996E-94</c:v>
                </c:pt>
                <c:pt idx="52">
                  <c:v>2.03797400266288E-95</c:v>
                </c:pt>
                <c:pt idx="53">
                  <c:v>-6.9021934158336099E-95</c:v>
                </c:pt>
                <c:pt idx="54">
                  <c:v>9.07630893185753E-94</c:v>
                </c:pt>
                <c:pt idx="55">
                  <c:v>-5.7137516825111696E-94</c:v>
                </c:pt>
                <c:pt idx="56">
                  <c:v>1.862779242765E-93</c:v>
                </c:pt>
                <c:pt idx="57">
                  <c:v>-5.4285767067805296E-94</c:v>
                </c:pt>
                <c:pt idx="58">
                  <c:v>1.01065758133401E-94</c:v>
                </c:pt>
                <c:pt idx="59">
                  <c:v>6.1564682005844801E-96</c:v>
                </c:pt>
                <c:pt idx="60">
                  <c:v>-1.14234270614348E-95</c:v>
                </c:pt>
                <c:pt idx="61">
                  <c:v>5.4367385653402298E-96</c:v>
                </c:pt>
                <c:pt idx="62">
                  <c:v>1.35191018888698E-94</c:v>
                </c:pt>
                <c:pt idx="63">
                  <c:v>1.04995369169764E-94</c:v>
                </c:pt>
                <c:pt idx="64">
                  <c:v>-8.5115023583953804E-95</c:v>
                </c:pt>
                <c:pt idx="65">
                  <c:v>-1.9467216065900599E-95</c:v>
                </c:pt>
                <c:pt idx="66">
                  <c:v>1.35989939064539E-94</c:v>
                </c:pt>
                <c:pt idx="67">
                  <c:v>-4.3957543141287002E-95</c:v>
                </c:pt>
                <c:pt idx="68">
                  <c:v>-1.49254734553886E-94</c:v>
                </c:pt>
                <c:pt idx="69">
                  <c:v>1.27850505640508E-94</c:v>
                </c:pt>
                <c:pt idx="70">
                  <c:v>1.19137084104699E-94</c:v>
                </c:pt>
                <c:pt idx="71">
                  <c:v>-2.1835061421172399E-94</c:v>
                </c:pt>
                <c:pt idx="72">
                  <c:v>-3.62766035282929E-95</c:v>
                </c:pt>
                <c:pt idx="73">
                  <c:v>2.88598414713268E-94</c:v>
                </c:pt>
                <c:pt idx="74">
                  <c:v>-1.02296026248782E-94</c:v>
                </c:pt>
                <c:pt idx="75">
                  <c:v>-2.9522034162172898E-94</c:v>
                </c:pt>
                <c:pt idx="76">
                  <c:v>2.8520712156076701E-94</c:v>
                </c:pt>
                <c:pt idx="77">
                  <c:v>-2.0445208408333801E-94</c:v>
                </c:pt>
                <c:pt idx="78">
                  <c:v>7.9935436468648606E-95</c:v>
                </c:pt>
                <c:pt idx="79">
                  <c:v>-1.8497233791053201E-95</c:v>
                </c:pt>
                <c:pt idx="80">
                  <c:v>1.7509256962635199E-96</c:v>
                </c:pt>
                <c:pt idx="81">
                  <c:v>2.2552508733811601E-100</c:v>
                </c:pt>
                <c:pt idx="82">
                  <c:v>-7.0021524324964805E-101</c:v>
                </c:pt>
                <c:pt idx="83">
                  <c:v>1.48991928526661E-101</c:v>
                </c:pt>
                <c:pt idx="84">
                  <c:v>-1.9515687443570299E-102</c:v>
                </c:pt>
                <c:pt idx="85">
                  <c:v>1.1589072056750599E-103</c:v>
                </c:pt>
                <c:pt idx="86">
                  <c:v>6.3859656401414199E-107</c:v>
                </c:pt>
                <c:pt idx="87">
                  <c:v>-1.31650991367794E-107</c:v>
                </c:pt>
                <c:pt idx="88">
                  <c:v>1.92448091834665E-108</c:v>
                </c:pt>
                <c:pt idx="89">
                  <c:v>-1.7732040314233899E-109</c:v>
                </c:pt>
                <c:pt idx="90">
                  <c:v>7.6392669708568696E-111</c:v>
                </c:pt>
                <c:pt idx="91">
                  <c:v>1.21226069093776E-113</c:v>
                </c:pt>
                <c:pt idx="92">
                  <c:v>-1.87893415398822E-114</c:v>
                </c:pt>
                <c:pt idx="93">
                  <c:v>2.0949401465103298E-115</c:v>
                </c:pt>
                <c:pt idx="94">
                  <c:v>-1.4905405989607699E-116</c:v>
                </c:pt>
                <c:pt idx="95">
                  <c:v>4.9902531011098304E-118</c:v>
                </c:pt>
                <c:pt idx="96">
                  <c:v>1.8393832981950799E-120</c:v>
                </c:pt>
                <c:pt idx="97">
                  <c:v>-2.2868309095941299E-121</c:v>
                </c:pt>
                <c:pt idx="98">
                  <c:v>2.06144273581918E-122</c:v>
                </c:pt>
                <c:pt idx="99">
                  <c:v>-1.19259823648697E-123</c:v>
                </c:pt>
              </c:numCache>
            </c:numRef>
          </c:yVal>
          <c:smooth val="0"/>
          <c:extLst>
            <c:ext xmlns:c16="http://schemas.microsoft.com/office/drawing/2014/chart" uri="{C3380CC4-5D6E-409C-BE32-E72D297353CC}">
              <c16:uniqueId val="{00000029-D137-48DF-AE00-9067040BCA60}"/>
            </c:ext>
          </c:extLst>
        </c:ser>
        <c:ser>
          <c:idx val="51"/>
          <c:order val="42"/>
          <c:tx>
            <c:strRef>
              <c:f>dynamicR!$CQ$19</c:f>
              <c:strCache>
                <c:ptCount val="1"/>
                <c:pt idx="0">
                  <c:v>s3CP</c:v>
                </c:pt>
              </c:strCache>
            </c:strRef>
          </c:tx>
          <c:spPr>
            <a:ln w="19050" cap="rnd">
              <a:solidFill>
                <a:schemeClr val="accent4">
                  <a:lumMod val="50000"/>
                  <a:lumOff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dynamicR!$CQ$20:$CQ$119</c:f>
              <c:numCache>
                <c:formatCode>0.00</c:formatCode>
                <c:ptCount val="100"/>
                <c:pt idx="0">
                  <c:v>0</c:v>
                </c:pt>
                <c:pt idx="1">
                  <c:v>1</c:v>
                </c:pt>
                <c:pt idx="2">
                  <c:v>1</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0.999999999999999</c:v>
                </c:pt>
                <c:pt idx="19">
                  <c:v>1</c:v>
                </c:pt>
                <c:pt idx="20">
                  <c:v>1</c:v>
                </c:pt>
                <c:pt idx="21">
                  <c:v>0.999999999999999</c:v>
                </c:pt>
                <c:pt idx="22">
                  <c:v>0.999999999999999</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2.0670486095701602E-89</c:v>
                </c:pt>
                <c:pt idx="52">
                  <c:v>-4.97955971240423E-91</c:v>
                </c:pt>
                <c:pt idx="53">
                  <c:v>1.6864682267930499E-90</c:v>
                </c:pt>
                <c:pt idx="54">
                  <c:v>-2.2176917883984899E-89</c:v>
                </c:pt>
                <c:pt idx="55">
                  <c:v>1.3960890058517201E-89</c:v>
                </c:pt>
                <c:pt idx="56">
                  <c:v>-4.5514849264752797E-89</c:v>
                </c:pt>
                <c:pt idx="57">
                  <c:v>1.32640904793556E-89</c:v>
                </c:pt>
                <c:pt idx="58">
                  <c:v>-2.46941941850527E-90</c:v>
                </c:pt>
                <c:pt idx="59">
                  <c:v>-1.50427967992162E-91</c:v>
                </c:pt>
                <c:pt idx="60">
                  <c:v>2.7911977614103599E-91</c:v>
                </c:pt>
                <c:pt idx="61">
                  <c:v>-1.32837478997619E-91</c:v>
                </c:pt>
                <c:pt idx="62">
                  <c:v>-3.3032354530306502E-90</c:v>
                </c:pt>
                <c:pt idx="63">
                  <c:v>-2.5654389759262E-90</c:v>
                </c:pt>
                <c:pt idx="64">
                  <c:v>2.0796893184783601E-90</c:v>
                </c:pt>
                <c:pt idx="65">
                  <c:v>4.7565822812453201E-91</c:v>
                </c:pt>
                <c:pt idx="66">
                  <c:v>-3.3227582450033198E-90</c:v>
                </c:pt>
                <c:pt idx="67">
                  <c:v>1.07405298134878E-90</c:v>
                </c:pt>
                <c:pt idx="68">
                  <c:v>3.6468675474839E-90</c:v>
                </c:pt>
                <c:pt idx="69">
                  <c:v>-3.1238807228839699E-90</c:v>
                </c:pt>
                <c:pt idx="70">
                  <c:v>-2.9109770121873802E-90</c:v>
                </c:pt>
                <c:pt idx="71">
                  <c:v>5.3351460094928803E-90</c:v>
                </c:pt>
                <c:pt idx="72">
                  <c:v>8.8637669450235898E-91</c:v>
                </c:pt>
                <c:pt idx="73">
                  <c:v>-7.0515693595565603E-90</c:v>
                </c:pt>
                <c:pt idx="74">
                  <c:v>2.4994850421384798E-90</c:v>
                </c:pt>
                <c:pt idx="75">
                  <c:v>7.2133681876112699E-90</c:v>
                </c:pt>
                <c:pt idx="76">
                  <c:v>-6.9687058488387397E-90</c:v>
                </c:pt>
                <c:pt idx="77">
                  <c:v>4.9955479358096801E-90</c:v>
                </c:pt>
                <c:pt idx="78">
                  <c:v>-1.95312631607337E-90</c:v>
                </c:pt>
                <c:pt idx="79">
                  <c:v>4.5195545083681799E-91</c:v>
                </c:pt>
                <c:pt idx="80">
                  <c:v>-4.2780027798481597E-92</c:v>
                </c:pt>
                <c:pt idx="81">
                  <c:v>-6.2928040402804901E-96</c:v>
                </c:pt>
                <c:pt idx="82">
                  <c:v>1.9537975742338898E-96</c:v>
                </c:pt>
                <c:pt idx="83">
                  <c:v>-4.1572572264995398E-97</c:v>
                </c:pt>
                <c:pt idx="84">
                  <c:v>5.44519213787533E-98</c:v>
                </c:pt>
                <c:pt idx="85">
                  <c:v>-3.2327700832962698E-99</c:v>
                </c:pt>
                <c:pt idx="86">
                  <c:v>-2.03483701261717E-102</c:v>
                </c:pt>
                <c:pt idx="87">
                  <c:v>4.19491921065463E-103</c:v>
                </c:pt>
                <c:pt idx="88">
                  <c:v>-6.1319442569262096E-104</c:v>
                </c:pt>
                <c:pt idx="89">
                  <c:v>5.6491806350059898E-105</c:v>
                </c:pt>
                <c:pt idx="90">
                  <c:v>-2.4315117380543698E-106</c:v>
                </c:pt>
                <c:pt idx="91">
                  <c:v>-4.4111384630229197E-109</c:v>
                </c:pt>
                <c:pt idx="92">
                  <c:v>6.8367843208129303E-110</c:v>
                </c:pt>
                <c:pt idx="93">
                  <c:v>-7.6220039287840407E-111</c:v>
                </c:pt>
                <c:pt idx="94">
                  <c:v>5.4209320286745195E-112</c:v>
                </c:pt>
                <c:pt idx="95">
                  <c:v>-1.8099796030373001E-113</c:v>
                </c:pt>
                <c:pt idx="96">
                  <c:v>-7.6430902443490402E-116</c:v>
                </c:pt>
                <c:pt idx="97">
                  <c:v>9.5015789113626501E-117</c:v>
                </c:pt>
                <c:pt idx="98">
                  <c:v>-8.5631009300515405E-118</c:v>
                </c:pt>
                <c:pt idx="99">
                  <c:v>4.9493904575332699E-119</c:v>
                </c:pt>
              </c:numCache>
            </c:numRef>
          </c:yVal>
          <c:smooth val="0"/>
          <c:extLst>
            <c:ext xmlns:c16="http://schemas.microsoft.com/office/drawing/2014/chart" uri="{C3380CC4-5D6E-409C-BE32-E72D297353CC}">
              <c16:uniqueId val="{0000002A-D137-48DF-AE00-9067040BCA60}"/>
            </c:ext>
          </c:extLst>
        </c:ser>
        <c:dLbls>
          <c:showLegendKey val="0"/>
          <c:showVal val="0"/>
          <c:showCatName val="0"/>
          <c:showSerName val="0"/>
          <c:showPercent val="0"/>
          <c:showBubbleSize val="0"/>
        </c:dLbls>
        <c:axId val="150501632"/>
        <c:axId val="150536576"/>
      </c:scatterChart>
      <c:valAx>
        <c:axId val="150501632"/>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6576"/>
        <c:crosses val="autoZero"/>
        <c:crossBetween val="midCat"/>
      </c:valAx>
      <c:valAx>
        <c:axId val="150536576"/>
        <c:scaling>
          <c:orientation val="minMax"/>
          <c:max val="1.0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steady state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016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SimpleBox dynamic output - Arctic </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dynamicR!$DO$19</c:f>
              <c:strCache>
                <c:ptCount val="1"/>
                <c:pt idx="0">
                  <c:v>aAG</c:v>
                </c:pt>
              </c:strCache>
            </c:strRef>
          </c:tx>
          <c:spPr>
            <a:ln w="19050" cap="rnd">
              <a:solidFill>
                <a:schemeClr val="accent2"/>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dynamicR!$DO$20:$DO$119</c:f>
              <c:numCache>
                <c:formatCode>0.00</c:formatCode>
                <c:ptCount val="100"/>
                <c:pt idx="0">
                  <c:v>0</c:v>
                </c:pt>
                <c:pt idx="1">
                  <c:v>1.9997824461962001E-2</c:v>
                </c:pt>
                <c:pt idx="2">
                  <c:v>3.95881958601038E-2</c:v>
                </c:pt>
                <c:pt idx="3">
                  <c:v>5.8786952439302299E-2</c:v>
                </c:pt>
                <c:pt idx="4">
                  <c:v>7.7601928222683303E-2</c:v>
                </c:pt>
                <c:pt idx="5">
                  <c:v>9.6040791785427307E-2</c:v>
                </c:pt>
                <c:pt idx="6">
                  <c:v>0.114111058696531</c:v>
                </c:pt>
                <c:pt idx="7">
                  <c:v>0.13182009708228801</c:v>
                </c:pt>
                <c:pt idx="8">
                  <c:v>0.14917512894865301</c:v>
                </c:pt>
                <c:pt idx="9">
                  <c:v>0.166183231583937</c:v>
                </c:pt>
                <c:pt idx="10">
                  <c:v>0.18285134020614099</c:v>
                </c:pt>
                <c:pt idx="11">
                  <c:v>0.199186251169855</c:v>
                </c:pt>
                <c:pt idx="12">
                  <c:v>0.215194624964165</c:v>
                </c:pt>
                <c:pt idx="13">
                  <c:v>0.23088298881973199</c:v>
                </c:pt>
                <c:pt idx="14">
                  <c:v>0.24625773983806001</c:v>
                </c:pt>
                <c:pt idx="15">
                  <c:v>0.26132514754442199</c:v>
                </c:pt>
                <c:pt idx="16">
                  <c:v>0.27609135598253498</c:v>
                </c:pt>
                <c:pt idx="17">
                  <c:v>0.29056238607172202</c:v>
                </c:pt>
                <c:pt idx="18">
                  <c:v>0.30474413830816999</c:v>
                </c:pt>
                <c:pt idx="19">
                  <c:v>0.31864239536586098</c:v>
                </c:pt>
                <c:pt idx="20">
                  <c:v>0.33226282441336702</c:v>
                </c:pt>
                <c:pt idx="21">
                  <c:v>0.34561097930752599</c:v>
                </c:pt>
                <c:pt idx="22">
                  <c:v>0.35869230282713299</c:v>
                </c:pt>
                <c:pt idx="23">
                  <c:v>0.37151212894048302</c:v>
                </c:pt>
                <c:pt idx="24">
                  <c:v>0.38407568501357903</c:v>
                </c:pt>
                <c:pt idx="25">
                  <c:v>0.39638809393108099</c:v>
                </c:pt>
                <c:pt idx="26">
                  <c:v>0.40845437616373098</c:v>
                </c:pt>
                <c:pt idx="27">
                  <c:v>0.42027945181318499</c:v>
                </c:pt>
                <c:pt idx="28">
                  <c:v>0.43186814262717899</c:v>
                </c:pt>
                <c:pt idx="29">
                  <c:v>0.44322517396905797</c:v>
                </c:pt>
                <c:pt idx="30">
                  <c:v>0.45435517674509301</c:v>
                </c:pt>
                <c:pt idx="31">
                  <c:v>0.46526268928789699</c:v>
                </c:pt>
                <c:pt idx="32">
                  <c:v>0.47595215920565698</c:v>
                </c:pt>
                <c:pt idx="33">
                  <c:v>0.48642794519786098</c:v>
                </c:pt>
                <c:pt idx="34">
                  <c:v>0.49669431883570703</c:v>
                </c:pt>
                <c:pt idx="35">
                  <c:v>0.50675546630055801</c:v>
                </c:pt>
                <c:pt idx="36">
                  <c:v>0.51661549009034902</c:v>
                </c:pt>
                <c:pt idx="37">
                  <c:v>0.52627841069391001</c:v>
                </c:pt>
                <c:pt idx="38">
                  <c:v>0.53574816822982396</c:v>
                </c:pt>
                <c:pt idx="39">
                  <c:v>0.54502862405390196</c:v>
                </c:pt>
                <c:pt idx="40">
                  <c:v>0.55412356233262405</c:v>
                </c:pt>
                <c:pt idx="41">
                  <c:v>0.56303669158674596</c:v>
                </c:pt>
                <c:pt idx="42">
                  <c:v>0.57177164569614303</c:v>
                </c:pt>
                <c:pt idx="43">
                  <c:v>0.58033198229101302</c:v>
                </c:pt>
                <c:pt idx="44">
                  <c:v>0.58872121199180605</c:v>
                </c:pt>
                <c:pt idx="45">
                  <c:v>0.59694273519139196</c:v>
                </c:pt>
                <c:pt idx="46">
                  <c:v>0.60499989275309896</c:v>
                </c:pt>
                <c:pt idx="47">
                  <c:v>0.61289599864389199</c:v>
                </c:pt>
                <c:pt idx="48">
                  <c:v>0.62063425396302196</c:v>
                </c:pt>
                <c:pt idx="49">
                  <c:v>0.62821783586272295</c:v>
                </c:pt>
                <c:pt idx="50">
                  <c:v>0.62821783586272295</c:v>
                </c:pt>
                <c:pt idx="51">
                  <c:v>0.61565165059096305</c:v>
                </c:pt>
                <c:pt idx="52">
                  <c:v>0.60334416871062102</c:v>
                </c:pt>
                <c:pt idx="53">
                  <c:v>0.59128313563694102</c:v>
                </c:pt>
                <c:pt idx="54">
                  <c:v>0.57946346409284899</c:v>
                </c:pt>
                <c:pt idx="55">
                  <c:v>0.56788001802715304</c:v>
                </c:pt>
                <c:pt idx="56">
                  <c:v>0.55652806702251401</c:v>
                </c:pt>
                <c:pt idx="57">
                  <c:v>0.545403021261058</c:v>
                </c:pt>
                <c:pt idx="58">
                  <c:v>0.53450036173694104</c:v>
                </c:pt>
                <c:pt idx="59">
                  <c:v>0.52381564870769104</c:v>
                </c:pt>
                <c:pt idx="60">
                  <c:v>0.51334451807603898</c:v>
                </c:pt>
                <c:pt idx="61">
                  <c:v>0.50308269237367098</c:v>
                </c:pt>
                <c:pt idx="62">
                  <c:v>0.49302599517221102</c:v>
                </c:pt>
                <c:pt idx="63">
                  <c:v>0.48317033509798801</c:v>
                </c:pt>
                <c:pt idx="64">
                  <c:v>0.47351169497512102</c:v>
                </c:pt>
                <c:pt idx="65">
                  <c:v>0.46404613394025701</c:v>
                </c:pt>
                <c:pt idx="66">
                  <c:v>0.45476979039666199</c:v>
                </c:pt>
                <c:pt idx="67">
                  <c:v>0.44567888154900998</c:v>
                </c:pt>
                <c:pt idx="68">
                  <c:v>0.43676970095501699</c:v>
                </c:pt>
                <c:pt idx="69">
                  <c:v>0.42803861616009098</c:v>
                </c:pt>
                <c:pt idx="70">
                  <c:v>0.41948206703845597</c:v>
                </c:pt>
                <c:pt idx="71">
                  <c:v>0.41109656451478399</c:v>
                </c:pt>
                <c:pt idx="72">
                  <c:v>0.40287868928881498</c:v>
                </c:pt>
                <c:pt idx="73">
                  <c:v>0.39482509046467401</c:v>
                </c:pt>
                <c:pt idx="74">
                  <c:v>0.38693248415190701</c:v>
                </c:pt>
                <c:pt idx="75">
                  <c:v>0.37919765216031698</c:v>
                </c:pt>
                <c:pt idx="76">
                  <c:v>0.37161744067949698</c:v>
                </c:pt>
                <c:pt idx="77">
                  <c:v>0.36418875877309997</c:v>
                </c:pt>
                <c:pt idx="78">
                  <c:v>0.35690857718203201</c:v>
                </c:pt>
                <c:pt idx="79">
                  <c:v>0.34977392729333301</c:v>
                </c:pt>
                <c:pt idx="80">
                  <c:v>0.34278189996178599</c:v>
                </c:pt>
                <c:pt idx="81">
                  <c:v>0.33592964420853499</c:v>
                </c:pt>
                <c:pt idx="82">
                  <c:v>0.32921436598535803</c:v>
                </c:pt>
                <c:pt idx="83">
                  <c:v>0.32263332706463099</c:v>
                </c:pt>
                <c:pt idx="84">
                  <c:v>0.31618384397147298</c:v>
                </c:pt>
                <c:pt idx="85">
                  <c:v>0.30986328689728798</c:v>
                </c:pt>
                <c:pt idx="86">
                  <c:v>0.30366907860429798</c:v>
                </c:pt>
                <c:pt idx="87">
                  <c:v>0.297598693363259</c:v>
                </c:pt>
                <c:pt idx="88">
                  <c:v>0.29164965592952302</c:v>
                </c:pt>
                <c:pt idx="89">
                  <c:v>0.28581954054215503</c:v>
                </c:pt>
                <c:pt idx="90">
                  <c:v>0.28010596993544601</c:v>
                </c:pt>
                <c:pt idx="91">
                  <c:v>0.27450661436560198</c:v>
                </c:pt>
                <c:pt idx="92">
                  <c:v>0.26901919065883301</c:v>
                </c:pt>
                <c:pt idx="93">
                  <c:v>0.26364146128105398</c:v>
                </c:pt>
                <c:pt idx="94">
                  <c:v>0.25837123342794499</c:v>
                </c:pt>
                <c:pt idx="95">
                  <c:v>0.25320635813014802</c:v>
                </c:pt>
                <c:pt idx="96">
                  <c:v>0.24814472937627699</c:v>
                </c:pt>
                <c:pt idx="97">
                  <c:v>0.24318428325395999</c:v>
                </c:pt>
                <c:pt idx="98">
                  <c:v>0.238322997109055</c:v>
                </c:pt>
                <c:pt idx="99">
                  <c:v>0.23355888872032901</c:v>
                </c:pt>
              </c:numCache>
            </c:numRef>
          </c:yVal>
          <c:smooth val="0"/>
          <c:extLst>
            <c:ext xmlns:c16="http://schemas.microsoft.com/office/drawing/2014/chart" uri="{C3380CC4-5D6E-409C-BE32-E72D297353CC}">
              <c16:uniqueId val="{00000000-FAC9-4198-8F95-60BD4AA35DBC}"/>
            </c:ext>
          </c:extLst>
        </c:ser>
        <c:ser>
          <c:idx val="2"/>
          <c:order val="1"/>
          <c:tx>
            <c:strRef>
              <c:f>dynamicR!$DP$19</c:f>
              <c:strCache>
                <c:ptCount val="1"/>
                <c:pt idx="0">
                  <c:v>aAS</c:v>
                </c:pt>
              </c:strCache>
            </c:strRef>
          </c:tx>
          <c:spPr>
            <a:ln w="19050" cap="rnd">
              <a:solidFill>
                <a:schemeClr val="accent3"/>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dynamicR!$DP$20:$DP$119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-5.9921512949303598E-213</c:v>
                </c:pt>
                <c:pt idx="52">
                  <c:v>1.4435100598629E-214</c:v>
                </c:pt>
                <c:pt idx="53">
                  <c:v>-4.8889640079449402E-214</c:v>
                </c:pt>
                <c:pt idx="54">
                  <c:v>6.42884592577276E-213</c:v>
                </c:pt>
                <c:pt idx="55">
                  <c:v>-4.0471218574429602E-213</c:v>
                </c:pt>
                <c:pt idx="56">
                  <c:v>1.31943040116957E-212</c:v>
                </c:pt>
                <c:pt idx="57">
                  <c:v>-3.84514370004504E-213</c:v>
                </c:pt>
                <c:pt idx="58">
                  <c:v>7.1587170707550401E-214</c:v>
                </c:pt>
                <c:pt idx="59">
                  <c:v>4.3603507936870999E-215</c:v>
                </c:pt>
                <c:pt idx="60">
                  <c:v>-8.0910482749033399E-215</c:v>
                </c:pt>
                <c:pt idx="61">
                  <c:v>3.8514828908560501E-215</c:v>
                </c:pt>
                <c:pt idx="62">
                  <c:v>9.5757573786375598E-214</c:v>
                </c:pt>
                <c:pt idx="63">
                  <c:v>7.4369767691624197E-214</c:v>
                </c:pt>
                <c:pt idx="64">
                  <c:v>-6.0287575670313804E-214</c:v>
                </c:pt>
                <c:pt idx="65">
                  <c:v>-1.3788997351165301E-214</c:v>
                </c:pt>
                <c:pt idx="66">
                  <c:v>9.6323047301777694E-214</c:v>
                </c:pt>
                <c:pt idx="67">
                  <c:v>-3.1135412614625398E-214</c:v>
                </c:pt>
                <c:pt idx="68">
                  <c:v>-1.0571878600473001E-213</c:v>
                </c:pt>
                <c:pt idx="69">
                  <c:v>9.0557764955359802E-214</c:v>
                </c:pt>
                <c:pt idx="70">
                  <c:v>8.4386204275623606E-214</c:v>
                </c:pt>
                <c:pt idx="71">
                  <c:v>-1.5466012225865098E-213</c:v>
                </c:pt>
                <c:pt idx="72">
                  <c:v>-2.5695186567340098E-214</c:v>
                </c:pt>
                <c:pt idx="73">
                  <c:v>2.0441756691180201E-213</c:v>
                </c:pt>
                <c:pt idx="74">
                  <c:v>-7.2457518767941002E-214</c:v>
                </c:pt>
                <c:pt idx="75">
                  <c:v>-2.0910801581967E-213</c:v>
                </c:pt>
                <c:pt idx="76">
                  <c:v>2.0201570490980401E-213</c:v>
                </c:pt>
                <c:pt idx="77">
                  <c:v>-1.4481632329988801E-213</c:v>
                </c:pt>
                <c:pt idx="78">
                  <c:v>5.6619943176788898E-214</c:v>
                </c:pt>
                <c:pt idx="79">
                  <c:v>-1.3102413430125201E-214</c:v>
                </c:pt>
                <c:pt idx="80">
                  <c:v>1.2405573118695401E-215</c:v>
                </c:pt>
                <c:pt idx="81">
                  <c:v>6.6230199773425702E-221</c:v>
                </c:pt>
                <c:pt idx="82">
                  <c:v>-2.05637273580493E-221</c:v>
                </c:pt>
                <c:pt idx="83">
                  <c:v>4.3758159290308799E-222</c:v>
                </c:pt>
                <c:pt idx="84">
                  <c:v>-5.7329768780026402E-223</c:v>
                </c:pt>
                <c:pt idx="85">
                  <c:v>3.4098968235751598E-224</c:v>
                </c:pt>
                <c:pt idx="86">
                  <c:v>7.7435577943834001E-229</c:v>
                </c:pt>
                <c:pt idx="87">
                  <c:v>-1.60314381494794E-229</c:v>
                </c:pt>
                <c:pt idx="88">
                  <c:v>2.3440264508253201E-230</c:v>
                </c:pt>
                <c:pt idx="89">
                  <c:v>-2.1617128612224601E-231</c:v>
                </c:pt>
                <c:pt idx="90">
                  <c:v>9.3711577190020502E-233</c:v>
                </c:pt>
                <c:pt idx="91">
                  <c:v>6.1019749582327197E-237</c:v>
                </c:pt>
                <c:pt idx="92">
                  <c:v>-9.4887640980791205E-238</c:v>
                </c:pt>
                <c:pt idx="93">
                  <c:v>1.05866450587822E-238</c:v>
                </c:pt>
                <c:pt idx="94">
                  <c:v>-7.5519335618091705E-240</c:v>
                </c:pt>
                <c:pt idx="95">
                  <c:v>2.5744565873520699E-241</c:v>
                </c:pt>
                <c:pt idx="96">
                  <c:v>3.8452089108496201E-245</c:v>
                </c:pt>
                <c:pt idx="97">
                  <c:v>-4.7908556850623997E-246</c:v>
                </c:pt>
                <c:pt idx="98">
                  <c:v>4.3255120957013101E-247</c:v>
                </c:pt>
                <c:pt idx="99">
                  <c:v>-2.51802364501369E-248</c:v>
                </c:pt>
              </c:numCache>
            </c:numRef>
          </c:yVal>
          <c:smooth val="0"/>
          <c:extLst>
            <c:ext xmlns:c16="http://schemas.microsoft.com/office/drawing/2014/chart" uri="{C3380CC4-5D6E-409C-BE32-E72D297353CC}">
              <c16:uniqueId val="{00000001-FAC9-4198-8F95-60BD4AA35DBC}"/>
            </c:ext>
          </c:extLst>
        </c:ser>
        <c:ser>
          <c:idx val="3"/>
          <c:order val="2"/>
          <c:tx>
            <c:strRef>
              <c:f>dynamicR!$DQ$19</c:f>
              <c:strCache>
                <c:ptCount val="1"/>
                <c:pt idx="0">
                  <c:v>aAA</c:v>
                </c:pt>
              </c:strCache>
            </c:strRef>
          </c:tx>
          <c:spPr>
            <a:ln w="19050" cap="rnd">
              <a:solidFill>
                <a:schemeClr val="accent4"/>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dynamicR!$DQ$20:$DQ$119</c:f>
              <c:numCache>
                <c:formatCode>0.00</c:formatCode>
                <c:ptCount val="100"/>
                <c:pt idx="0">
                  <c:v>0</c:v>
                </c:pt>
                <c:pt idx="1">
                  <c:v>1</c:v>
                </c:pt>
                <c:pt idx="2">
                  <c:v>0.999999999999996</c:v>
                </c:pt>
                <c:pt idx="3">
                  <c:v>0.999999999999994</c:v>
                </c:pt>
                <c:pt idx="4">
                  <c:v>1</c:v>
                </c:pt>
                <c:pt idx="5">
                  <c:v>1</c:v>
                </c:pt>
                <c:pt idx="6">
                  <c:v>1</c:v>
                </c:pt>
                <c:pt idx="7">
                  <c:v>1</c:v>
                </c:pt>
                <c:pt idx="8">
                  <c:v>1</c:v>
                </c:pt>
                <c:pt idx="9">
                  <c:v>1</c:v>
                </c:pt>
                <c:pt idx="10">
                  <c:v>1</c:v>
                </c:pt>
                <c:pt idx="11">
                  <c:v>1</c:v>
                </c:pt>
                <c:pt idx="12">
                  <c:v>1</c:v>
                </c:pt>
                <c:pt idx="13">
                  <c:v>1</c:v>
                </c:pt>
                <c:pt idx="14">
                  <c:v>0.999999999999999</c:v>
                </c:pt>
                <c:pt idx="15">
                  <c:v>1</c:v>
                </c:pt>
                <c:pt idx="16">
                  <c:v>1</c:v>
                </c:pt>
                <c:pt idx="17">
                  <c:v>0.999999999999998</c:v>
                </c:pt>
                <c:pt idx="18">
                  <c:v>1</c:v>
                </c:pt>
                <c:pt idx="19">
                  <c:v>1</c:v>
                </c:pt>
                <c:pt idx="20">
                  <c:v>0.999999999999997</c:v>
                </c:pt>
                <c:pt idx="21">
                  <c:v>0.999999999999998</c:v>
                </c:pt>
                <c:pt idx="22">
                  <c:v>1.00000000000001</c:v>
                </c:pt>
                <c:pt idx="23">
                  <c:v>0.999999999999996</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-5.0343028254297298E-99</c:v>
                </c:pt>
                <c:pt idx="52">
                  <c:v>1.2127706879681299E-100</c:v>
                </c:pt>
                <c:pt idx="53">
                  <c:v>-4.10741548813006E-100</c:v>
                </c:pt>
                <c:pt idx="54">
                  <c:v>5.4011938415634702E-99</c:v>
                </c:pt>
                <c:pt idx="55">
                  <c:v>-3.4001811588093299E-99</c:v>
                </c:pt>
                <c:pt idx="56">
                  <c:v>1.10851637889286E-98</c:v>
                </c:pt>
                <c:pt idx="57">
                  <c:v>-3.2304792772002102E-99</c:v>
                </c:pt>
                <c:pt idx="58">
                  <c:v>6.0143098453748703E-100</c:v>
                </c:pt>
                <c:pt idx="59">
                  <c:v>3.6635855299376497E-101</c:v>
                </c:pt>
                <c:pt idx="60">
                  <c:v>-6.7978923422143196E-101</c:v>
                </c:pt>
                <c:pt idx="61">
                  <c:v>3.2354163714132698E-101</c:v>
                </c:pt>
                <c:pt idx="62">
                  <c:v>8.0450472510967095E-100</c:v>
                </c:pt>
                <c:pt idx="63">
                  <c:v>6.24814459612375E-100</c:v>
                </c:pt>
                <c:pt idx="64">
                  <c:v>-5.0650804818768495E-100</c:v>
                </c:pt>
                <c:pt idx="65">
                  <c:v>-1.1584711233998601E-100</c:v>
                </c:pt>
                <c:pt idx="66">
                  <c:v>8.0925840705818604E-100</c:v>
                </c:pt>
                <c:pt idx="67">
                  <c:v>-2.6158538293151001E-100</c:v>
                </c:pt>
                <c:pt idx="68">
                  <c:v>-8.8819569189442095E-100</c:v>
                </c:pt>
                <c:pt idx="69">
                  <c:v>7.6082164277280801E-100</c:v>
                </c:pt>
                <c:pt idx="70">
                  <c:v>7.0896955644614402E-100</c:v>
                </c:pt>
                <c:pt idx="71">
                  <c:v>-1.2993763066498499E-99</c:v>
                </c:pt>
                <c:pt idx="72">
                  <c:v>-2.15877486750281E-100</c:v>
                </c:pt>
                <c:pt idx="73">
                  <c:v>1.71741212663772E-99</c:v>
                </c:pt>
                <c:pt idx="74">
                  <c:v>-6.08750624070218E-100</c:v>
                </c:pt>
                <c:pt idx="75">
                  <c:v>-1.7568184529474201E-99</c:v>
                </c:pt>
                <c:pt idx="76">
                  <c:v>1.6972313061510699E-99</c:v>
                </c:pt>
                <c:pt idx="77">
                  <c:v>-1.21666892677569E-99</c:v>
                </c:pt>
                <c:pt idx="78">
                  <c:v>4.7568660930592204E-100</c:v>
                </c:pt>
                <c:pt idx="79">
                  <c:v>-1.10075540495437E-100</c:v>
                </c:pt>
                <c:pt idx="80">
                  <c:v>1.0420045741887E-101</c:v>
                </c:pt>
                <c:pt idx="81">
                  <c:v>1.1223572382607699E-105</c:v>
                </c:pt>
                <c:pt idx="82">
                  <c:v>-3.4847318279101098E-106</c:v>
                </c:pt>
                <c:pt idx="83">
                  <c:v>7.4148946604341003E-107</c:v>
                </c:pt>
                <c:pt idx="84">
                  <c:v>-9.7127715574833505E-108</c:v>
                </c:pt>
                <c:pt idx="85">
                  <c:v>5.7693511095356598E-109</c:v>
                </c:pt>
                <c:pt idx="86">
                  <c:v>2.65776484574078E-112</c:v>
                </c:pt>
                <c:pt idx="87">
                  <c:v>-5.4792938865768901E-113</c:v>
                </c:pt>
                <c:pt idx="88">
                  <c:v>8.0099762805370093E-114</c:v>
                </c:pt>
                <c:pt idx="89">
                  <c:v>-7.3814726233350601E-115</c:v>
                </c:pt>
                <c:pt idx="90">
                  <c:v>3.1834571025796199E-116</c:v>
                </c:pt>
                <c:pt idx="91">
                  <c:v>4.21942992212603E-119</c:v>
                </c:pt>
                <c:pt idx="92">
                  <c:v>-6.54013821594775E-120</c:v>
                </c:pt>
                <c:pt idx="93">
                  <c:v>7.2928332735806303E-121</c:v>
                </c:pt>
                <c:pt idx="94">
                  <c:v>-5.1911234710817299E-122</c:v>
                </c:pt>
                <c:pt idx="95">
                  <c:v>1.74338863009415E-123</c:v>
                </c:pt>
                <c:pt idx="96">
                  <c:v>5.3543320397228802E-126</c:v>
                </c:pt>
                <c:pt idx="97">
                  <c:v>-6.6574323246665502E-127</c:v>
                </c:pt>
                <c:pt idx="98">
                  <c:v>6.0029050909634404E-128</c:v>
                </c:pt>
                <c:pt idx="99">
                  <c:v>-3.4765410293378299E-129</c:v>
                </c:pt>
              </c:numCache>
            </c:numRef>
          </c:yVal>
          <c:smooth val="0"/>
          <c:extLst>
            <c:ext xmlns:c16="http://schemas.microsoft.com/office/drawing/2014/chart" uri="{C3380CC4-5D6E-409C-BE32-E72D297353CC}">
              <c16:uniqueId val="{00000002-FAC9-4198-8F95-60BD4AA35DBC}"/>
            </c:ext>
          </c:extLst>
        </c:ser>
        <c:ser>
          <c:idx val="4"/>
          <c:order val="3"/>
          <c:tx>
            <c:strRef>
              <c:f>dynamicR!$DR$19</c:f>
              <c:strCache>
                <c:ptCount val="1"/>
                <c:pt idx="0">
                  <c:v>aAP</c:v>
                </c:pt>
              </c:strCache>
            </c:strRef>
          </c:tx>
          <c:spPr>
            <a:ln w="19050" cap="rnd">
              <a:solidFill>
                <a:schemeClr val="accent5"/>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dynamicR!$DR$20:$DR$119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-1.0194108513083899E-211</c:v>
                </c:pt>
                <c:pt idx="52">
                  <c:v>2.45576209274149E-213</c:v>
                </c:pt>
                <c:pt idx="53">
                  <c:v>-8.3173181724387899E-213</c:v>
                </c:pt>
                <c:pt idx="54">
                  <c:v>1.09370323632891E-211</c:v>
                </c:pt>
                <c:pt idx="55">
                  <c:v>-6.8851397706435505E-212</c:v>
                </c:pt>
                <c:pt idx="56">
                  <c:v>2.2446723963199498E-211</c:v>
                </c:pt>
                <c:pt idx="57">
                  <c:v>-6.5415257249689296E-212</c:v>
                </c:pt>
                <c:pt idx="58">
                  <c:v>1.2178720832265699E-212</c:v>
                </c:pt>
                <c:pt idx="59">
                  <c:v>7.4180186852763403E-214</c:v>
                </c:pt>
                <c:pt idx="60">
                  <c:v>-1.3764843504119201E-213</c:v>
                </c:pt>
                <c:pt idx="61">
                  <c:v>6.55230986631607E-214</c:v>
                </c:pt>
                <c:pt idx="62">
                  <c:v>1.6290695012181199E-212</c:v>
                </c:pt>
                <c:pt idx="63">
                  <c:v>1.26521083881469E-212</c:v>
                </c:pt>
                <c:pt idx="64">
                  <c:v>-1.02563846665136E-212</c:v>
                </c:pt>
                <c:pt idx="65">
                  <c:v>-2.3458442061923099E-213</c:v>
                </c:pt>
                <c:pt idx="66">
                  <c:v>1.6386895853491801E-212</c:v>
                </c:pt>
                <c:pt idx="67">
                  <c:v>-5.2968918567990897E-213</c:v>
                </c:pt>
                <c:pt idx="68">
                  <c:v>-1.7985339787301399E-212</c:v>
                </c:pt>
                <c:pt idx="69">
                  <c:v>1.54060809418542E-212</c:v>
                </c:pt>
                <c:pt idx="70">
                  <c:v>1.43561481741257E-212</c:v>
                </c:pt>
                <c:pt idx="71">
                  <c:v>-2.6311452824837599E-212</c:v>
                </c:pt>
                <c:pt idx="72">
                  <c:v>-4.37137691723197E-213</c:v>
                </c:pt>
                <c:pt idx="73">
                  <c:v>3.4776405761153699E-212</c:v>
                </c:pt>
                <c:pt idx="74">
                  <c:v>-1.2326788300285899E-212</c:v>
                </c:pt>
                <c:pt idx="75">
                  <c:v>-3.5574365330160598E-212</c:v>
                </c:pt>
                <c:pt idx="76">
                  <c:v>3.4367790533508E-212</c:v>
                </c:pt>
                <c:pt idx="77">
                  <c:v>-2.4636782877357198E-212</c:v>
                </c:pt>
                <c:pt idx="78">
                  <c:v>9.6324309975432206E-213</c:v>
                </c:pt>
                <c:pt idx="79">
                  <c:v>-2.2290395322190399E-213</c:v>
                </c:pt>
                <c:pt idx="80">
                  <c:v>2.1104898335502799E-214</c:v>
                </c:pt>
                <c:pt idx="81">
                  <c:v>1.1367596180648101E-219</c:v>
                </c:pt>
                <c:pt idx="82">
                  <c:v>-3.5295098343681399E-220</c:v>
                </c:pt>
                <c:pt idx="83">
                  <c:v>7.5105468995404799E-221</c:v>
                </c:pt>
                <c:pt idx="84">
                  <c:v>-9.8399437629166705E-222</c:v>
                </c:pt>
                <c:pt idx="85">
                  <c:v>5.8526618926646597E-223</c:v>
                </c:pt>
                <c:pt idx="86">
                  <c:v>1.3407221674124099E-227</c:v>
                </c:pt>
                <c:pt idx="87">
                  <c:v>-2.7753676945848597E-228</c:v>
                </c:pt>
                <c:pt idx="88">
                  <c:v>4.0579858563169798E-229</c:v>
                </c:pt>
                <c:pt idx="89">
                  <c:v>-3.7423625037779199E-230</c:v>
                </c:pt>
                <c:pt idx="90">
                  <c:v>1.62233286846788E-231</c:v>
                </c:pt>
                <c:pt idx="91">
                  <c:v>1.0653112414122201E-235</c:v>
                </c:pt>
                <c:pt idx="92">
                  <c:v>-1.6564829706104601E-236</c:v>
                </c:pt>
                <c:pt idx="93">
                  <c:v>1.84814244538581E-237</c:v>
                </c:pt>
                <c:pt idx="94">
                  <c:v>-1.31836208963154E-238</c:v>
                </c:pt>
                <c:pt idx="95">
                  <c:v>4.4942616508960902E-240</c:v>
                </c:pt>
                <c:pt idx="96">
                  <c:v>6.7707388805669301E-244</c:v>
                </c:pt>
                <c:pt idx="97">
                  <c:v>-8.4317422886454307E-245</c:v>
                </c:pt>
                <c:pt idx="98">
                  <c:v>7.6127471892967297E-246</c:v>
                </c:pt>
                <c:pt idx="99">
                  <c:v>-4.4316182951563298E-247</c:v>
                </c:pt>
              </c:numCache>
            </c:numRef>
          </c:yVal>
          <c:smooth val="0"/>
          <c:extLst>
            <c:ext xmlns:c16="http://schemas.microsoft.com/office/drawing/2014/chart" uri="{C3380CC4-5D6E-409C-BE32-E72D297353CC}">
              <c16:uniqueId val="{00000003-FAC9-4198-8F95-60BD4AA35DBC}"/>
            </c:ext>
          </c:extLst>
        </c:ser>
        <c:ser>
          <c:idx val="5"/>
          <c:order val="4"/>
          <c:tx>
            <c:strRef>
              <c:f>dynamicR!$DS$19</c:f>
              <c:strCache>
                <c:ptCount val="1"/>
                <c:pt idx="0">
                  <c:v>cwAS</c:v>
                </c:pt>
              </c:strCache>
            </c:strRef>
          </c:tx>
          <c:spPr>
            <a:ln w="19050" cap="rnd">
              <a:solidFill>
                <a:schemeClr val="accent6"/>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dynamicR!$DS$20:$DS$119</c:f>
              <c:numCache>
                <c:formatCode>0.00</c:formatCode>
                <c:ptCount val="100"/>
                <c:pt idx="0">
                  <c:v>0</c:v>
                </c:pt>
                <c:pt idx="1">
                  <c:v>1</c:v>
                </c:pt>
                <c:pt idx="2">
                  <c:v>0.999999999999997</c:v>
                </c:pt>
                <c:pt idx="3">
                  <c:v>0.999999999999995</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-5.2067861712571802E-212</c:v>
                </c:pt>
                <c:pt idx="52">
                  <c:v>1.2543154297573E-213</c:v>
                </c:pt>
                <c:pt idx="53">
                  <c:v>-4.24818813448771E-213</c:v>
                </c:pt>
                <c:pt idx="54">
                  <c:v>5.5862451325207301E-212</c:v>
                </c:pt>
                <c:pt idx="55">
                  <c:v>-3.5166832025799401E-212</c:v>
                </c:pt>
                <c:pt idx="56">
                  <c:v>1.1464983898793701E-211</c:v>
                </c:pt>
                <c:pt idx="57">
                  <c:v>-3.3411773386408599E-212</c:v>
                </c:pt>
                <c:pt idx="58">
                  <c:v>6.2204545259208598E-213</c:v>
                </c:pt>
                <c:pt idx="59">
                  <c:v>3.7888606518656298E-214</c:v>
                </c:pt>
                <c:pt idx="60">
                  <c:v>-7.0305915633641704E-214</c:v>
                </c:pt>
                <c:pt idx="61">
                  <c:v>3.3466823757595198E-214</c:v>
                </c:pt>
                <c:pt idx="62">
                  <c:v>8.3207044247503406E-213</c:v>
                </c:pt>
                <c:pt idx="63">
                  <c:v>6.4622444058350599E-213</c:v>
                </c:pt>
                <c:pt idx="64">
                  <c:v>-5.2385947855732401E-213</c:v>
                </c:pt>
                <c:pt idx="65">
                  <c:v>-1.1981732656200001E-213</c:v>
                </c:pt>
                <c:pt idx="66">
                  <c:v>8.36984060428602E-213</c:v>
                </c:pt>
                <c:pt idx="67">
                  <c:v>-2.70546309637978E-213</c:v>
                </c:pt>
                <c:pt idx="68">
                  <c:v>-9.1862685408006695E-213</c:v>
                </c:pt>
                <c:pt idx="69">
                  <c:v>7.8688754315569698E-213</c:v>
                </c:pt>
                <c:pt idx="70">
                  <c:v>7.33260717059244E-213</c:v>
                </c:pt>
                <c:pt idx="71">
                  <c:v>-1.3438949424046699E-212</c:v>
                </c:pt>
                <c:pt idx="72">
                  <c:v>-2.23274300472125E-213</c:v>
                </c:pt>
                <c:pt idx="73">
                  <c:v>1.7762544657565501E-212</c:v>
                </c:pt>
                <c:pt idx="74">
                  <c:v>-6.2960826891943194E-213</c:v>
                </c:pt>
                <c:pt idx="75">
                  <c:v>-1.8170113840247299E-212</c:v>
                </c:pt>
                <c:pt idx="76">
                  <c:v>1.7553838480704399E-212</c:v>
                </c:pt>
                <c:pt idx="77">
                  <c:v>-1.25835875065886E-212</c:v>
                </c:pt>
                <c:pt idx="78">
                  <c:v>4.91990093037169E-213</c:v>
                </c:pt>
                <c:pt idx="79">
                  <c:v>-1.13851335441623E-213</c:v>
                </c:pt>
                <c:pt idx="80">
                  <c:v>1.0779607569747699E-214</c:v>
                </c:pt>
                <c:pt idx="81">
                  <c:v>6.6611565333622697E-220</c:v>
                </c:pt>
                <c:pt idx="82">
                  <c:v>-2.0682134431876299E-220</c:v>
                </c:pt>
                <c:pt idx="83">
                  <c:v>4.4010098775466998E-221</c:v>
                </c:pt>
                <c:pt idx="84">
                  <c:v>-5.7659742453945999E-222</c:v>
                </c:pt>
                <c:pt idx="85">
                  <c:v>3.4294862817762802E-223</c:v>
                </c:pt>
                <c:pt idx="86">
                  <c:v>8.9128687937152498E-228</c:v>
                </c:pt>
                <c:pt idx="87">
                  <c:v>-1.8410166221884099E-228</c:v>
                </c:pt>
                <c:pt idx="88">
                  <c:v>2.69182667156597E-229</c:v>
                </c:pt>
                <c:pt idx="89">
                  <c:v>-2.4824485219942002E-230</c:v>
                </c:pt>
                <c:pt idx="90">
                  <c:v>1.07611736655635E-231</c:v>
                </c:pt>
                <c:pt idx="91">
                  <c:v>7.9271887191219003E-236</c:v>
                </c:pt>
                <c:pt idx="92">
                  <c:v>-1.2307329262441601E-236</c:v>
                </c:pt>
                <c:pt idx="93">
                  <c:v>1.3731277494523E-237</c:v>
                </c:pt>
                <c:pt idx="94">
                  <c:v>-9.7950070020373794E-239</c:v>
                </c:pt>
                <c:pt idx="95">
                  <c:v>3.33879823351128E-240</c:v>
                </c:pt>
                <c:pt idx="96">
                  <c:v>5.5913464474997498E-244</c:v>
                </c:pt>
                <c:pt idx="97">
                  <c:v>-6.9563441296388599E-245</c:v>
                </c:pt>
                <c:pt idx="98">
                  <c:v>6.2806138690491502E-246</c:v>
                </c:pt>
                <c:pt idx="99">
                  <c:v>-3.6560415463968497E-247</c:v>
                </c:pt>
              </c:numCache>
            </c:numRef>
          </c:yVal>
          <c:smooth val="0"/>
          <c:extLst>
            <c:ext xmlns:c16="http://schemas.microsoft.com/office/drawing/2014/chart" uri="{C3380CC4-5D6E-409C-BE32-E72D297353CC}">
              <c16:uniqueId val="{00000004-FAC9-4198-8F95-60BD4AA35DBC}"/>
            </c:ext>
          </c:extLst>
        </c:ser>
        <c:ser>
          <c:idx val="6"/>
          <c:order val="5"/>
          <c:tx>
            <c:strRef>
              <c:f>dynamicR!$DT$19</c:f>
              <c:strCache>
                <c:ptCount val="1"/>
                <c:pt idx="0">
                  <c:v>cwAA</c:v>
                </c:pt>
              </c:strCache>
            </c:strRef>
          </c:tx>
          <c:spPr>
            <a:ln w="19050" cap="rnd">
              <a:solidFill>
                <a:schemeClr val="accent1">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dynamicR!$DT$20:$DT$119</c:f>
              <c:numCache>
                <c:formatCode>0.00</c:formatCode>
                <c:ptCount val="100"/>
                <c:pt idx="0">
                  <c:v>0</c:v>
                </c:pt>
                <c:pt idx="1">
                  <c:v>1</c:v>
                </c:pt>
                <c:pt idx="2">
                  <c:v>0.999999999999997</c:v>
                </c:pt>
                <c:pt idx="3">
                  <c:v>0.999999999999995</c:v>
                </c:pt>
                <c:pt idx="4">
                  <c:v>1</c:v>
                </c:pt>
                <c:pt idx="5">
                  <c:v>1</c:v>
                </c:pt>
                <c:pt idx="6">
                  <c:v>1</c:v>
                </c:pt>
                <c:pt idx="7">
                  <c:v>1</c:v>
                </c:pt>
                <c:pt idx="8">
                  <c:v>1</c:v>
                </c:pt>
                <c:pt idx="9">
                  <c:v>1</c:v>
                </c:pt>
                <c:pt idx="10">
                  <c:v>1</c:v>
                </c:pt>
                <c:pt idx="11">
                  <c:v>1</c:v>
                </c:pt>
                <c:pt idx="12">
                  <c:v>1</c:v>
                </c:pt>
                <c:pt idx="13">
                  <c:v>1</c:v>
                </c:pt>
                <c:pt idx="14">
                  <c:v>0.999999999999999</c:v>
                </c:pt>
                <c:pt idx="15">
                  <c:v>1</c:v>
                </c:pt>
                <c:pt idx="16">
                  <c:v>1</c:v>
                </c:pt>
                <c:pt idx="17">
                  <c:v>0.999999999999998</c:v>
                </c:pt>
                <c:pt idx="18">
                  <c:v>1</c:v>
                </c:pt>
                <c:pt idx="19">
                  <c:v>1</c:v>
                </c:pt>
                <c:pt idx="20">
                  <c:v>0.999999999999997</c:v>
                </c:pt>
                <c:pt idx="21">
                  <c:v>0.999999999999997</c:v>
                </c:pt>
                <c:pt idx="22">
                  <c:v>1.00000000000001</c:v>
                </c:pt>
                <c:pt idx="23">
                  <c:v>0.999999999999996</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-5.3086392539688701E-99</c:v>
                </c:pt>
                <c:pt idx="52">
                  <c:v>1.2788587202312899E-100</c:v>
                </c:pt>
                <c:pt idx="53">
                  <c:v>-4.3312426412861299E-100</c:v>
                </c:pt>
                <c:pt idx="54">
                  <c:v>5.6955234160832901E-99</c:v>
                </c:pt>
                <c:pt idx="55">
                  <c:v>-3.5854686910161201E-99</c:v>
                </c:pt>
                <c:pt idx="56">
                  <c:v>1.16892323785444E-98</c:v>
                </c:pt>
                <c:pt idx="57">
                  <c:v>-3.4065191713985898E-99</c:v>
                </c:pt>
                <c:pt idx="58">
                  <c:v>6.3420502138442502E-100</c:v>
                </c:pt>
                <c:pt idx="59">
                  <c:v>3.8632268690720701E-101</c:v>
                </c:pt>
                <c:pt idx="60">
                  <c:v>-7.1683328080917495E-101</c:v>
                </c:pt>
                <c:pt idx="61">
                  <c:v>3.4117253047709699E-101</c:v>
                </c:pt>
                <c:pt idx="62">
                  <c:v>8.4834494648526697E-100</c:v>
                </c:pt>
                <c:pt idx="63">
                  <c:v>6.5886274220555204E-100</c:v>
                </c:pt>
                <c:pt idx="64">
                  <c:v>-5.3410940871175099E-100</c:v>
                </c:pt>
                <c:pt idx="65">
                  <c:v>-1.2216001876824301E-100</c:v>
                </c:pt>
                <c:pt idx="66">
                  <c:v>8.5335767286505099E-100</c:v>
                </c:pt>
                <c:pt idx="67">
                  <c:v>-2.7584006750750501E-100</c:v>
                </c:pt>
                <c:pt idx="68">
                  <c:v>-9.3659652105324399E-100</c:v>
                </c:pt>
                <c:pt idx="69">
                  <c:v>8.02281423188584E-100</c:v>
                </c:pt>
                <c:pt idx="70">
                  <c:v>7.4760373886057002E-100</c:v>
                </c:pt>
                <c:pt idx="71">
                  <c:v>-1.3701837775767099E-99</c:v>
                </c:pt>
                <c:pt idx="72">
                  <c:v>-2.2764139131635099E-100</c:v>
                </c:pt>
                <c:pt idx="73">
                  <c:v>1.81099980297444E-99</c:v>
                </c:pt>
                <c:pt idx="74">
                  <c:v>-6.4192353317666095E-100</c:v>
                </c:pt>
                <c:pt idx="75">
                  <c:v>-1.8525535151416601E-99</c:v>
                </c:pt>
                <c:pt idx="76">
                  <c:v>1.7897192603729701E-99</c:v>
                </c:pt>
                <c:pt idx="77">
                  <c:v>-1.2829693889431E-99</c:v>
                </c:pt>
                <c:pt idx="78">
                  <c:v>5.0160840392872299E-100</c:v>
                </c:pt>
                <c:pt idx="79">
                  <c:v>-1.16073934181299E-100</c:v>
                </c:pt>
                <c:pt idx="80">
                  <c:v>1.09878697680293E-101</c:v>
                </c:pt>
                <c:pt idx="81">
                  <c:v>1.18351833876164E-105</c:v>
                </c:pt>
                <c:pt idx="82">
                  <c:v>-3.6746268356941102E-106</c:v>
                </c:pt>
                <c:pt idx="83">
                  <c:v>7.8189577201819505E-107</c:v>
                </c:pt>
                <c:pt idx="84">
                  <c:v>-1.02420538171377E-107</c:v>
                </c:pt>
                <c:pt idx="85">
                  <c:v>6.08374291828346E-109</c:v>
                </c:pt>
                <c:pt idx="86">
                  <c:v>2.8026072725715698E-112</c:v>
                </c:pt>
                <c:pt idx="87">
                  <c:v>-5.7778794281376199E-113</c:v>
                </c:pt>
                <c:pt idx="88">
                  <c:v>8.44646739247364E-114</c:v>
                </c:pt>
                <c:pt idx="89">
                  <c:v>-7.7837145064965902E-115</c:v>
                </c:pt>
                <c:pt idx="90">
                  <c:v>3.3569347104811402E-116</c:v>
                </c:pt>
                <c:pt idx="91">
                  <c:v>4.44935026246847E-119</c:v>
                </c:pt>
                <c:pt idx="92">
                  <c:v>-6.8965329148733404E-120</c:v>
                </c:pt>
                <c:pt idx="93">
                  <c:v>7.69024494938926E-121</c:v>
                </c:pt>
                <c:pt idx="94">
                  <c:v>-5.4740058063743004E-122</c:v>
                </c:pt>
                <c:pt idx="95">
                  <c:v>1.83839205312158E-123</c:v>
                </c:pt>
                <c:pt idx="96">
                  <c:v>5.64611010283939E-126</c:v>
                </c:pt>
                <c:pt idx="97">
                  <c:v>-7.0202187625450404E-127</c:v>
                </c:pt>
                <c:pt idx="98">
                  <c:v>6.3300240086953499E-128</c:v>
                </c:pt>
                <c:pt idx="99">
                  <c:v>-3.6659898282423303E-129</c:v>
                </c:pt>
              </c:numCache>
            </c:numRef>
          </c:yVal>
          <c:smooth val="0"/>
          <c:extLst>
            <c:ext xmlns:c16="http://schemas.microsoft.com/office/drawing/2014/chart" uri="{C3380CC4-5D6E-409C-BE32-E72D297353CC}">
              <c16:uniqueId val="{00000005-FAC9-4198-8F95-60BD4AA35DBC}"/>
            </c:ext>
          </c:extLst>
        </c:ser>
        <c:ser>
          <c:idx val="7"/>
          <c:order val="6"/>
          <c:tx>
            <c:strRef>
              <c:f>dynamicR!$DU$19</c:f>
              <c:strCache>
                <c:ptCount val="1"/>
                <c:pt idx="0">
                  <c:v>cwAP</c:v>
                </c:pt>
              </c:strCache>
            </c:strRef>
          </c:tx>
          <c:spPr>
            <a:ln w="19050" cap="rnd">
              <a:solidFill>
                <a:schemeClr val="accent2">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dynamicR!$DU$20:$DU$119</c:f>
              <c:numCache>
                <c:formatCode>0.00</c:formatCode>
                <c:ptCount val="100"/>
                <c:pt idx="0">
                  <c:v>0</c:v>
                </c:pt>
                <c:pt idx="1">
                  <c:v>1</c:v>
                </c:pt>
                <c:pt idx="2">
                  <c:v>0.999999999999998</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1.1130860732705301E-210</c:v>
                </c:pt>
                <c:pt idx="52">
                  <c:v>-2.6814258373605003E-212</c:v>
                </c:pt>
                <c:pt idx="53">
                  <c:v>9.0816096643030901E-212</c:v>
                </c:pt>
                <c:pt idx="54">
                  <c:v>-1.1942053160164301E-210</c:v>
                </c:pt>
                <c:pt idx="55">
                  <c:v>7.5178259212799796E-211</c:v>
                </c:pt>
                <c:pt idx="56">
                  <c:v>-2.4509388250988199E-210</c:v>
                </c:pt>
                <c:pt idx="57">
                  <c:v>7.1426367353542999E-211</c:v>
                </c:pt>
                <c:pt idx="58">
                  <c:v>-1.3297842859490499E-211</c:v>
                </c:pt>
                <c:pt idx="59">
                  <c:v>-8.0996702541509805E-213</c:v>
                </c:pt>
                <c:pt idx="60">
                  <c:v>1.5029714857259E-212</c:v>
                </c:pt>
                <c:pt idx="61">
                  <c:v>-7.1544144911020498E-213</c:v>
                </c:pt>
                <c:pt idx="62">
                  <c:v>-1.7787672274367399E-211</c:v>
                </c:pt>
                <c:pt idx="63">
                  <c:v>-1.38147303551964E-211</c:v>
                </c:pt>
                <c:pt idx="64">
                  <c:v>1.11988595375697E-211</c:v>
                </c:pt>
                <c:pt idx="65">
                  <c:v>2.5614075264201802E-212</c:v>
                </c:pt>
                <c:pt idx="66">
                  <c:v>-1.7892712965282499E-211</c:v>
                </c:pt>
                <c:pt idx="67">
                  <c:v>5.7836313365633296E-212</c:v>
                </c:pt>
                <c:pt idx="68">
                  <c:v>1.9638040446381701E-211</c:v>
                </c:pt>
                <c:pt idx="69">
                  <c:v>-1.6821769441326799E-211</c:v>
                </c:pt>
                <c:pt idx="70">
                  <c:v>-1.56753568490628E-211</c:v>
                </c:pt>
                <c:pt idx="71">
                  <c:v>2.8729252853980299E-211</c:v>
                </c:pt>
                <c:pt idx="72">
                  <c:v>4.7730695265867803E-212</c:v>
                </c:pt>
                <c:pt idx="73">
                  <c:v>-3.7972063463135201E-211</c:v>
                </c:pt>
                <c:pt idx="74">
                  <c:v>1.34595159719861E-211</c:v>
                </c:pt>
                <c:pt idx="75">
                  <c:v>3.8843348800283302E-211</c:v>
                </c:pt>
                <c:pt idx="76">
                  <c:v>-3.7525900059140898E-211</c:v>
                </c:pt>
                <c:pt idx="77">
                  <c:v>2.69006952216942E-211</c:v>
                </c:pt>
                <c:pt idx="78">
                  <c:v>-1.05175703352796E-211</c:v>
                </c:pt>
                <c:pt idx="79">
                  <c:v>2.4338697107541398E-212</c:v>
                </c:pt>
                <c:pt idx="80">
                  <c:v>-2.3044276957685699E-213</c:v>
                </c:pt>
                <c:pt idx="81">
                  <c:v>-1.16873554081392E-218</c:v>
                </c:pt>
                <c:pt idx="82">
                  <c:v>3.6287916307407201E-219</c:v>
                </c:pt>
                <c:pt idx="83">
                  <c:v>-7.7218122004340004E-220</c:v>
                </c:pt>
                <c:pt idx="84">
                  <c:v>1.01167372179249E-220</c:v>
                </c:pt>
                <c:pt idx="85">
                  <c:v>-6.0173149847106398E-222</c:v>
                </c:pt>
                <c:pt idx="86">
                  <c:v>-1.2951609463574E-226</c:v>
                </c:pt>
                <c:pt idx="87">
                  <c:v>2.6713488792002699E-227</c:v>
                </c:pt>
                <c:pt idx="88">
                  <c:v>-3.9058969529239899E-228</c:v>
                </c:pt>
                <c:pt idx="89">
                  <c:v>3.6021104275010002E-229</c:v>
                </c:pt>
                <c:pt idx="90">
                  <c:v>-1.56155892772394E-230</c:v>
                </c:pt>
                <c:pt idx="91">
                  <c:v>-9.5463188272454202E-235</c:v>
                </c:pt>
                <c:pt idx="92">
                  <c:v>1.48248781794101E-235</c:v>
                </c:pt>
                <c:pt idx="93">
                  <c:v>-1.6540190854523599E-236</c:v>
                </c:pt>
                <c:pt idx="94">
                  <c:v>1.179894978644E-237</c:v>
                </c:pt>
                <c:pt idx="95">
                  <c:v>-4.0224678140132396E-239</c:v>
                </c:pt>
                <c:pt idx="96">
                  <c:v>-5.5909387421858096E-243</c:v>
                </c:pt>
                <c:pt idx="97">
                  <c:v>6.95908698342099E-244</c:v>
                </c:pt>
                <c:pt idx="98">
                  <c:v>-6.2831681947768801E-245</c:v>
                </c:pt>
                <c:pt idx="99">
                  <c:v>3.6577164412839501E-246</c:v>
                </c:pt>
              </c:numCache>
            </c:numRef>
          </c:yVal>
          <c:smooth val="0"/>
          <c:extLst>
            <c:ext xmlns:c16="http://schemas.microsoft.com/office/drawing/2014/chart" uri="{C3380CC4-5D6E-409C-BE32-E72D297353CC}">
              <c16:uniqueId val="{00000006-FAC9-4198-8F95-60BD4AA35DBC}"/>
            </c:ext>
          </c:extLst>
        </c:ser>
        <c:ser>
          <c:idx val="8"/>
          <c:order val="7"/>
          <c:tx>
            <c:strRef>
              <c:f>dynamicR!$DV$19</c:f>
              <c:strCache>
                <c:ptCount val="1"/>
                <c:pt idx="0">
                  <c:v>w2AD</c:v>
                </c:pt>
              </c:strCache>
            </c:strRef>
          </c:tx>
          <c:spPr>
            <a:ln w="19050" cap="rnd">
              <a:solidFill>
                <a:schemeClr val="accent3">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dynamicR!$DV$20:$DV$119</c:f>
              <c:numCache>
                <c:formatCode>0.00</c:formatCode>
                <c:ptCount val="100"/>
                <c:pt idx="0">
                  <c:v>0</c:v>
                </c:pt>
                <c:pt idx="1">
                  <c:v>1.9995437357843801E-2</c:v>
                </c:pt>
                <c:pt idx="2">
                  <c:v>3.9585856474508303E-2</c:v>
                </c:pt>
                <c:pt idx="3">
                  <c:v>5.8784659818328498E-2</c:v>
                </c:pt>
                <c:pt idx="4">
                  <c:v>7.7599681431514106E-2</c:v>
                </c:pt>
                <c:pt idx="5">
                  <c:v>9.6038589907915001E-2</c:v>
                </c:pt>
                <c:pt idx="6">
                  <c:v>0.11410890083484999</c:v>
                </c:pt>
                <c:pt idx="7">
                  <c:v>0.13181798235655201</c:v>
                </c:pt>
                <c:pt idx="8">
                  <c:v>0.14917305649656601</c:v>
                </c:pt>
                <c:pt idx="9">
                  <c:v>0.166181200560445</c:v>
                </c:pt>
                <c:pt idx="10">
                  <c:v>0.18284934978308001</c:v>
                </c:pt>
                <c:pt idx="11">
                  <c:v>0.199184300535616</c:v>
                </c:pt>
                <c:pt idx="12">
                  <c:v>0.21519271332336501</c:v>
                </c:pt>
                <c:pt idx="13">
                  <c:v>0.230881115392886</c:v>
                </c:pt>
                <c:pt idx="14">
                  <c:v>0.246255903861266</c:v>
                </c:pt>
                <c:pt idx="15">
                  <c:v>0.26132334826904902</c:v>
                </c:pt>
                <c:pt idx="16">
                  <c:v>0.27608959267491401</c:v>
                </c:pt>
                <c:pt idx="17">
                  <c:v>0.29056065801285502</c:v>
                </c:pt>
                <c:pt idx="18">
                  <c:v>0.30474244479343199</c:v>
                </c:pt>
                <c:pt idx="19">
                  <c:v>0.31864073570470602</c:v>
                </c:pt>
                <c:pt idx="20">
                  <c:v>0.33226119792905601</c:v>
                </c:pt>
                <c:pt idx="21">
                  <c:v>0.34560938533685698</c:v>
                </c:pt>
                <c:pt idx="22">
                  <c:v>0.35869074072015</c:v>
                </c:pt>
                <c:pt idx="23">
                  <c:v>0.37151059806022402</c:v>
                </c:pt>
                <c:pt idx="24">
                  <c:v>0.38407418473582</c:v>
                </c:pt>
                <c:pt idx="25">
                  <c:v>0.39638662364407501</c:v>
                </c:pt>
                <c:pt idx="26">
                  <c:v>0.40845293526795701</c:v>
                </c:pt>
                <c:pt idx="27">
                  <c:v>0.420278039721109</c:v>
                </c:pt>
                <c:pt idx="28">
                  <c:v>0.431866758763012</c:v>
                </c:pt>
                <c:pt idx="29">
                  <c:v>0.44322381776851899</c:v>
                </c:pt>
                <c:pt idx="30">
                  <c:v>0.454353847655183</c:v>
                </c:pt>
                <c:pt idx="31">
                  <c:v>0.465261386766672</c:v>
                </c:pt>
                <c:pt idx="32">
                  <c:v>0.47595088272200398</c:v>
                </c:pt>
                <c:pt idx="33">
                  <c:v>0.48642669423128598</c:v>
                </c:pt>
                <c:pt idx="34">
                  <c:v>0.49669309287612001</c:v>
                </c:pt>
                <c:pt idx="35">
                  <c:v>0.50675426484806696</c:v>
                </c:pt>
                <c:pt idx="36">
                  <c:v>0.51661431265505298</c:v>
                </c:pt>
                <c:pt idx="37">
                  <c:v>0.52627725679570203</c:v>
                </c:pt>
                <c:pt idx="38">
                  <c:v>0.53574703739819496</c:v>
                </c:pt>
                <c:pt idx="39">
                  <c:v>0.545027515827746</c:v>
                </c:pt>
                <c:pt idx="40">
                  <c:v>0.55412247626005895</c:v>
                </c:pt>
                <c:pt idx="41">
                  <c:v>0.56303562722491396</c:v>
                </c:pt>
                <c:pt idx="42">
                  <c:v>0.57177060311692696</c:v>
                </c:pt>
                <c:pt idx="43">
                  <c:v>0.58033096567984699</c:v>
                </c:pt>
                <c:pt idx="44">
                  <c:v>0.58872020545784798</c:v>
                </c:pt>
                <c:pt idx="45">
                  <c:v>0.59694174321853699</c:v>
                </c:pt>
                <c:pt idx="46">
                  <c:v>0.60499893134668503</c:v>
                </c:pt>
                <c:pt idx="47">
                  <c:v>0.612895055212622</c:v>
                </c:pt>
                <c:pt idx="48">
                  <c:v>0.62063333451309699</c:v>
                </c:pt>
                <c:pt idx="49">
                  <c:v>0.62821692458192602</c:v>
                </c:pt>
                <c:pt idx="50">
                  <c:v>0.62821692458192602</c:v>
                </c:pt>
                <c:pt idx="51">
                  <c:v>0.61565315020455302</c:v>
                </c:pt>
                <c:pt idx="52">
                  <c:v>0.60334563834539301</c:v>
                </c:pt>
                <c:pt idx="53">
                  <c:v>0.59128457589337402</c:v>
                </c:pt>
                <c:pt idx="54">
                  <c:v>0.57946487555865001</c:v>
                </c:pt>
                <c:pt idx="55">
                  <c:v>0.56788140127803799</c:v>
                </c:pt>
                <c:pt idx="56">
                  <c:v>0.55652942262171601</c:v>
                </c:pt>
                <c:pt idx="57">
                  <c:v>0.54540434976208296</c:v>
                </c:pt>
                <c:pt idx="58">
                  <c:v>0.53450166368099705</c:v>
                </c:pt>
                <c:pt idx="59">
                  <c:v>0.523816924625776</c:v>
                </c:pt>
                <c:pt idx="60">
                  <c:v>0.51334576848838998</c:v>
                </c:pt>
                <c:pt idx="61">
                  <c:v>0.50308391779010697</c:v>
                </c:pt>
                <c:pt idx="62">
                  <c:v>0.49302719609236101</c:v>
                </c:pt>
                <c:pt idx="63">
                  <c:v>0.48317151201157599</c:v>
                </c:pt>
                <c:pt idx="64">
                  <c:v>0.47351284836208801</c:v>
                </c:pt>
                <c:pt idx="65">
                  <c:v>0.46404726427085302</c:v>
                </c:pt>
                <c:pt idx="66">
                  <c:v>0.45477089813176502</c:v>
                </c:pt>
                <c:pt idx="67">
                  <c:v>0.44567996714038099</c:v>
                </c:pt>
                <c:pt idx="68">
                  <c:v>0.43677076484529198</c:v>
                </c:pt>
                <c:pt idx="69">
                  <c:v>0.42803965878299599</c:v>
                </c:pt>
                <c:pt idx="70">
                  <c:v>0.41948308881919399</c:v>
                </c:pt>
                <c:pt idx="71">
                  <c:v>0.41109756587006302</c:v>
                </c:pt>
                <c:pt idx="72">
                  <c:v>0.402879670626826</c:v>
                </c:pt>
                <c:pt idx="73">
                  <c:v>0.39482605218553701</c:v>
                </c:pt>
                <c:pt idx="74">
                  <c:v>0.38693342664793001</c:v>
                </c:pt>
                <c:pt idx="75">
                  <c:v>0.379198575815757</c:v>
                </c:pt>
                <c:pt idx="76">
                  <c:v>0.371618345870809</c:v>
                </c:pt>
                <c:pt idx="77">
                  <c:v>0.36418964586963698</c:v>
                </c:pt>
                <c:pt idx="78">
                  <c:v>0.35690944654532297</c:v>
                </c:pt>
                <c:pt idx="79">
                  <c:v>0.34977477927796002</c:v>
                </c:pt>
                <c:pt idx="80">
                  <c:v>0.34278273491512201</c:v>
                </c:pt>
                <c:pt idx="81">
                  <c:v>0.33593046247104302</c:v>
                </c:pt>
                <c:pt idx="82">
                  <c:v>0.32921516789069</c:v>
                </c:pt>
                <c:pt idx="83">
                  <c:v>0.32263411293976901</c:v>
                </c:pt>
                <c:pt idx="84">
                  <c:v>0.316184614136863</c:v>
                </c:pt>
                <c:pt idx="85">
                  <c:v>0.30986404166696901</c:v>
                </c:pt>
                <c:pt idx="86">
                  <c:v>0.30366981828603401</c:v>
                </c:pt>
                <c:pt idx="87">
                  <c:v>0.29759941825865699</c:v>
                </c:pt>
                <c:pt idx="88">
                  <c:v>0.29165036633416702</c:v>
                </c:pt>
                <c:pt idx="89">
                  <c:v>0.285820236745715</c:v>
                </c:pt>
                <c:pt idx="90">
                  <c:v>0.28010665222180398</c:v>
                </c:pt>
                <c:pt idx="91">
                  <c:v>0.27450728301296501</c:v>
                </c:pt>
                <c:pt idx="92">
                  <c:v>0.26901984593984701</c:v>
                </c:pt>
                <c:pt idx="93">
                  <c:v>0.263642103462912</c:v>
                </c:pt>
                <c:pt idx="94">
                  <c:v>0.25837186277250401</c:v>
                </c:pt>
                <c:pt idx="95">
                  <c:v>0.25320697489402499</c:v>
                </c:pt>
                <c:pt idx="96">
                  <c:v>0.24814533381096199</c:v>
                </c:pt>
                <c:pt idx="97">
                  <c:v>0.24318487560591501</c:v>
                </c:pt>
                <c:pt idx="98">
                  <c:v>0.23832357761981601</c:v>
                </c:pt>
                <c:pt idx="99">
                  <c:v>0.23355945762660199</c:v>
                </c:pt>
              </c:numCache>
            </c:numRef>
          </c:yVal>
          <c:smooth val="0"/>
          <c:extLst>
            <c:ext xmlns:c16="http://schemas.microsoft.com/office/drawing/2014/chart" uri="{C3380CC4-5D6E-409C-BE32-E72D297353CC}">
              <c16:uniqueId val="{00000007-FAC9-4198-8F95-60BD4AA35DBC}"/>
            </c:ext>
          </c:extLst>
        </c:ser>
        <c:ser>
          <c:idx val="9"/>
          <c:order val="8"/>
          <c:tx>
            <c:strRef>
              <c:f>dynamicR!$DW$19</c:f>
              <c:strCache>
                <c:ptCount val="1"/>
                <c:pt idx="0">
                  <c:v>w2AS</c:v>
                </c:pt>
              </c:strCache>
            </c:strRef>
          </c:tx>
          <c:spPr>
            <a:ln w="19050" cap="rnd">
              <a:solidFill>
                <a:schemeClr val="accent4">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dynamicR!$DW$20:$DW$119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-2.30513829335629E-212</c:v>
                </c:pt>
                <c:pt idx="52">
                  <c:v>5.5530811576821396E-214</c:v>
                </c:pt>
                <c:pt idx="53">
                  <c:v>-1.8807497112324E-213</c:v>
                </c:pt>
                <c:pt idx="54">
                  <c:v>2.4731316226616998E-212</c:v>
                </c:pt>
                <c:pt idx="55">
                  <c:v>-1.5568991772964999E-212</c:v>
                </c:pt>
                <c:pt idx="56">
                  <c:v>5.0757554797359797E-212</c:v>
                </c:pt>
                <c:pt idx="57">
                  <c:v>-1.4791995699082099E-212</c:v>
                </c:pt>
                <c:pt idx="58">
                  <c:v>2.75390763054168E-213</c:v>
                </c:pt>
                <c:pt idx="59">
                  <c:v>1.6773969021592999E-214</c:v>
                </c:pt>
                <c:pt idx="60">
                  <c:v>-3.11256975520561E-214</c:v>
                </c:pt>
                <c:pt idx="61">
                  <c:v>1.4816369887828001E-214</c:v>
                </c:pt>
                <c:pt idx="62">
                  <c:v>3.68372615957306E-213</c:v>
                </c:pt>
                <c:pt idx="63">
                  <c:v>2.86095234399544E-213</c:v>
                </c:pt>
                <c:pt idx="64">
                  <c:v>-2.3192205230197601E-213</c:v>
                </c:pt>
                <c:pt idx="65">
                  <c:v>-5.3045295411884004E-214</c:v>
                </c:pt>
                <c:pt idx="66">
                  <c:v>3.7054796162023002E-213</c:v>
                </c:pt>
                <c:pt idx="67">
                  <c:v>-1.1977573735088499E-213</c:v>
                </c:pt>
                <c:pt idx="68">
                  <c:v>-4.06692701690834E-213</c:v>
                </c:pt>
                <c:pt idx="69">
                  <c:v>3.4836932838330603E-213</c:v>
                </c:pt>
                <c:pt idx="70">
                  <c:v>3.2462776487894499E-213</c:v>
                </c:pt>
                <c:pt idx="71">
                  <c:v>-5.9496656593440699E-213</c:v>
                </c:pt>
                <c:pt idx="72">
                  <c:v>-9.8847566159964599E-214</c:v>
                </c:pt>
                <c:pt idx="73">
                  <c:v>7.8637993737436595E-213</c:v>
                </c:pt>
                <c:pt idx="74">
                  <c:v>-2.7873895388473801E-213</c:v>
                </c:pt>
                <c:pt idx="75">
                  <c:v>-8.0442376157113402E-213</c:v>
                </c:pt>
                <c:pt idx="76">
                  <c:v>7.7714013891402806E-213</c:v>
                </c:pt>
                <c:pt idx="77">
                  <c:v>-5.57098151722018E-213</c:v>
                </c:pt>
                <c:pt idx="78">
                  <c:v>2.1781290450021801E-213</c:v>
                </c:pt>
                <c:pt idx="79">
                  <c:v>-5.0404045373702502E-214</c:v>
                </c:pt>
                <c:pt idx="80">
                  <c:v>4.7723285182330403E-215</c:v>
                </c:pt>
                <c:pt idx="81">
                  <c:v>2.8833276682810401E-220</c:v>
                </c:pt>
                <c:pt idx="82">
                  <c:v>-8.9524043648322605E-221</c:v>
                </c:pt>
                <c:pt idx="83">
                  <c:v>1.9050074692615201E-221</c:v>
                </c:pt>
                <c:pt idx="84">
                  <c:v>-2.4958423049227702E-222</c:v>
                </c:pt>
                <c:pt idx="85">
                  <c:v>1.48447902950634E-223</c:v>
                </c:pt>
                <c:pt idx="86">
                  <c:v>3.8052169318716098E-228</c:v>
                </c:pt>
                <c:pt idx="87">
                  <c:v>-7.8257807222815504E-229</c:v>
                </c:pt>
                <c:pt idx="88">
                  <c:v>1.14423997845169E-229</c:v>
                </c:pt>
                <c:pt idx="89">
                  <c:v>-1.0552383795346201E-230</c:v>
                </c:pt>
                <c:pt idx="90">
                  <c:v>4.5743792034701899E-232</c:v>
                </c:pt>
                <c:pt idx="91">
                  <c:v>3.3196600412908098E-236</c:v>
                </c:pt>
                <c:pt idx="92">
                  <c:v>-5.1542222051679796E-237</c:v>
                </c:pt>
                <c:pt idx="93">
                  <c:v>5.75056399713221E-238</c:v>
                </c:pt>
                <c:pt idx="94">
                  <c:v>-4.1020881057009102E-239</c:v>
                </c:pt>
                <c:pt idx="95">
                  <c:v>1.39828550695937E-240</c:v>
                </c:pt>
                <c:pt idx="96">
                  <c:v>2.3127450906330499E-244</c:v>
                </c:pt>
                <c:pt idx="97">
                  <c:v>-2.87721511742896E-245</c:v>
                </c:pt>
                <c:pt idx="98">
                  <c:v>2.5977276535298298E-246</c:v>
                </c:pt>
                <c:pt idx="99">
                  <c:v>-1.5121830332671201E-247</c:v>
                </c:pt>
              </c:numCache>
            </c:numRef>
          </c:yVal>
          <c:smooth val="0"/>
          <c:extLst>
            <c:ext xmlns:c16="http://schemas.microsoft.com/office/drawing/2014/chart" uri="{C3380CC4-5D6E-409C-BE32-E72D297353CC}">
              <c16:uniqueId val="{00000008-FAC9-4198-8F95-60BD4AA35DBC}"/>
            </c:ext>
          </c:extLst>
        </c:ser>
        <c:ser>
          <c:idx val="10"/>
          <c:order val="9"/>
          <c:tx>
            <c:strRef>
              <c:f>dynamicR!$DX$19</c:f>
              <c:strCache>
                <c:ptCount val="1"/>
                <c:pt idx="0">
                  <c:v>w2AA</c:v>
                </c:pt>
              </c:strCache>
            </c:strRef>
          </c:tx>
          <c:spPr>
            <a:ln w="19050" cap="rnd">
              <a:solidFill>
                <a:schemeClr val="accent5">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dynamicR!$DX$20:$DX$119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0.999999999999999</c:v>
                </c:pt>
                <c:pt idx="15">
                  <c:v>1</c:v>
                </c:pt>
                <c:pt idx="16">
                  <c:v>1</c:v>
                </c:pt>
                <c:pt idx="17">
                  <c:v>0.999999999999998</c:v>
                </c:pt>
                <c:pt idx="18">
                  <c:v>1</c:v>
                </c:pt>
                <c:pt idx="19">
                  <c:v>1</c:v>
                </c:pt>
                <c:pt idx="20">
                  <c:v>0.999999999999997</c:v>
                </c:pt>
                <c:pt idx="21">
                  <c:v>0.999999999999998</c:v>
                </c:pt>
                <c:pt idx="22">
                  <c:v>1.00000000000001</c:v>
                </c:pt>
                <c:pt idx="23">
                  <c:v>0.999999999999996</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0.999999999999999</c:v>
                </c:pt>
                <c:pt idx="38">
                  <c:v>1</c:v>
                </c:pt>
                <c:pt idx="39">
                  <c:v>1</c:v>
                </c:pt>
                <c:pt idx="40">
                  <c:v>1</c:v>
                </c:pt>
                <c:pt idx="41">
                  <c:v>1</c:v>
                </c:pt>
                <c:pt idx="42">
                  <c:v>1</c:v>
                </c:pt>
                <c:pt idx="43">
                  <c:v>1</c:v>
                </c:pt>
                <c:pt idx="44">
                  <c:v>1</c:v>
                </c:pt>
                <c:pt idx="45">
                  <c:v>1</c:v>
                </c:pt>
                <c:pt idx="46">
                  <c:v>1</c:v>
                </c:pt>
                <c:pt idx="47">
                  <c:v>1</c:v>
                </c:pt>
                <c:pt idx="48">
                  <c:v>0.999999999999999</c:v>
                </c:pt>
                <c:pt idx="49">
                  <c:v>1</c:v>
                </c:pt>
                <c:pt idx="50">
                  <c:v>1</c:v>
                </c:pt>
                <c:pt idx="51">
                  <c:v>1.8639398495076301E-23</c:v>
                </c:pt>
                <c:pt idx="52">
                  <c:v>-3.1086626756170199E-27</c:v>
                </c:pt>
                <c:pt idx="53">
                  <c:v>-1.02755245930416E-24</c:v>
                </c:pt>
                <c:pt idx="54">
                  <c:v>-7.7042406918696798E-23</c:v>
                </c:pt>
                <c:pt idx="55">
                  <c:v>4.2090479585906901E-23</c:v>
                </c:pt>
                <c:pt idx="56">
                  <c:v>-1.4462727350715199E-22</c:v>
                </c:pt>
                <c:pt idx="57">
                  <c:v>4.2158557699161797E-23</c:v>
                </c:pt>
                <c:pt idx="58">
                  <c:v>-7.8987545015977897E-24</c:v>
                </c:pt>
                <c:pt idx="59">
                  <c:v>-4.8122333795455399E-25</c:v>
                </c:pt>
                <c:pt idx="60">
                  <c:v>8.9286181773003397E-25</c:v>
                </c:pt>
                <c:pt idx="61">
                  <c:v>-4.2482279881216804E-25</c:v>
                </c:pt>
                <c:pt idx="62">
                  <c:v>-1.05660087016222E-23</c:v>
                </c:pt>
                <c:pt idx="63">
                  <c:v>-8.2060059511487204E-24</c:v>
                </c:pt>
                <c:pt idx="64">
                  <c:v>6.6523445108248603E-24</c:v>
                </c:pt>
                <c:pt idx="65">
                  <c:v>1.5214645040220401E-24</c:v>
                </c:pt>
                <c:pt idx="66">
                  <c:v>-1.06285153866977E-23</c:v>
                </c:pt>
                <c:pt idx="67">
                  <c:v>3.4355987947491398E-24</c:v>
                </c:pt>
                <c:pt idx="68">
                  <c:v>1.16652230026364E-23</c:v>
                </c:pt>
                <c:pt idx="69">
                  <c:v>-9.9923705587446695E-24</c:v>
                </c:pt>
                <c:pt idx="70">
                  <c:v>-9.3113204515842906E-24</c:v>
                </c:pt>
                <c:pt idx="71">
                  <c:v>1.70655190689431E-23</c:v>
                </c:pt>
                <c:pt idx="72">
                  <c:v>2.83524152222902E-24</c:v>
                </c:pt>
                <c:pt idx="73">
                  <c:v>-2.2555815374671099E-23</c:v>
                </c:pt>
                <c:pt idx="74">
                  <c:v>7.9950772547184104E-24</c:v>
                </c:pt>
                <c:pt idx="75">
                  <c:v>2.3073352316370201E-23</c:v>
                </c:pt>
                <c:pt idx="76">
                  <c:v>-2.2290724434470899E-23</c:v>
                </c:pt>
                <c:pt idx="77">
                  <c:v>1.5979146506523901E-23</c:v>
                </c:pt>
                <c:pt idx="78">
                  <c:v>-6.24734237986496E-24</c:v>
                </c:pt>
                <c:pt idx="79">
                  <c:v>1.4455775871368001E-24</c:v>
                </c:pt>
                <c:pt idx="80">
                  <c:v>-1.36787958046776E-25</c:v>
                </c:pt>
                <c:pt idx="81">
                  <c:v>-4.25553057295105E-29</c:v>
                </c:pt>
                <c:pt idx="82">
                  <c:v>1.32124791380914E-29</c:v>
                </c:pt>
                <c:pt idx="83">
                  <c:v>-2.8112406213306001E-30</c:v>
                </c:pt>
                <c:pt idx="84">
                  <c:v>3.68173042489166E-31</c:v>
                </c:pt>
                <c:pt idx="85">
                  <c:v>-2.1839794407587899E-32</c:v>
                </c:pt>
                <c:pt idx="86">
                  <c:v>-1.98064057148335E-35</c:v>
                </c:pt>
                <c:pt idx="87">
                  <c:v>4.0830946231451399E-36</c:v>
                </c:pt>
                <c:pt idx="88">
                  <c:v>-5.9681136826961598E-37</c:v>
                </c:pt>
                <c:pt idx="89">
                  <c:v>5.4969222003097705E-38</c:v>
                </c:pt>
                <c:pt idx="90">
                  <c:v>-2.3620075022721799E-39</c:v>
                </c:pt>
                <c:pt idx="91">
                  <c:v>-5.25992332515473E-42</c:v>
                </c:pt>
                <c:pt idx="92">
                  <c:v>8.1520226366622796E-43</c:v>
                </c:pt>
                <c:pt idx="93">
                  <c:v>-9.0873944058898094E-44</c:v>
                </c:pt>
                <c:pt idx="94">
                  <c:v>6.4606270080048104E-45</c:v>
                </c:pt>
                <c:pt idx="95">
                  <c:v>-2.1511807658718099E-46</c:v>
                </c:pt>
                <c:pt idx="96">
                  <c:v>-1.02599570398153E-48</c:v>
                </c:pt>
                <c:pt idx="97">
                  <c:v>1.2754165866975601E-49</c:v>
                </c:pt>
                <c:pt idx="98">
                  <c:v>-1.1492860552649201E-50</c:v>
                </c:pt>
                <c:pt idx="99">
                  <c:v>6.6391881971581199E-52</c:v>
                </c:pt>
              </c:numCache>
            </c:numRef>
          </c:yVal>
          <c:smooth val="0"/>
          <c:extLst>
            <c:ext xmlns:c16="http://schemas.microsoft.com/office/drawing/2014/chart" uri="{C3380CC4-5D6E-409C-BE32-E72D297353CC}">
              <c16:uniqueId val="{00000009-FAC9-4198-8F95-60BD4AA35DBC}"/>
            </c:ext>
          </c:extLst>
        </c:ser>
        <c:ser>
          <c:idx val="11"/>
          <c:order val="10"/>
          <c:tx>
            <c:strRef>
              <c:f>dynamicR!$DY$19</c:f>
              <c:strCache>
                <c:ptCount val="1"/>
                <c:pt idx="0">
                  <c:v>w2AP</c:v>
                </c:pt>
              </c:strCache>
            </c:strRef>
          </c:tx>
          <c:spPr>
            <a:ln w="19050" cap="rnd">
              <a:solidFill>
                <a:schemeClr val="accent6">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dynamicR!$DY$20:$DY$119</c:f>
              <c:numCache>
                <c:formatCode>0.00</c:formatCode>
                <c:ptCount val="100"/>
                <c:pt idx="0">
                  <c:v>0</c:v>
                </c:pt>
                <c:pt idx="1">
                  <c:v>1</c:v>
                </c:pt>
                <c:pt idx="2">
                  <c:v>1</c:v>
                </c:pt>
                <c:pt idx="3">
                  <c:v>1</c:v>
                </c:pt>
                <c:pt idx="4">
                  <c:v>0.99999999999997902</c:v>
                </c:pt>
                <c:pt idx="5">
                  <c:v>1.00000000000006</c:v>
                </c:pt>
                <c:pt idx="6">
                  <c:v>1.00000000000004</c:v>
                </c:pt>
                <c:pt idx="7">
                  <c:v>1.00000000000001</c:v>
                </c:pt>
                <c:pt idx="8">
                  <c:v>1</c:v>
                </c:pt>
                <c:pt idx="9">
                  <c:v>1</c:v>
                </c:pt>
                <c:pt idx="10">
                  <c:v>1.00000000000001</c:v>
                </c:pt>
                <c:pt idx="11">
                  <c:v>1.00000000000001</c:v>
                </c:pt>
                <c:pt idx="12">
                  <c:v>1.00000000000001</c:v>
                </c:pt>
                <c:pt idx="13">
                  <c:v>1.00000000000001</c:v>
                </c:pt>
                <c:pt idx="14">
                  <c:v>0.999999999999997</c:v>
                </c:pt>
                <c:pt idx="15">
                  <c:v>0.99999999999999101</c:v>
                </c:pt>
                <c:pt idx="16">
                  <c:v>1</c:v>
                </c:pt>
                <c:pt idx="17">
                  <c:v>1</c:v>
                </c:pt>
                <c:pt idx="18">
                  <c:v>0.99999999999999101</c:v>
                </c:pt>
                <c:pt idx="19">
                  <c:v>1</c:v>
                </c:pt>
                <c:pt idx="20">
                  <c:v>1.00000000000001</c:v>
                </c:pt>
                <c:pt idx="21">
                  <c:v>0.99999999999998102</c:v>
                </c:pt>
                <c:pt idx="22">
                  <c:v>0.999999999999995</c:v>
                </c:pt>
                <c:pt idx="23">
                  <c:v>1</c:v>
                </c:pt>
                <c:pt idx="24">
                  <c:v>0.999999999999998</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-2.49300994463155E-17</c:v>
                </c:pt>
                <c:pt idx="52">
                  <c:v>3.6283576892315802E-21</c:v>
                </c:pt>
                <c:pt idx="53">
                  <c:v>1.3773717915955501E-18</c:v>
                </c:pt>
                <c:pt idx="54">
                  <c:v>1.03111555383243E-16</c:v>
                </c:pt>
                <c:pt idx="55">
                  <c:v>-5.6330828919918796E-17</c:v>
                </c:pt>
                <c:pt idx="56">
                  <c:v>1.9356122749219899E-16</c:v>
                </c:pt>
                <c:pt idx="57">
                  <c:v>-5.6422710228548405E-17</c:v>
                </c:pt>
                <c:pt idx="58">
                  <c:v>1.05712784532781E-17</c:v>
                </c:pt>
                <c:pt idx="59">
                  <c:v>6.4404398945519603E-19</c:v>
                </c:pt>
                <c:pt idx="60">
                  <c:v>-1.1949593241843099E-18</c:v>
                </c:pt>
                <c:pt idx="61">
                  <c:v>5.6856062239001996E-19</c:v>
                </c:pt>
                <c:pt idx="62">
                  <c:v>1.41409912681337E-17</c:v>
                </c:pt>
                <c:pt idx="63">
                  <c:v>1.0982487528988701E-17</c:v>
                </c:pt>
                <c:pt idx="64">
                  <c:v>-8.9031485209592703E-18</c:v>
                </c:pt>
                <c:pt idx="65">
                  <c:v>-2.0362482248524701E-18</c:v>
                </c:pt>
                <c:pt idx="66">
                  <c:v>1.4224646865398399E-17</c:v>
                </c:pt>
                <c:pt idx="67">
                  <c:v>-4.5980249893703303E-18</c:v>
                </c:pt>
                <c:pt idx="68">
                  <c:v>-1.56121219234225E-17</c:v>
                </c:pt>
                <c:pt idx="69">
                  <c:v>1.3373264026779099E-17</c:v>
                </c:pt>
                <c:pt idx="70">
                  <c:v>1.24617823668881E-17</c:v>
                </c:pt>
                <c:pt idx="71">
                  <c:v>-2.28395946011251E-17</c:v>
                </c:pt>
                <c:pt idx="72">
                  <c:v>-3.7945383847312199E-18</c:v>
                </c:pt>
                <c:pt idx="73">
                  <c:v>3.0187518904469997E-17</c:v>
                </c:pt>
                <c:pt idx="74">
                  <c:v>-1.0700191592896799E-17</c:v>
                </c:pt>
                <c:pt idx="75">
                  <c:v>-3.08801631815958E-17</c:v>
                </c:pt>
                <c:pt idx="76">
                  <c:v>2.98327351488704E-17</c:v>
                </c:pt>
                <c:pt idx="77">
                  <c:v>-2.13856507232468E-17</c:v>
                </c:pt>
                <c:pt idx="78">
                  <c:v>8.3611151228236705E-18</c:v>
                </c:pt>
                <c:pt idx="79">
                  <c:v>-1.9346852376618299E-18</c:v>
                </c:pt>
                <c:pt idx="80">
                  <c:v>1.8306987960167501E-19</c:v>
                </c:pt>
                <c:pt idx="81">
                  <c:v>5.6928369128457004E-23</c:v>
                </c:pt>
                <c:pt idx="82">
                  <c:v>-1.7674996994225999E-23</c:v>
                </c:pt>
                <c:pt idx="83">
                  <c:v>3.7607379487768903E-24</c:v>
                </c:pt>
                <c:pt idx="84">
                  <c:v>-4.9252367414189303E-25</c:v>
                </c:pt>
                <c:pt idx="85">
                  <c:v>2.9216228806819898E-26</c:v>
                </c:pt>
                <c:pt idx="86">
                  <c:v>2.6485239253063001E-29</c:v>
                </c:pt>
                <c:pt idx="87">
                  <c:v>-5.4599434086210503E-30</c:v>
                </c:pt>
                <c:pt idx="88">
                  <c:v>7.9806054027031492E-31</c:v>
                </c:pt>
                <c:pt idx="89">
                  <c:v>-7.3505280002420201E-32</c:v>
                </c:pt>
                <c:pt idx="90">
                  <c:v>3.15850494268394E-33</c:v>
                </c:pt>
                <c:pt idx="91">
                  <c:v>7.0312337231320596E-36</c:v>
                </c:pt>
                <c:pt idx="92">
                  <c:v>-1.08972736045643E-36</c:v>
                </c:pt>
                <c:pt idx="93">
                  <c:v>1.2147641518395201E-37</c:v>
                </c:pt>
                <c:pt idx="94">
                  <c:v>-8.63629902754584E-39</c:v>
                </c:pt>
                <c:pt idx="95">
                  <c:v>2.87562867562628E-40</c:v>
                </c:pt>
                <c:pt idx="96">
                  <c:v>1.37113864870342E-42</c:v>
                </c:pt>
                <c:pt idx="97">
                  <c:v>-1.70446424821327E-43</c:v>
                </c:pt>
                <c:pt idx="98">
                  <c:v>1.53590433271841E-44</c:v>
                </c:pt>
                <c:pt idx="99">
                  <c:v>-8.8726171744321702E-46</c:v>
                </c:pt>
              </c:numCache>
            </c:numRef>
          </c:yVal>
          <c:smooth val="0"/>
          <c:extLst>
            <c:ext xmlns:c16="http://schemas.microsoft.com/office/drawing/2014/chart" uri="{C3380CC4-5D6E-409C-BE32-E72D297353CC}">
              <c16:uniqueId val="{0000000A-FAC9-4198-8F95-60BD4AA35DBC}"/>
            </c:ext>
          </c:extLst>
        </c:ser>
        <c:ser>
          <c:idx val="12"/>
          <c:order val="11"/>
          <c:tx>
            <c:strRef>
              <c:f>dynamicR!$DZ$19</c:f>
              <c:strCache>
                <c:ptCount val="1"/>
                <c:pt idx="0">
                  <c:v>w3AD</c:v>
                </c:pt>
              </c:strCache>
            </c:strRef>
          </c:tx>
          <c:spPr>
            <a:ln w="19050" cap="rnd">
              <a:solidFill>
                <a:schemeClr val="accent1">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dynamicR!$DZ$20:$DZ$119</c:f>
              <c:numCache>
                <c:formatCode>0.00</c:formatCode>
                <c:ptCount val="100"/>
                <c:pt idx="0">
                  <c:v>0</c:v>
                </c:pt>
                <c:pt idx="1">
                  <c:v>1.9994762499019499E-2</c:v>
                </c:pt>
                <c:pt idx="2">
                  <c:v>3.9585195106200101E-2</c:v>
                </c:pt>
                <c:pt idx="3">
                  <c:v>5.8784011670858602E-2</c:v>
                </c:pt>
                <c:pt idx="4">
                  <c:v>7.7599046240599601E-2</c:v>
                </c:pt>
                <c:pt idx="5">
                  <c:v>9.6037967414553504E-2</c:v>
                </c:pt>
                <c:pt idx="6">
                  <c:v>0.11410829078521501</c:v>
                </c:pt>
                <c:pt idx="7">
                  <c:v>0.13181738450189101</c:v>
                </c:pt>
                <c:pt idx="8">
                  <c:v>0.14917247059309999</c:v>
                </c:pt>
                <c:pt idx="9">
                  <c:v>0.166180626369266</c:v>
                </c:pt>
                <c:pt idx="10">
                  <c:v>0.18284878707006</c:v>
                </c:pt>
                <c:pt idx="11">
                  <c:v>0.19918374907130501</c:v>
                </c:pt>
                <c:pt idx="12">
                  <c:v>0.21519217288289899</c:v>
                </c:pt>
                <c:pt idx="13">
                  <c:v>0.23088058575589701</c:v>
                </c:pt>
                <c:pt idx="14">
                  <c:v>0.24625538481179099</c:v>
                </c:pt>
                <c:pt idx="15">
                  <c:v>0.261322839595441</c:v>
                </c:pt>
                <c:pt idx="16">
                  <c:v>0.27608909416975902</c:v>
                </c:pt>
                <c:pt idx="17">
                  <c:v>0.29056016947288499</c:v>
                </c:pt>
                <c:pt idx="18">
                  <c:v>0.30474196601943998</c:v>
                </c:pt>
                <c:pt idx="19">
                  <c:v>0.31864026650146998</c:v>
                </c:pt>
                <c:pt idx="20">
                  <c:v>0.33226073810525503</c:v>
                </c:pt>
                <c:pt idx="21">
                  <c:v>0.34560893470499499</c:v>
                </c:pt>
                <c:pt idx="22">
                  <c:v>0.35869029909647898</c:v>
                </c:pt>
                <c:pt idx="23">
                  <c:v>0.37151016526466901</c:v>
                </c:pt>
                <c:pt idx="24">
                  <c:v>0.38407376059190601</c:v>
                </c:pt>
                <c:pt idx="25">
                  <c:v>0.39638620797885299</c:v>
                </c:pt>
                <c:pt idx="26">
                  <c:v>0.40845252791193898</c:v>
                </c:pt>
                <c:pt idx="27">
                  <c:v>0.420277640508192</c:v>
                </c:pt>
                <c:pt idx="28">
                  <c:v>0.43186636753041402</c:v>
                </c:pt>
                <c:pt idx="29">
                  <c:v>0.44322343435671202</c:v>
                </c:pt>
                <c:pt idx="30">
                  <c:v>0.45435347190782899</c:v>
                </c:pt>
                <c:pt idx="31">
                  <c:v>0.46526101853055801</c:v>
                </c:pt>
                <c:pt idx="32">
                  <c:v>0.475950521846979</c:v>
                </c:pt>
                <c:pt idx="33">
                  <c:v>0.48642634057020101</c:v>
                </c:pt>
                <c:pt idx="34">
                  <c:v>0.49669274628476701</c:v>
                </c:pt>
                <c:pt idx="35">
                  <c:v>0.50675392518512097</c:v>
                </c:pt>
                <c:pt idx="36">
                  <c:v>0.51661397978201395</c:v>
                </c:pt>
                <c:pt idx="37">
                  <c:v>0.52627693057684</c:v>
                </c:pt>
                <c:pt idx="38">
                  <c:v>0.53574671770049098</c:v>
                </c:pt>
                <c:pt idx="39">
                  <c:v>0.54502720252084202</c:v>
                </c:pt>
                <c:pt idx="40">
                  <c:v>0.55412216921620105</c:v>
                </c:pt>
                <c:pt idx="41">
                  <c:v>0.56303532631890296</c:v>
                </c:pt>
                <c:pt idx="42">
                  <c:v>0.571770308226068</c:v>
                </c:pt>
                <c:pt idx="43">
                  <c:v>0.58033067668389604</c:v>
                </c:pt>
                <c:pt idx="44">
                  <c:v>0.58871992223896397</c:v>
                </c:pt>
                <c:pt idx="45">
                  <c:v>0.59694146566123596</c:v>
                </c:pt>
                <c:pt idx="46">
                  <c:v>0.60499865933779096</c:v>
                </c:pt>
                <c:pt idx="47">
                  <c:v>0.61289478864122204</c:v>
                </c:pt>
                <c:pt idx="48">
                  <c:v>0.62063307327049499</c:v>
                </c:pt>
                <c:pt idx="49">
                  <c:v>0.62821666856159797</c:v>
                </c:pt>
                <c:pt idx="50">
                  <c:v>0.62821666856159797</c:v>
                </c:pt>
                <c:pt idx="51">
                  <c:v>0.61565357416070299</c:v>
                </c:pt>
                <c:pt idx="52">
                  <c:v>0.60334605382624495</c:v>
                </c:pt>
                <c:pt idx="53">
                  <c:v>0.59128498306863397</c:v>
                </c:pt>
                <c:pt idx="54">
                  <c:v>0.57946527459453401</c:v>
                </c:pt>
                <c:pt idx="55">
                  <c:v>0.56788179233720804</c:v>
                </c:pt>
                <c:pt idx="56">
                  <c:v>0.55652980586360401</c:v>
                </c:pt>
                <c:pt idx="57">
                  <c:v>0.54540472534292195</c:v>
                </c:pt>
                <c:pt idx="58">
                  <c:v>0.53450203175394195</c:v>
                </c:pt>
                <c:pt idx="59">
                  <c:v>0.52381728534090599</c:v>
                </c:pt>
                <c:pt idx="60">
                  <c:v>0.51334612199278695</c:v>
                </c:pt>
                <c:pt idx="61">
                  <c:v>0.50308426422790398</c:v>
                </c:pt>
                <c:pt idx="62">
                  <c:v>0.49302753560481499</c:v>
                </c:pt>
                <c:pt idx="63">
                  <c:v>0.48317184473712799</c:v>
                </c:pt>
                <c:pt idx="64">
                  <c:v>0.473513174436411</c:v>
                </c:pt>
                <c:pt idx="65">
                  <c:v>0.46404758382690697</c:v>
                </c:pt>
                <c:pt idx="66">
                  <c:v>0.45477121129985199</c:v>
                </c:pt>
                <c:pt idx="67">
                  <c:v>0.44568027404819499</c:v>
                </c:pt>
                <c:pt idx="68">
                  <c:v>0.43677106561797802</c:v>
                </c:pt>
                <c:pt idx="69">
                  <c:v>0.42803995354319702</c:v>
                </c:pt>
                <c:pt idx="70">
                  <c:v>0.41948337768709798</c:v>
                </c:pt>
                <c:pt idx="71">
                  <c:v>0.41109784896345902</c:v>
                </c:pt>
                <c:pt idx="72">
                  <c:v>0.40287994806114702</c:v>
                </c:pt>
                <c:pt idx="73">
                  <c:v>0.394826324073909</c:v>
                </c:pt>
                <c:pt idx="74">
                  <c:v>0.386933693101217</c:v>
                </c:pt>
                <c:pt idx="75">
                  <c:v>0.37919883694260698</c:v>
                </c:pt>
                <c:pt idx="76">
                  <c:v>0.37161860177770001</c:v>
                </c:pt>
                <c:pt idx="77">
                  <c:v>0.364189896660915</c:v>
                </c:pt>
                <c:pt idx="78">
                  <c:v>0.35690969232324898</c:v>
                </c:pt>
                <c:pt idx="79">
                  <c:v>0.34977502014275302</c:v>
                </c:pt>
                <c:pt idx="80">
                  <c:v>0.34278297096499599</c:v>
                </c:pt>
                <c:pt idx="81">
                  <c:v>0.33593069380224899</c:v>
                </c:pt>
                <c:pt idx="82">
                  <c:v>0.329215394597554</c:v>
                </c:pt>
                <c:pt idx="83">
                  <c:v>0.322634335114733</c:v>
                </c:pt>
                <c:pt idx="84">
                  <c:v>0.31618483187051999</c:v>
                </c:pt>
                <c:pt idx="85">
                  <c:v>0.3098642550481</c:v>
                </c:pt>
                <c:pt idx="86">
                  <c:v>0.303670027401648</c:v>
                </c:pt>
                <c:pt idx="87">
                  <c:v>0.297599623194023</c:v>
                </c:pt>
                <c:pt idx="88">
                  <c:v>0.29165056717284699</c:v>
                </c:pt>
                <c:pt idx="89">
                  <c:v>0.28582043356960402</c:v>
                </c:pt>
                <c:pt idx="90">
                  <c:v>0.28010684511115702</c:v>
                </c:pt>
                <c:pt idx="91">
                  <c:v>0.274507472046435</c:v>
                </c:pt>
                <c:pt idx="92">
                  <c:v>0.26902003119451101</c:v>
                </c:pt>
                <c:pt idx="93">
                  <c:v>0.26364228501431197</c:v>
                </c:pt>
                <c:pt idx="94">
                  <c:v>0.25837204069466702</c:v>
                </c:pt>
                <c:pt idx="95">
                  <c:v>0.2532071492595</c:v>
                </c:pt>
                <c:pt idx="96">
                  <c:v>0.24814550469084801</c:v>
                </c:pt>
                <c:pt idx="97">
                  <c:v>0.24318504306989</c:v>
                </c:pt>
                <c:pt idx="98">
                  <c:v>0.238323741736164</c:v>
                </c:pt>
                <c:pt idx="99">
                  <c:v>0.23355961846224199</c:v>
                </c:pt>
              </c:numCache>
            </c:numRef>
          </c:yVal>
          <c:smooth val="0"/>
          <c:extLst>
            <c:ext xmlns:c16="http://schemas.microsoft.com/office/drawing/2014/chart" uri="{C3380CC4-5D6E-409C-BE32-E72D297353CC}">
              <c16:uniqueId val="{0000000B-FAC9-4198-8F95-60BD4AA35DBC}"/>
            </c:ext>
          </c:extLst>
        </c:ser>
        <c:ser>
          <c:idx val="13"/>
          <c:order val="12"/>
          <c:tx>
            <c:strRef>
              <c:f>dynamicR!$EA$19</c:f>
              <c:strCache>
                <c:ptCount val="1"/>
                <c:pt idx="0">
                  <c:v>w3AS</c:v>
                </c:pt>
              </c:strCache>
            </c:strRef>
          </c:tx>
          <c:spPr>
            <a:ln w="19050" cap="rnd">
              <a:solidFill>
                <a:schemeClr val="accent2">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dynamicR!$EA$20:$EA$119</c:f>
              <c:numCache>
                <c:formatCode>0.00</c:formatCode>
                <c:ptCount val="100"/>
                <c:pt idx="0">
                  <c:v>0</c:v>
                </c:pt>
                <c:pt idx="1">
                  <c:v>1</c:v>
                </c:pt>
                <c:pt idx="2">
                  <c:v>0.999999999999998</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-2.3054820369942501E-212</c:v>
                </c:pt>
                <c:pt idx="52">
                  <c:v>5.5539097029042197E-214</c:v>
                </c:pt>
                <c:pt idx="53">
                  <c:v>-1.8810302841514099E-213</c:v>
                </c:pt>
                <c:pt idx="54">
                  <c:v>2.4735004547696001E-212</c:v>
                </c:pt>
                <c:pt idx="55">
                  <c:v>-1.55713135621986E-212</c:v>
                </c:pt>
                <c:pt idx="56">
                  <c:v>5.0765124483561002E-212</c:v>
                </c:pt>
                <c:pt idx="57">
                  <c:v>-1.4794201694308E-212</c:v>
                </c:pt>
                <c:pt idx="58">
                  <c:v>2.7543183338009699E-213</c:v>
                </c:pt>
                <c:pt idx="59">
                  <c:v>1.67764706029922E-214</c:v>
                </c:pt>
                <c:pt idx="60">
                  <c:v>-3.1130339474558E-214</c:v>
                </c:pt>
                <c:pt idx="61">
                  <c:v>1.4818579522928101E-214</c:v>
                </c:pt>
                <c:pt idx="62">
                  <c:v>3.6842755310676799E-213</c:v>
                </c:pt>
                <c:pt idx="63">
                  <c:v>2.86137901134126E-213</c:v>
                </c:pt>
                <c:pt idx="64">
                  <c:v>-2.31956639934055E-213</c:v>
                </c:pt>
                <c:pt idx="65">
                  <c:v>-5.3053206307489299E-214</c:v>
                </c:pt>
                <c:pt idx="66">
                  <c:v>3.7060322318939702E-213</c:v>
                </c:pt>
                <c:pt idx="67">
                  <c:v>-1.1979360007285E-213</c:v>
                </c:pt>
                <c:pt idx="68">
                  <c:v>-4.0675335369590201E-213</c:v>
                </c:pt>
                <c:pt idx="69">
                  <c:v>3.4842128234806898E-213</c:v>
                </c:pt>
                <c:pt idx="70">
                  <c:v>3.24676178152031E-213</c:v>
                </c:pt>
                <c:pt idx="71">
                  <c:v>-5.9505529611084701E-213</c:v>
                </c:pt>
                <c:pt idx="72">
                  <c:v>-9.8862307764741803E-214</c:v>
                </c:pt>
                <c:pt idx="73">
                  <c:v>7.8649721393166595E-213</c:v>
                </c:pt>
                <c:pt idx="74">
                  <c:v>-2.7878052354251699E-213</c:v>
                </c:pt>
                <c:pt idx="75">
                  <c:v>-8.0454372908920804E-213</c:v>
                </c:pt>
                <c:pt idx="76">
                  <c:v>7.7725603749643897E-213</c:v>
                </c:pt>
                <c:pt idx="77">
                  <c:v>-5.5718123440262202E-213</c:v>
                </c:pt>
                <c:pt idx="78">
                  <c:v>2.1784538796803399E-213</c:v>
                </c:pt>
                <c:pt idx="79">
                  <c:v>-5.04115623670511E-214</c:v>
                </c:pt>
                <c:pt idx="80">
                  <c:v>4.7730402380258696E-215</c:v>
                </c:pt>
                <c:pt idx="81">
                  <c:v>2.8837628026462501E-220</c:v>
                </c:pt>
                <c:pt idx="82">
                  <c:v>-8.9537559044535801E-221</c:v>
                </c:pt>
                <c:pt idx="83">
                  <c:v>1.90529513714209E-221</c:v>
                </c:pt>
                <c:pt idx="84">
                  <c:v>-2.4962190632718199E-222</c:v>
                </c:pt>
                <c:pt idx="85">
                  <c:v>1.4847030014643101E-223</c:v>
                </c:pt>
                <c:pt idx="86">
                  <c:v>3.8002164570563597E-228</c:v>
                </c:pt>
                <c:pt idx="87">
                  <c:v>-7.8269726476299604E-229</c:v>
                </c:pt>
                <c:pt idx="88">
                  <c:v>1.1444141623157901E-229</c:v>
                </c:pt>
                <c:pt idx="89">
                  <c:v>-1.0553989232252001E-230</c:v>
                </c:pt>
                <c:pt idx="90">
                  <c:v>4.5750710288756799E-232</c:v>
                </c:pt>
                <c:pt idx="91">
                  <c:v>3.3211246007152499E-236</c:v>
                </c:pt>
                <c:pt idx="92">
                  <c:v>-5.1550154554310302E-237</c:v>
                </c:pt>
                <c:pt idx="93">
                  <c:v>5.751450124278E-238</c:v>
                </c:pt>
                <c:pt idx="94">
                  <c:v>-4.1027177371172002E-239</c:v>
                </c:pt>
                <c:pt idx="95">
                  <c:v>1.39849991051474E-240</c:v>
                </c:pt>
                <c:pt idx="96">
                  <c:v>2.3116967493457599E-244</c:v>
                </c:pt>
                <c:pt idx="97">
                  <c:v>-2.8776592505882402E-245</c:v>
                </c:pt>
                <c:pt idx="98">
                  <c:v>2.5981280512318101E-246</c:v>
                </c:pt>
                <c:pt idx="99">
                  <c:v>-1.51241447280119E-247</c:v>
                </c:pt>
              </c:numCache>
            </c:numRef>
          </c:yVal>
          <c:smooth val="0"/>
          <c:extLst>
            <c:ext xmlns:c16="http://schemas.microsoft.com/office/drawing/2014/chart" uri="{C3380CC4-5D6E-409C-BE32-E72D297353CC}">
              <c16:uniqueId val="{0000000C-FAC9-4198-8F95-60BD4AA35DBC}"/>
            </c:ext>
          </c:extLst>
        </c:ser>
        <c:ser>
          <c:idx val="14"/>
          <c:order val="13"/>
          <c:tx>
            <c:strRef>
              <c:f>dynamicR!$EB$19</c:f>
              <c:strCache>
                <c:ptCount val="1"/>
                <c:pt idx="0">
                  <c:v>w3AA</c:v>
                </c:pt>
              </c:strCache>
            </c:strRef>
          </c:tx>
          <c:spPr>
            <a:ln w="19050" cap="rnd">
              <a:solidFill>
                <a:schemeClr val="accent3">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dynamicR!$EB$20:$EB$119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1</c:v>
                </c:pt>
                <c:pt idx="14">
                  <c:v>0.999999999999999</c:v>
                </c:pt>
                <c:pt idx="15">
                  <c:v>1</c:v>
                </c:pt>
                <c:pt idx="16">
                  <c:v>1</c:v>
                </c:pt>
                <c:pt idx="17">
                  <c:v>0.999999999999998</c:v>
                </c:pt>
                <c:pt idx="18">
                  <c:v>1</c:v>
                </c:pt>
                <c:pt idx="19">
                  <c:v>1</c:v>
                </c:pt>
                <c:pt idx="20">
                  <c:v>0.999999999999997</c:v>
                </c:pt>
                <c:pt idx="21">
                  <c:v>0.999999999999997</c:v>
                </c:pt>
                <c:pt idx="22">
                  <c:v>1.00000000000001</c:v>
                </c:pt>
                <c:pt idx="23">
                  <c:v>0.999999999999996</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0.999999999999999</c:v>
                </c:pt>
                <c:pt idx="49">
                  <c:v>1</c:v>
                </c:pt>
                <c:pt idx="50">
                  <c:v>1</c:v>
                </c:pt>
                <c:pt idx="51">
                  <c:v>2.4537454809047501E-20</c:v>
                </c:pt>
                <c:pt idx="52">
                  <c:v>-3.9699500310472496E-24</c:v>
                </c:pt>
                <c:pt idx="53">
                  <c:v>-1.35337687217168E-21</c:v>
                </c:pt>
                <c:pt idx="54">
                  <c:v>-1.01437097513824E-19</c:v>
                </c:pt>
                <c:pt idx="55">
                  <c:v>5.5417635887120197E-20</c:v>
                </c:pt>
                <c:pt idx="56">
                  <c:v>-1.90421401781813E-19</c:v>
                </c:pt>
                <c:pt idx="57">
                  <c:v>5.5507572502300499E-20</c:v>
                </c:pt>
                <c:pt idx="58">
                  <c:v>-1.0399873791539901E-20</c:v>
                </c:pt>
                <c:pt idx="59">
                  <c:v>-6.3356416885197199E-22</c:v>
                </c:pt>
                <c:pt idx="60">
                  <c:v>1.17554607505336E-21</c:v>
                </c:pt>
                <c:pt idx="61">
                  <c:v>-5.5938815571530195E-22</c:v>
                </c:pt>
                <c:pt idx="62">
                  <c:v>-1.3911591092092901E-20</c:v>
                </c:pt>
                <c:pt idx="63">
                  <c:v>-1.08043408327176E-20</c:v>
                </c:pt>
                <c:pt idx="64">
                  <c:v>8.7586726538803095E-21</c:v>
                </c:pt>
                <c:pt idx="65">
                  <c:v>2.0032255187700399E-21</c:v>
                </c:pt>
                <c:pt idx="66">
                  <c:v>-1.3993852815772499E-20</c:v>
                </c:pt>
                <c:pt idx="67">
                  <c:v>4.5234081690389497E-21</c:v>
                </c:pt>
                <c:pt idx="68">
                  <c:v>1.5358829570136099E-20</c:v>
                </c:pt>
                <c:pt idx="69">
                  <c:v>-1.31562802458537E-20</c:v>
                </c:pt>
                <c:pt idx="70">
                  <c:v>-1.22596088535172E-20</c:v>
                </c:pt>
                <c:pt idx="71">
                  <c:v>2.2469039570275899E-20</c:v>
                </c:pt>
                <c:pt idx="72">
                  <c:v>3.7329810623260902E-21</c:v>
                </c:pt>
                <c:pt idx="73">
                  <c:v>-2.9697763719024502E-20</c:v>
                </c:pt>
                <c:pt idx="74">
                  <c:v>1.05266009327228E-20</c:v>
                </c:pt>
                <c:pt idx="75">
                  <c:v>3.0379175952897199E-20</c:v>
                </c:pt>
                <c:pt idx="76">
                  <c:v>-2.93487572967323E-20</c:v>
                </c:pt>
                <c:pt idx="77">
                  <c:v>2.10387465350618E-20</c:v>
                </c:pt>
                <c:pt idx="78">
                  <c:v>-8.2255347783657304E-21</c:v>
                </c:pt>
                <c:pt idx="79">
                  <c:v>1.9033524177059899E-21</c:v>
                </c:pt>
                <c:pt idx="80">
                  <c:v>-1.80131898840353E-22</c:v>
                </c:pt>
                <c:pt idx="81">
                  <c:v>-4.22267611487255E-26</c:v>
                </c:pt>
                <c:pt idx="82">
                  <c:v>1.3110545320521099E-26</c:v>
                </c:pt>
                <c:pt idx="83">
                  <c:v>-2.78959590623673E-27</c:v>
                </c:pt>
                <c:pt idx="84">
                  <c:v>3.65360458610446E-28</c:v>
                </c:pt>
                <c:pt idx="85">
                  <c:v>-2.1682106025839099E-29</c:v>
                </c:pt>
                <c:pt idx="86">
                  <c:v>-1.6640960735156999E-32</c:v>
                </c:pt>
                <c:pt idx="87">
                  <c:v>3.4305757247084797E-33</c:v>
                </c:pt>
                <c:pt idx="88">
                  <c:v>-5.0145181062269998E-34</c:v>
                </c:pt>
                <c:pt idx="89">
                  <c:v>4.6192161120095301E-35</c:v>
                </c:pt>
                <c:pt idx="90">
                  <c:v>-1.9866620527159698E-36</c:v>
                </c:pt>
                <c:pt idx="91">
                  <c:v>-3.9808274441715301E-39</c:v>
                </c:pt>
                <c:pt idx="92">
                  <c:v>6.1697572205222003E-40</c:v>
                </c:pt>
                <c:pt idx="93">
                  <c:v>-6.8780820703562802E-41</c:v>
                </c:pt>
                <c:pt idx="94">
                  <c:v>4.8910447326247299E-42</c:v>
                </c:pt>
                <c:pt idx="95">
                  <c:v>-1.6311870705712501E-43</c:v>
                </c:pt>
                <c:pt idx="96">
                  <c:v>-7.2583667034875902E-46</c:v>
                </c:pt>
                <c:pt idx="97">
                  <c:v>9.0231574094246508E-47</c:v>
                </c:pt>
                <c:pt idx="98">
                  <c:v>-8.1315343135349798E-48</c:v>
                </c:pt>
                <c:pt idx="99">
                  <c:v>4.6990385583128298E-49</c:v>
                </c:pt>
              </c:numCache>
            </c:numRef>
          </c:yVal>
          <c:smooth val="0"/>
          <c:extLst>
            <c:ext xmlns:c16="http://schemas.microsoft.com/office/drawing/2014/chart" uri="{C3380CC4-5D6E-409C-BE32-E72D297353CC}">
              <c16:uniqueId val="{0000000D-FAC9-4198-8F95-60BD4AA35DBC}"/>
            </c:ext>
          </c:extLst>
        </c:ser>
        <c:ser>
          <c:idx val="15"/>
          <c:order val="14"/>
          <c:tx>
            <c:strRef>
              <c:f>dynamicR!$EC$19</c:f>
              <c:strCache>
                <c:ptCount val="1"/>
                <c:pt idx="0">
                  <c:v>w3AP</c:v>
                </c:pt>
              </c:strCache>
            </c:strRef>
          </c:tx>
          <c:spPr>
            <a:ln w="19050" cap="rnd">
              <a:solidFill>
                <a:schemeClr val="accent4">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dynamicR!$EC$20:$EC$119</c:f>
              <c:numCache>
                <c:formatCode>0.00</c:formatCode>
                <c:ptCount val="100"/>
                <c:pt idx="0">
                  <c:v>0</c:v>
                </c:pt>
                <c:pt idx="1">
                  <c:v>1.0000000000001401</c:v>
                </c:pt>
                <c:pt idx="2">
                  <c:v>1.00000000000031</c:v>
                </c:pt>
                <c:pt idx="3">
                  <c:v>1.0000000000007201</c:v>
                </c:pt>
                <c:pt idx="4">
                  <c:v>1.00000000000005</c:v>
                </c:pt>
                <c:pt idx="5">
                  <c:v>1.00000000000006</c:v>
                </c:pt>
                <c:pt idx="6">
                  <c:v>1.00000000000004</c:v>
                </c:pt>
                <c:pt idx="7">
                  <c:v>1.00000000000002</c:v>
                </c:pt>
                <c:pt idx="8">
                  <c:v>1</c:v>
                </c:pt>
                <c:pt idx="9">
                  <c:v>1</c:v>
                </c:pt>
                <c:pt idx="10">
                  <c:v>1.00000000000001</c:v>
                </c:pt>
                <c:pt idx="11">
                  <c:v>1.00000000000001</c:v>
                </c:pt>
                <c:pt idx="12">
                  <c:v>1.00000000000001</c:v>
                </c:pt>
                <c:pt idx="13">
                  <c:v>1.00000000000001</c:v>
                </c:pt>
                <c:pt idx="14">
                  <c:v>0.999999999999997</c:v>
                </c:pt>
                <c:pt idx="15">
                  <c:v>0.99999999999999101</c:v>
                </c:pt>
                <c:pt idx="16">
                  <c:v>1</c:v>
                </c:pt>
                <c:pt idx="17">
                  <c:v>1</c:v>
                </c:pt>
                <c:pt idx="18">
                  <c:v>0.99999999999999101</c:v>
                </c:pt>
                <c:pt idx="19">
                  <c:v>1.00000000000001</c:v>
                </c:pt>
                <c:pt idx="20">
                  <c:v>1.00000000000001</c:v>
                </c:pt>
                <c:pt idx="21">
                  <c:v>0.99999999999998201</c:v>
                </c:pt>
                <c:pt idx="22">
                  <c:v>0.999999999999995</c:v>
                </c:pt>
                <c:pt idx="23">
                  <c:v>1</c:v>
                </c:pt>
                <c:pt idx="24">
                  <c:v>0.999999999999998</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-3.2427471824099197E-14</c:v>
                </c:pt>
                <c:pt idx="52">
                  <c:v>4.7273599519217499E-18</c:v>
                </c:pt>
                <c:pt idx="53">
                  <c:v>1.7915217648018102E-15</c:v>
                </c:pt>
                <c:pt idx="54">
                  <c:v>1.34120600119004E-13</c:v>
                </c:pt>
                <c:pt idx="55">
                  <c:v>-7.3271518314762006E-14</c:v>
                </c:pt>
                <c:pt idx="56">
                  <c:v>2.5177198339664802E-13</c:v>
                </c:pt>
                <c:pt idx="57">
                  <c:v>-7.3391184925102704E-14</c:v>
                </c:pt>
                <c:pt idx="58">
                  <c:v>1.37505558922896E-14</c:v>
                </c:pt>
                <c:pt idx="59">
                  <c:v>8.3768896745310596E-16</c:v>
                </c:pt>
                <c:pt idx="60">
                  <c:v>-1.55428924968327E-15</c:v>
                </c:pt>
                <c:pt idx="61">
                  <c:v>7.3961455941706105E-16</c:v>
                </c:pt>
                <c:pt idx="62">
                  <c:v>1.83936954204067E-14</c:v>
                </c:pt>
                <c:pt idx="63">
                  <c:v>1.4285336103351099E-14</c:v>
                </c:pt>
                <c:pt idx="64">
                  <c:v>-1.15805845681607E-14</c:v>
                </c:pt>
                <c:pt idx="65">
                  <c:v>-2.6486344946996E-15</c:v>
                </c:pt>
                <c:pt idx="66">
                  <c:v>1.8502460629910701E-14</c:v>
                </c:pt>
                <c:pt idx="67">
                  <c:v>-5.9807818956941903E-15</c:v>
                </c:pt>
                <c:pt idx="68">
                  <c:v>-2.0307212257642399E-14</c:v>
                </c:pt>
                <c:pt idx="69">
                  <c:v>1.7395034840735699E-14</c:v>
                </c:pt>
                <c:pt idx="70">
                  <c:v>1.6209469480808701E-14</c:v>
                </c:pt>
                <c:pt idx="71">
                  <c:v>-2.9708224425332001E-14</c:v>
                </c:pt>
                <c:pt idx="72">
                  <c:v>-4.9356911239585499E-15</c:v>
                </c:pt>
                <c:pt idx="73">
                  <c:v>3.92659342077342E-14</c:v>
                </c:pt>
                <c:pt idx="74">
                  <c:v>-1.3918112607626401E-14</c:v>
                </c:pt>
                <c:pt idx="75">
                  <c:v>-4.0166887161386098E-14</c:v>
                </c:pt>
                <c:pt idx="76">
                  <c:v>3.8804483190838501E-14</c:v>
                </c:pt>
                <c:pt idx="77">
                  <c:v>-2.7817112593751901E-14</c:v>
                </c:pt>
                <c:pt idx="78">
                  <c:v>1.0875677722885199E-14</c:v>
                </c:pt>
                <c:pt idx="79">
                  <c:v>-2.51658378761521E-15</c:v>
                </c:pt>
                <c:pt idx="80">
                  <c:v>2.3816767133164198E-16</c:v>
                </c:pt>
                <c:pt idx="81">
                  <c:v>5.5832446236049805E-20</c:v>
                </c:pt>
                <c:pt idx="82">
                  <c:v>-1.7334832198719299E-20</c:v>
                </c:pt>
                <c:pt idx="83">
                  <c:v>3.6884184437029803E-21</c:v>
                </c:pt>
                <c:pt idx="84">
                  <c:v>-4.8308153187725802E-22</c:v>
                </c:pt>
                <c:pt idx="85">
                  <c:v>2.8668195964688501E-23</c:v>
                </c:pt>
                <c:pt idx="86">
                  <c:v>2.2002581755643099E-26</c:v>
                </c:pt>
                <c:pt idx="87">
                  <c:v>-4.5359016568829101E-27</c:v>
                </c:pt>
                <c:pt idx="88">
                  <c:v>6.63018778808561E-28</c:v>
                </c:pt>
                <c:pt idx="89">
                  <c:v>-6.1075202878490704E-29</c:v>
                </c:pt>
                <c:pt idx="90">
                  <c:v>2.6267616918283299E-30</c:v>
                </c:pt>
                <c:pt idx="91">
                  <c:v>5.2634036991966198E-33</c:v>
                </c:pt>
                <c:pt idx="92">
                  <c:v>-8.1575849774985704E-34</c:v>
                </c:pt>
                <c:pt idx="93">
                  <c:v>9.0941244531555002E-35</c:v>
                </c:pt>
                <c:pt idx="94">
                  <c:v>-6.4668859197723203E-36</c:v>
                </c:pt>
                <c:pt idx="95">
                  <c:v>2.1567379877357101E-37</c:v>
                </c:pt>
                <c:pt idx="96">
                  <c:v>9.5968793599914908E-40</c:v>
                </c:pt>
                <c:pt idx="97">
                  <c:v>-1.19302478108412E-40</c:v>
                </c:pt>
                <c:pt idx="98">
                  <c:v>1.0751361004338701E-41</c:v>
                </c:pt>
                <c:pt idx="99">
                  <c:v>-6.2129803325069902E-43</c:v>
                </c:pt>
              </c:numCache>
            </c:numRef>
          </c:yVal>
          <c:smooth val="0"/>
          <c:extLst>
            <c:ext xmlns:c16="http://schemas.microsoft.com/office/drawing/2014/chart" uri="{C3380CC4-5D6E-409C-BE32-E72D297353CC}">
              <c16:uniqueId val="{0000000E-FAC9-4198-8F95-60BD4AA35DBC}"/>
            </c:ext>
          </c:extLst>
        </c:ser>
        <c:ser>
          <c:idx val="16"/>
          <c:order val="15"/>
          <c:tx>
            <c:strRef>
              <c:f>dynamicR!$ED$19</c:f>
              <c:strCache>
                <c:ptCount val="1"/>
                <c:pt idx="0">
                  <c:v>sdAD</c:v>
                </c:pt>
              </c:strCache>
            </c:strRef>
          </c:tx>
          <c:spPr>
            <a:ln w="19050" cap="rnd">
              <a:solidFill>
                <a:schemeClr val="accent5">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dynamicR!$ED$20:$ED$119</c:f>
              <c:numCache>
                <c:formatCode>0.00</c:formatCode>
                <c:ptCount val="100"/>
                <c:pt idx="0">
                  <c:v>0</c:v>
                </c:pt>
                <c:pt idx="1">
                  <c:v>1.9994596761715801E-2</c:v>
                </c:pt>
                <c:pt idx="2">
                  <c:v>3.95850326820067E-2</c:v>
                </c:pt>
                <c:pt idx="3">
                  <c:v>5.8783852493545903E-2</c:v>
                </c:pt>
                <c:pt idx="4">
                  <c:v>7.7598890245262897E-2</c:v>
                </c:pt>
                <c:pt idx="5">
                  <c:v>9.6037814537585003E-2</c:v>
                </c:pt>
                <c:pt idx="6">
                  <c:v>0.114108140964278</c:v>
                </c:pt>
                <c:pt idx="7">
                  <c:v>0.13181723767589401</c:v>
                </c:pt>
                <c:pt idx="8">
                  <c:v>0.14917232670217401</c:v>
                </c:pt>
                <c:pt idx="9">
                  <c:v>0.16618048535474</c:v>
                </c:pt>
                <c:pt idx="10">
                  <c:v>0.182848648874432</c:v>
                </c:pt>
                <c:pt idx="11">
                  <c:v>0.19918361363822601</c:v>
                </c:pt>
                <c:pt idx="12">
                  <c:v>0.21519204015714599</c:v>
                </c:pt>
                <c:pt idx="13">
                  <c:v>0.230880455683349</c:v>
                </c:pt>
                <c:pt idx="14">
                  <c:v>0.24625525733941001</c:v>
                </c:pt>
                <c:pt idx="15">
                  <c:v>0.26132271467125001</c:v>
                </c:pt>
                <c:pt idx="16">
                  <c:v>0.27608897174281899</c:v>
                </c:pt>
                <c:pt idx="17">
                  <c:v>0.29056004949327602</c:v>
                </c:pt>
                <c:pt idx="18">
                  <c:v>0.30474184843823998</c:v>
                </c:pt>
                <c:pt idx="19">
                  <c:v>0.31864015127073397</c:v>
                </c:pt>
                <c:pt idx="20">
                  <c:v>0.33226062517799698</c:v>
                </c:pt>
                <c:pt idx="21">
                  <c:v>0.34560882403516702</c:v>
                </c:pt>
                <c:pt idx="22">
                  <c:v>0.35869019063895602</c:v>
                </c:pt>
                <c:pt idx="23">
                  <c:v>0.37151005897522599</c:v>
                </c:pt>
                <c:pt idx="24">
                  <c:v>0.38407365642720298</c:v>
                </c:pt>
                <c:pt idx="25">
                  <c:v>0.39638610589641698</c:v>
                </c:pt>
                <c:pt idx="26">
                  <c:v>0.40845242787014402</c:v>
                </c:pt>
                <c:pt idx="27">
                  <c:v>0.42027754246624599</c:v>
                </c:pt>
                <c:pt idx="28">
                  <c:v>0.431866271448339</c:v>
                </c:pt>
                <c:pt idx="29">
                  <c:v>0.44322334019533099</c:v>
                </c:pt>
                <c:pt idx="30">
                  <c:v>0.454353379628747</c:v>
                </c:pt>
                <c:pt idx="31">
                  <c:v>0.465260928096147</c:v>
                </c:pt>
                <c:pt idx="32">
                  <c:v>0.47595043322036401</c:v>
                </c:pt>
                <c:pt idx="33">
                  <c:v>0.48642625371524301</c:v>
                </c:pt>
                <c:pt idx="34">
                  <c:v>0.49669266116605099</c:v>
                </c:pt>
                <c:pt idx="35">
                  <c:v>0.50675384176794003</c:v>
                </c:pt>
                <c:pt idx="36">
                  <c:v>0.51661389803235302</c:v>
                </c:pt>
                <c:pt idx="37">
                  <c:v>0.52627685046136596</c:v>
                </c:pt>
                <c:pt idx="38">
                  <c:v>0.53574663918653598</c:v>
                </c:pt>
                <c:pt idx="39">
                  <c:v>0.54502712557639099</c:v>
                </c:pt>
                <c:pt idx="40">
                  <c:v>0.55412209380987998</c:v>
                </c:pt>
                <c:pt idx="41">
                  <c:v>0.56303525241996499</c:v>
                </c:pt>
                <c:pt idx="42">
                  <c:v>0.57177023580437902</c:v>
                </c:pt>
                <c:pt idx="43">
                  <c:v>0.58033060570992601</c:v>
                </c:pt>
                <c:pt idx="44">
                  <c:v>0.58871985268377303</c:v>
                </c:pt>
                <c:pt idx="45">
                  <c:v>0.59694139749646302</c:v>
                </c:pt>
                <c:pt idx="46">
                  <c:v>0.60499859253564103</c:v>
                </c:pt>
                <c:pt idx="47">
                  <c:v>0.61289472317445604</c:v>
                </c:pt>
                <c:pt idx="48">
                  <c:v>0.62063300911241803</c:v>
                </c:pt>
                <c:pt idx="49">
                  <c:v>0.62821660568604998</c:v>
                </c:pt>
                <c:pt idx="50">
                  <c:v>0.62821660568604998</c:v>
                </c:pt>
                <c:pt idx="51">
                  <c:v>0.61565367827929096</c:v>
                </c:pt>
                <c:pt idx="52">
                  <c:v>0.60334615586338802</c:v>
                </c:pt>
                <c:pt idx="53">
                  <c:v>0.59128508306604199</c:v>
                </c:pt>
                <c:pt idx="54">
                  <c:v>0.57946537259299002</c:v>
                </c:pt>
                <c:pt idx="55">
                  <c:v>0.56788188837671705</c:v>
                </c:pt>
                <c:pt idx="56">
                  <c:v>0.55652989998320601</c:v>
                </c:pt>
                <c:pt idx="57">
                  <c:v>0.54540481758112702</c:v>
                </c:pt>
                <c:pt idx="58">
                  <c:v>0.53450212214827897</c:v>
                </c:pt>
                <c:pt idx="59">
                  <c:v>0.523817373928255</c:v>
                </c:pt>
                <c:pt idx="60">
                  <c:v>0.51334620880926496</c:v>
                </c:pt>
                <c:pt idx="61">
                  <c:v>0.503084349308908</c:v>
                </c:pt>
                <c:pt idx="62">
                  <c:v>0.493027618985033</c:v>
                </c:pt>
                <c:pt idx="63">
                  <c:v>0.483171926450565</c:v>
                </c:pt>
                <c:pt idx="64">
                  <c:v>0.47351325451638998</c:v>
                </c:pt>
                <c:pt idx="65">
                  <c:v>0.46404766230607503</c:v>
                </c:pt>
                <c:pt idx="66">
                  <c:v>0.45477128821020701</c:v>
                </c:pt>
                <c:pt idx="67">
                  <c:v>0.44568034942110701</c:v>
                </c:pt>
                <c:pt idx="68">
                  <c:v>0.43677113948417801</c:v>
                </c:pt>
                <c:pt idx="69">
                  <c:v>0.428040025932794</c:v>
                </c:pt>
                <c:pt idx="70">
                  <c:v>0.41948344862961801</c:v>
                </c:pt>
                <c:pt idx="71">
                  <c:v>0.411097918487837</c:v>
                </c:pt>
                <c:pt idx="72">
                  <c:v>0.402880016195719</c:v>
                </c:pt>
                <c:pt idx="73">
                  <c:v>0.39482639084645299</c:v>
                </c:pt>
                <c:pt idx="74">
                  <c:v>0.38693375853897899</c:v>
                </c:pt>
                <c:pt idx="75">
                  <c:v>0.379198901072265</c:v>
                </c:pt>
                <c:pt idx="76">
                  <c:v>0.37161866462538201</c:v>
                </c:pt>
                <c:pt idx="77">
                  <c:v>0.36418995825227601</c:v>
                </c:pt>
                <c:pt idx="78">
                  <c:v>0.35690975268338399</c:v>
                </c:pt>
                <c:pt idx="79">
                  <c:v>0.34977507929628299</c:v>
                </c:pt>
                <c:pt idx="80">
                  <c:v>0.34278302893603801</c:v>
                </c:pt>
                <c:pt idx="81">
                  <c:v>0.335930750614442</c:v>
                </c:pt>
                <c:pt idx="82">
                  <c:v>0.32921545027406501</c:v>
                </c:pt>
                <c:pt idx="83">
                  <c:v>0.32263438967826202</c:v>
                </c:pt>
                <c:pt idx="84">
                  <c:v>0.31618488534331701</c:v>
                </c:pt>
                <c:pt idx="85">
                  <c:v>0.30986430745196902</c:v>
                </c:pt>
                <c:pt idx="86">
                  <c:v>0.30367007875795698</c:v>
                </c:pt>
                <c:pt idx="87">
                  <c:v>0.29759967352371203</c:v>
                </c:pt>
                <c:pt idx="88">
                  <c:v>0.29165061649643897</c:v>
                </c:pt>
                <c:pt idx="89">
                  <c:v>0.28582048190721099</c:v>
                </c:pt>
                <c:pt idx="90">
                  <c:v>0.28010689248248899</c:v>
                </c:pt>
                <c:pt idx="91">
                  <c:v>0.27450751847080701</c:v>
                </c:pt>
                <c:pt idx="92">
                  <c:v>0.26902007669085498</c:v>
                </c:pt>
                <c:pt idx="93">
                  <c:v>0.26364232960117701</c:v>
                </c:pt>
                <c:pt idx="94">
                  <c:v>0.25837208439023501</c:v>
                </c:pt>
                <c:pt idx="95">
                  <c:v>0.25320719208158798</c:v>
                </c:pt>
                <c:pt idx="96">
                  <c:v>0.24814554665691699</c:v>
                </c:pt>
                <c:pt idx="97">
                  <c:v>0.24318508419705101</c:v>
                </c:pt>
                <c:pt idx="98">
                  <c:v>0.23832378204118701</c:v>
                </c:pt>
                <c:pt idx="99">
                  <c:v>0.233559657961563</c:v>
                </c:pt>
              </c:numCache>
            </c:numRef>
          </c:yVal>
          <c:smooth val="0"/>
          <c:extLst>
            <c:ext xmlns:c16="http://schemas.microsoft.com/office/drawing/2014/chart" uri="{C3380CC4-5D6E-409C-BE32-E72D297353CC}">
              <c16:uniqueId val="{0000000F-FAC9-4198-8F95-60BD4AA35DBC}"/>
            </c:ext>
          </c:extLst>
        </c:ser>
        <c:ser>
          <c:idx val="17"/>
          <c:order val="16"/>
          <c:tx>
            <c:strRef>
              <c:f>dynamicR!$EE$19</c:f>
              <c:strCache>
                <c:ptCount val="1"/>
                <c:pt idx="0">
                  <c:v>sdAS</c:v>
                </c:pt>
              </c:strCache>
            </c:strRef>
          </c:tx>
          <c:spPr>
            <a:ln w="19050" cap="rnd">
              <a:solidFill>
                <a:schemeClr val="accent6">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dynamicR!$EE$20:$EE$119</c:f>
              <c:numCache>
                <c:formatCode>0.00</c:formatCode>
                <c:ptCount val="100"/>
                <c:pt idx="0">
                  <c:v>0</c:v>
                </c:pt>
                <c:pt idx="1">
                  <c:v>1</c:v>
                </c:pt>
                <c:pt idx="2">
                  <c:v>0.999999999999996</c:v>
                </c:pt>
                <c:pt idx="3">
                  <c:v>0.999999999999995</c:v>
                </c:pt>
                <c:pt idx="4">
                  <c:v>0.999999999999999</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1</c:v>
                </c:pt>
                <c:pt idx="21">
                  <c:v>1</c:v>
                </c:pt>
                <c:pt idx="22">
                  <c:v>0.999999999999998</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-2.3058645651130599E-212</c:v>
                </c:pt>
                <c:pt idx="52">
                  <c:v>5.5548312883867497E-214</c:v>
                </c:pt>
                <c:pt idx="53">
                  <c:v>-1.88134240870688E-213</c:v>
                </c:pt>
                <c:pt idx="54">
                  <c:v>2.4739108515221002E-212</c:v>
                </c:pt>
                <c:pt idx="55">
                  <c:v>-1.55738971160012E-212</c:v>
                </c:pt>
                <c:pt idx="56">
                  <c:v>5.0773547324210397E-212</c:v>
                </c:pt>
                <c:pt idx="57">
                  <c:v>-1.4796656316936701E-212</c:v>
                </c:pt>
                <c:pt idx="58">
                  <c:v>2.7547753244679801E-213</c:v>
                </c:pt>
                <c:pt idx="59">
                  <c:v>1.6779254119623399E-214</c:v>
                </c:pt>
                <c:pt idx="60">
                  <c:v>-3.1135504554728499E-214</c:v>
                </c:pt>
                <c:pt idx="61">
                  <c:v>1.48210381900874E-214</c:v>
                </c:pt>
                <c:pt idx="62">
                  <c:v>3.68488681826867E-213</c:v>
                </c:pt>
                <c:pt idx="63">
                  <c:v>2.86185376529223E-213</c:v>
                </c:pt>
                <c:pt idx="64">
                  <c:v>-2.3199512568916399E-213</c:v>
                </c:pt>
                <c:pt idx="65">
                  <c:v>-5.3062008783196397E-214</c:v>
                </c:pt>
                <c:pt idx="66">
                  <c:v>3.7066471289221997E-213</c:v>
                </c:pt>
                <c:pt idx="67">
                  <c:v>-1.19813475973614E-213</c:v>
                </c:pt>
                <c:pt idx="68">
                  <c:v>-4.0682084135185799E-213</c:v>
                </c:pt>
                <c:pt idx="69">
                  <c:v>3.4847909167019699E-213</c:v>
                </c:pt>
                <c:pt idx="70">
                  <c:v>3.2473004773662999E-213</c:v>
                </c:pt>
                <c:pt idx="71">
                  <c:v>-5.9515402642673901E-213</c:v>
                </c:pt>
                <c:pt idx="72">
                  <c:v>-9.8878710789692203E-214</c:v>
                </c:pt>
                <c:pt idx="73">
                  <c:v>7.8662770788551699E-213</c:v>
                </c:pt>
                <c:pt idx="74">
                  <c:v>-2.7882677821716399E-213</c:v>
                </c:pt>
                <c:pt idx="75">
                  <c:v>-8.0467721728266698E-213</c:v>
                </c:pt>
                <c:pt idx="76">
                  <c:v>7.7738499817372894E-213</c:v>
                </c:pt>
                <c:pt idx="77">
                  <c:v>-5.5727368073405703E-213</c:v>
                </c:pt>
                <c:pt idx="78">
                  <c:v>2.1788153241365601E-213</c:v>
                </c:pt>
                <c:pt idx="79">
                  <c:v>-5.04199265466098E-214</c:v>
                </c:pt>
                <c:pt idx="80">
                  <c:v>4.7738321706385301E-215</c:v>
                </c:pt>
                <c:pt idx="81">
                  <c:v>2.8842466992917099E-220</c:v>
                </c:pt>
                <c:pt idx="82">
                  <c:v>-8.9552584437223599E-221</c:v>
                </c:pt>
                <c:pt idx="83">
                  <c:v>1.9056150460476099E-221</c:v>
                </c:pt>
                <c:pt idx="84">
                  <c:v>-2.4966389586810801E-222</c:v>
                </c:pt>
                <c:pt idx="85">
                  <c:v>1.48495423816636E-223</c:v>
                </c:pt>
                <c:pt idx="86">
                  <c:v>3.7896230866195198E-228</c:v>
                </c:pt>
                <c:pt idx="87">
                  <c:v>-7.8282989418958602E-229</c:v>
                </c:pt>
                <c:pt idx="88">
                  <c:v>1.1446081762362801E-229</c:v>
                </c:pt>
                <c:pt idx="89">
                  <c:v>-1.05557816311216E-230</c:v>
                </c:pt>
                <c:pt idx="90">
                  <c:v>4.5758519879450001E-232</c:v>
                </c:pt>
                <c:pt idx="91">
                  <c:v>3.3224028429604798E-236</c:v>
                </c:pt>
                <c:pt idx="92">
                  <c:v>-5.1558940542828601E-237</c:v>
                </c:pt>
                <c:pt idx="93">
                  <c:v>5.7524293321440599E-238</c:v>
                </c:pt>
                <c:pt idx="94">
                  <c:v>-4.1034176584666103E-239</c:v>
                </c:pt>
                <c:pt idx="95">
                  <c:v>1.39874155106559E-240</c:v>
                </c:pt>
                <c:pt idx="96">
                  <c:v>2.31139196726687E-244</c:v>
                </c:pt>
                <c:pt idx="97">
                  <c:v>-2.8781537704321202E-245</c:v>
                </c:pt>
                <c:pt idx="98">
                  <c:v>2.59857481226612E-246</c:v>
                </c:pt>
                <c:pt idx="99">
                  <c:v>-1.5126745727605201E-247</c:v>
                </c:pt>
              </c:numCache>
            </c:numRef>
          </c:yVal>
          <c:smooth val="0"/>
          <c:extLst>
            <c:ext xmlns:c16="http://schemas.microsoft.com/office/drawing/2014/chart" uri="{C3380CC4-5D6E-409C-BE32-E72D297353CC}">
              <c16:uniqueId val="{00000010-FAC9-4198-8F95-60BD4AA35DBC}"/>
            </c:ext>
          </c:extLst>
        </c:ser>
        <c:ser>
          <c:idx val="18"/>
          <c:order val="17"/>
          <c:tx>
            <c:strRef>
              <c:f>dynamicR!$EF$19</c:f>
              <c:strCache>
                <c:ptCount val="1"/>
                <c:pt idx="0">
                  <c:v>sdAA</c:v>
                </c:pt>
              </c:strCache>
            </c:strRef>
          </c:tx>
          <c:spPr>
            <a:ln w="19050" cap="rnd">
              <a:solidFill>
                <a:schemeClr val="accent1">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dynamicR!$EF$20:$EF$119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0.999999999999999</c:v>
                </c:pt>
                <c:pt idx="15">
                  <c:v>1</c:v>
                </c:pt>
                <c:pt idx="16">
                  <c:v>1</c:v>
                </c:pt>
                <c:pt idx="17">
                  <c:v>0.999999999999998</c:v>
                </c:pt>
                <c:pt idx="18">
                  <c:v>1</c:v>
                </c:pt>
                <c:pt idx="19">
                  <c:v>1</c:v>
                </c:pt>
                <c:pt idx="20">
                  <c:v>0.999999999999997</c:v>
                </c:pt>
                <c:pt idx="21">
                  <c:v>0.999999999999999</c:v>
                </c:pt>
                <c:pt idx="22">
                  <c:v>1.00000000000001</c:v>
                </c:pt>
                <c:pt idx="23">
                  <c:v>0.999999999999997</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0.999999999999999</c:v>
                </c:pt>
                <c:pt idx="49">
                  <c:v>1</c:v>
                </c:pt>
                <c:pt idx="50">
                  <c:v>1</c:v>
                </c:pt>
                <c:pt idx="51">
                  <c:v>2.3035503302631301E-13</c:v>
                </c:pt>
                <c:pt idx="52">
                  <c:v>-3.5939051819634503E-17</c:v>
                </c:pt>
                <c:pt idx="53">
                  <c:v>-1.2712712761095599E-14</c:v>
                </c:pt>
                <c:pt idx="54">
                  <c:v>-9.5245682882205804E-13</c:v>
                </c:pt>
                <c:pt idx="55">
                  <c:v>5.2034715041627205E-13</c:v>
                </c:pt>
                <c:pt idx="56">
                  <c:v>-1.78797980172139E-12</c:v>
                </c:pt>
                <c:pt idx="57">
                  <c:v>5.21194907209069E-13</c:v>
                </c:pt>
                <c:pt idx="58">
                  <c:v>-9.7651614259519302E-14</c:v>
                </c:pt>
                <c:pt idx="59">
                  <c:v>-5.9485678218409496E-15</c:v>
                </c:pt>
                <c:pt idx="60">
                  <c:v>1.10376025685563E-14</c:v>
                </c:pt>
                <c:pt idx="61">
                  <c:v>-5.2529865336909997E-15</c:v>
                </c:pt>
                <c:pt idx="62">
                  <c:v>-1.3062430102741301E-13</c:v>
                </c:pt>
                <c:pt idx="63">
                  <c:v>-1.0144862288207801E-13</c:v>
                </c:pt>
                <c:pt idx="64">
                  <c:v>8.2239949633019895E-14</c:v>
                </c:pt>
                <c:pt idx="65">
                  <c:v>1.88095992397911E-14</c:v>
                </c:pt>
                <c:pt idx="66">
                  <c:v>-1.3139630535663801E-13</c:v>
                </c:pt>
                <c:pt idx="67">
                  <c:v>4.24727181695845E-14</c:v>
                </c:pt>
                <c:pt idx="68">
                  <c:v>1.4421300037548301E-13</c:v>
                </c:pt>
                <c:pt idx="69">
                  <c:v>-1.2353181973398301E-13</c:v>
                </c:pt>
                <c:pt idx="70">
                  <c:v>-1.1511269251238199E-13</c:v>
                </c:pt>
                <c:pt idx="71">
                  <c:v>2.1097486634154499E-13</c:v>
                </c:pt>
                <c:pt idx="72">
                  <c:v>3.5051195167089202E-14</c:v>
                </c:pt>
                <c:pt idx="73">
                  <c:v>-2.7884971298460698E-13</c:v>
                </c:pt>
                <c:pt idx="74">
                  <c:v>9.8840500265655104E-14</c:v>
                </c:pt>
                <c:pt idx="75">
                  <c:v>2.85247949121784E-13</c:v>
                </c:pt>
                <c:pt idx="76">
                  <c:v>-2.75572920139611E-13</c:v>
                </c:pt>
                <c:pt idx="77">
                  <c:v>1.97545685984517E-13</c:v>
                </c:pt>
                <c:pt idx="78">
                  <c:v>-7.7235112916742595E-14</c:v>
                </c:pt>
                <c:pt idx="79">
                  <c:v>1.7872291103356601E-14</c:v>
                </c:pt>
                <c:pt idx="80">
                  <c:v>-1.69171352721586E-15</c:v>
                </c:pt>
                <c:pt idx="81">
                  <c:v>-2.4647240144800601E-19</c:v>
                </c:pt>
                <c:pt idx="82">
                  <c:v>7.6525072603118504E-20</c:v>
                </c:pt>
                <c:pt idx="83">
                  <c:v>-1.6282885413168501E-20</c:v>
                </c:pt>
                <c:pt idx="84">
                  <c:v>2.13274435997148E-21</c:v>
                </c:pt>
                <c:pt idx="85">
                  <c:v>-1.2662175014835201E-22</c:v>
                </c:pt>
                <c:pt idx="86">
                  <c:v>-7.8939218046808699E-26</c:v>
                </c:pt>
                <c:pt idx="87">
                  <c:v>1.6273761879979599E-26</c:v>
                </c:pt>
                <c:pt idx="88">
                  <c:v>-2.3788315285192601E-27</c:v>
                </c:pt>
                <c:pt idx="89">
                  <c:v>2.1915701600635401E-28</c:v>
                </c:pt>
                <c:pt idx="90">
                  <c:v>-9.4335930537861495E-30</c:v>
                </c:pt>
                <c:pt idx="91">
                  <c:v>-1.6949386250666199E-32</c:v>
                </c:pt>
                <c:pt idx="92">
                  <c:v>2.6269828621188398E-33</c:v>
                </c:pt>
                <c:pt idx="93">
                  <c:v>-2.9287196915146502E-34</c:v>
                </c:pt>
                <c:pt idx="94">
                  <c:v>2.08302952069447E-35</c:v>
                </c:pt>
                <c:pt idx="95">
                  <c:v>-6.9564185233812501E-37</c:v>
                </c:pt>
                <c:pt idx="96">
                  <c:v>-2.9088003192405501E-39</c:v>
                </c:pt>
                <c:pt idx="97">
                  <c:v>3.6161267506197301E-40</c:v>
                </c:pt>
                <c:pt idx="98">
                  <c:v>-3.2590178562165998E-41</c:v>
                </c:pt>
                <c:pt idx="99">
                  <c:v>1.8838149747188501E-42</c:v>
                </c:pt>
              </c:numCache>
            </c:numRef>
          </c:yVal>
          <c:smooth val="0"/>
          <c:extLst>
            <c:ext xmlns:c16="http://schemas.microsoft.com/office/drawing/2014/chart" uri="{C3380CC4-5D6E-409C-BE32-E72D297353CC}">
              <c16:uniqueId val="{00000011-FAC9-4198-8F95-60BD4AA35DBC}"/>
            </c:ext>
          </c:extLst>
        </c:ser>
        <c:ser>
          <c:idx val="19"/>
          <c:order val="18"/>
          <c:tx>
            <c:strRef>
              <c:f>dynamicR!$EG$19</c:f>
              <c:strCache>
                <c:ptCount val="1"/>
                <c:pt idx="0">
                  <c:v>sdAP</c:v>
                </c:pt>
              </c:strCache>
            </c:strRef>
          </c:tx>
          <c:spPr>
            <a:ln w="19050" cap="rnd">
              <a:solidFill>
                <a:schemeClr val="accent2">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dynamicR!$EG$20:$EG$119</c:f>
              <c:numCache>
                <c:formatCode>0.00</c:formatCode>
                <c:ptCount val="100"/>
                <c:pt idx="0">
                  <c:v>0</c:v>
                </c:pt>
                <c:pt idx="1">
                  <c:v>0.99999999999969102</c:v>
                </c:pt>
                <c:pt idx="2">
                  <c:v>0.99999999999906997</c:v>
                </c:pt>
                <c:pt idx="3">
                  <c:v>0.99999999999784495</c:v>
                </c:pt>
                <c:pt idx="4">
                  <c:v>0.99999999999976896</c:v>
                </c:pt>
                <c:pt idx="5">
                  <c:v>1.00000000000006</c:v>
                </c:pt>
                <c:pt idx="6">
                  <c:v>1.00000000000004</c:v>
                </c:pt>
                <c:pt idx="7">
                  <c:v>1.00000000000002</c:v>
                </c:pt>
                <c:pt idx="8">
                  <c:v>1</c:v>
                </c:pt>
                <c:pt idx="9">
                  <c:v>1</c:v>
                </c:pt>
                <c:pt idx="10">
                  <c:v>1.00000000000001</c:v>
                </c:pt>
                <c:pt idx="11">
                  <c:v>1.00000000000001</c:v>
                </c:pt>
                <c:pt idx="12">
                  <c:v>1.00000000000001</c:v>
                </c:pt>
                <c:pt idx="13">
                  <c:v>1.00000000000001</c:v>
                </c:pt>
                <c:pt idx="14">
                  <c:v>0.999999999999996</c:v>
                </c:pt>
                <c:pt idx="15">
                  <c:v>0.99999999999999201</c:v>
                </c:pt>
                <c:pt idx="16">
                  <c:v>1</c:v>
                </c:pt>
                <c:pt idx="17">
                  <c:v>1</c:v>
                </c:pt>
                <c:pt idx="18">
                  <c:v>0.99999999999999101</c:v>
                </c:pt>
                <c:pt idx="19">
                  <c:v>1.00000000000001</c:v>
                </c:pt>
                <c:pt idx="20">
                  <c:v>1.00000000000001</c:v>
                </c:pt>
                <c:pt idx="21">
                  <c:v>0.99999999999998002</c:v>
                </c:pt>
                <c:pt idx="22">
                  <c:v>1</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-3.8061803590414397E-8</c:v>
                </c:pt>
                <c:pt idx="52">
                  <c:v>5.5593985426911903E-12</c:v>
                </c:pt>
                <c:pt idx="53">
                  <c:v>2.1026998486078998E-9</c:v>
                </c:pt>
                <c:pt idx="54">
                  <c:v>1.57423905727532E-7</c:v>
                </c:pt>
                <c:pt idx="55">
                  <c:v>-8.6002569855883003E-8</c:v>
                </c:pt>
                <c:pt idx="56">
                  <c:v>2.95517783715003E-7</c:v>
                </c:pt>
                <c:pt idx="57">
                  <c:v>-8.6143237438154598E-8</c:v>
                </c:pt>
                <c:pt idx="58">
                  <c:v>1.61398976937641E-8</c:v>
                </c:pt>
                <c:pt idx="59">
                  <c:v>9.8318165862374503E-10</c:v>
                </c:pt>
                <c:pt idx="60">
                  <c:v>-1.82429934822025E-9</c:v>
                </c:pt>
                <c:pt idx="61">
                  <c:v>8.6821570618261105E-10</c:v>
                </c:pt>
                <c:pt idx="62">
                  <c:v>2.1589636493969001E-8</c:v>
                </c:pt>
                <c:pt idx="63">
                  <c:v>1.67674687910912E-8</c:v>
                </c:pt>
                <c:pt idx="64">
                  <c:v>-1.3592651626842E-8</c:v>
                </c:pt>
                <c:pt idx="65">
                  <c:v>-3.10885805313256E-9</c:v>
                </c:pt>
                <c:pt idx="66">
                  <c:v>2.1717233676975201E-8</c:v>
                </c:pt>
                <c:pt idx="67">
                  <c:v>-7.0199077735112504E-9</c:v>
                </c:pt>
                <c:pt idx="68">
                  <c:v>-2.3835582133835102E-8</c:v>
                </c:pt>
                <c:pt idx="69">
                  <c:v>2.0417388361239099E-8</c:v>
                </c:pt>
                <c:pt idx="70">
                  <c:v>1.9025871661256099E-8</c:v>
                </c:pt>
                <c:pt idx="71">
                  <c:v>-3.4870009928053502E-8</c:v>
                </c:pt>
                <c:pt idx="72">
                  <c:v>-5.7932754961821002E-9</c:v>
                </c:pt>
                <c:pt idx="73">
                  <c:v>4.6088391611865702E-8</c:v>
                </c:pt>
                <c:pt idx="74">
                  <c:v>-1.63363972462218E-8</c:v>
                </c:pt>
                <c:pt idx="75">
                  <c:v>-4.7145894628761798E-8</c:v>
                </c:pt>
                <c:pt idx="76">
                  <c:v>4.5546801985167799E-8</c:v>
                </c:pt>
                <c:pt idx="77">
                  <c:v>-3.2650429650229599E-8</c:v>
                </c:pt>
                <c:pt idx="78">
                  <c:v>1.27654502208248E-8</c:v>
                </c:pt>
                <c:pt idx="79">
                  <c:v>-2.9539393908333901E-9</c:v>
                </c:pt>
                <c:pt idx="80">
                  <c:v>2.7960708537071802E-10</c:v>
                </c:pt>
                <c:pt idx="81">
                  <c:v>4.0737105494054802E-14</c:v>
                </c:pt>
                <c:pt idx="82">
                  <c:v>-1.2648109628477601E-14</c:v>
                </c:pt>
                <c:pt idx="83">
                  <c:v>2.6912450093291801E-15</c:v>
                </c:pt>
                <c:pt idx="84">
                  <c:v>-3.5250126102699699E-16</c:v>
                </c:pt>
                <c:pt idx="85">
                  <c:v>2.09281187998344E-17</c:v>
                </c:pt>
                <c:pt idx="86">
                  <c:v>1.30470904268857E-20</c:v>
                </c:pt>
                <c:pt idx="87">
                  <c:v>-2.6897410654372699E-21</c:v>
                </c:pt>
                <c:pt idx="88">
                  <c:v>3.9317528217276698E-22</c:v>
                </c:pt>
                <c:pt idx="89">
                  <c:v>-3.6222456728041201E-23</c:v>
                </c:pt>
                <c:pt idx="90">
                  <c:v>1.55919222400148E-24</c:v>
                </c:pt>
                <c:pt idx="91">
                  <c:v>2.80141633239137E-27</c:v>
                </c:pt>
                <c:pt idx="92">
                  <c:v>-4.3419064632611504E-28</c:v>
                </c:pt>
                <c:pt idx="93">
                  <c:v>4.8406204193869302E-29</c:v>
                </c:pt>
                <c:pt idx="94">
                  <c:v>-3.4428544982902798E-30</c:v>
                </c:pt>
                <c:pt idx="95">
                  <c:v>1.14976463426106E-31</c:v>
                </c:pt>
                <c:pt idx="96">
                  <c:v>4.8077085620730297E-34</c:v>
                </c:pt>
                <c:pt idx="97">
                  <c:v>-5.9767848509324705E-35</c:v>
                </c:pt>
                <c:pt idx="98">
                  <c:v>5.3865502601298599E-36</c:v>
                </c:pt>
                <c:pt idx="99">
                  <c:v>-3.1135957842976199E-37</c:v>
                </c:pt>
              </c:numCache>
            </c:numRef>
          </c:yVal>
          <c:smooth val="0"/>
          <c:extLst>
            <c:ext xmlns:c16="http://schemas.microsoft.com/office/drawing/2014/chart" uri="{C3380CC4-5D6E-409C-BE32-E72D297353CC}">
              <c16:uniqueId val="{00000012-FAC9-4198-8F95-60BD4AA35DBC}"/>
            </c:ext>
          </c:extLst>
        </c:ser>
        <c:ser>
          <c:idx val="20"/>
          <c:order val="19"/>
          <c:tx>
            <c:strRef>
              <c:f>dynamicR!$EH$19</c:f>
              <c:strCache>
                <c:ptCount val="1"/>
                <c:pt idx="0">
                  <c:v>sAD</c:v>
                </c:pt>
              </c:strCache>
            </c:strRef>
          </c:tx>
          <c:spPr>
            <a:ln w="19050" cap="rnd">
              <a:solidFill>
                <a:schemeClr val="accent3">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dynamicR!$EH$20:$EH$119</c:f>
              <c:numCache>
                <c:formatCode>0.00</c:formatCode>
                <c:ptCount val="100"/>
                <c:pt idx="0">
                  <c:v>0</c:v>
                </c:pt>
                <c:pt idx="1">
                  <c:v>0.99999999999986999</c:v>
                </c:pt>
                <c:pt idx="2">
                  <c:v>0.99999999999988198</c:v>
                </c:pt>
                <c:pt idx="3">
                  <c:v>0.99999999999988398</c:v>
                </c:pt>
                <c:pt idx="4">
                  <c:v>0.99999999999988898</c:v>
                </c:pt>
                <c:pt idx="5">
                  <c:v>0.99999999999989198</c:v>
                </c:pt>
                <c:pt idx="6">
                  <c:v>0.99999999999989397</c:v>
                </c:pt>
                <c:pt idx="7">
                  <c:v>0.99999999999989597</c:v>
                </c:pt>
                <c:pt idx="8">
                  <c:v>0.99999999999989897</c:v>
                </c:pt>
                <c:pt idx="9">
                  <c:v>0.99999999999989997</c:v>
                </c:pt>
                <c:pt idx="10">
                  <c:v>0.99999999999990197</c:v>
                </c:pt>
                <c:pt idx="11">
                  <c:v>0.99999999999990297</c:v>
                </c:pt>
                <c:pt idx="12">
                  <c:v>0.99999999999990696</c:v>
                </c:pt>
                <c:pt idx="13">
                  <c:v>0.99999999999990796</c:v>
                </c:pt>
                <c:pt idx="14">
                  <c:v>0.99999999999990796</c:v>
                </c:pt>
                <c:pt idx="15">
                  <c:v>0.99999999999991296</c:v>
                </c:pt>
                <c:pt idx="16">
                  <c:v>0.99999999999991496</c:v>
                </c:pt>
                <c:pt idx="17">
                  <c:v>0.99999999999991196</c:v>
                </c:pt>
                <c:pt idx="18">
                  <c:v>0.99999999999991596</c:v>
                </c:pt>
                <c:pt idx="19">
                  <c:v>0.99999999999992395</c:v>
                </c:pt>
                <c:pt idx="20">
                  <c:v>0.99999999999991496</c:v>
                </c:pt>
                <c:pt idx="21">
                  <c:v>0.99999999999991596</c:v>
                </c:pt>
                <c:pt idx="22">
                  <c:v>0.99999999999993505</c:v>
                </c:pt>
                <c:pt idx="23">
                  <c:v>0.99999999999991795</c:v>
                </c:pt>
                <c:pt idx="24">
                  <c:v>0.99999999999992994</c:v>
                </c:pt>
                <c:pt idx="25">
                  <c:v>0.99999999999992595</c:v>
                </c:pt>
                <c:pt idx="26">
                  <c:v>0.99999999999992895</c:v>
                </c:pt>
                <c:pt idx="27">
                  <c:v>0.99999999999993106</c:v>
                </c:pt>
                <c:pt idx="28">
                  <c:v>0.99999999999993205</c:v>
                </c:pt>
                <c:pt idx="29">
                  <c:v>0.99999999999993405</c:v>
                </c:pt>
                <c:pt idx="30">
                  <c:v>0.99999999999993505</c:v>
                </c:pt>
                <c:pt idx="31">
                  <c:v>0.99999999999993605</c:v>
                </c:pt>
                <c:pt idx="32">
                  <c:v>0.99999999999993705</c:v>
                </c:pt>
                <c:pt idx="33">
                  <c:v>0.99999999999993905</c:v>
                </c:pt>
                <c:pt idx="34">
                  <c:v>0.99999999999994005</c:v>
                </c:pt>
                <c:pt idx="35">
                  <c:v>0.99999999999994105</c:v>
                </c:pt>
                <c:pt idx="36">
                  <c:v>0.99999999999994305</c:v>
                </c:pt>
                <c:pt idx="37">
                  <c:v>0.99999999999994305</c:v>
                </c:pt>
                <c:pt idx="38">
                  <c:v>0.99999999999994504</c:v>
                </c:pt>
                <c:pt idx="39">
                  <c:v>0.99999999999994604</c:v>
                </c:pt>
                <c:pt idx="40">
                  <c:v>0.99999999999994604</c:v>
                </c:pt>
                <c:pt idx="41">
                  <c:v>0.99999999999994804</c:v>
                </c:pt>
                <c:pt idx="42">
                  <c:v>0.99999999999994904</c:v>
                </c:pt>
                <c:pt idx="43">
                  <c:v>0.99999999999995004</c:v>
                </c:pt>
                <c:pt idx="44">
                  <c:v>0.99999999999995104</c:v>
                </c:pt>
                <c:pt idx="45">
                  <c:v>0.99999999999995204</c:v>
                </c:pt>
                <c:pt idx="46">
                  <c:v>0.99999999999995304</c:v>
                </c:pt>
                <c:pt idx="47">
                  <c:v>0.99999999999995404</c:v>
                </c:pt>
                <c:pt idx="48">
                  <c:v>0.99999999999995504</c:v>
                </c:pt>
                <c:pt idx="49">
                  <c:v>0.99999999999995604</c:v>
                </c:pt>
                <c:pt idx="50">
                  <c:v>0.99999999999995604</c:v>
                </c:pt>
                <c:pt idx="51">
                  <c:v>7.3918737443165695E-14</c:v>
                </c:pt>
                <c:pt idx="52">
                  <c:v>7.2441010051829297E-14</c:v>
                </c:pt>
                <c:pt idx="53">
                  <c:v>7.0992894264993605E-14</c:v>
                </c:pt>
                <c:pt idx="54">
                  <c:v>6.9573733743514205E-14</c:v>
                </c:pt>
                <c:pt idx="55">
                  <c:v>6.8182991145246197E-14</c:v>
                </c:pt>
                <c:pt idx="56">
                  <c:v>6.6819955116769502E-14</c:v>
                </c:pt>
                <c:pt idx="57">
                  <c:v>6.5484271491625295E-14</c:v>
                </c:pt>
                <c:pt idx="58">
                  <c:v>6.4175220336249802E-14</c:v>
                </c:pt>
                <c:pt idx="59">
                  <c:v>6.2892353642512096E-14</c:v>
                </c:pt>
                <c:pt idx="60">
                  <c:v>6.1635129199072397E-14</c:v>
                </c:pt>
                <c:pt idx="61">
                  <c:v>6.0403034339327404E-14</c:v>
                </c:pt>
                <c:pt idx="62">
                  <c:v>5.9195565843768805E-14</c:v>
                </c:pt>
                <c:pt idx="63">
                  <c:v>5.8012238648156403E-14</c:v>
                </c:pt>
                <c:pt idx="64">
                  <c:v>5.6852570413828198E-14</c:v>
                </c:pt>
                <c:pt idx="65">
                  <c:v>5.5716078605390502E-14</c:v>
                </c:pt>
                <c:pt idx="66">
                  <c:v>5.4602303337218597E-14</c:v>
                </c:pt>
                <c:pt idx="67">
                  <c:v>5.35108000016151E-14</c:v>
                </c:pt>
                <c:pt idx="68">
                  <c:v>5.2441114323412697E-14</c:v>
                </c:pt>
                <c:pt idx="69">
                  <c:v>5.1392803247477602E-14</c:v>
                </c:pt>
                <c:pt idx="70">
                  <c:v>5.03654543887448E-14</c:v>
                </c:pt>
                <c:pt idx="71">
                  <c:v>4.9358649780939398E-14</c:v>
                </c:pt>
                <c:pt idx="72">
                  <c:v>4.8371959773837397E-14</c:v>
                </c:pt>
                <c:pt idx="73">
                  <c:v>4.7404990535450803E-14</c:v>
                </c:pt>
                <c:pt idx="74">
                  <c:v>4.64573671132104E-14</c:v>
                </c:pt>
                <c:pt idx="75">
                  <c:v>4.5528682537036903E-14</c:v>
                </c:pt>
                <c:pt idx="76">
                  <c:v>4.4618545186506503E-14</c:v>
                </c:pt>
                <c:pt idx="77">
                  <c:v>4.3726625435128798E-14</c:v>
                </c:pt>
                <c:pt idx="78">
                  <c:v>4.2852518109296902E-14</c:v>
                </c:pt>
                <c:pt idx="79">
                  <c:v>4.1995892728363799E-14</c:v>
                </c:pt>
                <c:pt idx="80">
                  <c:v>4.1156388820112998E-14</c:v>
                </c:pt>
                <c:pt idx="81">
                  <c:v>4.0333667163401902E-14</c:v>
                </c:pt>
                <c:pt idx="82">
                  <c:v>3.9527391801939701E-14</c:v>
                </c:pt>
                <c:pt idx="83">
                  <c:v>3.8737233986360002E-14</c:v>
                </c:pt>
                <c:pt idx="84">
                  <c:v>3.7962871530162097E-14</c:v>
                </c:pt>
                <c:pt idx="85">
                  <c:v>3.7203988681502297E-14</c:v>
                </c:pt>
                <c:pt idx="86">
                  <c:v>3.64602760024975E-14</c:v>
                </c:pt>
                <c:pt idx="87">
                  <c:v>3.5731430239383298E-14</c:v>
                </c:pt>
                <c:pt idx="88">
                  <c:v>3.5017154199886101E-14</c:v>
                </c:pt>
                <c:pt idx="89">
                  <c:v>3.4317156633038498E-14</c:v>
                </c:pt>
                <c:pt idx="90">
                  <c:v>3.3631152110491101E-14</c:v>
                </c:pt>
                <c:pt idx="91">
                  <c:v>3.2958860909651801E-14</c:v>
                </c:pt>
                <c:pt idx="92">
                  <c:v>3.2300008899394401E-14</c:v>
                </c:pt>
                <c:pt idx="93">
                  <c:v>3.1654327428361001E-14</c:v>
                </c:pt>
                <c:pt idx="94">
                  <c:v>3.1021553215709699E-14</c:v>
                </c:pt>
                <c:pt idx="95">
                  <c:v>3.0401428243678702E-14</c:v>
                </c:pt>
                <c:pt idx="96">
                  <c:v>2.9793699652290599E-14</c:v>
                </c:pt>
                <c:pt idx="97">
                  <c:v>2.9198119636220298E-14</c:v>
                </c:pt>
                <c:pt idx="98">
                  <c:v>2.8614445343845901E-14</c:v>
                </c:pt>
                <c:pt idx="99">
                  <c:v>2.8042438778155601E-14</c:v>
                </c:pt>
              </c:numCache>
            </c:numRef>
          </c:yVal>
          <c:smooth val="0"/>
          <c:extLst>
            <c:ext xmlns:c16="http://schemas.microsoft.com/office/drawing/2014/chart" uri="{C3380CC4-5D6E-409C-BE32-E72D297353CC}">
              <c16:uniqueId val="{00000013-FAC9-4198-8F95-60BD4AA35DBC}"/>
            </c:ext>
          </c:extLst>
        </c:ser>
        <c:ser>
          <c:idx val="21"/>
          <c:order val="20"/>
          <c:tx>
            <c:strRef>
              <c:f>dynamicR!$EI$19</c:f>
              <c:strCache>
                <c:ptCount val="1"/>
                <c:pt idx="0">
                  <c:v>sAS</c:v>
                </c:pt>
              </c:strCache>
            </c:strRef>
          </c:tx>
          <c:spPr>
            <a:ln w="19050" cap="rnd">
              <a:solidFill>
                <a:schemeClr val="accent4">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dynamicR!$EI$20:$EI$119</c:f>
              <c:numCache>
                <c:formatCode>0.00</c:formatCode>
                <c:ptCount val="100"/>
                <c:pt idx="0">
                  <c:v>0</c:v>
                </c:pt>
                <c:pt idx="1">
                  <c:v>1</c:v>
                </c:pt>
                <c:pt idx="2">
                  <c:v>0.999999999999996</c:v>
                </c:pt>
                <c:pt idx="3">
                  <c:v>0.999999999999995</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-3.0961870941200002E-212</c:v>
                </c:pt>
                <c:pt idx="52">
                  <c:v>7.4587179973694395E-214</c:v>
                </c:pt>
                <c:pt idx="53">
                  <c:v>-2.5261618812886302E-213</c:v>
                </c:pt>
                <c:pt idx="54">
                  <c:v>3.3218302604488002E-212</c:v>
                </c:pt>
                <c:pt idx="55">
                  <c:v>-2.0911765385827501E-212</c:v>
                </c:pt>
                <c:pt idx="56">
                  <c:v>6.81759028926502E-212</c:v>
                </c:pt>
                <c:pt idx="57">
                  <c:v>-1.9868129273794399E-212</c:v>
                </c:pt>
                <c:pt idx="58">
                  <c:v>3.6989594651042898E-213</c:v>
                </c:pt>
                <c:pt idx="59">
                  <c:v>2.2530252581012801E-214</c:v>
                </c:pt>
                <c:pt idx="60">
                  <c:v>-4.1807029174891898E-214</c:v>
                </c:pt>
                <c:pt idx="61">
                  <c:v>1.99008664136488E-214</c:v>
                </c:pt>
                <c:pt idx="62">
                  <c:v>4.9478616086410402E-213</c:v>
                </c:pt>
                <c:pt idx="63">
                  <c:v>3.8427384765749599E-213</c:v>
                </c:pt>
                <c:pt idx="64">
                  <c:v>-3.1151018671465002E-213</c:v>
                </c:pt>
                <c:pt idx="65">
                  <c:v>-7.1248721599446704E-214</c:v>
                </c:pt>
                <c:pt idx="66">
                  <c:v>4.9770801575624402E-213</c:v>
                </c:pt>
                <c:pt idx="67">
                  <c:v>-1.6087888992221201E-213</c:v>
                </c:pt>
                <c:pt idx="68">
                  <c:v>-5.4625645908062902E-213</c:v>
                </c:pt>
                <c:pt idx="69">
                  <c:v>4.6791839431651298E-213</c:v>
                </c:pt>
                <c:pt idx="70">
                  <c:v>4.3602949483470498E-213</c:v>
                </c:pt>
                <c:pt idx="71">
                  <c:v>-7.9913981311510706E-213</c:v>
                </c:pt>
                <c:pt idx="72">
                  <c:v>-1.32768847792239E-213</c:v>
                </c:pt>
                <c:pt idx="73">
                  <c:v>1.05624005098612E-212</c:v>
                </c:pt>
                <c:pt idx="74">
                  <c:v>-3.7439313075593902E-213</c:v>
                </c:pt>
                <c:pt idx="75">
                  <c:v>-1.08047593081307E-212</c:v>
                </c:pt>
                <c:pt idx="76">
                  <c:v>1.04382945248238E-212</c:v>
                </c:pt>
                <c:pt idx="77">
                  <c:v>-7.4827618436637296E-213</c:v>
                </c:pt>
                <c:pt idx="78">
                  <c:v>2.9255923358266599E-213</c:v>
                </c:pt>
                <c:pt idx="79">
                  <c:v>-6.7701078902228397E-214</c:v>
                </c:pt>
                <c:pt idx="80">
                  <c:v>6.4100360873015105E-215</c:v>
                </c:pt>
                <c:pt idx="81">
                  <c:v>3.9132317014385498E-220</c:v>
                </c:pt>
                <c:pt idx="82">
                  <c:v>-1.21501395350064E-220</c:v>
                </c:pt>
                <c:pt idx="83">
                  <c:v>2.5854627160061102E-221</c:v>
                </c:pt>
                <c:pt idx="84">
                  <c:v>-3.3873392603347101E-222</c:v>
                </c:pt>
                <c:pt idx="85">
                  <c:v>2.0147228992167998E-223</c:v>
                </c:pt>
                <c:pt idx="86">
                  <c:v>5.1987729061539E-228</c:v>
                </c:pt>
                <c:pt idx="87">
                  <c:v>-1.0711254343546199E-228</c:v>
                </c:pt>
                <c:pt idx="88">
                  <c:v>1.5661369584590501E-229</c:v>
                </c:pt>
                <c:pt idx="89">
                  <c:v>-1.44431872878097E-230</c:v>
                </c:pt>
                <c:pt idx="90">
                  <c:v>6.2610000855949703E-232</c:v>
                </c:pt>
                <c:pt idx="91">
                  <c:v>4.5754791285559798E-236</c:v>
                </c:pt>
                <c:pt idx="92">
                  <c:v>-7.1042635092283695E-237</c:v>
                </c:pt>
                <c:pt idx="93">
                  <c:v>7.9262235648050999E-238</c:v>
                </c:pt>
                <c:pt idx="94">
                  <c:v>-5.6540579917797396E-239</c:v>
                </c:pt>
                <c:pt idx="95">
                  <c:v>1.9272945010617601E-240</c:v>
                </c:pt>
                <c:pt idx="96">
                  <c:v>3.2060248034903503E-244</c:v>
                </c:pt>
                <c:pt idx="97">
                  <c:v>-3.9892393516946503E-245</c:v>
                </c:pt>
                <c:pt idx="98">
                  <c:v>3.6017319342407902E-246</c:v>
                </c:pt>
                <c:pt idx="99">
                  <c:v>-2.0966275475788E-247</c:v>
                </c:pt>
              </c:numCache>
            </c:numRef>
          </c:yVal>
          <c:smooth val="0"/>
          <c:extLst>
            <c:ext xmlns:c16="http://schemas.microsoft.com/office/drawing/2014/chart" uri="{C3380CC4-5D6E-409C-BE32-E72D297353CC}">
              <c16:uniqueId val="{00000014-FAC9-4198-8F95-60BD4AA35DBC}"/>
            </c:ext>
          </c:extLst>
        </c:ser>
        <c:ser>
          <c:idx val="22"/>
          <c:order val="21"/>
          <c:tx>
            <c:strRef>
              <c:f>dynamicR!$EJ$19</c:f>
              <c:strCache>
                <c:ptCount val="1"/>
                <c:pt idx="0">
                  <c:v>sAA</c:v>
                </c:pt>
              </c:strCache>
            </c:strRef>
          </c:tx>
          <c:spPr>
            <a:ln w="19050" cap="rnd">
              <a:solidFill>
                <a:schemeClr val="accent5">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dynamicR!$EJ$20:$EJ$119</c:f>
              <c:numCache>
                <c:formatCode>0.00</c:formatCode>
                <c:ptCount val="100"/>
                <c:pt idx="0">
                  <c:v>0</c:v>
                </c:pt>
                <c:pt idx="1">
                  <c:v>1</c:v>
                </c:pt>
                <c:pt idx="2">
                  <c:v>0.999999999999996</c:v>
                </c:pt>
                <c:pt idx="3">
                  <c:v>0.999999999999995</c:v>
                </c:pt>
                <c:pt idx="4">
                  <c:v>1</c:v>
                </c:pt>
                <c:pt idx="5">
                  <c:v>1</c:v>
                </c:pt>
                <c:pt idx="6">
                  <c:v>1</c:v>
                </c:pt>
                <c:pt idx="7">
                  <c:v>1</c:v>
                </c:pt>
                <c:pt idx="8">
                  <c:v>1</c:v>
                </c:pt>
                <c:pt idx="9">
                  <c:v>1</c:v>
                </c:pt>
                <c:pt idx="10">
                  <c:v>1</c:v>
                </c:pt>
                <c:pt idx="11">
                  <c:v>1</c:v>
                </c:pt>
                <c:pt idx="12">
                  <c:v>1</c:v>
                </c:pt>
                <c:pt idx="13">
                  <c:v>1</c:v>
                </c:pt>
                <c:pt idx="14">
                  <c:v>0.999999999999999</c:v>
                </c:pt>
                <c:pt idx="15">
                  <c:v>1</c:v>
                </c:pt>
                <c:pt idx="16">
                  <c:v>1</c:v>
                </c:pt>
                <c:pt idx="17">
                  <c:v>0.999999999999998</c:v>
                </c:pt>
                <c:pt idx="18">
                  <c:v>1</c:v>
                </c:pt>
                <c:pt idx="19">
                  <c:v>1</c:v>
                </c:pt>
                <c:pt idx="20">
                  <c:v>0.999999999999996</c:v>
                </c:pt>
                <c:pt idx="21">
                  <c:v>0.999999999999997</c:v>
                </c:pt>
                <c:pt idx="22">
                  <c:v>1.00000000000001</c:v>
                </c:pt>
                <c:pt idx="23">
                  <c:v>0.999999999999995</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7.8824432447788004E-89</c:v>
                </c:pt>
                <c:pt idx="52">
                  <c:v>-1.8988949665403799E-90</c:v>
                </c:pt>
                <c:pt idx="53">
                  <c:v>6.4311502210202797E-90</c:v>
                </c:pt>
                <c:pt idx="54">
                  <c:v>-8.4569027788748595E-89</c:v>
                </c:pt>
                <c:pt idx="55">
                  <c:v>5.3238195190523402E-89</c:v>
                </c:pt>
                <c:pt idx="56">
                  <c:v>-1.7356547289999401E-88</c:v>
                </c:pt>
                <c:pt idx="57">
                  <c:v>5.0581044005571297E-89</c:v>
                </c:pt>
                <c:pt idx="58">
                  <c:v>-9.41684527433526E-90</c:v>
                </c:pt>
                <c:pt idx="59">
                  <c:v>-5.7363651177299101E-91</c:v>
                </c:pt>
                <c:pt idx="60">
                  <c:v>1.06438776588421E-90</c:v>
                </c:pt>
                <c:pt idx="61">
                  <c:v>-5.0656427307479098E-91</c:v>
                </c:pt>
                <c:pt idx="62">
                  <c:v>-1.25964964756692E-89</c:v>
                </c:pt>
                <c:pt idx="63">
                  <c:v>-9.7829984275850003E-90</c:v>
                </c:pt>
                <c:pt idx="64">
                  <c:v>7.9306445827397994E-90</c:v>
                </c:pt>
                <c:pt idx="65">
                  <c:v>1.81386706834124E-90</c:v>
                </c:pt>
                <c:pt idx="66">
                  <c:v>-1.26709412093888E-89</c:v>
                </c:pt>
                <c:pt idx="67">
                  <c:v>4.09577139817001E-90</c:v>
                </c:pt>
                <c:pt idx="68">
                  <c:v>1.3906894410348201E-89</c:v>
                </c:pt>
                <c:pt idx="69">
                  <c:v>-1.1912545263611301E-89</c:v>
                </c:pt>
                <c:pt idx="70">
                  <c:v>-1.11006642671573E-89</c:v>
                </c:pt>
                <c:pt idx="71">
                  <c:v>2.0344942632523601E-89</c:v>
                </c:pt>
                <c:pt idx="72">
                  <c:v>3.3800922962063698E-90</c:v>
                </c:pt>
                <c:pt idx="73">
                  <c:v>-2.6890319465796699E-89</c:v>
                </c:pt>
                <c:pt idx="74">
                  <c:v>9.5314888928727696E-90</c:v>
                </c:pt>
                <c:pt idx="75">
                  <c:v>2.7507320485996701E-89</c:v>
                </c:pt>
                <c:pt idx="76">
                  <c:v>-2.65743310804337E-89</c:v>
                </c:pt>
                <c:pt idx="77">
                  <c:v>1.90499310598048E-89</c:v>
                </c:pt>
                <c:pt idx="78">
                  <c:v>-7.4480201897200402E-90</c:v>
                </c:pt>
                <c:pt idx="79">
                  <c:v>1.7234828735606201E-90</c:v>
                </c:pt>
                <c:pt idx="80">
                  <c:v>-1.6313923498377199E-91</c:v>
                </c:pt>
                <c:pt idx="81">
                  <c:v>-2.2838788774857502E-95</c:v>
                </c:pt>
                <c:pt idx="82">
                  <c:v>7.0910238711523199E-96</c:v>
                </c:pt>
                <c:pt idx="83">
                  <c:v>-1.50882118087482E-96</c:v>
                </c:pt>
                <c:pt idx="84">
                  <c:v>1.9762861687113801E-97</c:v>
                </c:pt>
                <c:pt idx="85">
                  <c:v>-1.1734146710820601E-98</c:v>
                </c:pt>
                <c:pt idx="86">
                  <c:v>-7.028700306064E-102</c:v>
                </c:pt>
                <c:pt idx="87">
                  <c:v>1.4490187846918001E-102</c:v>
                </c:pt>
                <c:pt idx="88">
                  <c:v>-2.1181386845203899E-103</c:v>
                </c:pt>
                <c:pt idx="89">
                  <c:v>1.9514800453354398E-104</c:v>
                </c:pt>
                <c:pt idx="90">
                  <c:v>-8.4025514784467999E-106</c:v>
                </c:pt>
                <c:pt idx="91">
                  <c:v>-1.45017134220491E-108</c:v>
                </c:pt>
                <c:pt idx="92">
                  <c:v>2.2476436113394198E-109</c:v>
                </c:pt>
                <c:pt idx="93">
                  <c:v>-2.5058862387379199E-110</c:v>
                </c:pt>
                <c:pt idx="94">
                  <c:v>1.78250663240952E-111</c:v>
                </c:pt>
                <c:pt idx="95">
                  <c:v>-5.9578438921347004E-113</c:v>
                </c:pt>
                <c:pt idx="96">
                  <c:v>-2.3914588069163698E-115</c:v>
                </c:pt>
                <c:pt idx="97">
                  <c:v>2.9730626353840899E-116</c:v>
                </c:pt>
                <c:pt idx="98">
                  <c:v>-2.67965530037021E-117</c:v>
                </c:pt>
                <c:pt idx="99">
                  <c:v>1.5493724575558399E-118</c:v>
                </c:pt>
              </c:numCache>
            </c:numRef>
          </c:yVal>
          <c:smooth val="0"/>
          <c:extLst>
            <c:ext xmlns:c16="http://schemas.microsoft.com/office/drawing/2014/chart" uri="{C3380CC4-5D6E-409C-BE32-E72D297353CC}">
              <c16:uniqueId val="{00000015-FAC9-4198-8F95-60BD4AA35DBC}"/>
            </c:ext>
          </c:extLst>
        </c:ser>
        <c:ser>
          <c:idx val="23"/>
          <c:order val="22"/>
          <c:tx>
            <c:strRef>
              <c:f>dynamicR!$EK$19</c:f>
              <c:strCache>
                <c:ptCount val="1"/>
                <c:pt idx="0">
                  <c:v>sAP</c:v>
                </c:pt>
              </c:strCache>
            </c:strRef>
          </c:tx>
          <c:spPr>
            <a:ln w="19050" cap="rnd">
              <a:solidFill>
                <a:schemeClr val="accent6">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dynamicR!$EK$20:$EK$119</c:f>
              <c:numCache>
                <c:formatCode>0.00</c:formatCode>
                <c:ptCount val="100"/>
                <c:pt idx="0">
                  <c:v>0</c:v>
                </c:pt>
                <c:pt idx="1">
                  <c:v>1</c:v>
                </c:pt>
                <c:pt idx="2">
                  <c:v>0.999999999999996</c:v>
                </c:pt>
                <c:pt idx="3">
                  <c:v>0.999999999999994</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0.999999999999998</c:v>
                </c:pt>
                <c:pt idx="20">
                  <c:v>1</c:v>
                </c:pt>
                <c:pt idx="21">
                  <c:v>1</c:v>
                </c:pt>
                <c:pt idx="22">
                  <c:v>0.999999999999997</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2.22057610183976E-89</c:v>
                </c:pt>
                <c:pt idx="52">
                  <c:v>-5.3494104051878297E-91</c:v>
                </c:pt>
                <c:pt idx="53">
                  <c:v>1.8117285849853501E-90</c:v>
                </c:pt>
                <c:pt idx="54">
                  <c:v>-2.38240811807078E-89</c:v>
                </c:pt>
                <c:pt idx="55">
                  <c:v>1.4997817991321999E-89</c:v>
                </c:pt>
                <c:pt idx="56">
                  <c:v>-4.8895408706615002E-89</c:v>
                </c:pt>
                <c:pt idx="57">
                  <c:v>1.42492644838471E-89</c:v>
                </c:pt>
                <c:pt idx="58">
                  <c:v>-2.65283250826982E-90</c:v>
                </c:pt>
                <c:pt idx="59">
                  <c:v>-1.6160082027868199E-91</c:v>
                </c:pt>
                <c:pt idx="60">
                  <c:v>2.99851054178576E-91</c:v>
                </c:pt>
                <c:pt idx="61">
                  <c:v>-1.4270381935153199E-91</c:v>
                </c:pt>
                <c:pt idx="62">
                  <c:v>-3.5485792031120001E-90</c:v>
                </c:pt>
                <c:pt idx="63">
                  <c:v>-2.7559838002078601E-90</c:v>
                </c:pt>
                <c:pt idx="64">
                  <c:v>2.2341556844564099E-90</c:v>
                </c:pt>
                <c:pt idx="65">
                  <c:v>5.1098715792822996E-91</c:v>
                </c:pt>
                <c:pt idx="66">
                  <c:v>-3.5695520264441198E-90</c:v>
                </c:pt>
                <c:pt idx="67">
                  <c:v>1.1538269453840199E-90</c:v>
                </c:pt>
                <c:pt idx="68">
                  <c:v>3.9177341486911402E-90</c:v>
                </c:pt>
                <c:pt idx="69">
                  <c:v>-3.3559031210014801E-90</c:v>
                </c:pt>
                <c:pt idx="70">
                  <c:v>-3.1271862490782899E-90</c:v>
                </c:pt>
                <c:pt idx="71">
                  <c:v>5.7314074167744596E-90</c:v>
                </c:pt>
                <c:pt idx="72">
                  <c:v>9.52211233186132E-91</c:v>
                </c:pt>
                <c:pt idx="73">
                  <c:v>-7.5753159998527897E-90</c:v>
                </c:pt>
                <c:pt idx="74">
                  <c:v>2.6851312191155102E-90</c:v>
                </c:pt>
                <c:pt idx="75">
                  <c:v>7.7491322368383497E-90</c:v>
                </c:pt>
                <c:pt idx="76">
                  <c:v>-7.4862979038037098E-90</c:v>
                </c:pt>
                <c:pt idx="77">
                  <c:v>5.3665861138958699E-90</c:v>
                </c:pt>
                <c:pt idx="78">
                  <c:v>-2.0981923707283501E-90</c:v>
                </c:pt>
                <c:pt idx="79">
                  <c:v>4.8552388601334402E-91</c:v>
                </c:pt>
                <c:pt idx="80">
                  <c:v>-4.5957461741022697E-92</c:v>
                </c:pt>
                <c:pt idx="81">
                  <c:v>-6.7601943147599399E-96</c:v>
                </c:pt>
                <c:pt idx="82">
                  <c:v>2.0989134820921E-96</c:v>
                </c:pt>
                <c:pt idx="83">
                  <c:v>-4.4660323805722301E-97</c:v>
                </c:pt>
                <c:pt idx="84">
                  <c:v>5.84962707987979E-98</c:v>
                </c:pt>
                <c:pt idx="85">
                  <c:v>-3.4728801253519398E-99</c:v>
                </c:pt>
                <c:pt idx="86">
                  <c:v>-2.1859680867777701E-102</c:v>
                </c:pt>
                <c:pt idx="87">
                  <c:v>4.5064917112416603E-103</c:v>
                </c:pt>
                <c:pt idx="88">
                  <c:v>-6.5873869126612003E-104</c:v>
                </c:pt>
                <c:pt idx="89">
                  <c:v>6.0687666300722296E-105</c:v>
                </c:pt>
                <c:pt idx="90">
                  <c:v>-2.6121094006387998E-106</c:v>
                </c:pt>
                <c:pt idx="91">
                  <c:v>-4.7387661433330802E-109</c:v>
                </c:pt>
                <c:pt idx="92">
                  <c:v>7.34457813745231E-110</c:v>
                </c:pt>
                <c:pt idx="93">
                  <c:v>-8.18811902354509E-111</c:v>
                </c:pt>
                <c:pt idx="94">
                  <c:v>5.8235651793900104E-112</c:v>
                </c:pt>
                <c:pt idx="95">
                  <c:v>-1.94441370525595E-113</c:v>
                </c:pt>
                <c:pt idx="96">
                  <c:v>-8.2107690027931901E-116</c:v>
                </c:pt>
                <c:pt idx="97">
                  <c:v>1.02072971852626E-116</c:v>
                </c:pt>
                <c:pt idx="98">
                  <c:v>-9.1991148766337792E-118</c:v>
                </c:pt>
                <c:pt idx="99">
                  <c:v>5.3170004170801704E-119</c:v>
                </c:pt>
              </c:numCache>
            </c:numRef>
          </c:yVal>
          <c:smooth val="0"/>
          <c:extLst>
            <c:ext xmlns:c16="http://schemas.microsoft.com/office/drawing/2014/chart" uri="{C3380CC4-5D6E-409C-BE32-E72D297353CC}">
              <c16:uniqueId val="{00000016-FAC9-4198-8F95-60BD4AA35DBC}"/>
            </c:ext>
          </c:extLst>
        </c:ser>
        <c:dLbls>
          <c:showLegendKey val="0"/>
          <c:showVal val="0"/>
          <c:showCatName val="0"/>
          <c:showSerName val="0"/>
          <c:showPercent val="0"/>
          <c:showBubbleSize val="0"/>
        </c:dLbls>
        <c:axId val="150833408"/>
        <c:axId val="150868352"/>
      </c:scatterChart>
      <c:valAx>
        <c:axId val="150833408"/>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68352"/>
        <c:crosses val="autoZero"/>
        <c:crossBetween val="midCat"/>
      </c:valAx>
      <c:valAx>
        <c:axId val="150868352"/>
        <c:scaling>
          <c:orientation val="minMax"/>
          <c:max val="1.0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steady state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334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SimpleBox dynamic output - Moderate </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dynamicR!$CR$19</c:f>
              <c:strCache>
                <c:ptCount val="1"/>
                <c:pt idx="0">
                  <c:v>aMG</c:v>
                </c:pt>
              </c:strCache>
            </c:strRef>
          </c:tx>
          <c:spPr>
            <a:ln w="19050" cap="rnd">
              <a:solidFill>
                <a:schemeClr val="accent2"/>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dynamicR!$CR$20:$CR$119</c:f>
              <c:numCache>
                <c:formatCode>0.00</c:formatCode>
                <c:ptCount val="100"/>
                <c:pt idx="0">
                  <c:v>0</c:v>
                </c:pt>
                <c:pt idx="1">
                  <c:v>1.99978252839863E-2</c:v>
                </c:pt>
                <c:pt idx="2">
                  <c:v>3.9588196665695602E-2</c:v>
                </c:pt>
                <c:pt idx="3">
                  <c:v>5.8786953228790302E-2</c:v>
                </c:pt>
                <c:pt idx="4">
                  <c:v>7.7601928996389305E-2</c:v>
                </c:pt>
                <c:pt idx="5">
                  <c:v>9.6040792543666806E-2</c:v>
                </c:pt>
                <c:pt idx="6">
                  <c:v>0.114111059439613</c:v>
                </c:pt>
                <c:pt idx="7">
                  <c:v>0.13182009781051601</c:v>
                </c:pt>
                <c:pt idx="8">
                  <c:v>0.14917512966232299</c:v>
                </c:pt>
                <c:pt idx="9">
                  <c:v>0.166183232283341</c:v>
                </c:pt>
                <c:pt idx="10">
                  <c:v>0.18285134089156399</c:v>
                </c:pt>
                <c:pt idx="11">
                  <c:v>0.19918625184157601</c:v>
                </c:pt>
                <c:pt idx="12">
                  <c:v>0.215194625622459</c:v>
                </c:pt>
                <c:pt idx="13">
                  <c:v>0.23088298946486599</c:v>
                </c:pt>
                <c:pt idx="14">
                  <c:v>0.246257740470298</c:v>
                </c:pt>
                <c:pt idx="15">
                  <c:v>0.26132514816402203</c:v>
                </c:pt>
                <c:pt idx="16">
                  <c:v>0.27609135658974798</c:v>
                </c:pt>
                <c:pt idx="17">
                  <c:v>0.29056238666679701</c:v>
                </c:pt>
                <c:pt idx="18">
                  <c:v>0.30474413889134999</c:v>
                </c:pt>
                <c:pt idx="19">
                  <c:v>0.31864239593738303</c:v>
                </c:pt>
                <c:pt idx="20">
                  <c:v>0.33226282497346299</c:v>
                </c:pt>
                <c:pt idx="21">
                  <c:v>0.34561097985642603</c:v>
                </c:pt>
                <c:pt idx="22">
                  <c:v>0.35869230336506203</c:v>
                </c:pt>
                <c:pt idx="23">
                  <c:v>0.37151212946765799</c:v>
                </c:pt>
                <c:pt idx="24">
                  <c:v>0.38407568553021498</c:v>
                </c:pt>
                <c:pt idx="25">
                  <c:v>0.39638809443738998</c:v>
                </c:pt>
                <c:pt idx="26">
                  <c:v>0.40845437665991802</c:v>
                </c:pt>
                <c:pt idx="27">
                  <c:v>0.42027945229945401</c:v>
                </c:pt>
                <c:pt idx="28">
                  <c:v>0.43186814310372701</c:v>
                </c:pt>
                <c:pt idx="29">
                  <c:v>0.44322517443607901</c:v>
                </c:pt>
                <c:pt idx="30">
                  <c:v>0.45435517720277901</c:v>
                </c:pt>
                <c:pt idx="31">
                  <c:v>0.46526268973643398</c:v>
                </c:pt>
                <c:pt idx="32">
                  <c:v>0.47595215964522802</c:v>
                </c:pt>
                <c:pt idx="33">
                  <c:v>0.486427945628645</c:v>
                </c:pt>
                <c:pt idx="34">
                  <c:v>0.49669431925787999</c:v>
                </c:pt>
                <c:pt idx="35">
                  <c:v>0.50675546671429095</c:v>
                </c:pt>
                <c:pt idx="36">
                  <c:v>0.51661549049581101</c:v>
                </c:pt>
                <c:pt idx="37">
                  <c:v>0.52627841109126705</c:v>
                </c:pt>
                <c:pt idx="38">
                  <c:v>0.53574816861923802</c:v>
                </c:pt>
                <c:pt idx="39">
                  <c:v>0.54502862443553102</c:v>
                </c:pt>
                <c:pt idx="40">
                  <c:v>0.554123562706624</c:v>
                </c:pt>
                <c:pt idx="41">
                  <c:v>0.56303669195327</c:v>
                </c:pt>
                <c:pt idx="42">
                  <c:v>0.57177164663370605</c:v>
                </c:pt>
                <c:pt idx="43">
                  <c:v>0.58033198927547403</c:v>
                </c:pt>
                <c:pt idx="44">
                  <c:v>0.588721210503519</c:v>
                </c:pt>
                <c:pt idx="45">
                  <c:v>0.59694273776407702</c:v>
                </c:pt>
                <c:pt idx="46">
                  <c:v>0.60499989464277804</c:v>
                </c:pt>
                <c:pt idx="47">
                  <c:v>0.61289599927829597</c:v>
                </c:pt>
                <c:pt idx="48">
                  <c:v>0.62063426140579903</c:v>
                </c:pt>
                <c:pt idx="49">
                  <c:v>0.62821783654283303</c:v>
                </c:pt>
                <c:pt idx="50">
                  <c:v>0.62821783654283303</c:v>
                </c:pt>
                <c:pt idx="51">
                  <c:v>0.61565165007455602</c:v>
                </c:pt>
                <c:pt idx="52">
                  <c:v>0.60334416820453696</c:v>
                </c:pt>
                <c:pt idx="53">
                  <c:v>0.59128313514097397</c:v>
                </c:pt>
                <c:pt idx="54">
                  <c:v>0.57946346360679601</c:v>
                </c:pt>
                <c:pt idx="55">
                  <c:v>0.56788001755081696</c:v>
                </c:pt>
                <c:pt idx="56">
                  <c:v>0.55652806655569897</c:v>
                </c:pt>
                <c:pt idx="57">
                  <c:v>0.54540302080357494</c:v>
                </c:pt>
                <c:pt idx="58">
                  <c:v>0.53450036128860301</c:v>
                </c:pt>
                <c:pt idx="59">
                  <c:v>0.52381564826831495</c:v>
                </c:pt>
                <c:pt idx="60">
                  <c:v>0.51334451764544597</c:v>
                </c:pt>
                <c:pt idx="61">
                  <c:v>0.50308269195168598</c:v>
                </c:pt>
                <c:pt idx="62">
                  <c:v>0.49302599475866199</c:v>
                </c:pt>
                <c:pt idx="63">
                  <c:v>0.48317033469270598</c:v>
                </c:pt>
                <c:pt idx="64">
                  <c:v>0.47351169457794001</c:v>
                </c:pt>
                <c:pt idx="65">
                  <c:v>0.46404613355101598</c:v>
                </c:pt>
                <c:pt idx="66">
                  <c:v>0.45476979001520201</c:v>
                </c:pt>
                <c:pt idx="67">
                  <c:v>0.44567888117517601</c:v>
                </c:pt>
                <c:pt idx="68">
                  <c:v>0.436769700588655</c:v>
                </c:pt>
                <c:pt idx="69">
                  <c:v>0.42803861580105301</c:v>
                </c:pt>
                <c:pt idx="70">
                  <c:v>0.41948206668659499</c:v>
                </c:pt>
                <c:pt idx="71">
                  <c:v>0.41109656416995699</c:v>
                </c:pt>
                <c:pt idx="72">
                  <c:v>0.40287868895088103</c:v>
                </c:pt>
                <c:pt idx="73">
                  <c:v>0.39482509013349598</c:v>
                </c:pt>
                <c:pt idx="74">
                  <c:v>0.38693248382734802</c:v>
                </c:pt>
                <c:pt idx="75">
                  <c:v>0.37919765184224702</c:v>
                </c:pt>
                <c:pt idx="76">
                  <c:v>0.37161744036778499</c:v>
                </c:pt>
                <c:pt idx="77">
                  <c:v>0.364188758467619</c:v>
                </c:pt>
                <c:pt idx="78">
                  <c:v>0.35690857688265798</c:v>
                </c:pt>
                <c:pt idx="79">
                  <c:v>0.34977392699994397</c:v>
                </c:pt>
                <c:pt idx="80">
                  <c:v>0.34278189967426098</c:v>
                </c:pt>
                <c:pt idx="81">
                  <c:v>0.335929643926758</c:v>
                </c:pt>
                <c:pt idx="82">
                  <c:v>0.32921436570921397</c:v>
                </c:pt>
                <c:pt idx="83">
                  <c:v>0.32263332679400702</c:v>
                </c:pt>
                <c:pt idx="84">
                  <c:v>0.31618384370625902</c:v>
                </c:pt>
                <c:pt idx="85">
                  <c:v>0.309863286637375</c:v>
                </c:pt>
                <c:pt idx="86">
                  <c:v>0.30366907834958101</c:v>
                </c:pt>
                <c:pt idx="87">
                  <c:v>0.29759869311363402</c:v>
                </c:pt>
                <c:pt idx="88">
                  <c:v>0.29164965568488799</c:v>
                </c:pt>
                <c:pt idx="89">
                  <c:v>0.28581954030241002</c:v>
                </c:pt>
                <c:pt idx="90">
                  <c:v>0.28010596970049401</c:v>
                </c:pt>
                <c:pt idx="91">
                  <c:v>0.27450661413534699</c:v>
                </c:pt>
                <c:pt idx="92">
                  <c:v>0.26901919043318001</c:v>
                </c:pt>
                <c:pt idx="93">
                  <c:v>0.26364146105991199</c:v>
                </c:pt>
                <c:pt idx="94">
                  <c:v>0.25837123321122402</c:v>
                </c:pt>
                <c:pt idx="95">
                  <c:v>0.25320635791775897</c:v>
                </c:pt>
                <c:pt idx="96">
                  <c:v>0.24814472916813399</c:v>
                </c:pt>
                <c:pt idx="97">
                  <c:v>0.243184283049978</c:v>
                </c:pt>
                <c:pt idx="98">
                  <c:v>0.23832299690914999</c:v>
                </c:pt>
                <c:pt idx="99">
                  <c:v>0.23355888852442</c:v>
                </c:pt>
              </c:numCache>
            </c:numRef>
          </c:yVal>
          <c:smooth val="0"/>
          <c:extLst>
            <c:ext xmlns:c16="http://schemas.microsoft.com/office/drawing/2014/chart" uri="{C3380CC4-5D6E-409C-BE32-E72D297353CC}">
              <c16:uniqueId val="{00000000-F8DF-41D1-AED4-FB570A460941}"/>
            </c:ext>
          </c:extLst>
        </c:ser>
        <c:ser>
          <c:idx val="2"/>
          <c:order val="1"/>
          <c:tx>
            <c:strRef>
              <c:f>dynamicR!$CS$19</c:f>
              <c:strCache>
                <c:ptCount val="1"/>
                <c:pt idx="0">
                  <c:v>aMS</c:v>
                </c:pt>
              </c:strCache>
            </c:strRef>
          </c:tx>
          <c:spPr>
            <a:ln w="19050" cap="rnd">
              <a:solidFill>
                <a:schemeClr val="accent3"/>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dynamicR!$CS$20:$CS$119</c:f>
              <c:numCache>
                <c:formatCode>0.00</c:formatCode>
                <c:ptCount val="100"/>
                <c:pt idx="0">
                  <c:v>0</c:v>
                </c:pt>
                <c:pt idx="1">
                  <c:v>1</c:v>
                </c:pt>
                <c:pt idx="2">
                  <c:v>0.999999999999996</c:v>
                </c:pt>
                <c:pt idx="3">
                  <c:v>0.999999999999995</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0.999999999999998</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-1.2211353851544701E-213</c:v>
                </c:pt>
                <c:pt idx="52">
                  <c:v>2.9417169934725498E-215</c:v>
                </c:pt>
                <c:pt idx="53">
                  <c:v>-9.9631784048344702E-215</c:v>
                </c:pt>
                <c:pt idx="54">
                  <c:v>1.3101290215691001E-213</c:v>
                </c:pt>
                <c:pt idx="55">
                  <c:v>-8.2475950370530402E-214</c:v>
                </c:pt>
                <c:pt idx="56">
                  <c:v>2.68885594568683E-213</c:v>
                </c:pt>
                <c:pt idx="57">
                  <c:v>-7.8359855073775305E-214</c:v>
                </c:pt>
                <c:pt idx="58">
                  <c:v>1.4588688383878E-214</c:v>
                </c:pt>
                <c:pt idx="59">
                  <c:v>8.88592164556395E-216</c:v>
                </c:pt>
                <c:pt idx="60">
                  <c:v>-1.64886781828108E-215</c:v>
                </c:pt>
                <c:pt idx="61">
                  <c:v>7.8489040920589803E-216</c:v>
                </c:pt>
                <c:pt idx="62">
                  <c:v>1.9514354186067999E-214</c:v>
                </c:pt>
                <c:pt idx="63">
                  <c:v>1.51557514469571E-214</c:v>
                </c:pt>
                <c:pt idx="64">
                  <c:v>-1.22859535609627E-214</c:v>
                </c:pt>
                <c:pt idx="65">
                  <c:v>-2.8100479945502702E-215</c:v>
                </c:pt>
                <c:pt idx="66">
                  <c:v>1.9629591550863901E-214</c:v>
                </c:pt>
                <c:pt idx="67">
                  <c:v>-6.3450591474530403E-215</c:v>
                </c:pt>
                <c:pt idx="68">
                  <c:v>-2.1544341117286901E-214</c:v>
                </c:pt>
                <c:pt idx="69">
                  <c:v>1.84546895849715E-214</c:v>
                </c:pt>
                <c:pt idx="70">
                  <c:v>1.71969925044897E-214</c:v>
                </c:pt>
                <c:pt idx="71">
                  <c:v>-3.1518054237139401E-214</c:v>
                </c:pt>
                <c:pt idx="72">
                  <c:v>-5.2364001271672702E-215</c:v>
                </c:pt>
                <c:pt idx="73">
                  <c:v>4.1658081390724599E-214</c:v>
                </c:pt>
                <c:pt idx="74">
                  <c:v>-1.4766055871837501E-214</c:v>
                </c:pt>
                <c:pt idx="75">
                  <c:v>-4.2613943968070601E-214</c:v>
                </c:pt>
                <c:pt idx="76">
                  <c:v>4.1168607984498903E-214</c:v>
                </c:pt>
                <c:pt idx="77">
                  <c:v>-2.9511994853822898E-214</c:v>
                </c:pt>
                <c:pt idx="78">
                  <c:v>1.15385298672223E-214</c:v>
                </c:pt>
                <c:pt idx="79">
                  <c:v>-2.6701296436153702E-215</c:v>
                </c:pt>
                <c:pt idx="80">
                  <c:v>2.5281211516374E-216</c:v>
                </c:pt>
                <c:pt idx="81">
                  <c:v>1.3496999192170901E-221</c:v>
                </c:pt>
                <c:pt idx="82">
                  <c:v>-4.1906658473345203E-222</c:v>
                </c:pt>
                <c:pt idx="83">
                  <c:v>8.9174411453426994E-223</c:v>
                </c:pt>
                <c:pt idx="84">
                  <c:v>-1.1683187145441101E-223</c:v>
                </c:pt>
                <c:pt idx="85">
                  <c:v>6.9489977998168602E-225</c:v>
                </c:pt>
                <c:pt idx="86">
                  <c:v>1.5769888498752201E-229</c:v>
                </c:pt>
                <c:pt idx="87">
                  <c:v>-3.26703369074773E-230</c:v>
                </c:pt>
                <c:pt idx="88">
                  <c:v>4.77687090220024E-231</c:v>
                </c:pt>
                <c:pt idx="89">
                  <c:v>-4.4053349335145999E-232</c:v>
                </c:pt>
                <c:pt idx="90">
                  <c:v>1.90974009036202E-233</c:v>
                </c:pt>
                <c:pt idx="91">
                  <c:v>1.2419084207046899E-237</c:v>
                </c:pt>
                <c:pt idx="92">
                  <c:v>-1.93370742916176E-238</c:v>
                </c:pt>
                <c:pt idx="93">
                  <c:v>2.1574438900365398E-239</c:v>
                </c:pt>
                <c:pt idx="94">
                  <c:v>-1.5390026411635499E-240</c:v>
                </c:pt>
                <c:pt idx="95">
                  <c:v>5.2464593981672796E-242</c:v>
                </c:pt>
                <c:pt idx="96">
                  <c:v>7.8352061379975598E-246</c:v>
                </c:pt>
                <c:pt idx="97">
                  <c:v>-9.7632512118692606E-247</c:v>
                </c:pt>
                <c:pt idx="98">
                  <c:v>8.81493627214383E-248</c:v>
                </c:pt>
                <c:pt idx="99">
                  <c:v>-5.1314739575405395E-249</c:v>
                </c:pt>
              </c:numCache>
            </c:numRef>
          </c:yVal>
          <c:smooth val="0"/>
          <c:extLst>
            <c:ext xmlns:c16="http://schemas.microsoft.com/office/drawing/2014/chart" uri="{C3380CC4-5D6E-409C-BE32-E72D297353CC}">
              <c16:uniqueId val="{00000001-F8DF-41D1-AED4-FB570A460941}"/>
            </c:ext>
          </c:extLst>
        </c:ser>
        <c:ser>
          <c:idx val="3"/>
          <c:order val="2"/>
          <c:tx>
            <c:strRef>
              <c:f>dynamicR!$CT$19</c:f>
              <c:strCache>
                <c:ptCount val="1"/>
                <c:pt idx="0">
                  <c:v>aMA</c:v>
                </c:pt>
              </c:strCache>
            </c:strRef>
          </c:tx>
          <c:spPr>
            <a:ln w="19050" cap="rnd">
              <a:solidFill>
                <a:schemeClr val="accent4"/>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dynamicR!$CT$20:$CT$119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0.999999999999999</c:v>
                </c:pt>
                <c:pt idx="15">
                  <c:v>1</c:v>
                </c:pt>
                <c:pt idx="16">
                  <c:v>1</c:v>
                </c:pt>
                <c:pt idx="17">
                  <c:v>0.999999999999998</c:v>
                </c:pt>
                <c:pt idx="18">
                  <c:v>1</c:v>
                </c:pt>
                <c:pt idx="19">
                  <c:v>1</c:v>
                </c:pt>
                <c:pt idx="20">
                  <c:v>0.999999999999997</c:v>
                </c:pt>
                <c:pt idx="21">
                  <c:v>0.999999999999999</c:v>
                </c:pt>
                <c:pt idx="22">
                  <c:v>1</c:v>
                </c:pt>
                <c:pt idx="23">
                  <c:v>0.999999999999997</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0.999999999999999</c:v>
                </c:pt>
                <c:pt idx="38">
                  <c:v>1</c:v>
                </c:pt>
                <c:pt idx="39">
                  <c:v>1</c:v>
                </c:pt>
                <c:pt idx="40">
                  <c:v>1</c:v>
                </c:pt>
                <c:pt idx="41">
                  <c:v>1</c:v>
                </c:pt>
                <c:pt idx="42">
                  <c:v>1</c:v>
                </c:pt>
                <c:pt idx="43">
                  <c:v>1</c:v>
                </c:pt>
                <c:pt idx="44">
                  <c:v>1</c:v>
                </c:pt>
                <c:pt idx="45">
                  <c:v>1</c:v>
                </c:pt>
                <c:pt idx="46">
                  <c:v>1</c:v>
                </c:pt>
                <c:pt idx="47">
                  <c:v>1</c:v>
                </c:pt>
                <c:pt idx="48">
                  <c:v>0.999999999999999</c:v>
                </c:pt>
                <c:pt idx="49">
                  <c:v>1</c:v>
                </c:pt>
                <c:pt idx="50">
                  <c:v>1</c:v>
                </c:pt>
                <c:pt idx="51">
                  <c:v>-1.13739027130377E-99</c:v>
                </c:pt>
                <c:pt idx="52">
                  <c:v>2.7399892879784599E-101</c:v>
                </c:pt>
                <c:pt idx="53">
                  <c:v>-9.2798041321496398E-101</c:v>
                </c:pt>
                <c:pt idx="54">
                  <c:v>1.2202812461332501E-99</c:v>
                </c:pt>
                <c:pt idx="55">
                  <c:v>-7.6819633284500402E-100</c:v>
                </c:pt>
                <c:pt idx="56">
                  <c:v>2.50444954942066E-99</c:v>
                </c:pt>
                <c:pt idx="57">
                  <c:v>-7.2985591591046495E-100</c:v>
                </c:pt>
                <c:pt idx="58">
                  <c:v>1.35880135548933E-100</c:v>
                </c:pt>
                <c:pt idx="59">
                  <c:v>8.2770677135269102E-102</c:v>
                </c:pt>
                <c:pt idx="60">
                  <c:v>-1.5358346288351101E-101</c:v>
                </c:pt>
                <c:pt idx="61">
                  <c:v>7.3097134402377495E-102</c:v>
                </c:pt>
                <c:pt idx="62">
                  <c:v>1.8176019178946E-100</c:v>
                </c:pt>
                <c:pt idx="63">
                  <c:v>1.4116311870821201E-100</c:v>
                </c:pt>
                <c:pt idx="64">
                  <c:v>-1.1443438069173299E-100</c:v>
                </c:pt>
                <c:pt idx="65">
                  <c:v>-2.6173113345358801E-101</c:v>
                </c:pt>
                <c:pt idx="66">
                  <c:v>1.82834181929854E-100</c:v>
                </c:pt>
                <c:pt idx="67">
                  <c:v>-5.9099478085063506E-101</c:v>
                </c:pt>
                <c:pt idx="68">
                  <c:v>-2.00668329553061E-100</c:v>
                </c:pt>
                <c:pt idx="69">
                  <c:v>1.7189095774310599E-100</c:v>
                </c:pt>
                <c:pt idx="70">
                  <c:v>1.6017611647336699E-100</c:v>
                </c:pt>
                <c:pt idx="71">
                  <c:v>-2.9356556814648902E-100</c:v>
                </c:pt>
                <c:pt idx="72">
                  <c:v>-4.8772781775036801E-101</c:v>
                </c:pt>
                <c:pt idx="73">
                  <c:v>3.88011589958856E-100</c:v>
                </c:pt>
                <c:pt idx="74">
                  <c:v>-1.37533847508317E-100</c:v>
                </c:pt>
                <c:pt idx="75">
                  <c:v>-3.9691458481297898E-100</c:v>
                </c:pt>
                <c:pt idx="76">
                  <c:v>3.8345217633748001E-100</c:v>
                </c:pt>
                <c:pt idx="77">
                  <c:v>-2.7487965026541599E-100</c:v>
                </c:pt>
                <c:pt idx="78">
                  <c:v>1.07470952799355E-100</c:v>
                </c:pt>
                <c:pt idx="79">
                  <c:v>-2.4869153315475999E-101</c:v>
                </c:pt>
                <c:pt idx="80">
                  <c:v>2.35418071937622E-102</c:v>
                </c:pt>
                <c:pt idx="81">
                  <c:v>2.5357199348825598E-106</c:v>
                </c:pt>
                <c:pt idx="82">
                  <c:v>-7.8729870031085801E-107</c:v>
                </c:pt>
                <c:pt idx="83">
                  <c:v>1.6752327577751799E-107</c:v>
                </c:pt>
                <c:pt idx="84">
                  <c:v>-2.1943876073328602E-108</c:v>
                </c:pt>
                <c:pt idx="85">
                  <c:v>1.3034582677163199E-109</c:v>
                </c:pt>
                <c:pt idx="86">
                  <c:v>6.0046794575907804E-113</c:v>
                </c:pt>
                <c:pt idx="87">
                  <c:v>-1.23792621962375E-113</c:v>
                </c:pt>
                <c:pt idx="88">
                  <c:v>1.8096783588867001E-114</c:v>
                </c:pt>
                <c:pt idx="89">
                  <c:v>-1.6676817397533899E-115</c:v>
                </c:pt>
                <c:pt idx="90">
                  <c:v>7.1923225379082606E-117</c:v>
                </c:pt>
                <c:pt idx="91">
                  <c:v>9.5328868575169902E-120</c:v>
                </c:pt>
                <c:pt idx="92">
                  <c:v>-1.4776007313619E-120</c:v>
                </c:pt>
                <c:pt idx="93">
                  <c:v>1.64765566248916E-121</c:v>
                </c:pt>
                <c:pt idx="94">
                  <c:v>-1.17282043626511E-122</c:v>
                </c:pt>
                <c:pt idx="95">
                  <c:v>3.9388041557483201E-124</c:v>
                </c:pt>
                <c:pt idx="96">
                  <c:v>1.20969461505358E-126</c:v>
                </c:pt>
                <c:pt idx="97">
                  <c:v>-1.5041007921645099E-127</c:v>
                </c:pt>
                <c:pt idx="98">
                  <c:v>1.35622470647772E-128</c:v>
                </c:pt>
                <c:pt idx="99">
                  <c:v>-7.8544819682484996E-130</c:v>
                </c:pt>
              </c:numCache>
            </c:numRef>
          </c:yVal>
          <c:smooth val="0"/>
          <c:extLst>
            <c:ext xmlns:c16="http://schemas.microsoft.com/office/drawing/2014/chart" uri="{C3380CC4-5D6E-409C-BE32-E72D297353CC}">
              <c16:uniqueId val="{00000002-F8DF-41D1-AED4-FB570A460941}"/>
            </c:ext>
          </c:extLst>
        </c:ser>
        <c:ser>
          <c:idx val="4"/>
          <c:order val="3"/>
          <c:tx>
            <c:strRef>
              <c:f>dynamicR!$CU$19</c:f>
              <c:strCache>
                <c:ptCount val="1"/>
                <c:pt idx="0">
                  <c:v>aMP</c:v>
                </c:pt>
              </c:strCache>
            </c:strRef>
          </c:tx>
          <c:spPr>
            <a:ln w="19050" cap="rnd">
              <a:solidFill>
                <a:schemeClr val="accent5"/>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dynamicR!$CU$20:$CU$119</c:f>
              <c:numCache>
                <c:formatCode>0.00</c:formatCode>
                <c:ptCount val="100"/>
                <c:pt idx="0">
                  <c:v>0</c:v>
                </c:pt>
                <c:pt idx="1">
                  <c:v>1</c:v>
                </c:pt>
                <c:pt idx="2">
                  <c:v>1</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-9.55890585666462E-214</c:v>
                </c:pt>
                <c:pt idx="52">
                  <c:v>2.3027417956108699E-215</c:v>
                </c:pt>
                <c:pt idx="53">
                  <c:v>-7.7990600499965498E-215</c:v>
                </c:pt>
                <c:pt idx="54">
                  <c:v>1.02555377036769E-213</c:v>
                </c:pt>
                <c:pt idx="55">
                  <c:v>-6.4561215408801996E-214</c:v>
                </c:pt>
                <c:pt idx="56">
                  <c:v>2.1048051811287602E-213</c:v>
                </c:pt>
                <c:pt idx="57">
                  <c:v>-6.1339183750843204E-214</c:v>
                </c:pt>
                <c:pt idx="58">
                  <c:v>1.1419855695590199E-214</c:v>
                </c:pt>
                <c:pt idx="59">
                  <c:v>6.9557961876770799E-216</c:v>
                </c:pt>
                <c:pt idx="60">
                  <c:v>-1.2907145634746601E-215</c:v>
                </c:pt>
                <c:pt idx="61">
                  <c:v>6.1440308806669204E-216</c:v>
                </c:pt>
                <c:pt idx="62">
                  <c:v>1.5275609634928801E-214</c:v>
                </c:pt>
                <c:pt idx="63">
                  <c:v>1.1863746071903199E-214</c:v>
                </c:pt>
                <c:pt idx="64">
                  <c:v>-9.6173016448298808E-215</c:v>
                </c:pt>
                <c:pt idx="65">
                  <c:v>-2.1996729077576301E-215</c:v>
                </c:pt>
                <c:pt idx="66">
                  <c:v>1.53658161055263E-214</c:v>
                </c:pt>
                <c:pt idx="67">
                  <c:v>-4.9668385504852699E-215</c:v>
                </c:pt>
                <c:pt idx="68">
                  <c:v>-1.6864659810107499E-214</c:v>
                </c:pt>
                <c:pt idx="69">
                  <c:v>1.44461165029395E-214</c:v>
                </c:pt>
                <c:pt idx="70">
                  <c:v>1.34616058464E-214</c:v>
                </c:pt>
                <c:pt idx="71">
                  <c:v>-2.4671966512883301E-214</c:v>
                </c:pt>
                <c:pt idx="72">
                  <c:v>-4.0989931551172299E-215</c:v>
                </c:pt>
                <c:pt idx="73">
                  <c:v>3.26094619077406E-214</c:v>
                </c:pt>
                <c:pt idx="74">
                  <c:v>-1.15586969058362E-214</c:v>
                </c:pt>
                <c:pt idx="75">
                  <c:v>-3.3357700022864401E-214</c:v>
                </c:pt>
                <c:pt idx="76">
                  <c:v>3.2226307814160699E-214</c:v>
                </c:pt>
                <c:pt idx="77">
                  <c:v>-2.3101646543210998E-214</c:v>
                </c:pt>
                <c:pt idx="78">
                  <c:v>9.0322270625058E-215</c:v>
                </c:pt>
                <c:pt idx="79">
                  <c:v>-2.0901464479692499E-215</c:v>
                </c:pt>
                <c:pt idx="80">
                  <c:v>1.9789838447664901E-216</c:v>
                </c:pt>
                <c:pt idx="81">
                  <c:v>1.05685534183385E-221</c:v>
                </c:pt>
                <c:pt idx="82">
                  <c:v>-3.2814161051999298E-222</c:v>
                </c:pt>
                <c:pt idx="83">
                  <c:v>6.9826210690996307E-223</c:v>
                </c:pt>
                <c:pt idx="84">
                  <c:v>-9.1482802351395892E-224</c:v>
                </c:pt>
                <c:pt idx="85">
                  <c:v>5.4412658693791704E-225</c:v>
                </c:pt>
                <c:pt idx="86">
                  <c:v>1.23994071989865E-229</c:v>
                </c:pt>
                <c:pt idx="87">
                  <c:v>-2.5589582276479399E-230</c:v>
                </c:pt>
                <c:pt idx="88">
                  <c:v>3.74156347900344E-231</c:v>
                </c:pt>
                <c:pt idx="89">
                  <c:v>-3.4505495481661699E-232</c:v>
                </c:pt>
                <c:pt idx="90">
                  <c:v>1.4958301966053201E-233</c:v>
                </c:pt>
                <c:pt idx="91">
                  <c:v>9.7606275908413505E-238</c:v>
                </c:pt>
                <c:pt idx="92">
                  <c:v>-1.5150561535012299E-238</c:v>
                </c:pt>
                <c:pt idx="93">
                  <c:v>1.69035228082255E-239</c:v>
                </c:pt>
                <c:pt idx="94">
                  <c:v>-1.2058039054100701E-240</c:v>
                </c:pt>
                <c:pt idx="95">
                  <c:v>4.11057351819172E-242</c:v>
                </c:pt>
                <c:pt idx="96">
                  <c:v>6.1443637422221495E-246</c:v>
                </c:pt>
                <c:pt idx="97">
                  <c:v>-7.6517055239732506E-247</c:v>
                </c:pt>
                <c:pt idx="98">
                  <c:v>6.9084842295185E-248</c:v>
                </c:pt>
                <c:pt idx="99">
                  <c:v>-4.0216587617793999E-249</c:v>
                </c:pt>
              </c:numCache>
            </c:numRef>
          </c:yVal>
          <c:smooth val="0"/>
          <c:extLst>
            <c:ext xmlns:c16="http://schemas.microsoft.com/office/drawing/2014/chart" uri="{C3380CC4-5D6E-409C-BE32-E72D297353CC}">
              <c16:uniqueId val="{00000003-F8DF-41D1-AED4-FB570A460941}"/>
            </c:ext>
          </c:extLst>
        </c:ser>
        <c:ser>
          <c:idx val="0"/>
          <c:order val="4"/>
          <c:tx>
            <c:strRef>
              <c:f>dynamicR!$CV$19</c:f>
              <c:strCache>
                <c:ptCount val="1"/>
                <c:pt idx="0">
                  <c:v>cwMS</c:v>
                </c:pt>
              </c:strCache>
            </c:strRef>
          </c:tx>
          <c:spPr>
            <a:ln w="19050" cap="rnd">
              <a:solidFill>
                <a:schemeClr val="accent1"/>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dynamicR!$CV$20:$CV$119</c:f>
              <c:numCache>
                <c:formatCode>0.00</c:formatCode>
                <c:ptCount val="100"/>
                <c:pt idx="0">
                  <c:v>0</c:v>
                </c:pt>
                <c:pt idx="1">
                  <c:v>1</c:v>
                </c:pt>
                <c:pt idx="2">
                  <c:v>0.999999999999997</c:v>
                </c:pt>
                <c:pt idx="3">
                  <c:v>0.999999999999995</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-1.94534396089639E-213</c:v>
                </c:pt>
                <c:pt idx="52">
                  <c:v>4.6863363196570105E-215</c:v>
                </c:pt>
                <c:pt idx="53">
                  <c:v>-1.58719568755845E-214</c:v>
                </c:pt>
                <c:pt idx="54">
                  <c:v>2.08711631942392E-213</c:v>
                </c:pt>
                <c:pt idx="55">
                  <c:v>-1.3138927493204801E-213</c:v>
                </c:pt>
                <c:pt idx="56">
                  <c:v>4.2835133250298503E-213</c:v>
                </c:pt>
                <c:pt idx="57">
                  <c:v>-1.2483208104095901E-213</c:v>
                </c:pt>
                <c:pt idx="58">
                  <c:v>2.32406801767006E-214</c:v>
                </c:pt>
                <c:pt idx="59">
                  <c:v>1.41558211133014E-215</c:v>
                </c:pt>
                <c:pt idx="60">
                  <c:v>-2.6267481085333E-215</c:v>
                </c:pt>
                <c:pt idx="61">
                  <c:v>1.25037882050206E-215</c:v>
                </c:pt>
                <c:pt idx="62">
                  <c:v>3.1087569530546602E-214</c:v>
                </c:pt>
                <c:pt idx="63">
                  <c:v>2.4144046602952602E-214</c:v>
                </c:pt>
                <c:pt idx="64">
                  <c:v>-1.9572281610435701E-214</c:v>
                </c:pt>
                <c:pt idx="65">
                  <c:v>-4.4765797310941098E-215</c:v>
                </c:pt>
                <c:pt idx="66">
                  <c:v>3.12711497585397E-214</c:v>
                </c:pt>
                <c:pt idx="67">
                  <c:v>-1.0108070476793901E-214</c:v>
                </c:pt>
                <c:pt idx="68">
                  <c:v>-3.43214638869082E-214</c:v>
                </c:pt>
                <c:pt idx="69">
                  <c:v>2.9399458478983099E-214</c:v>
                </c:pt>
                <c:pt idx="70">
                  <c:v>2.7395869476494402E-214</c:v>
                </c:pt>
                <c:pt idx="71">
                  <c:v>-5.0210203895148999E-214</c:v>
                </c:pt>
                <c:pt idx="72">
                  <c:v>-8.3419082943196702E-215</c:v>
                </c:pt>
                <c:pt idx="73">
                  <c:v>6.6363892414534196E-214</c:v>
                </c:pt>
                <c:pt idx="74">
                  <c:v>-2.3523237522020699E-214</c:v>
                </c:pt>
                <c:pt idx="75">
                  <c:v>-6.7886640441526703E-214</c:v>
                </c:pt>
                <c:pt idx="76">
                  <c:v>6.5584131096058001E-214</c:v>
                </c:pt>
                <c:pt idx="77">
                  <c:v>-4.7014427598039496E-214</c:v>
                </c:pt>
                <c:pt idx="78">
                  <c:v>1.8381589577978299E-214</c:v>
                </c:pt>
                <c:pt idx="79">
                  <c:v>-4.2536811702816599E-215</c:v>
                </c:pt>
                <c:pt idx="80">
                  <c:v>4.02745288590703E-216</c:v>
                </c:pt>
                <c:pt idx="81">
                  <c:v>2.1501549248071501E-221</c:v>
                </c:pt>
                <c:pt idx="82">
                  <c:v>-6.6759881851319602E-222</c:v>
                </c:pt>
                <c:pt idx="83">
                  <c:v>1.42060313812678E-222</c:v>
                </c:pt>
                <c:pt idx="84">
                  <c:v>-1.8612032561564801E-223</c:v>
                </c:pt>
                <c:pt idx="85">
                  <c:v>1.1070181605342399E-224</c:v>
                </c:pt>
                <c:pt idx="86">
                  <c:v>2.5130131705401001E-229</c:v>
                </c:pt>
                <c:pt idx="87">
                  <c:v>-5.2045869634812102E-230</c:v>
                </c:pt>
                <c:pt idx="88">
                  <c:v>7.6098533728331402E-231</c:v>
                </c:pt>
                <c:pt idx="89">
                  <c:v>-7.01797263168453E-232</c:v>
                </c:pt>
                <c:pt idx="90">
                  <c:v>3.0423302641444701E-233</c:v>
                </c:pt>
                <c:pt idx="91">
                  <c:v>1.9789015080597701E-237</c:v>
                </c:pt>
                <c:pt idx="92">
                  <c:v>-3.0805145052398897E-238</c:v>
                </c:pt>
                <c:pt idx="93">
                  <c:v>3.4369410503138398E-239</c:v>
                </c:pt>
                <c:pt idx="94">
                  <c:v>-2.4517266731034001E-240</c:v>
                </c:pt>
                <c:pt idx="95">
                  <c:v>8.3579275494386293E-242</c:v>
                </c:pt>
                <c:pt idx="96">
                  <c:v>1.24845665929844E-245</c:v>
                </c:pt>
                <c:pt idx="97">
                  <c:v>-1.5553459873434601E-246</c:v>
                </c:pt>
                <c:pt idx="98">
                  <c:v>1.4042725156138699E-247</c:v>
                </c:pt>
                <c:pt idx="99">
                  <c:v>-8.1747414084438601E-249</c:v>
                </c:pt>
              </c:numCache>
            </c:numRef>
          </c:yVal>
          <c:smooth val="0"/>
          <c:extLst>
            <c:ext xmlns:c16="http://schemas.microsoft.com/office/drawing/2014/chart" uri="{C3380CC4-5D6E-409C-BE32-E72D297353CC}">
              <c16:uniqueId val="{00000004-F8DF-41D1-AED4-FB570A460941}"/>
            </c:ext>
          </c:extLst>
        </c:ser>
        <c:ser>
          <c:idx val="5"/>
          <c:order val="5"/>
          <c:tx>
            <c:strRef>
              <c:f>dynamicR!$CW$19</c:f>
              <c:strCache>
                <c:ptCount val="1"/>
                <c:pt idx="0">
                  <c:v>cwMA</c:v>
                </c:pt>
              </c:strCache>
            </c:strRef>
          </c:tx>
          <c:spPr>
            <a:ln w="19050" cap="rnd">
              <a:solidFill>
                <a:schemeClr val="accent6"/>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dynamicR!$CW$20:$CW$119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0.999999999999998</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-1.1587768858690401E-99</c:v>
                </c:pt>
                <c:pt idx="52">
                  <c:v>2.7915099466930401E-101</c:v>
                </c:pt>
                <c:pt idx="53">
                  <c:v>-9.4542944576940604E-101</c:v>
                </c:pt>
                <c:pt idx="54">
                  <c:v>1.24322647852653E-99</c:v>
                </c:pt>
                <c:pt idx="55">
                  <c:v>-7.8264090740223304E-100</c:v>
                </c:pt>
                <c:pt idx="56">
                  <c:v>2.5515412975392301E-99</c:v>
                </c:pt>
                <c:pt idx="57">
                  <c:v>-7.4357956666781103E-100</c:v>
                </c:pt>
                <c:pt idx="58">
                  <c:v>1.3843512138137001E-100</c:v>
                </c:pt>
                <c:pt idx="59">
                  <c:v>8.4327033453021495E-102</c:v>
                </c:pt>
                <c:pt idx="60">
                  <c:v>-1.56471328502535E-101</c:v>
                </c:pt>
                <c:pt idx="61">
                  <c:v>7.4471596843398297E-102</c:v>
                </c:pt>
                <c:pt idx="62">
                  <c:v>1.8517787100390601E-100</c:v>
                </c:pt>
                <c:pt idx="63">
                  <c:v>1.43817441703287E-100</c:v>
                </c:pt>
                <c:pt idx="64">
                  <c:v>-1.1658611700130101E-100</c:v>
                </c:pt>
                <c:pt idx="65">
                  <c:v>-2.66652524907769E-101</c:v>
                </c:pt>
                <c:pt idx="66">
                  <c:v>1.8627205563101799E-100</c:v>
                </c:pt>
                <c:pt idx="67">
                  <c:v>-6.0210739334551297E-101</c:v>
                </c:pt>
                <c:pt idx="68">
                  <c:v>-2.0444154288519401E-100</c:v>
                </c:pt>
                <c:pt idx="69">
                  <c:v>1.7512306345142999E-100</c:v>
                </c:pt>
                <c:pt idx="70">
                  <c:v>1.63187945293158E-100</c:v>
                </c:pt>
                <c:pt idx="71">
                  <c:v>-2.99085549889753E-100</c:v>
                </c:pt>
                <c:pt idx="72">
                  <c:v>-4.9689867748941102E-101</c:v>
                </c:pt>
                <c:pt idx="73">
                  <c:v>3.9530746224480502E-100</c:v>
                </c:pt>
                <c:pt idx="74">
                  <c:v>-1.4011992847182399E-100</c:v>
                </c:pt>
                <c:pt idx="75">
                  <c:v>-4.0437786218450199E-100</c:v>
                </c:pt>
                <c:pt idx="76">
                  <c:v>3.9066231690729801E-100</c:v>
                </c:pt>
                <c:pt idx="77">
                  <c:v>-2.8004827634318802E-100</c:v>
                </c:pt>
                <c:pt idx="78">
                  <c:v>1.09491754152617E-100</c:v>
                </c:pt>
                <c:pt idx="79">
                  <c:v>-2.53367737967793E-101</c:v>
                </c:pt>
                <c:pt idx="80">
                  <c:v>2.3984469276797901E-102</c:v>
                </c:pt>
                <c:pt idx="81">
                  <c:v>2.5833996857548899E-106</c:v>
                </c:pt>
                <c:pt idx="82">
                  <c:v>-8.0210246960053895E-107</c:v>
                </c:pt>
                <c:pt idx="83">
                  <c:v>1.70673256962349E-107</c:v>
                </c:pt>
                <c:pt idx="84">
                  <c:v>-2.2356492198097599E-108</c:v>
                </c:pt>
                <c:pt idx="85">
                  <c:v>1.3279675181484301E-109</c:v>
                </c:pt>
                <c:pt idx="86">
                  <c:v>6.1175444863484601E-113</c:v>
                </c:pt>
                <c:pt idx="87">
                  <c:v>-1.26120325030314E-113</c:v>
                </c:pt>
                <c:pt idx="88">
                  <c:v>1.8437061976672902E-114</c:v>
                </c:pt>
                <c:pt idx="89">
                  <c:v>-1.69903961407235E-115</c:v>
                </c:pt>
                <c:pt idx="90">
                  <c:v>7.32756197757569E-117</c:v>
                </c:pt>
                <c:pt idx="91">
                  <c:v>9.71208505213846E-120</c:v>
                </c:pt>
                <c:pt idx="92">
                  <c:v>-1.5053844138984699E-120</c:v>
                </c:pt>
                <c:pt idx="93">
                  <c:v>1.6786369023347401E-121</c:v>
                </c:pt>
                <c:pt idx="94">
                  <c:v>-1.19487320903524E-122</c:v>
                </c:pt>
                <c:pt idx="95">
                  <c:v>4.0128661782270497E-124</c:v>
                </c:pt>
                <c:pt idx="96">
                  <c:v>1.2324405153652101E-126</c:v>
                </c:pt>
                <c:pt idx="97">
                  <c:v>-1.5323827643820101E-127</c:v>
                </c:pt>
                <c:pt idx="98">
                  <c:v>1.3817261379828501E-128</c:v>
                </c:pt>
                <c:pt idx="99">
                  <c:v>-8.0021716498507098E-130</c:v>
                </c:pt>
              </c:numCache>
            </c:numRef>
          </c:yVal>
          <c:smooth val="0"/>
          <c:extLst>
            <c:ext xmlns:c16="http://schemas.microsoft.com/office/drawing/2014/chart" uri="{C3380CC4-5D6E-409C-BE32-E72D297353CC}">
              <c16:uniqueId val="{00000005-F8DF-41D1-AED4-FB570A460941}"/>
            </c:ext>
          </c:extLst>
        </c:ser>
        <c:ser>
          <c:idx val="6"/>
          <c:order val="6"/>
          <c:tx>
            <c:strRef>
              <c:f>dynamicR!$CX$19</c:f>
              <c:strCache>
                <c:ptCount val="1"/>
                <c:pt idx="0">
                  <c:v>cwMP</c:v>
                </c:pt>
              </c:strCache>
            </c:strRef>
          </c:tx>
          <c:spPr>
            <a:ln w="19050" cap="rnd">
              <a:solidFill>
                <a:schemeClr val="accent1">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dynamicR!$CX$20:$CX$119</c:f>
              <c:numCache>
                <c:formatCode>0.00</c:formatCode>
                <c:ptCount val="100"/>
                <c:pt idx="0">
                  <c:v>0</c:v>
                </c:pt>
                <c:pt idx="1">
                  <c:v>1</c:v>
                </c:pt>
                <c:pt idx="2">
                  <c:v>0.999999999999999</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1</c:v>
                </c:pt>
                <c:pt idx="21">
                  <c:v>1</c:v>
                </c:pt>
                <c:pt idx="22">
                  <c:v>0.999999999999999</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-1.5225045184323701E-213</c:v>
                </c:pt>
                <c:pt idx="52">
                  <c:v>3.6677151280234998E-215</c:v>
                </c:pt>
                <c:pt idx="53">
                  <c:v>-1.2422031636293299E-214</c:v>
                </c:pt>
                <c:pt idx="54">
                  <c:v>1.6334612435532799E-213</c:v>
                </c:pt>
                <c:pt idx="55">
                  <c:v>-1.02830536181047E-213</c:v>
                </c:pt>
                <c:pt idx="56">
                  <c:v>3.3524499571975498E-213</c:v>
                </c:pt>
                <c:pt idx="57">
                  <c:v>-9.7698611597064496E-214</c:v>
                </c:pt>
                <c:pt idx="58">
                  <c:v>1.81890918232594E-214</c:v>
                </c:pt>
                <c:pt idx="59">
                  <c:v>1.10789154378214E-215</c:v>
                </c:pt>
                <c:pt idx="60">
                  <c:v>-2.0557988068038899E-215</c:v>
                </c:pt>
                <c:pt idx="61">
                  <c:v>9.7859679517674696E-216</c:v>
                </c:pt>
                <c:pt idx="62">
                  <c:v>2.4330383300195001E-214</c:v>
                </c:pt>
                <c:pt idx="63">
                  <c:v>1.8896102754907998E-214</c:v>
                </c:pt>
                <c:pt idx="64">
                  <c:v>-1.5318055444255501E-214</c:v>
                </c:pt>
                <c:pt idx="65">
                  <c:v>-3.5035514954735502E-215</c:v>
                </c:pt>
                <c:pt idx="66">
                  <c:v>2.4474060577797501E-214</c:v>
                </c:pt>
                <c:pt idx="67">
                  <c:v>-7.9109828420439199E-215</c:v>
                </c:pt>
                <c:pt idx="68">
                  <c:v>-2.6861359200308E-214</c:v>
                </c:pt>
                <c:pt idx="69">
                  <c:v>2.3009199640215098E-214</c:v>
                </c:pt>
                <c:pt idx="70">
                  <c:v>2.1441110234333901E-214</c:v>
                </c:pt>
                <c:pt idx="71">
                  <c:v>-3.9296526709858102E-214</c:v>
                </c:pt>
                <c:pt idx="72">
                  <c:v>-6.5287132227342196E-215</c:v>
                </c:pt>
                <c:pt idx="73">
                  <c:v>5.1939053588708099E-214</c:v>
                </c:pt>
                <c:pt idx="74">
                  <c:v>-1.8410232579313E-214</c:v>
                </c:pt>
                <c:pt idx="75">
                  <c:v>-5.3130817490498198E-214</c:v>
                </c:pt>
                <c:pt idx="76">
                  <c:v>5.1328780991883004E-214</c:v>
                </c:pt>
                <c:pt idx="77">
                  <c:v>-3.6795383535893698E-214</c:v>
                </c:pt>
                <c:pt idx="78">
                  <c:v>1.43861719261442E-214</c:v>
                </c:pt>
                <c:pt idx="79">
                  <c:v>-3.3291021077138399E-215</c:v>
                </c:pt>
                <c:pt idx="80">
                  <c:v>3.1520467357113197E-216</c:v>
                </c:pt>
                <c:pt idx="81">
                  <c:v>1.6833236770487E-221</c:v>
                </c:pt>
                <c:pt idx="82">
                  <c:v>-5.2265294582281502E-222</c:v>
                </c:pt>
                <c:pt idx="83">
                  <c:v>1.11216853015779E-222</c:v>
                </c:pt>
                <c:pt idx="84">
                  <c:v>-1.4571080894027501E-223</c:v>
                </c:pt>
                <c:pt idx="85">
                  <c:v>8.6666861422133495E-225</c:v>
                </c:pt>
                <c:pt idx="86">
                  <c:v>1.9635149429527802E-229</c:v>
                </c:pt>
                <c:pt idx="87">
                  <c:v>-4.0758386929317702E-230</c:v>
                </c:pt>
                <c:pt idx="88">
                  <c:v>5.9594611375817201E-231</c:v>
                </c:pt>
                <c:pt idx="89">
                  <c:v>-5.4959444028894599E-232</c:v>
                </c:pt>
                <c:pt idx="90">
                  <c:v>2.3825209701254598E-233</c:v>
                </c:pt>
                <c:pt idx="91">
                  <c:v>1.5530802835074401E-237</c:v>
                </c:pt>
                <c:pt idx="92">
                  <c:v>-2.4131495649485498E-238</c:v>
                </c:pt>
                <c:pt idx="93">
                  <c:v>2.6923577647275501E-239</c:v>
                </c:pt>
                <c:pt idx="94">
                  <c:v>-1.9205791981569901E-240</c:v>
                </c:pt>
                <c:pt idx="95">
                  <c:v>6.5472337489159699E-242</c:v>
                </c:pt>
                <c:pt idx="96">
                  <c:v>9.78811123612243E-246</c:v>
                </c:pt>
                <c:pt idx="97">
                  <c:v>-1.21875147254025E-246</c:v>
                </c:pt>
                <c:pt idx="98">
                  <c:v>1.1003717273987799E-247</c:v>
                </c:pt>
                <c:pt idx="99">
                  <c:v>-6.40562942487117E-249</c:v>
                </c:pt>
              </c:numCache>
            </c:numRef>
          </c:yVal>
          <c:smooth val="0"/>
          <c:extLst>
            <c:ext xmlns:c16="http://schemas.microsoft.com/office/drawing/2014/chart" uri="{C3380CC4-5D6E-409C-BE32-E72D297353CC}">
              <c16:uniqueId val="{00000006-F8DF-41D1-AED4-FB570A460941}"/>
            </c:ext>
          </c:extLst>
        </c:ser>
        <c:ser>
          <c:idx val="7"/>
          <c:order val="7"/>
          <c:tx>
            <c:strRef>
              <c:f>dynamicR!$CY$19</c:f>
              <c:strCache>
                <c:ptCount val="1"/>
                <c:pt idx="0">
                  <c:v>w2MD</c:v>
                </c:pt>
              </c:strCache>
            </c:strRef>
          </c:tx>
          <c:spPr>
            <a:ln w="19050" cap="rnd">
              <a:solidFill>
                <a:schemeClr val="accent2">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dynamicR!$CY$20:$CY$119</c:f>
              <c:numCache>
                <c:formatCode>0.00</c:formatCode>
                <c:ptCount val="100"/>
                <c:pt idx="0">
                  <c:v>0</c:v>
                </c:pt>
                <c:pt idx="1">
                  <c:v>1.9998164849522999E-2</c:v>
                </c:pt>
                <c:pt idx="2">
                  <c:v>3.9588529443272902E-2</c:v>
                </c:pt>
                <c:pt idx="3">
                  <c:v>5.8787279354100698E-2</c:v>
                </c:pt>
                <c:pt idx="4">
                  <c:v>7.7602248602412299E-2</c:v>
                </c:pt>
                <c:pt idx="5">
                  <c:v>9.6041105760717602E-2</c:v>
                </c:pt>
                <c:pt idx="6">
                  <c:v>0.114111366395414</c:v>
                </c:pt>
                <c:pt idx="7">
                  <c:v>0.13182039863023001</c:v>
                </c:pt>
                <c:pt idx="8">
                  <c:v>0.14917542446861201</c:v>
                </c:pt>
                <c:pt idx="9">
                  <c:v>0.166183521196413</c:v>
                </c:pt>
                <c:pt idx="10">
                  <c:v>0.182851624029225</c:v>
                </c:pt>
                <c:pt idx="11">
                  <c:v>0.19918652931927699</c:v>
                </c:pt>
                <c:pt idx="12">
                  <c:v>0.21519489755334301</c:v>
                </c:pt>
                <c:pt idx="13">
                  <c:v>0.23088325595981599</c:v>
                </c:pt>
                <c:pt idx="14">
                  <c:v>0.24625800163798001</c:v>
                </c:pt>
                <c:pt idx="15">
                  <c:v>0.26132540411092697</c:v>
                </c:pt>
                <c:pt idx="16">
                  <c:v>0.27609160742024003</c:v>
                </c:pt>
                <c:pt idx="17">
                  <c:v>0.290562632483154</c:v>
                </c:pt>
                <c:pt idx="18">
                  <c:v>0.30474437979380598</c:v>
                </c:pt>
                <c:pt idx="19">
                  <c:v>0.31864263202416598</c:v>
                </c:pt>
                <c:pt idx="20">
                  <c:v>0.33226305634083902</c:v>
                </c:pt>
                <c:pt idx="21">
                  <c:v>0.34561120659874001</c:v>
                </c:pt>
                <c:pt idx="22">
                  <c:v>0.358692525574767</c:v>
                </c:pt>
                <c:pt idx="23">
                  <c:v>0.37151234723535997</c:v>
                </c:pt>
                <c:pt idx="24">
                  <c:v>0.384075898944713</c:v>
                </c:pt>
                <c:pt idx="25">
                  <c:v>0.39638830358570298</c:v>
                </c:pt>
                <c:pt idx="26">
                  <c:v>0.40845458162732901</c:v>
                </c:pt>
                <c:pt idx="27">
                  <c:v>0.42027965316953902</c:v>
                </c:pt>
                <c:pt idx="28">
                  <c:v>0.43186833995839202</c:v>
                </c:pt>
                <c:pt idx="29">
                  <c:v>0.44322536735559398</c:v>
                </c:pt>
                <c:pt idx="30">
                  <c:v>0.45435536626580603</c:v>
                </c:pt>
                <c:pt idx="31">
                  <c:v>0.46526287502006602</c:v>
                </c:pt>
                <c:pt idx="32">
                  <c:v>0.47595234122501601</c:v>
                </c:pt>
                <c:pt idx="33">
                  <c:v>0.48642812357862902</c:v>
                </c:pt>
                <c:pt idx="34">
                  <c:v>0.49669449365061902</c:v>
                </c:pt>
                <c:pt idx="35">
                  <c:v>0.50675563762089704</c:v>
                </c:pt>
                <c:pt idx="36">
                  <c:v>0.51661565798597198</c:v>
                </c:pt>
                <c:pt idx="37">
                  <c:v>0.52627857523327704</c:v>
                </c:pt>
                <c:pt idx="38">
                  <c:v>0.53574832948002804</c:v>
                </c:pt>
                <c:pt idx="39">
                  <c:v>0.54502878208069205</c:v>
                </c:pt>
                <c:pt idx="40">
                  <c:v>0.55412371720043896</c:v>
                </c:pt>
                <c:pt idx="41">
                  <c:v>0.56303684335873205</c:v>
                </c:pt>
                <c:pt idx="42">
                  <c:v>0.57177179494006802</c:v>
                </c:pt>
                <c:pt idx="43">
                  <c:v>0.58033213367828496</c:v>
                </c:pt>
                <c:pt idx="44">
                  <c:v>0.58872135010784199</c:v>
                </c:pt>
                <c:pt idx="45">
                  <c:v>0.59694286498682503</c:v>
                </c:pt>
                <c:pt idx="46">
                  <c:v>0.60500003069067598</c:v>
                </c:pt>
                <c:pt idx="47">
                  <c:v>0.61289613258057996</c:v>
                </c:pt>
                <c:pt idx="48">
                  <c:v>0.62063439034432699</c:v>
                </c:pt>
                <c:pt idx="49">
                  <c:v>0.62821795930694802</c:v>
                </c:pt>
                <c:pt idx="50">
                  <c:v>0.62821795930694802</c:v>
                </c:pt>
                <c:pt idx="51">
                  <c:v>0.61565143675452405</c:v>
                </c:pt>
                <c:pt idx="52">
                  <c:v>0.60334395914891403</c:v>
                </c:pt>
                <c:pt idx="53">
                  <c:v>0.59128293026454404</c:v>
                </c:pt>
                <c:pt idx="54">
                  <c:v>0.57946326282572103</c:v>
                </c:pt>
                <c:pt idx="55">
                  <c:v>0.56787982078356503</c:v>
                </c:pt>
                <c:pt idx="56">
                  <c:v>0.556527873721402</c:v>
                </c:pt>
                <c:pt idx="57">
                  <c:v>0.54540283182443094</c:v>
                </c:pt>
                <c:pt idx="58">
                  <c:v>0.53450017608706502</c:v>
                </c:pt>
                <c:pt idx="59">
                  <c:v>0.52381546676898805</c:v>
                </c:pt>
                <c:pt idx="60">
                  <c:v>0.51334433977431404</c:v>
                </c:pt>
                <c:pt idx="61">
                  <c:v>0.50308251763621603</c:v>
                </c:pt>
                <c:pt idx="62">
                  <c:v>0.49302582392775401</c:v>
                </c:pt>
                <c:pt idx="63">
                  <c:v>0.48317016727673501</c:v>
                </c:pt>
                <c:pt idx="64">
                  <c:v>0.473511530508677</c:v>
                </c:pt>
                <c:pt idx="65">
                  <c:v>0.464045972761507</c:v>
                </c:pt>
                <c:pt idx="66">
                  <c:v>0.45476963243986201</c:v>
                </c:pt>
                <c:pt idx="67">
                  <c:v>0.445678726749826</c:v>
                </c:pt>
                <c:pt idx="68">
                  <c:v>0.43676954925031097</c:v>
                </c:pt>
                <c:pt idx="69">
                  <c:v>0.42803846748792401</c:v>
                </c:pt>
                <c:pt idx="70">
                  <c:v>0.41948192133826701</c:v>
                </c:pt>
                <c:pt idx="71">
                  <c:v>0.41109642172723398</c:v>
                </c:pt>
                <c:pt idx="72">
                  <c:v>0.40287854935556899</c:v>
                </c:pt>
                <c:pt idx="73">
                  <c:v>0.39482495332864198</c:v>
                </c:pt>
                <c:pt idx="74">
                  <c:v>0.38693234975732599</c:v>
                </c:pt>
                <c:pt idx="75">
                  <c:v>0.37919752045234301</c:v>
                </c:pt>
                <c:pt idx="76">
                  <c:v>0.37161731160425698</c:v>
                </c:pt>
                <c:pt idx="77">
                  <c:v>0.36418863227819998</c:v>
                </c:pt>
                <c:pt idx="78">
                  <c:v>0.35690845321571901</c:v>
                </c:pt>
                <c:pt idx="79">
                  <c:v>0.349773805805144</c:v>
                </c:pt>
                <c:pt idx="80">
                  <c:v>0.342781780902158</c:v>
                </c:pt>
                <c:pt idx="81">
                  <c:v>0.33592952752892502</c:v>
                </c:pt>
                <c:pt idx="82">
                  <c:v>0.32921425163818901</c:v>
                </c:pt>
                <c:pt idx="83">
                  <c:v>0.32263321500327702</c:v>
                </c:pt>
                <c:pt idx="84">
                  <c:v>0.31618373415024098</c:v>
                </c:pt>
                <c:pt idx="85">
                  <c:v>0.30986317927139601</c:v>
                </c:pt>
                <c:pt idx="86">
                  <c:v>0.30366897312986302</c:v>
                </c:pt>
                <c:pt idx="87">
                  <c:v>0.29759858999727101</c:v>
                </c:pt>
                <c:pt idx="88">
                  <c:v>0.29164955462983599</c:v>
                </c:pt>
                <c:pt idx="89">
                  <c:v>0.285819441267462</c:v>
                </c:pt>
                <c:pt idx="90">
                  <c:v>0.28010587264526698</c:v>
                </c:pt>
                <c:pt idx="91">
                  <c:v>0.27450651902026701</c:v>
                </c:pt>
                <c:pt idx="92">
                  <c:v>0.26901909721946299</c:v>
                </c:pt>
                <c:pt idx="93">
                  <c:v>0.26364136970954999</c:v>
                </c:pt>
                <c:pt idx="94">
                  <c:v>0.25837114368696801</c:v>
                </c:pt>
                <c:pt idx="95">
                  <c:v>0.25320627018310399</c:v>
                </c:pt>
                <c:pt idx="96">
                  <c:v>0.248144643187307</c:v>
                </c:pt>
                <c:pt idx="97">
                  <c:v>0.243184198787918</c:v>
                </c:pt>
                <c:pt idx="98">
                  <c:v>0.23832291433150099</c:v>
                </c:pt>
                <c:pt idx="99">
                  <c:v>0.23355880759750899</c:v>
                </c:pt>
              </c:numCache>
            </c:numRef>
          </c:yVal>
          <c:smooth val="0"/>
          <c:extLst>
            <c:ext xmlns:c16="http://schemas.microsoft.com/office/drawing/2014/chart" uri="{C3380CC4-5D6E-409C-BE32-E72D297353CC}">
              <c16:uniqueId val="{00000007-F8DF-41D1-AED4-FB570A460941}"/>
            </c:ext>
          </c:extLst>
        </c:ser>
        <c:ser>
          <c:idx val="8"/>
          <c:order val="8"/>
          <c:tx>
            <c:strRef>
              <c:f>dynamicR!$CZ$19</c:f>
              <c:strCache>
                <c:ptCount val="1"/>
                <c:pt idx="0">
                  <c:v>w2MS</c:v>
                </c:pt>
              </c:strCache>
            </c:strRef>
          </c:tx>
          <c:spPr>
            <a:ln w="19050" cap="rnd">
              <a:solidFill>
                <a:schemeClr val="accent3">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dynamicR!$CZ$20:$CZ$119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-1.5709586697113202E-213</c:v>
                </c:pt>
                <c:pt idx="52">
                  <c:v>3.7844417402550399E-215</c:v>
                </c:pt>
                <c:pt idx="53">
                  <c:v>-1.2817367665826699E-214</c:v>
                </c:pt>
                <c:pt idx="54">
                  <c:v>1.6854466665672999E-213</c:v>
                </c:pt>
                <c:pt idx="55">
                  <c:v>-1.0610314953927899E-213</c:v>
                </c:pt>
                <c:pt idx="56">
                  <c:v>3.4591427338621698E-213</c:v>
                </c:pt>
                <c:pt idx="57">
                  <c:v>-1.0080790074681899E-213</c:v>
                </c:pt>
                <c:pt idx="58">
                  <c:v>1.8767965424291501E-214</c:v>
                </c:pt>
                <c:pt idx="59">
                  <c:v>1.1431505411495699E-215</c:v>
                </c:pt>
                <c:pt idx="60">
                  <c:v>-2.1212252526366101E-215</c:v>
                </c:pt>
                <c:pt idx="61">
                  <c:v>1.0097409495779E-215</c:v>
                </c:pt>
                <c:pt idx="62">
                  <c:v>2.5104705440568298E-214</c:v>
                </c:pt>
                <c:pt idx="63">
                  <c:v>1.9497477199525302E-214</c:v>
                </c:pt>
                <c:pt idx="64">
                  <c:v>-1.5805557399623E-214</c:v>
                </c:pt>
                <c:pt idx="65">
                  <c:v>-3.61505312983437E-215</c:v>
                </c:pt>
                <c:pt idx="66">
                  <c:v>2.52529552914916E-214</c:v>
                </c:pt>
                <c:pt idx="67">
                  <c:v>-8.1627523709454497E-215</c:v>
                </c:pt>
                <c:pt idx="68">
                  <c:v>-2.7716230447777298E-214</c:v>
                </c:pt>
                <c:pt idx="69">
                  <c:v>2.3741474691414699E-214</c:v>
                </c:pt>
                <c:pt idx="70">
                  <c:v>2.21234803454114E-214</c:v>
                </c:pt>
                <c:pt idx="71">
                  <c:v>-4.0547151093944197E-214</c:v>
                </c:pt>
                <c:pt idx="72">
                  <c:v>-6.73649158501681E-215</c:v>
                </c:pt>
                <c:pt idx="73">
                  <c:v>5.35920303875597E-214</c:v>
                </c:pt>
                <c:pt idx="74">
                  <c:v>-1.89961440510345E-214</c:v>
                </c:pt>
                <c:pt idx="75">
                  <c:v>-5.4821722552472102E-214</c:v>
                </c:pt>
                <c:pt idx="76">
                  <c:v>5.2962335673242398E-214</c:v>
                </c:pt>
                <c:pt idx="77">
                  <c:v>-3.7966408250278497E-214</c:v>
                </c:pt>
                <c:pt idx="78">
                  <c:v>1.48440163979714E-214</c:v>
                </c:pt>
                <c:pt idx="79">
                  <c:v>-3.4350518368139501E-215</c:v>
                </c:pt>
                <c:pt idx="80">
                  <c:v>3.2523616320987503E-216</c:v>
                </c:pt>
                <c:pt idx="81">
                  <c:v>1.7363534878043701E-221</c:v>
                </c:pt>
                <c:pt idx="82">
                  <c:v>-5.3911812659022902E-222</c:v>
                </c:pt>
                <c:pt idx="83">
                  <c:v>1.1472052596625901E-222</c:v>
                </c:pt>
                <c:pt idx="84">
                  <c:v>-1.5030111738209699E-223</c:v>
                </c:pt>
                <c:pt idx="85">
                  <c:v>8.9397062014965599E-225</c:v>
                </c:pt>
                <c:pt idx="86">
                  <c:v>2.02501063719851E-229</c:v>
                </c:pt>
                <c:pt idx="87">
                  <c:v>-4.2029528356250896E-230</c:v>
                </c:pt>
                <c:pt idx="88">
                  <c:v>6.1453193385408201E-231</c:v>
                </c:pt>
                <c:pt idx="89">
                  <c:v>-5.6673461684153999E-232</c:v>
                </c:pt>
                <c:pt idx="90">
                  <c:v>2.4568265468945301E-233</c:v>
                </c:pt>
                <c:pt idx="91">
                  <c:v>1.6008260248018899E-237</c:v>
                </c:pt>
                <c:pt idx="92">
                  <c:v>-2.4876649094560198E-238</c:v>
                </c:pt>
                <c:pt idx="93">
                  <c:v>2.77549655684178E-239</c:v>
                </c:pt>
                <c:pt idx="94">
                  <c:v>-1.9798882925280699E-240</c:v>
                </c:pt>
                <c:pt idx="95">
                  <c:v>6.7494438659812297E-242</c:v>
                </c:pt>
                <c:pt idx="96">
                  <c:v>1.00825931158795E-245</c:v>
                </c:pt>
                <c:pt idx="97">
                  <c:v>-1.2560167090636E-246</c:v>
                </c:pt>
                <c:pt idx="98">
                  <c:v>1.13401789520512E-247</c:v>
                </c:pt>
                <c:pt idx="99">
                  <c:v>-6.6015043141264804E-249</c:v>
                </c:pt>
              </c:numCache>
            </c:numRef>
          </c:yVal>
          <c:smooth val="0"/>
          <c:extLst>
            <c:ext xmlns:c16="http://schemas.microsoft.com/office/drawing/2014/chart" uri="{C3380CC4-5D6E-409C-BE32-E72D297353CC}">
              <c16:uniqueId val="{00000008-F8DF-41D1-AED4-FB570A460941}"/>
            </c:ext>
          </c:extLst>
        </c:ser>
        <c:ser>
          <c:idx val="9"/>
          <c:order val="9"/>
          <c:tx>
            <c:strRef>
              <c:f>dynamicR!$DA$19</c:f>
              <c:strCache>
                <c:ptCount val="1"/>
                <c:pt idx="0">
                  <c:v>w2MA</c:v>
                </c:pt>
              </c:strCache>
            </c:strRef>
          </c:tx>
          <c:spPr>
            <a:ln w="19050" cap="rnd">
              <a:solidFill>
                <a:schemeClr val="accent4">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dynamicR!$DA$20:$DA$119</c:f>
              <c:numCache>
                <c:formatCode>0.00</c:formatCode>
                <c:ptCount val="100"/>
                <c:pt idx="0">
                  <c:v>0</c:v>
                </c:pt>
                <c:pt idx="1">
                  <c:v>1</c:v>
                </c:pt>
                <c:pt idx="2">
                  <c:v>0.999999999999997</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0.999999999999999</c:v>
                </c:pt>
                <c:pt idx="49">
                  <c:v>1</c:v>
                </c:pt>
                <c:pt idx="50">
                  <c:v>1</c:v>
                </c:pt>
                <c:pt idx="51">
                  <c:v>4.1424068387916201E-27</c:v>
                </c:pt>
                <c:pt idx="52">
                  <c:v>-7.14542150044224E-31</c:v>
                </c:pt>
                <c:pt idx="53">
                  <c:v>-2.2823167679812499E-28</c:v>
                </c:pt>
                <c:pt idx="54">
                  <c:v>-1.71187172195115E-26</c:v>
                </c:pt>
                <c:pt idx="55">
                  <c:v>9.3525172566469295E-27</c:v>
                </c:pt>
                <c:pt idx="56">
                  <c:v>-3.2136101803090401E-26</c:v>
                </c:pt>
                <c:pt idx="57">
                  <c:v>9.3675856602092799E-27</c:v>
                </c:pt>
                <c:pt idx="58">
                  <c:v>-1.75508093938854E-27</c:v>
                </c:pt>
                <c:pt idx="59">
                  <c:v>-1.06933666793463E-28</c:v>
                </c:pt>
                <c:pt idx="60">
                  <c:v>1.98398726436314E-28</c:v>
                </c:pt>
                <c:pt idx="61">
                  <c:v>-9.4385461337918399E-29</c:v>
                </c:pt>
                <c:pt idx="62">
                  <c:v>-2.3477596673831599E-27</c:v>
                </c:pt>
                <c:pt idx="63">
                  <c:v>-1.8233657966827001E-27</c:v>
                </c:pt>
                <c:pt idx="64">
                  <c:v>1.4781551277775499E-27</c:v>
                </c:pt>
                <c:pt idx="65">
                  <c:v>3.3806639396048299E-28</c:v>
                </c:pt>
                <c:pt idx="66">
                  <c:v>-2.36165573357127E-27</c:v>
                </c:pt>
                <c:pt idx="67">
                  <c:v>7.6339266620467604E-28</c:v>
                </c:pt>
                <c:pt idx="68">
                  <c:v>2.5920095333041502E-27</c:v>
                </c:pt>
                <c:pt idx="69">
                  <c:v>-2.2203050280668099E-27</c:v>
                </c:pt>
                <c:pt idx="70">
                  <c:v>-2.0689715482736501E-27</c:v>
                </c:pt>
                <c:pt idx="71">
                  <c:v>3.7919546126231499E-27</c:v>
                </c:pt>
                <c:pt idx="72">
                  <c:v>6.29988851714877E-28</c:v>
                </c:pt>
                <c:pt idx="73">
                  <c:v>-5.0118944793449199E-27</c:v>
                </c:pt>
                <c:pt idx="74">
                  <c:v>1.7765021352255098E-27</c:v>
                </c:pt>
                <c:pt idx="75">
                  <c:v>5.12688999352658E-27</c:v>
                </c:pt>
                <c:pt idx="76">
                  <c:v>-4.9529872164799299E-27</c:v>
                </c:pt>
                <c:pt idx="77">
                  <c:v>3.5505509128516301E-27</c:v>
                </c:pt>
                <c:pt idx="78">
                  <c:v>-1.3881440928200001E-27</c:v>
                </c:pt>
                <c:pt idx="79">
                  <c:v>3.21196181940215E-28</c:v>
                </c:pt>
                <c:pt idx="80">
                  <c:v>-3.03880194538302E-29</c:v>
                </c:pt>
                <c:pt idx="81">
                  <c:v>-1.21245715531692E-32</c:v>
                </c:pt>
                <c:pt idx="82">
                  <c:v>3.7643844560766798E-33</c:v>
                </c:pt>
                <c:pt idx="83">
                  <c:v>-8.0093817723804898E-34</c:v>
                </c:pt>
                <c:pt idx="84">
                  <c:v>1.04886498003915E-34</c:v>
                </c:pt>
                <c:pt idx="85">
                  <c:v>-6.2184641752866501E-36</c:v>
                </c:pt>
                <c:pt idx="86">
                  <c:v>-6.7416138470087095E-39</c:v>
                </c:pt>
                <c:pt idx="87">
                  <c:v>1.3897647206119401E-39</c:v>
                </c:pt>
                <c:pt idx="88">
                  <c:v>-2.0312732261343498E-40</c:v>
                </c:pt>
                <c:pt idx="89">
                  <c:v>1.8705563745940001E-41</c:v>
                </c:pt>
                <c:pt idx="90">
                  <c:v>-8.0273880103398298E-43</c:v>
                </c:pt>
                <c:pt idx="91">
                  <c:v>-2.04160907049965E-45</c:v>
                </c:pt>
                <c:pt idx="92">
                  <c:v>3.1640638207667798E-46</c:v>
                </c:pt>
                <c:pt idx="93">
                  <c:v>-3.5267872627662098E-47</c:v>
                </c:pt>
                <c:pt idx="94">
                  <c:v>2.50644355171156E-48</c:v>
                </c:pt>
                <c:pt idx="95">
                  <c:v>-8.3243467514753701E-50</c:v>
                </c:pt>
                <c:pt idx="96">
                  <c:v>-4.3932213844892999E-52</c:v>
                </c:pt>
                <c:pt idx="97">
                  <c:v>5.4609309958311496E-53</c:v>
                </c:pt>
                <c:pt idx="98">
                  <c:v>-4.9201190036508201E-54</c:v>
                </c:pt>
                <c:pt idx="99">
                  <c:v>2.84051433380615E-55</c:v>
                </c:pt>
              </c:numCache>
            </c:numRef>
          </c:yVal>
          <c:smooth val="0"/>
          <c:extLst>
            <c:ext xmlns:c16="http://schemas.microsoft.com/office/drawing/2014/chart" uri="{C3380CC4-5D6E-409C-BE32-E72D297353CC}">
              <c16:uniqueId val="{00000009-F8DF-41D1-AED4-FB570A460941}"/>
            </c:ext>
          </c:extLst>
        </c:ser>
        <c:ser>
          <c:idx val="10"/>
          <c:order val="10"/>
          <c:tx>
            <c:strRef>
              <c:f>dynamicR!$DB$19</c:f>
              <c:strCache>
                <c:ptCount val="1"/>
                <c:pt idx="0">
                  <c:v>w2MP</c:v>
                </c:pt>
              </c:strCache>
            </c:strRef>
          </c:tx>
          <c:spPr>
            <a:ln w="19050" cap="rnd">
              <a:solidFill>
                <a:schemeClr val="accent5">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dynamicR!$DB$20:$DB$119</c:f>
              <c:numCache>
                <c:formatCode>0.00</c:formatCode>
                <c:ptCount val="100"/>
                <c:pt idx="0">
                  <c:v>0</c:v>
                </c:pt>
                <c:pt idx="1">
                  <c:v>1</c:v>
                </c:pt>
                <c:pt idx="2">
                  <c:v>1</c:v>
                </c:pt>
                <c:pt idx="3">
                  <c:v>1</c:v>
                </c:pt>
                <c:pt idx="4">
                  <c:v>0.99999999999997302</c:v>
                </c:pt>
                <c:pt idx="5">
                  <c:v>1.0000000000000799</c:v>
                </c:pt>
                <c:pt idx="6">
                  <c:v>1.00000000000005</c:v>
                </c:pt>
                <c:pt idx="7">
                  <c:v>1.00000000000002</c:v>
                </c:pt>
                <c:pt idx="8">
                  <c:v>1</c:v>
                </c:pt>
                <c:pt idx="9">
                  <c:v>1.00000000000001</c:v>
                </c:pt>
                <c:pt idx="10">
                  <c:v>1.00000000000001</c:v>
                </c:pt>
                <c:pt idx="11">
                  <c:v>1.00000000000001</c:v>
                </c:pt>
                <c:pt idx="12">
                  <c:v>1.00000000000001</c:v>
                </c:pt>
                <c:pt idx="13">
                  <c:v>1.00000000000001</c:v>
                </c:pt>
                <c:pt idx="14">
                  <c:v>0.999999999999996</c:v>
                </c:pt>
                <c:pt idx="15">
                  <c:v>0.99999999999999001</c:v>
                </c:pt>
                <c:pt idx="16">
                  <c:v>1</c:v>
                </c:pt>
                <c:pt idx="17">
                  <c:v>1</c:v>
                </c:pt>
                <c:pt idx="18">
                  <c:v>0.99999999999998901</c:v>
                </c:pt>
                <c:pt idx="19">
                  <c:v>1.00000000000001</c:v>
                </c:pt>
                <c:pt idx="20">
                  <c:v>1.00000000000001</c:v>
                </c:pt>
                <c:pt idx="21">
                  <c:v>0.99999999999997602</c:v>
                </c:pt>
                <c:pt idx="22">
                  <c:v>0.999999999999998</c:v>
                </c:pt>
                <c:pt idx="23">
                  <c:v>1</c:v>
                </c:pt>
                <c:pt idx="24">
                  <c:v>0.999999999999998</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-6.9285085298519301E-22</c:v>
                </c:pt>
                <c:pt idx="52">
                  <c:v>1.00645385303258E-25</c:v>
                </c:pt>
                <c:pt idx="53">
                  <c:v>3.82814044040868E-23</c:v>
                </c:pt>
                <c:pt idx="54">
                  <c:v>2.86565675964253E-21</c:v>
                </c:pt>
                <c:pt idx="55">
                  <c:v>-1.56553197229062E-21</c:v>
                </c:pt>
                <c:pt idx="56">
                  <c:v>5.3794042914324199E-21</c:v>
                </c:pt>
                <c:pt idx="57">
                  <c:v>-1.56808175492645E-21</c:v>
                </c:pt>
                <c:pt idx="58">
                  <c:v>2.9379139498866702E-22</c:v>
                </c:pt>
                <c:pt idx="59">
                  <c:v>1.7900136372904201E-23</c:v>
                </c:pt>
                <c:pt idx="60">
                  <c:v>-3.3210910251173302E-23</c:v>
                </c:pt>
                <c:pt idx="61">
                  <c:v>1.5799636039731199E-23</c:v>
                </c:pt>
                <c:pt idx="62">
                  <c:v>3.9300271744186801E-22</c:v>
                </c:pt>
                <c:pt idx="63">
                  <c:v>3.0522192052400501E-22</c:v>
                </c:pt>
                <c:pt idx="64">
                  <c:v>-2.4743545311305199E-22</c:v>
                </c:pt>
                <c:pt idx="65">
                  <c:v>-5.6590550739153004E-23</c:v>
                </c:pt>
                <c:pt idx="66">
                  <c:v>3.95328844728559E-22</c:v>
                </c:pt>
                <c:pt idx="67">
                  <c:v>-1.2778794766049599E-22</c:v>
                </c:pt>
                <c:pt idx="68">
                  <c:v>-4.3388886923983702E-22</c:v>
                </c:pt>
                <c:pt idx="69">
                  <c:v>3.71667474153428E-22</c:v>
                </c:pt>
                <c:pt idx="70">
                  <c:v>3.4633504041039199E-22</c:v>
                </c:pt>
                <c:pt idx="71">
                  <c:v>-6.3475341332623601E-22</c:v>
                </c:pt>
                <c:pt idx="72">
                  <c:v>-1.05456846386295E-22</c:v>
                </c:pt>
                <c:pt idx="73">
                  <c:v>8.3896498125126604E-22</c:v>
                </c:pt>
                <c:pt idx="74">
                  <c:v>-2.97377187047248E-22</c:v>
                </c:pt>
                <c:pt idx="75">
                  <c:v>-8.5821463046958601E-22</c:v>
                </c:pt>
                <c:pt idx="76">
                  <c:v>8.2910421380774904E-22</c:v>
                </c:pt>
                <c:pt idx="77">
                  <c:v>-5.9434369657775702E-22</c:v>
                </c:pt>
                <c:pt idx="78">
                  <c:v>2.32368080204971E-22</c:v>
                </c:pt>
                <c:pt idx="79">
                  <c:v>-5.37665671939692E-23</c:v>
                </c:pt>
                <c:pt idx="80">
                  <c:v>5.0867973360643802E-24</c:v>
                </c:pt>
                <c:pt idx="81">
                  <c:v>2.0289633864875999E-27</c:v>
                </c:pt>
                <c:pt idx="82">
                  <c:v>-6.2994377167747797E-28</c:v>
                </c:pt>
                <c:pt idx="83">
                  <c:v>1.3403148389074199E-28</c:v>
                </c:pt>
                <c:pt idx="84">
                  <c:v>-1.7552035109816599E-29</c:v>
                </c:pt>
                <c:pt idx="85">
                  <c:v>1.0406183601070599E-30</c:v>
                </c:pt>
                <c:pt idx="86">
                  <c:v>1.12779746976287E-33</c:v>
                </c:pt>
                <c:pt idx="87">
                  <c:v>-2.3249198139892101E-34</c:v>
                </c:pt>
                <c:pt idx="88">
                  <c:v>3.3980916466646799E-35</c:v>
                </c:pt>
                <c:pt idx="89">
                  <c:v>-3.1292318055358698E-36</c:v>
                </c:pt>
                <c:pt idx="90">
                  <c:v>1.34289638288004E-37</c:v>
                </c:pt>
                <c:pt idx="91">
                  <c:v>3.4143863507186302E-40</c:v>
                </c:pt>
                <c:pt idx="92">
                  <c:v>-5.2915743505176003E-41</c:v>
                </c:pt>
                <c:pt idx="93">
                  <c:v>5.8981937806324794E-42</c:v>
                </c:pt>
                <c:pt idx="94">
                  <c:v>-4.1917764708929599E-43</c:v>
                </c:pt>
                <c:pt idx="95">
                  <c:v>1.3921733573309901E-44</c:v>
                </c:pt>
                <c:pt idx="96">
                  <c:v>7.3453652954361302E-47</c:v>
                </c:pt>
                <c:pt idx="97">
                  <c:v>-9.1305444230244304E-48</c:v>
                </c:pt>
                <c:pt idx="98">
                  <c:v>8.2263236541987894E-49</c:v>
                </c:pt>
                <c:pt idx="99">
                  <c:v>-4.7492819092058699E-50</c:v>
                </c:pt>
              </c:numCache>
            </c:numRef>
          </c:yVal>
          <c:smooth val="0"/>
          <c:extLst>
            <c:ext xmlns:c16="http://schemas.microsoft.com/office/drawing/2014/chart" uri="{C3380CC4-5D6E-409C-BE32-E72D297353CC}">
              <c16:uniqueId val="{0000000A-F8DF-41D1-AED4-FB570A460941}"/>
            </c:ext>
          </c:extLst>
        </c:ser>
        <c:ser>
          <c:idx val="11"/>
          <c:order val="11"/>
          <c:tx>
            <c:strRef>
              <c:f>dynamicR!$DC$19</c:f>
              <c:strCache>
                <c:ptCount val="1"/>
                <c:pt idx="0">
                  <c:v>w3MD</c:v>
                </c:pt>
              </c:strCache>
            </c:strRef>
          </c:tx>
          <c:spPr>
            <a:ln w="19050" cap="rnd">
              <a:solidFill>
                <a:schemeClr val="accent6">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dynamicR!$DC$20:$DC$119</c:f>
              <c:numCache>
                <c:formatCode>0.00</c:formatCode>
                <c:ptCount val="100"/>
                <c:pt idx="0">
                  <c:v>0</c:v>
                </c:pt>
                <c:pt idx="1">
                  <c:v>1.99969615814251E-2</c:v>
                </c:pt>
                <c:pt idx="2">
                  <c:v>3.9587350228661299E-2</c:v>
                </c:pt>
                <c:pt idx="3">
                  <c:v>5.8786123712142098E-2</c:v>
                </c:pt>
                <c:pt idx="4">
                  <c:v>7.76011160618926E-2</c:v>
                </c:pt>
                <c:pt idx="5">
                  <c:v>9.6039995859837302E-2</c:v>
                </c:pt>
                <c:pt idx="6">
                  <c:v>0.11411027868160301</c:v>
                </c:pt>
                <c:pt idx="7">
                  <c:v>0.13181933265996401</c:v>
                </c:pt>
                <c:pt idx="8">
                  <c:v>0.149174379807233</c:v>
                </c:pt>
                <c:pt idx="9">
                  <c:v>0.16618249741795399</c:v>
                </c:pt>
                <c:pt idx="10">
                  <c:v>0.18285062071623401</c:v>
                </c:pt>
                <c:pt idx="11">
                  <c:v>0.19918554606264699</c:v>
                </c:pt>
                <c:pt idx="12">
                  <c:v>0.21519393395214501</c:v>
                </c:pt>
                <c:pt idx="13">
                  <c:v>0.23088231162113401</c:v>
                </c:pt>
                <c:pt idx="14">
                  <c:v>0.24625707617675299</c:v>
                </c:pt>
                <c:pt idx="15">
                  <c:v>0.261324497149793</c:v>
                </c:pt>
                <c:pt idx="16">
                  <c:v>0.276090718589379</c:v>
                </c:pt>
                <c:pt idx="17">
                  <c:v>0.29056176142014101</c:v>
                </c:pt>
                <c:pt idx="18">
                  <c:v>0.30474352614345901</c:v>
                </c:pt>
                <c:pt idx="19">
                  <c:v>0.31864179543840199</c:v>
                </c:pt>
                <c:pt idx="20">
                  <c:v>0.33226223647853498</c:v>
                </c:pt>
                <c:pt idx="21">
                  <c:v>0.34561040312559299</c:v>
                </c:pt>
                <c:pt idx="22">
                  <c:v>0.35869173816315503</c:v>
                </c:pt>
                <c:pt idx="23">
                  <c:v>0.37151157556420999</c:v>
                </c:pt>
                <c:pt idx="24">
                  <c:v>0.38407514269937199</c:v>
                </c:pt>
                <c:pt idx="25">
                  <c:v>0.39638756245780798</c:v>
                </c:pt>
                <c:pt idx="26">
                  <c:v>0.40845385531467898</c:v>
                </c:pt>
                <c:pt idx="27">
                  <c:v>0.42027894137597399</c:v>
                </c:pt>
                <c:pt idx="28">
                  <c:v>0.43186764239367598</c:v>
                </c:pt>
                <c:pt idx="29">
                  <c:v>0.443224683735289</c:v>
                </c:pt>
                <c:pt idx="30">
                  <c:v>0.45435469631116199</c:v>
                </c:pt>
                <c:pt idx="31">
                  <c:v>0.465262218457905</c:v>
                </c:pt>
                <c:pt idx="32">
                  <c:v>0.47595169778761998</c:v>
                </c:pt>
                <c:pt idx="33">
                  <c:v>0.48642749300363203</c:v>
                </c:pt>
                <c:pt idx="34">
                  <c:v>0.49669387568090001</c:v>
                </c:pt>
                <c:pt idx="35">
                  <c:v>0.50675503200447503</c:v>
                </c:pt>
                <c:pt idx="36">
                  <c:v>0.516615064475902</c:v>
                </c:pt>
                <c:pt idx="37">
                  <c:v>0.52627799358755201</c:v>
                </c:pt>
                <c:pt idx="38">
                  <c:v>0.53574775946147801</c:v>
                </c:pt>
                <c:pt idx="39">
                  <c:v>0.54502822345688895</c:v>
                </c:pt>
                <c:pt idx="40">
                  <c:v>0.55412316974359999</c:v>
                </c:pt>
                <c:pt idx="41">
                  <c:v>0.563036306845628</c:v>
                </c:pt>
                <c:pt idx="42">
                  <c:v>0.57177126915193199</c:v>
                </c:pt>
                <c:pt idx="43">
                  <c:v>0.580331618400724</c:v>
                </c:pt>
                <c:pt idx="44">
                  <c:v>0.58872084513074796</c:v>
                </c:pt>
                <c:pt idx="45">
                  <c:v>0.59694237010428997</c:v>
                </c:pt>
                <c:pt idx="46">
                  <c:v>0.60499954570090897</c:v>
                </c:pt>
                <c:pt idx="47">
                  <c:v>0.61289565728582296</c:v>
                </c:pt>
                <c:pt idx="48">
                  <c:v>0.62063392455077504</c:v>
                </c:pt>
                <c:pt idx="49">
                  <c:v>0.62821750282467204</c:v>
                </c:pt>
                <c:pt idx="50">
                  <c:v>0.62821750282467204</c:v>
                </c:pt>
                <c:pt idx="51">
                  <c:v>0.61565219266508098</c:v>
                </c:pt>
                <c:pt idx="52">
                  <c:v>0.60334469994807105</c:v>
                </c:pt>
                <c:pt idx="53">
                  <c:v>0.59128365625490797</c:v>
                </c:pt>
                <c:pt idx="54">
                  <c:v>0.57946397430362795</c:v>
                </c:pt>
                <c:pt idx="55">
                  <c:v>0.56788051803907602</c:v>
                </c:pt>
                <c:pt idx="56">
                  <c:v>0.55652855703871296</c:v>
                </c:pt>
                <c:pt idx="57">
                  <c:v>0.54540350148218797</c:v>
                </c:pt>
                <c:pt idx="58">
                  <c:v>0.53450083235829404</c:v>
                </c:pt>
                <c:pt idx="59">
                  <c:v>0.52381610992129302</c:v>
                </c:pt>
                <c:pt idx="60">
                  <c:v>0.51334497006993596</c:v>
                </c:pt>
                <c:pt idx="61">
                  <c:v>0.50308313533214499</c:v>
                </c:pt>
                <c:pt idx="62">
                  <c:v>0.49302642927585</c:v>
                </c:pt>
                <c:pt idx="63">
                  <c:v>0.48317076052383701</c:v>
                </c:pt>
                <c:pt idx="64">
                  <c:v>0.47351211189669001</c:v>
                </c:pt>
                <c:pt idx="65">
                  <c:v>0.464046542527495</c:v>
                </c:pt>
                <c:pt idx="66">
                  <c:v>0.454770190816154</c:v>
                </c:pt>
                <c:pt idx="67">
                  <c:v>0.44567927396410101</c:v>
                </c:pt>
                <c:pt idx="68">
                  <c:v>0.43677008552570001</c:v>
                </c:pt>
                <c:pt idx="69">
                  <c:v>0.42803899304309501</c:v>
                </c:pt>
                <c:pt idx="70">
                  <c:v>0.41948243638752097</c:v>
                </c:pt>
                <c:pt idx="71">
                  <c:v>0.41109692648058499</c:v>
                </c:pt>
                <c:pt idx="72">
                  <c:v>0.40287904401883101</c:v>
                </c:pt>
                <c:pt idx="73">
                  <c:v>0.39482543810352</c:v>
                </c:pt>
                <c:pt idx="74">
                  <c:v>0.386932824841491</c:v>
                </c:pt>
                <c:pt idx="75">
                  <c:v>0.37919798603951099</c:v>
                </c:pt>
                <c:pt idx="76">
                  <c:v>0.37161776788427398</c:v>
                </c:pt>
                <c:pt idx="77">
                  <c:v>0.36418907943712098</c:v>
                </c:pt>
                <c:pt idx="78">
                  <c:v>0.35690889143587301</c:v>
                </c:pt>
                <c:pt idx="79">
                  <c:v>0.34977423526522</c:v>
                </c:pt>
                <c:pt idx="80">
                  <c:v>0.34278220177726898</c:v>
                </c:pt>
                <c:pt idx="81">
                  <c:v>0.33592993999068699</c:v>
                </c:pt>
                <c:pt idx="82">
                  <c:v>0.32921465585478599</c:v>
                </c:pt>
                <c:pt idx="83">
                  <c:v>0.32263361113952999</c:v>
                </c:pt>
                <c:pt idx="84">
                  <c:v>0.31618412236767801</c:v>
                </c:pt>
                <c:pt idx="85">
                  <c:v>0.30986355972831497</c:v>
                </c:pt>
                <c:pt idx="86">
                  <c:v>0.303669345981397</c:v>
                </c:pt>
                <c:pt idx="87">
                  <c:v>0.297598955395454</c:v>
                </c:pt>
                <c:pt idx="88">
                  <c:v>0.29164991272365998</c:v>
                </c:pt>
                <c:pt idx="89">
                  <c:v>0.28581979220294301</c:v>
                </c:pt>
                <c:pt idx="90">
                  <c:v>0.280106216565501</c:v>
                </c:pt>
                <c:pt idx="91">
                  <c:v>0.27450685606549002</c:v>
                </c:pt>
                <c:pt idx="92">
                  <c:v>0.269019427527107</c:v>
                </c:pt>
                <c:pt idx="93">
                  <c:v>0.26364169341429999</c:v>
                </c:pt>
                <c:pt idx="94">
                  <c:v>0.25837146092081698</c:v>
                </c:pt>
                <c:pt idx="95">
                  <c:v>0.253206581075407</c:v>
                </c:pt>
                <c:pt idx="96">
                  <c:v>0.24814494786483099</c:v>
                </c:pt>
                <c:pt idx="97">
                  <c:v>0.243184497374898</c:v>
                </c:pt>
                <c:pt idx="98">
                  <c:v>0.23832320694968701</c:v>
                </c:pt>
                <c:pt idx="99">
                  <c:v>0.23355909436621899</c:v>
                </c:pt>
              </c:numCache>
            </c:numRef>
          </c:yVal>
          <c:smooth val="0"/>
          <c:extLst>
            <c:ext xmlns:c16="http://schemas.microsoft.com/office/drawing/2014/chart" uri="{C3380CC4-5D6E-409C-BE32-E72D297353CC}">
              <c16:uniqueId val="{0000000B-F8DF-41D1-AED4-FB570A460941}"/>
            </c:ext>
          </c:extLst>
        </c:ser>
        <c:ser>
          <c:idx val="12"/>
          <c:order val="12"/>
          <c:tx>
            <c:strRef>
              <c:f>dynamicR!$DD$19</c:f>
              <c:strCache>
                <c:ptCount val="1"/>
                <c:pt idx="0">
                  <c:v>w3MS</c:v>
                </c:pt>
              </c:strCache>
            </c:strRef>
          </c:tx>
          <c:spPr>
            <a:ln w="19050" cap="rnd">
              <a:solidFill>
                <a:schemeClr val="accent1">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dynamicR!$DD$20:$DD$119</c:f>
              <c:numCache>
                <c:formatCode>0.00</c:formatCode>
                <c:ptCount val="100"/>
                <c:pt idx="0">
                  <c:v>0</c:v>
                </c:pt>
                <c:pt idx="1">
                  <c:v>1</c:v>
                </c:pt>
                <c:pt idx="2">
                  <c:v>0.999999999999999</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1</c:v>
                </c:pt>
                <c:pt idx="21">
                  <c:v>1</c:v>
                </c:pt>
                <c:pt idx="22">
                  <c:v>0.999999999999999</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-1.57120617034727E-213</c:v>
                </c:pt>
                <c:pt idx="52">
                  <c:v>3.78503773797783E-215</c:v>
                </c:pt>
                <c:pt idx="53">
                  <c:v>-1.28193864895277E-214</c:v>
                </c:pt>
                <c:pt idx="54">
                  <c:v>1.6857121662615199E-213</c:v>
                </c:pt>
                <c:pt idx="55">
                  <c:v>-1.0611986417005101E-213</c:v>
                </c:pt>
                <c:pt idx="56">
                  <c:v>3.45968764308261E-213</c:v>
                </c:pt>
                <c:pt idx="57">
                  <c:v>-1.0082378072077E-213</c:v>
                </c:pt>
                <c:pt idx="58">
                  <c:v>1.8770921880473002E-214</c:v>
                </c:pt>
                <c:pt idx="59">
                  <c:v>1.1433306179131899E-215</c:v>
                </c:pt>
                <c:pt idx="60">
                  <c:v>-2.12155940230913E-215</c:v>
                </c:pt>
                <c:pt idx="61">
                  <c:v>1.00990001076615E-215</c:v>
                </c:pt>
                <c:pt idx="62">
                  <c:v>2.5108660102667998E-214</c:v>
                </c:pt>
                <c:pt idx="63">
                  <c:v>1.95005485733087E-214</c:v>
                </c:pt>
                <c:pt idx="64">
                  <c:v>-1.580804719736E-214</c:v>
                </c:pt>
                <c:pt idx="65">
                  <c:v>-3.6156225973250401E-215</c:v>
                </c:pt>
                <c:pt idx="66">
                  <c:v>2.5256933306904502E-214</c:v>
                </c:pt>
                <c:pt idx="67">
                  <c:v>-8.1640382226151701E-215</c:v>
                </c:pt>
                <c:pt idx="68">
                  <c:v>-2.7720596494865499E-214</c:v>
                </c:pt>
                <c:pt idx="69">
                  <c:v>2.3745214608233999E-214</c:v>
                </c:pt>
                <c:pt idx="70">
                  <c:v>2.2126965384877099E-214</c:v>
                </c:pt>
                <c:pt idx="71">
                  <c:v>-4.0553538353974903E-214</c:v>
                </c:pt>
                <c:pt idx="72">
                  <c:v>-6.7375527624936602E-215</c:v>
                </c:pt>
                <c:pt idx="73">
                  <c:v>5.3600472564739698E-214</c:v>
                </c:pt>
                <c:pt idx="74">
                  <c:v>-1.89991364514454E-214</c:v>
                </c:pt>
                <c:pt idx="75">
                  <c:v>-5.4830358439035799E-214</c:v>
                </c:pt>
                <c:pt idx="76">
                  <c:v>5.2970678656672601E-214</c:v>
                </c:pt>
                <c:pt idx="77">
                  <c:v>-3.7972388974332398E-214</c:v>
                </c:pt>
                <c:pt idx="78">
                  <c:v>1.48463547273E-214</c:v>
                </c:pt>
                <c:pt idx="79">
                  <c:v>-3.4355929492883901E-215</c:v>
                </c:pt>
                <c:pt idx="80">
                  <c:v>3.2528739659768801E-216</c:v>
                </c:pt>
                <c:pt idx="81">
                  <c:v>1.7366274479416101E-221</c:v>
                </c:pt>
                <c:pt idx="82">
                  <c:v>-5.3920325891169698E-222</c:v>
                </c:pt>
                <c:pt idx="83">
                  <c:v>1.14738654861188E-222</c:v>
                </c:pt>
                <c:pt idx="84">
                  <c:v>-1.50324890770222E-223</c:v>
                </c:pt>
                <c:pt idx="85">
                  <c:v>8.9411255834620606E-225</c:v>
                </c:pt>
                <c:pt idx="86">
                  <c:v>2.0175328139525298E-229</c:v>
                </c:pt>
                <c:pt idx="87">
                  <c:v>-4.2036166085481803E-230</c:v>
                </c:pt>
                <c:pt idx="88">
                  <c:v>6.1462896167628506E-231</c:v>
                </c:pt>
                <c:pt idx="89">
                  <c:v>-5.6682407047941099E-232</c:v>
                </c:pt>
                <c:pt idx="90">
                  <c:v>2.4572150892956102E-233</c:v>
                </c:pt>
                <c:pt idx="91">
                  <c:v>1.59844237207169E-237</c:v>
                </c:pt>
                <c:pt idx="92">
                  <c:v>-2.4880579684101401E-238</c:v>
                </c:pt>
                <c:pt idx="93">
                  <c:v>2.7759349364147601E-239</c:v>
                </c:pt>
                <c:pt idx="94">
                  <c:v>-1.9802003831169701E-240</c:v>
                </c:pt>
                <c:pt idx="95">
                  <c:v>6.7505080978523901E-242</c:v>
                </c:pt>
                <c:pt idx="96">
                  <c:v>1.00828963097775E-245</c:v>
                </c:pt>
                <c:pt idx="97">
                  <c:v>-1.2562151943233999E-246</c:v>
                </c:pt>
                <c:pt idx="98">
                  <c:v>1.13419818384132E-247</c:v>
                </c:pt>
                <c:pt idx="99">
                  <c:v>-6.6025558160467801E-249</c:v>
                </c:pt>
              </c:numCache>
            </c:numRef>
          </c:yVal>
          <c:smooth val="0"/>
          <c:extLst>
            <c:ext xmlns:c16="http://schemas.microsoft.com/office/drawing/2014/chart" uri="{C3380CC4-5D6E-409C-BE32-E72D297353CC}">
              <c16:uniqueId val="{0000000C-F8DF-41D1-AED4-FB570A460941}"/>
            </c:ext>
          </c:extLst>
        </c:ser>
        <c:ser>
          <c:idx val="13"/>
          <c:order val="13"/>
          <c:tx>
            <c:strRef>
              <c:f>dynamicR!$DE$19</c:f>
              <c:strCache>
                <c:ptCount val="1"/>
                <c:pt idx="0">
                  <c:v>w3MA</c:v>
                </c:pt>
              </c:strCache>
            </c:strRef>
          </c:tx>
          <c:spPr>
            <a:ln w="19050" cap="rnd">
              <a:solidFill>
                <a:schemeClr val="accent2">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dynamicR!$DE$20:$DE$119</c:f>
              <c:numCache>
                <c:formatCode>0.00</c:formatCode>
                <c:ptCount val="100"/>
                <c:pt idx="0">
                  <c:v>0</c:v>
                </c:pt>
                <c:pt idx="1">
                  <c:v>0.999999999999999</c:v>
                </c:pt>
                <c:pt idx="2">
                  <c:v>0.999999999999997</c:v>
                </c:pt>
                <c:pt idx="3">
                  <c:v>0.999999999999995</c:v>
                </c:pt>
                <c:pt idx="4">
                  <c:v>0.999999999999999</c:v>
                </c:pt>
                <c:pt idx="5">
                  <c:v>1</c:v>
                </c:pt>
                <c:pt idx="6">
                  <c:v>1</c:v>
                </c:pt>
                <c:pt idx="7">
                  <c:v>1</c:v>
                </c:pt>
                <c:pt idx="8">
                  <c:v>1</c:v>
                </c:pt>
                <c:pt idx="9">
                  <c:v>1</c:v>
                </c:pt>
                <c:pt idx="10">
                  <c:v>1</c:v>
                </c:pt>
                <c:pt idx="11">
                  <c:v>1</c:v>
                </c:pt>
                <c:pt idx="12">
                  <c:v>1</c:v>
                </c:pt>
                <c:pt idx="13">
                  <c:v>0.999999999999999</c:v>
                </c:pt>
                <c:pt idx="14">
                  <c:v>0.999999999999999</c:v>
                </c:pt>
                <c:pt idx="15">
                  <c:v>1</c:v>
                </c:pt>
                <c:pt idx="16">
                  <c:v>1</c:v>
                </c:pt>
                <c:pt idx="17">
                  <c:v>0.999999999999999</c:v>
                </c:pt>
                <c:pt idx="18">
                  <c:v>1</c:v>
                </c:pt>
                <c:pt idx="19">
                  <c:v>1</c:v>
                </c:pt>
                <c:pt idx="20">
                  <c:v>0.999999999999997</c:v>
                </c:pt>
                <c:pt idx="21">
                  <c:v>1</c:v>
                </c:pt>
                <c:pt idx="22">
                  <c:v>1</c:v>
                </c:pt>
                <c:pt idx="23">
                  <c:v>0.999999999999998</c:v>
                </c:pt>
                <c:pt idx="24">
                  <c:v>1</c:v>
                </c:pt>
                <c:pt idx="25">
                  <c:v>0.999999999999999</c:v>
                </c:pt>
                <c:pt idx="26">
                  <c:v>1</c:v>
                </c:pt>
                <c:pt idx="27">
                  <c:v>1</c:v>
                </c:pt>
                <c:pt idx="28">
                  <c:v>1</c:v>
                </c:pt>
                <c:pt idx="29">
                  <c:v>1</c:v>
                </c:pt>
                <c:pt idx="30">
                  <c:v>1</c:v>
                </c:pt>
                <c:pt idx="31">
                  <c:v>1</c:v>
                </c:pt>
                <c:pt idx="32">
                  <c:v>1</c:v>
                </c:pt>
                <c:pt idx="33">
                  <c:v>1</c:v>
                </c:pt>
                <c:pt idx="34">
                  <c:v>1</c:v>
                </c:pt>
                <c:pt idx="35">
                  <c:v>0.999999999999999</c:v>
                </c:pt>
                <c:pt idx="36">
                  <c:v>1</c:v>
                </c:pt>
                <c:pt idx="37">
                  <c:v>1</c:v>
                </c:pt>
                <c:pt idx="38">
                  <c:v>1</c:v>
                </c:pt>
                <c:pt idx="39">
                  <c:v>1</c:v>
                </c:pt>
                <c:pt idx="40">
                  <c:v>1</c:v>
                </c:pt>
                <c:pt idx="41">
                  <c:v>1</c:v>
                </c:pt>
                <c:pt idx="42">
                  <c:v>1</c:v>
                </c:pt>
                <c:pt idx="43">
                  <c:v>1</c:v>
                </c:pt>
                <c:pt idx="44">
                  <c:v>1</c:v>
                </c:pt>
                <c:pt idx="45">
                  <c:v>1</c:v>
                </c:pt>
                <c:pt idx="46">
                  <c:v>1</c:v>
                </c:pt>
                <c:pt idx="47">
                  <c:v>1</c:v>
                </c:pt>
                <c:pt idx="48">
                  <c:v>0.999999999999999</c:v>
                </c:pt>
                <c:pt idx="49">
                  <c:v>1</c:v>
                </c:pt>
                <c:pt idx="50">
                  <c:v>1</c:v>
                </c:pt>
                <c:pt idx="51">
                  <c:v>6.4432168092625098E-24</c:v>
                </c:pt>
                <c:pt idx="52">
                  <c:v>-1.07967409674487E-27</c:v>
                </c:pt>
                <c:pt idx="53">
                  <c:v>-3.5517347388895002E-25</c:v>
                </c:pt>
                <c:pt idx="54">
                  <c:v>-2.6631138335988902E-23</c:v>
                </c:pt>
                <c:pt idx="55">
                  <c:v>1.45493708292E-23</c:v>
                </c:pt>
                <c:pt idx="56">
                  <c:v>-4.9993127977397599E-23</c:v>
                </c:pt>
                <c:pt idx="57">
                  <c:v>1.4572890746313799E-23</c:v>
                </c:pt>
                <c:pt idx="58">
                  <c:v>-2.7303486765865E-24</c:v>
                </c:pt>
                <c:pt idx="59">
                  <c:v>-1.66345176818771E-25</c:v>
                </c:pt>
                <c:pt idx="60">
                  <c:v>3.0863556402843901E-25</c:v>
                </c:pt>
                <c:pt idx="61">
                  <c:v>-1.4684583046962899E-25</c:v>
                </c:pt>
                <c:pt idx="62">
                  <c:v>-3.6523385831197698E-24</c:v>
                </c:pt>
                <c:pt idx="63">
                  <c:v>-2.8365588515986E-24</c:v>
                </c:pt>
                <c:pt idx="64">
                  <c:v>2.2995092423782702E-24</c:v>
                </c:pt>
                <c:pt idx="65">
                  <c:v>5.25922253008482E-25</c:v>
                </c:pt>
                <c:pt idx="66">
                  <c:v>-3.6739467178849202E-24</c:v>
                </c:pt>
                <c:pt idx="67">
                  <c:v>1.18758008110189E-24</c:v>
                </c:pt>
                <c:pt idx="68">
                  <c:v>4.0323036927930698E-24</c:v>
                </c:pt>
                <c:pt idx="69">
                  <c:v>-3.45405140518086E-24</c:v>
                </c:pt>
                <c:pt idx="70">
                  <c:v>-3.21863270071527E-24</c:v>
                </c:pt>
                <c:pt idx="71">
                  <c:v>5.8990177277218302E-24</c:v>
                </c:pt>
                <c:pt idx="72">
                  <c:v>9.8005431616096394E-25</c:v>
                </c:pt>
                <c:pt idx="73">
                  <c:v>-7.7968413417048796E-24</c:v>
                </c:pt>
                <c:pt idx="74">
                  <c:v>2.7636483774421602E-24</c:v>
                </c:pt>
                <c:pt idx="75">
                  <c:v>7.9757374901189901E-24</c:v>
                </c:pt>
                <c:pt idx="76">
                  <c:v>-7.7052067877493693E-24</c:v>
                </c:pt>
                <c:pt idx="77">
                  <c:v>5.52349004678664E-24</c:v>
                </c:pt>
                <c:pt idx="78">
                  <c:v>-2.15950841768279E-24</c:v>
                </c:pt>
                <c:pt idx="79">
                  <c:v>4.9968876155047996E-25</c:v>
                </c:pt>
                <c:pt idx="80">
                  <c:v>-4.7281992565519702E-26</c:v>
                </c:pt>
                <c:pt idx="81">
                  <c:v>-1.52830061739379E-29</c:v>
                </c:pt>
                <c:pt idx="82">
                  <c:v>4.7450289818853698E-30</c:v>
                </c:pt>
                <c:pt idx="83">
                  <c:v>-1.0096040587598001E-30</c:v>
                </c:pt>
                <c:pt idx="84">
                  <c:v>1.3222066573523399E-31</c:v>
                </c:pt>
                <c:pt idx="85">
                  <c:v>-7.8425266790880502E-33</c:v>
                </c:pt>
                <c:pt idx="86">
                  <c:v>-7.3502994698118205E-36</c:v>
                </c:pt>
                <c:pt idx="87">
                  <c:v>1.5152627632180501E-36</c:v>
                </c:pt>
                <c:pt idx="88">
                  <c:v>-2.2147846129188402E-37</c:v>
                </c:pt>
                <c:pt idx="89">
                  <c:v>2.0398492403965801E-38</c:v>
                </c:pt>
                <c:pt idx="90">
                  <c:v>-8.7629173976453905E-40</c:v>
                </c:pt>
                <c:pt idx="91">
                  <c:v>-2.0065222698065601E-42</c:v>
                </c:pt>
                <c:pt idx="92">
                  <c:v>3.1097596578547198E-43</c:v>
                </c:pt>
                <c:pt idx="93">
                  <c:v>-3.4665060514949002E-44</c:v>
                </c:pt>
                <c:pt idx="94">
                  <c:v>2.4642940352594999E-45</c:v>
                </c:pt>
                <c:pt idx="95">
                  <c:v>-8.2006617622417002E-47</c:v>
                </c:pt>
                <c:pt idx="96">
                  <c:v>-4.0034699491994297E-49</c:v>
                </c:pt>
                <c:pt idx="97">
                  <c:v>4.9766549784664304E-50</c:v>
                </c:pt>
                <c:pt idx="98">
                  <c:v>-4.4843291643295298E-51</c:v>
                </c:pt>
                <c:pt idx="99">
                  <c:v>2.5901242300082101E-52</c:v>
                </c:pt>
              </c:numCache>
            </c:numRef>
          </c:yVal>
          <c:smooth val="0"/>
          <c:extLst>
            <c:ext xmlns:c16="http://schemas.microsoft.com/office/drawing/2014/chart" uri="{C3380CC4-5D6E-409C-BE32-E72D297353CC}">
              <c16:uniqueId val="{0000000D-F8DF-41D1-AED4-FB570A460941}"/>
            </c:ext>
          </c:extLst>
        </c:ser>
        <c:ser>
          <c:idx val="14"/>
          <c:order val="14"/>
          <c:tx>
            <c:strRef>
              <c:f>dynamicR!$DF$19</c:f>
              <c:strCache>
                <c:ptCount val="1"/>
                <c:pt idx="0">
                  <c:v>w3MP</c:v>
                </c:pt>
              </c:strCache>
            </c:strRef>
          </c:tx>
          <c:spPr>
            <a:ln w="19050" cap="rnd">
              <a:solidFill>
                <a:schemeClr val="accent3">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dynamicR!$DF$20:$DF$119</c:f>
              <c:numCache>
                <c:formatCode>0.00</c:formatCode>
                <c:ptCount val="100"/>
                <c:pt idx="0">
                  <c:v>0</c:v>
                </c:pt>
                <c:pt idx="1">
                  <c:v>1</c:v>
                </c:pt>
                <c:pt idx="2">
                  <c:v>1.00000000000001</c:v>
                </c:pt>
                <c:pt idx="3">
                  <c:v>1</c:v>
                </c:pt>
                <c:pt idx="4">
                  <c:v>0.99999999999997302</c:v>
                </c:pt>
                <c:pt idx="5">
                  <c:v>1.0000000000000799</c:v>
                </c:pt>
                <c:pt idx="6">
                  <c:v>1.00000000000005</c:v>
                </c:pt>
                <c:pt idx="7">
                  <c:v>1.00000000000002</c:v>
                </c:pt>
                <c:pt idx="8">
                  <c:v>1</c:v>
                </c:pt>
                <c:pt idx="9">
                  <c:v>1.00000000000001</c:v>
                </c:pt>
                <c:pt idx="10">
                  <c:v>1.00000000000001</c:v>
                </c:pt>
                <c:pt idx="11">
                  <c:v>1.00000000000001</c:v>
                </c:pt>
                <c:pt idx="12">
                  <c:v>1.00000000000001</c:v>
                </c:pt>
                <c:pt idx="13">
                  <c:v>1.00000000000001</c:v>
                </c:pt>
                <c:pt idx="14">
                  <c:v>0.999999999999996</c:v>
                </c:pt>
                <c:pt idx="15">
                  <c:v>0.99999999999998901</c:v>
                </c:pt>
                <c:pt idx="16">
                  <c:v>1</c:v>
                </c:pt>
                <c:pt idx="17">
                  <c:v>1</c:v>
                </c:pt>
                <c:pt idx="18">
                  <c:v>0.99999999999998801</c:v>
                </c:pt>
                <c:pt idx="19">
                  <c:v>1.00000000000001</c:v>
                </c:pt>
                <c:pt idx="20">
                  <c:v>1.00000000000001</c:v>
                </c:pt>
                <c:pt idx="21">
                  <c:v>0.99999999999997602</c:v>
                </c:pt>
                <c:pt idx="22">
                  <c:v>0.999999999999996</c:v>
                </c:pt>
                <c:pt idx="23">
                  <c:v>1</c:v>
                </c:pt>
                <c:pt idx="24">
                  <c:v>0.999999999999997</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-1.0638168694760299E-18</c:v>
                </c:pt>
                <c:pt idx="52">
                  <c:v>1.54788052437652E-22</c:v>
                </c:pt>
                <c:pt idx="53">
                  <c:v>5.8775585159873506E-20</c:v>
                </c:pt>
                <c:pt idx="54">
                  <c:v>4.3999764207314202E-18</c:v>
                </c:pt>
                <c:pt idx="55">
                  <c:v>-2.40374840433461E-18</c:v>
                </c:pt>
                <c:pt idx="56">
                  <c:v>8.2596422471912994E-18</c:v>
                </c:pt>
                <c:pt idx="57">
                  <c:v>-2.40766835567118E-18</c:v>
                </c:pt>
                <c:pt idx="58">
                  <c:v>4.5109684224149602E-19</c:v>
                </c:pt>
                <c:pt idx="59">
                  <c:v>2.7482857897884599E-20</c:v>
                </c:pt>
                <c:pt idx="60">
                  <c:v>-5.0991483340072403E-20</c:v>
                </c:pt>
                <c:pt idx="61">
                  <c:v>2.42612564886988E-20</c:v>
                </c:pt>
                <c:pt idx="62">
                  <c:v>6.0342417726370299E-19</c:v>
                </c:pt>
                <c:pt idx="63">
                  <c:v>4.6864444573E-19</c:v>
                </c:pt>
                <c:pt idx="64">
                  <c:v>-3.7991534526912599E-19</c:v>
                </c:pt>
                <c:pt idx="65">
                  <c:v>-8.6890685338715799E-20</c:v>
                </c:pt>
                <c:pt idx="66">
                  <c:v>6.0699418359472297E-19</c:v>
                </c:pt>
                <c:pt idx="67">
                  <c:v>-1.9620703768553699E-19</c:v>
                </c:pt>
                <c:pt idx="68">
                  <c:v>-6.66200431203835E-19</c:v>
                </c:pt>
                <c:pt idx="69">
                  <c:v>5.7066399538204401E-19</c:v>
                </c:pt>
                <c:pt idx="70">
                  <c:v>5.31769096841222E-19</c:v>
                </c:pt>
                <c:pt idx="71">
                  <c:v>-9.7461115366362206E-19</c:v>
                </c:pt>
                <c:pt idx="72">
                  <c:v>-1.6192049449927499E-19</c:v>
                </c:pt>
                <c:pt idx="73">
                  <c:v>1.28816167116984E-18</c:v>
                </c:pt>
                <c:pt idx="74">
                  <c:v>-4.5659848083546998E-19</c:v>
                </c:pt>
                <c:pt idx="75">
                  <c:v>-1.31771814810695E-18</c:v>
                </c:pt>
                <c:pt idx="76">
                  <c:v>1.27302219142989E-18</c:v>
                </c:pt>
                <c:pt idx="77">
                  <c:v>-9.1256803294303698E-19</c:v>
                </c:pt>
                <c:pt idx="78">
                  <c:v>3.5678499105388001E-19</c:v>
                </c:pt>
                <c:pt idx="79">
                  <c:v>-8.25564967718356E-20</c:v>
                </c:pt>
                <c:pt idx="80">
                  <c:v>7.8117337652988298E-21</c:v>
                </c:pt>
                <c:pt idx="81">
                  <c:v>2.5250928401981801E-24</c:v>
                </c:pt>
                <c:pt idx="82">
                  <c:v>-7.8398441795547204E-25</c:v>
                </c:pt>
                <c:pt idx="83">
                  <c:v>1.66809064996961E-25</c:v>
                </c:pt>
                <c:pt idx="84">
                  <c:v>-2.18457971288757E-26</c:v>
                </c:pt>
                <c:pt idx="85">
                  <c:v>1.2957599681179999E-27</c:v>
                </c:pt>
                <c:pt idx="86">
                  <c:v>1.2144275586632E-30</c:v>
                </c:pt>
                <c:pt idx="87">
                  <c:v>-2.5035396661633699E-31</c:v>
                </c:pt>
                <c:pt idx="88">
                  <c:v>3.6593000767146201E-32</c:v>
                </c:pt>
                <c:pt idx="89">
                  <c:v>-3.3702693190372903E-33</c:v>
                </c:pt>
                <c:pt idx="90">
                  <c:v>1.4478223981730999E-34</c:v>
                </c:pt>
                <c:pt idx="91">
                  <c:v>3.3151707746897099E-37</c:v>
                </c:pt>
                <c:pt idx="92">
                  <c:v>-5.1379297215800299E-38</c:v>
                </c:pt>
                <c:pt idx="93">
                  <c:v>5.7273444558362899E-39</c:v>
                </c:pt>
                <c:pt idx="94">
                  <c:v>-4.0714947496011901E-40</c:v>
                </c:pt>
                <c:pt idx="95">
                  <c:v>1.35490969823165E-41</c:v>
                </c:pt>
                <c:pt idx="96">
                  <c:v>6.6144388003259495E-44</c:v>
                </c:pt>
                <c:pt idx="97">
                  <c:v>-8.2223036173565303E-45</c:v>
                </c:pt>
                <c:pt idx="98">
                  <c:v>7.4088954418468299E-46</c:v>
                </c:pt>
                <c:pt idx="99">
                  <c:v>-4.2793380796399E-47</c:v>
                </c:pt>
              </c:numCache>
            </c:numRef>
          </c:yVal>
          <c:smooth val="0"/>
          <c:extLst>
            <c:ext xmlns:c16="http://schemas.microsoft.com/office/drawing/2014/chart" uri="{C3380CC4-5D6E-409C-BE32-E72D297353CC}">
              <c16:uniqueId val="{0000000E-F8DF-41D1-AED4-FB570A460941}"/>
            </c:ext>
          </c:extLst>
        </c:ser>
        <c:ser>
          <c:idx val="15"/>
          <c:order val="15"/>
          <c:tx>
            <c:strRef>
              <c:f>dynamicR!$DG$19</c:f>
              <c:strCache>
                <c:ptCount val="1"/>
                <c:pt idx="0">
                  <c:v>sdMD</c:v>
                </c:pt>
              </c:strCache>
            </c:strRef>
          </c:tx>
          <c:spPr>
            <a:ln w="19050" cap="rnd">
              <a:solidFill>
                <a:schemeClr val="accent4">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dynamicR!$DG$20:$DG$119</c:f>
              <c:numCache>
                <c:formatCode>0.00</c:formatCode>
                <c:ptCount val="100"/>
                <c:pt idx="0">
                  <c:v>0</c:v>
                </c:pt>
                <c:pt idx="1">
                  <c:v>1.9996795998808901E-2</c:v>
                </c:pt>
                <c:pt idx="2">
                  <c:v>3.9587187956063197E-2</c:v>
                </c:pt>
                <c:pt idx="3">
                  <c:v>5.8785964683394303E-2</c:v>
                </c:pt>
                <c:pt idx="4">
                  <c:v>7.7600960212151002E-2</c:v>
                </c:pt>
                <c:pt idx="5">
                  <c:v>9.6039843125552998E-2</c:v>
                </c:pt>
                <c:pt idx="6">
                  <c:v>0.114110129000498</c:v>
                </c:pt>
                <c:pt idx="7">
                  <c:v>0.131819185971004</c:v>
                </c:pt>
                <c:pt idx="8">
                  <c:v>0.14917423605060501</c:v>
                </c:pt>
                <c:pt idx="9">
                  <c:v>0.16618235653504099</c:v>
                </c:pt>
                <c:pt idx="10">
                  <c:v>0.182850482649589</c:v>
                </c:pt>
                <c:pt idx="11">
                  <c:v>0.19918541075597199</c:v>
                </c:pt>
                <c:pt idx="12">
                  <c:v>0.215193801350269</c:v>
                </c:pt>
                <c:pt idx="13">
                  <c:v>0.230882181669987</c:v>
                </c:pt>
                <c:pt idx="14">
                  <c:v>0.24625694882334601</c:v>
                </c:pt>
                <c:pt idx="15">
                  <c:v>0.26132437234219802</c:v>
                </c:pt>
                <c:pt idx="16">
                  <c:v>0.27609059627670501</c:v>
                </c:pt>
                <c:pt idx="17">
                  <c:v>0.29056164155251302</c:v>
                </c:pt>
                <c:pt idx="18">
                  <c:v>0.304743408672</c:v>
                </c:pt>
                <c:pt idx="19">
                  <c:v>0.318641680315214</c:v>
                </c:pt>
                <c:pt idx="20">
                  <c:v>0.33226212365667501</c:v>
                </c:pt>
                <c:pt idx="21">
                  <c:v>0.34561029255905701</c:v>
                </c:pt>
                <c:pt idx="22">
                  <c:v>0.35869162980685898</c:v>
                </c:pt>
                <c:pt idx="23">
                  <c:v>0.37151146937397</c:v>
                </c:pt>
                <c:pt idx="24">
                  <c:v>0.38407503863189002</c:v>
                </c:pt>
                <c:pt idx="25">
                  <c:v>0.39638746047064799</c:v>
                </c:pt>
                <c:pt idx="26">
                  <c:v>0.408453755366256</c:v>
                </c:pt>
                <c:pt idx="27">
                  <c:v>0.42027884342553401</c:v>
                </c:pt>
                <c:pt idx="28">
                  <c:v>0.431867546401278</c:v>
                </c:pt>
                <c:pt idx="29">
                  <c:v>0.44322458966179201</c:v>
                </c:pt>
                <c:pt idx="30">
                  <c:v>0.454354604118206</c:v>
                </c:pt>
                <c:pt idx="31">
                  <c:v>0.46526212810789902</c:v>
                </c:pt>
                <c:pt idx="32">
                  <c:v>0.47595160924372198</c:v>
                </c:pt>
                <c:pt idx="33">
                  <c:v>0.48642740622973801</c:v>
                </c:pt>
                <c:pt idx="34">
                  <c:v>0.496693790641628</c:v>
                </c:pt>
                <c:pt idx="35">
                  <c:v>0.50675494866514903</c:v>
                </c:pt>
                <c:pt idx="36">
                  <c:v>0.51661498280254103</c:v>
                </c:pt>
                <c:pt idx="37">
                  <c:v>0.52627791354685305</c:v>
                </c:pt>
                <c:pt idx="38">
                  <c:v>0.53574768102080295</c:v>
                </c:pt>
                <c:pt idx="39">
                  <c:v>0.54502814658425303</c:v>
                </c:pt>
                <c:pt idx="40">
                  <c:v>0.55412309440765795</c:v>
                </c:pt>
                <c:pt idx="41">
                  <c:v>0.56303623301566097</c:v>
                </c:pt>
                <c:pt idx="42">
                  <c:v>0.57177119679783694</c:v>
                </c:pt>
                <c:pt idx="43">
                  <c:v>0.58033154749299598</c:v>
                </c:pt>
                <c:pt idx="44">
                  <c:v>0.58872077564047498</c:v>
                </c:pt>
                <c:pt idx="45">
                  <c:v>0.59694230200313703</c:v>
                </c:pt>
                <c:pt idx="46">
                  <c:v>0.60499947896110695</c:v>
                </c:pt>
                <c:pt idx="47">
                  <c:v>0.61289559188015896</c:v>
                </c:pt>
                <c:pt idx="48">
                  <c:v>0.62063386045257896</c:v>
                </c:pt>
                <c:pt idx="49">
                  <c:v>0.62821744000780699</c:v>
                </c:pt>
                <c:pt idx="50">
                  <c:v>0.62821744000780699</c:v>
                </c:pt>
                <c:pt idx="51">
                  <c:v>0.61565229668649502</c:v>
                </c:pt>
                <c:pt idx="52">
                  <c:v>0.60334480188999795</c:v>
                </c:pt>
                <c:pt idx="53">
                  <c:v>0.59128375615897899</c:v>
                </c:pt>
                <c:pt idx="54">
                  <c:v>0.57946407221063501</c:v>
                </c:pt>
                <c:pt idx="55">
                  <c:v>0.56788061398891598</c:v>
                </c:pt>
                <c:pt idx="56">
                  <c:v>0.55652865107053195</c:v>
                </c:pt>
                <c:pt idx="57">
                  <c:v>0.54540359363428503</c:v>
                </c:pt>
                <c:pt idx="58">
                  <c:v>0.53450092266826599</c:v>
                </c:pt>
                <c:pt idx="59">
                  <c:v>0.52381619842595994</c:v>
                </c:pt>
                <c:pt idx="60">
                  <c:v>0.513345056805385</c:v>
                </c:pt>
                <c:pt idx="61">
                  <c:v>0.50308322033374098</c:v>
                </c:pt>
                <c:pt idx="62">
                  <c:v>0.49302651257825197</c:v>
                </c:pt>
                <c:pt idx="63">
                  <c:v>0.48317084216101203</c:v>
                </c:pt>
                <c:pt idx="64">
                  <c:v>0.47351219190192501</c:v>
                </c:pt>
                <c:pt idx="65">
                  <c:v>0.46404662093341598</c:v>
                </c:pt>
                <c:pt idx="66">
                  <c:v>0.454770267654731</c:v>
                </c:pt>
                <c:pt idx="67">
                  <c:v>0.44567934926666303</c:v>
                </c:pt>
                <c:pt idx="68">
                  <c:v>0.43677015932295299</c:v>
                </c:pt>
                <c:pt idx="69">
                  <c:v>0.42803906536513397</c:v>
                </c:pt>
                <c:pt idx="70">
                  <c:v>0.41948250726383102</c:v>
                </c:pt>
                <c:pt idx="71">
                  <c:v>0.41109699594006599</c:v>
                </c:pt>
                <c:pt idx="72">
                  <c:v>0.40287911208980998</c:v>
                </c:pt>
                <c:pt idx="73">
                  <c:v>0.394825504813753</c:v>
                </c:pt>
                <c:pt idx="74">
                  <c:v>0.38693289021817401</c:v>
                </c:pt>
                <c:pt idx="75">
                  <c:v>0.37919805010930602</c:v>
                </c:pt>
                <c:pt idx="76">
                  <c:v>0.371617830673309</c:v>
                </c:pt>
                <c:pt idx="77">
                  <c:v>0.36418914097098998</c:v>
                </c:pt>
                <c:pt idx="78">
                  <c:v>0.35690895173967502</c:v>
                </c:pt>
                <c:pt idx="79">
                  <c:v>0.34977429436353902</c:v>
                </c:pt>
                <c:pt idx="80">
                  <c:v>0.342782259694206</c:v>
                </c:pt>
                <c:pt idx="81">
                  <c:v>0.33592999674985602</c:v>
                </c:pt>
                <c:pt idx="82">
                  <c:v>0.32921471147933201</c:v>
                </c:pt>
                <c:pt idx="83">
                  <c:v>0.32263366565213403</c:v>
                </c:pt>
                <c:pt idx="84">
                  <c:v>0.31618417579056801</c:v>
                </c:pt>
                <c:pt idx="85">
                  <c:v>0.30986361208327401</c:v>
                </c:pt>
                <c:pt idx="86">
                  <c:v>0.30366939728977399</c:v>
                </c:pt>
                <c:pt idx="87">
                  <c:v>0.29759900567816899</c:v>
                </c:pt>
                <c:pt idx="88">
                  <c:v>0.29164996200121701</c:v>
                </c:pt>
                <c:pt idx="89">
                  <c:v>0.28581984049543502</c:v>
                </c:pt>
                <c:pt idx="90">
                  <c:v>0.28010626389262</c:v>
                </c:pt>
                <c:pt idx="91">
                  <c:v>0.27450690244653297</c:v>
                </c:pt>
                <c:pt idx="92">
                  <c:v>0.26901947298098799</c:v>
                </c:pt>
                <c:pt idx="93">
                  <c:v>0.26364173795955098</c:v>
                </c:pt>
                <c:pt idx="94">
                  <c:v>0.25837150457560298</c:v>
                </c:pt>
                <c:pt idx="95">
                  <c:v>0.25320662385752801</c:v>
                </c:pt>
                <c:pt idx="96">
                  <c:v>0.248144989791731</c:v>
                </c:pt>
                <c:pt idx="97">
                  <c:v>0.24318453846367399</c:v>
                </c:pt>
                <c:pt idx="98">
                  <c:v>0.238323247217093</c:v>
                </c:pt>
                <c:pt idx="99">
                  <c:v>0.23355913382867399</c:v>
                </c:pt>
              </c:numCache>
            </c:numRef>
          </c:yVal>
          <c:smooth val="0"/>
          <c:extLst>
            <c:ext xmlns:c16="http://schemas.microsoft.com/office/drawing/2014/chart" uri="{C3380CC4-5D6E-409C-BE32-E72D297353CC}">
              <c16:uniqueId val="{0000000F-F8DF-41D1-AED4-FB570A460941}"/>
            </c:ext>
          </c:extLst>
        </c:ser>
        <c:ser>
          <c:idx val="16"/>
          <c:order val="16"/>
          <c:tx>
            <c:strRef>
              <c:f>dynamicR!$DH$19</c:f>
              <c:strCache>
                <c:ptCount val="1"/>
                <c:pt idx="0">
                  <c:v>sdMS</c:v>
                </c:pt>
              </c:strCache>
            </c:strRef>
          </c:tx>
          <c:spPr>
            <a:ln w="19050" cap="rnd">
              <a:solidFill>
                <a:schemeClr val="accent5">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dynamicR!$DH$20:$DH$119</c:f>
              <c:numCache>
                <c:formatCode>0.00</c:formatCode>
                <c:ptCount val="100"/>
                <c:pt idx="0">
                  <c:v>0</c:v>
                </c:pt>
                <c:pt idx="1">
                  <c:v>1</c:v>
                </c:pt>
                <c:pt idx="2">
                  <c:v>0.999999999999998</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-1.57148232339406E-213</c:v>
                </c:pt>
                <c:pt idx="52">
                  <c:v>3.7857026833873901E-215</c:v>
                </c:pt>
                <c:pt idx="53">
                  <c:v>-1.28216388378022E-214</c:v>
                </c:pt>
                <c:pt idx="54">
                  <c:v>1.6860084264635499E-213</c:v>
                </c:pt>
                <c:pt idx="55">
                  <c:v>-1.06138515102622E-213</c:v>
                </c:pt>
                <c:pt idx="56">
                  <c:v>3.4602956790471403E-213</c:v>
                </c:pt>
                <c:pt idx="57">
                  <c:v>-1.0084150035950199E-213</c:v>
                </c:pt>
                <c:pt idx="58">
                  <c:v>1.8774220838253101E-214</c:v>
                </c:pt>
                <c:pt idx="59">
                  <c:v>1.1435315563357199E-215</c:v>
                </c:pt>
                <c:pt idx="60">
                  <c:v>-2.1219322627862401E-215</c:v>
                </c:pt>
                <c:pt idx="61">
                  <c:v>1.01007749898575E-215</c:v>
                </c:pt>
                <c:pt idx="62">
                  <c:v>2.5113072907222798E-214</c:v>
                </c:pt>
                <c:pt idx="63">
                  <c:v>1.9503975761745801E-214</c:v>
                </c:pt>
                <c:pt idx="64">
                  <c:v>-1.58108254349234E-214</c:v>
                </c:pt>
                <c:pt idx="65">
                  <c:v>-3.6162580368828797E-215</c:v>
                </c:pt>
                <c:pt idx="66">
                  <c:v>2.5261372170224002E-214</c:v>
                </c:pt>
                <c:pt idx="67">
                  <c:v>-8.1654730385271103E-215</c:v>
                </c:pt>
                <c:pt idx="68">
                  <c:v>-2.7725468342824399E-214</c:v>
                </c:pt>
                <c:pt idx="69">
                  <c:v>2.3749387789548102E-214</c:v>
                </c:pt>
                <c:pt idx="70">
                  <c:v>2.2130854161627499E-214</c:v>
                </c:pt>
                <c:pt idx="71">
                  <c:v>-4.0560665569764699E-214</c:v>
                </c:pt>
                <c:pt idx="72">
                  <c:v>-6.7387368759990803E-215</c:v>
                </c:pt>
                <c:pt idx="73">
                  <c:v>5.3609892757155098E-214</c:v>
                </c:pt>
                <c:pt idx="74">
                  <c:v>-1.9002475517548701E-214</c:v>
                </c:pt>
                <c:pt idx="75">
                  <c:v>-5.4839994781814402E-214</c:v>
                </c:pt>
                <c:pt idx="76">
                  <c:v>5.2979988163872203E-214</c:v>
                </c:pt>
                <c:pt idx="77">
                  <c:v>-3.7979062557482903E-214</c:v>
                </c:pt>
                <c:pt idx="78">
                  <c:v>1.4848963949037701E-214</c:v>
                </c:pt>
                <c:pt idx="79">
                  <c:v>-3.4361967489392E-215</c:v>
                </c:pt>
                <c:pt idx="80">
                  <c:v>3.2534456530754199E-216</c:v>
                </c:pt>
                <c:pt idx="81">
                  <c:v>1.7369326164066001E-221</c:v>
                </c:pt>
                <c:pt idx="82">
                  <c:v>-5.3929796647046303E-222</c:v>
                </c:pt>
                <c:pt idx="83">
                  <c:v>1.14758798144321E-222</c:v>
                </c:pt>
                <c:pt idx="84">
                  <c:v>-1.5035126525694101E-223</c:v>
                </c:pt>
                <c:pt idx="85">
                  <c:v>8.9426922641797495E-225</c:v>
                </c:pt>
                <c:pt idx="86">
                  <c:v>2.0261113748319401E-229</c:v>
                </c:pt>
                <c:pt idx="87">
                  <c:v>-4.2043565122006203E-230</c:v>
                </c:pt>
                <c:pt idx="88">
                  <c:v>6.1473715229127301E-231</c:v>
                </c:pt>
                <c:pt idx="89">
                  <c:v>-5.6692376060404399E-232</c:v>
                </c:pt>
                <c:pt idx="90">
                  <c:v>2.4576473089609299E-233</c:v>
                </c:pt>
                <c:pt idx="91">
                  <c:v>1.5998527922610001E-237</c:v>
                </c:pt>
                <c:pt idx="92">
                  <c:v>-2.48849404038984E-238</c:v>
                </c:pt>
                <c:pt idx="93">
                  <c:v>2.77642093092537E-239</c:v>
                </c:pt>
                <c:pt idx="94">
                  <c:v>-1.9805469090909101E-240</c:v>
                </c:pt>
                <c:pt idx="95">
                  <c:v>6.7516894292677603E-242</c:v>
                </c:pt>
                <c:pt idx="96">
                  <c:v>1.00805274259297E-245</c:v>
                </c:pt>
                <c:pt idx="97">
                  <c:v>-1.25643580546653E-246</c:v>
                </c:pt>
                <c:pt idx="98">
                  <c:v>1.13439763726307E-247</c:v>
                </c:pt>
                <c:pt idx="99">
                  <c:v>-6.6037204563014904E-249</c:v>
                </c:pt>
              </c:numCache>
            </c:numRef>
          </c:yVal>
          <c:smooth val="0"/>
          <c:extLst>
            <c:ext xmlns:c16="http://schemas.microsoft.com/office/drawing/2014/chart" uri="{C3380CC4-5D6E-409C-BE32-E72D297353CC}">
              <c16:uniqueId val="{00000010-F8DF-41D1-AED4-FB570A460941}"/>
            </c:ext>
          </c:extLst>
        </c:ser>
        <c:ser>
          <c:idx val="17"/>
          <c:order val="17"/>
          <c:tx>
            <c:strRef>
              <c:f>dynamicR!$DI$19</c:f>
              <c:strCache>
                <c:ptCount val="1"/>
                <c:pt idx="0">
                  <c:v>sdMA</c:v>
                </c:pt>
              </c:strCache>
            </c:strRef>
          </c:tx>
          <c:spPr>
            <a:ln w="19050" cap="rnd">
              <a:solidFill>
                <a:schemeClr val="accent6">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dynamicR!$DI$20:$DI$119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0.999999999999999</c:v>
                </c:pt>
                <c:pt idx="14">
                  <c:v>1</c:v>
                </c:pt>
                <c:pt idx="15">
                  <c:v>1</c:v>
                </c:pt>
                <c:pt idx="16">
                  <c:v>1</c:v>
                </c:pt>
                <c:pt idx="17">
                  <c:v>0.999999999999999</c:v>
                </c:pt>
                <c:pt idx="18">
                  <c:v>1</c:v>
                </c:pt>
                <c:pt idx="19">
                  <c:v>1</c:v>
                </c:pt>
                <c:pt idx="20">
                  <c:v>0.999999999999997</c:v>
                </c:pt>
                <c:pt idx="21">
                  <c:v>1</c:v>
                </c:pt>
                <c:pt idx="22">
                  <c:v>1</c:v>
                </c:pt>
                <c:pt idx="23">
                  <c:v>0.999999999999998</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6.44573826460824E-24</c:v>
                </c:pt>
                <c:pt idx="52">
                  <c:v>-1.1411841500908899E-27</c:v>
                </c:pt>
                <c:pt idx="53">
                  <c:v>-3.5497482328475001E-25</c:v>
                </c:pt>
                <c:pt idx="54">
                  <c:v>-2.6633475451561401E-23</c:v>
                </c:pt>
                <c:pt idx="55">
                  <c:v>1.45508292463986E-23</c:v>
                </c:pt>
                <c:pt idx="56">
                  <c:v>-4.9997824487938797E-23</c:v>
                </c:pt>
                <c:pt idx="57">
                  <c:v>1.4574200345610299E-23</c:v>
                </c:pt>
                <c:pt idx="58">
                  <c:v>-2.7305586223535399E-24</c:v>
                </c:pt>
                <c:pt idx="59">
                  <c:v>-1.66376558066565E-25</c:v>
                </c:pt>
                <c:pt idx="60">
                  <c:v>3.0867827929327798E-25</c:v>
                </c:pt>
                <c:pt idx="61">
                  <c:v>-1.4683397649656199E-25</c:v>
                </c:pt>
                <c:pt idx="62">
                  <c:v>-3.6526772026960297E-24</c:v>
                </c:pt>
                <c:pt idx="63">
                  <c:v>-2.8368142802406201E-24</c:v>
                </c:pt>
                <c:pt idx="64">
                  <c:v>2.2997453591071401E-24</c:v>
                </c:pt>
                <c:pt idx="65">
                  <c:v>5.2596599448033998E-25</c:v>
                </c:pt>
                <c:pt idx="66">
                  <c:v>-3.67430573646409E-24</c:v>
                </c:pt>
                <c:pt idx="67">
                  <c:v>1.1877032021159399E-24</c:v>
                </c:pt>
                <c:pt idx="68">
                  <c:v>4.0326910303259998E-24</c:v>
                </c:pt>
                <c:pt idx="69">
                  <c:v>-3.4543906193367196E-24</c:v>
                </c:pt>
                <c:pt idx="70">
                  <c:v>-3.2189381418501501E-24</c:v>
                </c:pt>
                <c:pt idx="71">
                  <c:v>5.8995861617887398E-24</c:v>
                </c:pt>
                <c:pt idx="72">
                  <c:v>9.80145667969978E-25</c:v>
                </c:pt>
                <c:pt idx="73">
                  <c:v>-7.7975854891402207E-24</c:v>
                </c:pt>
                <c:pt idx="74">
                  <c:v>2.7639087827389598E-24</c:v>
                </c:pt>
                <c:pt idx="75">
                  <c:v>7.9764960845541198E-24</c:v>
                </c:pt>
                <c:pt idx="76">
                  <c:v>-7.7059314833724305E-24</c:v>
                </c:pt>
                <c:pt idx="77">
                  <c:v>5.5239914320388999E-24</c:v>
                </c:pt>
                <c:pt idx="78">
                  <c:v>-2.15968031028775E-24</c:v>
                </c:pt>
                <c:pt idx="79">
                  <c:v>4.9970891818209502E-25</c:v>
                </c:pt>
                <c:pt idx="80">
                  <c:v>-4.7270450860015698E-26</c:v>
                </c:pt>
                <c:pt idx="81">
                  <c:v>-2.2174893065117299E-29</c:v>
                </c:pt>
                <c:pt idx="82">
                  <c:v>6.8847140130375899E-30</c:v>
                </c:pt>
                <c:pt idx="83">
                  <c:v>-1.46481155204042E-30</c:v>
                </c:pt>
                <c:pt idx="84">
                  <c:v>1.91808161765233E-31</c:v>
                </c:pt>
                <c:pt idx="85">
                  <c:v>-1.13653892525998E-32</c:v>
                </c:pt>
                <c:pt idx="86">
                  <c:v>-1.4451967307586701E-35</c:v>
                </c:pt>
                <c:pt idx="87">
                  <c:v>2.9791606442578399E-36</c:v>
                </c:pt>
                <c:pt idx="88">
                  <c:v>-4.3540456285996996E-37</c:v>
                </c:pt>
                <c:pt idx="89">
                  <c:v>4.0085424906995301E-38</c:v>
                </c:pt>
                <c:pt idx="90">
                  <c:v>-1.7172318635714601E-39</c:v>
                </c:pt>
                <c:pt idx="91">
                  <c:v>-5.1092611153711402E-42</c:v>
                </c:pt>
                <c:pt idx="92">
                  <c:v>7.9178360714910199E-43</c:v>
                </c:pt>
                <c:pt idx="93">
                  <c:v>-8.8241206849347699E-44</c:v>
                </c:pt>
                <c:pt idx="94">
                  <c:v>6.2672821930852406E-45</c:v>
                </c:pt>
                <c:pt idx="95">
                  <c:v>-2.0722609238864701E-46</c:v>
                </c:pt>
                <c:pt idx="96">
                  <c:v>-1.27705438557471E-48</c:v>
                </c:pt>
                <c:pt idx="97">
                  <c:v>1.5872407589741101E-49</c:v>
                </c:pt>
                <c:pt idx="98">
                  <c:v>-1.4295687326976701E-50</c:v>
                </c:pt>
                <c:pt idx="99">
                  <c:v>8.2422546637745405E-52</c:v>
                </c:pt>
              </c:numCache>
            </c:numRef>
          </c:yVal>
          <c:smooth val="0"/>
          <c:extLst>
            <c:ext xmlns:c16="http://schemas.microsoft.com/office/drawing/2014/chart" uri="{C3380CC4-5D6E-409C-BE32-E72D297353CC}">
              <c16:uniqueId val="{00000011-F8DF-41D1-AED4-FB570A460941}"/>
            </c:ext>
          </c:extLst>
        </c:ser>
        <c:ser>
          <c:idx val="18"/>
          <c:order val="18"/>
          <c:tx>
            <c:strRef>
              <c:f>dynamicR!$DJ$19</c:f>
              <c:strCache>
                <c:ptCount val="1"/>
                <c:pt idx="0">
                  <c:v>sdMP</c:v>
                </c:pt>
              </c:strCache>
            </c:strRef>
          </c:tx>
          <c:spPr>
            <a:ln w="19050" cap="rnd">
              <a:solidFill>
                <a:schemeClr val="accent1">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dynamicR!$DJ$20:$DJ$119</c:f>
              <c:numCache>
                <c:formatCode>0.00</c:formatCode>
                <c:ptCount val="100"/>
                <c:pt idx="0">
                  <c:v>0</c:v>
                </c:pt>
                <c:pt idx="1">
                  <c:v>1</c:v>
                </c:pt>
                <c:pt idx="2">
                  <c:v>1</c:v>
                </c:pt>
                <c:pt idx="3">
                  <c:v>1</c:v>
                </c:pt>
                <c:pt idx="4">
                  <c:v>0.99999999999997302</c:v>
                </c:pt>
                <c:pt idx="5">
                  <c:v>1.0000000000000799</c:v>
                </c:pt>
                <c:pt idx="6">
                  <c:v>1.00000000000005</c:v>
                </c:pt>
                <c:pt idx="7">
                  <c:v>1.00000000000002</c:v>
                </c:pt>
                <c:pt idx="8">
                  <c:v>1</c:v>
                </c:pt>
                <c:pt idx="9">
                  <c:v>1.00000000000001</c:v>
                </c:pt>
                <c:pt idx="10">
                  <c:v>1.00000000000001</c:v>
                </c:pt>
                <c:pt idx="11">
                  <c:v>1.00000000000001</c:v>
                </c:pt>
                <c:pt idx="12">
                  <c:v>1.00000000000001</c:v>
                </c:pt>
                <c:pt idx="13">
                  <c:v>1.00000000000001</c:v>
                </c:pt>
                <c:pt idx="14">
                  <c:v>0.999999999999996</c:v>
                </c:pt>
                <c:pt idx="15">
                  <c:v>0.99999999999998901</c:v>
                </c:pt>
                <c:pt idx="16">
                  <c:v>1</c:v>
                </c:pt>
                <c:pt idx="17">
                  <c:v>1</c:v>
                </c:pt>
                <c:pt idx="18">
                  <c:v>0.99999999999998801</c:v>
                </c:pt>
                <c:pt idx="19">
                  <c:v>1.00000000000001</c:v>
                </c:pt>
                <c:pt idx="20">
                  <c:v>1.00000000000001</c:v>
                </c:pt>
                <c:pt idx="21">
                  <c:v>0.99999999999997502</c:v>
                </c:pt>
                <c:pt idx="22">
                  <c:v>0.999999999999995</c:v>
                </c:pt>
                <c:pt idx="23">
                  <c:v>1</c:v>
                </c:pt>
                <c:pt idx="24">
                  <c:v>0.999999999999997</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-1.06380863566495E-18</c:v>
                </c:pt>
                <c:pt idx="52">
                  <c:v>1.5429768501355399E-22</c:v>
                </c:pt>
                <c:pt idx="53">
                  <c:v>5.8779816906635901E-20</c:v>
                </c:pt>
                <c:pt idx="54">
                  <c:v>4.39996031856981E-18</c:v>
                </c:pt>
                <c:pt idx="55">
                  <c:v>-2.4037301275872399E-18</c:v>
                </c:pt>
                <c:pt idx="56">
                  <c:v>8.2595800024884795E-18</c:v>
                </c:pt>
                <c:pt idx="57">
                  <c:v>-2.4076404665477001E-18</c:v>
                </c:pt>
                <c:pt idx="58">
                  <c:v>4.5108610173050697E-19</c:v>
                </c:pt>
                <c:pt idx="59">
                  <c:v>2.7485275336702101E-20</c:v>
                </c:pt>
                <c:pt idx="60">
                  <c:v>-5.0993405952262703E-20</c:v>
                </c:pt>
                <c:pt idx="61">
                  <c:v>2.4256854379552599E-20</c:v>
                </c:pt>
                <c:pt idx="62">
                  <c:v>6.0341935700320404E-19</c:v>
                </c:pt>
                <c:pt idx="63">
                  <c:v>4.6863945334899902E-19</c:v>
                </c:pt>
                <c:pt idx="64">
                  <c:v>-3.7991609799066098E-19</c:v>
                </c:pt>
                <c:pt idx="65">
                  <c:v>-8.6889162022097404E-20</c:v>
                </c:pt>
                <c:pt idx="66">
                  <c:v>6.0699237443174098E-19</c:v>
                </c:pt>
                <c:pt idx="67">
                  <c:v>-1.96207621185336E-19</c:v>
                </c:pt>
                <c:pt idx="68">
                  <c:v>-6.6619733853959603E-19</c:v>
                </c:pt>
                <c:pt idx="69">
                  <c:v>5.7066257271728904E-19</c:v>
                </c:pt>
                <c:pt idx="70">
                  <c:v>5.3176601087506E-19</c:v>
                </c:pt>
                <c:pt idx="71">
                  <c:v>-9.7460692381634804E-19</c:v>
                </c:pt>
                <c:pt idx="72">
                  <c:v>-1.61919281684096E-19</c:v>
                </c:pt>
                <c:pt idx="73">
                  <c:v>1.28815489701514E-18</c:v>
                </c:pt>
                <c:pt idx="74">
                  <c:v>-4.5659552393583899E-19</c:v>
                </c:pt>
                <c:pt idx="75">
                  <c:v>-1.31771078441748E-18</c:v>
                </c:pt>
                <c:pt idx="76">
                  <c:v>1.27301372784832E-18</c:v>
                </c:pt>
                <c:pt idx="77">
                  <c:v>-9.1255897272669309E-19</c:v>
                </c:pt>
                <c:pt idx="78">
                  <c:v>3.56777461146066E-19</c:v>
                </c:pt>
                <c:pt idx="79">
                  <c:v>-8.2551512888037402E-20</c:v>
                </c:pt>
                <c:pt idx="80">
                  <c:v>7.8090399179575906E-21</c:v>
                </c:pt>
                <c:pt idx="81">
                  <c:v>3.66362704524551E-24</c:v>
                </c:pt>
                <c:pt idx="82">
                  <c:v>-1.1374586721097999E-24</c:v>
                </c:pt>
                <c:pt idx="83">
                  <c:v>2.4200897722758299E-25</c:v>
                </c:pt>
                <c:pt idx="84">
                  <c:v>-3.1689602989311298E-26</c:v>
                </c:pt>
                <c:pt idx="85">
                  <c:v>1.87773368604406E-27</c:v>
                </c:pt>
                <c:pt idx="86">
                  <c:v>2.38772907799993E-30</c:v>
                </c:pt>
                <c:pt idx="87">
                  <c:v>-4.9221199575664602E-31</c:v>
                </c:pt>
                <c:pt idx="88">
                  <c:v>7.1936821788447598E-32</c:v>
                </c:pt>
                <c:pt idx="89">
                  <c:v>-6.6228475592290304E-33</c:v>
                </c:pt>
                <c:pt idx="90">
                  <c:v>2.8371819158409101E-34</c:v>
                </c:pt>
                <c:pt idx="91">
                  <c:v>8.4414630338514197E-37</c:v>
                </c:pt>
                <c:pt idx="92">
                  <c:v>-1.30817539762442E-37</c:v>
                </c:pt>
                <c:pt idx="93">
                  <c:v>1.45791066075248E-38</c:v>
                </c:pt>
                <c:pt idx="94">
                  <c:v>-1.03547285246415E-39</c:v>
                </c:pt>
                <c:pt idx="95">
                  <c:v>3.4237648905306501E-41</c:v>
                </c:pt>
                <c:pt idx="96">
                  <c:v>2.1099293905526801E-43</c:v>
                </c:pt>
                <c:pt idx="97">
                  <c:v>-2.6224135340641798E-44</c:v>
                </c:pt>
                <c:pt idx="98">
                  <c:v>2.36191036307635E-45</c:v>
                </c:pt>
                <c:pt idx="99">
                  <c:v>-1.3617720463870401E-46</c:v>
                </c:pt>
              </c:numCache>
            </c:numRef>
          </c:yVal>
          <c:smooth val="0"/>
          <c:extLst>
            <c:ext xmlns:c16="http://schemas.microsoft.com/office/drawing/2014/chart" uri="{C3380CC4-5D6E-409C-BE32-E72D297353CC}">
              <c16:uniqueId val="{00000012-F8DF-41D1-AED4-FB570A460941}"/>
            </c:ext>
          </c:extLst>
        </c:ser>
        <c:ser>
          <c:idx val="19"/>
          <c:order val="19"/>
          <c:tx>
            <c:strRef>
              <c:f>dynamicR!$DK$19</c:f>
              <c:strCache>
                <c:ptCount val="1"/>
                <c:pt idx="0">
                  <c:v>sMD</c:v>
                </c:pt>
              </c:strCache>
            </c:strRef>
          </c:tx>
          <c:spPr>
            <a:ln w="19050" cap="rnd">
              <a:solidFill>
                <a:schemeClr val="accent2">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dynamicR!$DK$20:$DK$119</c:f>
              <c:numCache>
                <c:formatCode>0.00</c:formatCode>
                <c:ptCount val="100"/>
                <c:pt idx="0">
                  <c:v>0</c:v>
                </c:pt>
                <c:pt idx="1">
                  <c:v>0.99999999999959299</c:v>
                </c:pt>
                <c:pt idx="2">
                  <c:v>0.99999999999959699</c:v>
                </c:pt>
                <c:pt idx="3">
                  <c:v>0.99999999999960199</c:v>
                </c:pt>
                <c:pt idx="4">
                  <c:v>0.99999999999961597</c:v>
                </c:pt>
                <c:pt idx="5">
                  <c:v>0.99999999999962497</c:v>
                </c:pt>
                <c:pt idx="6">
                  <c:v>0.99999999999963296</c:v>
                </c:pt>
                <c:pt idx="7">
                  <c:v>0.99999999999963995</c:v>
                </c:pt>
                <c:pt idx="8">
                  <c:v>0.99999999999964695</c:v>
                </c:pt>
                <c:pt idx="9">
                  <c:v>0.99999999999965405</c:v>
                </c:pt>
                <c:pt idx="10">
                  <c:v>0.99999999999966105</c:v>
                </c:pt>
                <c:pt idx="11">
                  <c:v>0.99999999999966804</c:v>
                </c:pt>
                <c:pt idx="12">
                  <c:v>0.99999999999967504</c:v>
                </c:pt>
                <c:pt idx="13">
                  <c:v>0.99999999999968103</c:v>
                </c:pt>
                <c:pt idx="14">
                  <c:v>0.99999999999968803</c:v>
                </c:pt>
                <c:pt idx="15">
                  <c:v>0.99999999999969402</c:v>
                </c:pt>
                <c:pt idx="16">
                  <c:v>0.99999999999969902</c:v>
                </c:pt>
                <c:pt idx="17">
                  <c:v>0.99999999999970601</c:v>
                </c:pt>
                <c:pt idx="18">
                  <c:v>0.99999999999971301</c:v>
                </c:pt>
                <c:pt idx="19">
                  <c:v>0.999999999999716</c:v>
                </c:pt>
                <c:pt idx="20">
                  <c:v>0.999999999999722</c:v>
                </c:pt>
                <c:pt idx="21">
                  <c:v>0.99999999999973099</c:v>
                </c:pt>
                <c:pt idx="22">
                  <c:v>0.99999999999973399</c:v>
                </c:pt>
                <c:pt idx="23">
                  <c:v>0.99999999999973899</c:v>
                </c:pt>
                <c:pt idx="24">
                  <c:v>0.99999999999974498</c:v>
                </c:pt>
                <c:pt idx="25">
                  <c:v>0.99999999999974898</c:v>
                </c:pt>
                <c:pt idx="26">
                  <c:v>0.99999999999975497</c:v>
                </c:pt>
                <c:pt idx="27">
                  <c:v>0.99999999999975997</c:v>
                </c:pt>
                <c:pt idx="28">
                  <c:v>0.99999999999976497</c:v>
                </c:pt>
                <c:pt idx="29">
                  <c:v>0.99999999999976896</c:v>
                </c:pt>
                <c:pt idx="30">
                  <c:v>0.99999999999977396</c:v>
                </c:pt>
                <c:pt idx="31">
                  <c:v>0.99999999999977895</c:v>
                </c:pt>
                <c:pt idx="32">
                  <c:v>0.99999999999978295</c:v>
                </c:pt>
                <c:pt idx="33">
                  <c:v>0.99999999999978695</c:v>
                </c:pt>
                <c:pt idx="34">
                  <c:v>0.99999999999979206</c:v>
                </c:pt>
                <c:pt idx="35">
                  <c:v>0.99999999999979505</c:v>
                </c:pt>
                <c:pt idx="36">
                  <c:v>0.99999999999980005</c:v>
                </c:pt>
                <c:pt idx="37">
                  <c:v>0.99999999999980305</c:v>
                </c:pt>
                <c:pt idx="38">
                  <c:v>0.99999999999980804</c:v>
                </c:pt>
                <c:pt idx="39">
                  <c:v>0.99999999999981204</c:v>
                </c:pt>
                <c:pt idx="40">
                  <c:v>0.99999999999981504</c:v>
                </c:pt>
                <c:pt idx="41">
                  <c:v>0.99999999999981903</c:v>
                </c:pt>
                <c:pt idx="42">
                  <c:v>0.99999999999982203</c:v>
                </c:pt>
                <c:pt idx="43">
                  <c:v>0.99999999999982603</c:v>
                </c:pt>
                <c:pt idx="44">
                  <c:v>0.99999999999983002</c:v>
                </c:pt>
                <c:pt idx="45">
                  <c:v>0.99999999999983302</c:v>
                </c:pt>
                <c:pt idx="46">
                  <c:v>0.99999999999983602</c:v>
                </c:pt>
                <c:pt idx="47">
                  <c:v>0.99999999999984002</c:v>
                </c:pt>
                <c:pt idx="48">
                  <c:v>0.99999999999984301</c:v>
                </c:pt>
                <c:pt idx="49">
                  <c:v>0.99999999999984601</c:v>
                </c:pt>
                <c:pt idx="50">
                  <c:v>0.99999999999984601</c:v>
                </c:pt>
                <c:pt idx="51">
                  <c:v>2.5535115287395202E-13</c:v>
                </c:pt>
                <c:pt idx="52">
                  <c:v>2.5024643223509398E-13</c:v>
                </c:pt>
                <c:pt idx="53">
                  <c:v>2.4524393009405E-13</c:v>
                </c:pt>
                <c:pt idx="54">
                  <c:v>2.4034153642309101E-13</c:v>
                </c:pt>
                <c:pt idx="55">
                  <c:v>2.3553712096461698E-13</c:v>
                </c:pt>
                <c:pt idx="56">
                  <c:v>2.3082872170407902E-13</c:v>
                </c:pt>
                <c:pt idx="57">
                  <c:v>2.2621443494265001E-13</c:v>
                </c:pt>
                <c:pt idx="58">
                  <c:v>2.21692386352022E-13</c:v>
                </c:pt>
                <c:pt idx="59">
                  <c:v>2.1726073447952601E-13</c:v>
                </c:pt>
                <c:pt idx="60">
                  <c:v>2.12917669247557E-13</c:v>
                </c:pt>
                <c:pt idx="61">
                  <c:v>2.08661416509217E-13</c:v>
                </c:pt>
                <c:pt idx="62">
                  <c:v>2.0449024402550699E-13</c:v>
                </c:pt>
                <c:pt idx="63">
                  <c:v>2.0040245483518901E-13</c:v>
                </c:pt>
                <c:pt idx="64">
                  <c:v>1.96396382751727E-13</c:v>
                </c:pt>
                <c:pt idx="65">
                  <c:v>1.9247039324040099E-13</c:v>
                </c:pt>
                <c:pt idx="66">
                  <c:v>1.8862288464355499E-13</c:v>
                </c:pt>
                <c:pt idx="67">
                  <c:v>1.8485228798765E-13</c:v>
                </c:pt>
                <c:pt idx="68">
                  <c:v>1.8115706596776999E-13</c:v>
                </c:pt>
                <c:pt idx="69">
                  <c:v>1.77535711966554E-13</c:v>
                </c:pt>
                <c:pt idx="70">
                  <c:v>1.73986749366137E-13</c:v>
                </c:pt>
                <c:pt idx="71">
                  <c:v>1.70508731017946E-13</c:v>
                </c:pt>
                <c:pt idx="72">
                  <c:v>1.67100238713719E-13</c:v>
                </c:pt>
                <c:pt idx="73">
                  <c:v>1.63759882616968E-13</c:v>
                </c:pt>
                <c:pt idx="74">
                  <c:v>1.60486300682746E-13</c:v>
                </c:pt>
                <c:pt idx="75">
                  <c:v>1.5727815811633899E-13</c:v>
                </c:pt>
                <c:pt idx="76">
                  <c:v>1.5413414682554801E-13</c:v>
                </c:pt>
                <c:pt idx="77">
                  <c:v>1.5105298479615199E-13</c:v>
                </c:pt>
                <c:pt idx="78">
                  <c:v>1.4803341559557499E-13</c:v>
                </c:pt>
                <c:pt idx="79">
                  <c:v>1.4507420794513999E-13</c:v>
                </c:pt>
                <c:pt idx="80">
                  <c:v>1.4217415523136501E-13</c:v>
                </c:pt>
                <c:pt idx="81">
                  <c:v>1.3933207496616901E-13</c:v>
                </c:pt>
                <c:pt idx="82">
                  <c:v>1.36546808274345E-13</c:v>
                </c:pt>
                <c:pt idx="83">
                  <c:v>1.3381721943315E-13</c:v>
                </c:pt>
                <c:pt idx="84">
                  <c:v>1.31142195429401E-13</c:v>
                </c:pt>
                <c:pt idx="85">
                  <c:v>1.28520645508841E-13</c:v>
                </c:pt>
                <c:pt idx="86">
                  <c:v>1.25951500721788E-13</c:v>
                </c:pt>
                <c:pt idx="87">
                  <c:v>1.23433713482527E-13</c:v>
                </c:pt>
                <c:pt idx="88">
                  <c:v>1.2096625714461799E-13</c:v>
                </c:pt>
                <c:pt idx="89">
                  <c:v>1.18548125585767E-13</c:v>
                </c:pt>
                <c:pt idx="90">
                  <c:v>1.1617833279783399E-13</c:v>
                </c:pt>
                <c:pt idx="91">
                  <c:v>1.13855912483134E-13</c:v>
                </c:pt>
                <c:pt idx="92">
                  <c:v>1.11579917659622E-13</c:v>
                </c:pt>
                <c:pt idx="93">
                  <c:v>1.09349420275035E-13</c:v>
                </c:pt>
                <c:pt idx="94">
                  <c:v>1.07163510829478E-13</c:v>
                </c:pt>
                <c:pt idx="95">
                  <c:v>1.0502129800429201E-13</c:v>
                </c:pt>
                <c:pt idx="96">
                  <c:v>1.02921908298311E-13</c:v>
                </c:pt>
                <c:pt idx="97">
                  <c:v>1.00864485671592E-13</c:v>
                </c:pt>
                <c:pt idx="98">
                  <c:v>9.8848191196688703E-14</c:v>
                </c:pt>
                <c:pt idx="99">
                  <c:v>9.6872202716336406E-14</c:v>
                </c:pt>
              </c:numCache>
            </c:numRef>
          </c:yVal>
          <c:smooth val="0"/>
          <c:extLst>
            <c:ext xmlns:c16="http://schemas.microsoft.com/office/drawing/2014/chart" uri="{C3380CC4-5D6E-409C-BE32-E72D297353CC}">
              <c16:uniqueId val="{00000013-F8DF-41D1-AED4-FB570A460941}"/>
            </c:ext>
          </c:extLst>
        </c:ser>
        <c:ser>
          <c:idx val="20"/>
          <c:order val="20"/>
          <c:tx>
            <c:strRef>
              <c:f>dynamicR!$DL$19</c:f>
              <c:strCache>
                <c:ptCount val="1"/>
                <c:pt idx="0">
                  <c:v>sMS</c:v>
                </c:pt>
              </c:strCache>
            </c:strRef>
          </c:tx>
          <c:spPr>
            <a:ln w="19050" cap="rnd">
              <a:solidFill>
                <a:schemeClr val="accent3">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dynamicR!$DL$20:$DL$119</c:f>
              <c:numCache>
                <c:formatCode>0.00</c:formatCode>
                <c:ptCount val="100"/>
                <c:pt idx="0">
                  <c:v>0</c:v>
                </c:pt>
                <c:pt idx="1">
                  <c:v>1</c:v>
                </c:pt>
                <c:pt idx="2">
                  <c:v>0.999999999999997</c:v>
                </c:pt>
                <c:pt idx="3">
                  <c:v>0.999999999999995</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-1.6451462991896301E-213</c:v>
                </c:pt>
                <c:pt idx="52">
                  <c:v>3.9631594789598601E-215</c:v>
                </c:pt>
                <c:pt idx="53">
                  <c:v>-1.34226596776695E-214</c:v>
                </c:pt>
                <c:pt idx="54">
                  <c:v>1.7650408880100501E-213</c:v>
                </c:pt>
                <c:pt idx="55">
                  <c:v>-1.1111380891179401E-213</c:v>
                </c:pt>
                <c:pt idx="56">
                  <c:v>3.6224987105484399E-213</c:v>
                </c:pt>
                <c:pt idx="57">
                  <c:v>-1.0556849441516399E-213</c:v>
                </c:pt>
                <c:pt idx="58">
                  <c:v>1.9654271516082E-214</c:v>
                </c:pt>
                <c:pt idx="59">
                  <c:v>1.1971351508587101E-215</c:v>
                </c:pt>
                <c:pt idx="60">
                  <c:v>-2.2213988634132799E-215</c:v>
                </c:pt>
                <c:pt idx="61">
                  <c:v>1.05742537005169E-215</c:v>
                </c:pt>
                <c:pt idx="62">
                  <c:v>2.6290260340185801E-214</c:v>
                </c:pt>
                <c:pt idx="63">
                  <c:v>2.0418234054401999E-214</c:v>
                </c:pt>
                <c:pt idx="64">
                  <c:v>-1.6551965520629999E-214</c:v>
                </c:pt>
                <c:pt idx="65">
                  <c:v>-3.78577188057156E-215</c:v>
                </c:pt>
                <c:pt idx="66">
                  <c:v>2.64455112028341E-214</c:v>
                </c:pt>
                <c:pt idx="67">
                  <c:v>-8.5482335346528603E-215</c:v>
                </c:pt>
                <c:pt idx="68">
                  <c:v>-2.90251130747448E-214</c:v>
                </c:pt>
                <c:pt idx="69">
                  <c:v>2.4862651823375702E-214</c:v>
                </c:pt>
                <c:pt idx="70">
                  <c:v>2.3168248649193198E-214</c:v>
                </c:pt>
                <c:pt idx="71">
                  <c:v>-4.2461966376632604E-214</c:v>
                </c:pt>
                <c:pt idx="72">
                  <c:v>-7.05461842477315E-215</c:v>
                </c:pt>
                <c:pt idx="73">
                  <c:v>5.6122882396831897E-214</c:v>
                </c:pt>
                <c:pt idx="74">
                  <c:v>-1.9893225743823401E-214</c:v>
                </c:pt>
                <c:pt idx="75">
                  <c:v>-5.7410646048563802E-214</c:v>
                </c:pt>
                <c:pt idx="76">
                  <c:v>5.5463450721229803E-214</c:v>
                </c:pt>
                <c:pt idx="77">
                  <c:v>-3.97593494751266E-214</c:v>
                </c:pt>
                <c:pt idx="78">
                  <c:v>1.55450163126019E-214</c:v>
                </c:pt>
                <c:pt idx="79">
                  <c:v>-3.5972701327122301E-215</c:v>
                </c:pt>
                <c:pt idx="80">
                  <c:v>3.40595249088818E-216</c:v>
                </c:pt>
                <c:pt idx="81">
                  <c:v>1.81835182255056E-221</c:v>
                </c:pt>
                <c:pt idx="82">
                  <c:v>-5.6457772186258703E-222</c:v>
                </c:pt>
                <c:pt idx="83">
                  <c:v>1.20138169609651E-222</c:v>
                </c:pt>
                <c:pt idx="84">
                  <c:v>-1.5739909371167799E-223</c:v>
                </c:pt>
                <c:pt idx="85">
                  <c:v>9.3618852288434701E-225</c:v>
                </c:pt>
                <c:pt idx="86">
                  <c:v>2.12430214991601E-229</c:v>
                </c:pt>
                <c:pt idx="87">
                  <c:v>-4.4014357746160101E-230</c:v>
                </c:pt>
                <c:pt idx="88">
                  <c:v>6.4355294912264801E-231</c:v>
                </c:pt>
                <c:pt idx="89">
                  <c:v>-5.9349842251817297E-232</c:v>
                </c:pt>
                <c:pt idx="90">
                  <c:v>2.57285082563845E-233</c:v>
                </c:pt>
                <c:pt idx="91">
                  <c:v>1.6726023218716499E-237</c:v>
                </c:pt>
                <c:pt idx="92">
                  <c:v>-2.6051416206372299E-238</c:v>
                </c:pt>
                <c:pt idx="93">
                  <c:v>2.9065650181119299E-239</c:v>
                </c:pt>
                <c:pt idx="94">
                  <c:v>-2.0733855805629201E-240</c:v>
                </c:pt>
                <c:pt idx="95">
                  <c:v>7.0681687960858898E-242</c:v>
                </c:pt>
                <c:pt idx="96">
                  <c:v>1.0555045010863E-245</c:v>
                </c:pt>
                <c:pt idx="97">
                  <c:v>-1.31533129954104E-246</c:v>
                </c:pt>
                <c:pt idx="98">
                  <c:v>1.18757169814827E-247</c:v>
                </c:pt>
                <c:pt idx="99">
                  <c:v>-6.9132533352374603E-249</c:v>
                </c:pt>
              </c:numCache>
            </c:numRef>
          </c:yVal>
          <c:smooth val="0"/>
          <c:extLst>
            <c:ext xmlns:c16="http://schemas.microsoft.com/office/drawing/2014/chart" uri="{C3380CC4-5D6E-409C-BE32-E72D297353CC}">
              <c16:uniqueId val="{00000014-F8DF-41D1-AED4-FB570A460941}"/>
            </c:ext>
          </c:extLst>
        </c:ser>
        <c:ser>
          <c:idx val="21"/>
          <c:order val="21"/>
          <c:tx>
            <c:strRef>
              <c:f>dynamicR!$DM$19</c:f>
              <c:strCache>
                <c:ptCount val="1"/>
                <c:pt idx="0">
                  <c:v>sMA</c:v>
                </c:pt>
              </c:strCache>
            </c:strRef>
          </c:tx>
          <c:spPr>
            <a:ln w="19050" cap="rnd">
              <a:solidFill>
                <a:schemeClr val="accent4">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dynamicR!$DM$20:$DM$119</c:f>
              <c:numCache>
                <c:formatCode>0.00</c:formatCode>
                <c:ptCount val="100"/>
                <c:pt idx="0">
                  <c:v>0</c:v>
                </c:pt>
                <c:pt idx="1">
                  <c:v>1</c:v>
                </c:pt>
                <c:pt idx="2">
                  <c:v>0.999999999999995</c:v>
                </c:pt>
                <c:pt idx="3">
                  <c:v>0.99999999999999301</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0.999999999999999</c:v>
                </c:pt>
                <c:pt idx="21">
                  <c:v>1</c:v>
                </c:pt>
                <c:pt idx="22">
                  <c:v>1</c:v>
                </c:pt>
                <c:pt idx="23">
                  <c:v>0.999999999999999</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-2.5278142548720802E-93</c:v>
                </c:pt>
                <c:pt idx="52">
                  <c:v>6.0895471173519795E-95</c:v>
                </c:pt>
                <c:pt idx="53">
                  <c:v>-2.06240275538868E-94</c:v>
                </c:pt>
                <c:pt idx="54">
                  <c:v>2.71203708682335E-93</c:v>
                </c:pt>
                <c:pt idx="55">
                  <c:v>-1.7072916513212299E-93</c:v>
                </c:pt>
                <c:pt idx="56">
                  <c:v>5.5660582165731297E-93</c:v>
                </c:pt>
                <c:pt idx="57">
                  <c:v>-1.62208023847251E-93</c:v>
                </c:pt>
                <c:pt idx="58">
                  <c:v>3.0198849147915701E-94</c:v>
                </c:pt>
                <c:pt idx="59">
                  <c:v>1.8395771021946501E-95</c:v>
                </c:pt>
                <c:pt idx="60">
                  <c:v>-3.4133652876773702E-95</c:v>
                </c:pt>
                <c:pt idx="61">
                  <c:v>1.62451903411963E-95</c:v>
                </c:pt>
                <c:pt idx="62">
                  <c:v>4.0395612331911402E-94</c:v>
                </c:pt>
                <c:pt idx="63">
                  <c:v>3.1373032502380802E-94</c:v>
                </c:pt>
                <c:pt idx="64">
                  <c:v>-2.5432706437085602E-94</c:v>
                </c:pt>
                <c:pt idx="65">
                  <c:v>-5.8168813271935603E-95</c:v>
                </c:pt>
                <c:pt idx="66">
                  <c:v>4.06343328473643E-94</c:v>
                </c:pt>
                <c:pt idx="67">
                  <c:v>-1.3134688135349601E-94</c:v>
                </c:pt>
                <c:pt idx="68">
                  <c:v>-4.4597906320312402E-94</c:v>
                </c:pt>
                <c:pt idx="69">
                  <c:v>3.8202237876107302E-94</c:v>
                </c:pt>
                <c:pt idx="70">
                  <c:v>3.5598632981768699E-94</c:v>
                </c:pt>
                <c:pt idx="71">
                  <c:v>-6.52440290534444E-94</c:v>
                </c:pt>
                <c:pt idx="72">
                  <c:v>-1.0839592932234001E-94</c:v>
                </c:pt>
                <c:pt idx="73">
                  <c:v>8.62343503007897E-94</c:v>
                </c:pt>
                <c:pt idx="74">
                  <c:v>-3.05664581376111E-94</c:v>
                </c:pt>
                <c:pt idx="75">
                  <c:v>-8.8213008309897995E-94</c:v>
                </c:pt>
                <c:pt idx="76">
                  <c:v>8.5221018463942E-94</c:v>
                </c:pt>
                <c:pt idx="77">
                  <c:v>-6.1091093158177101E-94</c:v>
                </c:pt>
                <c:pt idx="78">
                  <c:v>2.38850252753737E-94</c:v>
                </c:pt>
                <c:pt idx="79">
                  <c:v>-5.5270467784730198E-95</c:v>
                </c:pt>
                <c:pt idx="80">
                  <c:v>5.2318353855344203E-96</c:v>
                </c:pt>
                <c:pt idx="81">
                  <c:v>6.7387807281798797E-100</c:v>
                </c:pt>
                <c:pt idx="82">
                  <c:v>-2.0922714356189599E-100</c:v>
                </c:pt>
                <c:pt idx="83">
                  <c:v>4.4519390133609303E-101</c:v>
                </c:pt>
                <c:pt idx="84">
                  <c:v>-5.8313662588949298E-102</c:v>
                </c:pt>
                <c:pt idx="85">
                  <c:v>3.4628615778160101E-103</c:v>
                </c:pt>
                <c:pt idx="86">
                  <c:v>1.9081326915331001E-106</c:v>
                </c:pt>
                <c:pt idx="87">
                  <c:v>-3.93378563703918E-107</c:v>
                </c:pt>
                <c:pt idx="88">
                  <c:v>5.7504279062640297E-108</c:v>
                </c:pt>
                <c:pt idx="89">
                  <c:v>-5.2984063185912601E-109</c:v>
                </c:pt>
                <c:pt idx="90">
                  <c:v>2.28264433989095E-110</c:v>
                </c:pt>
                <c:pt idx="91">
                  <c:v>3.6222727218861103E-113</c:v>
                </c:pt>
                <c:pt idx="92">
                  <c:v>-5.6143333138516697E-114</c:v>
                </c:pt>
                <c:pt idx="93">
                  <c:v>6.2597681633435903E-115</c:v>
                </c:pt>
                <c:pt idx="94">
                  <c:v>-4.45379737807133E-116</c:v>
                </c:pt>
                <c:pt idx="95">
                  <c:v>1.49110859992415E-117</c:v>
                </c:pt>
                <c:pt idx="96">
                  <c:v>5.49614929356615E-120</c:v>
                </c:pt>
                <c:pt idx="97">
                  <c:v>-6.8331467847362498E-121</c:v>
                </c:pt>
                <c:pt idx="98">
                  <c:v>6.1596775437148805E-122</c:v>
                </c:pt>
                <c:pt idx="99">
                  <c:v>-3.5635336802094499E-123</c:v>
                </c:pt>
              </c:numCache>
            </c:numRef>
          </c:yVal>
          <c:smooth val="0"/>
          <c:extLst>
            <c:ext xmlns:c16="http://schemas.microsoft.com/office/drawing/2014/chart" uri="{C3380CC4-5D6E-409C-BE32-E72D297353CC}">
              <c16:uniqueId val="{00000015-F8DF-41D1-AED4-FB570A460941}"/>
            </c:ext>
          </c:extLst>
        </c:ser>
        <c:ser>
          <c:idx val="22"/>
          <c:order val="22"/>
          <c:tx>
            <c:strRef>
              <c:f>dynamicR!$DN$19</c:f>
              <c:strCache>
                <c:ptCount val="1"/>
                <c:pt idx="0">
                  <c:v>sMP</c:v>
                </c:pt>
              </c:strCache>
            </c:strRef>
          </c:tx>
          <c:spPr>
            <a:ln w="19050" cap="rnd">
              <a:solidFill>
                <a:schemeClr val="accent5">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dynamicR!$DN$20:$DN$119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2.1249511254295102E-89</c:v>
                </c:pt>
                <c:pt idx="52">
                  <c:v>-5.1190479945554497E-91</c:v>
                </c:pt>
                <c:pt idx="53">
                  <c:v>1.7337098633958799E-90</c:v>
                </c:pt>
                <c:pt idx="54">
                  <c:v>-2.2798141474312399E-89</c:v>
                </c:pt>
                <c:pt idx="55">
                  <c:v>1.43519648793954E-89</c:v>
                </c:pt>
                <c:pt idx="56">
                  <c:v>-4.6789818950807201E-89</c:v>
                </c:pt>
                <c:pt idx="57">
                  <c:v>1.36356464341931E-89</c:v>
                </c:pt>
                <c:pt idx="58">
                  <c:v>-2.53859321460364E-90</c:v>
                </c:pt>
                <c:pt idx="59">
                  <c:v>-1.5464178177665899E-91</c:v>
                </c:pt>
                <c:pt idx="60">
                  <c:v>2.8693852670932198E-91</c:v>
                </c:pt>
                <c:pt idx="61">
                  <c:v>-1.3655854501725101E-91</c:v>
                </c:pt>
                <c:pt idx="62">
                  <c:v>-3.3957662454834801E-90</c:v>
                </c:pt>
                <c:pt idx="63">
                  <c:v>-2.6373024881726702E-90</c:v>
                </c:pt>
                <c:pt idx="64">
                  <c:v>2.1379459288322699E-90</c:v>
                </c:pt>
                <c:pt idx="65">
                  <c:v>4.8898244718518302E-91</c:v>
                </c:pt>
                <c:pt idx="66">
                  <c:v>-3.41583591322016E-90</c:v>
                </c:pt>
                <c:pt idx="67">
                  <c:v>1.10413953585377E-90</c:v>
                </c:pt>
                <c:pt idx="68">
                  <c:v>3.7490242205207998E-90</c:v>
                </c:pt>
                <c:pt idx="69">
                  <c:v>-3.2113874001785799E-90</c:v>
                </c:pt>
                <c:pt idx="70">
                  <c:v>-2.9925197945835299E-90</c:v>
                </c:pt>
                <c:pt idx="71">
                  <c:v>5.4845950255044103E-90</c:v>
                </c:pt>
                <c:pt idx="72">
                  <c:v>9.1120602898979999E-91</c:v>
                </c:pt>
                <c:pt idx="73">
                  <c:v>-7.2490991179263901E-90</c:v>
                </c:pt>
                <c:pt idx="74">
                  <c:v>2.5695010415916101E-90</c:v>
                </c:pt>
                <c:pt idx="75">
                  <c:v>7.4154302822286403E-90</c:v>
                </c:pt>
                <c:pt idx="76">
                  <c:v>-7.1639144204747403E-90</c:v>
                </c:pt>
                <c:pt idx="77">
                  <c:v>5.1354840729119802E-90</c:v>
                </c:pt>
                <c:pt idx="78">
                  <c:v>-2.0078376221114702E-90</c:v>
                </c:pt>
                <c:pt idx="79">
                  <c:v>4.6461570367498101E-91</c:v>
                </c:pt>
                <c:pt idx="80">
                  <c:v>-4.3978389201932798E-92</c:v>
                </c:pt>
                <c:pt idx="81">
                  <c:v>-6.4690791180313797E-96</c:v>
                </c:pt>
                <c:pt idx="82">
                  <c:v>2.0085276742073302E-96</c:v>
                </c:pt>
                <c:pt idx="83">
                  <c:v>-4.2737110046755897E-97</c:v>
                </c:pt>
                <c:pt idx="84">
                  <c:v>5.5977237895156297E-98</c:v>
                </c:pt>
                <c:pt idx="85">
                  <c:v>-3.3233270310521402E-99</c:v>
                </c:pt>
                <c:pt idx="86">
                  <c:v>-2.0918355512253099E-102</c:v>
                </c:pt>
                <c:pt idx="87">
                  <c:v>4.3124280268307798E-103</c:v>
                </c:pt>
                <c:pt idx="88">
                  <c:v>-6.3037133790258306E-104</c:v>
                </c:pt>
                <c:pt idx="89">
                  <c:v>5.8074265251953702E-105</c:v>
                </c:pt>
                <c:pt idx="90">
                  <c:v>-2.4996236499337599E-106</c:v>
                </c:pt>
                <c:pt idx="91">
                  <c:v>-4.5347080377214098E-109</c:v>
                </c:pt>
                <c:pt idx="92">
                  <c:v>7.0282975806278302E-110</c:v>
                </c:pt>
                <c:pt idx="93">
                  <c:v>-7.8355129206489598E-111</c:v>
                </c:pt>
                <c:pt idx="94">
                  <c:v>5.5727841244600803E-112</c:v>
                </c:pt>
                <c:pt idx="95">
                  <c:v>-1.8606810910515501E-113</c:v>
                </c:pt>
                <c:pt idx="96">
                  <c:v>-7.8571940014386703E-116</c:v>
                </c:pt>
                <c:pt idx="97">
                  <c:v>9.7677388363175502E-117</c:v>
                </c:pt>
                <c:pt idx="98">
                  <c:v>-8.8029720459988097E-118</c:v>
                </c:pt>
                <c:pt idx="99">
                  <c:v>5.0880337343467998E-119</c:v>
                </c:pt>
              </c:numCache>
            </c:numRef>
          </c:yVal>
          <c:smooth val="0"/>
          <c:extLst>
            <c:ext xmlns:c16="http://schemas.microsoft.com/office/drawing/2014/chart" uri="{C3380CC4-5D6E-409C-BE32-E72D297353CC}">
              <c16:uniqueId val="{00000016-F8DF-41D1-AED4-FB570A460941}"/>
            </c:ext>
          </c:extLst>
        </c:ser>
        <c:dLbls>
          <c:showLegendKey val="0"/>
          <c:showVal val="0"/>
          <c:showCatName val="0"/>
          <c:showSerName val="0"/>
          <c:showPercent val="0"/>
          <c:showBubbleSize val="0"/>
        </c:dLbls>
        <c:axId val="151728896"/>
        <c:axId val="151730816"/>
      </c:scatterChart>
      <c:valAx>
        <c:axId val="151728896"/>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30816"/>
        <c:crosses val="autoZero"/>
        <c:crossBetween val="midCat"/>
      </c:valAx>
      <c:valAx>
        <c:axId val="151730816"/>
        <c:scaling>
          <c:orientation val="minMax"/>
          <c:max val="1.0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steady state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2889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SimpleBox dynamic output - Tropic </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dynamicR!$EL$19</c:f>
              <c:strCache>
                <c:ptCount val="1"/>
                <c:pt idx="0">
                  <c:v>aTG</c:v>
                </c:pt>
              </c:strCache>
            </c:strRef>
          </c:tx>
          <c:spPr>
            <a:ln w="19050" cap="rnd">
              <a:solidFill>
                <a:schemeClr val="accent1"/>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dynamicR!$EL$20:$EL$119</c:f>
              <c:numCache>
                <c:formatCode>0.00</c:formatCode>
                <c:ptCount val="100"/>
                <c:pt idx="0">
                  <c:v>0</c:v>
                </c:pt>
                <c:pt idx="1">
                  <c:v>1.9993900444637499E-2</c:v>
                </c:pt>
                <c:pt idx="2">
                  <c:v>3.9584350284397697E-2</c:v>
                </c:pt>
                <c:pt idx="3">
                  <c:v>5.8783183737153501E-2</c:v>
                </c:pt>
                <c:pt idx="4">
                  <c:v>7.7598234857398807E-2</c:v>
                </c:pt>
                <c:pt idx="5">
                  <c:v>9.6037172251019903E-2</c:v>
                </c:pt>
                <c:pt idx="6">
                  <c:v>0.114107511517107</c:v>
                </c:pt>
                <c:pt idx="7">
                  <c:v>0.13181662081145401</c:v>
                </c:pt>
                <c:pt idx="8">
                  <c:v>0.14917172216893601</c:v>
                </c:pt>
                <c:pt idx="9">
                  <c:v>0.166179892906201</c:v>
                </c:pt>
                <c:pt idx="10">
                  <c:v>0.182848068269019</c:v>
                </c:pt>
                <c:pt idx="11">
                  <c:v>0.19918304463919301</c:v>
                </c:pt>
                <c:pt idx="12">
                  <c:v>0.21519148253247999</c:v>
                </c:pt>
                <c:pt idx="13">
                  <c:v>0.230879909205674</c:v>
                </c:pt>
                <c:pt idx="14">
                  <c:v>0.246254721785896</c:v>
                </c:pt>
                <c:pt idx="15">
                  <c:v>0.26132218982352101</c:v>
                </c:pt>
                <c:pt idx="16">
                  <c:v>0.27608845738686699</c:v>
                </c:pt>
                <c:pt idx="17">
                  <c:v>0.29055954541936702</c:v>
                </c:pt>
                <c:pt idx="18">
                  <c:v>0.304741354440834</c:v>
                </c:pt>
                <c:pt idx="19">
                  <c:v>0.31863966714840303</c:v>
                </c:pt>
                <c:pt idx="20">
                  <c:v>0.33226015073333698</c:v>
                </c:pt>
                <c:pt idx="21">
                  <c:v>0.34560835907471499</c:v>
                </c:pt>
                <c:pt idx="22">
                  <c:v>0.35868973497312601</c:v>
                </c:pt>
                <c:pt idx="23">
                  <c:v>0.371509612418218</c:v>
                </c:pt>
                <c:pt idx="24">
                  <c:v>0.38407321879692902</c:v>
                </c:pt>
                <c:pt idx="25">
                  <c:v>0.39638567701442901</c:v>
                </c:pt>
                <c:pt idx="26">
                  <c:v>0.40845200756156402</c:v>
                </c:pt>
                <c:pt idx="27">
                  <c:v>0.42027713055969101</c:v>
                </c:pt>
                <c:pt idx="28">
                  <c:v>0.43186586777585001</c:v>
                </c:pt>
                <c:pt idx="29">
                  <c:v>0.44322294459230899</c:v>
                </c:pt>
                <c:pt idx="30">
                  <c:v>0.45435299193388201</c:v>
                </c:pt>
                <c:pt idx="31">
                  <c:v>0.46526054815135298</c:v>
                </c:pt>
                <c:pt idx="32">
                  <c:v>0.47595006087071801</c:v>
                </c:pt>
                <c:pt idx="33">
                  <c:v>0.48642588880891602</c:v>
                </c:pt>
                <c:pt idx="34">
                  <c:v>0.49669230355424998</c:v>
                </c:pt>
                <c:pt idx="35">
                  <c:v>0.50675349130484504</c:v>
                </c:pt>
                <c:pt idx="36">
                  <c:v>0.51661355457506297</c:v>
                </c:pt>
                <c:pt idx="37">
                  <c:v>0.52627651386983199</c:v>
                </c:pt>
                <c:pt idx="38">
                  <c:v>0.53574630932351097</c:v>
                </c:pt>
                <c:pt idx="39">
                  <c:v>0.54502680230737299</c:v>
                </c:pt>
                <c:pt idx="40">
                  <c:v>0.55412177700304999</c:v>
                </c:pt>
                <c:pt idx="41">
                  <c:v>0.563034941946148</c:v>
                </c:pt>
                <c:pt idx="42">
                  <c:v>0.57176993153733402</c:v>
                </c:pt>
                <c:pt idx="43">
                  <c:v>0.58033030753058001</c:v>
                </c:pt>
                <c:pt idx="44">
                  <c:v>0.58871956047587104</c:v>
                </c:pt>
                <c:pt idx="45">
                  <c:v>0.59694111110303705</c:v>
                </c:pt>
                <c:pt idx="46">
                  <c:v>0.60499831190683795</c:v>
                </c:pt>
                <c:pt idx="47">
                  <c:v>0.61289444810378502</c:v>
                </c:pt>
                <c:pt idx="48">
                  <c:v>0.620632739595946</c:v>
                </c:pt>
                <c:pt idx="49">
                  <c:v>0.62821634154068196</c:v>
                </c:pt>
                <c:pt idx="50">
                  <c:v>0.62821634154068196</c:v>
                </c:pt>
                <c:pt idx="51">
                  <c:v>0.61565411571583994</c:v>
                </c:pt>
                <c:pt idx="52">
                  <c:v>0.60334658455522105</c:v>
                </c:pt>
                <c:pt idx="53">
                  <c:v>0.59128550318808304</c:v>
                </c:pt>
                <c:pt idx="54">
                  <c:v>0.57946578431694895</c:v>
                </c:pt>
                <c:pt idx="55">
                  <c:v>0.56788229187010797</c:v>
                </c:pt>
                <c:pt idx="56">
                  <c:v>0.55653029541119203</c:v>
                </c:pt>
                <c:pt idx="57">
                  <c:v>0.54540520510407897</c:v>
                </c:pt>
                <c:pt idx="58">
                  <c:v>0.53450250192471904</c:v>
                </c:pt>
                <c:pt idx="59">
                  <c:v>0.52381774611291299</c:v>
                </c:pt>
                <c:pt idx="60">
                  <c:v>0.513346573553907</c:v>
                </c:pt>
                <c:pt idx="61">
                  <c:v>0.50308470676226102</c:v>
                </c:pt>
                <c:pt idx="62">
                  <c:v>0.49302796929287401</c:v>
                </c:pt>
                <c:pt idx="63">
                  <c:v>0.48317226975569799</c:v>
                </c:pt>
                <c:pt idx="64">
                  <c:v>0.473513590958764</c:v>
                </c:pt>
                <c:pt idx="65">
                  <c:v>0.46404799202293801</c:v>
                </c:pt>
                <c:pt idx="66">
                  <c:v>0.45477161133602201</c:v>
                </c:pt>
                <c:pt idx="67">
                  <c:v>0.44568066608755202</c:v>
                </c:pt>
                <c:pt idx="68">
                  <c:v>0.43677144982039501</c:v>
                </c:pt>
                <c:pt idx="69">
                  <c:v>0.42804033006541298</c:v>
                </c:pt>
                <c:pt idx="70">
                  <c:v>0.41948374668258098</c:v>
                </c:pt>
                <c:pt idx="71">
                  <c:v>0.41109821058260299</c:v>
                </c:pt>
                <c:pt idx="72">
                  <c:v>0.40288030245151701</c:v>
                </c:pt>
                <c:pt idx="73">
                  <c:v>0.39482667138003402</c:v>
                </c:pt>
                <c:pt idx="74">
                  <c:v>0.38693403346456101</c:v>
                </c:pt>
                <c:pt idx="75">
                  <c:v>0.37919917050200802</c:v>
                </c:pt>
                <c:pt idx="76">
                  <c:v>0.371618928669329</c:v>
                </c:pt>
                <c:pt idx="77">
                  <c:v>0.364190217017823</c:v>
                </c:pt>
                <c:pt idx="78">
                  <c:v>0.35691000627624703</c:v>
                </c:pt>
                <c:pt idx="79">
                  <c:v>0.349775327819766</c:v>
                </c:pt>
                <c:pt idx="80">
                  <c:v>0.34278327249150797</c:v>
                </c:pt>
                <c:pt idx="81">
                  <c:v>0.33593098930120602</c:v>
                </c:pt>
                <c:pt idx="82">
                  <c:v>0.32921568418944802</c:v>
                </c:pt>
                <c:pt idx="83">
                  <c:v>0.322634618917646</c:v>
                </c:pt>
                <c:pt idx="84">
                  <c:v>0.31618511000017502</c:v>
                </c:pt>
                <c:pt idx="85">
                  <c:v>0.309864527617907</c:v>
                </c:pt>
                <c:pt idx="86">
                  <c:v>0.30367029452274702</c:v>
                </c:pt>
                <c:pt idx="87">
                  <c:v>0.29759988497533701</c:v>
                </c:pt>
                <c:pt idx="88">
                  <c:v>0.291650823721117</c:v>
                </c:pt>
                <c:pt idx="89">
                  <c:v>0.28582068498944002</c:v>
                </c:pt>
                <c:pt idx="90">
                  <c:v>0.28010709150507801</c:v>
                </c:pt>
                <c:pt idx="91">
                  <c:v>0.27450771351490799</c:v>
                </c:pt>
                <c:pt idx="92">
                  <c:v>0.26902026783599797</c:v>
                </c:pt>
                <c:pt idx="93">
                  <c:v>0.26364251692530399</c:v>
                </c:pt>
                <c:pt idx="94">
                  <c:v>0.25837226796972601</c:v>
                </c:pt>
                <c:pt idx="95">
                  <c:v>0.253207371991301</c:v>
                </c:pt>
                <c:pt idx="96">
                  <c:v>0.24814572297021101</c:v>
                </c:pt>
                <c:pt idx="97">
                  <c:v>0.24318525698582</c:v>
                </c:pt>
                <c:pt idx="98">
                  <c:v>0.238323951375885</c:v>
                </c:pt>
                <c:pt idx="99">
                  <c:v>0.233559823911238</c:v>
                </c:pt>
              </c:numCache>
            </c:numRef>
          </c:yVal>
          <c:smooth val="0"/>
          <c:extLst>
            <c:ext xmlns:c16="http://schemas.microsoft.com/office/drawing/2014/chart" uri="{C3380CC4-5D6E-409C-BE32-E72D297353CC}">
              <c16:uniqueId val="{00000000-C8BD-4F4B-9BA9-1068EB14BB26}"/>
            </c:ext>
          </c:extLst>
        </c:ser>
        <c:ser>
          <c:idx val="1"/>
          <c:order val="1"/>
          <c:tx>
            <c:strRef>
              <c:f>dynamicR!$EM$19</c:f>
              <c:strCache>
                <c:ptCount val="1"/>
                <c:pt idx="0">
                  <c:v>aTS</c:v>
                </c:pt>
              </c:strCache>
            </c:strRef>
          </c:tx>
          <c:spPr>
            <a:ln w="19050" cap="rnd">
              <a:solidFill>
                <a:schemeClr val="accent2"/>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dynamicR!$EM$20:$EM$119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-4.2470378045417301E-213</c:v>
                </c:pt>
                <c:pt idx="52">
                  <c:v>1.02311193768088E-214</c:v>
                </c:pt>
                <c:pt idx="53">
                  <c:v>-3.4651351770254098E-214</c:v>
                </c:pt>
                <c:pt idx="54">
                  <c:v>4.5565524581135703E-213</c:v>
                </c:pt>
                <c:pt idx="55">
                  <c:v>-2.8684655524953099E-213</c:v>
                </c:pt>
                <c:pt idx="56">
                  <c:v>9.3516844325638203E-213</c:v>
                </c:pt>
                <c:pt idx="57">
                  <c:v>-2.7253101372494701E-213</c:v>
                </c:pt>
                <c:pt idx="58">
                  <c:v>5.0738608807826904E-214</c:v>
                </c:pt>
                <c:pt idx="59">
                  <c:v>3.0904718121862502E-215</c:v>
                </c:pt>
                <c:pt idx="60">
                  <c:v>-5.7346662706192501E-215</c:v>
                </c:pt>
                <c:pt idx="61">
                  <c:v>2.7298031448601501E-215</c:v>
                </c:pt>
                <c:pt idx="62">
                  <c:v>6.7869787682799799E-214</c:v>
                </c:pt>
                <c:pt idx="63">
                  <c:v>5.27108211253336E-214</c:v>
                </c:pt>
                <c:pt idx="64">
                  <c:v>-4.2729831164928897E-214</c:v>
                </c:pt>
                <c:pt idx="65">
                  <c:v>-9.7731833167574895E-215</c:v>
                </c:pt>
                <c:pt idx="66">
                  <c:v>6.82705765281425E-214</c:v>
                </c:pt>
                <c:pt idx="67">
                  <c:v>-2.2067746289033498E-214</c:v>
                </c:pt>
                <c:pt idx="68">
                  <c:v>-7.4929964038471394E-214</c:v>
                </c:pt>
                <c:pt idx="69">
                  <c:v>6.4184335896611897E-214</c:v>
                </c:pt>
                <c:pt idx="70">
                  <c:v>5.98101386770803E-214</c:v>
                </c:pt>
                <c:pt idx="71">
                  <c:v>-1.0961795757385901E-213</c:v>
                </c:pt>
                <c:pt idx="72">
                  <c:v>-1.8211894765479599E-214</c:v>
                </c:pt>
                <c:pt idx="73">
                  <c:v>1.44884381635331E-213</c:v>
                </c:pt>
                <c:pt idx="74">
                  <c:v>-5.1355482604161098E-214</c:v>
                </c:pt>
                <c:pt idx="75">
                  <c:v>-1.4820881602653701E-213</c:v>
                </c:pt>
                <c:pt idx="76">
                  <c:v>1.43182021626897E-213</c:v>
                </c:pt>
                <c:pt idx="77">
                  <c:v>-1.0264099983667099E-213</c:v>
                </c:pt>
                <c:pt idx="78">
                  <c:v>4.0130335075051198E-214</c:v>
                </c:pt>
                <c:pt idx="79">
                  <c:v>-9.2865554386207597E-215</c:v>
                </c:pt>
                <c:pt idx="80">
                  <c:v>8.7926581716476198E-216</c:v>
                </c:pt>
                <c:pt idx="81">
                  <c:v>4.6941760875598803E-221</c:v>
                </c:pt>
                <c:pt idx="82">
                  <c:v>-1.4574884356219799E-221</c:v>
                </c:pt>
                <c:pt idx="83">
                  <c:v>3.1014317848088398E-222</c:v>
                </c:pt>
                <c:pt idx="84">
                  <c:v>-4.06333921676841E-223</c:v>
                </c:pt>
                <c:pt idx="85">
                  <c:v>2.4168141019128598E-224</c:v>
                </c:pt>
                <c:pt idx="86">
                  <c:v>5.5231935227256902E-229</c:v>
                </c:pt>
                <c:pt idx="87">
                  <c:v>-1.13625410674718E-229</c:v>
                </c:pt>
                <c:pt idx="88">
                  <c:v>1.6613660424904301E-230</c:v>
                </c:pt>
                <c:pt idx="89">
                  <c:v>-1.5321471072280501E-231</c:v>
                </c:pt>
                <c:pt idx="90">
                  <c:v>6.6419335046804902E-233</c:v>
                </c:pt>
                <c:pt idx="91">
                  <c:v>4.3337735894782299E-237</c:v>
                </c:pt>
                <c:pt idx="92">
                  <c:v>-6.7253120613820806E-238</c:v>
                </c:pt>
                <c:pt idx="93">
                  <c:v>7.5034490270390003E-239</c:v>
                </c:pt>
                <c:pt idx="94">
                  <c:v>-5.3525434695888204E-240</c:v>
                </c:pt>
                <c:pt idx="95">
                  <c:v>1.82467789699912E-241</c:v>
                </c:pt>
                <c:pt idx="96">
                  <c:v>2.7293094313565E-245</c:v>
                </c:pt>
                <c:pt idx="97">
                  <c:v>-3.39559292855292E-246</c:v>
                </c:pt>
                <c:pt idx="98">
                  <c:v>3.0657723117413702E-247</c:v>
                </c:pt>
                <c:pt idx="99">
                  <c:v>-1.78468676118212E-248</c:v>
                </c:pt>
              </c:numCache>
            </c:numRef>
          </c:yVal>
          <c:smooth val="0"/>
          <c:extLst>
            <c:ext xmlns:c16="http://schemas.microsoft.com/office/drawing/2014/chart" uri="{C3380CC4-5D6E-409C-BE32-E72D297353CC}">
              <c16:uniqueId val="{00000001-C8BD-4F4B-9BA9-1068EB14BB26}"/>
            </c:ext>
          </c:extLst>
        </c:ser>
        <c:ser>
          <c:idx val="2"/>
          <c:order val="2"/>
          <c:tx>
            <c:strRef>
              <c:f>dynamicR!$EN$19</c:f>
              <c:strCache>
                <c:ptCount val="1"/>
                <c:pt idx="0">
                  <c:v>aTA</c:v>
                </c:pt>
              </c:strCache>
            </c:strRef>
          </c:tx>
          <c:spPr>
            <a:ln w="19050" cap="rnd">
              <a:solidFill>
                <a:schemeClr val="accent3"/>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dynamicR!$EN$20:$EN$119</c:f>
              <c:numCache>
                <c:formatCode>0.00</c:formatCode>
                <c:ptCount val="100"/>
                <c:pt idx="0">
                  <c:v>0</c:v>
                </c:pt>
                <c:pt idx="1">
                  <c:v>1</c:v>
                </c:pt>
                <c:pt idx="2">
                  <c:v>0.999999999999996</c:v>
                </c:pt>
                <c:pt idx="3">
                  <c:v>0.999999999999994</c:v>
                </c:pt>
                <c:pt idx="4">
                  <c:v>1</c:v>
                </c:pt>
                <c:pt idx="5">
                  <c:v>1</c:v>
                </c:pt>
                <c:pt idx="6">
                  <c:v>1</c:v>
                </c:pt>
                <c:pt idx="7">
                  <c:v>1</c:v>
                </c:pt>
                <c:pt idx="8">
                  <c:v>1</c:v>
                </c:pt>
                <c:pt idx="9">
                  <c:v>1</c:v>
                </c:pt>
                <c:pt idx="10">
                  <c:v>1</c:v>
                </c:pt>
                <c:pt idx="11">
                  <c:v>1</c:v>
                </c:pt>
                <c:pt idx="12">
                  <c:v>1</c:v>
                </c:pt>
                <c:pt idx="13">
                  <c:v>1</c:v>
                </c:pt>
                <c:pt idx="14">
                  <c:v>0.999999999999999</c:v>
                </c:pt>
                <c:pt idx="15">
                  <c:v>1</c:v>
                </c:pt>
                <c:pt idx="16">
                  <c:v>1</c:v>
                </c:pt>
                <c:pt idx="17">
                  <c:v>0.999999999999999</c:v>
                </c:pt>
                <c:pt idx="18">
                  <c:v>1</c:v>
                </c:pt>
                <c:pt idx="19">
                  <c:v>1</c:v>
                </c:pt>
                <c:pt idx="20">
                  <c:v>0.999999999999997</c:v>
                </c:pt>
                <c:pt idx="21">
                  <c:v>1</c:v>
                </c:pt>
                <c:pt idx="22">
                  <c:v>1</c:v>
                </c:pt>
                <c:pt idx="23">
                  <c:v>0.999999999999998</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-2.9845212462499301E-99</c:v>
                </c:pt>
                <c:pt idx="52">
                  <c:v>7.1897539831494305E-101</c:v>
                </c:pt>
                <c:pt idx="53">
                  <c:v>-2.4350280873506E-100</c:v>
                </c:pt>
                <c:pt idx="54">
                  <c:v>3.2020278311284599E-99</c:v>
                </c:pt>
                <c:pt idx="55">
                  <c:v>-2.01575337302764E-99</c:v>
                </c:pt>
                <c:pt idx="56">
                  <c:v>6.5716958158328501E-99</c:v>
                </c:pt>
                <c:pt idx="57">
                  <c:v>-1.91514780956217E-99</c:v>
                </c:pt>
                <c:pt idx="58">
                  <c:v>3.5655057153694302E-100</c:v>
                </c:pt>
                <c:pt idx="59">
                  <c:v>2.1719092433820899E-101</c:v>
                </c:pt>
                <c:pt idx="60">
                  <c:v>-4.0300424523802903E-101</c:v>
                </c:pt>
                <c:pt idx="61">
                  <c:v>1.9180747019124301E-101</c:v>
                </c:pt>
                <c:pt idx="62">
                  <c:v>4.7694020912907805E-100</c:v>
                </c:pt>
                <c:pt idx="63">
                  <c:v>3.7041316195349699E-100</c:v>
                </c:pt>
                <c:pt idx="64">
                  <c:v>-3.0027673783427398E-100</c:v>
                </c:pt>
                <c:pt idx="65">
                  <c:v>-6.8678460501154802E-101</c:v>
                </c:pt>
                <c:pt idx="66">
                  <c:v>4.7975836791906801E-100</c:v>
                </c:pt>
                <c:pt idx="67">
                  <c:v>-1.5507750712520699E-100</c:v>
                </c:pt>
                <c:pt idx="68">
                  <c:v>-5.26555315112568E-100</c:v>
                </c:pt>
                <c:pt idx="69">
                  <c:v>4.5104325939728698E-100</c:v>
                </c:pt>
                <c:pt idx="70">
                  <c:v>4.2030342142674798E-100</c:v>
                </c:pt>
                <c:pt idx="71">
                  <c:v>-7.7031841838649198E-100</c:v>
                </c:pt>
                <c:pt idx="72">
                  <c:v>-1.2798017272417299E-100</c:v>
                </c:pt>
                <c:pt idx="73">
                  <c:v>1.0181455413176701E-99</c:v>
                </c:pt>
                <c:pt idx="74">
                  <c:v>-3.6088992505533498E-100</c:v>
                </c:pt>
                <c:pt idx="75">
                  <c:v>-1.04150707161645E-99</c:v>
                </c:pt>
                <c:pt idx="76">
                  <c:v>1.0061816032040501E-99</c:v>
                </c:pt>
                <c:pt idx="77">
                  <c:v>-7.2128641916692204E-100</c:v>
                </c:pt>
                <c:pt idx="78">
                  <c:v>2.8200464688548198E-100</c:v>
                </c:pt>
                <c:pt idx="79">
                  <c:v>-6.5256858866450802E-101</c:v>
                </c:pt>
                <c:pt idx="80">
                  <c:v>6.1773891938112402E-102</c:v>
                </c:pt>
                <c:pt idx="81">
                  <c:v>6.6537496158313303E-106</c:v>
                </c:pt>
                <c:pt idx="82">
                  <c:v>-2.0658781638581599E-106</c:v>
                </c:pt>
                <c:pt idx="83">
                  <c:v>4.3958243466808801E-107</c:v>
                </c:pt>
                <c:pt idx="84">
                  <c:v>-5.7580909631160197E-108</c:v>
                </c:pt>
                <c:pt idx="85">
                  <c:v>3.4202852070549802E-109</c:v>
                </c:pt>
                <c:pt idx="86">
                  <c:v>1.5756271347119499E-112</c:v>
                </c:pt>
                <c:pt idx="87">
                  <c:v>-3.2483285053343197E-113</c:v>
                </c:pt>
                <c:pt idx="88">
                  <c:v>4.7486108562667599E-114</c:v>
                </c:pt>
                <c:pt idx="89">
                  <c:v>-4.3760107051379E-115</c:v>
                </c:pt>
                <c:pt idx="90">
                  <c:v>1.8872714796372801E-116</c:v>
                </c:pt>
                <c:pt idx="91">
                  <c:v>2.50143026513221E-119</c:v>
                </c:pt>
                <c:pt idx="92">
                  <c:v>-3.8772364132780901E-120</c:v>
                </c:pt>
                <c:pt idx="93">
                  <c:v>4.3234620278868001E-121</c:v>
                </c:pt>
                <c:pt idx="94">
                  <c:v>-3.0774906314128602E-122</c:v>
                </c:pt>
                <c:pt idx="95">
                  <c:v>1.0335455177571599E-123</c:v>
                </c:pt>
                <c:pt idx="96">
                  <c:v>3.1742424204332003E-126</c:v>
                </c:pt>
                <c:pt idx="97">
                  <c:v>-3.9467727433279902E-127</c:v>
                </c:pt>
                <c:pt idx="98">
                  <c:v>3.5587447718793598E-128</c:v>
                </c:pt>
                <c:pt idx="99">
                  <c:v>-2.06102263066181E-129</c:v>
                </c:pt>
              </c:numCache>
            </c:numRef>
          </c:yVal>
          <c:smooth val="0"/>
          <c:extLst>
            <c:ext xmlns:c16="http://schemas.microsoft.com/office/drawing/2014/chart" uri="{C3380CC4-5D6E-409C-BE32-E72D297353CC}">
              <c16:uniqueId val="{00000002-C8BD-4F4B-9BA9-1068EB14BB26}"/>
            </c:ext>
          </c:extLst>
        </c:ser>
        <c:ser>
          <c:idx val="3"/>
          <c:order val="3"/>
          <c:tx>
            <c:strRef>
              <c:f>dynamicR!$EO$19</c:f>
              <c:strCache>
                <c:ptCount val="1"/>
                <c:pt idx="0">
                  <c:v>aTP</c:v>
                </c:pt>
              </c:strCache>
            </c:strRef>
          </c:tx>
          <c:spPr>
            <a:ln w="19050" cap="rnd">
              <a:solidFill>
                <a:schemeClr val="accent4"/>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dynamicR!$EO$20:$EO$119</c:f>
              <c:numCache>
                <c:formatCode>0.00</c:formatCode>
                <c:ptCount val="100"/>
                <c:pt idx="0">
                  <c:v>0</c:v>
                </c:pt>
                <c:pt idx="1">
                  <c:v>1</c:v>
                </c:pt>
                <c:pt idx="2">
                  <c:v>0.999999999999998</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-2.85405568385377E-213</c:v>
                </c:pt>
                <c:pt idx="52">
                  <c:v>6.8754244483150698E-215</c:v>
                </c:pt>
                <c:pt idx="53">
                  <c:v>-2.3286087888478499E-214</c:v>
                </c:pt>
                <c:pt idx="54">
                  <c:v>3.0620529233239399E-213</c:v>
                </c:pt>
                <c:pt idx="55">
                  <c:v>-1.92764010924927E-213</c:v>
                </c:pt>
                <c:pt idx="56">
                  <c:v>6.2844338796945306E-213</c:v>
                </c:pt>
                <c:pt idx="57">
                  <c:v>-1.8314381207885301E-213</c:v>
                </c:pt>
                <c:pt idx="58">
                  <c:v>3.4096898229283601E-214</c:v>
                </c:pt>
                <c:pt idx="59">
                  <c:v>2.0768307482217701E-215</c:v>
                </c:pt>
                <c:pt idx="60">
                  <c:v>-3.8537582491281198E-215</c:v>
                </c:pt>
                <c:pt idx="61">
                  <c:v>1.8344574705834E-215</c:v>
                </c:pt>
                <c:pt idx="62">
                  <c:v>4.5609237185291298E-214</c:v>
                </c:pt>
                <c:pt idx="63">
                  <c:v>3.54222464074075E-214</c:v>
                </c:pt>
                <c:pt idx="64">
                  <c:v>-2.8714912350285202E-214</c:v>
                </c:pt>
                <c:pt idx="65">
                  <c:v>-6.5676857281543305E-215</c:v>
                </c:pt>
                <c:pt idx="66">
                  <c:v>4.5878571659097996E-214</c:v>
                </c:pt>
                <c:pt idx="67">
                  <c:v>-1.4829766071715199E-214</c:v>
                </c:pt>
                <c:pt idx="68">
                  <c:v>-5.0353752661211203E-214</c:v>
                </c:pt>
                <c:pt idx="69">
                  <c:v>4.3132573409787197E-214</c:v>
                </c:pt>
                <c:pt idx="70">
                  <c:v>4.01930651938134E-214</c:v>
                </c:pt>
                <c:pt idx="71">
                  <c:v>-7.36644624582008E-214</c:v>
                </c:pt>
                <c:pt idx="72">
                  <c:v>-1.2238591814008601E-214</c:v>
                </c:pt>
                <c:pt idx="73">
                  <c:v>9.7363883874010208E-214</c:v>
                </c:pt>
                <c:pt idx="74">
                  <c:v>-3.4511444146783799E-214</c:v>
                </c:pt>
                <c:pt idx="75">
                  <c:v>-9.9597940025159603E-214</c:v>
                </c:pt>
                <c:pt idx="76">
                  <c:v>9.6219879390192399E-214</c:v>
                </c:pt>
                <c:pt idx="77">
                  <c:v>-6.8975870800432201E-214</c:v>
                </c:pt>
                <c:pt idx="78">
                  <c:v>2.6968022638439701E-214</c:v>
                </c:pt>
                <c:pt idx="79">
                  <c:v>-6.2406664884722803E-215</c:v>
                </c:pt>
                <c:pt idx="80">
                  <c:v>5.9087621362832005E-216</c:v>
                </c:pt>
                <c:pt idx="81">
                  <c:v>3.1547814525032001E-221</c:v>
                </c:pt>
                <c:pt idx="82">
                  <c:v>-9.7952394811321599E-222</c:v>
                </c:pt>
                <c:pt idx="83">
                  <c:v>2.08435746027096E-222</c:v>
                </c:pt>
                <c:pt idx="84">
                  <c:v>-2.7308200906150501E-223</c:v>
                </c:pt>
                <c:pt idx="85">
                  <c:v>1.6242517836894499E-224</c:v>
                </c:pt>
                <c:pt idx="86">
                  <c:v>3.7071949843985197E-229</c:v>
                </c:pt>
                <c:pt idx="87">
                  <c:v>-7.6369215339144799E-230</c:v>
                </c:pt>
                <c:pt idx="88">
                  <c:v>1.11662723170218E-230</c:v>
                </c:pt>
                <c:pt idx="89">
                  <c:v>-1.0297771995856E-231</c:v>
                </c:pt>
                <c:pt idx="90">
                  <c:v>4.4641333624655499E-233</c:v>
                </c:pt>
                <c:pt idx="91">
                  <c:v>2.9146749444839501E-237</c:v>
                </c:pt>
                <c:pt idx="92">
                  <c:v>-4.52050854545023E-238</c:v>
                </c:pt>
                <c:pt idx="93">
                  <c:v>5.0435440390551403E-239</c:v>
                </c:pt>
                <c:pt idx="94">
                  <c:v>-3.5977845889580498E-240</c:v>
                </c:pt>
                <c:pt idx="95">
                  <c:v>1.22648097416001E-241</c:v>
                </c:pt>
                <c:pt idx="96">
                  <c:v>1.8342058316039402E-245</c:v>
                </c:pt>
                <c:pt idx="97">
                  <c:v>-2.2825600640438899E-246</c:v>
                </c:pt>
                <c:pt idx="98">
                  <c:v>2.06085008699945E-247</c:v>
                </c:pt>
                <c:pt idx="99">
                  <c:v>-1.1996883987202599E-248</c:v>
                </c:pt>
              </c:numCache>
            </c:numRef>
          </c:yVal>
          <c:smooth val="0"/>
          <c:extLst>
            <c:ext xmlns:c16="http://schemas.microsoft.com/office/drawing/2014/chart" uri="{C3380CC4-5D6E-409C-BE32-E72D297353CC}">
              <c16:uniqueId val="{00000003-C8BD-4F4B-9BA9-1068EB14BB26}"/>
            </c:ext>
          </c:extLst>
        </c:ser>
        <c:ser>
          <c:idx val="4"/>
          <c:order val="4"/>
          <c:tx>
            <c:strRef>
              <c:f>dynamicR!$EP$19</c:f>
              <c:strCache>
                <c:ptCount val="1"/>
                <c:pt idx="0">
                  <c:v>cwTS</c:v>
                </c:pt>
              </c:strCache>
            </c:strRef>
          </c:tx>
          <c:spPr>
            <a:ln w="19050" cap="rnd">
              <a:solidFill>
                <a:schemeClr val="accent5"/>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dynamicR!$EP$20:$EP$119</c:f>
              <c:numCache>
                <c:formatCode>0.00</c:formatCode>
                <c:ptCount val="100"/>
                <c:pt idx="0">
                  <c:v>0</c:v>
                </c:pt>
                <c:pt idx="1">
                  <c:v>1</c:v>
                </c:pt>
                <c:pt idx="2">
                  <c:v>0.999999999999996</c:v>
                </c:pt>
                <c:pt idx="3">
                  <c:v>0.999999999999994</c:v>
                </c:pt>
                <c:pt idx="4">
                  <c:v>0.999999999999999</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1</c:v>
                </c:pt>
                <c:pt idx="21">
                  <c:v>1</c:v>
                </c:pt>
                <c:pt idx="22">
                  <c:v>0.999999999999999</c:v>
                </c:pt>
                <c:pt idx="23">
                  <c:v>1</c:v>
                </c:pt>
                <c:pt idx="24">
                  <c:v>1</c:v>
                </c:pt>
                <c:pt idx="25">
                  <c:v>1</c:v>
                </c:pt>
                <c:pt idx="26">
                  <c:v>1</c:v>
                </c:pt>
                <c:pt idx="27">
                  <c:v>1</c:v>
                </c:pt>
                <c:pt idx="28">
                  <c:v>1</c:v>
                </c:pt>
                <c:pt idx="29">
                  <c:v>1</c:v>
                </c:pt>
                <c:pt idx="30">
                  <c:v>1</c:v>
                </c:pt>
                <c:pt idx="31">
                  <c:v>1</c:v>
                </c:pt>
                <c:pt idx="32">
                  <c:v>1</c:v>
                </c:pt>
                <c:pt idx="33">
                  <c:v>1</c:v>
                </c:pt>
                <c:pt idx="34">
                  <c:v>1</c:v>
                </c:pt>
                <c:pt idx="35">
                  <c:v>0.999999999999999</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-5.3118339610695299E-213</c:v>
                </c:pt>
                <c:pt idx="52">
                  <c:v>1.27962150085164E-214</c:v>
                </c:pt>
                <c:pt idx="53">
                  <c:v>-4.3338967046637801E-214</c:v>
                </c:pt>
                <c:pt idx="54">
                  <c:v>5.6989485589375398E-213</c:v>
                </c:pt>
                <c:pt idx="55">
                  <c:v>-3.58763292469892E-213</c:v>
                </c:pt>
                <c:pt idx="56">
                  <c:v>1.16962921077055E-212</c:v>
                </c:pt>
                <c:pt idx="57">
                  <c:v>-3.4085863013363997E-213</c:v>
                </c:pt>
                <c:pt idx="58">
                  <c:v>6.3459539731692104E-214</c:v>
                </c:pt>
                <c:pt idx="59">
                  <c:v>3.8652994901373098E-215</c:v>
                </c:pt>
                <c:pt idx="60">
                  <c:v>-7.1724331943495798E-215</c:v>
                </c:pt>
                <c:pt idx="61">
                  <c:v>3.4142057734978399E-215</c:v>
                </c:pt>
                <c:pt idx="62">
                  <c:v>8.4885762326494593E-214</c:v>
                </c:pt>
                <c:pt idx="63">
                  <c:v>6.5926215284349996E-214</c:v>
                </c:pt>
                <c:pt idx="64">
                  <c:v>-5.34428413047279E-214</c:v>
                </c:pt>
                <c:pt idx="65">
                  <c:v>-1.22234670907883E-214</c:v>
                </c:pt>
                <c:pt idx="66">
                  <c:v>8.5387034952068601E-214</c:v>
                </c:pt>
                <c:pt idx="67">
                  <c:v>-2.7600461568072499E-214</c:v>
                </c:pt>
                <c:pt idx="68">
                  <c:v>-9.3716030882978907E-214</c:v>
                </c:pt>
                <c:pt idx="69">
                  <c:v>8.0276312450945805E-214</c:v>
                </c:pt>
                <c:pt idx="70">
                  <c:v>7.4805438322358998E-214</c:v>
                </c:pt>
                <c:pt idx="71">
                  <c:v>-1.3710082513914599E-213</c:v>
                </c:pt>
                <c:pt idx="72">
                  <c:v>-2.2777890182929501E-214</c:v>
                </c:pt>
                <c:pt idx="73">
                  <c:v>1.81209071137772E-213</c:v>
                </c:pt>
                <c:pt idx="74">
                  <c:v>-6.4231073049373999E-214</c:v>
                </c:pt>
                <c:pt idx="75">
                  <c:v>-1.85366991137769E-213</c:v>
                </c:pt>
                <c:pt idx="76">
                  <c:v>1.7907990391913801E-213</c:v>
                </c:pt>
                <c:pt idx="77">
                  <c:v>-1.28374639358091E-213</c:v>
                </c:pt>
                <c:pt idx="78">
                  <c:v>5.01916125210868E-214</c:v>
                </c:pt>
                <c:pt idx="79">
                  <c:v>-1.16148342982726E-214</c:v>
                </c:pt>
                <c:pt idx="80">
                  <c:v>1.09971095720111E-215</c:v>
                </c:pt>
                <c:pt idx="81">
                  <c:v>5.8710765317189298E-221</c:v>
                </c:pt>
                <c:pt idx="82">
                  <c:v>-1.8229027411645699E-221</c:v>
                </c:pt>
                <c:pt idx="83">
                  <c:v>3.8790076862640499E-222</c:v>
                </c:pt>
                <c:pt idx="84">
                  <c:v>-5.08208068580266E-223</c:v>
                </c:pt>
                <c:pt idx="85">
                  <c:v>3.0227486728639799E-224</c:v>
                </c:pt>
                <c:pt idx="86">
                  <c:v>6.8873482965625805E-229</c:v>
                </c:pt>
                <c:pt idx="87">
                  <c:v>-1.4211303686532101E-229</c:v>
                </c:pt>
                <c:pt idx="88">
                  <c:v>2.0778957960014499E-230</c:v>
                </c:pt>
                <c:pt idx="89">
                  <c:v>-1.9162799082581E-231</c:v>
                </c:pt>
                <c:pt idx="90">
                  <c:v>8.3071808459887705E-233</c:v>
                </c:pt>
                <c:pt idx="91">
                  <c:v>5.41997237496021E-237</c:v>
                </c:pt>
                <c:pt idx="92">
                  <c:v>-8.4114466095965096E-238</c:v>
                </c:pt>
                <c:pt idx="93">
                  <c:v>9.3846723347121705E-239</c:v>
                </c:pt>
                <c:pt idx="94">
                  <c:v>-6.6945029273878204E-240</c:v>
                </c:pt>
                <c:pt idx="95">
                  <c:v>2.2821482856768999E-241</c:v>
                </c:pt>
                <c:pt idx="96">
                  <c:v>3.4143100511089701E-245</c:v>
                </c:pt>
                <c:pt idx="97">
                  <c:v>-4.2469216223652501E-246</c:v>
                </c:pt>
                <c:pt idx="98">
                  <c:v>3.8344093783910498E-247</c:v>
                </c:pt>
                <c:pt idx="99">
                  <c:v>-2.2321353779918301E-248</c:v>
                </c:pt>
              </c:numCache>
            </c:numRef>
          </c:yVal>
          <c:smooth val="0"/>
          <c:extLst>
            <c:ext xmlns:c16="http://schemas.microsoft.com/office/drawing/2014/chart" uri="{C3380CC4-5D6E-409C-BE32-E72D297353CC}">
              <c16:uniqueId val="{00000004-C8BD-4F4B-9BA9-1068EB14BB26}"/>
            </c:ext>
          </c:extLst>
        </c:ser>
        <c:ser>
          <c:idx val="5"/>
          <c:order val="5"/>
          <c:tx>
            <c:strRef>
              <c:f>dynamicR!$EQ$19</c:f>
              <c:strCache>
                <c:ptCount val="1"/>
                <c:pt idx="0">
                  <c:v>cwTA</c:v>
                </c:pt>
              </c:strCache>
            </c:strRef>
          </c:tx>
          <c:spPr>
            <a:ln w="19050" cap="rnd">
              <a:solidFill>
                <a:schemeClr val="accent6"/>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dynamicR!$EQ$20:$EQ$119</c:f>
              <c:numCache>
                <c:formatCode>0.00</c:formatCode>
                <c:ptCount val="100"/>
                <c:pt idx="0">
                  <c:v>0</c:v>
                </c:pt>
                <c:pt idx="1">
                  <c:v>1</c:v>
                </c:pt>
                <c:pt idx="2">
                  <c:v>0.999999999999995</c:v>
                </c:pt>
                <c:pt idx="3">
                  <c:v>0.99999999999999201</c:v>
                </c:pt>
                <c:pt idx="4">
                  <c:v>0.999999999999999</c:v>
                </c:pt>
                <c:pt idx="5">
                  <c:v>1</c:v>
                </c:pt>
                <c:pt idx="6">
                  <c:v>1</c:v>
                </c:pt>
                <c:pt idx="7">
                  <c:v>0.999999999999999</c:v>
                </c:pt>
                <c:pt idx="8">
                  <c:v>1</c:v>
                </c:pt>
                <c:pt idx="9">
                  <c:v>0.999999999999999</c:v>
                </c:pt>
                <c:pt idx="10">
                  <c:v>1</c:v>
                </c:pt>
                <c:pt idx="11">
                  <c:v>1</c:v>
                </c:pt>
                <c:pt idx="12">
                  <c:v>1</c:v>
                </c:pt>
                <c:pt idx="13">
                  <c:v>1</c:v>
                </c:pt>
                <c:pt idx="14">
                  <c:v>0.999999999999999</c:v>
                </c:pt>
                <c:pt idx="15">
                  <c:v>1</c:v>
                </c:pt>
                <c:pt idx="16">
                  <c:v>1</c:v>
                </c:pt>
                <c:pt idx="17">
                  <c:v>0.999999999999999</c:v>
                </c:pt>
                <c:pt idx="18">
                  <c:v>1</c:v>
                </c:pt>
                <c:pt idx="19">
                  <c:v>1</c:v>
                </c:pt>
                <c:pt idx="20">
                  <c:v>0.999999999999997</c:v>
                </c:pt>
                <c:pt idx="21">
                  <c:v>1</c:v>
                </c:pt>
                <c:pt idx="22">
                  <c:v>1</c:v>
                </c:pt>
                <c:pt idx="23">
                  <c:v>0.999999999999997</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0.999999999999999</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-3.01447899536668E-99</c:v>
                </c:pt>
                <c:pt idx="52">
                  <c:v>7.2619226227036306E-101</c:v>
                </c:pt>
                <c:pt idx="53">
                  <c:v>-2.4594701848672602E-100</c:v>
                </c:pt>
                <c:pt idx="54">
                  <c:v>3.2341688462843701E-99</c:v>
                </c:pt>
                <c:pt idx="55">
                  <c:v>-2.03598691368836E-99</c:v>
                </c:pt>
                <c:pt idx="56">
                  <c:v>6.6376605690751598E-99</c:v>
                </c:pt>
                <c:pt idx="57">
                  <c:v>-1.9343715010117202E-99</c:v>
                </c:pt>
                <c:pt idx="58">
                  <c:v>3.6012952149376598E-100</c:v>
                </c:pt>
                <c:pt idx="59">
                  <c:v>2.1937102307137699E-101</c:v>
                </c:pt>
                <c:pt idx="60">
                  <c:v>-4.0704948353316101E-101</c:v>
                </c:pt>
                <c:pt idx="61">
                  <c:v>1.93732777263857E-101</c:v>
                </c:pt>
                <c:pt idx="62">
                  <c:v>4.8172759492269698E-100</c:v>
                </c:pt>
                <c:pt idx="63">
                  <c:v>3.74131260522999E-100</c:v>
                </c:pt>
                <c:pt idx="64">
                  <c:v>-3.0329082756995301E-100</c:v>
                </c:pt>
                <c:pt idx="65">
                  <c:v>-6.9367834724238805E-101</c:v>
                </c:pt>
                <c:pt idx="66">
                  <c:v>4.8457404156324197E-100</c:v>
                </c:pt>
                <c:pt idx="67">
                  <c:v>-1.5663412961230001E-100</c:v>
                </c:pt>
                <c:pt idx="68">
                  <c:v>-5.3184072277347499E-100</c:v>
                </c:pt>
                <c:pt idx="69">
                  <c:v>4.5557069921264501E-100</c:v>
                </c:pt>
                <c:pt idx="70">
                  <c:v>4.2452230377348502E-100</c:v>
                </c:pt>
                <c:pt idx="71">
                  <c:v>-7.7805064851129397E-100</c:v>
                </c:pt>
                <c:pt idx="72">
                  <c:v>-1.2926480012406E-100</c:v>
                </c:pt>
                <c:pt idx="73">
                  <c:v>1.0283653873425E-99</c:v>
                </c:pt>
                <c:pt idx="74">
                  <c:v>-3.6451243216884E-100</c:v>
                </c:pt>
                <c:pt idx="75">
                  <c:v>-1.0519614138236499E-99</c:v>
                </c:pt>
                <c:pt idx="76">
                  <c:v>1.01628135873065E-99</c:v>
                </c:pt>
                <c:pt idx="77">
                  <c:v>-7.2852648047896204E-100</c:v>
                </c:pt>
                <c:pt idx="78">
                  <c:v>2.8483532673676498E-100</c:v>
                </c:pt>
                <c:pt idx="79">
                  <c:v>-6.5911888056904998E-101</c:v>
                </c:pt>
                <c:pt idx="80">
                  <c:v>6.2393960129125201E-102</c:v>
                </c:pt>
                <c:pt idx="81">
                  <c:v>6.7205379963475402E-106</c:v>
                </c:pt>
                <c:pt idx="82">
                  <c:v>-2.08661484729306E-106</c:v>
                </c:pt>
                <c:pt idx="83">
                  <c:v>4.4399483594735201E-107</c:v>
                </c:pt>
                <c:pt idx="84">
                  <c:v>-5.8158890003057099E-108</c:v>
                </c:pt>
                <c:pt idx="85">
                  <c:v>3.45461696574369E-109</c:v>
                </c:pt>
                <c:pt idx="86">
                  <c:v>1.5914526292964401E-112</c:v>
                </c:pt>
                <c:pt idx="87">
                  <c:v>-3.2809342016349399E-113</c:v>
                </c:pt>
                <c:pt idx="88">
                  <c:v>4.7962758648301497E-114</c:v>
                </c:pt>
                <c:pt idx="89">
                  <c:v>-4.4199356195895899E-115</c:v>
                </c:pt>
                <c:pt idx="90">
                  <c:v>1.9062152389940399E-116</c:v>
                </c:pt>
                <c:pt idx="91">
                  <c:v>2.52654193394932E-119</c:v>
                </c:pt>
                <c:pt idx="92">
                  <c:v>-3.9161549289971101E-120</c:v>
                </c:pt>
                <c:pt idx="93">
                  <c:v>4.3668596245783799E-121</c:v>
                </c:pt>
                <c:pt idx="94">
                  <c:v>-3.10838143185092E-122</c:v>
                </c:pt>
                <c:pt idx="95">
                  <c:v>1.04391975332372E-123</c:v>
                </c:pt>
                <c:pt idx="96">
                  <c:v>3.20610895350521E-126</c:v>
                </c:pt>
                <c:pt idx="97">
                  <c:v>-3.9863892228207797E-127</c:v>
                </c:pt>
                <c:pt idx="98">
                  <c:v>3.5944663178166E-128</c:v>
                </c:pt>
                <c:pt idx="99">
                  <c:v>-2.0817105081391401E-129</c:v>
                </c:pt>
              </c:numCache>
            </c:numRef>
          </c:yVal>
          <c:smooth val="0"/>
          <c:extLst>
            <c:ext xmlns:c16="http://schemas.microsoft.com/office/drawing/2014/chart" uri="{C3380CC4-5D6E-409C-BE32-E72D297353CC}">
              <c16:uniqueId val="{00000005-C8BD-4F4B-9BA9-1068EB14BB26}"/>
            </c:ext>
          </c:extLst>
        </c:ser>
        <c:ser>
          <c:idx val="6"/>
          <c:order val="6"/>
          <c:tx>
            <c:strRef>
              <c:f>dynamicR!$ER$19</c:f>
              <c:strCache>
                <c:ptCount val="1"/>
                <c:pt idx="0">
                  <c:v>cwTP</c:v>
                </c:pt>
              </c:strCache>
            </c:strRef>
          </c:tx>
          <c:spPr>
            <a:ln w="19050" cap="rnd">
              <a:solidFill>
                <a:schemeClr val="accent1">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dynamicR!$ER$20:$ER$119</c:f>
              <c:numCache>
                <c:formatCode>0.00</c:formatCode>
                <c:ptCount val="100"/>
                <c:pt idx="0">
                  <c:v>0</c:v>
                </c:pt>
                <c:pt idx="1">
                  <c:v>1</c:v>
                </c:pt>
                <c:pt idx="2">
                  <c:v>0.999999999999997</c:v>
                </c:pt>
                <c:pt idx="3">
                  <c:v>0.999999999999995</c:v>
                </c:pt>
                <c:pt idx="4">
                  <c:v>0.999999999999999</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0.999999999999999</c:v>
                </c:pt>
                <c:pt idx="36">
                  <c:v>1</c:v>
                </c:pt>
                <c:pt idx="37">
                  <c:v>1</c:v>
                </c:pt>
                <c:pt idx="38">
                  <c:v>1</c:v>
                </c:pt>
                <c:pt idx="39">
                  <c:v>1</c:v>
                </c:pt>
                <c:pt idx="40">
                  <c:v>0.999999999999999</c:v>
                </c:pt>
                <c:pt idx="41">
                  <c:v>1</c:v>
                </c:pt>
                <c:pt idx="42">
                  <c:v>1</c:v>
                </c:pt>
                <c:pt idx="43">
                  <c:v>1</c:v>
                </c:pt>
                <c:pt idx="44">
                  <c:v>1</c:v>
                </c:pt>
                <c:pt idx="45">
                  <c:v>1</c:v>
                </c:pt>
                <c:pt idx="46">
                  <c:v>1</c:v>
                </c:pt>
                <c:pt idx="47">
                  <c:v>1</c:v>
                </c:pt>
                <c:pt idx="48">
                  <c:v>1</c:v>
                </c:pt>
                <c:pt idx="49">
                  <c:v>1</c:v>
                </c:pt>
                <c:pt idx="50">
                  <c:v>1</c:v>
                </c:pt>
                <c:pt idx="51">
                  <c:v>-3.5695393852456603E-213</c:v>
                </c:pt>
                <c:pt idx="52">
                  <c:v>8.5990261933404602E-215</c:v>
                </c:pt>
                <c:pt idx="53">
                  <c:v>-2.9123682182174302E-214</c:v>
                </c:pt>
                <c:pt idx="54">
                  <c:v>3.82967954853368E-213</c:v>
                </c:pt>
                <c:pt idx="55">
                  <c:v>-2.4108805593486101E-213</c:v>
                </c:pt>
                <c:pt idx="56">
                  <c:v>7.8598797818576096E-213</c:v>
                </c:pt>
                <c:pt idx="57">
                  <c:v>-2.29056168539395E-213</c:v>
                </c:pt>
                <c:pt idx="58">
                  <c:v>4.2644656026688798E-214</c:v>
                </c:pt>
                <c:pt idx="59">
                  <c:v>2.5974718371205002E-215</c:v>
                </c:pt>
                <c:pt idx="60">
                  <c:v>-4.8198576257325698E-215</c:v>
                </c:pt>
                <c:pt idx="61">
                  <c:v>2.29433795714708E-215</c:v>
                </c:pt>
                <c:pt idx="62">
                  <c:v>5.7043025389812798E-214</c:v>
                </c:pt>
                <c:pt idx="63">
                  <c:v>4.4302255987598302E-214</c:v>
                </c:pt>
                <c:pt idx="64">
                  <c:v>-3.59134591006066E-214</c:v>
                </c:pt>
                <c:pt idx="65">
                  <c:v>-8.2141400923095203E-215</c:v>
                </c:pt>
                <c:pt idx="66">
                  <c:v>5.7379879373261397E-214</c:v>
                </c:pt>
                <c:pt idx="67">
                  <c:v>-1.8547442903228399E-214</c:v>
                </c:pt>
                <c:pt idx="68">
                  <c:v>-6.2976944338202703E-214</c:v>
                </c:pt>
                <c:pt idx="69">
                  <c:v>5.3945486308991596E-214</c:v>
                </c:pt>
                <c:pt idx="70">
                  <c:v>5.02690722283022E-214</c:v>
                </c:pt>
                <c:pt idx="71">
                  <c:v>-9.2131420336173805E-214</c:v>
                </c:pt>
                <c:pt idx="72">
                  <c:v>-1.5306686685985301E-214</c:v>
                </c:pt>
                <c:pt idx="73">
                  <c:v>1.21772054141421E-213</c:v>
                </c:pt>
                <c:pt idx="74">
                  <c:v>-4.3163124537830398E-214</c:v>
                </c:pt>
                <c:pt idx="75">
                  <c:v>-1.24566166247145E-213</c:v>
                </c:pt>
                <c:pt idx="76">
                  <c:v>1.20341258959483E-213</c:v>
                </c:pt>
                <c:pt idx="77">
                  <c:v>-8.6267444758368795E-214</c:v>
                </c:pt>
                <c:pt idx="78">
                  <c:v>3.3728641280003699E-214</c:v>
                </c:pt>
                <c:pt idx="79">
                  <c:v>-7.8051403382346401E-215</c:v>
                </c:pt>
                <c:pt idx="80">
                  <c:v>7.3900308218622496E-216</c:v>
                </c:pt>
                <c:pt idx="81">
                  <c:v>3.9456554735428199E-221</c:v>
                </c:pt>
                <c:pt idx="82">
                  <c:v>-1.2250813334282E-221</c:v>
                </c:pt>
                <c:pt idx="83">
                  <c:v>2.6068859828561099E-222</c:v>
                </c:pt>
                <c:pt idx="84">
                  <c:v>-3.41541023618831E-223</c:v>
                </c:pt>
                <c:pt idx="85">
                  <c:v>2.0314365404571599E-224</c:v>
                </c:pt>
                <c:pt idx="86">
                  <c:v>4.6243015576796297E-229</c:v>
                </c:pt>
                <c:pt idx="87">
                  <c:v>-9.5514269896664701E-230</c:v>
                </c:pt>
                <c:pt idx="88">
                  <c:v>1.39655535416086E-230</c:v>
                </c:pt>
                <c:pt idx="89">
                  <c:v>-1.2879330070741E-231</c:v>
                </c:pt>
                <c:pt idx="90">
                  <c:v>5.5832540051225499E-233</c:v>
                </c:pt>
                <c:pt idx="91">
                  <c:v>3.64382019800884E-237</c:v>
                </c:pt>
                <c:pt idx="92">
                  <c:v>-5.6537627206283598E-238</c:v>
                </c:pt>
                <c:pt idx="93">
                  <c:v>6.3079174279002096E-239</c:v>
                </c:pt>
                <c:pt idx="94">
                  <c:v>-4.4997170763809597E-240</c:v>
                </c:pt>
                <c:pt idx="95">
                  <c:v>1.5339502192981401E-241</c:v>
                </c:pt>
                <c:pt idx="96">
                  <c:v>2.2939795913654198E-245</c:v>
                </c:pt>
                <c:pt idx="97">
                  <c:v>-2.8547799048702402E-246</c:v>
                </c:pt>
                <c:pt idx="98">
                  <c:v>2.5774891057471501E-247</c:v>
                </c:pt>
                <c:pt idx="99">
                  <c:v>-1.5004409465856299E-248</c:v>
                </c:pt>
              </c:numCache>
            </c:numRef>
          </c:yVal>
          <c:smooth val="0"/>
          <c:extLst>
            <c:ext xmlns:c16="http://schemas.microsoft.com/office/drawing/2014/chart" uri="{C3380CC4-5D6E-409C-BE32-E72D297353CC}">
              <c16:uniqueId val="{00000006-C8BD-4F4B-9BA9-1068EB14BB26}"/>
            </c:ext>
          </c:extLst>
        </c:ser>
        <c:ser>
          <c:idx val="7"/>
          <c:order val="7"/>
          <c:tx>
            <c:strRef>
              <c:f>dynamicR!$ES$19</c:f>
              <c:strCache>
                <c:ptCount val="1"/>
                <c:pt idx="0">
                  <c:v>w2TD</c:v>
                </c:pt>
              </c:strCache>
            </c:strRef>
          </c:tx>
          <c:spPr>
            <a:ln w="19050" cap="rnd">
              <a:solidFill>
                <a:schemeClr val="accent2">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dynamicR!$ES$20:$ES$119</c:f>
              <c:numCache>
                <c:formatCode>0.00</c:formatCode>
                <c:ptCount val="100"/>
                <c:pt idx="0">
                  <c:v>0</c:v>
                </c:pt>
                <c:pt idx="1">
                  <c:v>1.99833879703161E-2</c:v>
                </c:pt>
                <c:pt idx="2">
                  <c:v>3.9574047955810002E-2</c:v>
                </c:pt>
                <c:pt idx="3">
                  <c:v>5.87730873534512E-2</c:v>
                </c:pt>
                <c:pt idx="4">
                  <c:v>7.7588340301768602E-2</c:v>
                </c:pt>
                <c:pt idx="5">
                  <c:v>9.6027475488909303E-2</c:v>
                </c:pt>
                <c:pt idx="6">
                  <c:v>0.11409800859458299</c:v>
                </c:pt>
                <c:pt idx="7">
                  <c:v>0.13180730785362199</c:v>
                </c:pt>
                <c:pt idx="8">
                  <c:v>0.14916259537837101</c:v>
                </c:pt>
                <c:pt idx="9">
                  <c:v>0.166170948561397</c:v>
                </c:pt>
                <c:pt idx="10">
                  <c:v>0.182839302722863</c:v>
                </c:pt>
                <c:pt idx="11">
                  <c:v>0.19917445431747699</c:v>
                </c:pt>
                <c:pt idx="12">
                  <c:v>0.21518306393244199</c:v>
                </c:pt>
                <c:pt idx="13">
                  <c:v>0.23087165889457101</c:v>
                </c:pt>
                <c:pt idx="14">
                  <c:v>0.24624663639960501</c:v>
                </c:pt>
                <c:pt idx="15">
                  <c:v>0.26131426606517399</c:v>
                </c:pt>
                <c:pt idx="16">
                  <c:v>0.27608069202550201</c:v>
                </c:pt>
                <c:pt idx="17">
                  <c:v>0.29055193528860901</c:v>
                </c:pt>
                <c:pt idx="18">
                  <c:v>0.30473389643760201</c:v>
                </c:pt>
                <c:pt idx="19">
                  <c:v>0.31863235823164698</c:v>
                </c:pt>
                <c:pt idx="20">
                  <c:v>0.332252987922798</c:v>
                </c:pt>
                <c:pt idx="21">
                  <c:v>0.345601339449711</c:v>
                </c:pt>
                <c:pt idx="22">
                  <c:v>0.35868285567135799</c:v>
                </c:pt>
                <c:pt idx="23">
                  <c:v>0.37150287063460702</c:v>
                </c:pt>
                <c:pt idx="24">
                  <c:v>0.38406661178246798</c:v>
                </c:pt>
                <c:pt idx="25">
                  <c:v>0.396379202075066</c:v>
                </c:pt>
                <c:pt idx="26">
                  <c:v>0.40844566205709898</c:v>
                </c:pt>
                <c:pt idx="27">
                  <c:v>0.42027091190270399</c:v>
                </c:pt>
                <c:pt idx="28">
                  <c:v>0.43185977343064302</c:v>
                </c:pt>
                <c:pt idx="29">
                  <c:v>0.44321697207387301</c:v>
                </c:pt>
                <c:pt idx="30">
                  <c:v>0.45434713880688299</c:v>
                </c:pt>
                <c:pt idx="31">
                  <c:v>0.46525481202913999</c:v>
                </c:pt>
                <c:pt idx="32">
                  <c:v>0.47594443941435</c:v>
                </c:pt>
                <c:pt idx="33">
                  <c:v>0.486420379726209</c:v>
                </c:pt>
                <c:pt idx="34">
                  <c:v>0.49668690459883902</c:v>
                </c:pt>
                <c:pt idx="35">
                  <c:v>0.50674820027527001</c:v>
                </c:pt>
                <c:pt idx="36">
                  <c:v>0.516608369313872</c:v>
                </c:pt>
                <c:pt idx="37">
                  <c:v>0.52627143226270101</c:v>
                </c:pt>
                <c:pt idx="38">
                  <c:v>0.53574132929838303</c:v>
                </c:pt>
                <c:pt idx="39">
                  <c:v>0.54502192183360898</c:v>
                </c:pt>
                <c:pt idx="40">
                  <c:v>0.554116994090606</c:v>
                </c:pt>
                <c:pt idx="41">
                  <c:v>0.56303025464475798</c:v>
                </c:pt>
                <c:pt idx="42">
                  <c:v>0.57176533793536299</c:v>
                </c:pt>
                <c:pt idx="43">
                  <c:v>0.58032580574996095</c:v>
                </c:pt>
                <c:pt idx="44">
                  <c:v>0.588715148675648</c:v>
                </c:pt>
                <c:pt idx="45">
                  <c:v>0.59693678752208401</c:v>
                </c:pt>
                <c:pt idx="46">
                  <c:v>0.60499407471526501</c:v>
                </c:pt>
                <c:pt idx="47">
                  <c:v>0.61289029566590603</c:v>
                </c:pt>
                <c:pt idx="48">
                  <c:v>0.62062867011035605</c:v>
                </c:pt>
                <c:pt idx="49">
                  <c:v>0.62821235342121295</c:v>
                </c:pt>
                <c:pt idx="50">
                  <c:v>0.62821235342121295</c:v>
                </c:pt>
                <c:pt idx="51">
                  <c:v>0.61566071980543002</c:v>
                </c:pt>
                <c:pt idx="52">
                  <c:v>0.603353056622559</c:v>
                </c:pt>
                <c:pt idx="53">
                  <c:v>0.59129184587684303</c:v>
                </c:pt>
                <c:pt idx="54">
                  <c:v>0.57947200021619005</c:v>
                </c:pt>
                <c:pt idx="55">
                  <c:v>0.56788838351385496</c:v>
                </c:pt>
                <c:pt idx="56">
                  <c:v>0.55653626528261302</c:v>
                </c:pt>
                <c:pt idx="57">
                  <c:v>0.54541105563728198</c:v>
                </c:pt>
                <c:pt idx="58">
                  <c:v>0.53450823550518101</c:v>
                </c:pt>
                <c:pt idx="59">
                  <c:v>0.52382336507855798</c:v>
                </c:pt>
                <c:pt idx="60">
                  <c:v>0.51335208019583101</c:v>
                </c:pt>
                <c:pt idx="61">
                  <c:v>0.50309010332567405</c:v>
                </c:pt>
                <c:pt idx="62">
                  <c:v>0.49303325797818598</c:v>
                </c:pt>
                <c:pt idx="63">
                  <c:v>0.48317745271943502</c:v>
                </c:pt>
                <c:pt idx="64">
                  <c:v>0.47351867031436201</c:v>
                </c:pt>
                <c:pt idx="65">
                  <c:v>0.46405296984154798</c:v>
                </c:pt>
                <c:pt idx="66">
                  <c:v>0.45477648964737699</c:v>
                </c:pt>
                <c:pt idx="67">
                  <c:v>0.44568544688081502</c:v>
                </c:pt>
                <c:pt idx="68">
                  <c:v>0.43677613504496199</c:v>
                </c:pt>
                <c:pt idx="69">
                  <c:v>0.42804492163170799</c:v>
                </c:pt>
                <c:pt idx="70">
                  <c:v>0.41948824646285199</c:v>
                </c:pt>
                <c:pt idx="71">
                  <c:v>0.411102620411673</c:v>
                </c:pt>
                <c:pt idx="72">
                  <c:v>0.40288462412751203</c:v>
                </c:pt>
                <c:pt idx="73">
                  <c:v>0.39483090666513998</c:v>
                </c:pt>
                <c:pt idx="74">
                  <c:v>0.38693818408576103</c:v>
                </c:pt>
                <c:pt idx="75">
                  <c:v>0.37920323815174101</c:v>
                </c:pt>
                <c:pt idx="76">
                  <c:v>0.37162291500619099</c:v>
                </c:pt>
                <c:pt idx="77">
                  <c:v>0.36419412366729198</c:v>
                </c:pt>
                <c:pt idx="78">
                  <c:v>0.35691383483126998</c:v>
                </c:pt>
                <c:pt idx="79">
                  <c:v>0.349779079841466</c:v>
                </c:pt>
                <c:pt idx="80">
                  <c:v>0.34278694950979599</c:v>
                </c:pt>
                <c:pt idx="81">
                  <c:v>0.33593459281540899</c:v>
                </c:pt>
                <c:pt idx="82">
                  <c:v>0.32921921566892298</c:v>
                </c:pt>
                <c:pt idx="83">
                  <c:v>0.32263807980237702</c:v>
                </c:pt>
                <c:pt idx="84">
                  <c:v>0.31618850170135998</c:v>
                </c:pt>
                <c:pt idx="85">
                  <c:v>0.30986785151853502</c:v>
                </c:pt>
                <c:pt idx="86">
                  <c:v>0.30367355197815898</c:v>
                </c:pt>
                <c:pt idx="87">
                  <c:v>0.29760307731378299</c:v>
                </c:pt>
                <c:pt idx="88">
                  <c:v>0.29165395224429302</c:v>
                </c:pt>
                <c:pt idx="89">
                  <c:v>0.28582375097302198</c:v>
                </c:pt>
                <c:pt idx="90">
                  <c:v>0.28011009619923999</c:v>
                </c:pt>
                <c:pt idx="91">
                  <c:v>0.274510658144835</c:v>
                </c:pt>
                <c:pt idx="92">
                  <c:v>0.26902315360238099</c:v>
                </c:pt>
                <c:pt idx="93">
                  <c:v>0.263645345004834</c:v>
                </c:pt>
                <c:pt idx="94">
                  <c:v>0.258375039515571</c:v>
                </c:pt>
                <c:pt idx="95">
                  <c:v>0.25321008813357598</c:v>
                </c:pt>
                <c:pt idx="96">
                  <c:v>0.24814838481644</c:v>
                </c:pt>
                <c:pt idx="97">
                  <c:v>0.243187865621389</c:v>
                </c:pt>
                <c:pt idx="98">
                  <c:v>0.23832650786448301</c:v>
                </c:pt>
                <c:pt idx="99">
                  <c:v>0.233562329295289</c:v>
                </c:pt>
              </c:numCache>
            </c:numRef>
          </c:yVal>
          <c:smooth val="0"/>
          <c:extLst>
            <c:ext xmlns:c16="http://schemas.microsoft.com/office/drawing/2014/chart" uri="{C3380CC4-5D6E-409C-BE32-E72D297353CC}">
              <c16:uniqueId val="{00000007-C8BD-4F4B-9BA9-1068EB14BB26}"/>
            </c:ext>
          </c:extLst>
        </c:ser>
        <c:ser>
          <c:idx val="8"/>
          <c:order val="8"/>
          <c:tx>
            <c:strRef>
              <c:f>dynamicR!$ET$19</c:f>
              <c:strCache>
                <c:ptCount val="1"/>
                <c:pt idx="0">
                  <c:v>w2TS</c:v>
                </c:pt>
              </c:strCache>
            </c:strRef>
          </c:tx>
          <c:spPr>
            <a:ln w="19050" cap="rnd">
              <a:solidFill>
                <a:schemeClr val="accent3">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dynamicR!$ET$20:$ET$119</c:f>
              <c:numCache>
                <c:formatCode>0.00</c:formatCode>
                <c:ptCount val="100"/>
                <c:pt idx="0">
                  <c:v>0</c:v>
                </c:pt>
                <c:pt idx="1">
                  <c:v>0.999999999999999</c:v>
                </c:pt>
                <c:pt idx="2">
                  <c:v>0.999999999999996</c:v>
                </c:pt>
                <c:pt idx="3">
                  <c:v>0.999999999999994</c:v>
                </c:pt>
                <c:pt idx="4">
                  <c:v>0.999999999999999</c:v>
                </c:pt>
                <c:pt idx="5">
                  <c:v>1</c:v>
                </c:pt>
                <c:pt idx="6">
                  <c:v>1</c:v>
                </c:pt>
                <c:pt idx="7">
                  <c:v>0.999999999999999</c:v>
                </c:pt>
                <c:pt idx="8">
                  <c:v>1</c:v>
                </c:pt>
                <c:pt idx="9">
                  <c:v>1</c:v>
                </c:pt>
                <c:pt idx="10">
                  <c:v>0.999999999999999</c:v>
                </c:pt>
                <c:pt idx="11">
                  <c:v>1</c:v>
                </c:pt>
                <c:pt idx="12">
                  <c:v>1</c:v>
                </c:pt>
                <c:pt idx="13">
                  <c:v>1</c:v>
                </c:pt>
                <c:pt idx="14">
                  <c:v>1</c:v>
                </c:pt>
                <c:pt idx="15">
                  <c:v>1</c:v>
                </c:pt>
                <c:pt idx="16">
                  <c:v>0.999999999999999</c:v>
                </c:pt>
                <c:pt idx="17">
                  <c:v>0.999999999999999</c:v>
                </c:pt>
                <c:pt idx="18">
                  <c:v>1</c:v>
                </c:pt>
                <c:pt idx="19">
                  <c:v>0.999999999999999</c:v>
                </c:pt>
                <c:pt idx="20">
                  <c:v>0.999999999999998</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0.999999999999999</c:v>
                </c:pt>
                <c:pt idx="39">
                  <c:v>1</c:v>
                </c:pt>
                <c:pt idx="40">
                  <c:v>1</c:v>
                </c:pt>
                <c:pt idx="41">
                  <c:v>1</c:v>
                </c:pt>
                <c:pt idx="42">
                  <c:v>1</c:v>
                </c:pt>
                <c:pt idx="43">
                  <c:v>1</c:v>
                </c:pt>
                <c:pt idx="44">
                  <c:v>1</c:v>
                </c:pt>
                <c:pt idx="45">
                  <c:v>1</c:v>
                </c:pt>
                <c:pt idx="46">
                  <c:v>1</c:v>
                </c:pt>
                <c:pt idx="47">
                  <c:v>1</c:v>
                </c:pt>
                <c:pt idx="48">
                  <c:v>1</c:v>
                </c:pt>
                <c:pt idx="49">
                  <c:v>0.999999999999999</c:v>
                </c:pt>
                <c:pt idx="50">
                  <c:v>0.999999999999999</c:v>
                </c:pt>
                <c:pt idx="51">
                  <c:v>-4.8360429759033902E-213</c:v>
                </c:pt>
                <c:pt idx="52">
                  <c:v>1.1650034246482601E-214</c:v>
                </c:pt>
                <c:pt idx="53">
                  <c:v>-3.9457014789757197E-214</c:v>
                </c:pt>
                <c:pt idx="54">
                  <c:v>5.1884830591751701E-213</c:v>
                </c:pt>
                <c:pt idx="55">
                  <c:v>-3.2662819091775799E-213</c:v>
                </c:pt>
                <c:pt idx="56">
                  <c:v>1.0648633294384E-212</c:v>
                </c:pt>
                <c:pt idx="57">
                  <c:v>-3.1032728358698201E-213</c:v>
                </c:pt>
                <c:pt idx="58">
                  <c:v>5.77753497943315E-214</c:v>
                </c:pt>
                <c:pt idx="59">
                  <c:v>3.5190773687724299E-215</c:v>
                </c:pt>
                <c:pt idx="60">
                  <c:v>-6.5299849074244996E-215</c:v>
                </c:pt>
                <c:pt idx="61">
                  <c:v>3.1083889619695498E-215</c:v>
                </c:pt>
                <c:pt idx="62">
                  <c:v>7.7282385464931301E-214</c:v>
                </c:pt>
                <c:pt idx="63">
                  <c:v>6.0021080593616799E-214</c:v>
                </c:pt>
                <c:pt idx="64">
                  <c:v>-4.8655865823143203E-214</c:v>
                </c:pt>
                <c:pt idx="65">
                  <c:v>-1.1128588228903899E-214</c:v>
                </c:pt>
                <c:pt idx="66">
                  <c:v>7.7738758161728202E-214</c:v>
                </c:pt>
                <c:pt idx="67">
                  <c:v>-2.5128236484578002E-214</c:v>
                </c:pt>
                <c:pt idx="68">
                  <c:v>-8.5321710313264E-214</c:v>
                </c:pt>
                <c:pt idx="69">
                  <c:v>7.3085812655780497E-214</c:v>
                </c:pt>
                <c:pt idx="70">
                  <c:v>6.8104974978792503E-214</c:v>
                </c:pt>
                <c:pt idx="71">
                  <c:v>-1.24820447217172E-213</c:v>
                </c:pt>
                <c:pt idx="72">
                  <c:v>-2.07376318589712E-214</c:v>
                </c:pt>
                <c:pt idx="73">
                  <c:v>1.64977834934757E-213</c:v>
                </c:pt>
                <c:pt idx="74">
                  <c:v>-5.8477775426405197E-214</c:v>
                </c:pt>
                <c:pt idx="75">
                  <c:v>-1.6876332224576299E-213</c:v>
                </c:pt>
                <c:pt idx="76">
                  <c:v>1.6303938121531399E-213</c:v>
                </c:pt>
                <c:pt idx="77">
                  <c:v>-1.16875882254956E-213</c:v>
                </c:pt>
                <c:pt idx="78">
                  <c:v>4.5695855696524701E-214</c:v>
                </c:pt>
                <c:pt idx="79">
                  <c:v>-1.0574471816578001E-214</c:v>
                </c:pt>
                <c:pt idx="80">
                  <c:v>1.0012077852042E-215</c:v>
                </c:pt>
                <c:pt idx="81">
                  <c:v>5.3451941578766099E-221</c:v>
                </c:pt>
                <c:pt idx="82">
                  <c:v>-1.6596223711169E-221</c:v>
                </c:pt>
                <c:pt idx="83">
                  <c:v>3.5315590820993397E-222</c:v>
                </c:pt>
                <c:pt idx="84">
                  <c:v>-4.6268721525890004E-223</c:v>
                </c:pt>
                <c:pt idx="85">
                  <c:v>2.7519990061572002E-224</c:v>
                </c:pt>
                <c:pt idx="86">
                  <c:v>6.2456987184211E-229</c:v>
                </c:pt>
                <c:pt idx="87">
                  <c:v>-1.2938376778304599E-229</c:v>
                </c:pt>
                <c:pt idx="88">
                  <c:v>1.89177602071861E-230</c:v>
                </c:pt>
                <c:pt idx="89">
                  <c:v>-1.7446373042671399E-231</c:v>
                </c:pt>
                <c:pt idx="90">
                  <c:v>7.5631073088650201E-233</c:v>
                </c:pt>
                <c:pt idx="91">
                  <c:v>4.9243314672302601E-237</c:v>
                </c:pt>
                <c:pt idx="92">
                  <c:v>-7.6580241814727497E-238</c:v>
                </c:pt>
                <c:pt idx="93">
                  <c:v>8.5440795921220298E-239</c:v>
                </c:pt>
                <c:pt idx="94">
                  <c:v>-6.0948745807780496E-240</c:v>
                </c:pt>
                <c:pt idx="95">
                  <c:v>2.0777377829600499E-241</c:v>
                </c:pt>
                <c:pt idx="96">
                  <c:v>3.1064424351294302E-245</c:v>
                </c:pt>
                <c:pt idx="97">
                  <c:v>-3.8665190327474702E-246</c:v>
                </c:pt>
                <c:pt idx="98">
                  <c:v>3.49095820938116E-247</c:v>
                </c:pt>
                <c:pt idx="99">
                  <c:v>-2.0322030330455702E-248</c:v>
                </c:pt>
              </c:numCache>
            </c:numRef>
          </c:yVal>
          <c:smooth val="0"/>
          <c:extLst>
            <c:ext xmlns:c16="http://schemas.microsoft.com/office/drawing/2014/chart" uri="{C3380CC4-5D6E-409C-BE32-E72D297353CC}">
              <c16:uniqueId val="{00000008-C8BD-4F4B-9BA9-1068EB14BB26}"/>
            </c:ext>
          </c:extLst>
        </c:ser>
        <c:ser>
          <c:idx val="9"/>
          <c:order val="9"/>
          <c:tx>
            <c:strRef>
              <c:f>dynamicR!$EU$19</c:f>
              <c:strCache>
                <c:ptCount val="1"/>
                <c:pt idx="0">
                  <c:v>w2TA</c:v>
                </c:pt>
              </c:strCache>
            </c:strRef>
          </c:tx>
          <c:spPr>
            <a:ln w="19050" cap="rnd">
              <a:solidFill>
                <a:schemeClr val="accent4">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dynamicR!$EU$20:$EU$119</c:f>
              <c:numCache>
                <c:formatCode>0.00</c:formatCode>
                <c:ptCount val="100"/>
                <c:pt idx="0">
                  <c:v>0</c:v>
                </c:pt>
                <c:pt idx="1">
                  <c:v>0.999999999999999</c:v>
                </c:pt>
                <c:pt idx="2">
                  <c:v>0.999999999999995</c:v>
                </c:pt>
                <c:pt idx="3">
                  <c:v>0.99999999999999301</c:v>
                </c:pt>
                <c:pt idx="4">
                  <c:v>0.999999999999999</c:v>
                </c:pt>
                <c:pt idx="5">
                  <c:v>1</c:v>
                </c:pt>
                <c:pt idx="6">
                  <c:v>1</c:v>
                </c:pt>
                <c:pt idx="7">
                  <c:v>0.999999999999999</c:v>
                </c:pt>
                <c:pt idx="8">
                  <c:v>1</c:v>
                </c:pt>
                <c:pt idx="9">
                  <c:v>0.999999999999999</c:v>
                </c:pt>
                <c:pt idx="10">
                  <c:v>1</c:v>
                </c:pt>
                <c:pt idx="11">
                  <c:v>0.999999999999999</c:v>
                </c:pt>
                <c:pt idx="12">
                  <c:v>1</c:v>
                </c:pt>
                <c:pt idx="13">
                  <c:v>1</c:v>
                </c:pt>
                <c:pt idx="14">
                  <c:v>0.999999999999999</c:v>
                </c:pt>
                <c:pt idx="15">
                  <c:v>1</c:v>
                </c:pt>
                <c:pt idx="16">
                  <c:v>1</c:v>
                </c:pt>
                <c:pt idx="17">
                  <c:v>0.999999999999998</c:v>
                </c:pt>
                <c:pt idx="18">
                  <c:v>1</c:v>
                </c:pt>
                <c:pt idx="19">
                  <c:v>1</c:v>
                </c:pt>
                <c:pt idx="20">
                  <c:v>0.999999999999997</c:v>
                </c:pt>
                <c:pt idx="21">
                  <c:v>1</c:v>
                </c:pt>
                <c:pt idx="22">
                  <c:v>1</c:v>
                </c:pt>
                <c:pt idx="23">
                  <c:v>0.999999999999997</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0.999999999999999</c:v>
                </c:pt>
                <c:pt idx="38">
                  <c:v>1</c:v>
                </c:pt>
                <c:pt idx="39">
                  <c:v>1</c:v>
                </c:pt>
                <c:pt idx="40">
                  <c:v>1</c:v>
                </c:pt>
                <c:pt idx="41">
                  <c:v>1</c:v>
                </c:pt>
                <c:pt idx="42">
                  <c:v>1</c:v>
                </c:pt>
                <c:pt idx="43">
                  <c:v>1</c:v>
                </c:pt>
                <c:pt idx="44">
                  <c:v>1</c:v>
                </c:pt>
                <c:pt idx="45">
                  <c:v>1</c:v>
                </c:pt>
                <c:pt idx="46">
                  <c:v>1</c:v>
                </c:pt>
                <c:pt idx="47">
                  <c:v>1</c:v>
                </c:pt>
                <c:pt idx="48">
                  <c:v>0.999999999999999</c:v>
                </c:pt>
                <c:pt idx="49">
                  <c:v>1</c:v>
                </c:pt>
                <c:pt idx="50">
                  <c:v>1</c:v>
                </c:pt>
                <c:pt idx="51">
                  <c:v>-4.3284135333344901E-32</c:v>
                </c:pt>
                <c:pt idx="52">
                  <c:v>-1.2401374733121199E-34</c:v>
                </c:pt>
                <c:pt idx="53">
                  <c:v>3.1116311680752002E-33</c:v>
                </c:pt>
                <c:pt idx="54">
                  <c:v>1.9627211787737299E-31</c:v>
                </c:pt>
                <c:pt idx="55">
                  <c:v>-1.06838566308377E-31</c:v>
                </c:pt>
                <c:pt idx="56">
                  <c:v>3.6778451349484198E-31</c:v>
                </c:pt>
                <c:pt idx="57">
                  <c:v>-1.07335527086963E-31</c:v>
                </c:pt>
                <c:pt idx="58">
                  <c:v>2.0185961909853099E-32</c:v>
                </c:pt>
                <c:pt idx="59">
                  <c:v>1.1900517136134901E-33</c:v>
                </c:pt>
                <c:pt idx="60">
                  <c:v>-2.2411899372376801E-33</c:v>
                </c:pt>
                <c:pt idx="61">
                  <c:v>1.13517010980382E-33</c:v>
                </c:pt>
                <c:pt idx="62">
                  <c:v>2.6878800600019602E-32</c:v>
                </c:pt>
                <c:pt idx="63">
                  <c:v>2.0891367367936501E-32</c:v>
                </c:pt>
                <c:pt idx="64">
                  <c:v>-1.68738351638264E-32</c:v>
                </c:pt>
                <c:pt idx="65">
                  <c:v>-3.8811760336829897E-33</c:v>
                </c:pt>
                <c:pt idx="66">
                  <c:v>2.6998470611037401E-32</c:v>
                </c:pt>
                <c:pt idx="67">
                  <c:v>-8.7119597546388606E-33</c:v>
                </c:pt>
                <c:pt idx="68">
                  <c:v>-2.9646235087801103E-32</c:v>
                </c:pt>
                <c:pt idx="69">
                  <c:v>2.5378939366842999E-32</c:v>
                </c:pt>
                <c:pt idx="70">
                  <c:v>2.3671969783080699E-32</c:v>
                </c:pt>
                <c:pt idx="71">
                  <c:v>-4.3366844806677799E-32</c:v>
                </c:pt>
                <c:pt idx="72">
                  <c:v>-7.2115094705850996E-33</c:v>
                </c:pt>
                <c:pt idx="73">
                  <c:v>5.7334086610836205E-32</c:v>
                </c:pt>
                <c:pt idx="74">
                  <c:v>-2.0329687184744001E-32</c:v>
                </c:pt>
                <c:pt idx="75">
                  <c:v>-5.8655220475805505E-32</c:v>
                </c:pt>
                <c:pt idx="76">
                  <c:v>5.66831525034178E-32</c:v>
                </c:pt>
                <c:pt idx="77">
                  <c:v>-4.0672159331650002E-32</c:v>
                </c:pt>
                <c:pt idx="78">
                  <c:v>1.59531416011813E-32</c:v>
                </c:pt>
                <c:pt idx="79">
                  <c:v>-3.7333638208695103E-33</c:v>
                </c:pt>
                <c:pt idx="80">
                  <c:v>3.8203156626891898E-34</c:v>
                </c:pt>
                <c:pt idx="81">
                  <c:v>-1.4627625174569901E-35</c:v>
                </c:pt>
                <c:pt idx="82">
                  <c:v>4.5414191956233697E-36</c:v>
                </c:pt>
                <c:pt idx="83">
                  <c:v>-9.6620330806743501E-37</c:v>
                </c:pt>
                <c:pt idx="84">
                  <c:v>1.2649725068769101E-37</c:v>
                </c:pt>
                <c:pt idx="85">
                  <c:v>-7.4866851293748801E-39</c:v>
                </c:pt>
                <c:pt idx="86">
                  <c:v>-1.24210884968668E-41</c:v>
                </c:pt>
                <c:pt idx="87">
                  <c:v>2.5604904301849101E-42</c:v>
                </c:pt>
                <c:pt idx="88">
                  <c:v>-3.7420601920583301E-43</c:v>
                </c:pt>
                <c:pt idx="89">
                  <c:v>3.44476629510896E-44</c:v>
                </c:pt>
                <c:pt idx="90">
                  <c:v>-1.4746561216347501E-45</c:v>
                </c:pt>
                <c:pt idx="91">
                  <c:v>-4.6485996734228599E-48</c:v>
                </c:pt>
                <c:pt idx="92">
                  <c:v>7.2039827284702194E-49</c:v>
                </c:pt>
                <c:pt idx="93">
                  <c:v>-8.0286725261648698E-50</c:v>
                </c:pt>
                <c:pt idx="94">
                  <c:v>5.70263608568952E-51</c:v>
                </c:pt>
                <c:pt idx="95">
                  <c:v>-1.8863085617916099E-52</c:v>
                </c:pt>
                <c:pt idx="96">
                  <c:v>-1.14755051756922E-54</c:v>
                </c:pt>
                <c:pt idx="97">
                  <c:v>1.4263352444380299E-55</c:v>
                </c:pt>
                <c:pt idx="98">
                  <c:v>-1.28478939403577E-56</c:v>
                </c:pt>
                <c:pt idx="99">
                  <c:v>7.4107701663857804E-58</c:v>
                </c:pt>
              </c:numCache>
            </c:numRef>
          </c:yVal>
          <c:smooth val="0"/>
          <c:extLst>
            <c:ext xmlns:c16="http://schemas.microsoft.com/office/drawing/2014/chart" uri="{C3380CC4-5D6E-409C-BE32-E72D297353CC}">
              <c16:uniqueId val="{00000009-C8BD-4F4B-9BA9-1068EB14BB26}"/>
            </c:ext>
          </c:extLst>
        </c:ser>
        <c:ser>
          <c:idx val="10"/>
          <c:order val="10"/>
          <c:tx>
            <c:strRef>
              <c:f>dynamicR!$EV$19</c:f>
              <c:strCache>
                <c:ptCount val="1"/>
                <c:pt idx="0">
                  <c:v>w2TP</c:v>
                </c:pt>
              </c:strCache>
            </c:strRef>
          </c:tx>
          <c:spPr>
            <a:ln w="19050" cap="rnd">
              <a:solidFill>
                <a:schemeClr val="accent5">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dynamicR!$EV$20:$EV$119</c:f>
              <c:numCache>
                <c:formatCode>0.00</c:formatCode>
                <c:ptCount val="100"/>
                <c:pt idx="0">
                  <c:v>0</c:v>
                </c:pt>
                <c:pt idx="1">
                  <c:v>0.999999999999999</c:v>
                </c:pt>
                <c:pt idx="2">
                  <c:v>0.999999999999996</c:v>
                </c:pt>
                <c:pt idx="3">
                  <c:v>0.999999999999994</c:v>
                </c:pt>
                <c:pt idx="4">
                  <c:v>0.999999999999999</c:v>
                </c:pt>
                <c:pt idx="5">
                  <c:v>1</c:v>
                </c:pt>
                <c:pt idx="6">
                  <c:v>1</c:v>
                </c:pt>
                <c:pt idx="7">
                  <c:v>1</c:v>
                </c:pt>
                <c:pt idx="8">
                  <c:v>1</c:v>
                </c:pt>
                <c:pt idx="9">
                  <c:v>1</c:v>
                </c:pt>
                <c:pt idx="10">
                  <c:v>0.999999999999999</c:v>
                </c:pt>
                <c:pt idx="11">
                  <c:v>1</c:v>
                </c:pt>
                <c:pt idx="12">
                  <c:v>1</c:v>
                </c:pt>
                <c:pt idx="13">
                  <c:v>0.999999999999999</c:v>
                </c:pt>
                <c:pt idx="14">
                  <c:v>1</c:v>
                </c:pt>
                <c:pt idx="15">
                  <c:v>1</c:v>
                </c:pt>
                <c:pt idx="16">
                  <c:v>0.999999999999999</c:v>
                </c:pt>
                <c:pt idx="17">
                  <c:v>1</c:v>
                </c:pt>
                <c:pt idx="18">
                  <c:v>1</c:v>
                </c:pt>
                <c:pt idx="19">
                  <c:v>0.999999999999998</c:v>
                </c:pt>
                <c:pt idx="20">
                  <c:v>0.999999999999999</c:v>
                </c:pt>
                <c:pt idx="21">
                  <c:v>1</c:v>
                </c:pt>
                <c:pt idx="22">
                  <c:v>0.999999999999998</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0.999999999999999</c:v>
                </c:pt>
                <c:pt idx="41">
                  <c:v>1</c:v>
                </c:pt>
                <c:pt idx="42">
                  <c:v>1</c:v>
                </c:pt>
                <c:pt idx="43">
                  <c:v>1</c:v>
                </c:pt>
                <c:pt idx="44">
                  <c:v>1</c:v>
                </c:pt>
                <c:pt idx="45">
                  <c:v>1</c:v>
                </c:pt>
                <c:pt idx="46">
                  <c:v>1</c:v>
                </c:pt>
                <c:pt idx="47">
                  <c:v>1</c:v>
                </c:pt>
                <c:pt idx="48">
                  <c:v>1</c:v>
                </c:pt>
                <c:pt idx="49">
                  <c:v>1</c:v>
                </c:pt>
                <c:pt idx="50">
                  <c:v>1</c:v>
                </c:pt>
                <c:pt idx="51">
                  <c:v>-6.3139639509820798E-23</c:v>
                </c:pt>
                <c:pt idx="52">
                  <c:v>9.1135863960376196E-27</c:v>
                </c:pt>
                <c:pt idx="53">
                  <c:v>3.4889032075877599E-24</c:v>
                </c:pt>
                <c:pt idx="54">
                  <c:v>2.6115585194956599E-22</c:v>
                </c:pt>
                <c:pt idx="55">
                  <c:v>-1.4267147166222899E-22</c:v>
                </c:pt>
                <c:pt idx="56">
                  <c:v>4.9024103436861402E-22</c:v>
                </c:pt>
                <c:pt idx="57">
                  <c:v>-1.4290404440005799E-22</c:v>
                </c:pt>
                <c:pt idx="58">
                  <c:v>2.67741663052223E-23</c:v>
                </c:pt>
                <c:pt idx="59">
                  <c:v>1.63126220498955E-24</c:v>
                </c:pt>
                <c:pt idx="60">
                  <c:v>-3.02658212466701E-24</c:v>
                </c:pt>
                <c:pt idx="61">
                  <c:v>1.4399164672210399E-24</c:v>
                </c:pt>
                <c:pt idx="62">
                  <c:v>3.5815506786251698E-23</c:v>
                </c:pt>
                <c:pt idx="63">
                  <c:v>2.78157960554863E-23</c:v>
                </c:pt>
                <c:pt idx="64">
                  <c:v>-2.2549485168739701E-23</c:v>
                </c:pt>
                <c:pt idx="65">
                  <c:v>-5.1572748240096998E-24</c:v>
                </c:pt>
                <c:pt idx="66">
                  <c:v>3.6027458559256602E-23</c:v>
                </c:pt>
                <c:pt idx="67">
                  <c:v>-1.16456709703262E-23</c:v>
                </c:pt>
                <c:pt idx="68">
                  <c:v>-3.9541557672994699E-23</c:v>
                </c:pt>
                <c:pt idx="69">
                  <c:v>3.3871126354233898E-23</c:v>
                </c:pt>
                <c:pt idx="70">
                  <c:v>3.1562529120806198E-23</c:v>
                </c:pt>
                <c:pt idx="71">
                  <c:v>-5.7846925797796202E-23</c:v>
                </c:pt>
                <c:pt idx="72">
                  <c:v>-9.6105952061047904E-24</c:v>
                </c:pt>
                <c:pt idx="73">
                  <c:v>7.6457333951499104E-23</c:v>
                </c:pt>
                <c:pt idx="74">
                  <c:v>-2.7100859741450998E-23</c:v>
                </c:pt>
                <c:pt idx="75">
                  <c:v>-7.82116158377313E-23</c:v>
                </c:pt>
                <c:pt idx="76">
                  <c:v>7.5558713794314802E-23</c:v>
                </c:pt>
                <c:pt idx="77">
                  <c:v>-5.4164329640253805E-23</c:v>
                </c:pt>
                <c:pt idx="78">
                  <c:v>2.1176448500568399E-23</c:v>
                </c:pt>
                <c:pt idx="79">
                  <c:v>-4.8999571919988603E-24</c:v>
                </c:pt>
                <c:pt idx="80">
                  <c:v>4.6360538402660498E-25</c:v>
                </c:pt>
                <c:pt idx="81">
                  <c:v>1.7174742250016399E-28</c:v>
                </c:pt>
                <c:pt idx="82">
                  <c:v>-5.3323257654144399E-29</c:v>
                </c:pt>
                <c:pt idx="83">
                  <c:v>1.1345365006355999E-29</c:v>
                </c:pt>
                <c:pt idx="84">
                  <c:v>-1.4856847509439901E-30</c:v>
                </c:pt>
                <c:pt idx="85">
                  <c:v>8.8065062581867002E-32</c:v>
                </c:pt>
                <c:pt idx="86">
                  <c:v>1.0127394514504301E-34</c:v>
                </c:pt>
                <c:pt idx="87">
                  <c:v>-2.0877064521109001E-35</c:v>
                </c:pt>
                <c:pt idx="88">
                  <c:v>3.0512762337089799E-36</c:v>
                </c:pt>
                <c:pt idx="89">
                  <c:v>-2.8094788092344298E-37</c:v>
                </c:pt>
                <c:pt idx="90">
                  <c:v>1.20454402225443E-38</c:v>
                </c:pt>
                <c:pt idx="91">
                  <c:v>3.3413753470097699E-41</c:v>
                </c:pt>
                <c:pt idx="92">
                  <c:v>-5.1782722809995403E-42</c:v>
                </c:pt>
                <c:pt idx="93">
                  <c:v>5.7714082902693997E-43</c:v>
                </c:pt>
                <c:pt idx="94">
                  <c:v>-4.1002940717620198E-44</c:v>
                </c:pt>
                <c:pt idx="95">
                  <c:v>1.3585434144268999E-45</c:v>
                </c:pt>
                <c:pt idx="96">
                  <c:v>7.8141369816513999E-48</c:v>
                </c:pt>
                <c:pt idx="97">
                  <c:v>-9.7126998128273793E-49</c:v>
                </c:pt>
                <c:pt idx="98">
                  <c:v>8.7493790179321308E-50</c:v>
                </c:pt>
                <c:pt idx="99">
                  <c:v>-5.0479519511957097E-51</c:v>
                </c:pt>
              </c:numCache>
            </c:numRef>
          </c:yVal>
          <c:smooth val="0"/>
          <c:extLst>
            <c:ext xmlns:c16="http://schemas.microsoft.com/office/drawing/2014/chart" uri="{C3380CC4-5D6E-409C-BE32-E72D297353CC}">
              <c16:uniqueId val="{0000000A-C8BD-4F4B-9BA9-1068EB14BB26}"/>
            </c:ext>
          </c:extLst>
        </c:ser>
        <c:ser>
          <c:idx val="11"/>
          <c:order val="11"/>
          <c:tx>
            <c:strRef>
              <c:f>dynamicR!$EW$19</c:f>
              <c:strCache>
                <c:ptCount val="1"/>
                <c:pt idx="0">
                  <c:v>w3TD</c:v>
                </c:pt>
              </c:strCache>
            </c:strRef>
          </c:tx>
          <c:spPr>
            <a:ln w="19050" cap="rnd">
              <a:solidFill>
                <a:schemeClr val="accent6">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dynamicR!$EW$20:$EW$119</c:f>
              <c:numCache>
                <c:formatCode>0.00</c:formatCode>
                <c:ptCount val="100"/>
                <c:pt idx="0">
                  <c:v>0</c:v>
                </c:pt>
                <c:pt idx="1">
                  <c:v>1.9983341366846499E-2</c:v>
                </c:pt>
                <c:pt idx="2">
                  <c:v>3.9574002283949902E-2</c:v>
                </c:pt>
                <c:pt idx="3">
                  <c:v>5.8773042594577399E-2</c:v>
                </c:pt>
                <c:pt idx="4">
                  <c:v>7.7588296437630794E-2</c:v>
                </c:pt>
                <c:pt idx="5">
                  <c:v>9.6027432501621504E-2</c:v>
                </c:pt>
                <c:pt idx="6">
                  <c:v>0.114097966466617</c:v>
                </c:pt>
                <c:pt idx="7">
                  <c:v>0.13180726656780001</c:v>
                </c:pt>
                <c:pt idx="8">
                  <c:v>0.14916255491785799</c:v>
                </c:pt>
                <c:pt idx="9">
                  <c:v>0.16617090890969499</c:v>
                </c:pt>
                <c:pt idx="10">
                  <c:v>0.182839263863804</c:v>
                </c:pt>
                <c:pt idx="11">
                  <c:v>0.19917441623521501</c:v>
                </c:pt>
                <c:pt idx="12">
                  <c:v>0.21518302661145</c:v>
                </c:pt>
                <c:pt idx="13">
                  <c:v>0.23087162231962999</c:v>
                </c:pt>
                <c:pt idx="14">
                  <c:v>0.246246600555803</c:v>
                </c:pt>
                <c:pt idx="15">
                  <c:v>0.26131423093789402</c:v>
                </c:pt>
                <c:pt idx="16">
                  <c:v>0.276080657600421</c:v>
                </c:pt>
                <c:pt idx="17">
                  <c:v>0.29055190155168997</c:v>
                </c:pt>
                <c:pt idx="18">
                  <c:v>0.30473386337508801</c:v>
                </c:pt>
                <c:pt idx="19">
                  <c:v>0.31863232583005702</c:v>
                </c:pt>
                <c:pt idx="20">
                  <c:v>0.33225295616891998</c:v>
                </c:pt>
                <c:pt idx="21">
                  <c:v>0.34560130833059699</c:v>
                </c:pt>
                <c:pt idx="22">
                  <c:v>0.35868282517431999</c:v>
                </c:pt>
                <c:pt idx="23">
                  <c:v>0.37150284074720902</c:v>
                </c:pt>
                <c:pt idx="24">
                  <c:v>0.38406658249252301</c:v>
                </c:pt>
                <c:pt idx="25">
                  <c:v>0.396379173370631</c:v>
                </c:pt>
                <c:pt idx="26">
                  <c:v>0.40844563392646899</c:v>
                </c:pt>
                <c:pt idx="27">
                  <c:v>0.42027088433440901</c:v>
                </c:pt>
                <c:pt idx="28">
                  <c:v>0.43185974641344199</c:v>
                </c:pt>
                <c:pt idx="29">
                  <c:v>0.44321694559674901</c:v>
                </c:pt>
                <c:pt idx="30">
                  <c:v>0.45434711285904</c:v>
                </c:pt>
                <c:pt idx="31">
                  <c:v>0.46525478659999903</c:v>
                </c:pt>
                <c:pt idx="32">
                  <c:v>0.47594441449354102</c:v>
                </c:pt>
                <c:pt idx="33">
                  <c:v>0.48642035530356997</c:v>
                </c:pt>
                <c:pt idx="34">
                  <c:v>0.49668688066441102</c:v>
                </c:pt>
                <c:pt idx="35">
                  <c:v>0.50674817681929396</c:v>
                </c:pt>
                <c:pt idx="36">
                  <c:v>0.51660834632678498</c:v>
                </c:pt>
                <c:pt idx="37">
                  <c:v>0.52627140973512898</c:v>
                </c:pt>
                <c:pt idx="38">
                  <c:v>0.53574130722114</c:v>
                </c:pt>
                <c:pt idx="39">
                  <c:v>0.54502190019769303</c:v>
                </c:pt>
                <c:pt idx="40">
                  <c:v>0.55411697288719497</c:v>
                </c:pt>
                <c:pt idx="41">
                  <c:v>0.56303023386520601</c:v>
                </c:pt>
                <c:pt idx="42">
                  <c:v>0.57176531757119697</c:v>
                </c:pt>
                <c:pt idx="43">
                  <c:v>0.58032578579287797</c:v>
                </c:pt>
                <c:pt idx="44">
                  <c:v>0.58871512911750901</c:v>
                </c:pt>
                <c:pt idx="45">
                  <c:v>0.59693676835491505</c:v>
                </c:pt>
                <c:pt idx="46">
                  <c:v>0.604994055931249</c:v>
                </c:pt>
                <c:pt idx="47">
                  <c:v>0.61289027725738598</c:v>
                </c:pt>
                <c:pt idx="48">
                  <c:v>0.62062865206982498</c:v>
                </c:pt>
                <c:pt idx="49">
                  <c:v>0.62821233574131397</c:v>
                </c:pt>
                <c:pt idx="50">
                  <c:v>0.62821233574131397</c:v>
                </c:pt>
                <c:pt idx="51">
                  <c:v>0.61566074908240997</c:v>
                </c:pt>
                <c:pt idx="52">
                  <c:v>0.60335308531426601</c:v>
                </c:pt>
                <c:pt idx="53">
                  <c:v>0.59129187399498995</c:v>
                </c:pt>
                <c:pt idx="54">
                  <c:v>0.57947202777226203</c:v>
                </c:pt>
                <c:pt idx="55">
                  <c:v>0.56788841051907302</c:v>
                </c:pt>
                <c:pt idx="56">
                  <c:v>0.556536291748015</c:v>
                </c:pt>
                <c:pt idx="57">
                  <c:v>0.54541108157362295</c:v>
                </c:pt>
                <c:pt idx="58">
                  <c:v>0.53450826092305503</c:v>
                </c:pt>
                <c:pt idx="59">
                  <c:v>0.523823389988327</c:v>
                </c:pt>
                <c:pt idx="60">
                  <c:v>0.51335210460765002</c:v>
                </c:pt>
                <c:pt idx="61">
                  <c:v>0.50309012724949798</c:v>
                </c:pt>
                <c:pt idx="62">
                  <c:v>0.49303328142376901</c:v>
                </c:pt>
                <c:pt idx="63">
                  <c:v>0.48317747569633701</c:v>
                </c:pt>
                <c:pt idx="64">
                  <c:v>0.47351869283195303</c:v>
                </c:pt>
                <c:pt idx="65">
                  <c:v>0.46405299190901</c:v>
                </c:pt>
                <c:pt idx="66">
                  <c:v>0.454776511273707</c:v>
                </c:pt>
                <c:pt idx="67">
                  <c:v>0.445685468074831</c:v>
                </c:pt>
                <c:pt idx="68">
                  <c:v>0.43677615581530799</c:v>
                </c:pt>
                <c:pt idx="69">
                  <c:v>0.428044941986852</c:v>
                </c:pt>
                <c:pt idx="70">
                  <c:v>0.41948826641109399</c:v>
                </c:pt>
                <c:pt idx="71">
                  <c:v>0.41110263996114599</c:v>
                </c:pt>
                <c:pt idx="72">
                  <c:v>0.402884643286188</c:v>
                </c:pt>
                <c:pt idx="73">
                  <c:v>0.39483092544083298</c:v>
                </c:pt>
                <c:pt idx="74">
                  <c:v>0.38693820248612398</c:v>
                </c:pt>
                <c:pt idx="75">
                  <c:v>0.37920325618427903</c:v>
                </c:pt>
                <c:pt idx="76">
                  <c:v>0.37162293267825702</c:v>
                </c:pt>
                <c:pt idx="77">
                  <c:v>0.36419414098608999</c:v>
                </c:pt>
                <c:pt idx="78">
                  <c:v>0.35691385180386298</c:v>
                </c:pt>
                <c:pt idx="79">
                  <c:v>0.34977909647477501</c:v>
                </c:pt>
                <c:pt idx="80">
                  <c:v>0.34278696581060197</c:v>
                </c:pt>
                <c:pt idx="81">
                  <c:v>0.33593460879036002</c:v>
                </c:pt>
                <c:pt idx="82">
                  <c:v>0.32921923132453301</c:v>
                </c:pt>
                <c:pt idx="83">
                  <c:v>0.322638095145029</c:v>
                </c:pt>
                <c:pt idx="84">
                  <c:v>0.31618851673731102</c:v>
                </c:pt>
                <c:pt idx="85">
                  <c:v>0.30986786625391499</c:v>
                </c:pt>
                <c:pt idx="86">
                  <c:v>0.30367356641897703</c:v>
                </c:pt>
                <c:pt idx="87">
                  <c:v>0.29760309146592701</c:v>
                </c:pt>
                <c:pt idx="88">
                  <c:v>0.291653966113534</c:v>
                </c:pt>
                <c:pt idx="89">
                  <c:v>0.28582376456501402</c:v>
                </c:pt>
                <c:pt idx="90">
                  <c:v>0.28011010951952697</c:v>
                </c:pt>
                <c:pt idx="91">
                  <c:v>0.27451067119884698</c:v>
                </c:pt>
                <c:pt idx="92">
                  <c:v>0.26902316639544199</c:v>
                </c:pt>
                <c:pt idx="93">
                  <c:v>0.26364535754216001</c:v>
                </c:pt>
                <c:pt idx="94">
                  <c:v>0.25837505180227399</c:v>
                </c:pt>
                <c:pt idx="95">
                  <c:v>0.253210100174666</c:v>
                </c:pt>
                <c:pt idx="96">
                  <c:v>0.248148396616828</c:v>
                </c:pt>
                <c:pt idx="97">
                  <c:v>0.243187877185885</c:v>
                </c:pt>
                <c:pt idx="98">
                  <c:v>0.23832651919780301</c:v>
                </c:pt>
                <c:pt idx="99">
                  <c:v>0.23356234040205501</c:v>
                </c:pt>
              </c:numCache>
            </c:numRef>
          </c:yVal>
          <c:smooth val="0"/>
          <c:extLst>
            <c:ext xmlns:c16="http://schemas.microsoft.com/office/drawing/2014/chart" uri="{C3380CC4-5D6E-409C-BE32-E72D297353CC}">
              <c16:uniqueId val="{0000000B-C8BD-4F4B-9BA9-1068EB14BB26}"/>
            </c:ext>
          </c:extLst>
        </c:ser>
        <c:ser>
          <c:idx val="12"/>
          <c:order val="12"/>
          <c:tx>
            <c:strRef>
              <c:f>dynamicR!$EX$19</c:f>
              <c:strCache>
                <c:ptCount val="1"/>
                <c:pt idx="0">
                  <c:v>w3TS</c:v>
                </c:pt>
              </c:strCache>
            </c:strRef>
          </c:tx>
          <c:spPr>
            <a:ln w="19050" cap="rnd">
              <a:solidFill>
                <a:schemeClr val="accent1">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dynamicR!$EX$20:$EX$119</c:f>
              <c:numCache>
                <c:formatCode>0.00</c:formatCode>
                <c:ptCount val="100"/>
                <c:pt idx="0">
                  <c:v>0</c:v>
                </c:pt>
                <c:pt idx="1">
                  <c:v>1</c:v>
                </c:pt>
                <c:pt idx="2">
                  <c:v>0.999999999999997</c:v>
                </c:pt>
                <c:pt idx="3">
                  <c:v>0.999999999999995</c:v>
                </c:pt>
                <c:pt idx="4">
                  <c:v>0.999999999999999</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0.999999999999999</c:v>
                </c:pt>
                <c:pt idx="24">
                  <c:v>1</c:v>
                </c:pt>
                <c:pt idx="25">
                  <c:v>0.999999999999999</c:v>
                </c:pt>
                <c:pt idx="26">
                  <c:v>1</c:v>
                </c:pt>
                <c:pt idx="27">
                  <c:v>0.999999999999999</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-4.83677072774219E-213</c:v>
                </c:pt>
                <c:pt idx="52">
                  <c:v>1.1651786865046301E-214</c:v>
                </c:pt>
                <c:pt idx="53">
                  <c:v>-3.9462951390182803E-214</c:v>
                </c:pt>
                <c:pt idx="54">
                  <c:v>5.1892637100218299E-213</c:v>
                </c:pt>
                <c:pt idx="55">
                  <c:v>-3.2667733721222E-213</c:v>
                </c:pt>
                <c:pt idx="56">
                  <c:v>1.0650235501621301E-212</c:v>
                </c:pt>
                <c:pt idx="57">
                  <c:v>-3.1037397579210102E-213</c:v>
                </c:pt>
                <c:pt idx="58">
                  <c:v>5.7784042720872402E-214</c:v>
                </c:pt>
                <c:pt idx="59">
                  <c:v>3.5196068520428298E-215</c:v>
                </c:pt>
                <c:pt idx="60">
                  <c:v>-6.5309674143141003E-215</c:v>
                </c:pt>
                <c:pt idx="61">
                  <c:v>3.10885665272198E-215</c:v>
                </c:pt>
                <c:pt idx="62">
                  <c:v>7.7294013436072E-214</c:v>
                </c:pt>
                <c:pt idx="63">
                  <c:v>6.0030111414658901E-214</c:v>
                </c:pt>
                <c:pt idx="64">
                  <c:v>-4.8663186624647804E-214</c:v>
                </c:pt>
                <c:pt idx="65">
                  <c:v>-1.1130262645419999E-214</c:v>
                </c:pt>
                <c:pt idx="66">
                  <c:v>7.7750454799080901E-214</c:v>
                </c:pt>
                <c:pt idx="67">
                  <c:v>-2.5132017299664398E-214</c:v>
                </c:pt>
                <c:pt idx="68">
                  <c:v>-8.5334547887819308E-214</c:v>
                </c:pt>
                <c:pt idx="69">
                  <c:v>7.3096809207136104E-214</c:v>
                </c:pt>
                <c:pt idx="70">
                  <c:v>6.8115222109218503E-214</c:v>
                </c:pt>
                <c:pt idx="71">
                  <c:v>-1.2483922780410099E-213</c:v>
                </c:pt>
                <c:pt idx="72">
                  <c:v>-2.07407520600762E-214</c:v>
                </c:pt>
                <c:pt idx="73">
                  <c:v>1.6500265763519699E-213</c:v>
                </c:pt>
                <c:pt idx="74">
                  <c:v>-5.8486574040492103E-214</c:v>
                </c:pt>
                <c:pt idx="75">
                  <c:v>-1.6878871451372799E-213</c:v>
                </c:pt>
                <c:pt idx="76">
                  <c:v>1.6306391225442401E-213</c:v>
                </c:pt>
                <c:pt idx="77">
                  <c:v>-1.16893467496125E-213</c:v>
                </c:pt>
                <c:pt idx="78">
                  <c:v>4.5702731132479303E-214</c:v>
                </c:pt>
                <c:pt idx="79">
                  <c:v>-1.0576062860288999E-214</c:v>
                </c:pt>
                <c:pt idx="80">
                  <c:v>1.00135842775143E-215</c:v>
                </c:pt>
                <c:pt idx="81">
                  <c:v>5.3459971233133402E-221</c:v>
                </c:pt>
                <c:pt idx="82">
                  <c:v>-1.6598714754036899E-221</c:v>
                </c:pt>
                <c:pt idx="83">
                  <c:v>3.5320884246042199E-222</c:v>
                </c:pt>
                <c:pt idx="84">
                  <c:v>-4.6275637560271801E-223</c:v>
                </c:pt>
                <c:pt idx="85">
                  <c:v>2.7524072987436098E-224</c:v>
                </c:pt>
                <c:pt idx="86">
                  <c:v>6.2810789470815001E-229</c:v>
                </c:pt>
                <c:pt idx="87">
                  <c:v>-1.2940315781785E-229</c:v>
                </c:pt>
                <c:pt idx="88">
                  <c:v>1.8920593350830101E-230</c:v>
                </c:pt>
                <c:pt idx="89">
                  <c:v>-1.74489756863487E-231</c:v>
                </c:pt>
                <c:pt idx="90">
                  <c:v>7.5642102380250398E-233</c:v>
                </c:pt>
                <c:pt idx="91">
                  <c:v>4.93979139781694E-237</c:v>
                </c:pt>
                <c:pt idx="92">
                  <c:v>-7.6591698347407699E-238</c:v>
                </c:pt>
                <c:pt idx="93">
                  <c:v>8.5453525064772492E-239</c:v>
                </c:pt>
                <c:pt idx="94">
                  <c:v>-6.0957782336061404E-240</c:v>
                </c:pt>
                <c:pt idx="95">
                  <c:v>2.0780418907328201E-241</c:v>
                </c:pt>
                <c:pt idx="96">
                  <c:v>3.1098454553570199E-245</c:v>
                </c:pt>
                <c:pt idx="97">
                  <c:v>-3.8670961275729301E-246</c:v>
                </c:pt>
                <c:pt idx="98">
                  <c:v>3.4914771244480101E-247</c:v>
                </c:pt>
                <c:pt idx="99">
                  <c:v>-2.03250436239963E-248</c:v>
                </c:pt>
              </c:numCache>
            </c:numRef>
          </c:yVal>
          <c:smooth val="0"/>
          <c:extLst>
            <c:ext xmlns:c16="http://schemas.microsoft.com/office/drawing/2014/chart" uri="{C3380CC4-5D6E-409C-BE32-E72D297353CC}">
              <c16:uniqueId val="{0000000C-C8BD-4F4B-9BA9-1068EB14BB26}"/>
            </c:ext>
          </c:extLst>
        </c:ser>
        <c:ser>
          <c:idx val="13"/>
          <c:order val="13"/>
          <c:tx>
            <c:strRef>
              <c:f>dynamicR!$EY$19</c:f>
              <c:strCache>
                <c:ptCount val="1"/>
                <c:pt idx="0">
                  <c:v>w3TA</c:v>
                </c:pt>
              </c:strCache>
            </c:strRef>
          </c:tx>
          <c:spPr>
            <a:ln w="19050" cap="rnd">
              <a:solidFill>
                <a:schemeClr val="accent2">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dynamicR!$EY$20:$EY$119</c:f>
              <c:numCache>
                <c:formatCode>0.00</c:formatCode>
                <c:ptCount val="100"/>
                <c:pt idx="0">
                  <c:v>0</c:v>
                </c:pt>
                <c:pt idx="1">
                  <c:v>1</c:v>
                </c:pt>
                <c:pt idx="2">
                  <c:v>0.999999999999994</c:v>
                </c:pt>
                <c:pt idx="3">
                  <c:v>0.99999999999999201</c:v>
                </c:pt>
                <c:pt idx="4">
                  <c:v>0.999999999999999</c:v>
                </c:pt>
                <c:pt idx="5">
                  <c:v>1</c:v>
                </c:pt>
                <c:pt idx="6">
                  <c:v>1</c:v>
                </c:pt>
                <c:pt idx="7">
                  <c:v>0.999999999999999</c:v>
                </c:pt>
                <c:pt idx="8">
                  <c:v>1</c:v>
                </c:pt>
                <c:pt idx="9">
                  <c:v>0.999999999999999</c:v>
                </c:pt>
                <c:pt idx="10">
                  <c:v>1</c:v>
                </c:pt>
                <c:pt idx="11">
                  <c:v>0.999999999999999</c:v>
                </c:pt>
                <c:pt idx="12">
                  <c:v>1</c:v>
                </c:pt>
                <c:pt idx="13">
                  <c:v>1</c:v>
                </c:pt>
                <c:pt idx="14">
                  <c:v>0.999999999999999</c:v>
                </c:pt>
                <c:pt idx="15">
                  <c:v>1</c:v>
                </c:pt>
                <c:pt idx="16">
                  <c:v>1</c:v>
                </c:pt>
                <c:pt idx="17">
                  <c:v>0.999999999999998</c:v>
                </c:pt>
                <c:pt idx="18">
                  <c:v>1</c:v>
                </c:pt>
                <c:pt idx="19">
                  <c:v>1</c:v>
                </c:pt>
                <c:pt idx="20">
                  <c:v>0.999999999999997</c:v>
                </c:pt>
                <c:pt idx="21">
                  <c:v>0.999999999999998</c:v>
                </c:pt>
                <c:pt idx="22">
                  <c:v>1.00000000000001</c:v>
                </c:pt>
                <c:pt idx="23">
                  <c:v>0.999999999999996</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0.999999999999999</c:v>
                </c:pt>
                <c:pt idx="38">
                  <c:v>1</c:v>
                </c:pt>
                <c:pt idx="39">
                  <c:v>1</c:v>
                </c:pt>
                <c:pt idx="40">
                  <c:v>1</c:v>
                </c:pt>
                <c:pt idx="41">
                  <c:v>1</c:v>
                </c:pt>
                <c:pt idx="42">
                  <c:v>1</c:v>
                </c:pt>
                <c:pt idx="43">
                  <c:v>1</c:v>
                </c:pt>
                <c:pt idx="44">
                  <c:v>1</c:v>
                </c:pt>
                <c:pt idx="45">
                  <c:v>1</c:v>
                </c:pt>
                <c:pt idx="46">
                  <c:v>1</c:v>
                </c:pt>
                <c:pt idx="47">
                  <c:v>1</c:v>
                </c:pt>
                <c:pt idx="48">
                  <c:v>1</c:v>
                </c:pt>
                <c:pt idx="49">
                  <c:v>1</c:v>
                </c:pt>
                <c:pt idx="50">
                  <c:v>1</c:v>
                </c:pt>
                <c:pt idx="51">
                  <c:v>-7.8641130281401996E-29</c:v>
                </c:pt>
                <c:pt idx="52">
                  <c:v>-2.2526591670131401E-31</c:v>
                </c:pt>
                <c:pt idx="53">
                  <c:v>5.6530384401258697E-30</c:v>
                </c:pt>
                <c:pt idx="54">
                  <c:v>3.5659434608409101E-28</c:v>
                </c:pt>
                <c:pt idx="55">
                  <c:v>-1.94108704847412E-28</c:v>
                </c:pt>
                <c:pt idx="56">
                  <c:v>6.6820589208832996E-28</c:v>
                </c:pt>
                <c:pt idx="57">
                  <c:v>-1.95011977935056E-28</c:v>
                </c:pt>
                <c:pt idx="58">
                  <c:v>3.6674992714631203E-29</c:v>
                </c:pt>
                <c:pt idx="59">
                  <c:v>2.1620215327998698E-30</c:v>
                </c:pt>
                <c:pt idx="60">
                  <c:v>-4.0717858375771103E-30</c:v>
                </c:pt>
                <c:pt idx="61">
                  <c:v>2.06260458644618E-30</c:v>
                </c:pt>
                <c:pt idx="62">
                  <c:v>4.88345106213066E-29</c:v>
                </c:pt>
                <c:pt idx="63">
                  <c:v>3.7956349578766002E-29</c:v>
                </c:pt>
                <c:pt idx="64">
                  <c:v>-3.0656914996657301E-29</c:v>
                </c:pt>
                <c:pt idx="65">
                  <c:v>-7.0515162548123094E-30</c:v>
                </c:pt>
                <c:pt idx="66">
                  <c:v>4.9051801456369901E-29</c:v>
                </c:pt>
                <c:pt idx="67">
                  <c:v>-1.58281539798187E-29</c:v>
                </c:pt>
                <c:pt idx="68">
                  <c:v>-5.38624039437599E-29</c:v>
                </c:pt>
                <c:pt idx="69">
                  <c:v>4.61093657981468E-29</c:v>
                </c:pt>
                <c:pt idx="70">
                  <c:v>4.30081591611052E-29</c:v>
                </c:pt>
                <c:pt idx="71">
                  <c:v>-7.8790514455295297E-29</c:v>
                </c:pt>
                <c:pt idx="72">
                  <c:v>-1.3102164567826699E-29</c:v>
                </c:pt>
                <c:pt idx="73">
                  <c:v>1.04166775980314E-28</c:v>
                </c:pt>
                <c:pt idx="74">
                  <c:v>-3.69357810296649E-29</c:v>
                </c:pt>
                <c:pt idx="75">
                  <c:v>-1.0656708250918499E-28</c:v>
                </c:pt>
                <c:pt idx="76">
                  <c:v>1.02984207621577E-28</c:v>
                </c:pt>
                <c:pt idx="77">
                  <c:v>-7.3894926527620599E-29</c:v>
                </c:pt>
                <c:pt idx="78">
                  <c:v>2.89845238949071E-29</c:v>
                </c:pt>
                <c:pt idx="79">
                  <c:v>-6.7831144664272901E-30</c:v>
                </c:pt>
                <c:pt idx="80">
                  <c:v>6.9420386329230498E-31</c:v>
                </c:pt>
                <c:pt idx="81">
                  <c:v>-2.6625219703256298E-32</c:v>
                </c:pt>
                <c:pt idx="82">
                  <c:v>8.2664057210063202E-33</c:v>
                </c:pt>
                <c:pt idx="83">
                  <c:v>-1.7587743494489199E-33</c:v>
                </c:pt>
                <c:pt idx="84">
                  <c:v>2.3029581781518602E-34</c:v>
                </c:pt>
                <c:pt idx="85">
                  <c:v>-1.3643871099026099E-35</c:v>
                </c:pt>
                <c:pt idx="86">
                  <c:v>-1.80315284976358E-38</c:v>
                </c:pt>
                <c:pt idx="87">
                  <c:v>3.7171118747528298E-39</c:v>
                </c:pt>
                <c:pt idx="88">
                  <c:v>-5.4327577737812702E-40</c:v>
                </c:pt>
                <c:pt idx="89">
                  <c:v>5.0023578446980699E-41</c:v>
                </c:pt>
                <c:pt idx="90">
                  <c:v>-2.14507654865204E-42</c:v>
                </c:pt>
                <c:pt idx="91">
                  <c:v>-5.8638231515553694E-45</c:v>
                </c:pt>
                <c:pt idx="92">
                  <c:v>9.0875572926646704E-46</c:v>
                </c:pt>
                <c:pt idx="93">
                  <c:v>-1.0128939400249899E-46</c:v>
                </c:pt>
                <c:pt idx="94">
                  <c:v>7.1973922491786901E-48</c:v>
                </c:pt>
                <c:pt idx="95">
                  <c:v>-2.38774715182511E-49</c:v>
                </c:pt>
                <c:pt idx="96">
                  <c:v>-1.31260337469228E-51</c:v>
                </c:pt>
                <c:pt idx="97">
                  <c:v>1.6315790508273801E-52</c:v>
                </c:pt>
                <c:pt idx="98">
                  <c:v>-1.46991170800619E-53</c:v>
                </c:pt>
                <c:pt idx="99">
                  <c:v>8.4841955016518398E-55</c:v>
                </c:pt>
              </c:numCache>
            </c:numRef>
          </c:yVal>
          <c:smooth val="0"/>
          <c:extLst>
            <c:ext xmlns:c16="http://schemas.microsoft.com/office/drawing/2014/chart" uri="{C3380CC4-5D6E-409C-BE32-E72D297353CC}">
              <c16:uniqueId val="{0000000D-C8BD-4F4B-9BA9-1068EB14BB26}"/>
            </c:ext>
          </c:extLst>
        </c:ser>
        <c:ser>
          <c:idx val="14"/>
          <c:order val="14"/>
          <c:tx>
            <c:strRef>
              <c:f>dynamicR!$EZ$19</c:f>
              <c:strCache>
                <c:ptCount val="1"/>
                <c:pt idx="0">
                  <c:v>w3TP</c:v>
                </c:pt>
              </c:strCache>
            </c:strRef>
          </c:tx>
          <c:spPr>
            <a:ln w="19050" cap="rnd">
              <a:solidFill>
                <a:schemeClr val="accent3">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dynamicR!$EZ$20:$EZ$119</c:f>
              <c:numCache>
                <c:formatCode>0.00</c:formatCode>
                <c:ptCount val="100"/>
                <c:pt idx="0">
                  <c:v>0</c:v>
                </c:pt>
                <c:pt idx="1">
                  <c:v>1</c:v>
                </c:pt>
                <c:pt idx="2">
                  <c:v>0.999999999999995</c:v>
                </c:pt>
                <c:pt idx="3">
                  <c:v>0.99999999999999301</c:v>
                </c:pt>
                <c:pt idx="4">
                  <c:v>0.999999999999997</c:v>
                </c:pt>
                <c:pt idx="5">
                  <c:v>1</c:v>
                </c:pt>
                <c:pt idx="6">
                  <c:v>1</c:v>
                </c:pt>
                <c:pt idx="7">
                  <c:v>1</c:v>
                </c:pt>
                <c:pt idx="8">
                  <c:v>1</c:v>
                </c:pt>
                <c:pt idx="9">
                  <c:v>1</c:v>
                </c:pt>
                <c:pt idx="10">
                  <c:v>1</c:v>
                </c:pt>
                <c:pt idx="11">
                  <c:v>1</c:v>
                </c:pt>
                <c:pt idx="12">
                  <c:v>1</c:v>
                </c:pt>
                <c:pt idx="13">
                  <c:v>1</c:v>
                </c:pt>
                <c:pt idx="14">
                  <c:v>0.999999999999999</c:v>
                </c:pt>
                <c:pt idx="15">
                  <c:v>0.999999999999999</c:v>
                </c:pt>
                <c:pt idx="16">
                  <c:v>0.999999999999999</c:v>
                </c:pt>
                <c:pt idx="17">
                  <c:v>0.999999999999999</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0.999999999999999</c:v>
                </c:pt>
                <c:pt idx="36">
                  <c:v>1</c:v>
                </c:pt>
                <c:pt idx="37">
                  <c:v>1</c:v>
                </c:pt>
                <c:pt idx="38">
                  <c:v>1</c:v>
                </c:pt>
                <c:pt idx="39">
                  <c:v>1</c:v>
                </c:pt>
                <c:pt idx="40">
                  <c:v>1</c:v>
                </c:pt>
                <c:pt idx="41">
                  <c:v>1</c:v>
                </c:pt>
                <c:pt idx="42">
                  <c:v>1</c:v>
                </c:pt>
                <c:pt idx="43">
                  <c:v>1</c:v>
                </c:pt>
                <c:pt idx="44">
                  <c:v>1</c:v>
                </c:pt>
                <c:pt idx="45">
                  <c:v>0.999999999999999</c:v>
                </c:pt>
                <c:pt idx="46">
                  <c:v>1</c:v>
                </c:pt>
                <c:pt idx="47">
                  <c:v>1</c:v>
                </c:pt>
                <c:pt idx="48">
                  <c:v>1</c:v>
                </c:pt>
                <c:pt idx="49">
                  <c:v>1</c:v>
                </c:pt>
                <c:pt idx="50">
                  <c:v>1</c:v>
                </c:pt>
                <c:pt idx="51">
                  <c:v>-1.06104545396653E-19</c:v>
                </c:pt>
                <c:pt idx="52">
                  <c:v>1.5391195884887299E-23</c:v>
                </c:pt>
                <c:pt idx="53">
                  <c:v>5.8624774789497203E-21</c:v>
                </c:pt>
                <c:pt idx="54">
                  <c:v>4.38858352189467E-19</c:v>
                </c:pt>
                <c:pt idx="55">
                  <c:v>-2.39752418325526E-19</c:v>
                </c:pt>
                <c:pt idx="56">
                  <c:v>8.2382576199784304E-19</c:v>
                </c:pt>
                <c:pt idx="57">
                  <c:v>-2.4014368088737599E-19</c:v>
                </c:pt>
                <c:pt idx="58">
                  <c:v>4.4993047300658601E-20</c:v>
                </c:pt>
                <c:pt idx="59">
                  <c:v>2.7411159688682502E-21</c:v>
                </c:pt>
                <c:pt idx="60">
                  <c:v>-5.0858987060506301E-21</c:v>
                </c:pt>
                <c:pt idx="61">
                  <c:v>2.4199319848840198E-21</c:v>
                </c:pt>
                <c:pt idx="62">
                  <c:v>6.01861963960408E-20</c:v>
                </c:pt>
                <c:pt idx="63">
                  <c:v>4.6743142482710703E-20</c:v>
                </c:pt>
                <c:pt idx="64">
                  <c:v>-3.7893099078919999E-20</c:v>
                </c:pt>
                <c:pt idx="65">
                  <c:v>-8.6665904995340093E-21</c:v>
                </c:pt>
                <c:pt idx="66">
                  <c:v>6.0542209681386401E-20</c:v>
                </c:pt>
                <c:pt idx="67">
                  <c:v>-1.9569862798773001E-20</c:v>
                </c:pt>
                <c:pt idx="68">
                  <c:v>-6.6447523282677895E-20</c:v>
                </c:pt>
                <c:pt idx="69">
                  <c:v>5.6918594431535797E-20</c:v>
                </c:pt>
                <c:pt idx="70">
                  <c:v>5.3039215119506801E-20</c:v>
                </c:pt>
                <c:pt idx="71">
                  <c:v>-9.7208723103268004E-20</c:v>
                </c:pt>
                <c:pt idx="72">
                  <c:v>-1.6150127957640101E-20</c:v>
                </c:pt>
                <c:pt idx="73">
                  <c:v>1.28482600145475E-19</c:v>
                </c:pt>
                <c:pt idx="74">
                  <c:v>-4.55416243213674E-20</c:v>
                </c:pt>
                <c:pt idx="75">
                  <c:v>-1.31430603264355E-19</c:v>
                </c:pt>
                <c:pt idx="76">
                  <c:v>1.2697260922402899E-19</c:v>
                </c:pt>
                <c:pt idx="77">
                  <c:v>-9.1020584024078297E-20</c:v>
                </c:pt>
                <c:pt idx="78">
                  <c:v>3.5586227689013502E-20</c:v>
                </c:pt>
                <c:pt idx="79">
                  <c:v>-8.2343662850981702E-21</c:v>
                </c:pt>
                <c:pt idx="80">
                  <c:v>7.7920561655776697E-22</c:v>
                </c:pt>
                <c:pt idx="81">
                  <c:v>2.28217435718669E-25</c:v>
                </c:pt>
                <c:pt idx="82">
                  <c:v>-7.0856100932657901E-26</c:v>
                </c:pt>
                <c:pt idx="83">
                  <c:v>1.50759516381147E-26</c:v>
                </c:pt>
                <c:pt idx="84">
                  <c:v>-1.9743074894092401E-27</c:v>
                </c:pt>
                <c:pt idx="85">
                  <c:v>1.17069688730706E-28</c:v>
                </c:pt>
                <c:pt idx="86">
                  <c:v>1.21028526808631E-31</c:v>
                </c:pt>
                <c:pt idx="87">
                  <c:v>-2.4949619047826801E-32</c:v>
                </c:pt>
                <c:pt idx="88">
                  <c:v>3.6466213950761003E-33</c:v>
                </c:pt>
                <c:pt idx="89">
                  <c:v>-3.3580870363065601E-34</c:v>
                </c:pt>
                <c:pt idx="90">
                  <c:v>1.4410768682444201E-35</c:v>
                </c:pt>
                <c:pt idx="91">
                  <c:v>3.6718234094154397E-38</c:v>
                </c:pt>
                <c:pt idx="92">
                  <c:v>-5.6905147719164003E-39</c:v>
                </c:pt>
                <c:pt idx="93">
                  <c:v>6.3427829529670001E-40</c:v>
                </c:pt>
                <c:pt idx="94">
                  <c:v>-4.5075032884172598E-41</c:v>
                </c:pt>
                <c:pt idx="95">
                  <c:v>1.49647282164808E-42</c:v>
                </c:pt>
                <c:pt idx="96">
                  <c:v>8.0070584875614904E-45</c:v>
                </c:pt>
                <c:pt idx="97">
                  <c:v>-9.95293760575559E-46</c:v>
                </c:pt>
                <c:pt idx="98">
                  <c:v>8.9669659745988291E-47</c:v>
                </c:pt>
                <c:pt idx="99">
                  <c:v>-5.1761742124460301E-48</c:v>
                </c:pt>
              </c:numCache>
            </c:numRef>
          </c:yVal>
          <c:smooth val="0"/>
          <c:extLst>
            <c:ext xmlns:c16="http://schemas.microsoft.com/office/drawing/2014/chart" uri="{C3380CC4-5D6E-409C-BE32-E72D297353CC}">
              <c16:uniqueId val="{0000000E-C8BD-4F4B-9BA9-1068EB14BB26}"/>
            </c:ext>
          </c:extLst>
        </c:ser>
        <c:ser>
          <c:idx val="15"/>
          <c:order val="15"/>
          <c:tx>
            <c:strRef>
              <c:f>dynamicR!$FA$19</c:f>
              <c:strCache>
                <c:ptCount val="1"/>
                <c:pt idx="0">
                  <c:v>sdTD</c:v>
                </c:pt>
              </c:strCache>
            </c:strRef>
          </c:tx>
          <c:spPr>
            <a:ln w="19050" cap="rnd">
              <a:solidFill>
                <a:schemeClr val="accent4">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dynamicR!$FA$20:$FA$119</c:f>
              <c:numCache>
                <c:formatCode>0.00</c:formatCode>
                <c:ptCount val="100"/>
                <c:pt idx="0">
                  <c:v>0</c:v>
                </c:pt>
                <c:pt idx="1">
                  <c:v>1.9983175590936899E-2</c:v>
                </c:pt>
                <c:pt idx="2">
                  <c:v>3.9573839821922398E-2</c:v>
                </c:pt>
                <c:pt idx="3">
                  <c:v>5.8772883380186998E-2</c:v>
                </c:pt>
                <c:pt idx="4">
                  <c:v>7.7588140405957601E-2</c:v>
                </c:pt>
                <c:pt idx="5">
                  <c:v>9.60272795890426E-2</c:v>
                </c:pt>
                <c:pt idx="6">
                  <c:v>0.114097816610781</c:v>
                </c:pt>
                <c:pt idx="7">
                  <c:v>0.131807119707603</c:v>
                </c:pt>
                <c:pt idx="8">
                  <c:v>0.14916241099341601</c:v>
                </c:pt>
                <c:pt idx="9">
                  <c:v>0.16617076786232099</c:v>
                </c:pt>
                <c:pt idx="10">
                  <c:v>0.18283912563598601</c:v>
                </c:pt>
                <c:pt idx="11">
                  <c:v>0.19917428077058999</c:v>
                </c:pt>
                <c:pt idx="12">
                  <c:v>0.21518289385478001</c:v>
                </c:pt>
                <c:pt idx="13">
                  <c:v>0.23087149221678499</c:v>
                </c:pt>
                <c:pt idx="14">
                  <c:v>0.24624647305372999</c:v>
                </c:pt>
                <c:pt idx="15">
                  <c:v>0.26131410598460397</c:v>
                </c:pt>
                <c:pt idx="16">
                  <c:v>0.276080535144965</c:v>
                </c:pt>
                <c:pt idx="17">
                  <c:v>0.29055178154413402</c:v>
                </c:pt>
                <c:pt idx="18">
                  <c:v>0.30473374576649898</c:v>
                </c:pt>
                <c:pt idx="19">
                  <c:v>0.31863221057247998</c:v>
                </c:pt>
                <c:pt idx="20">
                  <c:v>0.33225284321535697</c:v>
                </c:pt>
                <c:pt idx="21">
                  <c:v>0.34560119763499098</c:v>
                </c:pt>
                <c:pt idx="22">
                  <c:v>0.35868271669153401</c:v>
                </c:pt>
                <c:pt idx="23">
                  <c:v>0.37150273443300802</c:v>
                </c:pt>
                <c:pt idx="24">
                  <c:v>0.384066478303557</c:v>
                </c:pt>
                <c:pt idx="25">
                  <c:v>0.39637907126441602</c:v>
                </c:pt>
                <c:pt idx="26">
                  <c:v>0.408445533861371</c:v>
                </c:pt>
                <c:pt idx="27">
                  <c:v>0.420270786269625</c:v>
                </c:pt>
                <c:pt idx="28">
                  <c:v>0.43185965030898599</c:v>
                </c:pt>
                <c:pt idx="29">
                  <c:v>0.44321685141343498</c:v>
                </c:pt>
                <c:pt idx="30">
                  <c:v>0.45434702055846299</c:v>
                </c:pt>
                <c:pt idx="31">
                  <c:v>0.46525469614452197</c:v>
                </c:pt>
                <c:pt idx="32">
                  <c:v>0.47594432584628099</c:v>
                </c:pt>
                <c:pt idx="33">
                  <c:v>0.48642026842838099</c:v>
                </c:pt>
                <c:pt idx="34">
                  <c:v>0.49668679552586897</c:v>
                </c:pt>
                <c:pt idx="35">
                  <c:v>0.50674809338268301</c:v>
                </c:pt>
                <c:pt idx="36">
                  <c:v>0.51660826455808195</c:v>
                </c:pt>
                <c:pt idx="37">
                  <c:v>0.52627132960099399</c:v>
                </c:pt>
                <c:pt idx="38">
                  <c:v>0.53574122868889695</c:v>
                </c:pt>
                <c:pt idx="39">
                  <c:v>0.545021823235319</c:v>
                </c:pt>
                <c:pt idx="40">
                  <c:v>0.55411689746330905</c:v>
                </c:pt>
                <c:pt idx="41">
                  <c:v>0.56303015994905403</c:v>
                </c:pt>
                <c:pt idx="42">
                  <c:v>0.57176524513263904</c:v>
                </c:pt>
                <c:pt idx="43">
                  <c:v>0.58032571480237605</c:v>
                </c:pt>
                <c:pt idx="44">
                  <c:v>0.58871505954611603</c:v>
                </c:pt>
                <c:pt idx="45">
                  <c:v>0.59693670017426403</c:v>
                </c:pt>
                <c:pt idx="46">
                  <c:v>0.60499398911353897</c:v>
                </c:pt>
                <c:pt idx="47">
                  <c:v>0.61289021177536995</c:v>
                </c:pt>
                <c:pt idx="48">
                  <c:v>0.62062858789680297</c:v>
                </c:pt>
                <c:pt idx="49">
                  <c:v>0.62821227285112002</c:v>
                </c:pt>
                <c:pt idx="50">
                  <c:v>0.62821227285112002</c:v>
                </c:pt>
                <c:pt idx="51">
                  <c:v>0.61566085322525399</c:v>
                </c:pt>
                <c:pt idx="52">
                  <c:v>0.60335318737520005</c:v>
                </c:pt>
                <c:pt idx="53">
                  <c:v>0.59129197401568201</c:v>
                </c:pt>
                <c:pt idx="54">
                  <c:v>0.579472125793566</c:v>
                </c:pt>
                <c:pt idx="55">
                  <c:v>0.56788850658091095</c:v>
                </c:pt>
                <c:pt idx="56">
                  <c:v>0.55653638588962195</c:v>
                </c:pt>
                <c:pt idx="57">
                  <c:v>0.54541117383328797</c:v>
                </c:pt>
                <c:pt idx="58">
                  <c:v>0.53450835133845198</c:v>
                </c:pt>
                <c:pt idx="59">
                  <c:v>0.52382347859630896</c:v>
                </c:pt>
                <c:pt idx="60">
                  <c:v>0.51335219144434896</c:v>
                </c:pt>
                <c:pt idx="61">
                  <c:v>0.50309021235032003</c:v>
                </c:pt>
                <c:pt idx="62">
                  <c:v>0.49303336482341598</c:v>
                </c:pt>
                <c:pt idx="63">
                  <c:v>0.48317755742881302</c:v>
                </c:pt>
                <c:pt idx="64">
                  <c:v>0.47351877293058198</c:v>
                </c:pt>
                <c:pt idx="65">
                  <c:v>0.46405307040645699</c:v>
                </c:pt>
                <c:pt idx="66">
                  <c:v>0.45477658820198402</c:v>
                </c:pt>
                <c:pt idx="67">
                  <c:v>0.44568554346529798</c:v>
                </c:pt>
                <c:pt idx="68">
                  <c:v>0.436776229698706</c:v>
                </c:pt>
                <c:pt idx="69">
                  <c:v>0.42804501439331699</c:v>
                </c:pt>
                <c:pt idx="70">
                  <c:v>0.41948833737014402</c:v>
                </c:pt>
                <c:pt idx="71">
                  <c:v>0.41110270950170902</c:v>
                </c:pt>
                <c:pt idx="72">
                  <c:v>0.40288471143662902</c:v>
                </c:pt>
                <c:pt idx="73">
                  <c:v>0.39483099222894402</c:v>
                </c:pt>
                <c:pt idx="74">
                  <c:v>0.386938267939125</c:v>
                </c:pt>
                <c:pt idx="75">
                  <c:v>0.379203320328861</c:v>
                </c:pt>
                <c:pt idx="76">
                  <c:v>0.37162299554059097</c:v>
                </c:pt>
                <c:pt idx="77">
                  <c:v>0.36419420259178897</c:v>
                </c:pt>
                <c:pt idx="78">
                  <c:v>0.35691391217806101</c:v>
                </c:pt>
                <c:pt idx="79">
                  <c:v>0.34977915564208301</c:v>
                </c:pt>
                <c:pt idx="80">
                  <c:v>0.34278702379514903</c:v>
                </c:pt>
                <c:pt idx="81">
                  <c:v>0.335934665615788</c:v>
                </c:pt>
                <c:pt idx="82">
                  <c:v>0.32921928701401199</c:v>
                </c:pt>
                <c:pt idx="83">
                  <c:v>0.32263814972126897</c:v>
                </c:pt>
                <c:pt idx="84">
                  <c:v>0.31618857022256402</c:v>
                </c:pt>
                <c:pt idx="85">
                  <c:v>0.30986791866999103</c:v>
                </c:pt>
                <c:pt idx="86">
                  <c:v>0.303673617787249</c:v>
                </c:pt>
                <c:pt idx="87">
                  <c:v>0.29760314180733999</c:v>
                </c:pt>
                <c:pt idx="88">
                  <c:v>0.29165401544861502</c:v>
                </c:pt>
                <c:pt idx="89">
                  <c:v>0.28582381291388098</c:v>
                </c:pt>
                <c:pt idx="90">
                  <c:v>0.280110156901894</c:v>
                </c:pt>
                <c:pt idx="91">
                  <c:v>0.27451071763403401</c:v>
                </c:pt>
                <c:pt idx="92">
                  <c:v>0.26902321190238299</c:v>
                </c:pt>
                <c:pt idx="93">
                  <c:v>0.26364540213941101</c:v>
                </c:pt>
                <c:pt idx="94">
                  <c:v>0.25837509550802001</c:v>
                </c:pt>
                <c:pt idx="95">
                  <c:v>0.253210143006729</c:v>
                </c:pt>
                <c:pt idx="96">
                  <c:v>0.24814843859267199</c:v>
                </c:pt>
                <c:pt idx="97">
                  <c:v>0.24318791832262601</c:v>
                </c:pt>
                <c:pt idx="98">
                  <c:v>0.23832655951221501</c:v>
                </c:pt>
                <c:pt idx="99">
                  <c:v>0.23356237991057699</c:v>
                </c:pt>
              </c:numCache>
            </c:numRef>
          </c:yVal>
          <c:smooth val="0"/>
          <c:extLst>
            <c:ext xmlns:c16="http://schemas.microsoft.com/office/drawing/2014/chart" uri="{C3380CC4-5D6E-409C-BE32-E72D297353CC}">
              <c16:uniqueId val="{0000000F-C8BD-4F4B-9BA9-1068EB14BB26}"/>
            </c:ext>
          </c:extLst>
        </c:ser>
        <c:ser>
          <c:idx val="16"/>
          <c:order val="16"/>
          <c:tx>
            <c:strRef>
              <c:f>dynamicR!$FB$19</c:f>
              <c:strCache>
                <c:ptCount val="1"/>
                <c:pt idx="0">
                  <c:v>sdTS</c:v>
                </c:pt>
              </c:strCache>
            </c:strRef>
          </c:tx>
          <c:spPr>
            <a:ln w="19050" cap="rnd">
              <a:solidFill>
                <a:schemeClr val="accent5">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dynamicR!$FB$20:$FB$119</c:f>
              <c:numCache>
                <c:formatCode>0.00</c:formatCode>
                <c:ptCount val="100"/>
                <c:pt idx="0">
                  <c:v>0</c:v>
                </c:pt>
                <c:pt idx="1">
                  <c:v>1</c:v>
                </c:pt>
                <c:pt idx="2">
                  <c:v>0.999999999999996</c:v>
                </c:pt>
                <c:pt idx="3">
                  <c:v>0.999999999999995</c:v>
                </c:pt>
                <c:pt idx="4">
                  <c:v>0.999999999999999</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1</c:v>
                </c:pt>
                <c:pt idx="21">
                  <c:v>1</c:v>
                </c:pt>
                <c:pt idx="22">
                  <c:v>0.999999999999998</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-4.8375847479872598E-213</c:v>
                </c:pt>
                <c:pt idx="52">
                  <c:v>1.1653747739756E-214</c:v>
                </c:pt>
                <c:pt idx="53">
                  <c:v>-3.9469592431827202E-214</c:v>
                </c:pt>
                <c:pt idx="54">
                  <c:v>5.1901371535146403E-213</c:v>
                </c:pt>
                <c:pt idx="55">
                  <c:v>-3.2673232161296599E-213</c:v>
                </c:pt>
                <c:pt idx="56">
                  <c:v>1.0652028098270699E-212</c:v>
                </c:pt>
                <c:pt idx="57">
                  <c:v>-3.1042621645419499E-213</c:v>
                </c:pt>
                <c:pt idx="58">
                  <c:v>5.7793768662799197E-214</c:v>
                </c:pt>
                <c:pt idx="59">
                  <c:v>3.5201992559362601E-215</c:v>
                </c:pt>
                <c:pt idx="60">
                  <c:v>-6.5320666764439295E-215</c:v>
                </c:pt>
                <c:pt idx="61">
                  <c:v>3.10937992104612E-215</c:v>
                </c:pt>
                <c:pt idx="62">
                  <c:v>7.7307023205740803E-214</c:v>
                </c:pt>
                <c:pt idx="63">
                  <c:v>6.0040215404449699E-214</c:v>
                </c:pt>
                <c:pt idx="64">
                  <c:v>-4.8671377386406802E-214</c:v>
                </c:pt>
                <c:pt idx="65">
                  <c:v>-1.11321360395794E-214</c:v>
                </c:pt>
                <c:pt idx="66">
                  <c:v>7.7763541394843197E-214</c:v>
                </c:pt>
                <c:pt idx="67">
                  <c:v>-2.5136247404195899E-214</c:v>
                </c:pt>
                <c:pt idx="68">
                  <c:v>-8.5348911002937005E-214</c:v>
                </c:pt>
                <c:pt idx="69">
                  <c:v>7.3109112522867999E-214</c:v>
                </c:pt>
                <c:pt idx="70">
                  <c:v>6.8126686947324401E-214</c:v>
                </c:pt>
                <c:pt idx="71">
                  <c:v>-1.24860240163628E-213</c:v>
                </c:pt>
                <c:pt idx="72">
                  <c:v>-2.0744243047216898E-214</c:v>
                </c:pt>
                <c:pt idx="73">
                  <c:v>1.6503043011686099E-213</c:v>
                </c:pt>
                <c:pt idx="74">
                  <c:v>-5.8496418229238803E-214</c:v>
                </c:pt>
                <c:pt idx="75">
                  <c:v>-1.6881712424691499E-213</c:v>
                </c:pt>
                <c:pt idx="76">
                  <c:v>1.63091358415465E-213</c:v>
                </c:pt>
                <c:pt idx="77">
                  <c:v>-1.16913142462151E-213</c:v>
                </c:pt>
                <c:pt idx="78">
                  <c:v>4.5710423604108798E-214</c:v>
                </c:pt>
                <c:pt idx="79">
                  <c:v>-1.0577842974114199E-214</c:v>
                </c:pt>
                <c:pt idx="80">
                  <c:v>1.0015269717553099E-215</c:v>
                </c:pt>
                <c:pt idx="81">
                  <c:v>5.3468971107532897E-221</c:v>
                </c:pt>
                <c:pt idx="82">
                  <c:v>-1.6601510253373999E-221</c:v>
                </c:pt>
                <c:pt idx="83">
                  <c:v>3.5326837502163701E-222</c:v>
                </c:pt>
                <c:pt idx="84">
                  <c:v>-4.6283445274476399E-223</c:v>
                </c:pt>
                <c:pt idx="85">
                  <c:v>2.7528719850617598E-224</c:v>
                </c:pt>
                <c:pt idx="86">
                  <c:v>6.2760333381127998E-229</c:v>
                </c:pt>
                <c:pt idx="87">
                  <c:v>-1.2942492006259701E-229</c:v>
                </c:pt>
                <c:pt idx="88">
                  <c:v>1.8923776478376799E-230</c:v>
                </c:pt>
                <c:pt idx="89">
                  <c:v>-1.7451916720765199E-231</c:v>
                </c:pt>
                <c:pt idx="90">
                  <c:v>7.56548996772744E-233</c:v>
                </c:pt>
                <c:pt idx="91">
                  <c:v>4.9354716024217796E-237</c:v>
                </c:pt>
                <c:pt idx="92">
                  <c:v>-7.6604612827724394E-238</c:v>
                </c:pt>
                <c:pt idx="93">
                  <c:v>8.5467953893413107E-239</c:v>
                </c:pt>
                <c:pt idx="94">
                  <c:v>-6.0968083959007396E-240</c:v>
                </c:pt>
                <c:pt idx="95">
                  <c:v>2.0783957885022601E-241</c:v>
                </c:pt>
                <c:pt idx="96">
                  <c:v>3.1092783632673201E-245</c:v>
                </c:pt>
                <c:pt idx="97">
                  <c:v>-3.8677479130812E-246</c:v>
                </c:pt>
                <c:pt idx="98">
                  <c:v>3.4920667903246902E-247</c:v>
                </c:pt>
                <c:pt idx="99">
                  <c:v>-2.0328468326340699E-248</c:v>
                </c:pt>
              </c:numCache>
            </c:numRef>
          </c:yVal>
          <c:smooth val="0"/>
          <c:extLst>
            <c:ext xmlns:c16="http://schemas.microsoft.com/office/drawing/2014/chart" uri="{C3380CC4-5D6E-409C-BE32-E72D297353CC}">
              <c16:uniqueId val="{00000010-C8BD-4F4B-9BA9-1068EB14BB26}"/>
            </c:ext>
          </c:extLst>
        </c:ser>
        <c:ser>
          <c:idx val="17"/>
          <c:order val="17"/>
          <c:tx>
            <c:strRef>
              <c:f>dynamicR!$FC$19</c:f>
              <c:strCache>
                <c:ptCount val="1"/>
                <c:pt idx="0">
                  <c:v>sdTA</c:v>
                </c:pt>
              </c:strCache>
            </c:strRef>
          </c:tx>
          <c:spPr>
            <a:ln w="19050" cap="rnd">
              <a:solidFill>
                <a:schemeClr val="accent6">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dynamicR!$FC$20:$FC$119</c:f>
              <c:numCache>
                <c:formatCode>0.00</c:formatCode>
                <c:ptCount val="100"/>
                <c:pt idx="0">
                  <c:v>0</c:v>
                </c:pt>
                <c:pt idx="1">
                  <c:v>1</c:v>
                </c:pt>
                <c:pt idx="2">
                  <c:v>0.999999999999995</c:v>
                </c:pt>
                <c:pt idx="3">
                  <c:v>0.99999999999999201</c:v>
                </c:pt>
                <c:pt idx="4">
                  <c:v>0.999999999999999</c:v>
                </c:pt>
                <c:pt idx="5">
                  <c:v>1</c:v>
                </c:pt>
                <c:pt idx="6">
                  <c:v>1</c:v>
                </c:pt>
                <c:pt idx="7">
                  <c:v>0.999999999999999</c:v>
                </c:pt>
                <c:pt idx="8">
                  <c:v>1</c:v>
                </c:pt>
                <c:pt idx="9">
                  <c:v>0.999999999999999</c:v>
                </c:pt>
                <c:pt idx="10">
                  <c:v>1</c:v>
                </c:pt>
                <c:pt idx="11">
                  <c:v>1</c:v>
                </c:pt>
                <c:pt idx="12">
                  <c:v>1</c:v>
                </c:pt>
                <c:pt idx="13">
                  <c:v>1</c:v>
                </c:pt>
                <c:pt idx="14">
                  <c:v>0.999999999999999</c:v>
                </c:pt>
                <c:pt idx="15">
                  <c:v>1</c:v>
                </c:pt>
                <c:pt idx="16">
                  <c:v>1</c:v>
                </c:pt>
                <c:pt idx="17">
                  <c:v>0.999999999999999</c:v>
                </c:pt>
                <c:pt idx="18">
                  <c:v>1</c:v>
                </c:pt>
                <c:pt idx="19">
                  <c:v>1</c:v>
                </c:pt>
                <c:pt idx="20">
                  <c:v>0.999999999999997</c:v>
                </c:pt>
                <c:pt idx="21">
                  <c:v>0.999999999999999</c:v>
                </c:pt>
                <c:pt idx="22">
                  <c:v>1.00000000000001</c:v>
                </c:pt>
                <c:pt idx="23">
                  <c:v>0.999999999999997</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0.999999999999999</c:v>
                </c:pt>
                <c:pt idx="38">
                  <c:v>1</c:v>
                </c:pt>
                <c:pt idx="39">
                  <c:v>1</c:v>
                </c:pt>
                <c:pt idx="40">
                  <c:v>1</c:v>
                </c:pt>
                <c:pt idx="41">
                  <c:v>1</c:v>
                </c:pt>
                <c:pt idx="42">
                  <c:v>1</c:v>
                </c:pt>
                <c:pt idx="43">
                  <c:v>1</c:v>
                </c:pt>
                <c:pt idx="44">
                  <c:v>1</c:v>
                </c:pt>
                <c:pt idx="45">
                  <c:v>1</c:v>
                </c:pt>
                <c:pt idx="46">
                  <c:v>1</c:v>
                </c:pt>
                <c:pt idx="47">
                  <c:v>1</c:v>
                </c:pt>
                <c:pt idx="48">
                  <c:v>1</c:v>
                </c:pt>
                <c:pt idx="49">
                  <c:v>1</c:v>
                </c:pt>
                <c:pt idx="50">
                  <c:v>1</c:v>
                </c:pt>
                <c:pt idx="51">
                  <c:v>-7.8638576965762895E-29</c:v>
                </c:pt>
                <c:pt idx="52">
                  <c:v>-2.25351417247286E-31</c:v>
                </c:pt>
                <c:pt idx="53">
                  <c:v>5.6535186943641697E-30</c:v>
                </c:pt>
                <c:pt idx="54">
                  <c:v>3.5659071332748599E-28</c:v>
                </c:pt>
                <c:pt idx="55">
                  <c:v>-1.94105791299213E-28</c:v>
                </c:pt>
                <c:pt idx="56">
                  <c:v>6.6819614463082103E-28</c:v>
                </c:pt>
                <c:pt idx="57">
                  <c:v>-1.9500834848763701E-28</c:v>
                </c:pt>
                <c:pt idx="58">
                  <c:v>3.6673867569878897E-29</c:v>
                </c:pt>
                <c:pt idx="59">
                  <c:v>2.1622018813752898E-30</c:v>
                </c:pt>
                <c:pt idx="60">
                  <c:v>-4.0719129121231901E-30</c:v>
                </c:pt>
                <c:pt idx="61">
                  <c:v>2.0622343481380699E-30</c:v>
                </c:pt>
                <c:pt idx="62">
                  <c:v>4.88337788721296E-29</c:v>
                </c:pt>
                <c:pt idx="63">
                  <c:v>3.7955679588897401E-29</c:v>
                </c:pt>
                <c:pt idx="64">
                  <c:v>-3.0656761217148002E-29</c:v>
                </c:pt>
                <c:pt idx="65">
                  <c:v>-7.0513430783105296E-30</c:v>
                </c:pt>
                <c:pt idx="66">
                  <c:v>4.90513114512838E-29</c:v>
                </c:pt>
                <c:pt idx="67">
                  <c:v>-1.5828091090844099E-29</c:v>
                </c:pt>
                <c:pt idx="68">
                  <c:v>-5.3861776053446299E-29</c:v>
                </c:pt>
                <c:pt idx="69">
                  <c:v>4.6108928649362103E-29</c:v>
                </c:pt>
                <c:pt idx="70">
                  <c:v>4.3007607256269401E-29</c:v>
                </c:pt>
                <c:pt idx="71">
                  <c:v>-7.8789621192248697E-29</c:v>
                </c:pt>
                <c:pt idx="72">
                  <c:v>-1.31019729212738E-29</c:v>
                </c:pt>
                <c:pt idx="73">
                  <c:v>1.0416549861523499E-28</c:v>
                </c:pt>
                <c:pt idx="74">
                  <c:v>-3.6935285615756199E-29</c:v>
                </c:pt>
                <c:pt idx="75">
                  <c:v>-1.0656573882534301E-28</c:v>
                </c:pt>
                <c:pt idx="76">
                  <c:v>1.0298280628660299E-28</c:v>
                </c:pt>
                <c:pt idx="77">
                  <c:v>-7.3893679732506099E-29</c:v>
                </c:pt>
                <c:pt idx="78">
                  <c:v>2.89837143166677E-29</c:v>
                </c:pt>
                <c:pt idx="79">
                  <c:v>-6.7826647380385596E-30</c:v>
                </c:pt>
                <c:pt idx="80">
                  <c:v>6.9398104721213904E-31</c:v>
                </c:pt>
                <c:pt idx="81">
                  <c:v>-2.6532595200268398E-32</c:v>
                </c:pt>
                <c:pt idx="82">
                  <c:v>8.2374437150479605E-33</c:v>
                </c:pt>
                <c:pt idx="83">
                  <c:v>-1.75248756518552E-33</c:v>
                </c:pt>
                <c:pt idx="84">
                  <c:v>2.2940979703464002E-34</c:v>
                </c:pt>
                <c:pt idx="85">
                  <c:v>-1.3565367622591699E-35</c:v>
                </c:pt>
                <c:pt idx="86">
                  <c:v>-2.6528211261490198E-38</c:v>
                </c:pt>
                <c:pt idx="87">
                  <c:v>5.4683914137393201E-39</c:v>
                </c:pt>
                <c:pt idx="88">
                  <c:v>-7.9912227946407395E-40</c:v>
                </c:pt>
                <c:pt idx="89">
                  <c:v>7.3541087866229001E-41</c:v>
                </c:pt>
                <c:pt idx="90">
                  <c:v>-3.1414841605844199E-42</c:v>
                </c:pt>
                <c:pt idx="91">
                  <c:v>-1.1558932814923899E-44</c:v>
                </c:pt>
                <c:pt idx="92">
                  <c:v>1.7911914215925601E-45</c:v>
                </c:pt>
                <c:pt idx="93">
                  <c:v>-1.9958917394671998E-46</c:v>
                </c:pt>
                <c:pt idx="94">
                  <c:v>1.4166753333565E-47</c:v>
                </c:pt>
                <c:pt idx="95">
                  <c:v>-4.6630806586148201E-49</c:v>
                </c:pt>
                <c:pt idx="96">
                  <c:v>-3.2958951221496603E-51</c:v>
                </c:pt>
                <c:pt idx="97">
                  <c:v>4.0960978908642099E-52</c:v>
                </c:pt>
                <c:pt idx="98">
                  <c:v>-3.6882974200606602E-53</c:v>
                </c:pt>
                <c:pt idx="99">
                  <c:v>2.1244396759534201E-54</c:v>
                </c:pt>
              </c:numCache>
            </c:numRef>
          </c:yVal>
          <c:smooth val="0"/>
          <c:extLst>
            <c:ext xmlns:c16="http://schemas.microsoft.com/office/drawing/2014/chart" uri="{C3380CC4-5D6E-409C-BE32-E72D297353CC}">
              <c16:uniqueId val="{00000011-C8BD-4F4B-9BA9-1068EB14BB26}"/>
            </c:ext>
          </c:extLst>
        </c:ser>
        <c:ser>
          <c:idx val="18"/>
          <c:order val="18"/>
          <c:tx>
            <c:strRef>
              <c:f>dynamicR!$FD$19</c:f>
              <c:strCache>
                <c:ptCount val="1"/>
                <c:pt idx="0">
                  <c:v>sdTP</c:v>
                </c:pt>
              </c:strCache>
            </c:strRef>
          </c:tx>
          <c:spPr>
            <a:ln w="19050" cap="rnd">
              <a:solidFill>
                <a:schemeClr val="accent1">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dynamicR!$FD$20:$FD$119</c:f>
              <c:numCache>
                <c:formatCode>0.00</c:formatCode>
                <c:ptCount val="100"/>
                <c:pt idx="0">
                  <c:v>0</c:v>
                </c:pt>
                <c:pt idx="1">
                  <c:v>1</c:v>
                </c:pt>
                <c:pt idx="2">
                  <c:v>0.999999999999996</c:v>
                </c:pt>
                <c:pt idx="3">
                  <c:v>0.999999999999994</c:v>
                </c:pt>
                <c:pt idx="4">
                  <c:v>0.999999999999997</c:v>
                </c:pt>
                <c:pt idx="5">
                  <c:v>1</c:v>
                </c:pt>
                <c:pt idx="6">
                  <c:v>1</c:v>
                </c:pt>
                <c:pt idx="7">
                  <c:v>1</c:v>
                </c:pt>
                <c:pt idx="8">
                  <c:v>1</c:v>
                </c:pt>
                <c:pt idx="9">
                  <c:v>1</c:v>
                </c:pt>
                <c:pt idx="10">
                  <c:v>1</c:v>
                </c:pt>
                <c:pt idx="11">
                  <c:v>1</c:v>
                </c:pt>
                <c:pt idx="12">
                  <c:v>1</c:v>
                </c:pt>
                <c:pt idx="13">
                  <c:v>1</c:v>
                </c:pt>
                <c:pt idx="14">
                  <c:v>0.999999999999999</c:v>
                </c:pt>
                <c:pt idx="15">
                  <c:v>0.999999999999999</c:v>
                </c:pt>
                <c:pt idx="16">
                  <c:v>0.999999999999999</c:v>
                </c:pt>
                <c:pt idx="17">
                  <c:v>1</c:v>
                </c:pt>
                <c:pt idx="18">
                  <c:v>1</c:v>
                </c:pt>
                <c:pt idx="19">
                  <c:v>0.999999999999999</c:v>
                </c:pt>
                <c:pt idx="20">
                  <c:v>0.999999999999999</c:v>
                </c:pt>
                <c:pt idx="21">
                  <c:v>1</c:v>
                </c:pt>
                <c:pt idx="22">
                  <c:v>1</c:v>
                </c:pt>
                <c:pt idx="23">
                  <c:v>0.999999999999999</c:v>
                </c:pt>
                <c:pt idx="24">
                  <c:v>1</c:v>
                </c:pt>
                <c:pt idx="25">
                  <c:v>0.999999999999999</c:v>
                </c:pt>
                <c:pt idx="26">
                  <c:v>1</c:v>
                </c:pt>
                <c:pt idx="27">
                  <c:v>0.999999999999999</c:v>
                </c:pt>
                <c:pt idx="28">
                  <c:v>0.999999999999999</c:v>
                </c:pt>
                <c:pt idx="29">
                  <c:v>1</c:v>
                </c:pt>
                <c:pt idx="30">
                  <c:v>1</c:v>
                </c:pt>
                <c:pt idx="31">
                  <c:v>1</c:v>
                </c:pt>
                <c:pt idx="32">
                  <c:v>1</c:v>
                </c:pt>
                <c:pt idx="33">
                  <c:v>1</c:v>
                </c:pt>
                <c:pt idx="34">
                  <c:v>1</c:v>
                </c:pt>
                <c:pt idx="35">
                  <c:v>0.999999999999999</c:v>
                </c:pt>
                <c:pt idx="36">
                  <c:v>1</c:v>
                </c:pt>
                <c:pt idx="37">
                  <c:v>0.999999999999999</c:v>
                </c:pt>
                <c:pt idx="38">
                  <c:v>1</c:v>
                </c:pt>
                <c:pt idx="39">
                  <c:v>0.999999999999999</c:v>
                </c:pt>
                <c:pt idx="40">
                  <c:v>0.999999999999999</c:v>
                </c:pt>
                <c:pt idx="41">
                  <c:v>1</c:v>
                </c:pt>
                <c:pt idx="42">
                  <c:v>0.999999999999999</c:v>
                </c:pt>
                <c:pt idx="43">
                  <c:v>0.999999999999999</c:v>
                </c:pt>
                <c:pt idx="44">
                  <c:v>1</c:v>
                </c:pt>
                <c:pt idx="45">
                  <c:v>0.999999999999999</c:v>
                </c:pt>
                <c:pt idx="46">
                  <c:v>1</c:v>
                </c:pt>
                <c:pt idx="47">
                  <c:v>1</c:v>
                </c:pt>
                <c:pt idx="48">
                  <c:v>1</c:v>
                </c:pt>
                <c:pt idx="49">
                  <c:v>0.999999999999999</c:v>
                </c:pt>
                <c:pt idx="50">
                  <c:v>0.999999999999999</c:v>
                </c:pt>
                <c:pt idx="51">
                  <c:v>-1.06099689698067E-19</c:v>
                </c:pt>
                <c:pt idx="52">
                  <c:v>1.5247497704357401E-23</c:v>
                </c:pt>
                <c:pt idx="53">
                  <c:v>5.8632149899616502E-21</c:v>
                </c:pt>
                <c:pt idx="54">
                  <c:v>4.3885211028270203E-19</c:v>
                </c:pt>
                <c:pt idx="55">
                  <c:v>-2.3974771153641502E-19</c:v>
                </c:pt>
                <c:pt idx="56">
                  <c:v>8.2381011191615705E-19</c:v>
                </c:pt>
                <c:pt idx="57">
                  <c:v>-2.40138147595642E-19</c:v>
                </c:pt>
                <c:pt idx="58">
                  <c:v>4.4991463485278098E-20</c:v>
                </c:pt>
                <c:pt idx="59">
                  <c:v>2.7413258651252499E-21</c:v>
                </c:pt>
                <c:pt idx="60">
                  <c:v>-5.0860325369924001E-21</c:v>
                </c:pt>
                <c:pt idx="61">
                  <c:v>2.41946534171541E-21</c:v>
                </c:pt>
                <c:pt idx="62">
                  <c:v>6.0185030010429299E-20</c:v>
                </c:pt>
                <c:pt idx="63">
                  <c:v>4.6742112063271498E-20</c:v>
                </c:pt>
                <c:pt idx="64">
                  <c:v>-3.7892742504247501E-20</c:v>
                </c:pt>
                <c:pt idx="65">
                  <c:v>-8.6663398356523903E-21</c:v>
                </c:pt>
                <c:pt idx="66">
                  <c:v>6.0541339574303105E-20</c:v>
                </c:pt>
                <c:pt idx="67">
                  <c:v>-1.9569698072283E-20</c:v>
                </c:pt>
                <c:pt idx="68">
                  <c:v>-6.6446457886292701E-20</c:v>
                </c:pt>
                <c:pt idx="69">
                  <c:v>5.6917804153428297E-20</c:v>
                </c:pt>
                <c:pt idx="70">
                  <c:v>5.3038303129228597E-20</c:v>
                </c:pt>
                <c:pt idx="71">
                  <c:v>-9.7207193871381695E-20</c:v>
                </c:pt>
                <c:pt idx="72">
                  <c:v>-1.61498230153687E-20</c:v>
                </c:pt>
                <c:pt idx="73">
                  <c:v>1.28480460886396E-19</c:v>
                </c:pt>
                <c:pt idx="74">
                  <c:v>-4.55408106152137E-20</c:v>
                </c:pt>
                <c:pt idx="75">
                  <c:v>-1.31428371620317E-19</c:v>
                </c:pt>
                <c:pt idx="76">
                  <c:v>1.2697031866211301E-19</c:v>
                </c:pt>
                <c:pt idx="77">
                  <c:v>-9.1018643493104105E-20</c:v>
                </c:pt>
                <c:pt idx="78">
                  <c:v>3.5585071265135803E-20</c:v>
                </c:pt>
                <c:pt idx="79">
                  <c:v>-8.23377538071274E-21</c:v>
                </c:pt>
                <c:pt idx="80">
                  <c:v>7.7892804939253199E-22</c:v>
                </c:pt>
                <c:pt idx="81">
                  <c:v>3.41775326741333E-25</c:v>
                </c:pt>
                <c:pt idx="82">
                  <c:v>-1.0611195579525099E-25</c:v>
                </c:pt>
                <c:pt idx="83">
                  <c:v>2.2576571940833101E-26</c:v>
                </c:pt>
                <c:pt idx="84">
                  <c:v>-2.9562079229953298E-27</c:v>
                </c:pt>
                <c:pt idx="85">
                  <c:v>1.7514344197170401E-28</c:v>
                </c:pt>
                <c:pt idx="86">
                  <c:v>2.30484190216531E-31</c:v>
                </c:pt>
                <c:pt idx="87">
                  <c:v>-4.7512030160662102E-32</c:v>
                </c:pt>
                <c:pt idx="88">
                  <c:v>6.94370615182577E-33</c:v>
                </c:pt>
                <c:pt idx="89">
                  <c:v>-6.3920601521822696E-34</c:v>
                </c:pt>
                <c:pt idx="90">
                  <c:v>2.73637453674486E-35</c:v>
                </c:pt>
                <c:pt idx="91">
                  <c:v>8.62009910146547E-38</c:v>
                </c:pt>
                <c:pt idx="92">
                  <c:v>-1.33582632338031E-38</c:v>
                </c:pt>
                <c:pt idx="93">
                  <c:v>1.4886275367613001E-39</c:v>
                </c:pt>
                <c:pt idx="94">
                  <c:v>-1.05701359281482E-40</c:v>
                </c:pt>
                <c:pt idx="95">
                  <c:v>3.4884859108069603E-42</c:v>
                </c:pt>
                <c:pt idx="96">
                  <c:v>2.2798050717102499E-44</c:v>
                </c:pt>
                <c:pt idx="97">
                  <c:v>-2.83342246853525E-45</c:v>
                </c:pt>
                <c:pt idx="98">
                  <c:v>2.5516237383481801E-46</c:v>
                </c:pt>
                <c:pt idx="99">
                  <c:v>-1.4703885572719801E-47</c:v>
                </c:pt>
              </c:numCache>
            </c:numRef>
          </c:yVal>
          <c:smooth val="0"/>
          <c:extLst>
            <c:ext xmlns:c16="http://schemas.microsoft.com/office/drawing/2014/chart" uri="{C3380CC4-5D6E-409C-BE32-E72D297353CC}">
              <c16:uniqueId val="{00000012-C8BD-4F4B-9BA9-1068EB14BB26}"/>
            </c:ext>
          </c:extLst>
        </c:ser>
        <c:ser>
          <c:idx val="19"/>
          <c:order val="19"/>
          <c:tx>
            <c:strRef>
              <c:f>dynamicR!$FE$19</c:f>
              <c:strCache>
                <c:ptCount val="1"/>
                <c:pt idx="0">
                  <c:v>sTD</c:v>
                </c:pt>
              </c:strCache>
            </c:strRef>
          </c:tx>
          <c:spPr>
            <a:ln w="19050" cap="rnd">
              <a:solidFill>
                <a:schemeClr val="accent2">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dynamicR!$FE$20:$FE$119</c:f>
              <c:numCache>
                <c:formatCode>0.00</c:formatCode>
                <c:ptCount val="100"/>
                <c:pt idx="0">
                  <c:v>0</c:v>
                </c:pt>
                <c:pt idx="1">
                  <c:v>0.99999999997358402</c:v>
                </c:pt>
                <c:pt idx="2">
                  <c:v>0.99999999997410804</c:v>
                </c:pt>
                <c:pt idx="3">
                  <c:v>0.99999999997462397</c:v>
                </c:pt>
                <c:pt idx="4">
                  <c:v>0.999999999975136</c:v>
                </c:pt>
                <c:pt idx="5">
                  <c:v>0.99999999997563405</c:v>
                </c:pt>
                <c:pt idx="6">
                  <c:v>0.99999999997612099</c:v>
                </c:pt>
                <c:pt idx="7">
                  <c:v>0.99999999997659805</c:v>
                </c:pt>
                <c:pt idx="8">
                  <c:v>0.99999999997706701</c:v>
                </c:pt>
                <c:pt idx="9">
                  <c:v>0.99999999997752398</c:v>
                </c:pt>
                <c:pt idx="10">
                  <c:v>0.99999999997797395</c:v>
                </c:pt>
                <c:pt idx="11">
                  <c:v>0.99999999997841404</c:v>
                </c:pt>
                <c:pt idx="12">
                  <c:v>0.99999999997884603</c:v>
                </c:pt>
                <c:pt idx="13">
                  <c:v>0.99999999997926803</c:v>
                </c:pt>
                <c:pt idx="14">
                  <c:v>0.99999999997968303</c:v>
                </c:pt>
                <c:pt idx="15">
                  <c:v>0.99999999998009004</c:v>
                </c:pt>
                <c:pt idx="16">
                  <c:v>0.99999999998048705</c:v>
                </c:pt>
                <c:pt idx="17">
                  <c:v>0.99999999998087596</c:v>
                </c:pt>
                <c:pt idx="18">
                  <c:v>0.99999999998126099</c:v>
                </c:pt>
                <c:pt idx="19">
                  <c:v>0.99999999998163502</c:v>
                </c:pt>
                <c:pt idx="20">
                  <c:v>0.99999999998199895</c:v>
                </c:pt>
                <c:pt idx="21">
                  <c:v>0.999999999982362</c:v>
                </c:pt>
                <c:pt idx="22">
                  <c:v>0.99999999998271805</c:v>
                </c:pt>
                <c:pt idx="23">
                  <c:v>0.999999999983057</c:v>
                </c:pt>
                <c:pt idx="24">
                  <c:v>0.99999999998339895</c:v>
                </c:pt>
                <c:pt idx="25">
                  <c:v>0.99999999998372902</c:v>
                </c:pt>
                <c:pt idx="26">
                  <c:v>0.99999999998405498</c:v>
                </c:pt>
                <c:pt idx="27">
                  <c:v>0.99999999998437406</c:v>
                </c:pt>
                <c:pt idx="28">
                  <c:v>0.99999999998468603</c:v>
                </c:pt>
                <c:pt idx="29">
                  <c:v>0.99999999998499201</c:v>
                </c:pt>
                <c:pt idx="30">
                  <c:v>0.99999999998529199</c:v>
                </c:pt>
                <c:pt idx="31">
                  <c:v>0.99999999998558597</c:v>
                </c:pt>
                <c:pt idx="32">
                  <c:v>0.99999999998587497</c:v>
                </c:pt>
                <c:pt idx="33">
                  <c:v>0.99999999998615696</c:v>
                </c:pt>
                <c:pt idx="34">
                  <c:v>0.99999999998643296</c:v>
                </c:pt>
                <c:pt idx="35">
                  <c:v>0.99999999998670497</c:v>
                </c:pt>
                <c:pt idx="36">
                  <c:v>0.99999999998697098</c:v>
                </c:pt>
                <c:pt idx="37">
                  <c:v>0.99999999998723099</c:v>
                </c:pt>
                <c:pt idx="38">
                  <c:v>0.99999999998748601</c:v>
                </c:pt>
                <c:pt idx="39">
                  <c:v>0.99999999998773703</c:v>
                </c:pt>
                <c:pt idx="40">
                  <c:v>0.99999999998798195</c:v>
                </c:pt>
                <c:pt idx="41">
                  <c:v>0.99999999998822198</c:v>
                </c:pt>
                <c:pt idx="42">
                  <c:v>0.99999999998845701</c:v>
                </c:pt>
                <c:pt idx="43">
                  <c:v>0.99999999998868805</c:v>
                </c:pt>
                <c:pt idx="44">
                  <c:v>0.99999999998891398</c:v>
                </c:pt>
                <c:pt idx="45">
                  <c:v>0.99999999998913602</c:v>
                </c:pt>
                <c:pt idx="46">
                  <c:v>0.99999999998935296</c:v>
                </c:pt>
                <c:pt idx="47">
                  <c:v>0.99999999998956601</c:v>
                </c:pt>
                <c:pt idx="48">
                  <c:v>0.99999999998977396</c:v>
                </c:pt>
                <c:pt idx="49">
                  <c:v>0.99999999998997902</c:v>
                </c:pt>
                <c:pt idx="50">
                  <c:v>0.99999999998997902</c:v>
                </c:pt>
                <c:pt idx="51">
                  <c:v>1.65945539370611E-11</c:v>
                </c:pt>
                <c:pt idx="52">
                  <c:v>1.6262812486036398E-11</c:v>
                </c:pt>
                <c:pt idx="53">
                  <c:v>1.59377139279709E-11</c:v>
                </c:pt>
                <c:pt idx="54">
                  <c:v>1.5619121138089499E-11</c:v>
                </c:pt>
                <c:pt idx="55">
                  <c:v>1.53068956769387E-11</c:v>
                </c:pt>
                <c:pt idx="56">
                  <c:v>1.5000910038701602E-11</c:v>
                </c:pt>
                <c:pt idx="57">
                  <c:v>1.4701040507347E-11</c:v>
                </c:pt>
                <c:pt idx="58">
                  <c:v>1.44071652755389E-11</c:v>
                </c:pt>
                <c:pt idx="59">
                  <c:v>1.41191646724451E-11</c:v>
                </c:pt>
                <c:pt idx="60">
                  <c:v>1.3836921066207399E-11</c:v>
                </c:pt>
                <c:pt idx="61">
                  <c:v>1.35603191600041E-11</c:v>
                </c:pt>
                <c:pt idx="62">
                  <c:v>1.3289246380489699E-11</c:v>
                </c:pt>
                <c:pt idx="63">
                  <c:v>1.3023592446921899E-11</c:v>
                </c:pt>
                <c:pt idx="64">
                  <c:v>1.27632490785191E-11</c:v>
                </c:pt>
                <c:pt idx="65">
                  <c:v>1.2508110051462501E-11</c:v>
                </c:pt>
                <c:pt idx="66">
                  <c:v>1.22580712785214E-11</c:v>
                </c:pt>
                <c:pt idx="67">
                  <c:v>1.20130307965144E-11</c:v>
                </c:pt>
                <c:pt idx="68">
                  <c:v>1.17728887003142E-11</c:v>
                </c:pt>
                <c:pt idx="69">
                  <c:v>1.15375470790915E-11</c:v>
                </c:pt>
                <c:pt idx="70">
                  <c:v>1.13069099716009E-11</c:v>
                </c:pt>
                <c:pt idx="71">
                  <c:v>1.1080883331723E-11</c:v>
                </c:pt>
                <c:pt idx="72">
                  <c:v>1.08593749940868E-11</c:v>
                </c:pt>
                <c:pt idx="73">
                  <c:v>1.0642294637124501E-11</c:v>
                </c:pt>
                <c:pt idx="74">
                  <c:v>1.0429553745363001E-11</c:v>
                </c:pt>
                <c:pt idx="75">
                  <c:v>1.0221065574243299E-11</c:v>
                </c:pt>
                <c:pt idx="76">
                  <c:v>1.00167451145286E-11</c:v>
                </c:pt>
                <c:pt idx="77">
                  <c:v>9.8165090517184201E-12</c:v>
                </c:pt>
                <c:pt idx="78">
                  <c:v>9.6202757337883302E-12</c:v>
                </c:pt>
                <c:pt idx="79">
                  <c:v>9.4279651433977997E-12</c:v>
                </c:pt>
                <c:pt idx="80">
                  <c:v>9.2394988661265598E-12</c:v>
                </c:pt>
                <c:pt idx="81">
                  <c:v>9.0548000553969793E-12</c:v>
                </c:pt>
                <c:pt idx="82">
                  <c:v>8.8737933991654602E-12</c:v>
                </c:pt>
                <c:pt idx="83">
                  <c:v>8.6964050900021996E-12</c:v>
                </c:pt>
                <c:pt idx="84">
                  <c:v>8.5225627963076398E-12</c:v>
                </c:pt>
                <c:pt idx="85">
                  <c:v>8.3521956330276204E-12</c:v>
                </c:pt>
                <c:pt idx="86">
                  <c:v>8.1852341321256995E-12</c:v>
                </c:pt>
                <c:pt idx="87">
                  <c:v>8.0216102139498007E-12</c:v>
                </c:pt>
                <c:pt idx="88">
                  <c:v>7.8612571596325404E-12</c:v>
                </c:pt>
                <c:pt idx="89">
                  <c:v>7.7041095841129904E-12</c:v>
                </c:pt>
                <c:pt idx="90">
                  <c:v>7.5501034094926204E-12</c:v>
                </c:pt>
                <c:pt idx="91">
                  <c:v>7.3991758388000496E-12</c:v>
                </c:pt>
                <c:pt idx="92">
                  <c:v>7.2512653303330097E-12</c:v>
                </c:pt>
                <c:pt idx="93">
                  <c:v>7.1063115725824697E-12</c:v>
                </c:pt>
                <c:pt idx="94">
                  <c:v>6.9642554597058799E-12</c:v>
                </c:pt>
                <c:pt idx="95">
                  <c:v>6.8250390674080302E-12</c:v>
                </c:pt>
                <c:pt idx="96">
                  <c:v>6.68860562930246E-12</c:v>
                </c:pt>
                <c:pt idx="97">
                  <c:v>6.5548995137586199E-12</c:v>
                </c:pt>
                <c:pt idx="98">
                  <c:v>6.4238662012389796E-12</c:v>
                </c:pt>
                <c:pt idx="99">
                  <c:v>6.2954522620530299E-12</c:v>
                </c:pt>
              </c:numCache>
            </c:numRef>
          </c:yVal>
          <c:smooth val="0"/>
          <c:extLst>
            <c:ext xmlns:c16="http://schemas.microsoft.com/office/drawing/2014/chart" uri="{C3380CC4-5D6E-409C-BE32-E72D297353CC}">
              <c16:uniqueId val="{00000013-C8BD-4F4B-9BA9-1068EB14BB26}"/>
            </c:ext>
          </c:extLst>
        </c:ser>
        <c:ser>
          <c:idx val="20"/>
          <c:order val="20"/>
          <c:tx>
            <c:strRef>
              <c:f>dynamicR!$FF$19</c:f>
              <c:strCache>
                <c:ptCount val="1"/>
                <c:pt idx="0">
                  <c:v>sTS</c:v>
                </c:pt>
              </c:strCache>
            </c:strRef>
          </c:tx>
          <c:spPr>
            <a:ln w="19050" cap="rnd">
              <a:solidFill>
                <a:schemeClr val="accent3">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dynamicR!$FF$20:$FF$119</c:f>
              <c:numCache>
                <c:formatCode>0.00</c:formatCode>
                <c:ptCount val="100"/>
                <c:pt idx="0">
                  <c:v>0</c:v>
                </c:pt>
                <c:pt idx="1">
                  <c:v>1</c:v>
                </c:pt>
                <c:pt idx="2">
                  <c:v>0.999999999999997</c:v>
                </c:pt>
                <c:pt idx="3">
                  <c:v>0.999999999999995</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0.999999999999999</c:v>
                </c:pt>
                <c:pt idx="18">
                  <c:v>1</c:v>
                </c:pt>
                <c:pt idx="19">
                  <c:v>0.999999999999999</c:v>
                </c:pt>
                <c:pt idx="20">
                  <c:v>0.999999999999998</c:v>
                </c:pt>
                <c:pt idx="21">
                  <c:v>1</c:v>
                </c:pt>
                <c:pt idx="22">
                  <c:v>1</c:v>
                </c:pt>
                <c:pt idx="23">
                  <c:v>0.999999999999999</c:v>
                </c:pt>
                <c:pt idx="24">
                  <c:v>1</c:v>
                </c:pt>
                <c:pt idx="25">
                  <c:v>0.999999999999999</c:v>
                </c:pt>
                <c:pt idx="26">
                  <c:v>1</c:v>
                </c:pt>
                <c:pt idx="27">
                  <c:v>0.999999999999999</c:v>
                </c:pt>
                <c:pt idx="28">
                  <c:v>1</c:v>
                </c:pt>
                <c:pt idx="29">
                  <c:v>0.999999999999999</c:v>
                </c:pt>
                <c:pt idx="30">
                  <c:v>1</c:v>
                </c:pt>
                <c:pt idx="31">
                  <c:v>1</c:v>
                </c:pt>
                <c:pt idx="32">
                  <c:v>1</c:v>
                </c:pt>
                <c:pt idx="33">
                  <c:v>1</c:v>
                </c:pt>
                <c:pt idx="34">
                  <c:v>1</c:v>
                </c:pt>
                <c:pt idx="35">
                  <c:v>0.999999999999999</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-4.8942159799520698E-213</c:v>
                </c:pt>
                <c:pt idx="52">
                  <c:v>1.17901727387843E-214</c:v>
                </c:pt>
                <c:pt idx="53">
                  <c:v>-3.9931644474372202E-214</c:v>
                </c:pt>
                <c:pt idx="54">
                  <c:v>5.2508954953742E-213</c:v>
                </c:pt>
                <c:pt idx="55">
                  <c:v>-3.3055721384802298E-213</c:v>
                </c:pt>
                <c:pt idx="56">
                  <c:v>1.07767260798716E-212</c:v>
                </c:pt>
                <c:pt idx="57">
                  <c:v>-3.1406022139916099E-213</c:v>
                </c:pt>
                <c:pt idx="58">
                  <c:v>5.8470331496807902E-214</c:v>
                </c:pt>
                <c:pt idx="59">
                  <c:v>3.5614084734676299E-215</c:v>
                </c:pt>
                <c:pt idx="60">
                  <c:v>-6.6085343241618903E-215</c:v>
                </c:pt>
                <c:pt idx="61">
                  <c:v>3.1457798814600202E-215</c:v>
                </c:pt>
                <c:pt idx="62">
                  <c:v>7.8212017981451298E-214</c:v>
                </c:pt>
                <c:pt idx="63">
                  <c:v>6.0743076270391198E-214</c:v>
                </c:pt>
                <c:pt idx="64">
                  <c:v>-4.9241148934121201E-214</c:v>
                </c:pt>
                <c:pt idx="65">
                  <c:v>-1.12624544057606E-214</c:v>
                </c:pt>
                <c:pt idx="66">
                  <c:v>7.8673880401373798E-214</c:v>
                </c:pt>
                <c:pt idx="67">
                  <c:v>-2.54305049197251E-214</c:v>
                </c:pt>
                <c:pt idx="68">
                  <c:v>-8.6348048149437192E-214</c:v>
                </c:pt>
                <c:pt idx="69">
                  <c:v>7.3964964451269899E-214</c:v>
                </c:pt>
                <c:pt idx="70">
                  <c:v>6.8924212103736699E-214</c:v>
                </c:pt>
                <c:pt idx="71">
                  <c:v>-1.26321916740424E-213</c:v>
                </c:pt>
                <c:pt idx="72">
                  <c:v>-2.0987085557582E-214</c:v>
                </c:pt>
                <c:pt idx="73">
                  <c:v>1.6696235907875101E-213</c:v>
                </c:pt>
                <c:pt idx="74">
                  <c:v>-5.9181206631371198E-214</c:v>
                </c:pt>
                <c:pt idx="75">
                  <c:v>-1.7079338214895901E-213</c:v>
                </c:pt>
                <c:pt idx="76">
                  <c:v>1.6500058763174999E-213</c:v>
                </c:pt>
                <c:pt idx="77">
                  <c:v>-1.18281786328539E-213</c:v>
                </c:pt>
                <c:pt idx="78">
                  <c:v>4.6245532742208298E-214</c:v>
                </c:pt>
                <c:pt idx="79">
                  <c:v>-1.0701672507740401E-214</c:v>
                </c:pt>
                <c:pt idx="80">
                  <c:v>1.0132513486553E-215</c:v>
                </c:pt>
                <c:pt idx="81">
                  <c:v>5.40949096929698E-221</c:v>
                </c:pt>
                <c:pt idx="82">
                  <c:v>-1.67958562648024E-221</c:v>
                </c:pt>
                <c:pt idx="83">
                  <c:v>3.5740391511673998E-222</c:v>
                </c:pt>
                <c:pt idx="84">
                  <c:v>-4.6825273776004502E-223</c:v>
                </c:pt>
                <c:pt idx="85">
                  <c:v>2.7851012028885999E-224</c:v>
                </c:pt>
                <c:pt idx="86">
                  <c:v>6.3320908967741597E-229</c:v>
                </c:pt>
                <c:pt idx="87">
                  <c:v>-1.3094010712835099E-229</c:v>
                </c:pt>
                <c:pt idx="88">
                  <c:v>1.9145319396880201E-230</c:v>
                </c:pt>
                <c:pt idx="89">
                  <c:v>-1.7656229589515199E-231</c:v>
                </c:pt>
                <c:pt idx="90">
                  <c:v>7.6540764971248496E-233</c:v>
                </c:pt>
                <c:pt idx="91">
                  <c:v>4.9861395292006995E-237</c:v>
                </c:pt>
                <c:pt idx="92">
                  <c:v>-7.7501387533456201E-238</c:v>
                </c:pt>
                <c:pt idx="93">
                  <c:v>8.6468509029995994E-239</c:v>
                </c:pt>
                <c:pt idx="94">
                  <c:v>-6.1681855724116703E-240</c:v>
                </c:pt>
                <c:pt idx="95">
                  <c:v>2.1027297880913099E-241</c:v>
                </c:pt>
                <c:pt idx="96">
                  <c:v>3.1434006780669398E-245</c:v>
                </c:pt>
                <c:pt idx="97">
                  <c:v>-3.91302875692525E-246</c:v>
                </c:pt>
                <c:pt idx="98">
                  <c:v>3.5329500194068699E-247</c:v>
                </c:pt>
                <c:pt idx="99">
                  <c:v>-2.0566461248071601E-248</c:v>
                </c:pt>
              </c:numCache>
            </c:numRef>
          </c:yVal>
          <c:smooth val="0"/>
          <c:extLst>
            <c:ext xmlns:c16="http://schemas.microsoft.com/office/drawing/2014/chart" uri="{C3380CC4-5D6E-409C-BE32-E72D297353CC}">
              <c16:uniqueId val="{00000014-C8BD-4F4B-9BA9-1068EB14BB26}"/>
            </c:ext>
          </c:extLst>
        </c:ser>
        <c:ser>
          <c:idx val="21"/>
          <c:order val="21"/>
          <c:tx>
            <c:strRef>
              <c:f>dynamicR!$FG$19</c:f>
              <c:strCache>
                <c:ptCount val="1"/>
                <c:pt idx="0">
                  <c:v>sTA</c:v>
                </c:pt>
              </c:strCache>
            </c:strRef>
          </c:tx>
          <c:spPr>
            <a:ln w="19050" cap="rnd">
              <a:solidFill>
                <a:schemeClr val="accent4">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dynamicR!$FG$20:$FG$119</c:f>
              <c:numCache>
                <c:formatCode>0.00</c:formatCode>
                <c:ptCount val="100"/>
                <c:pt idx="0">
                  <c:v>0</c:v>
                </c:pt>
                <c:pt idx="1">
                  <c:v>1</c:v>
                </c:pt>
                <c:pt idx="2">
                  <c:v>0.999999999999995</c:v>
                </c:pt>
                <c:pt idx="3">
                  <c:v>0.99999999999999301</c:v>
                </c:pt>
                <c:pt idx="4">
                  <c:v>0.999999999999999</c:v>
                </c:pt>
                <c:pt idx="5">
                  <c:v>1</c:v>
                </c:pt>
                <c:pt idx="6">
                  <c:v>1</c:v>
                </c:pt>
                <c:pt idx="7">
                  <c:v>0.999999999999999</c:v>
                </c:pt>
                <c:pt idx="8">
                  <c:v>1</c:v>
                </c:pt>
                <c:pt idx="9">
                  <c:v>0.999999999999999</c:v>
                </c:pt>
                <c:pt idx="10">
                  <c:v>1</c:v>
                </c:pt>
                <c:pt idx="11">
                  <c:v>1</c:v>
                </c:pt>
                <c:pt idx="12">
                  <c:v>1</c:v>
                </c:pt>
                <c:pt idx="13">
                  <c:v>1</c:v>
                </c:pt>
                <c:pt idx="14">
                  <c:v>0.999999999999999</c:v>
                </c:pt>
                <c:pt idx="15">
                  <c:v>1</c:v>
                </c:pt>
                <c:pt idx="16">
                  <c:v>1</c:v>
                </c:pt>
                <c:pt idx="17">
                  <c:v>0.999999999999998</c:v>
                </c:pt>
                <c:pt idx="18">
                  <c:v>1</c:v>
                </c:pt>
                <c:pt idx="19">
                  <c:v>1</c:v>
                </c:pt>
                <c:pt idx="20">
                  <c:v>0.999999999999997</c:v>
                </c:pt>
                <c:pt idx="21">
                  <c:v>0.999999999999999</c:v>
                </c:pt>
                <c:pt idx="22">
                  <c:v>1</c:v>
                </c:pt>
                <c:pt idx="23">
                  <c:v>0.999999999999997</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0.999999999999999</c:v>
                </c:pt>
                <c:pt idx="38">
                  <c:v>1</c:v>
                </c:pt>
                <c:pt idx="39">
                  <c:v>1</c:v>
                </c:pt>
                <c:pt idx="40">
                  <c:v>1</c:v>
                </c:pt>
                <c:pt idx="41">
                  <c:v>1</c:v>
                </c:pt>
                <c:pt idx="42">
                  <c:v>1</c:v>
                </c:pt>
                <c:pt idx="43">
                  <c:v>1</c:v>
                </c:pt>
                <c:pt idx="44">
                  <c:v>1</c:v>
                </c:pt>
                <c:pt idx="45">
                  <c:v>1</c:v>
                </c:pt>
                <c:pt idx="46">
                  <c:v>1</c:v>
                </c:pt>
                <c:pt idx="47">
                  <c:v>1</c:v>
                </c:pt>
                <c:pt idx="48">
                  <c:v>0.999999999999999</c:v>
                </c:pt>
                <c:pt idx="49">
                  <c:v>1</c:v>
                </c:pt>
                <c:pt idx="50">
                  <c:v>1</c:v>
                </c:pt>
                <c:pt idx="51">
                  <c:v>-1.2300968606238599E-93</c:v>
                </c:pt>
                <c:pt idx="52">
                  <c:v>2.96332212586473E-95</c:v>
                </c:pt>
                <c:pt idx="53">
                  <c:v>-1.0036174584591401E-94</c:v>
                </c:pt>
                <c:pt idx="54">
                  <c:v>1.3197441735803301E-93</c:v>
                </c:pt>
                <c:pt idx="55">
                  <c:v>-8.3081047517548204E-94</c:v>
                </c:pt>
                <c:pt idx="56">
                  <c:v>2.70858213164844E-93</c:v>
                </c:pt>
                <c:pt idx="57">
                  <c:v>-7.8934479355239396E-94</c:v>
                </c:pt>
                <c:pt idx="58">
                  <c:v>1.4695530436780901E-94</c:v>
                </c:pt>
                <c:pt idx="59">
                  <c:v>8.9517658263077697E-96</c:v>
                </c:pt>
                <c:pt idx="60">
                  <c:v>-1.6610218781429701E-95</c:v>
                </c:pt>
                <c:pt idx="61">
                  <c:v>7.9054308134763605E-96</c:v>
                </c:pt>
                <c:pt idx="62">
                  <c:v>1.96575088615588E-94</c:v>
                </c:pt>
                <c:pt idx="63">
                  <c:v>1.5266900776943099E-94</c:v>
                </c:pt>
                <c:pt idx="64">
                  <c:v>-1.2376176416133099E-94</c:v>
                </c:pt>
                <c:pt idx="65">
                  <c:v>-2.83064133562853E-95</c:v>
                </c:pt>
                <c:pt idx="66">
                  <c:v>1.97736676969327E-94</c:v>
                </c:pt>
                <c:pt idx="67">
                  <c:v>-6.3916596364783996E-95</c:v>
                </c:pt>
                <c:pt idx="68">
                  <c:v>-2.1702443316827599E-94</c:v>
                </c:pt>
                <c:pt idx="69">
                  <c:v>1.8590149537448101E-94</c:v>
                </c:pt>
                <c:pt idx="70">
                  <c:v>1.73231762644003E-94</c:v>
                </c:pt>
                <c:pt idx="71">
                  <c:v>-3.1749355965515502E-94</c:v>
                </c:pt>
                <c:pt idx="72">
                  <c:v>-5.2748151375373597E-95</c:v>
                </c:pt>
                <c:pt idx="73">
                  <c:v>4.1963768037015899E-94</c:v>
                </c:pt>
                <c:pt idx="74">
                  <c:v>-1.48743961008613E-94</c:v>
                </c:pt>
                <c:pt idx="75">
                  <c:v>-4.2926633251682402E-94</c:v>
                </c:pt>
                <c:pt idx="76">
                  <c:v>4.1470660438930398E-94</c:v>
                </c:pt>
                <c:pt idx="77">
                  <c:v>-2.9728448844823298E-94</c:v>
                </c:pt>
                <c:pt idx="78">
                  <c:v>1.16230597519032E-94</c:v>
                </c:pt>
                <c:pt idx="79">
                  <c:v>-2.6896102784371699E-95</c:v>
                </c:pt>
                <c:pt idx="80">
                  <c:v>2.54601405709868E-96</c:v>
                </c:pt>
                <c:pt idx="81">
                  <c:v>2.9634617419603402E-100</c:v>
                </c:pt>
                <c:pt idx="82">
                  <c:v>-9.2010403409951406E-101</c:v>
                </c:pt>
                <c:pt idx="83">
                  <c:v>1.9578108223446101E-101</c:v>
                </c:pt>
                <c:pt idx="84">
                  <c:v>-2.56449512927377E-102</c:v>
                </c:pt>
                <c:pt idx="85">
                  <c:v>1.52312898658472E-103</c:v>
                </c:pt>
                <c:pt idx="86">
                  <c:v>7.5832394760688602E-107</c:v>
                </c:pt>
                <c:pt idx="87">
                  <c:v>-1.5633545339409499E-107</c:v>
                </c:pt>
                <c:pt idx="88">
                  <c:v>2.2853727430166199E-108</c:v>
                </c:pt>
                <c:pt idx="89">
                  <c:v>-2.10591757386279E-109</c:v>
                </c:pt>
                <c:pt idx="90">
                  <c:v>9.0783469019068805E-111</c:v>
                </c:pt>
                <c:pt idx="91">
                  <c:v>1.3009293920083501E-113</c:v>
                </c:pt>
                <c:pt idx="92">
                  <c:v>-2.01641547968789E-114</c:v>
                </c:pt>
                <c:pt idx="93">
                  <c:v>2.2483767194973E-115</c:v>
                </c:pt>
                <c:pt idx="94">
                  <c:v>-1.60012807935636E-116</c:v>
                </c:pt>
                <c:pt idx="95">
                  <c:v>5.3669893060946097E-118</c:v>
                </c:pt>
                <c:pt idx="96">
                  <c:v>1.7838801526454E-120</c:v>
                </c:pt>
                <c:pt idx="97">
                  <c:v>-2.2179449870081399E-121</c:v>
                </c:pt>
                <c:pt idx="98">
                  <c:v>1.99966439968668E-122</c:v>
                </c:pt>
                <c:pt idx="99">
                  <c:v>-1.15758386393814E-123</c:v>
                </c:pt>
              </c:numCache>
            </c:numRef>
          </c:yVal>
          <c:smooth val="0"/>
          <c:extLst>
            <c:ext xmlns:c16="http://schemas.microsoft.com/office/drawing/2014/chart" uri="{C3380CC4-5D6E-409C-BE32-E72D297353CC}">
              <c16:uniqueId val="{00000015-C8BD-4F4B-9BA9-1068EB14BB26}"/>
            </c:ext>
          </c:extLst>
        </c:ser>
        <c:ser>
          <c:idx val="22"/>
          <c:order val="22"/>
          <c:tx>
            <c:strRef>
              <c:f>dynamicR!$FH$19</c:f>
              <c:strCache>
                <c:ptCount val="1"/>
                <c:pt idx="0">
                  <c:v>sTP</c:v>
                </c:pt>
              </c:strCache>
            </c:strRef>
          </c:tx>
          <c:spPr>
            <a:ln w="19050" cap="rnd">
              <a:solidFill>
                <a:schemeClr val="accent5">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dynamicR!$FH$20:$FH$119</c:f>
              <c:numCache>
                <c:formatCode>0.00</c:formatCode>
                <c:ptCount val="100"/>
                <c:pt idx="0">
                  <c:v>0</c:v>
                </c:pt>
                <c:pt idx="1">
                  <c:v>0.999999999999999</c:v>
                </c:pt>
                <c:pt idx="2">
                  <c:v>0.999999999999996</c:v>
                </c:pt>
                <c:pt idx="3">
                  <c:v>0.999999999999994</c:v>
                </c:pt>
                <c:pt idx="4">
                  <c:v>0.999999999999999</c:v>
                </c:pt>
                <c:pt idx="5">
                  <c:v>1</c:v>
                </c:pt>
                <c:pt idx="6">
                  <c:v>1</c:v>
                </c:pt>
                <c:pt idx="7">
                  <c:v>1</c:v>
                </c:pt>
                <c:pt idx="8">
                  <c:v>1</c:v>
                </c:pt>
                <c:pt idx="9">
                  <c:v>1</c:v>
                </c:pt>
                <c:pt idx="10">
                  <c:v>0.999999999999999</c:v>
                </c:pt>
                <c:pt idx="11">
                  <c:v>1</c:v>
                </c:pt>
                <c:pt idx="12">
                  <c:v>1</c:v>
                </c:pt>
                <c:pt idx="13">
                  <c:v>0.999999999999999</c:v>
                </c:pt>
                <c:pt idx="14">
                  <c:v>1</c:v>
                </c:pt>
                <c:pt idx="15">
                  <c:v>1</c:v>
                </c:pt>
                <c:pt idx="16">
                  <c:v>0.999999999999999</c:v>
                </c:pt>
                <c:pt idx="17">
                  <c:v>0.999999999999999</c:v>
                </c:pt>
                <c:pt idx="18">
                  <c:v>1</c:v>
                </c:pt>
                <c:pt idx="19">
                  <c:v>1</c:v>
                </c:pt>
                <c:pt idx="20">
                  <c:v>0.999999999999997</c:v>
                </c:pt>
                <c:pt idx="21">
                  <c:v>1</c:v>
                </c:pt>
                <c:pt idx="22">
                  <c:v>1</c:v>
                </c:pt>
                <c:pt idx="23">
                  <c:v>0.999999999999998</c:v>
                </c:pt>
                <c:pt idx="24">
                  <c:v>1</c:v>
                </c:pt>
                <c:pt idx="25">
                  <c:v>0.999999999999999</c:v>
                </c:pt>
                <c:pt idx="26">
                  <c:v>1</c:v>
                </c:pt>
                <c:pt idx="27">
                  <c:v>1</c:v>
                </c:pt>
                <c:pt idx="28">
                  <c:v>1</c:v>
                </c:pt>
                <c:pt idx="29">
                  <c:v>0.999999999999999</c:v>
                </c:pt>
                <c:pt idx="30">
                  <c:v>1</c:v>
                </c:pt>
                <c:pt idx="31">
                  <c:v>1</c:v>
                </c:pt>
                <c:pt idx="32">
                  <c:v>1</c:v>
                </c:pt>
                <c:pt idx="33">
                  <c:v>1</c:v>
                </c:pt>
                <c:pt idx="34">
                  <c:v>0.999999999999999</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2.1729140676634901E-89</c:v>
                </c:pt>
                <c:pt idx="52">
                  <c:v>-5.2345916359628998E-91</c:v>
                </c:pt>
                <c:pt idx="53">
                  <c:v>1.7728419742275001E-90</c:v>
                </c:pt>
                <c:pt idx="54">
                  <c:v>-2.33127255138957E-89</c:v>
                </c:pt>
                <c:pt idx="55">
                  <c:v>1.4675907605139899E-89</c:v>
                </c:pt>
                <c:pt idx="56">
                  <c:v>-4.7845926708195698E-89</c:v>
                </c:pt>
                <c:pt idx="57">
                  <c:v>1.3943420909437201E-89</c:v>
                </c:pt>
                <c:pt idx="58">
                  <c:v>-2.5958926025059399E-90</c:v>
                </c:pt>
                <c:pt idx="59">
                  <c:v>-1.5813225019390799E-91</c:v>
                </c:pt>
                <c:pt idx="60">
                  <c:v>2.9341510667156303E-91</c:v>
                </c:pt>
                <c:pt idx="61">
                  <c:v>-1.3964085099574401E-91</c:v>
                </c:pt>
                <c:pt idx="62">
                  <c:v>-3.4724131561449601E-90</c:v>
                </c:pt>
                <c:pt idx="63">
                  <c:v>-2.6968298742132402E-90</c:v>
                </c:pt>
                <c:pt idx="64">
                  <c:v>2.1862021805174901E-90</c:v>
                </c:pt>
                <c:pt idx="65">
                  <c:v>5.0001942418395302E-91</c:v>
                </c:pt>
                <c:pt idx="66">
                  <c:v>-3.4929358226803899E-90</c:v>
                </c:pt>
                <c:pt idx="67">
                  <c:v>1.1290614174687999E-90</c:v>
                </c:pt>
                <c:pt idx="68">
                  <c:v>3.8336446283242799E-90</c:v>
                </c:pt>
                <c:pt idx="69">
                  <c:v>-3.28387263778529E-90</c:v>
                </c:pt>
                <c:pt idx="70">
                  <c:v>-3.06006490245232E-90</c:v>
                </c:pt>
                <c:pt idx="71">
                  <c:v>5.6083895491979197E-90</c:v>
                </c:pt>
                <c:pt idx="72">
                  <c:v>9.3177314758679697E-91</c:v>
                </c:pt>
                <c:pt idx="73">
                  <c:v>-7.4127208198638996E-90</c:v>
                </c:pt>
                <c:pt idx="74">
                  <c:v>2.6274980598024399E-90</c:v>
                </c:pt>
                <c:pt idx="75">
                  <c:v>7.5828062973223498E-90</c:v>
                </c:pt>
                <c:pt idx="76">
                  <c:v>-7.3256133917458602E-90</c:v>
                </c:pt>
                <c:pt idx="77">
                  <c:v>5.2513987032146003E-90</c:v>
                </c:pt>
                <c:pt idx="78">
                  <c:v>-2.05315715818051E-90</c:v>
                </c:pt>
                <c:pt idx="79">
                  <c:v>4.7510269122271701E-91</c:v>
                </c:pt>
                <c:pt idx="80">
                  <c:v>-4.4971039291640901E-92</c:v>
                </c:pt>
                <c:pt idx="81">
                  <c:v>-6.6150947309576703E-96</c:v>
                </c:pt>
                <c:pt idx="82">
                  <c:v>2.0538627813549302E-96</c:v>
                </c:pt>
                <c:pt idx="83">
                  <c:v>-4.3701742633166398E-97</c:v>
                </c:pt>
                <c:pt idx="84">
                  <c:v>5.7240717388004698E-98</c:v>
                </c:pt>
                <c:pt idx="85">
                  <c:v>-3.39833883735012E-99</c:v>
                </c:pt>
                <c:pt idx="86">
                  <c:v>-2.1390458595336999E-102</c:v>
                </c:pt>
                <c:pt idx="87">
                  <c:v>4.40976515286717E-103</c:v>
                </c:pt>
                <c:pt idx="88">
                  <c:v>-6.44599638651841E-104</c:v>
                </c:pt>
                <c:pt idx="89">
                  <c:v>5.9385076878170001E-105</c:v>
                </c:pt>
                <c:pt idx="90">
                  <c:v>-2.5560434230006498E-106</c:v>
                </c:pt>
                <c:pt idx="91">
                  <c:v>-4.6370565165483E-109</c:v>
                </c:pt>
                <c:pt idx="92">
                  <c:v>7.1869354120462001E-110</c:v>
                </c:pt>
                <c:pt idx="93">
                  <c:v>-8.0123707133525907E-111</c:v>
                </c:pt>
                <c:pt idx="94">
                  <c:v>5.69856920290821E-112</c:v>
                </c:pt>
                <c:pt idx="95">
                  <c:v>-1.90267910875653E-113</c:v>
                </c:pt>
                <c:pt idx="96">
                  <c:v>-8.0345360021229899E-116</c:v>
                </c:pt>
                <c:pt idx="97">
                  <c:v>9.9882095780826096E-117</c:v>
                </c:pt>
                <c:pt idx="98">
                  <c:v>-9.0016668582029007E-118</c:v>
                </c:pt>
                <c:pt idx="99">
                  <c:v>5.20287742757321E-119</c:v>
                </c:pt>
              </c:numCache>
            </c:numRef>
          </c:yVal>
          <c:smooth val="0"/>
          <c:extLst>
            <c:ext xmlns:c16="http://schemas.microsoft.com/office/drawing/2014/chart" uri="{C3380CC4-5D6E-409C-BE32-E72D297353CC}">
              <c16:uniqueId val="{00000016-C8BD-4F4B-9BA9-1068EB14BB26}"/>
            </c:ext>
          </c:extLst>
        </c:ser>
        <c:dLbls>
          <c:showLegendKey val="0"/>
          <c:showVal val="0"/>
          <c:showCatName val="0"/>
          <c:showSerName val="0"/>
          <c:showPercent val="0"/>
          <c:showBubbleSize val="0"/>
        </c:dLbls>
        <c:axId val="152024960"/>
        <c:axId val="152039424"/>
      </c:scatterChart>
      <c:valAx>
        <c:axId val="152024960"/>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39424"/>
        <c:crosses val="autoZero"/>
        <c:crossBetween val="midCat"/>
      </c:valAx>
      <c:valAx>
        <c:axId val="152039424"/>
        <c:scaling>
          <c:orientation val="minMax"/>
          <c:max val="1.0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steady state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2496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SimpleBox dynamic output - All </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dynamicR!$J$19</c:f>
              <c:strCache>
                <c:ptCount val="1"/>
                <c:pt idx="0">
                  <c:v>aRG</c:v>
                </c:pt>
              </c:strCache>
            </c:strRef>
          </c:tx>
          <c:spPr>
            <a:ln w="19050" cap="rnd">
              <a:solidFill>
                <a:schemeClr val="accent1"/>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dynamicR!$J$20:$J$119</c:f>
              <c:numCache>
                <c:formatCode>0.00</c:formatCode>
                <c:ptCount val="100"/>
                <c:pt idx="0">
                  <c:v>0</c:v>
                </c:pt>
                <c:pt idx="1">
                  <c:v>5.4076255099663198E-2</c:v>
                </c:pt>
                <c:pt idx="2">
                  <c:v>7.2985394221466507E-2</c:v>
                </c:pt>
                <c:pt idx="3">
                  <c:v>9.1516536472099702E-2</c:v>
                </c:pt>
                <c:pt idx="4">
                  <c:v>0.10967724345568799</c:v>
                </c:pt>
                <c:pt idx="5">
                  <c:v>0.127474917081668</c:v>
                </c:pt>
                <c:pt idx="6">
                  <c:v>0.14491681157390801</c:v>
                </c:pt>
                <c:pt idx="7">
                  <c:v>0.16201003884071699</c:v>
                </c:pt>
                <c:pt idx="8">
                  <c:v>0.178761569751232</c:v>
                </c:pt>
                <c:pt idx="9">
                  <c:v>0.19517823548933</c:v>
                </c:pt>
                <c:pt idx="10">
                  <c:v>0.21126673010891101</c:v>
                </c:pt>
                <c:pt idx="11">
                  <c:v>0.22703361362927199</c:v>
                </c:pt>
                <c:pt idx="12">
                  <c:v>0.24248531492877701</c:v>
                </c:pt>
                <c:pt idx="13">
                  <c:v>0.25762813426126402</c:v>
                </c:pt>
                <c:pt idx="14">
                  <c:v>0.27246824627650801</c:v>
                </c:pt>
                <c:pt idx="15">
                  <c:v>0.28701170248436603</c:v>
                </c:pt>
                <c:pt idx="16">
                  <c:v>0.30126443327661001</c:v>
                </c:pt>
                <c:pt idx="17">
                  <c:v>0.31523225020213402</c:v>
                </c:pt>
                <c:pt idx="18">
                  <c:v>0.32892084857426002</c:v>
                </c:pt>
                <c:pt idx="19">
                  <c:v>0.34233580998123903</c:v>
                </c:pt>
                <c:pt idx="20">
                  <c:v>0.35548260452247699</c:v>
                </c:pt>
                <c:pt idx="21">
                  <c:v>0.36836659292593299</c:v>
                </c:pt>
                <c:pt idx="22">
                  <c:v>0.38099302870412599</c:v>
                </c:pt>
                <c:pt idx="23">
                  <c:v>0.39336706034283397</c:v>
                </c:pt>
                <c:pt idx="24">
                  <c:v>0.40549373343251699</c:v>
                </c:pt>
                <c:pt idx="25">
                  <c:v>0.41737799271550702</c:v>
                </c:pt>
                <c:pt idx="26">
                  <c:v>0.42902468408153899</c:v>
                </c:pt>
                <c:pt idx="27">
                  <c:v>0.440438556541487</c:v>
                </c:pt>
                <c:pt idx="28">
                  <c:v>0.45162426417243801</c:v>
                </c:pt>
                <c:pt idx="29">
                  <c:v>0.46258636801875103</c:v>
                </c:pt>
                <c:pt idx="30">
                  <c:v>0.473329337952342</c:v>
                </c:pt>
                <c:pt idx="31">
                  <c:v>0.48385755449060802</c:v>
                </c:pt>
                <c:pt idx="32">
                  <c:v>0.49417531058135999</c:v>
                </c:pt>
                <c:pt idx="33">
                  <c:v>0.50428681335540204</c:v>
                </c:pt>
                <c:pt idx="34">
                  <c:v>0.51419618584503501</c:v>
                </c:pt>
                <c:pt idx="35">
                  <c:v>0.52390746866205595</c:v>
                </c:pt>
                <c:pt idx="36">
                  <c:v>0.53342462164482896</c:v>
                </c:pt>
                <c:pt idx="37">
                  <c:v>0.54275152547438099</c:v>
                </c:pt>
                <c:pt idx="38">
                  <c:v>0.55189198325627598</c:v>
                </c:pt>
                <c:pt idx="39">
                  <c:v>0.56084972207218597</c:v>
                </c:pt>
                <c:pt idx="40">
                  <c:v>0.56962839449862501</c:v>
                </c:pt>
                <c:pt idx="41">
                  <c:v>0.57823158009687203</c:v>
                </c:pt>
                <c:pt idx="42">
                  <c:v>0.58666278693682306</c:v>
                </c:pt>
                <c:pt idx="43">
                  <c:v>0.59492545361621096</c:v>
                </c:pt>
                <c:pt idx="44">
                  <c:v>0.60302294937227496</c:v>
                </c:pt>
                <c:pt idx="45">
                  <c:v>0.61095858206855402</c:v>
                </c:pt>
                <c:pt idx="46">
                  <c:v>0.61873556142730102</c:v>
                </c:pt>
                <c:pt idx="47">
                  <c:v>0.62635708825559699</c:v>
                </c:pt>
                <c:pt idx="48">
                  <c:v>0.63382626126517605</c:v>
                </c:pt>
                <c:pt idx="49">
                  <c:v>0.64114612623276102</c:v>
                </c:pt>
                <c:pt idx="50">
                  <c:v>0.64114612623276102</c:v>
                </c:pt>
                <c:pt idx="51">
                  <c:v>0.59424308375779999</c:v>
                </c:pt>
                <c:pt idx="52">
                  <c:v>0.58236358018000001</c:v>
                </c:pt>
                <c:pt idx="53">
                  <c:v>0.57072195543958104</c:v>
                </c:pt>
                <c:pt idx="54">
                  <c:v>0.55931329916353401</c:v>
                </c:pt>
                <c:pt idx="55">
                  <c:v>0.54813265390091404</c:v>
                </c:pt>
                <c:pt idx="56">
                  <c:v>0.537175453728994</c:v>
                </c:pt>
                <c:pt idx="57">
                  <c:v>0.52643726843564198</c:v>
                </c:pt>
                <c:pt idx="58">
                  <c:v>0.51591373615799396</c:v>
                </c:pt>
                <c:pt idx="59">
                  <c:v>0.50560057154051397</c:v>
                </c:pt>
                <c:pt idx="60">
                  <c:v>0.49549356224230001</c:v>
                </c:pt>
                <c:pt idx="61">
                  <c:v>0.48558857953900197</c:v>
                </c:pt>
                <c:pt idx="62">
                  <c:v>0.47588159223265802</c:v>
                </c:pt>
                <c:pt idx="63">
                  <c:v>0.466368651222343</c:v>
                </c:pt>
                <c:pt idx="64">
                  <c:v>0.457045879024775</c:v>
                </c:pt>
                <c:pt idx="65">
                  <c:v>0.447909471815509</c:v>
                </c:pt>
                <c:pt idx="66">
                  <c:v>0.43895570228032699</c:v>
                </c:pt>
                <c:pt idx="67">
                  <c:v>0.43018091916620599</c:v>
                </c:pt>
                <c:pt idx="68">
                  <c:v>0.421581544918048</c:v>
                </c:pt>
                <c:pt idx="69">
                  <c:v>0.41315407339561799</c:v>
                </c:pt>
                <c:pt idx="70">
                  <c:v>0.40489506827237198</c:v>
                </c:pt>
                <c:pt idx="71">
                  <c:v>0.39680116180150199</c:v>
                </c:pt>
                <c:pt idx="72">
                  <c:v>0.38886905358489698</c:v>
                </c:pt>
                <c:pt idx="73">
                  <c:v>0.38109550925017799</c:v>
                </c:pt>
                <c:pt idx="74">
                  <c:v>0.37347735910037</c:v>
                </c:pt>
                <c:pt idx="75">
                  <c:v>0.36601149685405798</c:v>
                </c:pt>
                <c:pt idx="76">
                  <c:v>0.35869487837088798</c:v>
                </c:pt>
                <c:pt idx="77">
                  <c:v>0.35152452019826103</c:v>
                </c:pt>
                <c:pt idx="78">
                  <c:v>0.34449749841598498</c:v>
                </c:pt>
                <c:pt idx="79">
                  <c:v>0.337610947641173</c:v>
                </c:pt>
                <c:pt idx="80">
                  <c:v>0.33086205989072298</c:v>
                </c:pt>
                <c:pt idx="81">
                  <c:v>0.32424808332524102</c:v>
                </c:pt>
                <c:pt idx="82">
                  <c:v>0.31776632105626701</c:v>
                </c:pt>
                <c:pt idx="83">
                  <c:v>0.31141413007484198</c:v>
                </c:pt>
                <c:pt idx="84">
                  <c:v>0.30518892022079103</c:v>
                </c:pt>
                <c:pt idx="85">
                  <c:v>0.29908815313403703</c:v>
                </c:pt>
                <c:pt idx="86">
                  <c:v>0.29310934119723597</c:v>
                </c:pt>
                <c:pt idx="87">
                  <c:v>0.28725004651042702</c:v>
                </c:pt>
                <c:pt idx="88">
                  <c:v>0.28150787990270298</c:v>
                </c:pt>
                <c:pt idx="89">
                  <c:v>0.27588049996613001</c:v>
                </c:pt>
                <c:pt idx="90">
                  <c:v>0.27036561210163801</c:v>
                </c:pt>
                <c:pt idx="91">
                  <c:v>0.26496096757955101</c:v>
                </c:pt>
                <c:pt idx="92">
                  <c:v>0.25966436262077902</c:v>
                </c:pt>
                <c:pt idx="93">
                  <c:v>0.25447363749887097</c:v>
                </c:pt>
                <c:pt idx="94">
                  <c:v>0.24938667566171599</c:v>
                </c:pt>
                <c:pt idx="95">
                  <c:v>0.244401402867854</c:v>
                </c:pt>
                <c:pt idx="96">
                  <c:v>0.23951578633998399</c:v>
                </c:pt>
                <c:pt idx="97">
                  <c:v>0.23472783393587601</c:v>
                </c:pt>
                <c:pt idx="98">
                  <c:v>0.230035593336823</c:v>
                </c:pt>
                <c:pt idx="99">
                  <c:v>0.22543715125101699</c:v>
                </c:pt>
              </c:numCache>
            </c:numRef>
          </c:yVal>
          <c:smooth val="0"/>
          <c:extLst>
            <c:ext xmlns:c16="http://schemas.microsoft.com/office/drawing/2014/chart" uri="{C3380CC4-5D6E-409C-BE32-E72D297353CC}">
              <c16:uniqueId val="{00000000-CF86-4C2E-BF49-1F263FBF5A1F}"/>
            </c:ext>
          </c:extLst>
        </c:ser>
        <c:ser>
          <c:idx val="1"/>
          <c:order val="1"/>
          <c:tx>
            <c:strRef>
              <c:f>dynamicR!$K$19</c:f>
              <c:strCache>
                <c:ptCount val="1"/>
                <c:pt idx="0">
                  <c:v>aRS</c:v>
                </c:pt>
              </c:strCache>
            </c:strRef>
          </c:tx>
          <c:spPr>
            <a:ln w="19050" cap="rnd">
              <a:solidFill>
                <a:schemeClr val="accent2"/>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dynamicR!$K$20:$K$119</c:f>
              <c:numCache>
                <c:formatCode>0.00</c:formatCode>
                <c:ptCount val="100"/>
                <c:pt idx="0">
                  <c:v>0</c:v>
                </c:pt>
                <c:pt idx="1">
                  <c:v>1</c:v>
                </c:pt>
                <c:pt idx="2">
                  <c:v>0.999999999999999</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-8.7053091129707496E-215</c:v>
                </c:pt>
                <c:pt idx="52">
                  <c:v>2.0971097403205601E-216</c:v>
                </c:pt>
                <c:pt idx="53">
                  <c:v>-7.1026138551376099E-216</c:v>
                </c:pt>
                <c:pt idx="54">
                  <c:v>9.33973242284879E-215</c:v>
                </c:pt>
                <c:pt idx="55">
                  <c:v>-5.8795989446246902E-215</c:v>
                </c:pt>
                <c:pt idx="56">
                  <c:v>1.9168490060969601E-214</c:v>
                </c:pt>
                <c:pt idx="57">
                  <c:v>-5.5861679931866697E-215</c:v>
                </c:pt>
                <c:pt idx="58">
                  <c:v>1.04000784535833E-215</c:v>
                </c:pt>
                <c:pt idx="59">
                  <c:v>6.3346532473993599E-217</c:v>
                </c:pt>
                <c:pt idx="60">
                  <c:v>-1.17545554600092E-216</c:v>
                </c:pt>
                <c:pt idx="61">
                  <c:v>5.5953774721990502E-217</c:v>
                </c:pt>
                <c:pt idx="62">
                  <c:v>1.3911518922454501E-215</c:v>
                </c:pt>
                <c:pt idx="63">
                  <c:v>1.0804330034600499E-215</c:v>
                </c:pt>
                <c:pt idx="64">
                  <c:v>-8.75848997174339E-216</c:v>
                </c:pt>
                <c:pt idx="65">
                  <c:v>-2.00324517411425E-216</c:v>
                </c:pt>
                <c:pt idx="66">
                  <c:v>1.3993670079784301E-215</c:v>
                </c:pt>
                <c:pt idx="67">
                  <c:v>-4.5233067695828302E-216</c:v>
                </c:pt>
                <c:pt idx="68">
                  <c:v>-1.5358669124645099E-215</c:v>
                </c:pt>
                <c:pt idx="69">
                  <c:v>1.3156098373608299E-215</c:v>
                </c:pt>
                <c:pt idx="70">
                  <c:v>1.2259503151086699E-215</c:v>
                </c:pt>
                <c:pt idx="71">
                  <c:v>-2.2468794188020699E-215</c:v>
                </c:pt>
                <c:pt idx="72">
                  <c:v>-3.7329587625629602E-216</c:v>
                </c:pt>
                <c:pt idx="73">
                  <c:v>2.9697482274558298E-215</c:v>
                </c:pt>
                <c:pt idx="74">
                  <c:v>-1.05265213346249E-215</c:v>
                </c:pt>
                <c:pt idx="75">
                  <c:v>-3.0378903765899102E-215</c:v>
                </c:pt>
                <c:pt idx="76">
                  <c:v>2.9348543309535801E-215</c:v>
                </c:pt>
                <c:pt idx="77">
                  <c:v>-2.10387016108085E-215</c:v>
                </c:pt>
                <c:pt idx="78">
                  <c:v>8.2256617387708703E-216</c:v>
                </c:pt>
                <c:pt idx="79">
                  <c:v>-1.90349927588637E-216</c:v>
                </c:pt>
                <c:pt idx="80">
                  <c:v>1.80226334440919E-217</c:v>
                </c:pt>
                <c:pt idx="81">
                  <c:v>9.6218248926935906E-223</c:v>
                </c:pt>
                <c:pt idx="82">
                  <c:v>-2.9874677113150002E-223</c:v>
                </c:pt>
                <c:pt idx="83">
                  <c:v>6.3571203125558199E-224</c:v>
                </c:pt>
                <c:pt idx="84">
                  <c:v>-8.32878373218187E-225</c:v>
                </c:pt>
                <c:pt idx="85">
                  <c:v>4.9538486136254796E-226</c:v>
                </c:pt>
                <c:pt idx="86">
                  <c:v>1.1235065110817001E-230</c:v>
                </c:pt>
                <c:pt idx="87">
                  <c:v>-2.32902270997466E-231</c:v>
                </c:pt>
                <c:pt idx="88">
                  <c:v>3.40536602896339E-232</c:v>
                </c:pt>
                <c:pt idx="89">
                  <c:v>-3.1405048668102598E-233</c:v>
                </c:pt>
                <c:pt idx="90">
                  <c:v>1.36142837235156E-234</c:v>
                </c:pt>
                <c:pt idx="91">
                  <c:v>8.8748440415582207E-239</c:v>
                </c:pt>
                <c:pt idx="92">
                  <c:v>-1.3785126556580399E-239</c:v>
                </c:pt>
                <c:pt idx="93">
                  <c:v>1.5380113458152901E-240</c:v>
                </c:pt>
                <c:pt idx="94">
                  <c:v>-1.0971334419986E-241</c:v>
                </c:pt>
                <c:pt idx="95">
                  <c:v>3.7401167098731801E-243</c:v>
                </c:pt>
                <c:pt idx="96">
                  <c:v>5.5938854090720898E-247</c:v>
                </c:pt>
                <c:pt idx="97">
                  <c:v>-6.9600796119550998E-248</c:v>
                </c:pt>
                <c:pt idx="98">
                  <c:v>6.2840386201499704E-249</c:v>
                </c:pt>
                <c:pt idx="99">
                  <c:v>-3.6581436193535499E-250</c:v>
                </c:pt>
              </c:numCache>
            </c:numRef>
          </c:yVal>
          <c:smooth val="0"/>
          <c:extLst>
            <c:ext xmlns:c16="http://schemas.microsoft.com/office/drawing/2014/chart" uri="{C3380CC4-5D6E-409C-BE32-E72D297353CC}">
              <c16:uniqueId val="{00000001-CF86-4C2E-BF49-1F263FBF5A1F}"/>
            </c:ext>
          </c:extLst>
        </c:ser>
        <c:ser>
          <c:idx val="2"/>
          <c:order val="2"/>
          <c:tx>
            <c:strRef>
              <c:f>dynamicR!$L$19</c:f>
              <c:strCache>
                <c:ptCount val="1"/>
                <c:pt idx="0">
                  <c:v>aRA</c:v>
                </c:pt>
              </c:strCache>
            </c:strRef>
          </c:tx>
          <c:spPr>
            <a:ln w="19050" cap="rnd">
              <a:solidFill>
                <a:schemeClr val="accent3"/>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dynamicR!$L$20:$L$119</c:f>
              <c:numCache>
                <c:formatCode>0.00</c:formatCode>
                <c:ptCount val="100"/>
                <c:pt idx="0">
                  <c:v>0</c:v>
                </c:pt>
                <c:pt idx="1">
                  <c:v>1</c:v>
                </c:pt>
                <c:pt idx="2">
                  <c:v>0.999999999999998</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-2.5643645204072799E-101</c:v>
                </c:pt>
                <c:pt idx="52">
                  <c:v>6.17759043463423E-103</c:v>
                </c:pt>
                <c:pt idx="53">
                  <c:v>-2.0922282289765099E-102</c:v>
                </c:pt>
                <c:pt idx="54">
                  <c:v>2.7512508321913499E-101</c:v>
                </c:pt>
                <c:pt idx="55">
                  <c:v>-1.7319784334372499E-101</c:v>
                </c:pt>
                <c:pt idx="56">
                  <c:v>5.6465416716170501E-101</c:v>
                </c:pt>
                <c:pt idx="57">
                  <c:v>-1.6455359798879899E-101</c:v>
                </c:pt>
                <c:pt idx="58">
                  <c:v>3.06355880822341E-102</c:v>
                </c:pt>
                <c:pt idx="59">
                  <c:v>1.86615089818658E-103</c:v>
                </c:pt>
                <c:pt idx="60">
                  <c:v>-3.4626987131968302E-103</c:v>
                </c:pt>
                <c:pt idx="61">
                  <c:v>1.64805082839796E-103</c:v>
                </c:pt>
                <c:pt idx="62">
                  <c:v>4.0979723363645904E-102</c:v>
                </c:pt>
                <c:pt idx="63">
                  <c:v>3.1826691515118999E-102</c:v>
                </c:pt>
                <c:pt idx="64">
                  <c:v>-2.58004198711974E-102</c:v>
                </c:pt>
                <c:pt idx="65">
                  <c:v>-5.9010002899892595E-103</c:v>
                </c:pt>
                <c:pt idx="66">
                  <c:v>4.1221865597406601E-102</c:v>
                </c:pt>
                <c:pt idx="67">
                  <c:v>-1.33245912596043E-102</c:v>
                </c:pt>
                <c:pt idx="68">
                  <c:v>-4.52427594401685E-102</c:v>
                </c:pt>
                <c:pt idx="69">
                  <c:v>3.87546020263015E-102</c:v>
                </c:pt>
                <c:pt idx="70">
                  <c:v>3.61133693682776E-102</c:v>
                </c:pt>
                <c:pt idx="71">
                  <c:v>-6.6187406897489899E-102</c:v>
                </c:pt>
                <c:pt idx="72">
                  <c:v>-1.09963303027962E-102</c:v>
                </c:pt>
                <c:pt idx="73">
                  <c:v>8.7481243620279507E-102</c:v>
                </c:pt>
                <c:pt idx="74">
                  <c:v>-3.1008434622237201E-102</c:v>
                </c:pt>
                <c:pt idx="75">
                  <c:v>-8.9488516294444598E-102</c:v>
                </c:pt>
                <c:pt idx="76">
                  <c:v>8.6453276456155606E-102</c:v>
                </c:pt>
                <c:pt idx="77">
                  <c:v>-6.1974472601903E-102</c:v>
                </c:pt>
                <c:pt idx="78">
                  <c:v>2.4230442716777898E-102</c:v>
                </c:pt>
                <c:pt idx="79">
                  <c:v>-5.6070089557164204E-103</c:v>
                </c:pt>
                <c:pt idx="80">
                  <c:v>5.30774498410698E-104</c:v>
                </c:pt>
                <c:pt idx="81">
                  <c:v>5.7170440027377304E-108</c:v>
                </c:pt>
                <c:pt idx="82">
                  <c:v>-1.77504670089282E-108</c:v>
                </c:pt>
                <c:pt idx="83">
                  <c:v>3.7769862540490998E-109</c:v>
                </c:pt>
                <c:pt idx="84">
                  <c:v>-4.9474748096718798E-110</c:v>
                </c:pt>
                <c:pt idx="85">
                  <c:v>2.9387822000544199E-111</c:v>
                </c:pt>
                <c:pt idx="86">
                  <c:v>1.35381390922148E-114</c:v>
                </c:pt>
                <c:pt idx="87">
                  <c:v>-2.79103332855074E-115</c:v>
                </c:pt>
                <c:pt idx="88">
                  <c:v>4.0801080091976898E-116</c:v>
                </c:pt>
                <c:pt idx="89">
                  <c:v>-3.7599620165817298E-117</c:v>
                </c:pt>
                <c:pt idx="90">
                  <c:v>1.62158409371988E-118</c:v>
                </c:pt>
                <c:pt idx="91">
                  <c:v>2.14928024419965E-121</c:v>
                </c:pt>
                <c:pt idx="92">
                  <c:v>-3.3314044396208501E-122</c:v>
                </c:pt>
                <c:pt idx="93">
                  <c:v>3.7148110933383599E-123</c:v>
                </c:pt>
                <c:pt idx="94">
                  <c:v>-2.6442457721159102E-124</c:v>
                </c:pt>
                <c:pt idx="95">
                  <c:v>8.8804452425233101E-126</c:v>
                </c:pt>
                <c:pt idx="96">
                  <c:v>2.7273765468287298E-128</c:v>
                </c:pt>
                <c:pt idx="97">
                  <c:v>-3.3911516311475703E-129</c:v>
                </c:pt>
                <c:pt idx="98">
                  <c:v>3.0577496145072102E-130</c:v>
                </c:pt>
                <c:pt idx="99">
                  <c:v>-1.7708747297960701E-131</c:v>
                </c:pt>
              </c:numCache>
            </c:numRef>
          </c:yVal>
          <c:smooth val="0"/>
          <c:extLst>
            <c:ext xmlns:c16="http://schemas.microsoft.com/office/drawing/2014/chart" uri="{C3380CC4-5D6E-409C-BE32-E72D297353CC}">
              <c16:uniqueId val="{00000002-CF86-4C2E-BF49-1F263FBF5A1F}"/>
            </c:ext>
          </c:extLst>
        </c:ser>
        <c:ser>
          <c:idx val="3"/>
          <c:order val="3"/>
          <c:tx>
            <c:strRef>
              <c:f>dynamicR!$M$19</c:f>
              <c:strCache>
                <c:ptCount val="1"/>
                <c:pt idx="0">
                  <c:v>aRP</c:v>
                </c:pt>
              </c:strCache>
            </c:strRef>
          </c:tx>
          <c:spPr>
            <a:ln w="19050" cap="rnd">
              <a:solidFill>
                <a:schemeClr val="accent4"/>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dynamicR!$M$20:$M$119</c:f>
              <c:numCache>
                <c:formatCode>0.00</c:formatCode>
                <c:ptCount val="100"/>
                <c:pt idx="0">
                  <c:v>0</c:v>
                </c:pt>
                <c:pt idx="1">
                  <c:v>1</c:v>
                </c:pt>
                <c:pt idx="2">
                  <c:v>0.999999999999999</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1</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-1.2938318054906001E-214</c:v>
                </c:pt>
                <c:pt idx="52">
                  <c:v>3.11684240845116E-216</c:v>
                </c:pt>
                <c:pt idx="53">
                  <c:v>-1.05563036701465E-215</c:v>
                </c:pt>
                <c:pt idx="54">
                  <c:v>1.3881233805009001E-214</c:v>
                </c:pt>
                <c:pt idx="55">
                  <c:v>-8.7385894055639798E-215</c:v>
                </c:pt>
                <c:pt idx="56">
                  <c:v>2.84892842379818E-214</c:v>
                </c:pt>
                <c:pt idx="57">
                  <c:v>-8.3024759544429699E-215</c:v>
                </c:pt>
                <c:pt idx="58">
                  <c:v>1.54571794897755E-215</c:v>
                </c:pt>
                <c:pt idx="59">
                  <c:v>9.4149166939072105E-217</c:v>
                </c:pt>
                <c:pt idx="60">
                  <c:v>-1.7470279130954502E-216</c:v>
                </c:pt>
                <c:pt idx="61">
                  <c:v>8.3161636026891404E-217</c:v>
                </c:pt>
                <c:pt idx="62">
                  <c:v>2.06760791199328E-215</c:v>
                </c:pt>
                <c:pt idx="63">
                  <c:v>1.60580008465275E-215</c:v>
                </c:pt>
                <c:pt idx="64">
                  <c:v>-1.3017358682135901E-215</c:v>
                </c:pt>
                <c:pt idx="65">
                  <c:v>-2.9773352534314097E-216</c:v>
                </c:pt>
                <c:pt idx="66">
                  <c:v>2.0798176774273501E-215</c:v>
                </c:pt>
                <c:pt idx="67">
                  <c:v>-6.7227920382350097E-216</c:v>
                </c:pt>
                <c:pt idx="68">
                  <c:v>-2.2826914858697499E-215</c:v>
                </c:pt>
                <c:pt idx="69">
                  <c:v>1.9553330761265501E-215</c:v>
                </c:pt>
                <c:pt idx="70">
                  <c:v>1.8220760690177801E-215</c:v>
                </c:pt>
                <c:pt idx="71">
                  <c:v>-3.3394381228289899E-215</c:v>
                </c:pt>
                <c:pt idx="72">
                  <c:v>-5.5481325336517598E-216</c:v>
                </c:pt>
                <c:pt idx="73">
                  <c:v>4.4138062607992999E-215</c:v>
                </c:pt>
                <c:pt idx="74">
                  <c:v>-1.5645105986312201E-215</c:v>
                </c:pt>
                <c:pt idx="75">
                  <c:v>-4.5150829419978499E-215</c:v>
                </c:pt>
                <c:pt idx="76">
                  <c:v>4.3619449961235199E-215</c:v>
                </c:pt>
                <c:pt idx="77">
                  <c:v>-3.1268897487796003E-215</c:v>
                </c:pt>
                <c:pt idx="78">
                  <c:v>1.2225439498926899E-215</c:v>
                </c:pt>
                <c:pt idx="79">
                  <c:v>-2.8290873090383202E-216</c:v>
                </c:pt>
                <c:pt idx="80">
                  <c:v>2.6786247937152798E-217</c:v>
                </c:pt>
                <c:pt idx="81">
                  <c:v>1.43004964375387E-222</c:v>
                </c:pt>
                <c:pt idx="82">
                  <c:v>-4.4401422815990799E-223</c:v>
                </c:pt>
                <c:pt idx="83">
                  <c:v>9.4483090153652108E-224</c:v>
                </c:pt>
                <c:pt idx="84">
                  <c:v>-1.2378705430030299E-224</c:v>
                </c:pt>
                <c:pt idx="85">
                  <c:v>7.3626889161171595E-226</c:v>
                </c:pt>
                <c:pt idx="86">
                  <c:v>1.6618561912393799E-230</c:v>
                </c:pt>
                <c:pt idx="87">
                  <c:v>-3.4615246588459001E-231</c:v>
                </c:pt>
                <c:pt idx="88">
                  <c:v>5.0612468360472502E-232</c:v>
                </c:pt>
                <c:pt idx="89">
                  <c:v>-4.66759447290069E-233</c:v>
                </c:pt>
                <c:pt idx="90">
                  <c:v>2.02342985318674E-234</c:v>
                </c:pt>
                <c:pt idx="91">
                  <c:v>1.3168690840624899E-238</c:v>
                </c:pt>
                <c:pt idx="92">
                  <c:v>-2.0488242448239398E-239</c:v>
                </c:pt>
                <c:pt idx="93">
                  <c:v>2.2858805573224401E-240</c:v>
                </c:pt>
                <c:pt idx="94">
                  <c:v>-1.63062310486517E-241</c:v>
                </c:pt>
                <c:pt idx="95">
                  <c:v>5.5587901206906596E-243</c:v>
                </c:pt>
                <c:pt idx="96">
                  <c:v>8.3088324174334905E-247</c:v>
                </c:pt>
                <c:pt idx="97">
                  <c:v>-1.03444714844426E-247</c:v>
                </c:pt>
                <c:pt idx="98">
                  <c:v>9.33970029380182E-249</c:v>
                </c:pt>
                <c:pt idx="99">
                  <c:v>-5.4369442320405097E-250</c:v>
                </c:pt>
              </c:numCache>
            </c:numRef>
          </c:yVal>
          <c:smooth val="0"/>
          <c:extLst>
            <c:ext xmlns:c16="http://schemas.microsoft.com/office/drawing/2014/chart" uri="{C3380CC4-5D6E-409C-BE32-E72D297353CC}">
              <c16:uniqueId val="{00000003-CF86-4C2E-BF49-1F263FBF5A1F}"/>
            </c:ext>
          </c:extLst>
        </c:ser>
        <c:ser>
          <c:idx val="4"/>
          <c:order val="4"/>
          <c:tx>
            <c:strRef>
              <c:f>dynamicR!$N$19</c:f>
              <c:strCache>
                <c:ptCount val="1"/>
                <c:pt idx="0">
                  <c:v>cwRS</c:v>
                </c:pt>
              </c:strCache>
            </c:strRef>
          </c:tx>
          <c:spPr>
            <a:ln w="19050" cap="rnd">
              <a:solidFill>
                <a:schemeClr val="accent5"/>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dynamicR!$N$20:$N$119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0.999999999999999</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-1.3868094439365001E-214</c:v>
                </c:pt>
                <c:pt idx="52">
                  <c:v>3.3408255930866298E-216</c:v>
                </c:pt>
                <c:pt idx="53">
                  <c:v>-1.13149030368559E-215</c:v>
                </c:pt>
                <c:pt idx="54">
                  <c:v>1.48787701871047E-214</c:v>
                </c:pt>
                <c:pt idx="55">
                  <c:v>-9.366563916883741E-215</c:v>
                </c:pt>
                <c:pt idx="56">
                  <c:v>3.0536587669661299E-214</c:v>
                </c:pt>
                <c:pt idx="57">
                  <c:v>-8.8991103717837499E-215</c:v>
                </c:pt>
                <c:pt idx="58">
                  <c:v>1.65679668405123E-215</c:v>
                </c:pt>
                <c:pt idx="59">
                  <c:v>1.00914935803119E-216</c:v>
                </c:pt>
                <c:pt idx="60">
                  <c:v>-1.8725732306308801E-216</c:v>
                </c:pt>
                <c:pt idx="61">
                  <c:v>8.9137816443679992E-217</c:v>
                </c:pt>
                <c:pt idx="62">
                  <c:v>2.2161908223776399E-215</c:v>
                </c:pt>
                <c:pt idx="63">
                  <c:v>1.7211964558357201E-215</c:v>
                </c:pt>
                <c:pt idx="64">
                  <c:v>-1.3952815074660301E-215</c:v>
                </c:pt>
                <c:pt idx="65">
                  <c:v>-3.1912931970915001E-216</c:v>
                </c:pt>
                <c:pt idx="66">
                  <c:v>2.2292780087544099E-215</c:v>
                </c:pt>
                <c:pt idx="67">
                  <c:v>-7.2059068498753903E-216</c:v>
                </c:pt>
                <c:pt idx="68">
                  <c:v>-2.4467307809956599E-215</c:v>
                </c:pt>
                <c:pt idx="69">
                  <c:v>2.0958476667006799E-215</c:v>
                </c:pt>
                <c:pt idx="70">
                  <c:v>1.95301451421623E-215</c:v>
                </c:pt>
                <c:pt idx="71">
                  <c:v>-3.5794175853083799E-215</c:v>
                </c:pt>
                <c:pt idx="72">
                  <c:v>-5.9468336966080998E-216</c:v>
                </c:pt>
                <c:pt idx="73">
                  <c:v>4.7309922109487803E-215</c:v>
                </c:pt>
                <c:pt idx="74">
                  <c:v>-1.6769398153716001E-215</c:v>
                </c:pt>
                <c:pt idx="75">
                  <c:v>-4.8395468600634697E-215</c:v>
                </c:pt>
                <c:pt idx="76">
                  <c:v>4.6754040802664704E-215</c:v>
                </c:pt>
                <c:pt idx="77">
                  <c:v>-3.3515950116243998E-215</c:v>
                </c:pt>
                <c:pt idx="78">
                  <c:v>1.3103986814856999E-215</c:v>
                </c:pt>
                <c:pt idx="79">
                  <c:v>-3.03239182517506E-216</c:v>
                </c:pt>
                <c:pt idx="80">
                  <c:v>2.87111673833003E-217</c:v>
                </c:pt>
                <c:pt idx="81">
                  <c:v>1.53281616777092E-222</c:v>
                </c:pt>
                <c:pt idx="82">
                  <c:v>-4.75922075173692E-223</c:v>
                </c:pt>
                <c:pt idx="83">
                  <c:v>1.01272856170539E-223</c:v>
                </c:pt>
                <c:pt idx="84">
                  <c:v>-1.32682666138281E-224</c:v>
                </c:pt>
                <c:pt idx="85">
                  <c:v>7.8917838532640102E-226</c:v>
                </c:pt>
                <c:pt idx="86">
                  <c:v>1.7928635485669E-230</c:v>
                </c:pt>
                <c:pt idx="87">
                  <c:v>-3.7102769609827503E-231</c:v>
                </c:pt>
                <c:pt idx="88">
                  <c:v>5.4249571424166899E-232</c:v>
                </c:pt>
                <c:pt idx="89">
                  <c:v>-5.00301437568382E-233</c:v>
                </c:pt>
                <c:pt idx="90">
                  <c:v>2.1688378025320699E-234</c:v>
                </c:pt>
                <c:pt idx="91">
                  <c:v>1.41254870540608E-238</c:v>
                </c:pt>
                <c:pt idx="92">
                  <c:v>-2.1960557136374398E-239</c:v>
                </c:pt>
                <c:pt idx="93">
                  <c:v>2.45014669104993E-240</c:v>
                </c:pt>
                <c:pt idx="94">
                  <c:v>-1.7478003692722901E-241</c:v>
                </c:pt>
                <c:pt idx="95">
                  <c:v>5.9582386471180597E-243</c:v>
                </c:pt>
                <c:pt idx="96">
                  <c:v>8.9028666995678006E-247</c:v>
                </c:pt>
                <c:pt idx="97">
                  <c:v>-1.1087837553319801E-247</c:v>
                </c:pt>
                <c:pt idx="98">
                  <c:v>1.0010863722934999E-248</c:v>
                </c:pt>
                <c:pt idx="99">
                  <c:v>-5.8276507544368502E-250</c:v>
                </c:pt>
              </c:numCache>
            </c:numRef>
          </c:yVal>
          <c:smooth val="0"/>
          <c:extLst>
            <c:ext xmlns:c16="http://schemas.microsoft.com/office/drawing/2014/chart" uri="{C3380CC4-5D6E-409C-BE32-E72D297353CC}">
              <c16:uniqueId val="{00000004-CF86-4C2E-BF49-1F263FBF5A1F}"/>
            </c:ext>
          </c:extLst>
        </c:ser>
        <c:ser>
          <c:idx val="5"/>
          <c:order val="5"/>
          <c:tx>
            <c:strRef>
              <c:f>dynamicR!$O$19</c:f>
              <c:strCache>
                <c:ptCount val="1"/>
                <c:pt idx="0">
                  <c:v>cwRA</c:v>
                </c:pt>
              </c:strCache>
            </c:strRef>
          </c:tx>
          <c:spPr>
            <a:ln w="19050" cap="rnd">
              <a:solidFill>
                <a:schemeClr val="accent6"/>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dynamicR!$O$20:$O$119</c:f>
              <c:numCache>
                <c:formatCode>0.00</c:formatCode>
                <c:ptCount val="100"/>
                <c:pt idx="0">
                  <c:v>0</c:v>
                </c:pt>
                <c:pt idx="1">
                  <c:v>1</c:v>
                </c:pt>
                <c:pt idx="2">
                  <c:v>0.999999999999999</c:v>
                </c:pt>
                <c:pt idx="3">
                  <c:v>0.999999999999998</c:v>
                </c:pt>
                <c:pt idx="4">
                  <c:v>1</c:v>
                </c:pt>
                <c:pt idx="5">
                  <c:v>1</c:v>
                </c:pt>
                <c:pt idx="6">
                  <c:v>1</c:v>
                </c:pt>
                <c:pt idx="7">
                  <c:v>1</c:v>
                </c:pt>
                <c:pt idx="8">
                  <c:v>1</c:v>
                </c:pt>
                <c:pt idx="9">
                  <c:v>1</c:v>
                </c:pt>
                <c:pt idx="10">
                  <c:v>1</c:v>
                </c:pt>
                <c:pt idx="11">
                  <c:v>1</c:v>
                </c:pt>
                <c:pt idx="12">
                  <c:v>1</c:v>
                </c:pt>
                <c:pt idx="13">
                  <c:v>1</c:v>
                </c:pt>
                <c:pt idx="14">
                  <c:v>0.999999999999999</c:v>
                </c:pt>
                <c:pt idx="15">
                  <c:v>1</c:v>
                </c:pt>
                <c:pt idx="16">
                  <c:v>1</c:v>
                </c:pt>
                <c:pt idx="17">
                  <c:v>0.999999999999999</c:v>
                </c:pt>
                <c:pt idx="18">
                  <c:v>1</c:v>
                </c:pt>
                <c:pt idx="19">
                  <c:v>1</c:v>
                </c:pt>
                <c:pt idx="20">
                  <c:v>0.999999999999998</c:v>
                </c:pt>
                <c:pt idx="21">
                  <c:v>0.999999999999999</c:v>
                </c:pt>
                <c:pt idx="22">
                  <c:v>1</c:v>
                </c:pt>
                <c:pt idx="23">
                  <c:v>0.999999999999998</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-2.6125828680336399E-101</c:v>
                </c:pt>
                <c:pt idx="52">
                  <c:v>6.2937491197316098E-103</c:v>
                </c:pt>
                <c:pt idx="53">
                  <c:v>-2.1315688885640801E-102</c:v>
                </c:pt>
                <c:pt idx="54">
                  <c:v>2.8029832444540099E-101</c:v>
                </c:pt>
                <c:pt idx="55">
                  <c:v>-1.7645452288909002E-101</c:v>
                </c:pt>
                <c:pt idx="56">
                  <c:v>5.7527149146547894E-101</c:v>
                </c:pt>
                <c:pt idx="57">
                  <c:v>-1.6764773775932601E-101</c:v>
                </c:pt>
                <c:pt idx="58">
                  <c:v>3.1211636206389401E-102</c:v>
                </c:pt>
                <c:pt idx="59">
                  <c:v>1.9012405697607199E-103</c:v>
                </c:pt>
                <c:pt idx="60">
                  <c:v>-3.5278086465491198E-103</c:v>
                </c:pt>
                <c:pt idx="61">
                  <c:v>1.67903951337664E-103</c:v>
                </c:pt>
                <c:pt idx="62">
                  <c:v>4.17502746815653E-102</c:v>
                </c:pt>
                <c:pt idx="63">
                  <c:v>3.2425136235557499E-102</c:v>
                </c:pt>
                <c:pt idx="64">
                  <c:v>-2.62855511971996E-102</c:v>
                </c:pt>
                <c:pt idx="65">
                  <c:v>-6.0119581778733796E-103</c:v>
                </c:pt>
                <c:pt idx="66">
                  <c:v>4.1996969972350902E-102</c:v>
                </c:pt>
                <c:pt idx="67">
                  <c:v>-1.35751366638448E-102</c:v>
                </c:pt>
                <c:pt idx="68">
                  <c:v>-4.6093469621971599E-102</c:v>
                </c:pt>
                <c:pt idx="69">
                  <c:v>3.9483313867564901E-102</c:v>
                </c:pt>
                <c:pt idx="70">
                  <c:v>3.6792417494452102E-102</c:v>
                </c:pt>
                <c:pt idx="71">
                  <c:v>-6.7431944181500604E-102</c:v>
                </c:pt>
                <c:pt idx="72">
                  <c:v>-1.12030968720068E-102</c:v>
                </c:pt>
                <c:pt idx="73">
                  <c:v>8.9126173893884099E-102</c:v>
                </c:pt>
                <c:pt idx="74">
                  <c:v>-3.1591493467040301E-102</c:v>
                </c:pt>
                <c:pt idx="75">
                  <c:v>-9.1171189785366094E-102</c:v>
                </c:pt>
                <c:pt idx="76">
                  <c:v>8.8078877622873099E-102</c:v>
                </c:pt>
                <c:pt idx="77">
                  <c:v>-6.31397930975284E-102</c:v>
                </c:pt>
                <c:pt idx="78">
                  <c:v>2.46860533953434E-102</c:v>
                </c:pt>
                <c:pt idx="79">
                  <c:v>-5.7124388558171902E-103</c:v>
                </c:pt>
                <c:pt idx="80">
                  <c:v>5.4075477537878503E-104</c:v>
                </c:pt>
                <c:pt idx="81">
                  <c:v>5.8245429488410603E-108</c:v>
                </c:pt>
                <c:pt idx="82">
                  <c:v>-1.8084233330728201E-108</c:v>
                </c:pt>
                <c:pt idx="83">
                  <c:v>3.8480058585957699E-109</c:v>
                </c:pt>
                <c:pt idx="84">
                  <c:v>-5.04050343599968E-110</c:v>
                </c:pt>
                <c:pt idx="85">
                  <c:v>2.99404086049736E-111</c:v>
                </c:pt>
                <c:pt idx="86">
                  <c:v>1.37926976481825E-114</c:v>
                </c:pt>
                <c:pt idx="87">
                  <c:v>-2.8435137845716198E-115</c:v>
                </c:pt>
                <c:pt idx="88">
                  <c:v>4.1568272536119901E-116</c:v>
                </c:pt>
                <c:pt idx="89">
                  <c:v>-3.8306614948604803E-117</c:v>
                </c:pt>
                <c:pt idx="90">
                  <c:v>1.65207510074041E-118</c:v>
                </c:pt>
                <c:pt idx="91">
                  <c:v>2.1896923308991398E-121</c:v>
                </c:pt>
                <c:pt idx="92">
                  <c:v>-3.39404565482609E-122</c:v>
                </c:pt>
                <c:pt idx="93">
                  <c:v>3.7846615255400197E-123</c:v>
                </c:pt>
                <c:pt idx="94">
                  <c:v>-2.6939661076140998E-124</c:v>
                </c:pt>
                <c:pt idx="95">
                  <c:v>9.0474259829393195E-126</c:v>
                </c:pt>
                <c:pt idx="96">
                  <c:v>2.7786612282550001E-128</c:v>
                </c:pt>
                <c:pt idx="97">
                  <c:v>-3.4549163185592899E-129</c:v>
                </c:pt>
                <c:pt idx="98">
                  <c:v>3.11524525973355E-130</c:v>
                </c:pt>
                <c:pt idx="99">
                  <c:v>-1.8041729024594601E-131</c:v>
                </c:pt>
              </c:numCache>
            </c:numRef>
          </c:yVal>
          <c:smooth val="0"/>
          <c:extLst>
            <c:ext xmlns:c16="http://schemas.microsoft.com/office/drawing/2014/chart" uri="{C3380CC4-5D6E-409C-BE32-E72D297353CC}">
              <c16:uniqueId val="{00000005-CF86-4C2E-BF49-1F263FBF5A1F}"/>
            </c:ext>
          </c:extLst>
        </c:ser>
        <c:ser>
          <c:idx val="6"/>
          <c:order val="6"/>
          <c:tx>
            <c:strRef>
              <c:f>dynamicR!$P$19</c:f>
              <c:strCache>
                <c:ptCount val="1"/>
                <c:pt idx="0">
                  <c:v>cwRP</c:v>
                </c:pt>
              </c:strCache>
            </c:strRef>
          </c:tx>
          <c:spPr>
            <a:ln w="19050" cap="rnd">
              <a:solidFill>
                <a:schemeClr val="accent1">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dynamicR!$P$20:$P$119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-2.0611538118216299E-214</c:v>
                </c:pt>
                <c:pt idx="52">
                  <c:v>4.9653229007251202E-216</c:v>
                </c:pt>
                <c:pt idx="53">
                  <c:v>-1.6816844497197801E-215</c:v>
                </c:pt>
                <c:pt idx="54">
                  <c:v>2.2113661449901599E-214</c:v>
                </c:pt>
                <c:pt idx="55">
                  <c:v>-1.39211116414427E-214</c:v>
                </c:pt>
                <c:pt idx="56">
                  <c:v>4.5385186530171496E-214</c:v>
                </c:pt>
                <c:pt idx="57">
                  <c:v>-1.32263561576881E-214</c:v>
                </c:pt>
                <c:pt idx="58">
                  <c:v>2.4624240090086499E-215</c:v>
                </c:pt>
                <c:pt idx="59">
                  <c:v>1.49985428617358E-216</c:v>
                </c:pt>
                <c:pt idx="60">
                  <c:v>-2.78312319557407E-216</c:v>
                </c:pt>
                <c:pt idx="61">
                  <c:v>1.3248161433107201E-216</c:v>
                </c:pt>
                <c:pt idx="62">
                  <c:v>3.2938269022989297E-215</c:v>
                </c:pt>
                <c:pt idx="63">
                  <c:v>2.5581385560882402E-215</c:v>
                </c:pt>
                <c:pt idx="64">
                  <c:v>-2.0737455092613899E-215</c:v>
                </c:pt>
                <c:pt idx="65">
                  <c:v>-4.7430786553049997E-216</c:v>
                </c:pt>
                <c:pt idx="66">
                  <c:v>3.3132778115473502E-215</c:v>
                </c:pt>
                <c:pt idx="67">
                  <c:v>-1.07098222760969E-215</c:v>
                </c:pt>
                <c:pt idx="68">
                  <c:v>-3.6364682985556901E-215</c:v>
                </c:pt>
                <c:pt idx="69">
                  <c:v>3.1149661653652599E-215</c:v>
                </c:pt>
                <c:pt idx="70">
                  <c:v>2.90267953578297E-215</c:v>
                </c:pt>
                <c:pt idx="71">
                  <c:v>-5.3199308552329103E-215</c:v>
                </c:pt>
                <c:pt idx="72">
                  <c:v>-8.8385172502287406E-216</c:v>
                </c:pt>
                <c:pt idx="73">
                  <c:v>7.0314655496459502E-215</c:v>
                </c:pt>
                <c:pt idx="74">
                  <c:v>-2.4923618587507602E-215</c:v>
                </c:pt>
                <c:pt idx="75">
                  <c:v>-7.1928055479948996E-215</c:v>
                </c:pt>
                <c:pt idx="76">
                  <c:v>6.9488473570063499E-215</c:v>
                </c:pt>
                <c:pt idx="77">
                  <c:v>-4.9813281886331598E-215</c:v>
                </c:pt>
                <c:pt idx="78">
                  <c:v>1.9475879000275599E-215</c:v>
                </c:pt>
                <c:pt idx="79">
                  <c:v>-4.5069105382168002E-216</c:v>
                </c:pt>
                <c:pt idx="80">
                  <c:v>4.26721447307702E-217</c:v>
                </c:pt>
                <c:pt idx="81">
                  <c:v>2.2781572273750701E-222</c:v>
                </c:pt>
                <c:pt idx="82">
                  <c:v>-7.0734200276975692E-223</c:v>
                </c:pt>
                <c:pt idx="83">
                  <c:v>1.50517366274421E-223</c:v>
                </c:pt>
                <c:pt idx="84">
                  <c:v>-1.9720034205604601E-224</c:v>
                </c:pt>
                <c:pt idx="85">
                  <c:v>1.17292040036325E-225</c:v>
                </c:pt>
                <c:pt idx="86">
                  <c:v>2.6659204357231201E-230</c:v>
                </c:pt>
                <c:pt idx="87">
                  <c:v>-5.5144229626593501E-231</c:v>
                </c:pt>
                <c:pt idx="88">
                  <c:v>8.0628800024027203E-232</c:v>
                </c:pt>
                <c:pt idx="89">
                  <c:v>-7.4357671193318301E-233</c:v>
                </c:pt>
                <c:pt idx="90">
                  <c:v>3.2234496893416202E-234</c:v>
                </c:pt>
                <c:pt idx="91">
                  <c:v>2.09936263825188E-238</c:v>
                </c:pt>
                <c:pt idx="92">
                  <c:v>-3.2639020189719602E-239</c:v>
                </c:pt>
                <c:pt idx="93">
                  <c:v>3.6415474892939098E-240</c:v>
                </c:pt>
                <c:pt idx="94">
                  <c:v>-2.5976810196028801E-241</c:v>
                </c:pt>
                <c:pt idx="95">
                  <c:v>8.8554989930089902E-243</c:v>
                </c:pt>
                <c:pt idx="96">
                  <c:v>1.3239325748080299E-246</c:v>
                </c:pt>
                <c:pt idx="97">
                  <c:v>-1.6479375563781801E-247</c:v>
                </c:pt>
                <c:pt idx="98">
                  <c:v>1.48787177455629E-248</c:v>
                </c:pt>
                <c:pt idx="99">
                  <c:v>-8.6614034194670206E-250</c:v>
                </c:pt>
              </c:numCache>
            </c:numRef>
          </c:yVal>
          <c:smooth val="0"/>
          <c:extLst>
            <c:ext xmlns:c16="http://schemas.microsoft.com/office/drawing/2014/chart" uri="{C3380CC4-5D6E-409C-BE32-E72D297353CC}">
              <c16:uniqueId val="{00000006-CF86-4C2E-BF49-1F263FBF5A1F}"/>
            </c:ext>
          </c:extLst>
        </c:ser>
        <c:ser>
          <c:idx val="7"/>
          <c:order val="7"/>
          <c:tx>
            <c:strRef>
              <c:f>dynamicR!$Q$19</c:f>
              <c:strCache>
                <c:ptCount val="1"/>
                <c:pt idx="0">
                  <c:v>w0RD</c:v>
                </c:pt>
              </c:strCache>
            </c:strRef>
          </c:tx>
          <c:spPr>
            <a:ln w="19050" cap="rnd">
              <a:solidFill>
                <a:schemeClr val="accent2">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dynamicR!$Q$20:$Q$119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1.6286362544900601E-16</c:v>
                </c:pt>
                <c:pt idx="52">
                  <c:v>1.5960782142857E-16</c:v>
                </c:pt>
                <c:pt idx="53">
                  <c:v>1.56417212630312E-16</c:v>
                </c:pt>
                <c:pt idx="54">
                  <c:v>1.53290453273066E-16</c:v>
                </c:pt>
                <c:pt idx="55">
                  <c:v>1.5022618467305899E-16</c:v>
                </c:pt>
                <c:pt idx="56">
                  <c:v>1.47223155452285E-16</c:v>
                </c:pt>
                <c:pt idx="57">
                  <c:v>1.4428015142679299E-16</c:v>
                </c:pt>
                <c:pt idx="58">
                  <c:v>1.4139597714506801E-16</c:v>
                </c:pt>
                <c:pt idx="59">
                  <c:v>1.3856945812387299E-16</c:v>
                </c:pt>
                <c:pt idx="60">
                  <c:v>1.3579943989102299E-16</c:v>
                </c:pt>
                <c:pt idx="61">
                  <c:v>1.3308479089104199E-16</c:v>
                </c:pt>
                <c:pt idx="62">
                  <c:v>1.3042440629741501E-16</c:v>
                </c:pt>
                <c:pt idx="63">
                  <c:v>1.2781720378388299E-16</c:v>
                </c:pt>
                <c:pt idx="64">
                  <c:v>1.2526212065236401E-16</c:v>
                </c:pt>
                <c:pt idx="65">
                  <c:v>1.22758114392384E-16</c:v>
                </c:pt>
                <c:pt idx="66">
                  <c:v>1.2030416346255101E-16</c:v>
                </c:pt>
                <c:pt idx="67">
                  <c:v>1.1789926716749001E-16</c:v>
                </c:pt>
                <c:pt idx="68">
                  <c:v>1.15542445010147E-16</c:v>
                </c:pt>
                <c:pt idx="69">
                  <c:v>1.1323273606607101E-16</c:v>
                </c:pt>
                <c:pt idx="70">
                  <c:v>1.10969198544577E-16</c:v>
                </c:pt>
                <c:pt idx="71">
                  <c:v>1.08750909450567E-16</c:v>
                </c:pt>
                <c:pt idx="72">
                  <c:v>1.06576964247131E-16</c:v>
                </c:pt>
                <c:pt idx="73">
                  <c:v>1.0444647649297E-16</c:v>
                </c:pt>
                <c:pt idx="74">
                  <c:v>1.02358577472309E-16</c:v>
                </c:pt>
                <c:pt idx="75">
                  <c:v>1.00312415849613E-16</c:v>
                </c:pt>
                <c:pt idx="76">
                  <c:v>9.8307157320291503E-17</c:v>
                </c:pt>
                <c:pt idx="77">
                  <c:v>9.6341984212381604E-17</c:v>
                </c:pt>
                <c:pt idx="78">
                  <c:v>9.4416095169915501E-17</c:v>
                </c:pt>
                <c:pt idx="79">
                  <c:v>9.2528704880184005E-17</c:v>
                </c:pt>
                <c:pt idx="80">
                  <c:v>9.0679043761982897E-17</c:v>
                </c:pt>
                <c:pt idx="81">
                  <c:v>8.8866357621359402E-17</c:v>
                </c:pt>
                <c:pt idx="82">
                  <c:v>8.7089907324709405E-17</c:v>
                </c:pt>
                <c:pt idx="83">
                  <c:v>8.53489685051321E-17</c:v>
                </c:pt>
                <c:pt idx="84">
                  <c:v>8.3642831279940794E-17</c:v>
                </c:pt>
                <c:pt idx="85">
                  <c:v>8.1970799963251995E-17</c:v>
                </c:pt>
                <c:pt idx="86">
                  <c:v>8.0332192776193801E-17</c:v>
                </c:pt>
                <c:pt idx="87">
                  <c:v>7.8726341565888902E-17</c:v>
                </c:pt>
                <c:pt idx="88">
                  <c:v>7.71525915345846E-17</c:v>
                </c:pt>
                <c:pt idx="89">
                  <c:v>7.5610300974880204E-17</c:v>
                </c:pt>
                <c:pt idx="90">
                  <c:v>7.4098841008234801E-17</c:v>
                </c:pt>
                <c:pt idx="91">
                  <c:v>7.2617595327487395E-17</c:v>
                </c:pt>
                <c:pt idx="92">
                  <c:v>7.1165959945041201E-17</c:v>
                </c:pt>
                <c:pt idx="93">
                  <c:v>6.9743342946762896E-17</c:v>
                </c:pt>
                <c:pt idx="94">
                  <c:v>6.8349164251268998E-17</c:v>
                </c:pt>
                <c:pt idx="95">
                  <c:v>6.6982855373214603E-17</c:v>
                </c:pt>
                <c:pt idx="96">
                  <c:v>6.5643859191297296E-17</c:v>
                </c:pt>
                <c:pt idx="97">
                  <c:v>6.4331629721028602E-17</c:v>
                </c:pt>
                <c:pt idx="98">
                  <c:v>6.3045631892314604E-17</c:v>
                </c:pt>
                <c:pt idx="99">
                  <c:v>6.1785341331125903E-17</c:v>
                </c:pt>
              </c:numCache>
            </c:numRef>
          </c:yVal>
          <c:smooth val="0"/>
          <c:extLst>
            <c:ext xmlns:c16="http://schemas.microsoft.com/office/drawing/2014/chart" uri="{C3380CC4-5D6E-409C-BE32-E72D297353CC}">
              <c16:uniqueId val="{00000007-CF86-4C2E-BF49-1F263FBF5A1F}"/>
            </c:ext>
          </c:extLst>
        </c:ser>
        <c:ser>
          <c:idx val="8"/>
          <c:order val="8"/>
          <c:tx>
            <c:strRef>
              <c:f>dynamicR!$R$19</c:f>
              <c:strCache>
                <c:ptCount val="1"/>
                <c:pt idx="0">
                  <c:v>w0RS</c:v>
                </c:pt>
              </c:strCache>
            </c:strRef>
          </c:tx>
          <c:spPr>
            <a:ln w="19050" cap="rnd">
              <a:solidFill>
                <a:schemeClr val="accent3">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dynamicR!$R$20:$R$119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-9.8913150060480194E-215</c:v>
                </c:pt>
                <c:pt idx="52">
                  <c:v>2.3828188710144101E-216</c:v>
                </c:pt>
                <c:pt idx="53">
                  <c:v>-8.0702700617319001E-216</c:v>
                </c:pt>
                <c:pt idx="54">
                  <c:v>1.0612171859827401E-214</c:v>
                </c:pt>
                <c:pt idx="55">
                  <c:v>-6.6806318730382697E-215</c:v>
                </c:pt>
                <c:pt idx="56">
                  <c:v>2.17799934116049E-214</c:v>
                </c:pt>
                <c:pt idx="57">
                  <c:v>-6.3472241019663904E-215</c:v>
                </c:pt>
                <c:pt idx="58">
                  <c:v>1.1816978781036899E-215</c:v>
                </c:pt>
                <c:pt idx="59">
                  <c:v>7.1976825313225803E-217</c:v>
                </c:pt>
                <c:pt idx="60">
                  <c:v>-1.33559889063704E-216</c:v>
                </c:pt>
                <c:pt idx="61">
                  <c:v>6.3576882766780103E-217</c:v>
                </c:pt>
                <c:pt idx="62">
                  <c:v>1.58068157516631E-215</c:v>
                </c:pt>
                <c:pt idx="63">
                  <c:v>1.2276305350196701E-215</c:v>
                </c:pt>
                <c:pt idx="64">
                  <c:v>-9.9517412884853096E-216</c:v>
                </c:pt>
                <c:pt idx="65">
                  <c:v>-2.2761660713785801E-216</c:v>
                </c:pt>
                <c:pt idx="66">
                  <c:v>1.59001591324208E-215</c:v>
                </c:pt>
                <c:pt idx="67">
                  <c:v>-5.1395593172532102E-216</c:v>
                </c:pt>
                <c:pt idx="68">
                  <c:v>-1.7451124812270799E-215</c:v>
                </c:pt>
                <c:pt idx="69">
                  <c:v>1.4948477169284401E-215</c:v>
                </c:pt>
                <c:pt idx="70">
                  <c:v>1.39297303620364E-215</c:v>
                </c:pt>
                <c:pt idx="71">
                  <c:v>-2.5529928965471798E-215</c:v>
                </c:pt>
                <c:pt idx="72">
                  <c:v>-4.2415347811623303E-216</c:v>
                </c:pt>
                <c:pt idx="73">
                  <c:v>3.3743449095592898E-215</c:v>
                </c:pt>
                <c:pt idx="74">
                  <c:v>-1.1960648162854199E-215</c:v>
                </c:pt>
                <c:pt idx="75">
                  <c:v>-3.4517707034132001E-215</c:v>
                </c:pt>
                <c:pt idx="76">
                  <c:v>3.33469708993995E-215</c:v>
                </c:pt>
                <c:pt idx="77">
                  <c:v>-2.3905001450236498E-215</c:v>
                </c:pt>
                <c:pt idx="78">
                  <c:v>9.3463208629497503E-216</c:v>
                </c:pt>
                <c:pt idx="79">
                  <c:v>-2.1628308529843E-216</c:v>
                </c:pt>
                <c:pt idx="80">
                  <c:v>2.0478026001216601E-217</c:v>
                </c:pt>
                <c:pt idx="81">
                  <c:v>1.0932696982209699E-222</c:v>
                </c:pt>
                <c:pt idx="82">
                  <c:v>-3.3944787999124101E-223</c:v>
                </c:pt>
                <c:pt idx="83">
                  <c:v>7.2232117746584197E-224</c:v>
                </c:pt>
                <c:pt idx="84">
                  <c:v>-9.4634943906534496E-225</c:v>
                </c:pt>
                <c:pt idx="85">
                  <c:v>5.6287587459723201E-226</c:v>
                </c:pt>
                <c:pt idx="86">
                  <c:v>1.28168816498424E-230</c:v>
                </c:pt>
                <c:pt idx="87">
                  <c:v>-2.6463275212801899E-231</c:v>
                </c:pt>
                <c:pt idx="88">
                  <c:v>3.8693111043684202E-232</c:v>
                </c:pt>
                <c:pt idx="89">
                  <c:v>-3.5683657565924699E-233</c:v>
                </c:pt>
                <c:pt idx="90">
                  <c:v>1.5469091761126101E-234</c:v>
                </c:pt>
                <c:pt idx="91">
                  <c:v>1.00854394784744E-238</c:v>
                </c:pt>
                <c:pt idx="92">
                  <c:v>-1.56632054307778E-239</c:v>
                </c:pt>
                <c:pt idx="93">
                  <c:v>1.7475495209654601E-240</c:v>
                </c:pt>
                <c:pt idx="94">
                  <c:v>-1.24660694263477E-241</c:v>
                </c:pt>
                <c:pt idx="95">
                  <c:v>4.2496756985257198E-243</c:v>
                </c:pt>
                <c:pt idx="96">
                  <c:v>6.3519108765918695E-247</c:v>
                </c:pt>
                <c:pt idx="97">
                  <c:v>-7.9083157257351495E-248</c:v>
                </c:pt>
                <c:pt idx="98">
                  <c:v>7.1401749220352799E-249</c:v>
                </c:pt>
                <c:pt idx="99">
                  <c:v>-4.1565318999178297E-250</c:v>
                </c:pt>
              </c:numCache>
            </c:numRef>
          </c:yVal>
          <c:smooth val="0"/>
          <c:extLst>
            <c:ext xmlns:c16="http://schemas.microsoft.com/office/drawing/2014/chart" uri="{C3380CC4-5D6E-409C-BE32-E72D297353CC}">
              <c16:uniqueId val="{00000008-CF86-4C2E-BF49-1F263FBF5A1F}"/>
            </c:ext>
          </c:extLst>
        </c:ser>
        <c:ser>
          <c:idx val="9"/>
          <c:order val="9"/>
          <c:tx>
            <c:strRef>
              <c:f>dynamicR!$S$19</c:f>
              <c:strCache>
                <c:ptCount val="1"/>
                <c:pt idx="0">
                  <c:v>w0RA</c:v>
                </c:pt>
              </c:strCache>
            </c:strRef>
          </c:tx>
          <c:spPr>
            <a:ln w="19050" cap="rnd">
              <a:solidFill>
                <a:schemeClr val="accent4">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dynamicR!$S$20:$S$119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-9.4216229811839799E-101</c:v>
                </c:pt>
                <c:pt idx="52">
                  <c:v>2.2696823282969202E-102</c:v>
                </c:pt>
                <c:pt idx="53">
                  <c:v>-7.6869670816933893E-102</c:v>
                </c:pt>
                <c:pt idx="54">
                  <c:v>1.01082540596818E-100</c:v>
                </c:pt>
                <c:pt idx="55">
                  <c:v>-6.3633885434403206E-101</c:v>
                </c:pt>
                <c:pt idx="56">
                  <c:v>2.0745719403998399E-100</c:v>
                </c:pt>
                <c:pt idx="57">
                  <c:v>-6.0457939910393303E-101</c:v>
                </c:pt>
                <c:pt idx="58">
                  <c:v>1.1255691556208901E-101</c:v>
                </c:pt>
                <c:pt idx="59">
                  <c:v>6.8563459108256302E-103</c:v>
                </c:pt>
                <c:pt idx="60">
                  <c:v>-1.2722154561945699E-102</c:v>
                </c:pt>
                <c:pt idx="61">
                  <c:v>6.0550336894469095E-103</c:v>
                </c:pt>
                <c:pt idx="62">
                  <c:v>1.50561864522347E-101</c:v>
                </c:pt>
                <c:pt idx="63">
                  <c:v>1.16933098195215E-101</c:v>
                </c:pt>
                <c:pt idx="64">
                  <c:v>-9.4792228995694903E-102</c:v>
                </c:pt>
                <c:pt idx="65">
                  <c:v>-2.1680615028161301E-102</c:v>
                </c:pt>
                <c:pt idx="66">
                  <c:v>1.51451509039251E-101</c:v>
                </c:pt>
                <c:pt idx="67">
                  <c:v>-4.8955315931289497E-102</c:v>
                </c:pt>
                <c:pt idx="68">
                  <c:v>-1.6622450466541799E-101</c:v>
                </c:pt>
                <c:pt idx="69">
                  <c:v>1.42386640537398E-101</c:v>
                </c:pt>
                <c:pt idx="70">
                  <c:v>1.3268259958767201E-101</c:v>
                </c:pt>
                <c:pt idx="71">
                  <c:v>-2.4317634606645E-101</c:v>
                </c:pt>
                <c:pt idx="72">
                  <c:v>-4.0401151042456501E-102</c:v>
                </c:pt>
                <c:pt idx="73">
                  <c:v>3.2141112894597E-101</c:v>
                </c:pt>
                <c:pt idx="74">
                  <c:v>-1.1392677523013199E-101</c:v>
                </c:pt>
                <c:pt idx="75">
                  <c:v>-3.28785964391914E-101</c:v>
                </c:pt>
                <c:pt idx="76">
                  <c:v>3.1763431836271397E-101</c:v>
                </c:pt>
                <c:pt idx="77">
                  <c:v>-2.2769778275294499E-101</c:v>
                </c:pt>
                <c:pt idx="78">
                  <c:v>8.9024042482335405E-102</c:v>
                </c:pt>
                <c:pt idx="79">
                  <c:v>-2.06004739288896E-102</c:v>
                </c:pt>
                <c:pt idx="80">
                  <c:v>1.95009608562511E-103</c:v>
                </c:pt>
                <c:pt idx="81">
                  <c:v>2.1004749222608501E-107</c:v>
                </c:pt>
                <c:pt idx="82">
                  <c:v>-6.5216239156040496E-108</c:v>
                </c:pt>
                <c:pt idx="83">
                  <c:v>1.3876865272576E-108</c:v>
                </c:pt>
                <c:pt idx="84">
                  <c:v>-1.8177307661385299E-109</c:v>
                </c:pt>
                <c:pt idx="85">
                  <c:v>1.07972547882224E-110</c:v>
                </c:pt>
                <c:pt idx="86">
                  <c:v>4.9740143292574197E-114</c:v>
                </c:pt>
                <c:pt idx="87">
                  <c:v>-1.0254417202987901E-114</c:v>
                </c:pt>
                <c:pt idx="88">
                  <c:v>1.4990551544808099E-115</c:v>
                </c:pt>
                <c:pt idx="89">
                  <c:v>-1.3814316010386E-116</c:v>
                </c:pt>
                <c:pt idx="90">
                  <c:v>5.9577921515649902E-118</c:v>
                </c:pt>
                <c:pt idx="91">
                  <c:v>7.8966256347752006E-121</c:v>
                </c:pt>
                <c:pt idx="92">
                  <c:v>-1.22397719626448E-121</c:v>
                </c:pt>
                <c:pt idx="93">
                  <c:v>1.36484295604774E-122</c:v>
                </c:pt>
                <c:pt idx="94">
                  <c:v>-9.7151106186356903E-124</c:v>
                </c:pt>
                <c:pt idx="95">
                  <c:v>3.2627258635364899E-125</c:v>
                </c:pt>
                <c:pt idx="96">
                  <c:v>1.0020552358964699E-127</c:v>
                </c:pt>
                <c:pt idx="97">
                  <c:v>-1.24592863604664E-128</c:v>
                </c:pt>
                <c:pt idx="98">
                  <c:v>1.1234347920249001E-129</c:v>
                </c:pt>
                <c:pt idx="99">
                  <c:v>-6.5062952113703298E-131</c:v>
                </c:pt>
              </c:numCache>
            </c:numRef>
          </c:yVal>
          <c:smooth val="0"/>
          <c:extLst>
            <c:ext xmlns:c16="http://schemas.microsoft.com/office/drawing/2014/chart" uri="{C3380CC4-5D6E-409C-BE32-E72D297353CC}">
              <c16:uniqueId val="{00000009-CF86-4C2E-BF49-1F263FBF5A1F}"/>
            </c:ext>
          </c:extLst>
        </c:ser>
        <c:ser>
          <c:idx val="10"/>
          <c:order val="10"/>
          <c:tx>
            <c:strRef>
              <c:f>dynamicR!$T$19</c:f>
              <c:strCache>
                <c:ptCount val="1"/>
                <c:pt idx="0">
                  <c:v>w0RP</c:v>
                </c:pt>
              </c:strCache>
            </c:strRef>
          </c:tx>
          <c:spPr>
            <a:ln w="19050" cap="rnd">
              <a:solidFill>
                <a:schemeClr val="accent5">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dynamicR!$T$20:$T$119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2.39192705924868E-108</c:v>
                </c:pt>
                <c:pt idx="52">
                  <c:v>-5.7621801049452198E-110</c:v>
                </c:pt>
                <c:pt idx="53">
                  <c:v>1.9515431733091399E-109</c:v>
                </c:pt>
                <c:pt idx="54">
                  <c:v>-2.5662462253026699E-108</c:v>
                </c:pt>
                <c:pt idx="55">
                  <c:v>1.61551430180149E-108</c:v>
                </c:pt>
                <c:pt idx="56">
                  <c:v>-5.2668493181624498E-108</c:v>
                </c:pt>
                <c:pt idx="57">
                  <c:v>1.5348854968942499E-108</c:v>
                </c:pt>
                <c:pt idx="58">
                  <c:v>-2.8575613524535101E-109</c:v>
                </c:pt>
                <c:pt idx="59">
                  <c:v>-1.7406416558717699E-110</c:v>
                </c:pt>
                <c:pt idx="60">
                  <c:v>3.2298350486221402E-110</c:v>
                </c:pt>
                <c:pt idx="61">
                  <c:v>-1.53726746370025E-110</c:v>
                </c:pt>
                <c:pt idx="62">
                  <c:v>-3.8224112464512302E-109</c:v>
                </c:pt>
                <c:pt idx="63">
                  <c:v>-2.9686571449881302E-109</c:v>
                </c:pt>
                <c:pt idx="64">
                  <c:v>2.4065481775647601E-109</c:v>
                </c:pt>
                <c:pt idx="65">
                  <c:v>5.5042050008272503E-110</c:v>
                </c:pt>
                <c:pt idx="66">
                  <c:v>-3.8449945507250298E-109</c:v>
                </c:pt>
                <c:pt idx="67">
                  <c:v>1.2428583096449901E-109</c:v>
                </c:pt>
                <c:pt idx="68">
                  <c:v>4.2200468403779502E-109</c:v>
                </c:pt>
                <c:pt idx="69">
                  <c:v>-3.6148587865290701E-109</c:v>
                </c:pt>
                <c:pt idx="70">
                  <c:v>-3.36849778870556E-109</c:v>
                </c:pt>
                <c:pt idx="71">
                  <c:v>6.1736717274787695E-109</c:v>
                </c:pt>
                <c:pt idx="72">
                  <c:v>1.02569004936815E-109</c:v>
                </c:pt>
                <c:pt idx="73">
                  <c:v>-8.1598686967505302E-109</c:v>
                </c:pt>
                <c:pt idx="74">
                  <c:v>2.8923319377685199E-109</c:v>
                </c:pt>
                <c:pt idx="75">
                  <c:v>8.3470987367565497E-109</c:v>
                </c:pt>
                <c:pt idx="76">
                  <c:v>-8.0639858970354802E-109</c:v>
                </c:pt>
                <c:pt idx="77">
                  <c:v>5.7807120735254698E-109</c:v>
                </c:pt>
                <c:pt idx="78">
                  <c:v>-2.2601148843213698E-109</c:v>
                </c:pt>
                <c:pt idx="79">
                  <c:v>5.2300129396561001E-110</c:v>
                </c:pt>
                <c:pt idx="80">
                  <c:v>-4.95106438794417E-111</c:v>
                </c:pt>
                <c:pt idx="81">
                  <c:v>-4.3386470932433196E-115</c:v>
                </c:pt>
                <c:pt idx="82">
                  <c:v>1.34708205909208E-115</c:v>
                </c:pt>
                <c:pt idx="83">
                  <c:v>-2.86638090750447E-116</c:v>
                </c:pt>
                <c:pt idx="84">
                  <c:v>3.7548132484942396E-117</c:v>
                </c:pt>
                <c:pt idx="85">
                  <c:v>-2.2309270946132298E-118</c:v>
                </c:pt>
                <c:pt idx="86">
                  <c:v>-8.3589267093030099E-122</c:v>
                </c:pt>
                <c:pt idx="87">
                  <c:v>1.7233381285387601E-122</c:v>
                </c:pt>
                <c:pt idx="88">
                  <c:v>-2.5193787690293E-123</c:v>
                </c:pt>
                <c:pt idx="89">
                  <c:v>2.3220348003642202E-124</c:v>
                </c:pt>
                <c:pt idx="90">
                  <c:v>-1.00245512630141E-125</c:v>
                </c:pt>
                <c:pt idx="91">
                  <c:v>-1.07971990023069E-128</c:v>
                </c:pt>
                <c:pt idx="92">
                  <c:v>1.6736541087104098E-129</c:v>
                </c:pt>
                <c:pt idx="93">
                  <c:v>-1.8664742788288101E-130</c:v>
                </c:pt>
                <c:pt idx="94">
                  <c:v>1.3291396771425699E-131</c:v>
                </c:pt>
                <c:pt idx="95">
                  <c:v>-4.4770034200234703E-133</c:v>
                </c:pt>
                <c:pt idx="96">
                  <c:v>-1.1148001110930001E-135</c:v>
                </c:pt>
                <c:pt idx="97">
                  <c:v>1.38624428445745E-136</c:v>
                </c:pt>
                <c:pt idx="98">
                  <c:v>-1.2502771244024201E-137</c:v>
                </c:pt>
                <c:pt idx="99">
                  <c:v>7.2482352810931003E-139</c:v>
                </c:pt>
              </c:numCache>
            </c:numRef>
          </c:yVal>
          <c:smooth val="0"/>
          <c:extLst>
            <c:ext xmlns:c16="http://schemas.microsoft.com/office/drawing/2014/chart" uri="{C3380CC4-5D6E-409C-BE32-E72D297353CC}">
              <c16:uniqueId val="{0000000A-CF86-4C2E-BF49-1F263FBF5A1F}"/>
            </c:ext>
          </c:extLst>
        </c:ser>
        <c:ser>
          <c:idx val="11"/>
          <c:order val="11"/>
          <c:tx>
            <c:strRef>
              <c:f>dynamicR!$U$19</c:f>
              <c:strCache>
                <c:ptCount val="1"/>
                <c:pt idx="0">
                  <c:v>w1RD</c:v>
                </c:pt>
              </c:strCache>
            </c:strRef>
          </c:tx>
          <c:spPr>
            <a:ln w="19050" cap="rnd">
              <a:solidFill>
                <a:schemeClr val="accent6">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dynamicR!$U$20:$U$119</c:f>
              <c:numCache>
                <c:formatCode>0.00</c:formatCode>
                <c:ptCount val="100"/>
                <c:pt idx="0">
                  <c:v>0</c:v>
                </c:pt>
                <c:pt idx="1">
                  <c:v>0.999999999999999</c:v>
                </c:pt>
                <c:pt idx="2">
                  <c:v>1</c:v>
                </c:pt>
                <c:pt idx="3">
                  <c:v>1</c:v>
                </c:pt>
                <c:pt idx="4">
                  <c:v>1</c:v>
                </c:pt>
                <c:pt idx="5">
                  <c:v>1</c:v>
                </c:pt>
                <c:pt idx="6">
                  <c:v>1</c:v>
                </c:pt>
                <c:pt idx="7">
                  <c:v>1</c:v>
                </c:pt>
                <c:pt idx="8">
                  <c:v>1</c:v>
                </c:pt>
                <c:pt idx="9">
                  <c:v>1</c:v>
                </c:pt>
                <c:pt idx="10">
                  <c:v>1</c:v>
                </c:pt>
                <c:pt idx="11">
                  <c:v>1</c:v>
                </c:pt>
                <c:pt idx="12">
                  <c:v>0.999999999999999</c:v>
                </c:pt>
                <c:pt idx="13">
                  <c:v>0.999999999999999</c:v>
                </c:pt>
                <c:pt idx="14">
                  <c:v>1</c:v>
                </c:pt>
                <c:pt idx="15">
                  <c:v>0.999999999999999</c:v>
                </c:pt>
                <c:pt idx="16">
                  <c:v>0.999999999999998</c:v>
                </c:pt>
                <c:pt idx="17">
                  <c:v>1</c:v>
                </c:pt>
                <c:pt idx="18">
                  <c:v>1</c:v>
                </c:pt>
                <c:pt idx="19">
                  <c:v>0.999999999999996</c:v>
                </c:pt>
                <c:pt idx="20">
                  <c:v>1</c:v>
                </c:pt>
                <c:pt idx="21">
                  <c:v>1</c:v>
                </c:pt>
                <c:pt idx="22">
                  <c:v>0.99999999999999301</c:v>
                </c:pt>
                <c:pt idx="23">
                  <c:v>1</c:v>
                </c:pt>
                <c:pt idx="24">
                  <c:v>0.999999999999998</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9.2880362314619103E-18</c:v>
                </c:pt>
                <c:pt idx="52">
                  <c:v>9.1022787159045293E-18</c:v>
                </c:pt>
                <c:pt idx="53">
                  <c:v>8.9203297975153502E-18</c:v>
                </c:pt>
                <c:pt idx="54">
                  <c:v>8.7419211479075095E-18</c:v>
                </c:pt>
                <c:pt idx="55">
                  <c:v>8.5673090313502207E-18</c:v>
                </c:pt>
                <c:pt idx="56">
                  <c:v>8.3958187090084402E-18</c:v>
                </c:pt>
                <c:pt idx="57">
                  <c:v>8.2282096602928103E-18</c:v>
                </c:pt>
                <c:pt idx="58">
                  <c:v>8.0636671850008496E-18</c:v>
                </c:pt>
                <c:pt idx="59">
                  <c:v>7.9024824069167299E-18</c:v>
                </c:pt>
                <c:pt idx="60">
                  <c:v>7.7445126427385198E-18</c:v>
                </c:pt>
                <c:pt idx="61">
                  <c:v>7.5896972424387304E-18</c:v>
                </c:pt>
                <c:pt idx="62">
                  <c:v>7.4379657433517601E-18</c:v>
                </c:pt>
                <c:pt idx="63">
                  <c:v>7.2892823600603898E-18</c:v>
                </c:pt>
                <c:pt idx="64">
                  <c:v>7.14358644328192E-18</c:v>
                </c:pt>
                <c:pt idx="65">
                  <c:v>7.0007791136614797E-18</c:v>
                </c:pt>
                <c:pt idx="66">
                  <c:v>6.8608179151388699E-18</c:v>
                </c:pt>
                <c:pt idx="67">
                  <c:v>6.7236860737941503E-18</c:v>
                </c:pt>
                <c:pt idx="68">
                  <c:v>6.5892887382138701E-18</c:v>
                </c:pt>
                <c:pt idx="69">
                  <c:v>6.4575419766327197E-18</c:v>
                </c:pt>
                <c:pt idx="70">
                  <c:v>6.3284554514984504E-18</c:v>
                </c:pt>
                <c:pt idx="71">
                  <c:v>6.2019805454978101E-18</c:v>
                </c:pt>
                <c:pt idx="72">
                  <c:v>6.0779852728639102E-18</c:v>
                </c:pt>
                <c:pt idx="73">
                  <c:v>5.9564548196874701E-18</c:v>
                </c:pt>
                <c:pt idx="74">
                  <c:v>5.8374209837688202E-18</c:v>
                </c:pt>
                <c:pt idx="75">
                  <c:v>5.7207486374883802E-18</c:v>
                </c:pt>
                <c:pt idx="76">
                  <c:v>5.6063356870795304E-18</c:v>
                </c:pt>
                <c:pt idx="77">
                  <c:v>5.4943100970108098E-18</c:v>
                </c:pt>
                <c:pt idx="78">
                  <c:v>5.3844516439723798E-18</c:v>
                </c:pt>
                <c:pt idx="79">
                  <c:v>5.2768248165121903E-18</c:v>
                </c:pt>
                <c:pt idx="80">
                  <c:v>5.1713385732657001E-18</c:v>
                </c:pt>
                <c:pt idx="81">
                  <c:v>5.0679629532820801E-18</c:v>
                </c:pt>
                <c:pt idx="82">
                  <c:v>4.9666537149227997E-18</c:v>
                </c:pt>
                <c:pt idx="83">
                  <c:v>4.8673696431229503E-18</c:v>
                </c:pt>
                <c:pt idx="84">
                  <c:v>4.7700702777510898E-18</c:v>
                </c:pt>
                <c:pt idx="85">
                  <c:v>4.6747159386912998E-18</c:v>
                </c:pt>
                <c:pt idx="86">
                  <c:v>4.5812677456983603E-18</c:v>
                </c:pt>
                <c:pt idx="87">
                  <c:v>4.4896875945813403E-18</c:v>
                </c:pt>
                <c:pt idx="88">
                  <c:v>4.3999381428475297E-18</c:v>
                </c:pt>
                <c:pt idx="89">
                  <c:v>4.3119827945433602E-18</c:v>
                </c:pt>
                <c:pt idx="90">
                  <c:v>4.2257856853296097E-18</c:v>
                </c:pt>
                <c:pt idx="91">
                  <c:v>4.1413116678012797E-18</c:v>
                </c:pt>
                <c:pt idx="92">
                  <c:v>4.0585262971262203E-18</c:v>
                </c:pt>
                <c:pt idx="93">
                  <c:v>3.9773958170102998E-18</c:v>
                </c:pt>
                <c:pt idx="94">
                  <c:v>3.8978871459697504E-18</c:v>
                </c:pt>
                <c:pt idx="95">
                  <c:v>3.81996786383173E-18</c:v>
                </c:pt>
                <c:pt idx="96">
                  <c:v>3.7436061985038198E-18</c:v>
                </c:pt>
                <c:pt idx="97">
                  <c:v>3.6687710130153902E-18</c:v>
                </c:pt>
                <c:pt idx="98">
                  <c:v>3.5954317928332401E-18</c:v>
                </c:pt>
                <c:pt idx="99">
                  <c:v>3.5235586334104697E-18</c:v>
                </c:pt>
              </c:numCache>
            </c:numRef>
          </c:yVal>
          <c:smooth val="0"/>
          <c:extLst>
            <c:ext xmlns:c16="http://schemas.microsoft.com/office/drawing/2014/chart" uri="{C3380CC4-5D6E-409C-BE32-E72D297353CC}">
              <c16:uniqueId val="{0000000B-CF86-4C2E-BF49-1F263FBF5A1F}"/>
            </c:ext>
          </c:extLst>
        </c:ser>
        <c:ser>
          <c:idx val="12"/>
          <c:order val="12"/>
          <c:tx>
            <c:strRef>
              <c:f>dynamicR!$V$19</c:f>
              <c:strCache>
                <c:ptCount val="1"/>
                <c:pt idx="0">
                  <c:v>w1RS</c:v>
                </c:pt>
              </c:strCache>
            </c:strRef>
          </c:tx>
          <c:spPr>
            <a:ln w="19050" cap="rnd">
              <a:solidFill>
                <a:schemeClr val="accent1">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dynamicR!$V$20:$V$119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-1.0276406135876599E-217</c:v>
                </c:pt>
                <c:pt idx="52">
                  <c:v>2.4755871005807499E-219</c:v>
                </c:pt>
                <c:pt idx="53">
                  <c:v>-8.3844631351487697E-219</c:v>
                </c:pt>
                <c:pt idx="54">
                  <c:v>1.1025327483552301E-217</c:v>
                </c:pt>
                <c:pt idx="55">
                  <c:v>-6.9407238805596898E-218</c:v>
                </c:pt>
                <c:pt idx="56">
                  <c:v>2.2627937359064099E-217</c:v>
                </c:pt>
                <c:pt idx="57">
                  <c:v>-6.5943357572330896E-218</c:v>
                </c:pt>
                <c:pt idx="58">
                  <c:v>1.2277040236893699E-218</c:v>
                </c:pt>
                <c:pt idx="59">
                  <c:v>7.4779044362194795E-220</c:v>
                </c:pt>
                <c:pt idx="60">
                  <c:v>-1.38759674740338E-219</c:v>
                </c:pt>
                <c:pt idx="61">
                  <c:v>6.6052073235206598E-220</c:v>
                </c:pt>
                <c:pt idx="62">
                  <c:v>1.6422210498655999E-218</c:v>
                </c:pt>
                <c:pt idx="63">
                  <c:v>1.27542494183559E-218</c:v>
                </c:pt>
                <c:pt idx="64">
                  <c:v>-1.0339184870329E-218</c:v>
                </c:pt>
                <c:pt idx="65">
                  <c:v>-2.3647823155114601E-219</c:v>
                </c:pt>
                <c:pt idx="66">
                  <c:v>1.65191879463308E-218</c:v>
                </c:pt>
                <c:pt idx="67">
                  <c:v>-5.3396538749038097E-219</c:v>
                </c:pt>
                <c:pt idx="68">
                  <c:v>-1.81305361945072E-218</c:v>
                </c:pt>
                <c:pt idx="69">
                  <c:v>1.55304548724503E-218</c:v>
                </c:pt>
                <c:pt idx="70">
                  <c:v>1.44720459698419E-218</c:v>
                </c:pt>
                <c:pt idx="71">
                  <c:v>-2.6523866291197898E-218</c:v>
                </c:pt>
                <c:pt idx="72">
                  <c:v>-4.4066672319058202E-219</c:v>
                </c:pt>
                <c:pt idx="73">
                  <c:v>3.50571571595761E-218</c:v>
                </c:pt>
                <c:pt idx="74">
                  <c:v>-1.24263029895872E-218</c:v>
                </c:pt>
                <c:pt idx="75">
                  <c:v>-3.58615586941238E-218</c:v>
                </c:pt>
                <c:pt idx="76">
                  <c:v>3.4645243179029502E-218</c:v>
                </c:pt>
                <c:pt idx="77">
                  <c:v>-2.48356767076977E-218</c:v>
                </c:pt>
                <c:pt idx="78">
                  <c:v>9.7101940713887004E-219</c:v>
                </c:pt>
                <c:pt idx="79">
                  <c:v>-2.24703470317554E-219</c:v>
                </c:pt>
                <c:pt idx="80">
                  <c:v>2.1275281427452598E-220</c:v>
                </c:pt>
                <c:pt idx="81">
                  <c:v>1.13583326563227E-225</c:v>
                </c:pt>
                <c:pt idx="82">
                  <c:v>-3.5266340292613498E-226</c:v>
                </c:pt>
                <c:pt idx="83">
                  <c:v>7.5044294884732799E-227</c:v>
                </c:pt>
                <c:pt idx="84">
                  <c:v>-9.8319354987123905E-228</c:v>
                </c:pt>
                <c:pt idx="85">
                  <c:v>5.84791274856705E-229</c:v>
                </c:pt>
                <c:pt idx="86">
                  <c:v>1.31526000341971E-233</c:v>
                </c:pt>
                <c:pt idx="87">
                  <c:v>-2.7493561512646598E-234</c:v>
                </c:pt>
                <c:pt idx="88">
                  <c:v>4.0199546136792E-235</c:v>
                </c:pt>
                <c:pt idx="89">
                  <c:v>-3.7072929977637698E-236</c:v>
                </c:pt>
                <c:pt idx="90">
                  <c:v>1.60713662170117E-237</c:v>
                </c:pt>
                <c:pt idx="91">
                  <c:v>1.04664319110215E-241</c:v>
                </c:pt>
                <c:pt idx="92">
                  <c:v>-1.6273014344394401E-242</c:v>
                </c:pt>
                <c:pt idx="93">
                  <c:v>1.8155858151109199E-243</c:v>
                </c:pt>
                <c:pt idx="94">
                  <c:v>-1.2951403825027E-244</c:v>
                </c:pt>
                <c:pt idx="95">
                  <c:v>4.4151244495627202E-246</c:v>
                </c:pt>
                <c:pt idx="96">
                  <c:v>6.5994642958022097E-250</c:v>
                </c:pt>
                <c:pt idx="97">
                  <c:v>-8.2162061055952603E-251</c:v>
                </c:pt>
                <c:pt idx="98">
                  <c:v>7.4181608961784E-252</c:v>
                </c:pt>
                <c:pt idx="99">
                  <c:v>-4.31835935657237E-253</c:v>
                </c:pt>
              </c:numCache>
            </c:numRef>
          </c:yVal>
          <c:smooth val="0"/>
          <c:extLst>
            <c:ext xmlns:c16="http://schemas.microsoft.com/office/drawing/2014/chart" uri="{C3380CC4-5D6E-409C-BE32-E72D297353CC}">
              <c16:uniqueId val="{0000000C-CF86-4C2E-BF49-1F263FBF5A1F}"/>
            </c:ext>
          </c:extLst>
        </c:ser>
        <c:ser>
          <c:idx val="13"/>
          <c:order val="13"/>
          <c:tx>
            <c:strRef>
              <c:f>dynamicR!$W$19</c:f>
              <c:strCache>
                <c:ptCount val="1"/>
                <c:pt idx="0">
                  <c:v>w1RA</c:v>
                </c:pt>
              </c:strCache>
            </c:strRef>
          </c:tx>
          <c:spPr>
            <a:ln w="19050" cap="rnd">
              <a:solidFill>
                <a:schemeClr val="accent2">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dynamicR!$W$20:$W$119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1</c:v>
                </c:pt>
                <c:pt idx="21">
                  <c:v>1</c:v>
                </c:pt>
                <c:pt idx="22">
                  <c:v>0.999999999999998</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1.9012173442266299E-91</c:v>
                </c:pt>
                <c:pt idx="52">
                  <c:v>-4.5800668600901298E-93</c:v>
                </c:pt>
                <c:pt idx="53">
                  <c:v>1.55117092155757E-92</c:v>
                </c:pt>
                <c:pt idx="54">
                  <c:v>-2.0397749312399501E-91</c:v>
                </c:pt>
                <c:pt idx="55">
                  <c:v>1.28408642133994E-91</c:v>
                </c:pt>
                <c:pt idx="56">
                  <c:v>-4.1863377888606099E-91</c:v>
                </c:pt>
                <c:pt idx="57">
                  <c:v>1.2199969452188299E-91</c:v>
                </c:pt>
                <c:pt idx="58">
                  <c:v>-2.2713102269869602E-92</c:v>
                </c:pt>
                <c:pt idx="59">
                  <c:v>-1.38358930429794E-93</c:v>
                </c:pt>
                <c:pt idx="60">
                  <c:v>2.5672641656193001E-93</c:v>
                </c:pt>
                <c:pt idx="61">
                  <c:v>-1.22181778247988E-93</c:v>
                </c:pt>
                <c:pt idx="62">
                  <c:v>-3.0382303965675099E-92</c:v>
                </c:pt>
                <c:pt idx="63">
                  <c:v>-2.3596246979551202E-92</c:v>
                </c:pt>
                <c:pt idx="64">
                  <c:v>1.9128431821561101E-92</c:v>
                </c:pt>
                <c:pt idx="65">
                  <c:v>4.3749837413738697E-93</c:v>
                </c:pt>
                <c:pt idx="66">
                  <c:v>-3.0561860096321402E-92</c:v>
                </c:pt>
                <c:pt idx="67">
                  <c:v>9.87885437442908E-93</c:v>
                </c:pt>
                <c:pt idx="68">
                  <c:v>3.3542936017450598E-92</c:v>
                </c:pt>
                <c:pt idx="69">
                  <c:v>-2.8732635829980299E-92</c:v>
                </c:pt>
                <c:pt idx="70">
                  <c:v>-2.6774408850393499E-92</c:v>
                </c:pt>
                <c:pt idx="71">
                  <c:v>4.9071279761178801E-92</c:v>
                </c:pt>
                <c:pt idx="72">
                  <c:v>8.1526630280145998E-93</c:v>
                </c:pt>
                <c:pt idx="73">
                  <c:v>-6.48584971996469E-92</c:v>
                </c:pt>
                <c:pt idx="74">
                  <c:v>2.2989613615908401E-92</c:v>
                </c:pt>
                <c:pt idx="75">
                  <c:v>6.63466820771462E-92</c:v>
                </c:pt>
                <c:pt idx="76">
                  <c:v>-6.4096345495624298E-92</c:v>
                </c:pt>
                <c:pt idx="77">
                  <c:v>4.5947760995098602E-92</c:v>
                </c:pt>
                <c:pt idx="78">
                  <c:v>-1.7964364191757399E-92</c:v>
                </c:pt>
                <c:pt idx="79">
                  <c:v>4.1569824531371996E-93</c:v>
                </c:pt>
                <c:pt idx="80">
                  <c:v>-3.93487724152641E-94</c:v>
                </c:pt>
                <c:pt idx="81">
                  <c:v>-5.4367828342131203E-98</c:v>
                </c:pt>
                <c:pt idx="82">
                  <c:v>1.6880215981512201E-98</c:v>
                </c:pt>
                <c:pt idx="83">
                  <c:v>-3.5917591614380899E-99</c:v>
                </c:pt>
                <c:pt idx="84">
                  <c:v>4.7045787594927503E-100</c:v>
                </c:pt>
                <c:pt idx="85">
                  <c:v>-2.7933973734713999E-101</c:v>
                </c:pt>
                <c:pt idx="86">
                  <c:v>-1.65137777558602E-104</c:v>
                </c:pt>
                <c:pt idx="87">
                  <c:v>3.4044083260419198E-105</c:v>
                </c:pt>
                <c:pt idx="88">
                  <c:v>-4.9764941805790299E-106</c:v>
                </c:pt>
                <c:pt idx="89">
                  <c:v>4.58499629861462E-107</c:v>
                </c:pt>
                <c:pt idx="90">
                  <c:v>-1.9743592185094801E-108</c:v>
                </c:pt>
                <c:pt idx="91">
                  <c:v>-3.3626906861709698E-111</c:v>
                </c:pt>
                <c:pt idx="92">
                  <c:v>5.2118834088266601E-112</c:v>
                </c:pt>
                <c:pt idx="93">
                  <c:v>-5.8107588441068704E-113</c:v>
                </c:pt>
                <c:pt idx="94">
                  <c:v>4.1335132927975698E-114</c:v>
                </c:pt>
                <c:pt idx="95">
                  <c:v>-1.38195838894123E-115</c:v>
                </c:pt>
                <c:pt idx="96">
                  <c:v>-5.4730467220375796E-118</c:v>
                </c:pt>
                <c:pt idx="97">
                  <c:v>6.8041334974508596E-119</c:v>
                </c:pt>
                <c:pt idx="98">
                  <c:v>-6.1327867468554303E-120</c:v>
                </c:pt>
                <c:pt idx="99">
                  <c:v>3.5462951828854201E-121</c:v>
                </c:pt>
              </c:numCache>
            </c:numRef>
          </c:yVal>
          <c:smooth val="0"/>
          <c:extLst>
            <c:ext xmlns:c16="http://schemas.microsoft.com/office/drawing/2014/chart" uri="{C3380CC4-5D6E-409C-BE32-E72D297353CC}">
              <c16:uniqueId val="{0000000D-CF86-4C2E-BF49-1F263FBF5A1F}"/>
            </c:ext>
          </c:extLst>
        </c:ser>
        <c:ser>
          <c:idx val="14"/>
          <c:order val="14"/>
          <c:tx>
            <c:strRef>
              <c:f>dynamicR!$X$19</c:f>
              <c:strCache>
                <c:ptCount val="1"/>
                <c:pt idx="0">
                  <c:v>w1RP</c:v>
                </c:pt>
              </c:strCache>
            </c:strRef>
          </c:tx>
          <c:spPr>
            <a:ln w="19050" cap="rnd">
              <a:solidFill>
                <a:schemeClr val="accent3">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dynamicR!$X$20:$X$119</c:f>
              <c:numCache>
                <c:formatCode>0.00</c:formatCode>
                <c:ptCount val="100"/>
                <c:pt idx="0">
                  <c:v>0</c:v>
                </c:pt>
                <c:pt idx="1">
                  <c:v>1</c:v>
                </c:pt>
                <c:pt idx="2">
                  <c:v>0.999999999999999</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3.3824195194623503E-92</c:v>
                </c:pt>
                <c:pt idx="52">
                  <c:v>-8.1483134318267395E-94</c:v>
                </c:pt>
                <c:pt idx="53">
                  <c:v>2.75965597364517E-93</c:v>
                </c:pt>
                <c:pt idx="54">
                  <c:v>-3.6289248131887301E-92</c:v>
                </c:pt>
                <c:pt idx="55">
                  <c:v>2.28449330147581E-92</c:v>
                </c:pt>
                <c:pt idx="56">
                  <c:v>-7.4478323241474402E-92</c:v>
                </c:pt>
                <c:pt idx="57">
                  <c:v>2.1704723494074701E-92</c:v>
                </c:pt>
                <c:pt idx="58">
                  <c:v>-4.04083987087479E-93</c:v>
                </c:pt>
                <c:pt idx="59">
                  <c:v>-2.4615313508712401E-94</c:v>
                </c:pt>
                <c:pt idx="60">
                  <c:v>4.56738257058157E-94</c:v>
                </c:pt>
                <c:pt idx="61">
                  <c:v>-2.17368899049948E-94</c:v>
                </c:pt>
                <c:pt idx="62">
                  <c:v>-5.40525656534269E-93</c:v>
                </c:pt>
                <c:pt idx="63">
                  <c:v>-4.1979616846174398E-93</c:v>
                </c:pt>
                <c:pt idx="64">
                  <c:v>3.4031041698340698E-93</c:v>
                </c:pt>
                <c:pt idx="65">
                  <c:v>7.7834438284600496E-94</c:v>
                </c:pt>
                <c:pt idx="66">
                  <c:v>-5.4372027291111999E-93</c:v>
                </c:pt>
                <c:pt idx="67">
                  <c:v>1.75752894772654E-93</c:v>
                </c:pt>
                <c:pt idx="68">
                  <c:v>5.9675596956960298E-93</c:v>
                </c:pt>
                <c:pt idx="69">
                  <c:v>-5.1117690604020801E-93</c:v>
                </c:pt>
                <c:pt idx="70">
                  <c:v>-4.7633836070427602E-93</c:v>
                </c:pt>
                <c:pt idx="71">
                  <c:v>8.7301778533232004E-93</c:v>
                </c:pt>
                <c:pt idx="72">
                  <c:v>1.45042444460178E-93</c:v>
                </c:pt>
                <c:pt idx="73">
                  <c:v>-1.15388509599621E-92</c:v>
                </c:pt>
                <c:pt idx="74">
                  <c:v>4.0900378209202897E-93</c:v>
                </c:pt>
                <c:pt idx="75">
                  <c:v>1.1803610826428499E-92</c:v>
                </c:pt>
                <c:pt idx="76">
                  <c:v>-1.1403257072566701E-92</c:v>
                </c:pt>
                <c:pt idx="77">
                  <c:v>8.1744758013073808E-93</c:v>
                </c:pt>
                <c:pt idx="78">
                  <c:v>-3.1960025227077399E-93</c:v>
                </c:pt>
                <c:pt idx="79">
                  <c:v>7.3955829090451104E-94</c:v>
                </c:pt>
                <c:pt idx="80">
                  <c:v>-7.0003191817863901E-95</c:v>
                </c:pt>
                <c:pt idx="81">
                  <c:v>-1.0297385894396999E-98</c:v>
                </c:pt>
                <c:pt idx="82">
                  <c:v>3.1971450901099402E-99</c:v>
                </c:pt>
                <c:pt idx="83">
                  <c:v>-6.8028308882380204E-100</c:v>
                </c:pt>
                <c:pt idx="84">
                  <c:v>8.9103750490482105E-101</c:v>
                </c:pt>
                <c:pt idx="85">
                  <c:v>-5.2900232391890304E-102</c:v>
                </c:pt>
                <c:pt idx="86">
                  <c:v>-3.3297983763024401E-105</c:v>
                </c:pt>
                <c:pt idx="87">
                  <c:v>6.8645548969631895E-106</c:v>
                </c:pt>
                <c:pt idx="88">
                  <c:v>-1.0034297583972E-106</c:v>
                </c:pt>
                <c:pt idx="89">
                  <c:v>9.2443043192102207E-108</c:v>
                </c:pt>
                <c:pt idx="90">
                  <c:v>-3.9789191706688702E-109</c:v>
                </c:pt>
                <c:pt idx="91">
                  <c:v>-7.21846210501903E-112</c:v>
                </c:pt>
                <c:pt idx="92">
                  <c:v>1.118785055181E-112</c:v>
                </c:pt>
                <c:pt idx="93">
                  <c:v>-1.2472799694762E-113</c:v>
                </c:pt>
                <c:pt idx="94">
                  <c:v>8.8709214047430404E-115</c:v>
                </c:pt>
                <c:pt idx="95">
                  <c:v>-2.9618859250375997E-116</c:v>
                </c:pt>
                <c:pt idx="96">
                  <c:v>-1.2507472063871201E-118</c:v>
                </c:pt>
                <c:pt idx="97">
                  <c:v>1.5548788766400001E-119</c:v>
                </c:pt>
                <c:pt idx="98">
                  <c:v>-1.40130232794555E-120</c:v>
                </c:pt>
                <c:pt idx="99">
                  <c:v>8.0993928032600401E-122</c:v>
                </c:pt>
              </c:numCache>
            </c:numRef>
          </c:yVal>
          <c:smooth val="0"/>
          <c:extLst>
            <c:ext xmlns:c16="http://schemas.microsoft.com/office/drawing/2014/chart" uri="{C3380CC4-5D6E-409C-BE32-E72D297353CC}">
              <c16:uniqueId val="{0000000E-CF86-4C2E-BF49-1F263FBF5A1F}"/>
            </c:ext>
          </c:extLst>
        </c:ser>
        <c:ser>
          <c:idx val="15"/>
          <c:order val="15"/>
          <c:tx>
            <c:strRef>
              <c:f>dynamicR!$Y$19</c:f>
              <c:strCache>
                <c:ptCount val="1"/>
                <c:pt idx="0">
                  <c:v>w2RD</c:v>
                </c:pt>
              </c:strCache>
            </c:strRef>
          </c:tx>
          <c:spPr>
            <a:ln w="19050" cap="rnd">
              <a:solidFill>
                <a:schemeClr val="accent4">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dynamicR!$Y$20:$Y$119</c:f>
              <c:numCache>
                <c:formatCode>0.00</c:formatCode>
                <c:ptCount val="100"/>
                <c:pt idx="0">
                  <c:v>0</c:v>
                </c:pt>
                <c:pt idx="1">
                  <c:v>0.18919596427023799</c:v>
                </c:pt>
                <c:pt idx="2">
                  <c:v>0.20540404276999999</c:v>
                </c:pt>
                <c:pt idx="3">
                  <c:v>0.22128811905469001</c:v>
                </c:pt>
                <c:pt idx="4">
                  <c:v>0.236854674597231</c:v>
                </c:pt>
                <c:pt idx="5">
                  <c:v>0.25211005398731401</c:v>
                </c:pt>
                <c:pt idx="6">
                  <c:v>0.26706047522509802</c:v>
                </c:pt>
                <c:pt idx="7">
                  <c:v>0.28171203432412001</c:v>
                </c:pt>
                <c:pt idx="8">
                  <c:v>0.29607070640537497</c:v>
                </c:pt>
                <c:pt idx="9">
                  <c:v>0.31014234685782999</c:v>
                </c:pt>
                <c:pt idx="10">
                  <c:v>0.32393269352868798</c:v>
                </c:pt>
                <c:pt idx="11">
                  <c:v>0.33744736937662101</c:v>
                </c:pt>
                <c:pt idx="12">
                  <c:v>0.35069188495207998</c:v>
                </c:pt>
                <c:pt idx="13">
                  <c:v>0.36367164055426199</c:v>
                </c:pt>
                <c:pt idx="14">
                  <c:v>0.37639192882010902</c:v>
                </c:pt>
                <c:pt idx="15">
                  <c:v>0.38885793683646602</c:v>
                </c:pt>
                <c:pt idx="16">
                  <c:v>0.40107474787310898</c:v>
                </c:pt>
                <c:pt idx="17">
                  <c:v>0.41304734333295001</c:v>
                </c:pt>
                <c:pt idx="18">
                  <c:v>0.42478060498690501</c:v>
                </c:pt>
                <c:pt idx="19">
                  <c:v>0.436279317125781</c:v>
                </c:pt>
                <c:pt idx="20">
                  <c:v>0.44754816847707901</c:v>
                </c:pt>
                <c:pt idx="21">
                  <c:v>0.45859175401992902</c:v>
                </c:pt>
                <c:pt idx="22">
                  <c:v>0.46941457683311399</c:v>
                </c:pt>
                <c:pt idx="23">
                  <c:v>0.48002104997114498</c:v>
                </c:pt>
                <c:pt idx="24">
                  <c:v>0.490415498291213</c:v>
                </c:pt>
                <c:pt idx="25">
                  <c:v>0.50060216020794301</c:v>
                </c:pt>
                <c:pt idx="26">
                  <c:v>0.51058518940388897</c:v>
                </c:pt>
                <c:pt idx="27">
                  <c:v>0.52036865652131903</c:v>
                </c:pt>
                <c:pt idx="28">
                  <c:v>0.52995655082946402</c:v>
                </c:pt>
                <c:pt idx="29">
                  <c:v>0.53935278185400204</c:v>
                </c:pt>
                <c:pt idx="30">
                  <c:v>0.54856118097162498</c:v>
                </c:pt>
                <c:pt idx="31">
                  <c:v>0.55758550296828102</c:v>
                </c:pt>
                <c:pt idx="32">
                  <c:v>0.56642942756913495</c:v>
                </c:pt>
                <c:pt idx="33">
                  <c:v>0.57509656094081096</c:v>
                </c:pt>
                <c:pt idx="34">
                  <c:v>0.58359043716440695</c:v>
                </c:pt>
                <c:pt idx="35">
                  <c:v>0.59191451967381004</c:v>
                </c:pt>
                <c:pt idx="36">
                  <c:v>0.60007220266748795</c:v>
                </c:pt>
                <c:pt idx="37">
                  <c:v>0.60806681249373895</c:v>
                </c:pt>
                <c:pt idx="38">
                  <c:v>0.61590160900659996</c:v>
                </c:pt>
                <c:pt idx="39">
                  <c:v>0.62357978689578897</c:v>
                </c:pt>
                <c:pt idx="40">
                  <c:v>0.63110447698849603</c:v>
                </c:pt>
                <c:pt idx="41">
                  <c:v>0.63847874752647105</c:v>
                </c:pt>
                <c:pt idx="42">
                  <c:v>0.64570560541594102</c:v>
                </c:pt>
                <c:pt idx="43">
                  <c:v>0.65278799745563998</c:v>
                </c:pt>
                <c:pt idx="44">
                  <c:v>0.65972881153753504</c:v>
                </c:pt>
                <c:pt idx="45">
                  <c:v>0.666530877824143</c:v>
                </c:pt>
                <c:pt idx="46">
                  <c:v>0.67319696990163802</c:v>
                </c:pt>
                <c:pt idx="47">
                  <c:v>0.67972980591197396</c:v>
                </c:pt>
                <c:pt idx="48">
                  <c:v>0.68613204966226304</c:v>
                </c:pt>
                <c:pt idx="49">
                  <c:v>0.69240631170911304</c:v>
                </c:pt>
                <c:pt idx="50">
                  <c:v>0.69240631170911304</c:v>
                </c:pt>
                <c:pt idx="51">
                  <c:v>0.50935891303381797</c:v>
                </c:pt>
                <c:pt idx="52">
                  <c:v>0.499176327497376</c:v>
                </c:pt>
                <c:pt idx="53">
                  <c:v>0.48919764118911302</c:v>
                </c:pt>
                <c:pt idx="54">
                  <c:v>0.479418645153947</c:v>
                </c:pt>
                <c:pt idx="55">
                  <c:v>0.46983509008442298</c:v>
                </c:pt>
                <c:pt idx="56">
                  <c:v>0.46044306227253201</c:v>
                </c:pt>
                <c:pt idx="57">
                  <c:v>0.451238764337413</c:v>
                </c:pt>
                <c:pt idx="58">
                  <c:v>0.44221845748188399</c:v>
                </c:pt>
                <c:pt idx="59">
                  <c:v>0.43337846848904299</c:v>
                </c:pt>
                <c:pt idx="60">
                  <c:v>0.42471518672629299</c:v>
                </c:pt>
                <c:pt idx="61">
                  <c:v>0.416225073233564</c:v>
                </c:pt>
                <c:pt idx="62">
                  <c:v>0.40790467264607899</c:v>
                </c:pt>
                <c:pt idx="63">
                  <c:v>0.39975059996907703</c:v>
                </c:pt>
                <c:pt idx="64">
                  <c:v>0.39175953159522697</c:v>
                </c:pt>
                <c:pt idx="65">
                  <c:v>0.38392820705422598</c:v>
                </c:pt>
                <c:pt idx="66">
                  <c:v>0.37625343145705498</c:v>
                </c:pt>
                <c:pt idx="67">
                  <c:v>0.368732075111038</c:v>
                </c:pt>
                <c:pt idx="68">
                  <c:v>0.36136107149396102</c:v>
                </c:pt>
                <c:pt idx="69">
                  <c:v>0.35413741529728898</c:v>
                </c:pt>
                <c:pt idx="70">
                  <c:v>0.347058161053866</c:v>
                </c:pt>
                <c:pt idx="71">
                  <c:v>0.34012042207995302</c:v>
                </c:pt>
                <c:pt idx="72">
                  <c:v>0.33332136941997798</c:v>
                </c:pt>
                <c:pt idx="73">
                  <c:v>0.32665823071292299</c:v>
                </c:pt>
                <c:pt idx="74">
                  <c:v>0.32012828903475299</c:v>
                </c:pt>
                <c:pt idx="75">
                  <c:v>0.31372888181814101</c:v>
                </c:pt>
                <c:pt idx="76">
                  <c:v>0.307457399760387</c:v>
                </c:pt>
                <c:pt idx="77">
                  <c:v>0.30131128557808101</c:v>
                </c:pt>
                <c:pt idx="78">
                  <c:v>0.29528803301571099</c:v>
                </c:pt>
                <c:pt idx="79">
                  <c:v>0.28938518599388502</c:v>
                </c:pt>
                <c:pt idx="80">
                  <c:v>0.28360033763348003</c:v>
                </c:pt>
                <c:pt idx="81">
                  <c:v>0.277931129179388</c:v>
                </c:pt>
                <c:pt idx="82">
                  <c:v>0.27237524897798898</c:v>
                </c:pt>
                <c:pt idx="83">
                  <c:v>0.26693043155879198</c:v>
                </c:pt>
                <c:pt idx="84">
                  <c:v>0.261594456750949</c:v>
                </c:pt>
                <c:pt idx="85">
                  <c:v>0.256365148784365</c:v>
                </c:pt>
                <c:pt idx="86">
                  <c:v>0.25124037538337901</c:v>
                </c:pt>
                <c:pt idx="87">
                  <c:v>0.246218046887866</c:v>
                </c:pt>
                <c:pt idx="88">
                  <c:v>0.24129611540609899</c:v>
                </c:pt>
                <c:pt idx="89">
                  <c:v>0.23647257398666</c:v>
                </c:pt>
                <c:pt idx="90">
                  <c:v>0.23174545580061801</c:v>
                </c:pt>
                <c:pt idx="91">
                  <c:v>0.227112833336262</c:v>
                </c:pt>
                <c:pt idx="92">
                  <c:v>0.22257281761153699</c:v>
                </c:pt>
                <c:pt idx="93">
                  <c:v>0.21812355740436201</c:v>
                </c:pt>
                <c:pt idx="94">
                  <c:v>0.21376323849979501</c:v>
                </c:pt>
                <c:pt idx="95">
                  <c:v>0.20949008294971</c:v>
                </c:pt>
                <c:pt idx="96">
                  <c:v>0.20530234834723199</c:v>
                </c:pt>
                <c:pt idx="97">
                  <c:v>0.201198327116068</c:v>
                </c:pt>
                <c:pt idx="98">
                  <c:v>0.19717634581489199</c:v>
                </c:pt>
                <c:pt idx="99">
                  <c:v>0.19323476445451099</c:v>
                </c:pt>
              </c:numCache>
            </c:numRef>
          </c:yVal>
          <c:smooth val="0"/>
          <c:extLst>
            <c:ext xmlns:c16="http://schemas.microsoft.com/office/drawing/2014/chart" uri="{C3380CC4-5D6E-409C-BE32-E72D297353CC}">
              <c16:uniqueId val="{0000000F-CF86-4C2E-BF49-1F263FBF5A1F}"/>
            </c:ext>
          </c:extLst>
        </c:ser>
        <c:ser>
          <c:idx val="16"/>
          <c:order val="16"/>
          <c:tx>
            <c:strRef>
              <c:f>dynamicR!$Z$19</c:f>
              <c:strCache>
                <c:ptCount val="1"/>
                <c:pt idx="0">
                  <c:v>w2RS</c:v>
                </c:pt>
              </c:strCache>
            </c:strRef>
          </c:tx>
          <c:spPr>
            <a:ln w="19050" cap="rnd">
              <a:solidFill>
                <a:schemeClr val="accent5">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dynamicR!$Z$20:$Z$119</c:f>
              <c:numCache>
                <c:formatCode>0.00</c:formatCode>
                <c:ptCount val="100"/>
                <c:pt idx="0">
                  <c:v>0</c:v>
                </c:pt>
                <c:pt idx="1">
                  <c:v>1</c:v>
                </c:pt>
                <c:pt idx="2">
                  <c:v>0.999999999999999</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1</c:v>
                </c:pt>
                <c:pt idx="21">
                  <c:v>1</c:v>
                </c:pt>
                <c:pt idx="22">
                  <c:v>0.999999999999999</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-7.3916346894568197E-215</c:v>
                </c:pt>
                <c:pt idx="52">
                  <c:v>1.7806454739355301E-216</c:v>
                </c:pt>
                <c:pt idx="53">
                  <c:v>-6.0307941780775205E-216</c:v>
                </c:pt>
                <c:pt idx="54">
                  <c:v>7.9303203115171305E-215</c:v>
                </c:pt>
                <c:pt idx="55">
                  <c:v>-4.9923382025622499E-215</c:v>
                </c:pt>
                <c:pt idx="56">
                  <c:v>1.62758695128948E-214</c:v>
                </c:pt>
                <c:pt idx="57">
                  <c:v>-4.7431874418150703E-215</c:v>
                </c:pt>
                <c:pt idx="58">
                  <c:v>8.8306548555901397E-216</c:v>
                </c:pt>
                <c:pt idx="59">
                  <c:v>5.3787225459203498E-217</c:v>
                </c:pt>
                <c:pt idx="60">
                  <c:v>-9.98073454075462E-217</c:v>
                </c:pt>
                <c:pt idx="61">
                  <c:v>4.7510071644415696E-217</c:v>
                </c:pt>
                <c:pt idx="62">
                  <c:v>1.18122014818919E-215</c:v>
                </c:pt>
                <c:pt idx="63">
                  <c:v>9.1739028611435205E-216</c:v>
                </c:pt>
                <c:pt idx="64">
                  <c:v>-7.4367902455549695E-216</c:v>
                </c:pt>
                <c:pt idx="65">
                  <c:v>-1.7009455075442599E-216</c:v>
                </c:pt>
                <c:pt idx="66">
                  <c:v>1.1881955620728999E-215</c:v>
                </c:pt>
                <c:pt idx="67">
                  <c:v>-3.8407172663565901E-216</c:v>
                </c:pt>
                <c:pt idx="68">
                  <c:v>-1.30409695163619E-215</c:v>
                </c:pt>
                <c:pt idx="69">
                  <c:v>1.11707776534607E-215</c:v>
                </c:pt>
                <c:pt idx="70">
                  <c:v>1.04094831122132E-215</c:v>
                </c:pt>
                <c:pt idx="71">
                  <c:v>-1.9078141321841699E-215</c:v>
                </c:pt>
                <c:pt idx="72">
                  <c:v>-3.1696367070181601E-216</c:v>
                </c:pt>
                <c:pt idx="73">
                  <c:v>2.5215984400221299E-215</c:v>
                </c:pt>
                <c:pt idx="74">
                  <c:v>-8.9380168765987395E-216</c:v>
                </c:pt>
                <c:pt idx="75">
                  <c:v>-2.5794575997204998E-215</c:v>
                </c:pt>
                <c:pt idx="76">
                  <c:v>2.4919702061627798E-215</c:v>
                </c:pt>
                <c:pt idx="77">
                  <c:v>-1.78638568318478E-215</c:v>
                </c:pt>
                <c:pt idx="78">
                  <c:v>6.9843684447293294E-216</c:v>
                </c:pt>
                <c:pt idx="79">
                  <c:v>-1.6162517617762999E-216</c:v>
                </c:pt>
                <c:pt idx="80">
                  <c:v>1.53029283619163E-217</c:v>
                </c:pt>
                <c:pt idx="81">
                  <c:v>8.1698439641169797E-223</c:v>
                </c:pt>
                <c:pt idx="82">
                  <c:v>-2.5366439602009402E-223</c:v>
                </c:pt>
                <c:pt idx="83">
                  <c:v>5.3977985587727401E-224</c:v>
                </c:pt>
                <c:pt idx="84">
                  <c:v>-7.0719266741299397E-225</c:v>
                </c:pt>
                <c:pt idx="85">
                  <c:v>4.2062856539414703E-226</c:v>
                </c:pt>
                <c:pt idx="86">
                  <c:v>9.5634886722588503E-231</c:v>
                </c:pt>
                <c:pt idx="87">
                  <c:v>-1.9775616287491599E-231</c:v>
                </c:pt>
                <c:pt idx="88">
                  <c:v>2.89147924339863E-232</c:v>
                </c:pt>
                <c:pt idx="89">
                  <c:v>-2.6665857671321102E-233</c:v>
                </c:pt>
                <c:pt idx="90">
                  <c:v>1.1559793727435499E-234</c:v>
                </c:pt>
                <c:pt idx="91">
                  <c:v>7.5495944098177602E-239</c:v>
                </c:pt>
                <c:pt idx="92">
                  <c:v>-1.17048833592495E-239</c:v>
                </c:pt>
                <c:pt idx="93">
                  <c:v>1.3059180756198299E-240</c:v>
                </c:pt>
                <c:pt idx="94">
                  <c:v>-9.3157096718498203E-242</c:v>
                </c:pt>
                <c:pt idx="95">
                  <c:v>3.1757288274828802E-243</c:v>
                </c:pt>
                <c:pt idx="96">
                  <c:v>4.7471159901621803E-247</c:v>
                </c:pt>
                <c:pt idx="97">
                  <c:v>-5.9097695900266903E-248</c:v>
                </c:pt>
                <c:pt idx="98">
                  <c:v>5.3357455642345703E-249</c:v>
                </c:pt>
                <c:pt idx="99">
                  <c:v>-3.1061119349495401E-250</c:v>
                </c:pt>
              </c:numCache>
            </c:numRef>
          </c:yVal>
          <c:smooth val="0"/>
          <c:extLst>
            <c:ext xmlns:c16="http://schemas.microsoft.com/office/drawing/2014/chart" uri="{C3380CC4-5D6E-409C-BE32-E72D297353CC}">
              <c16:uniqueId val="{00000010-CF86-4C2E-BF49-1F263FBF5A1F}"/>
            </c:ext>
          </c:extLst>
        </c:ser>
        <c:ser>
          <c:idx val="17"/>
          <c:order val="17"/>
          <c:tx>
            <c:strRef>
              <c:f>dynamicR!$AA$19</c:f>
              <c:strCache>
                <c:ptCount val="1"/>
                <c:pt idx="0">
                  <c:v>w2RA</c:v>
                </c:pt>
              </c:strCache>
            </c:strRef>
          </c:tx>
          <c:spPr>
            <a:ln w="19050" cap="rnd">
              <a:solidFill>
                <a:schemeClr val="accent6">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dynamicR!$AA$20:$AA$119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6.9886204475145801E-34</c:v>
                </c:pt>
                <c:pt idx="52">
                  <c:v>-1.6186156160873799E-37</c:v>
                </c:pt>
                <c:pt idx="53">
                  <c:v>-3.8269848547365001E-35</c:v>
                </c:pt>
                <c:pt idx="54">
                  <c:v>-2.88277260509014E-33</c:v>
                </c:pt>
                <c:pt idx="55">
                  <c:v>1.5751028008376301E-33</c:v>
                </c:pt>
                <c:pt idx="56">
                  <c:v>-5.4119904246048303E-33</c:v>
                </c:pt>
                <c:pt idx="57">
                  <c:v>1.5775741427423301E-33</c:v>
                </c:pt>
                <c:pt idx="58">
                  <c:v>-2.95564559705858E-34</c:v>
                </c:pt>
                <c:pt idx="59">
                  <c:v>-1.8010049961448599E-35</c:v>
                </c:pt>
                <c:pt idx="60">
                  <c:v>3.3413271011932801E-35</c:v>
                </c:pt>
                <c:pt idx="61">
                  <c:v>-1.58926557247418E-35</c:v>
                </c:pt>
                <c:pt idx="62">
                  <c:v>-3.9538050483601002E-34</c:v>
                </c:pt>
                <c:pt idx="63">
                  <c:v>-3.0706784358351499E-34</c:v>
                </c:pt>
                <c:pt idx="64">
                  <c:v>2.4893482948557599E-34</c:v>
                </c:pt>
                <c:pt idx="65">
                  <c:v>5.69324340017165E-35</c:v>
                </c:pt>
                <c:pt idx="66">
                  <c:v>-3.9772256434845799E-34</c:v>
                </c:pt>
                <c:pt idx="67">
                  <c:v>1.2856241910776699E-34</c:v>
                </c:pt>
                <c:pt idx="68">
                  <c:v>4.3651539330267299E-34</c:v>
                </c:pt>
                <c:pt idx="69">
                  <c:v>-3.7391809407609701E-34</c:v>
                </c:pt>
                <c:pt idx="70">
                  <c:v>-3.4843118438964002E-34</c:v>
                </c:pt>
                <c:pt idx="71">
                  <c:v>6.3859604071776098E-34</c:v>
                </c:pt>
                <c:pt idx="72">
                  <c:v>1.0609494205281499E-34</c:v>
                </c:pt>
                <c:pt idx="73">
                  <c:v>-8.4404312726663108E-34</c:v>
                </c:pt>
                <c:pt idx="74">
                  <c:v>2.9917683275541801E-34</c:v>
                </c:pt>
                <c:pt idx="75">
                  <c:v>8.6340902668330397E-34</c:v>
                </c:pt>
                <c:pt idx="76">
                  <c:v>-8.3412159232847492E-34</c:v>
                </c:pt>
                <c:pt idx="77">
                  <c:v>5.97938576468813E-34</c:v>
                </c:pt>
                <c:pt idx="78">
                  <c:v>-2.3377111738916001E-34</c:v>
                </c:pt>
                <c:pt idx="79">
                  <c:v>5.4089227550784905E-35</c:v>
                </c:pt>
                <c:pt idx="80">
                  <c:v>-5.1159651696038301E-36</c:v>
                </c:pt>
                <c:pt idx="81">
                  <c:v>-2.73734580989018E-39</c:v>
                </c:pt>
                <c:pt idx="82">
                  <c:v>8.4987010161151298E-40</c:v>
                </c:pt>
                <c:pt idx="83">
                  <c:v>-1.80819034780048E-40</c:v>
                </c:pt>
                <c:pt idx="84">
                  <c:v>2.3676260486869599E-41</c:v>
                </c:pt>
                <c:pt idx="85">
                  <c:v>-1.4025423319402801E-42</c:v>
                </c:pt>
                <c:pt idx="86">
                  <c:v>-1.90555774043585E-45</c:v>
                </c:pt>
                <c:pt idx="87">
                  <c:v>3.92814990060912E-46</c:v>
                </c:pt>
                <c:pt idx="88">
                  <c:v>-5.74093927196634E-47</c:v>
                </c:pt>
                <c:pt idx="89">
                  <c:v>5.2851864076880798E-48</c:v>
                </c:pt>
                <c:pt idx="90">
                  <c:v>-2.2635481358280901E-49</c:v>
                </c:pt>
                <c:pt idx="91">
                  <c:v>-6.8800946135356605E-52</c:v>
                </c:pt>
                <c:pt idx="92">
                  <c:v>1.06621428428677E-52</c:v>
                </c:pt>
                <c:pt idx="93">
                  <c:v>-1.1882688462393099E-53</c:v>
                </c:pt>
                <c:pt idx="94">
                  <c:v>8.4400151009990899E-55</c:v>
                </c:pt>
                <c:pt idx="95">
                  <c:v>-2.7916184377570798E-56</c:v>
                </c:pt>
                <c:pt idx="96">
                  <c:v>-1.70141035786882E-58</c:v>
                </c:pt>
                <c:pt idx="97">
                  <c:v>2.11472880484172E-59</c:v>
                </c:pt>
                <c:pt idx="98">
                  <c:v>-1.90481543870465E-60</c:v>
                </c:pt>
                <c:pt idx="99">
                  <c:v>1.0985918072090399E-61</c:v>
                </c:pt>
              </c:numCache>
            </c:numRef>
          </c:yVal>
          <c:smooth val="0"/>
          <c:extLst>
            <c:ext xmlns:c16="http://schemas.microsoft.com/office/drawing/2014/chart" uri="{C3380CC4-5D6E-409C-BE32-E72D297353CC}">
              <c16:uniqueId val="{00000011-CF86-4C2E-BF49-1F263FBF5A1F}"/>
            </c:ext>
          </c:extLst>
        </c:ser>
        <c:ser>
          <c:idx val="18"/>
          <c:order val="18"/>
          <c:tx>
            <c:strRef>
              <c:f>dynamicR!$AB$19</c:f>
              <c:strCache>
                <c:ptCount val="1"/>
                <c:pt idx="0">
                  <c:v>w2RP</c:v>
                </c:pt>
              </c:strCache>
            </c:strRef>
          </c:tx>
          <c:spPr>
            <a:ln w="19050" cap="rnd">
              <a:solidFill>
                <a:schemeClr val="accent1">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dynamicR!$AB$20:$AB$119</c:f>
              <c:numCache>
                <c:formatCode>0.00</c:formatCode>
                <c:ptCount val="100"/>
                <c:pt idx="0">
                  <c:v>0</c:v>
                </c:pt>
                <c:pt idx="1">
                  <c:v>1</c:v>
                </c:pt>
                <c:pt idx="2">
                  <c:v>0.999999999999999</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1</c:v>
                </c:pt>
                <c:pt idx="21">
                  <c:v>1</c:v>
                </c:pt>
                <c:pt idx="22">
                  <c:v>0.999999999999999</c:v>
                </c:pt>
                <c:pt idx="23">
                  <c:v>1</c:v>
                </c:pt>
                <c:pt idx="24">
                  <c:v>1</c:v>
                </c:pt>
                <c:pt idx="25">
                  <c:v>1</c:v>
                </c:pt>
                <c:pt idx="26">
                  <c:v>1</c:v>
                </c:pt>
                <c:pt idx="27">
                  <c:v>1</c:v>
                </c:pt>
                <c:pt idx="28">
                  <c:v>1</c:v>
                </c:pt>
                <c:pt idx="29">
                  <c:v>1</c:v>
                </c:pt>
                <c:pt idx="30">
                  <c:v>1</c:v>
                </c:pt>
                <c:pt idx="31">
                  <c:v>1</c:v>
                </c:pt>
                <c:pt idx="32">
                  <c:v>1</c:v>
                </c:pt>
                <c:pt idx="33">
                  <c:v>1</c:v>
                </c:pt>
                <c:pt idx="34">
                  <c:v>0.999999999999999</c:v>
                </c:pt>
                <c:pt idx="35">
                  <c:v>1</c:v>
                </c:pt>
                <c:pt idx="36">
                  <c:v>1</c:v>
                </c:pt>
                <c:pt idx="37">
                  <c:v>1</c:v>
                </c:pt>
                <c:pt idx="38">
                  <c:v>1</c:v>
                </c:pt>
                <c:pt idx="39">
                  <c:v>1</c:v>
                </c:pt>
                <c:pt idx="40">
                  <c:v>1</c:v>
                </c:pt>
                <c:pt idx="41">
                  <c:v>1</c:v>
                </c:pt>
                <c:pt idx="42">
                  <c:v>1</c:v>
                </c:pt>
                <c:pt idx="43">
                  <c:v>1</c:v>
                </c:pt>
                <c:pt idx="44">
                  <c:v>1</c:v>
                </c:pt>
                <c:pt idx="45">
                  <c:v>1</c:v>
                </c:pt>
                <c:pt idx="46">
                  <c:v>0.999999999999999</c:v>
                </c:pt>
                <c:pt idx="47">
                  <c:v>1</c:v>
                </c:pt>
                <c:pt idx="48">
                  <c:v>1</c:v>
                </c:pt>
                <c:pt idx="49">
                  <c:v>1</c:v>
                </c:pt>
                <c:pt idx="50">
                  <c:v>1</c:v>
                </c:pt>
                <c:pt idx="51">
                  <c:v>-2.1404939753559599E-30</c:v>
                </c:pt>
                <c:pt idx="52">
                  <c:v>2.57933662294456E-34</c:v>
                </c:pt>
                <c:pt idx="53">
                  <c:v>1.18573024804633E-31</c:v>
                </c:pt>
                <c:pt idx="54">
                  <c:v>8.8598588198741394E-30</c:v>
                </c:pt>
                <c:pt idx="55">
                  <c:v>-4.84000215924988E-30</c:v>
                </c:pt>
                <c:pt idx="56">
                  <c:v>1.66312379650472E-29</c:v>
                </c:pt>
                <c:pt idx="57">
                  <c:v>-4.8479428596962901E-30</c:v>
                </c:pt>
                <c:pt idx="58">
                  <c:v>9.0828829485748708E-31</c:v>
                </c:pt>
                <c:pt idx="59">
                  <c:v>5.5345984562194198E-32</c:v>
                </c:pt>
                <c:pt idx="60">
                  <c:v>-1.02681041471263E-31</c:v>
                </c:pt>
                <c:pt idx="61">
                  <c:v>4.8839145907003401E-32</c:v>
                </c:pt>
                <c:pt idx="62">
                  <c:v>1.2150288458406E-30</c:v>
                </c:pt>
                <c:pt idx="63">
                  <c:v>9.4363856156719505E-31</c:v>
                </c:pt>
                <c:pt idx="64">
                  <c:v>-7.6499216560836999E-31</c:v>
                </c:pt>
                <c:pt idx="65">
                  <c:v>-1.74956910888833E-31</c:v>
                </c:pt>
                <c:pt idx="66">
                  <c:v>1.2222261200155701E-30</c:v>
                </c:pt>
                <c:pt idx="67">
                  <c:v>-3.9508028379972898E-31</c:v>
                </c:pt>
                <c:pt idx="68">
                  <c:v>-1.3414388979331099E-30</c:v>
                </c:pt>
                <c:pt idx="69">
                  <c:v>1.1490735038417499E-30</c:v>
                </c:pt>
                <c:pt idx="70">
                  <c:v>1.0707506607140099E-30</c:v>
                </c:pt>
                <c:pt idx="71">
                  <c:v>-1.9624452684636598E-30</c:v>
                </c:pt>
                <c:pt idx="72">
                  <c:v>-3.2603634533480602E-31</c:v>
                </c:pt>
                <c:pt idx="73">
                  <c:v>2.59379692465035E-30</c:v>
                </c:pt>
                <c:pt idx="74">
                  <c:v>-9.1938898220260707E-31</c:v>
                </c:pt>
                <c:pt idx="75">
                  <c:v>-2.6533095386821799E-30</c:v>
                </c:pt>
                <c:pt idx="76">
                  <c:v>2.5633074433405399E-30</c:v>
                </c:pt>
                <c:pt idx="77">
                  <c:v>-1.8375023908951601E-30</c:v>
                </c:pt>
                <c:pt idx="78">
                  <c:v>7.1839319244677502E-31</c:v>
                </c:pt>
                <c:pt idx="79">
                  <c:v>-1.6621958387645101E-31</c:v>
                </c:pt>
                <c:pt idx="80">
                  <c:v>1.5721696042691801E-32</c:v>
                </c:pt>
                <c:pt idx="81">
                  <c:v>8.4045207579671004E-36</c:v>
                </c:pt>
                <c:pt idx="82">
                  <c:v>-2.60937122002103E-36</c:v>
                </c:pt>
                <c:pt idx="83">
                  <c:v>5.5517198802541202E-37</c:v>
                </c:pt>
                <c:pt idx="84">
                  <c:v>-7.2693708042688302E-38</c:v>
                </c:pt>
                <c:pt idx="85">
                  <c:v>4.3062764225800202E-39</c:v>
                </c:pt>
                <c:pt idx="86">
                  <c:v>5.8434229696528895E-42</c:v>
                </c:pt>
                <c:pt idx="87">
                  <c:v>-1.2045709899148E-42</c:v>
                </c:pt>
                <c:pt idx="88">
                  <c:v>1.76046555072135E-43</c:v>
                </c:pt>
                <c:pt idx="89">
                  <c:v>-1.6207117779789301E-44</c:v>
                </c:pt>
                <c:pt idx="90">
                  <c:v>6.9413111577963902E-46</c:v>
                </c:pt>
                <c:pt idx="91">
                  <c:v>2.1073383345347899E-48</c:v>
                </c:pt>
                <c:pt idx="92">
                  <c:v>-3.2657602025508201E-49</c:v>
                </c:pt>
                <c:pt idx="93">
                  <c:v>3.63961136868151E-50</c:v>
                </c:pt>
                <c:pt idx="94">
                  <c:v>-2.5851485485056899E-51</c:v>
                </c:pt>
                <c:pt idx="95">
                  <c:v>8.5509118877484793E-53</c:v>
                </c:pt>
                <c:pt idx="96">
                  <c:v>5.2059800145529299E-55</c:v>
                </c:pt>
                <c:pt idx="97">
                  <c:v>-6.4706557833002903E-56</c:v>
                </c:pt>
                <c:pt idx="98">
                  <c:v>5.8283745033359201E-57</c:v>
                </c:pt>
                <c:pt idx="99">
                  <c:v>-3.3615116539960399E-58</c:v>
                </c:pt>
              </c:numCache>
            </c:numRef>
          </c:yVal>
          <c:smooth val="0"/>
          <c:extLst>
            <c:ext xmlns:c16="http://schemas.microsoft.com/office/drawing/2014/chart" uri="{C3380CC4-5D6E-409C-BE32-E72D297353CC}">
              <c16:uniqueId val="{00000012-CF86-4C2E-BF49-1F263FBF5A1F}"/>
            </c:ext>
          </c:extLst>
        </c:ser>
        <c:ser>
          <c:idx val="19"/>
          <c:order val="19"/>
          <c:tx>
            <c:strRef>
              <c:f>dynamicR!$AC$19</c:f>
              <c:strCache>
                <c:ptCount val="1"/>
                <c:pt idx="0">
                  <c:v>sd0RD</c:v>
                </c:pt>
              </c:strCache>
            </c:strRef>
          </c:tx>
          <c:spPr>
            <a:ln w="19050" cap="rnd">
              <a:solidFill>
                <a:schemeClr val="accent2">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dynamicR!$AC$20:$AC$119</c:f>
              <c:numCache>
                <c:formatCode>0.00</c:formatCode>
                <c:ptCount val="100"/>
                <c:pt idx="0">
                  <c:v>0</c:v>
                </c:pt>
                <c:pt idx="1">
                  <c:v>1</c:v>
                </c:pt>
                <c:pt idx="2">
                  <c:v>0.999999999999999</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0.999999999999999</c:v>
                </c:pt>
                <c:pt idx="41">
                  <c:v>1</c:v>
                </c:pt>
                <c:pt idx="42">
                  <c:v>1</c:v>
                </c:pt>
                <c:pt idx="43">
                  <c:v>1</c:v>
                </c:pt>
                <c:pt idx="44">
                  <c:v>1</c:v>
                </c:pt>
                <c:pt idx="45">
                  <c:v>1</c:v>
                </c:pt>
                <c:pt idx="46">
                  <c:v>1</c:v>
                </c:pt>
                <c:pt idx="47">
                  <c:v>1</c:v>
                </c:pt>
                <c:pt idx="48">
                  <c:v>1</c:v>
                </c:pt>
                <c:pt idx="49">
                  <c:v>1</c:v>
                </c:pt>
                <c:pt idx="50">
                  <c:v>1</c:v>
                </c:pt>
                <c:pt idx="51">
                  <c:v>7.6891759226168201E-19</c:v>
                </c:pt>
                <c:pt idx="52">
                  <c:v>7.5354617782781598E-19</c:v>
                </c:pt>
                <c:pt idx="53">
                  <c:v>7.3848256054700101E-19</c:v>
                </c:pt>
                <c:pt idx="54">
                  <c:v>7.2372039697180703E-19</c:v>
                </c:pt>
                <c:pt idx="55">
                  <c:v>7.0925325448768299E-19</c:v>
                </c:pt>
                <c:pt idx="56">
                  <c:v>6.9507525749401298E-19</c:v>
                </c:pt>
                <c:pt idx="57">
                  <c:v>6.81180628964974E-19</c:v>
                </c:pt>
                <c:pt idx="58">
                  <c:v>6.6756376505346605E-19</c:v>
                </c:pt>
                <c:pt idx="59">
                  <c:v>6.54219101476674E-19</c:v>
                </c:pt>
                <c:pt idx="60">
                  <c:v>6.4114119183849098E-19</c:v>
                </c:pt>
                <c:pt idx="61">
                  <c:v>6.2832469358729905E-19</c:v>
                </c:pt>
                <c:pt idx="62">
                  <c:v>6.15764390977138E-19</c:v>
                </c:pt>
                <c:pt idx="63">
                  <c:v>6.0345517269663099E-19</c:v>
                </c:pt>
                <c:pt idx="64">
                  <c:v>5.9139202149926704E-19</c:v>
                </c:pt>
                <c:pt idx="65">
                  <c:v>5.7957001756691401E-19</c:v>
                </c:pt>
                <c:pt idx="66">
                  <c:v>5.6798433711294503E-19</c:v>
                </c:pt>
                <c:pt idx="67">
                  <c:v>5.5663025345146103E-19</c:v>
                </c:pt>
                <c:pt idx="68">
                  <c:v>5.4550313951733099E-19</c:v>
                </c:pt>
                <c:pt idx="69">
                  <c:v>5.3459846012658103E-19</c:v>
                </c:pt>
                <c:pt idx="70">
                  <c:v>5.2391176545588902E-19</c:v>
                </c:pt>
                <c:pt idx="71">
                  <c:v>5.1343869761076001E-19</c:v>
                </c:pt>
                <c:pt idx="72">
                  <c:v>5.0317499038272199E-19</c:v>
                </c:pt>
                <c:pt idx="73">
                  <c:v>4.93116456751793E-19</c:v>
                </c:pt>
                <c:pt idx="74">
                  <c:v>4.8325899093128801E-19</c:v>
                </c:pt>
                <c:pt idx="75">
                  <c:v>4.7359857822142002E-19</c:v>
                </c:pt>
                <c:pt idx="76">
                  <c:v>4.6413128260518098E-19</c:v>
                </c:pt>
                <c:pt idx="77">
                  <c:v>4.5485323426963398E-19</c:v>
                </c:pt>
                <c:pt idx="78">
                  <c:v>4.4576065921295296E-19</c:v>
                </c:pt>
                <c:pt idx="79">
                  <c:v>4.3684984390709304E-19</c:v>
                </c:pt>
                <c:pt idx="80">
                  <c:v>4.2811715751857901E-19</c:v>
                </c:pt>
                <c:pt idx="81">
                  <c:v>4.1955903861413898E-19</c:v>
                </c:pt>
                <c:pt idx="82">
                  <c:v>4.11171997684258E-19</c:v>
                </c:pt>
                <c:pt idx="83">
                  <c:v>4.0295261481583399E-19</c:v>
                </c:pt>
                <c:pt idx="84">
                  <c:v>3.9489753848428101E-19</c:v>
                </c:pt>
                <c:pt idx="85">
                  <c:v>3.8700348419265998E-19</c:v>
                </c:pt>
                <c:pt idx="86">
                  <c:v>3.7926723310204101E-19</c:v>
                </c:pt>
                <c:pt idx="87">
                  <c:v>3.7168563070506999E-19</c:v>
                </c:pt>
                <c:pt idx="88">
                  <c:v>3.6425558554708498E-19</c:v>
                </c:pt>
                <c:pt idx="89">
                  <c:v>3.5697406797606499E-19</c:v>
                </c:pt>
                <c:pt idx="90">
                  <c:v>3.4983810890805801E-19</c:v>
                </c:pt>
                <c:pt idx="91">
                  <c:v>3.4284479861156802E-19</c:v>
                </c:pt>
                <c:pt idx="92">
                  <c:v>3.3599128551866301E-19</c:v>
                </c:pt>
                <c:pt idx="93">
                  <c:v>3.2927477506308399E-19</c:v>
                </c:pt>
                <c:pt idx="94">
                  <c:v>3.2269252854377199E-19</c:v>
                </c:pt>
                <c:pt idx="95">
                  <c:v>3.16241862007304E-19</c:v>
                </c:pt>
                <c:pt idx="96">
                  <c:v>3.09920145152583E-19</c:v>
                </c:pt>
                <c:pt idx="97">
                  <c:v>3.0372480025803599E-19</c:v>
                </c:pt>
                <c:pt idx="98">
                  <c:v>2.97653301131522E-19</c:v>
                </c:pt>
                <c:pt idx="99">
                  <c:v>2.91703172079545E-19</c:v>
                </c:pt>
              </c:numCache>
            </c:numRef>
          </c:yVal>
          <c:smooth val="0"/>
          <c:extLst>
            <c:ext xmlns:c16="http://schemas.microsoft.com/office/drawing/2014/chart" uri="{C3380CC4-5D6E-409C-BE32-E72D297353CC}">
              <c16:uniqueId val="{00000013-CF86-4C2E-BF49-1F263FBF5A1F}"/>
            </c:ext>
          </c:extLst>
        </c:ser>
        <c:ser>
          <c:idx val="20"/>
          <c:order val="20"/>
          <c:tx>
            <c:strRef>
              <c:f>dynamicR!$AD$19</c:f>
              <c:strCache>
                <c:ptCount val="1"/>
                <c:pt idx="0">
                  <c:v>sd0RS</c:v>
                </c:pt>
              </c:strCache>
            </c:strRef>
          </c:tx>
          <c:spPr>
            <a:ln w="19050" cap="rnd">
              <a:solidFill>
                <a:schemeClr val="accent3">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dynamicR!$AD$20:$AD$119</c:f>
              <c:numCache>
                <c:formatCode>0.00</c:formatCode>
                <c:ptCount val="100"/>
                <c:pt idx="0">
                  <c:v>0</c:v>
                </c:pt>
                <c:pt idx="1">
                  <c:v>1</c:v>
                </c:pt>
                <c:pt idx="2">
                  <c:v>0.999999999999999</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-1.10359152760316E-214</c:v>
                </c:pt>
                <c:pt idx="52">
                  <c:v>2.6585534111137101E-216</c:v>
                </c:pt>
                <c:pt idx="53">
                  <c:v>-9.0041437091081097E-216</c:v>
                </c:pt>
                <c:pt idx="54">
                  <c:v>1.1840188175838801E-214</c:v>
                </c:pt>
                <c:pt idx="55">
                  <c:v>-7.4536993081464496E-215</c:v>
                </c:pt>
                <c:pt idx="56">
                  <c:v>2.43003245296445E-214</c:v>
                </c:pt>
                <c:pt idx="57">
                  <c:v>-7.0817103869331605E-215</c:v>
                </c:pt>
                <c:pt idx="58">
                  <c:v>1.3184412596232099E-215</c:v>
                </c:pt>
                <c:pt idx="59">
                  <c:v>8.0305819269094593E-217</c:v>
                </c:pt>
                <c:pt idx="60">
                  <c:v>-1.4901513460859799E-216</c:v>
                </c:pt>
                <c:pt idx="61">
                  <c:v>7.0933854541945802E-217</c:v>
                </c:pt>
                <c:pt idx="62">
                  <c:v>1.7635944395278899E-215</c:v>
                </c:pt>
                <c:pt idx="63">
                  <c:v>1.3696891387675499E-215</c:v>
                </c:pt>
                <c:pt idx="64">
                  <c:v>-1.11033340779888E-215</c:v>
                </c:pt>
                <c:pt idx="65">
                  <c:v>-2.53955881436939E-216</c:v>
                </c:pt>
                <c:pt idx="66">
                  <c:v>1.7740089259024599E-215</c:v>
                </c:pt>
                <c:pt idx="67">
                  <c:v>-5.7342973916668699E-216</c:v>
                </c:pt>
                <c:pt idx="68">
                  <c:v>-1.94705291476492E-215</c:v>
                </c:pt>
                <c:pt idx="69">
                  <c:v>1.6678280831094299E-215</c:v>
                </c:pt>
                <c:pt idx="70">
                  <c:v>1.55416469683497E-215</c:v>
                </c:pt>
                <c:pt idx="71">
                  <c:v>-2.8484194079576799E-215</c:v>
                </c:pt>
                <c:pt idx="72">
                  <c:v>-4.7323555057786801E-216</c:v>
                </c:pt>
                <c:pt idx="73">
                  <c:v>3.7648164013817102E-215</c:v>
                </c:pt>
                <c:pt idx="74">
                  <c:v>-1.3344707071024401E-215</c:v>
                </c:pt>
                <c:pt idx="75">
                  <c:v>-3.8512017313950202E-215</c:v>
                </c:pt>
                <c:pt idx="76">
                  <c:v>3.7205806265625098E-215</c:v>
                </c:pt>
                <c:pt idx="77">
                  <c:v>-2.6671233660776102E-215</c:v>
                </c:pt>
                <c:pt idx="78">
                  <c:v>1.04278557825334E-215</c:v>
                </c:pt>
                <c:pt idx="79">
                  <c:v>-2.4131087031627601E-216</c:v>
                </c:pt>
                <c:pt idx="80">
                  <c:v>2.28476964340366E-217</c:v>
                </c:pt>
                <c:pt idx="81">
                  <c:v>1.21978027074099E-222</c:v>
                </c:pt>
                <c:pt idx="82">
                  <c:v>-3.7872795301000198E-223</c:v>
                </c:pt>
                <c:pt idx="83">
                  <c:v>8.0590636183887998E-224</c:v>
                </c:pt>
                <c:pt idx="84">
                  <c:v>-1.05585854607176E-224</c:v>
                </c:pt>
                <c:pt idx="85">
                  <c:v>6.2801016625273901E-226</c:v>
                </c:pt>
                <c:pt idx="86">
                  <c:v>1.4341218510074399E-230</c:v>
                </c:pt>
                <c:pt idx="87">
                  <c:v>-2.9525543978051501E-231</c:v>
                </c:pt>
                <c:pt idx="88">
                  <c:v>4.3170582482998602E-232</c:v>
                </c:pt>
                <c:pt idx="89">
                  <c:v>-3.9812864722347198E-233</c:v>
                </c:pt>
                <c:pt idx="90">
                  <c:v>1.72591090223394E-234</c:v>
                </c:pt>
                <c:pt idx="91">
                  <c:v>1.12637980720177E-238</c:v>
                </c:pt>
                <c:pt idx="92">
                  <c:v>-1.7475715980913999E-239</c:v>
                </c:pt>
                <c:pt idx="93">
                  <c:v>1.9497713208636501E-240</c:v>
                </c:pt>
                <c:pt idx="94">
                  <c:v>-1.3908598255724199E-241</c:v>
                </c:pt>
                <c:pt idx="95">
                  <c:v>4.7414195126781005E-243</c:v>
                </c:pt>
                <c:pt idx="96">
                  <c:v>7.0948144145667404E-247</c:v>
                </c:pt>
                <c:pt idx="97">
                  <c:v>-8.8234474360627393E-248</c:v>
                </c:pt>
                <c:pt idx="98">
                  <c:v>7.9664135173461799E-249</c:v>
                </c:pt>
                <c:pt idx="99">
                  <c:v>-4.6375086761899401E-250</c:v>
                </c:pt>
              </c:numCache>
            </c:numRef>
          </c:yVal>
          <c:smooth val="0"/>
          <c:extLst>
            <c:ext xmlns:c16="http://schemas.microsoft.com/office/drawing/2014/chart" uri="{C3380CC4-5D6E-409C-BE32-E72D297353CC}">
              <c16:uniqueId val="{00000014-CF86-4C2E-BF49-1F263FBF5A1F}"/>
            </c:ext>
          </c:extLst>
        </c:ser>
        <c:ser>
          <c:idx val="21"/>
          <c:order val="21"/>
          <c:tx>
            <c:strRef>
              <c:f>dynamicR!$AE$19</c:f>
              <c:strCache>
                <c:ptCount val="1"/>
                <c:pt idx="0">
                  <c:v>sd0RA</c:v>
                </c:pt>
              </c:strCache>
            </c:strRef>
          </c:tx>
          <c:spPr>
            <a:ln w="19050" cap="rnd">
              <a:solidFill>
                <a:schemeClr val="accent4">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dynamicR!$AE$20:$AE$119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7.1504260295682499E-89</c:v>
                </c:pt>
                <c:pt idx="52">
                  <c:v>-1.7225513021102199E-90</c:v>
                </c:pt>
                <c:pt idx="53">
                  <c:v>5.8339058070742502E-90</c:v>
                </c:pt>
                <c:pt idx="54">
                  <c:v>-7.6715375713355995E-89</c:v>
                </c:pt>
                <c:pt idx="55">
                  <c:v>4.82941291173095E-89</c:v>
                </c:pt>
                <c:pt idx="56">
                  <c:v>-1.5744698235513399E-88</c:v>
                </c:pt>
                <c:pt idx="57">
                  <c:v>4.5883729772834502E-89</c:v>
                </c:pt>
                <c:pt idx="58">
                  <c:v>-8.5423254267877598E-90</c:v>
                </c:pt>
                <c:pt idx="59">
                  <c:v>-5.2036694455748004E-91</c:v>
                </c:pt>
                <c:pt idx="60">
                  <c:v>9.6554336441883104E-91</c:v>
                </c:pt>
                <c:pt idx="61">
                  <c:v>-4.5951752346138899E-91</c:v>
                </c:pt>
                <c:pt idx="62">
                  <c:v>-1.14266983919281E-89</c:v>
                </c:pt>
                <c:pt idx="63">
                  <c:v>-8.8744802074682404E-90</c:v>
                </c:pt>
                <c:pt idx="64">
                  <c:v>7.1941531985746099E-90</c:v>
                </c:pt>
                <c:pt idx="65">
                  <c:v>1.6454180573416701E-90</c:v>
                </c:pt>
                <c:pt idx="66">
                  <c:v>-1.14942323306156E-89</c:v>
                </c:pt>
                <c:pt idx="67">
                  <c:v>3.7154115277465602E-90</c:v>
                </c:pt>
                <c:pt idx="68">
                  <c:v>1.2615405630587999E-89</c:v>
                </c:pt>
                <c:pt idx="69">
                  <c:v>-1.08062663910388E-89</c:v>
                </c:pt>
                <c:pt idx="70">
                  <c:v>-1.0069780554852699E-89</c:v>
                </c:pt>
                <c:pt idx="71">
                  <c:v>1.8455573192180499E-89</c:v>
                </c:pt>
                <c:pt idx="72">
                  <c:v>3.06619351932055E-90</c:v>
                </c:pt>
                <c:pt idx="73">
                  <c:v>-2.4393100873719299E-89</c:v>
                </c:pt>
                <c:pt idx="74">
                  <c:v>8.6463293287319503E-90</c:v>
                </c:pt>
                <c:pt idx="75">
                  <c:v>2.49528025672516E-89</c:v>
                </c:pt>
                <c:pt idx="76">
                  <c:v>-2.41064558431253E-89</c:v>
                </c:pt>
                <c:pt idx="77">
                  <c:v>1.7280820784099402E-89</c:v>
                </c:pt>
                <c:pt idx="78">
                  <c:v>-6.7563413183307996E-90</c:v>
                </c:pt>
                <c:pt idx="79">
                  <c:v>1.56342455078475E-90</c:v>
                </c:pt>
                <c:pt idx="80">
                  <c:v>-1.4798671124581901E-91</c:v>
                </c:pt>
                <c:pt idx="81">
                  <c:v>-2.1705915117138402E-95</c:v>
                </c:pt>
                <c:pt idx="82">
                  <c:v>6.7392798205379596E-96</c:v>
                </c:pt>
                <c:pt idx="83">
                  <c:v>-1.4339727795161899E-96</c:v>
                </c:pt>
                <c:pt idx="84">
                  <c:v>1.8782247529634999E-97</c:v>
                </c:pt>
                <c:pt idx="85">
                  <c:v>-1.1150941893819899E-98</c:v>
                </c:pt>
                <c:pt idx="86">
                  <c:v>-6.9986488005709797E-102</c:v>
                </c:pt>
                <c:pt idx="87">
                  <c:v>1.4428139282392799E-102</c:v>
                </c:pt>
                <c:pt idx="88">
                  <c:v>-2.1090421771250201E-103</c:v>
                </c:pt>
                <c:pt idx="89">
                  <c:v>1.9430047555028099E-104</c:v>
                </c:pt>
                <c:pt idx="90">
                  <c:v>-8.3632302353591498E-106</c:v>
                </c:pt>
                <c:pt idx="91">
                  <c:v>-1.5128263967777301E-108</c:v>
                </c:pt>
                <c:pt idx="92">
                  <c:v>2.3447235744716898E-109</c:v>
                </c:pt>
                <c:pt idx="93">
                  <c:v>-2.6140261448616501E-110</c:v>
                </c:pt>
                <c:pt idx="94">
                  <c:v>1.8591677274593601E-111</c:v>
                </c:pt>
                <c:pt idx="95">
                  <c:v>-6.2079117896107805E-113</c:v>
                </c:pt>
                <c:pt idx="96">
                  <c:v>-2.6137319881478501E-115</c:v>
                </c:pt>
                <c:pt idx="97">
                  <c:v>3.24929423621772E-116</c:v>
                </c:pt>
                <c:pt idx="98">
                  <c:v>-2.92837490007685E-117</c:v>
                </c:pt>
                <c:pt idx="99">
                  <c:v>1.69260883504332E-118</c:v>
                </c:pt>
              </c:numCache>
            </c:numRef>
          </c:yVal>
          <c:smooth val="0"/>
          <c:extLst>
            <c:ext xmlns:c16="http://schemas.microsoft.com/office/drawing/2014/chart" uri="{C3380CC4-5D6E-409C-BE32-E72D297353CC}">
              <c16:uniqueId val="{00000015-CF86-4C2E-BF49-1F263FBF5A1F}"/>
            </c:ext>
          </c:extLst>
        </c:ser>
        <c:ser>
          <c:idx val="22"/>
          <c:order val="22"/>
          <c:tx>
            <c:strRef>
              <c:f>dynamicR!$AF$19</c:f>
              <c:strCache>
                <c:ptCount val="1"/>
                <c:pt idx="0">
                  <c:v>sd0RP</c:v>
                </c:pt>
              </c:strCache>
            </c:strRef>
          </c:tx>
          <c:spPr>
            <a:ln w="19050" cap="rnd">
              <a:solidFill>
                <a:schemeClr val="accent5">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dynamicR!$AF$20:$AF$119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0.999999999999998</c:v>
                </c:pt>
                <c:pt idx="18">
                  <c:v>1</c:v>
                </c:pt>
                <c:pt idx="19">
                  <c:v>1</c:v>
                </c:pt>
                <c:pt idx="20">
                  <c:v>0.999999999999997</c:v>
                </c:pt>
                <c:pt idx="21">
                  <c:v>1</c:v>
                </c:pt>
                <c:pt idx="22">
                  <c:v>1.00000000000001</c:v>
                </c:pt>
                <c:pt idx="23">
                  <c:v>0.999999999999997</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5.6787043574314801E-89</c:v>
                </c:pt>
                <c:pt idx="52">
                  <c:v>-1.3680107352682199E-90</c:v>
                </c:pt>
                <c:pt idx="53">
                  <c:v>4.6331541865185901E-90</c:v>
                </c:pt>
                <c:pt idx="54">
                  <c:v>-6.0925591884222997E-89</c:v>
                </c:pt>
                <c:pt idx="55">
                  <c:v>3.8354089700992098E-89</c:v>
                </c:pt>
                <c:pt idx="56">
                  <c:v>-1.25040782265731E-88</c:v>
                </c:pt>
                <c:pt idx="57">
                  <c:v>3.6439805820472002E-89</c:v>
                </c:pt>
                <c:pt idx="58">
                  <c:v>-6.7841189316058197E-90</c:v>
                </c:pt>
                <c:pt idx="59">
                  <c:v>-4.13263492500861E-91</c:v>
                </c:pt>
                <c:pt idx="60">
                  <c:v>7.6681239481912403E-91</c:v>
                </c:pt>
                <c:pt idx="61">
                  <c:v>-3.6493827787734701E-91</c:v>
                </c:pt>
                <c:pt idx="62">
                  <c:v>-9.0748217860364801E-90</c:v>
                </c:pt>
                <c:pt idx="63">
                  <c:v>-7.0479086402922002E-90</c:v>
                </c:pt>
                <c:pt idx="64">
                  <c:v>5.7134314689381699E-90</c:v>
                </c:pt>
                <c:pt idx="65">
                  <c:v>1.3067532826849299E-90</c:v>
                </c:pt>
                <c:pt idx="66">
                  <c:v>-9.12845569121855E-90</c:v>
                </c:pt>
                <c:pt idx="67">
                  <c:v>2.9506946205827699E-90</c:v>
                </c:pt>
                <c:pt idx="68">
                  <c:v>1.0018865811406899E-89</c:v>
                </c:pt>
                <c:pt idx="69">
                  <c:v>-8.5820889208368195E-90</c:v>
                </c:pt>
                <c:pt idx="70">
                  <c:v>-7.9971887613955395E-90</c:v>
                </c:pt>
                <c:pt idx="71">
                  <c:v>1.4656992941766801E-89</c:v>
                </c:pt>
                <c:pt idx="72">
                  <c:v>2.4351005684189499E-90</c:v>
                </c:pt>
                <c:pt idx="73">
                  <c:v>-1.9372441246386899E-89</c:v>
                </c:pt>
                <c:pt idx="74">
                  <c:v>6.8667164451498104E-90</c:v>
                </c:pt>
                <c:pt idx="75">
                  <c:v>1.98169434943624E-89</c:v>
                </c:pt>
                <c:pt idx="76">
                  <c:v>-1.9144794337430701E-89</c:v>
                </c:pt>
                <c:pt idx="77">
                  <c:v>1.3724031522781E-89</c:v>
                </c:pt>
                <c:pt idx="78">
                  <c:v>-5.3657313150748802E-90</c:v>
                </c:pt>
                <c:pt idx="79">
                  <c:v>1.2416359203379299E-90</c:v>
                </c:pt>
                <c:pt idx="80">
                  <c:v>-1.17527651924922E-91</c:v>
                </c:pt>
                <c:pt idx="81">
                  <c:v>-1.72383399499787E-95</c:v>
                </c:pt>
                <c:pt idx="82">
                  <c:v>5.3521814606302801E-96</c:v>
                </c:pt>
                <c:pt idx="83">
                  <c:v>-1.13882829013077E-96</c:v>
                </c:pt>
                <c:pt idx="84">
                  <c:v>1.4916430155010799E-97</c:v>
                </c:pt>
                <c:pt idx="85">
                  <c:v>-8.8558222479898899E-99</c:v>
                </c:pt>
                <c:pt idx="86">
                  <c:v>-5.5581864806784302E-102</c:v>
                </c:pt>
                <c:pt idx="87">
                  <c:v>1.14584973205819E-102</c:v>
                </c:pt>
                <c:pt idx="88">
                  <c:v>-1.67495292970805E-103</c:v>
                </c:pt>
                <c:pt idx="89">
                  <c:v>1.5430898139133001E-104</c:v>
                </c:pt>
                <c:pt idx="90">
                  <c:v>-6.6418858463176402E-106</c:v>
                </c:pt>
                <c:pt idx="91">
                  <c:v>-1.2014543035768201E-108</c:v>
                </c:pt>
                <c:pt idx="92">
                  <c:v>1.86212568365389E-109</c:v>
                </c:pt>
                <c:pt idx="93">
                  <c:v>-2.0759996084050599E-110</c:v>
                </c:pt>
                <c:pt idx="94">
                  <c:v>1.47650839183419E-111</c:v>
                </c:pt>
                <c:pt idx="95">
                  <c:v>-4.9301812999886002E-113</c:v>
                </c:pt>
                <c:pt idx="96">
                  <c:v>-2.0757679179847099E-115</c:v>
                </c:pt>
                <c:pt idx="97">
                  <c:v>2.5805149915747702E-116</c:v>
                </c:pt>
                <c:pt idx="98">
                  <c:v>-2.3256482056915702E-117</c:v>
                </c:pt>
                <c:pt idx="99">
                  <c:v>1.34423114801851E-118</c:v>
                </c:pt>
              </c:numCache>
            </c:numRef>
          </c:yVal>
          <c:smooth val="0"/>
          <c:extLst>
            <c:ext xmlns:c16="http://schemas.microsoft.com/office/drawing/2014/chart" uri="{C3380CC4-5D6E-409C-BE32-E72D297353CC}">
              <c16:uniqueId val="{00000016-CF86-4C2E-BF49-1F263FBF5A1F}"/>
            </c:ext>
          </c:extLst>
        </c:ser>
        <c:ser>
          <c:idx val="23"/>
          <c:order val="23"/>
          <c:tx>
            <c:strRef>
              <c:f>dynamicR!$AG$19</c:f>
              <c:strCache>
                <c:ptCount val="1"/>
                <c:pt idx="0">
                  <c:v>sd1RD</c:v>
                </c:pt>
              </c:strCache>
            </c:strRef>
          </c:tx>
          <c:spPr>
            <a:ln w="19050" cap="rnd">
              <a:solidFill>
                <a:schemeClr val="accent6">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dynamicR!$AG$20:$AG$119</c:f>
              <c:numCache>
                <c:formatCode>0.00</c:formatCode>
                <c:ptCount val="100"/>
                <c:pt idx="0">
                  <c:v>0</c:v>
                </c:pt>
                <c:pt idx="1">
                  <c:v>0.999999999999999</c:v>
                </c:pt>
                <c:pt idx="2">
                  <c:v>1</c:v>
                </c:pt>
                <c:pt idx="3">
                  <c:v>1</c:v>
                </c:pt>
                <c:pt idx="4">
                  <c:v>1</c:v>
                </c:pt>
                <c:pt idx="5">
                  <c:v>1</c:v>
                </c:pt>
                <c:pt idx="6">
                  <c:v>1</c:v>
                </c:pt>
                <c:pt idx="7">
                  <c:v>1</c:v>
                </c:pt>
                <c:pt idx="8">
                  <c:v>1</c:v>
                </c:pt>
                <c:pt idx="9">
                  <c:v>1</c:v>
                </c:pt>
                <c:pt idx="10">
                  <c:v>1</c:v>
                </c:pt>
                <c:pt idx="11">
                  <c:v>1</c:v>
                </c:pt>
                <c:pt idx="12">
                  <c:v>0.999999999999999</c:v>
                </c:pt>
                <c:pt idx="13">
                  <c:v>1</c:v>
                </c:pt>
                <c:pt idx="14">
                  <c:v>1</c:v>
                </c:pt>
                <c:pt idx="15">
                  <c:v>0.999999999999999</c:v>
                </c:pt>
                <c:pt idx="16">
                  <c:v>0.999999999999999</c:v>
                </c:pt>
                <c:pt idx="17">
                  <c:v>1</c:v>
                </c:pt>
                <c:pt idx="18">
                  <c:v>1</c:v>
                </c:pt>
                <c:pt idx="19">
                  <c:v>0.999999999999996</c:v>
                </c:pt>
                <c:pt idx="20">
                  <c:v>1</c:v>
                </c:pt>
                <c:pt idx="21">
                  <c:v>1</c:v>
                </c:pt>
                <c:pt idx="22">
                  <c:v>0.99999999999999201</c:v>
                </c:pt>
                <c:pt idx="23">
                  <c:v>1</c:v>
                </c:pt>
                <c:pt idx="24">
                  <c:v>0.999999999999998</c:v>
                </c:pt>
                <c:pt idx="25">
                  <c:v>1</c:v>
                </c:pt>
                <c:pt idx="26">
                  <c:v>1</c:v>
                </c:pt>
                <c:pt idx="27">
                  <c:v>1</c:v>
                </c:pt>
                <c:pt idx="28">
                  <c:v>1</c:v>
                </c:pt>
                <c:pt idx="29">
                  <c:v>1</c:v>
                </c:pt>
                <c:pt idx="30">
                  <c:v>1</c:v>
                </c:pt>
                <c:pt idx="31">
                  <c:v>1</c:v>
                </c:pt>
                <c:pt idx="32">
                  <c:v>1</c:v>
                </c:pt>
                <c:pt idx="33">
                  <c:v>1</c:v>
                </c:pt>
                <c:pt idx="34">
                  <c:v>1</c:v>
                </c:pt>
                <c:pt idx="35">
                  <c:v>0.999999999999999</c:v>
                </c:pt>
                <c:pt idx="36">
                  <c:v>1</c:v>
                </c:pt>
                <c:pt idx="37">
                  <c:v>0.999999999999999</c:v>
                </c:pt>
                <c:pt idx="38">
                  <c:v>1</c:v>
                </c:pt>
                <c:pt idx="39">
                  <c:v>1</c:v>
                </c:pt>
                <c:pt idx="40">
                  <c:v>1</c:v>
                </c:pt>
                <c:pt idx="41">
                  <c:v>1</c:v>
                </c:pt>
                <c:pt idx="42">
                  <c:v>1</c:v>
                </c:pt>
                <c:pt idx="43">
                  <c:v>1</c:v>
                </c:pt>
                <c:pt idx="44">
                  <c:v>1</c:v>
                </c:pt>
                <c:pt idx="45">
                  <c:v>1</c:v>
                </c:pt>
                <c:pt idx="46">
                  <c:v>1</c:v>
                </c:pt>
                <c:pt idx="47">
                  <c:v>1</c:v>
                </c:pt>
                <c:pt idx="48">
                  <c:v>1</c:v>
                </c:pt>
                <c:pt idx="49">
                  <c:v>1</c:v>
                </c:pt>
                <c:pt idx="50">
                  <c:v>1</c:v>
                </c:pt>
                <c:pt idx="51">
                  <c:v>8.8867518391708704E-18</c:v>
                </c:pt>
                <c:pt idx="52">
                  <c:v>8.7090153055509404E-18</c:v>
                </c:pt>
                <c:pt idx="53">
                  <c:v>8.5349279554952004E-18</c:v>
                </c:pt>
                <c:pt idx="54">
                  <c:v>8.3642221892748796E-18</c:v>
                </c:pt>
                <c:pt idx="55">
                  <c:v>8.1971621261012598E-18</c:v>
                </c:pt>
                <c:pt idx="56">
                  <c:v>8.0330679619673605E-18</c:v>
                </c:pt>
                <c:pt idx="57">
                  <c:v>7.8727133597531205E-18</c:v>
                </c:pt>
                <c:pt idx="58">
                  <c:v>7.7152764830519205E-18</c:v>
                </c:pt>
                <c:pt idx="59">
                  <c:v>7.5610561856392399E-18</c:v>
                </c:pt>
                <c:pt idx="60">
                  <c:v>7.4099115909782997E-18</c:v>
                </c:pt>
                <c:pt idx="61">
                  <c:v>7.2617848895404502E-18</c:v>
                </c:pt>
                <c:pt idx="62">
                  <c:v>7.1166082401962298E-18</c:v>
                </c:pt>
                <c:pt idx="63">
                  <c:v>6.9743488746081008E-18</c:v>
                </c:pt>
                <c:pt idx="64">
                  <c:v>6.8349487613101702E-18</c:v>
                </c:pt>
                <c:pt idx="65">
                  <c:v>6.69831105718342E-18</c:v>
                </c:pt>
                <c:pt idx="66">
                  <c:v>6.5643960365764903E-18</c:v>
                </c:pt>
                <c:pt idx="67">
                  <c:v>6.4331899353940299E-18</c:v>
                </c:pt>
                <c:pt idx="68">
                  <c:v>6.3045997922973097E-18</c:v>
                </c:pt>
                <c:pt idx="69">
                  <c:v>6.1785436497643002E-18</c:v>
                </c:pt>
                <c:pt idx="70">
                  <c:v>6.0550343465831099E-18</c:v>
                </c:pt>
                <c:pt idx="71">
                  <c:v>5.9340255939333204E-18</c:v>
                </c:pt>
                <c:pt idx="72">
                  <c:v>5.8153865489650296E-18</c:v>
                </c:pt>
                <c:pt idx="73">
                  <c:v>5.69910506455353E-18</c:v>
                </c:pt>
                <c:pt idx="74">
                  <c:v>5.5852161774426496E-18</c:v>
                </c:pt>
                <c:pt idx="75">
                  <c:v>5.4735856884405701E-18</c:v>
                </c:pt>
                <c:pt idx="76">
                  <c:v>5.3641128232465703E-18</c:v>
                </c:pt>
                <c:pt idx="77">
                  <c:v>5.2569299189099401E-18</c:v>
                </c:pt>
                <c:pt idx="78">
                  <c:v>5.1518163697032097E-18</c:v>
                </c:pt>
                <c:pt idx="79">
                  <c:v>5.0488400748678097E-18</c:v>
                </c:pt>
                <c:pt idx="80">
                  <c:v>4.9479112524440397E-18</c:v>
                </c:pt>
                <c:pt idx="81">
                  <c:v>4.8490019760049998E-18</c:v>
                </c:pt>
                <c:pt idx="82">
                  <c:v>4.7520697968704897E-18</c:v>
                </c:pt>
                <c:pt idx="83">
                  <c:v>4.65707528605033E-18</c:v>
                </c:pt>
                <c:pt idx="84">
                  <c:v>4.5639797328396098E-18</c:v>
                </c:pt>
                <c:pt idx="85">
                  <c:v>4.4727451711690303E-18</c:v>
                </c:pt>
                <c:pt idx="86">
                  <c:v>4.3833344006653604E-18</c:v>
                </c:pt>
                <c:pt idx="87">
                  <c:v>4.2957109634223004E-18</c:v>
                </c:pt>
                <c:pt idx="88">
                  <c:v>4.2098391303265099E-18</c:v>
                </c:pt>
                <c:pt idx="89">
                  <c:v>4.1256838865501103E-18</c:v>
                </c:pt>
                <c:pt idx="90">
                  <c:v>4.0432109172700902E-18</c:v>
                </c:pt>
                <c:pt idx="91">
                  <c:v>3.9623865936225502E-18</c:v>
                </c:pt>
                <c:pt idx="92">
                  <c:v>3.8831779589618597E-18</c:v>
                </c:pt>
                <c:pt idx="93">
                  <c:v>3.8055527154321602E-18</c:v>
                </c:pt>
                <c:pt idx="94">
                  <c:v>3.7294792108328101E-18</c:v>
                </c:pt>
                <c:pt idx="95">
                  <c:v>3.6549264257022202E-18</c:v>
                </c:pt>
                <c:pt idx="96">
                  <c:v>3.5818639606589497E-18</c:v>
                </c:pt>
                <c:pt idx="97">
                  <c:v>3.5102620240029602E-18</c:v>
                </c:pt>
                <c:pt idx="98">
                  <c:v>3.4400914195792802E-18</c:v>
                </c:pt>
                <c:pt idx="99">
                  <c:v>3.3713235348648001E-18</c:v>
                </c:pt>
              </c:numCache>
            </c:numRef>
          </c:yVal>
          <c:smooth val="0"/>
          <c:extLst>
            <c:ext xmlns:c16="http://schemas.microsoft.com/office/drawing/2014/chart" uri="{C3380CC4-5D6E-409C-BE32-E72D297353CC}">
              <c16:uniqueId val="{00000017-CF86-4C2E-BF49-1F263FBF5A1F}"/>
            </c:ext>
          </c:extLst>
        </c:ser>
        <c:ser>
          <c:idx val="24"/>
          <c:order val="24"/>
          <c:tx>
            <c:strRef>
              <c:f>dynamicR!$AH$19</c:f>
              <c:strCache>
                <c:ptCount val="1"/>
                <c:pt idx="0">
                  <c:v>sd1RS</c:v>
                </c:pt>
              </c:strCache>
            </c:strRef>
          </c:tx>
          <c:spPr>
            <a:ln w="19050" cap="rnd">
              <a:solidFill>
                <a:schemeClr val="accent1">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dynamicR!$AH$20:$AH$119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-1.14655687328561E-217</c:v>
                </c:pt>
                <c:pt idx="52">
                  <c:v>2.7620565392368599E-219</c:v>
                </c:pt>
                <c:pt idx="53">
                  <c:v>-9.3546945271496002E-219</c:v>
                </c:pt>
                <c:pt idx="54">
                  <c:v>1.23011535768896E-217</c:v>
                </c:pt>
                <c:pt idx="55">
                  <c:v>-7.7438888250001598E-218</c:v>
                </c:pt>
                <c:pt idx="56">
                  <c:v>2.5246391366557898E-217</c:v>
                </c:pt>
                <c:pt idx="57">
                  <c:v>-7.3574174569018199E-218</c:v>
                </c:pt>
                <c:pt idx="58">
                  <c:v>1.36977117164089E-218</c:v>
                </c:pt>
                <c:pt idx="59">
                  <c:v>8.3432307163390904E-220</c:v>
                </c:pt>
                <c:pt idx="60">
                  <c:v>-1.5481663216710601E-219</c:v>
                </c:pt>
                <c:pt idx="61">
                  <c:v>7.3695470568558896E-220</c:v>
                </c:pt>
                <c:pt idx="62">
                  <c:v>1.8322551756472199E-218</c:v>
                </c:pt>
                <c:pt idx="63">
                  <c:v>1.4230142470887601E-218</c:v>
                </c:pt>
                <c:pt idx="64">
                  <c:v>-1.1535612085951501E-218</c:v>
                </c:pt>
                <c:pt idx="65">
                  <c:v>-2.6384296055816499E-219</c:v>
                </c:pt>
                <c:pt idx="66">
                  <c:v>1.8430751216245099E-218</c:v>
                </c:pt>
                <c:pt idx="67">
                  <c:v>-5.9575466099755804E-219</c:v>
                </c:pt>
                <c:pt idx="68">
                  <c:v>-2.0228561059038701E-218</c:v>
                </c:pt>
                <c:pt idx="69">
                  <c:v>1.73276041751697E-218</c:v>
                </c:pt>
                <c:pt idx="70">
                  <c:v>1.6146718575198501E-218</c:v>
                </c:pt>
                <c:pt idx="71">
                  <c:v>-2.9593148434067198E-218</c:v>
                </c:pt>
                <c:pt idx="72">
                  <c:v>-4.9165968513648102E-219</c:v>
                </c:pt>
                <c:pt idx="73">
                  <c:v>3.9113892526446401E-218</c:v>
                </c:pt>
                <c:pt idx="74">
                  <c:v>-1.3864246819084099E-218</c:v>
                </c:pt>
                <c:pt idx="75">
                  <c:v>-4.00113775971039E-218</c:v>
                </c:pt>
                <c:pt idx="76">
                  <c:v>3.8654312786654901E-218</c:v>
                </c:pt>
                <c:pt idx="77">
                  <c:v>-2.7709605349477299E-218</c:v>
                </c:pt>
                <c:pt idx="78">
                  <c:v>1.08338358866471E-218</c:v>
                </c:pt>
                <c:pt idx="79">
                  <c:v>-2.50705650441477E-219</c:v>
                </c:pt>
                <c:pt idx="80">
                  <c:v>2.3737209136389901E-220</c:v>
                </c:pt>
                <c:pt idx="81">
                  <c:v>1.2672692070380501E-225</c:v>
                </c:pt>
                <c:pt idx="82">
                  <c:v>-3.93472739171953E-226</c:v>
                </c:pt>
                <c:pt idx="83">
                  <c:v>8.3728225012653098E-227</c:v>
                </c:pt>
                <c:pt idx="84">
                  <c:v>-1.0969660200474801E-227</c:v>
                </c:pt>
                <c:pt idx="85">
                  <c:v>6.5246160667832698E-229</c:v>
                </c:pt>
                <c:pt idx="86">
                  <c:v>1.4750887132508501E-233</c:v>
                </c:pt>
                <c:pt idx="87">
                  <c:v>-3.0675053503126102E-234</c:v>
                </c:pt>
                <c:pt idx="88">
                  <c:v>4.4851349961196303E-235</c:v>
                </c:pt>
                <c:pt idx="89">
                  <c:v>-4.1362923806425098E-236</c:v>
                </c:pt>
                <c:pt idx="90">
                  <c:v>1.79310693737629E-237</c:v>
                </c:pt>
                <c:pt idx="91">
                  <c:v>1.16844869731544E-241</c:v>
                </c:pt>
                <c:pt idx="92">
                  <c:v>-1.81560913447961E-242</c:v>
                </c:pt>
                <c:pt idx="93">
                  <c:v>2.0256815443081499E-243</c:v>
                </c:pt>
                <c:pt idx="94">
                  <c:v>-1.4450091286467E-244</c:v>
                </c:pt>
                <c:pt idx="95">
                  <c:v>4.9260186471290202E-246</c:v>
                </c:pt>
                <c:pt idx="96">
                  <c:v>7.3609407607339504E-250</c:v>
                </c:pt>
                <c:pt idx="97">
                  <c:v>-9.1669698929959007E-251</c:v>
                </c:pt>
                <c:pt idx="98">
                  <c:v>8.27657430450962E-252</c:v>
                </c:pt>
                <c:pt idx="99">
                  <c:v>-4.8180694094669598E-253</c:v>
                </c:pt>
              </c:numCache>
            </c:numRef>
          </c:yVal>
          <c:smooth val="0"/>
          <c:extLst>
            <c:ext xmlns:c16="http://schemas.microsoft.com/office/drawing/2014/chart" uri="{C3380CC4-5D6E-409C-BE32-E72D297353CC}">
              <c16:uniqueId val="{00000018-CF86-4C2E-BF49-1F263FBF5A1F}"/>
            </c:ext>
          </c:extLst>
        </c:ser>
        <c:ser>
          <c:idx val="25"/>
          <c:order val="25"/>
          <c:tx>
            <c:strRef>
              <c:f>dynamicR!$AI$19</c:f>
              <c:strCache>
                <c:ptCount val="1"/>
                <c:pt idx="0">
                  <c:v>sd1RA</c:v>
                </c:pt>
              </c:strCache>
            </c:strRef>
          </c:tx>
          <c:spPr>
            <a:ln w="19050" cap="rnd">
              <a:solidFill>
                <a:schemeClr val="accent2">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dynamicR!$AI$20:$AI$119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0.999999999999999</c:v>
                </c:pt>
                <c:pt idx="14">
                  <c:v>1</c:v>
                </c:pt>
                <c:pt idx="15">
                  <c:v>1</c:v>
                </c:pt>
                <c:pt idx="16">
                  <c:v>0.999999999999999</c:v>
                </c:pt>
                <c:pt idx="17">
                  <c:v>1</c:v>
                </c:pt>
                <c:pt idx="18">
                  <c:v>1</c:v>
                </c:pt>
                <c:pt idx="19">
                  <c:v>0.999999999999999</c:v>
                </c:pt>
                <c:pt idx="20">
                  <c:v>1</c:v>
                </c:pt>
                <c:pt idx="21">
                  <c:v>1</c:v>
                </c:pt>
                <c:pt idx="22">
                  <c:v>0.999999999999999</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0.999999999999999</c:v>
                </c:pt>
                <c:pt idx="41">
                  <c:v>1</c:v>
                </c:pt>
                <c:pt idx="42">
                  <c:v>1</c:v>
                </c:pt>
                <c:pt idx="43">
                  <c:v>1</c:v>
                </c:pt>
                <c:pt idx="44">
                  <c:v>1</c:v>
                </c:pt>
                <c:pt idx="45">
                  <c:v>1</c:v>
                </c:pt>
                <c:pt idx="46">
                  <c:v>1</c:v>
                </c:pt>
                <c:pt idx="47">
                  <c:v>1</c:v>
                </c:pt>
                <c:pt idx="48">
                  <c:v>1</c:v>
                </c:pt>
                <c:pt idx="49">
                  <c:v>1</c:v>
                </c:pt>
                <c:pt idx="50">
                  <c:v>1</c:v>
                </c:pt>
                <c:pt idx="51">
                  <c:v>9.6040590521664406E-89</c:v>
                </c:pt>
                <c:pt idx="52">
                  <c:v>-2.31363622190555E-90</c:v>
                </c:pt>
                <c:pt idx="53">
                  <c:v>7.8357812547857799E-90</c:v>
                </c:pt>
                <c:pt idx="54">
                  <c:v>-1.0303987427772701E-88</c:v>
                </c:pt>
                <c:pt idx="55">
                  <c:v>6.4866018277431296E-89</c:v>
                </c:pt>
                <c:pt idx="56">
                  <c:v>-2.1147412765011201E-88</c:v>
                </c:pt>
                <c:pt idx="57">
                  <c:v>6.1628501910220701E-89</c:v>
                </c:pt>
                <c:pt idx="58">
                  <c:v>-1.1473581359453901E-89</c:v>
                </c:pt>
                <c:pt idx="59">
                  <c:v>-6.9892838738429505E-91</c:v>
                </c:pt>
                <c:pt idx="60">
                  <c:v>1.2968648560646399E-90</c:v>
                </c:pt>
                <c:pt idx="61">
                  <c:v>-6.1719846275284796E-91</c:v>
                </c:pt>
                <c:pt idx="62">
                  <c:v>-1.53477128350467E-89</c:v>
                </c:pt>
                <c:pt idx="63">
                  <c:v>-1.1919713676415599E-89</c:v>
                </c:pt>
                <c:pt idx="64">
                  <c:v>9.6627910948381601E-90</c:v>
                </c:pt>
                <c:pt idx="65">
                  <c:v>2.2100350000218502E-90</c:v>
                </c:pt>
                <c:pt idx="66">
                  <c:v>-1.54384208535993E-89</c:v>
                </c:pt>
                <c:pt idx="67">
                  <c:v>4.9903365278593203E-90</c:v>
                </c:pt>
                <c:pt idx="68">
                  <c:v>1.6944319128873E-89</c:v>
                </c:pt>
                <c:pt idx="69">
                  <c:v>-1.4514382845520999E-89</c:v>
                </c:pt>
                <c:pt idx="70">
                  <c:v>-1.3525175479632201E-89</c:v>
                </c:pt>
                <c:pt idx="71">
                  <c:v>2.4788511065176701E-89</c:v>
                </c:pt>
                <c:pt idx="72">
                  <c:v>4.1183425036509004E-90</c:v>
                </c:pt>
                <c:pt idx="73">
                  <c:v>-3.2763471693329798E-89</c:v>
                </c:pt>
                <c:pt idx="74">
                  <c:v>1.1613274059393701E-89</c:v>
                </c:pt>
                <c:pt idx="75">
                  <c:v>3.3515232207486801E-89</c:v>
                </c:pt>
                <c:pt idx="76">
                  <c:v>-3.2378465769507201E-89</c:v>
                </c:pt>
                <c:pt idx="77">
                  <c:v>2.3210647986651499E-89</c:v>
                </c:pt>
                <c:pt idx="78">
                  <c:v>-9.0747458523095906E-90</c:v>
                </c:pt>
                <c:pt idx="79">
                  <c:v>2.0999056655770499E-90</c:v>
                </c:pt>
                <c:pt idx="80">
                  <c:v>-1.9876748601023099E-91</c:v>
                </c:pt>
                <c:pt idx="81">
                  <c:v>-2.92085581225895E-95</c:v>
                </c:pt>
                <c:pt idx="82">
                  <c:v>9.0687094382664898E-96</c:v>
                </c:pt>
                <c:pt idx="83">
                  <c:v>-1.92962469709198E-96</c:v>
                </c:pt>
                <c:pt idx="84">
                  <c:v>2.5274308883347399E-97</c:v>
                </c:pt>
                <c:pt idx="85">
                  <c:v>-1.5005201219284E-98</c:v>
                </c:pt>
                <c:pt idx="86">
                  <c:v>-9.4342692773202597E-102</c:v>
                </c:pt>
                <c:pt idx="87">
                  <c:v>1.9449259990069098E-102</c:v>
                </c:pt>
                <c:pt idx="88">
                  <c:v>-2.8430062918810302E-103</c:v>
                </c:pt>
                <c:pt idx="89">
                  <c:v>2.6191818211959301E-104</c:v>
                </c:pt>
                <c:pt idx="90">
                  <c:v>-1.1273545273530801E-105</c:v>
                </c:pt>
                <c:pt idx="91">
                  <c:v>-2.04266638542089E-108</c:v>
                </c:pt>
                <c:pt idx="92">
                  <c:v>3.16591838764907E-109</c:v>
                </c:pt>
                <c:pt idx="93">
                  <c:v>-3.5295346885459298E-110</c:v>
                </c:pt>
                <c:pt idx="94">
                  <c:v>2.5102907483644801E-111</c:v>
                </c:pt>
                <c:pt idx="95">
                  <c:v>-8.3817809245700005E-113</c:v>
                </c:pt>
                <c:pt idx="96">
                  <c:v>-3.5346124478937298E-115</c:v>
                </c:pt>
                <c:pt idx="97">
                  <c:v>4.3940972861191098E-116</c:v>
                </c:pt>
                <c:pt idx="98">
                  <c:v>-3.96009955075606E-117</c:v>
                </c:pt>
                <c:pt idx="99">
                  <c:v>2.2889237443657199E-118</c:v>
                </c:pt>
              </c:numCache>
            </c:numRef>
          </c:yVal>
          <c:smooth val="0"/>
          <c:extLst>
            <c:ext xmlns:c16="http://schemas.microsoft.com/office/drawing/2014/chart" uri="{C3380CC4-5D6E-409C-BE32-E72D297353CC}">
              <c16:uniqueId val="{00000019-CF86-4C2E-BF49-1F263FBF5A1F}"/>
            </c:ext>
          </c:extLst>
        </c:ser>
        <c:ser>
          <c:idx val="26"/>
          <c:order val="26"/>
          <c:tx>
            <c:strRef>
              <c:f>dynamicR!$AJ$19</c:f>
              <c:strCache>
                <c:ptCount val="1"/>
                <c:pt idx="0">
                  <c:v>sd1RP</c:v>
                </c:pt>
              </c:strCache>
            </c:strRef>
          </c:tx>
          <c:spPr>
            <a:ln w="19050" cap="rnd">
              <a:solidFill>
                <a:schemeClr val="accent3">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dynamicR!$AJ$20:$AJ$119</c:f>
              <c:numCache>
                <c:formatCode>0.00</c:formatCode>
                <c:ptCount val="100"/>
                <c:pt idx="0">
                  <c:v>0</c:v>
                </c:pt>
                <c:pt idx="1">
                  <c:v>1</c:v>
                </c:pt>
                <c:pt idx="2">
                  <c:v>0.999999999999999</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1</c:v>
                </c:pt>
                <c:pt idx="21">
                  <c:v>1</c:v>
                </c:pt>
                <c:pt idx="22">
                  <c:v>0.999999999999999</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3.7505345798884498E-89</c:v>
                </c:pt>
                <c:pt idx="52">
                  <c:v>-9.03510953262915E-91</c:v>
                </c:pt>
                <c:pt idx="53">
                  <c:v>3.0599946251872598E-90</c:v>
                </c:pt>
                <c:pt idx="54">
                  <c:v>-4.0238675052303797E-89</c:v>
                </c:pt>
                <c:pt idx="55">
                  <c:v>2.5331190089733801E-89</c:v>
                </c:pt>
                <c:pt idx="56">
                  <c:v>-8.2583939504375203E-89</c:v>
                </c:pt>
                <c:pt idx="57">
                  <c:v>2.4066889677793499E-89</c:v>
                </c:pt>
                <c:pt idx="58">
                  <c:v>-4.4806122587149997E-90</c:v>
                </c:pt>
                <c:pt idx="59">
                  <c:v>-2.7294238427306398E-91</c:v>
                </c:pt>
                <c:pt idx="60">
                  <c:v>5.0644588922208303E-91</c:v>
                </c:pt>
                <c:pt idx="61">
                  <c:v>-2.4102566320967199E-91</c:v>
                </c:pt>
                <c:pt idx="62">
                  <c:v>-5.9935208303288501E-90</c:v>
                </c:pt>
                <c:pt idx="63">
                  <c:v>-4.65483379985994E-90</c:v>
                </c:pt>
                <c:pt idx="64">
                  <c:v>3.7734703266911698E-90</c:v>
                </c:pt>
                <c:pt idx="65">
                  <c:v>8.6305308896625995E-91</c:v>
                </c:pt>
                <c:pt idx="66">
                  <c:v>-6.0289436851758599E-90</c:v>
                </c:pt>
                <c:pt idx="67">
                  <c:v>1.94880408759762E-90</c:v>
                </c:pt>
                <c:pt idx="68">
                  <c:v>6.6170204192643598E-90</c:v>
                </c:pt>
                <c:pt idx="69">
                  <c:v>-5.6680924540986004E-90</c:v>
                </c:pt>
                <c:pt idx="70">
                  <c:v>-5.2817916008818303E-90</c:v>
                </c:pt>
                <c:pt idx="71">
                  <c:v>9.68029948952195E-90</c:v>
                </c:pt>
                <c:pt idx="72">
                  <c:v>1.6082768706800601E-90</c:v>
                </c:pt>
                <c:pt idx="73">
                  <c:v>-1.27946457877017E-89</c:v>
                </c:pt>
                <c:pt idx="74">
                  <c:v>4.5351643327830904E-90</c:v>
                </c:pt>
                <c:pt idx="75">
                  <c:v>1.3088219978410301E-89</c:v>
                </c:pt>
                <c:pt idx="76">
                  <c:v>-1.26442950019379E-89</c:v>
                </c:pt>
                <c:pt idx="77">
                  <c:v>9.0641194565630106E-90</c:v>
                </c:pt>
                <c:pt idx="78">
                  <c:v>-3.5438296103565601E-90</c:v>
                </c:pt>
                <c:pt idx="79">
                  <c:v>8.2004591305155896E-91</c:v>
                </c:pt>
                <c:pt idx="80">
                  <c:v>-7.7621831401934305E-92</c:v>
                </c:pt>
                <c:pt idx="81">
                  <c:v>-1.13920012717111E-95</c:v>
                </c:pt>
                <c:pt idx="82">
                  <c:v>3.53700282555085E-96</c:v>
                </c:pt>
                <c:pt idx="83">
                  <c:v>-7.5259756208264597E-97</c:v>
                </c:pt>
                <c:pt idx="84">
                  <c:v>9.8575590434119106E-98</c:v>
                </c:pt>
                <c:pt idx="85">
                  <c:v>-5.8523847102898601E-99</c:v>
                </c:pt>
                <c:pt idx="86">
                  <c:v>-3.6753776381965298E-102</c:v>
                </c:pt>
                <c:pt idx="87">
                  <c:v>7.57693361109091E-103</c:v>
                </c:pt>
                <c:pt idx="88">
                  <c:v>-1.1075627625698601E-103</c:v>
                </c:pt>
                <c:pt idx="89">
                  <c:v>1.02036759077781E-104</c:v>
                </c:pt>
                <c:pt idx="90">
                  <c:v>-4.3919245607575304E-106</c:v>
                </c:pt>
                <c:pt idx="91">
                  <c:v>-7.9494328164037901E-109</c:v>
                </c:pt>
                <c:pt idx="92">
                  <c:v>1.2320734240737499E-109</c:v>
                </c:pt>
                <c:pt idx="93">
                  <c:v>-1.3735822207859699E-110</c:v>
                </c:pt>
                <c:pt idx="94">
                  <c:v>9.76927864755278E-112</c:v>
                </c:pt>
                <c:pt idx="95">
                  <c:v>-3.2619978963952E-113</c:v>
                </c:pt>
                <c:pt idx="96">
                  <c:v>-1.37426015032284E-115</c:v>
                </c:pt>
                <c:pt idx="97">
                  <c:v>1.70842638556083E-116</c:v>
                </c:pt>
                <c:pt idx="98">
                  <c:v>-1.53969040820042E-117</c:v>
                </c:pt>
                <c:pt idx="99">
                  <c:v>8.8994132045772698E-119</c:v>
                </c:pt>
              </c:numCache>
            </c:numRef>
          </c:yVal>
          <c:smooth val="0"/>
          <c:extLst>
            <c:ext xmlns:c16="http://schemas.microsoft.com/office/drawing/2014/chart" uri="{C3380CC4-5D6E-409C-BE32-E72D297353CC}">
              <c16:uniqueId val="{0000001A-CF86-4C2E-BF49-1F263FBF5A1F}"/>
            </c:ext>
          </c:extLst>
        </c:ser>
        <c:ser>
          <c:idx val="27"/>
          <c:order val="27"/>
          <c:tx>
            <c:strRef>
              <c:f>dynamicR!$AK$19</c:f>
              <c:strCache>
                <c:ptCount val="1"/>
                <c:pt idx="0">
                  <c:v>sd2RD</c:v>
                </c:pt>
              </c:strCache>
            </c:strRef>
          </c:tx>
          <c:spPr>
            <a:ln w="19050" cap="rnd">
              <a:solidFill>
                <a:schemeClr val="accent4">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dynamicR!$AK$20:$AK$119</c:f>
              <c:numCache>
                <c:formatCode>0.00</c:formatCode>
                <c:ptCount val="100"/>
                <c:pt idx="0">
                  <c:v>0</c:v>
                </c:pt>
                <c:pt idx="1">
                  <c:v>0.19204857396493499</c:v>
                </c:pt>
                <c:pt idx="2">
                  <c:v>0.20819962842458101</c:v>
                </c:pt>
                <c:pt idx="3">
                  <c:v>0.22402782058930501</c:v>
                </c:pt>
                <c:pt idx="4">
                  <c:v>0.239539609128603</c:v>
                </c:pt>
                <c:pt idx="5">
                  <c:v>0.25474131631032698</c:v>
                </c:pt>
                <c:pt idx="6">
                  <c:v>0.26963913825816699</c:v>
                </c:pt>
                <c:pt idx="7">
                  <c:v>0.28423914953837398</c:v>
                </c:pt>
                <c:pt idx="8">
                  <c:v>0.29854730424998499</c:v>
                </c:pt>
                <c:pt idx="9">
                  <c:v>0.31256943718125602</c:v>
                </c:pt>
                <c:pt idx="10">
                  <c:v>0.32631126599222099</c:v>
                </c:pt>
                <c:pt idx="11">
                  <c:v>0.33977839385858799</c:v>
                </c:pt>
                <c:pt idx="12">
                  <c:v>0.35297631194332502</c:v>
                </c:pt>
                <c:pt idx="13">
                  <c:v>0.36591040154603799</c:v>
                </c:pt>
                <c:pt idx="14">
                  <c:v>0.378585936682859</c:v>
                </c:pt>
                <c:pt idx="15">
                  <c:v>0.391008086191173</c:v>
                </c:pt>
                <c:pt idx="16">
                  <c:v>0.40318191545655502</c:v>
                </c:pt>
                <c:pt idx="17">
                  <c:v>0.41511238835610398</c:v>
                </c:pt>
                <c:pt idx="18">
                  <c:v>0.42680436948545702</c:v>
                </c:pt>
                <c:pt idx="19">
                  <c:v>0.43826262630309798</c:v>
                </c:pt>
                <c:pt idx="20">
                  <c:v>0.44949183104042301</c:v>
                </c:pt>
                <c:pt idx="21">
                  <c:v>0.46049656251028498</c:v>
                </c:pt>
                <c:pt idx="22">
                  <c:v>0.47128130794851603</c:v>
                </c:pt>
                <c:pt idx="23">
                  <c:v>0.48185046488341399</c:v>
                </c:pt>
                <c:pt idx="24">
                  <c:v>0.492208342956242</c:v>
                </c:pt>
                <c:pt idx="25">
                  <c:v>0.50235916566983596</c:v>
                </c:pt>
                <c:pt idx="26">
                  <c:v>0.51230707209306203</c:v>
                </c:pt>
                <c:pt idx="27">
                  <c:v>0.52205611854666201</c:v>
                </c:pt>
                <c:pt idx="28">
                  <c:v>0.53161028026462498</c:v>
                </c:pt>
                <c:pt idx="29">
                  <c:v>0.54097345301794897</c:v>
                </c:pt>
                <c:pt idx="30">
                  <c:v>0.550149454703593</c:v>
                </c:pt>
                <c:pt idx="31">
                  <c:v>0.55914202689723702</c:v>
                </c:pt>
                <c:pt idx="32">
                  <c:v>0.56795483637786004</c:v>
                </c:pt>
                <c:pt idx="33">
                  <c:v>0.57659147662469701</c:v>
                </c:pt>
                <c:pt idx="34">
                  <c:v>0.58505546928507302</c:v>
                </c:pt>
                <c:pt idx="35">
                  <c:v>0.59335026560765503</c:v>
                </c:pt>
                <c:pt idx="36">
                  <c:v>0.60147924784927898</c:v>
                </c:pt>
                <c:pt idx="37">
                  <c:v>0.60944573065532404</c:v>
                </c:pt>
                <c:pt idx="38">
                  <c:v>0.61725296241085303</c:v>
                </c:pt>
                <c:pt idx="39">
                  <c:v>0.62490412656587302</c:v>
                </c:pt>
                <c:pt idx="40">
                  <c:v>0.63240234293254804</c:v>
                </c:pt>
                <c:pt idx="41">
                  <c:v>0.63975066895779098</c:v>
                </c:pt>
                <c:pt idx="42">
                  <c:v>0.64695210096878797</c:v>
                </c:pt>
                <c:pt idx="43">
                  <c:v>0.65400957539670401</c:v>
                </c:pt>
                <c:pt idx="44">
                  <c:v>0.66092596997318698</c:v>
                </c:pt>
                <c:pt idx="45">
                  <c:v>0.66770410490353904</c:v>
                </c:pt>
                <c:pt idx="46">
                  <c:v>0.674346744015769</c:v>
                </c:pt>
                <c:pt idx="47">
                  <c:v>0.68085659588873604</c:v>
                </c:pt>
                <c:pt idx="48">
                  <c:v>0.68723631495761595</c:v>
                </c:pt>
                <c:pt idx="49">
                  <c:v>0.69348850259443195</c:v>
                </c:pt>
                <c:pt idx="50">
                  <c:v>0.69348850259443195</c:v>
                </c:pt>
                <c:pt idx="51">
                  <c:v>0.50756686204569801</c:v>
                </c:pt>
                <c:pt idx="52">
                  <c:v>0.49742010137067499</c:v>
                </c:pt>
                <c:pt idx="53">
                  <c:v>0.487476522555776</c:v>
                </c:pt>
                <c:pt idx="54">
                  <c:v>0.47773193145406501</c:v>
                </c:pt>
                <c:pt idx="55">
                  <c:v>0.46818209370820602</c:v>
                </c:pt>
                <c:pt idx="56">
                  <c:v>0.45882310937958098</c:v>
                </c:pt>
                <c:pt idx="57">
                  <c:v>0.44965119444746598</c:v>
                </c:pt>
                <c:pt idx="58">
                  <c:v>0.44066262326868599</c:v>
                </c:pt>
                <c:pt idx="59">
                  <c:v>0.43185373554963102</c:v>
                </c:pt>
                <c:pt idx="60">
                  <c:v>0.42322093336080402</c:v>
                </c:pt>
                <c:pt idx="61">
                  <c:v>0.41476069019307499</c:v>
                </c:pt>
                <c:pt idx="62">
                  <c:v>0.406469562838497</c:v>
                </c:pt>
                <c:pt idx="63">
                  <c:v>0.39834417821155998</c:v>
                </c:pt>
                <c:pt idx="64">
                  <c:v>0.39038122439820699</c:v>
                </c:pt>
                <c:pt idx="65">
                  <c:v>0.38257745239927998</c:v>
                </c:pt>
                <c:pt idx="66">
                  <c:v>0.37492967856617199</c:v>
                </c:pt>
                <c:pt idx="67">
                  <c:v>0.36743478421723902</c:v>
                </c:pt>
                <c:pt idx="68">
                  <c:v>0.36008971361905501</c:v>
                </c:pt>
                <c:pt idx="69">
                  <c:v>0.352891472036508</c:v>
                </c:pt>
                <c:pt idx="70">
                  <c:v>0.34583712436532199</c:v>
                </c:pt>
                <c:pt idx="71">
                  <c:v>0.33892379407782802</c:v>
                </c:pt>
                <c:pt idx="72">
                  <c:v>0.33214866217142403</c:v>
                </c:pt>
                <c:pt idx="73">
                  <c:v>0.32550896603894403</c:v>
                </c:pt>
                <c:pt idx="74">
                  <c:v>0.31900199831516501</c:v>
                </c:pt>
                <c:pt idx="75">
                  <c:v>0.31262510580033098</c:v>
                </c:pt>
                <c:pt idx="76">
                  <c:v>0.30637568837192197</c:v>
                </c:pt>
                <c:pt idx="77">
                  <c:v>0.30025119774367798</c:v>
                </c:pt>
                <c:pt idx="78">
                  <c:v>0.29424913647772</c:v>
                </c:pt>
                <c:pt idx="79">
                  <c:v>0.28836705713575</c:v>
                </c:pt>
                <c:pt idx="80">
                  <c:v>0.28260256130664502</c:v>
                </c:pt>
                <c:pt idx="81">
                  <c:v>0.27695329853398198</c:v>
                </c:pt>
                <c:pt idx="82">
                  <c:v>0.27141696529711101</c:v>
                </c:pt>
                <c:pt idx="83">
                  <c:v>0.265991304096027</c:v>
                </c:pt>
                <c:pt idx="84">
                  <c:v>0.26067410257099599</c:v>
                </c:pt>
                <c:pt idx="85">
                  <c:v>0.25546319260681999</c:v>
                </c:pt>
                <c:pt idx="86">
                  <c:v>0.25035644942971302</c:v>
                </c:pt>
                <c:pt idx="87">
                  <c:v>0.24535179073149399</c:v>
                </c:pt>
                <c:pt idx="88">
                  <c:v>0.24044717582542599</c:v>
                </c:pt>
                <c:pt idx="89">
                  <c:v>0.23564060482104299</c:v>
                </c:pt>
                <c:pt idx="90">
                  <c:v>0.230930117809208</c:v>
                </c:pt>
                <c:pt idx="91">
                  <c:v>0.226313794059672</c:v>
                </c:pt>
                <c:pt idx="92">
                  <c:v>0.221789751236289</c:v>
                </c:pt>
                <c:pt idx="93">
                  <c:v>0.217356144630037</c:v>
                </c:pt>
                <c:pt idx="94">
                  <c:v>0.213011166408829</c:v>
                </c:pt>
                <c:pt idx="95">
                  <c:v>0.20875304487980501</c:v>
                </c:pt>
                <c:pt idx="96">
                  <c:v>0.20458004376630801</c:v>
                </c:pt>
                <c:pt idx="97">
                  <c:v>0.20049046149972199</c:v>
                </c:pt>
                <c:pt idx="98">
                  <c:v>0.19648263052630099</c:v>
                </c:pt>
                <c:pt idx="99">
                  <c:v>0.19255491662674501</c:v>
                </c:pt>
              </c:numCache>
            </c:numRef>
          </c:yVal>
          <c:smooth val="0"/>
          <c:extLst>
            <c:ext xmlns:c16="http://schemas.microsoft.com/office/drawing/2014/chart" uri="{C3380CC4-5D6E-409C-BE32-E72D297353CC}">
              <c16:uniqueId val="{0000001B-CF86-4C2E-BF49-1F263FBF5A1F}"/>
            </c:ext>
          </c:extLst>
        </c:ser>
        <c:ser>
          <c:idx val="28"/>
          <c:order val="28"/>
          <c:tx>
            <c:strRef>
              <c:f>dynamicR!$AL$19</c:f>
              <c:strCache>
                <c:ptCount val="1"/>
                <c:pt idx="0">
                  <c:v>sd2RS</c:v>
                </c:pt>
              </c:strCache>
            </c:strRef>
          </c:tx>
          <c:spPr>
            <a:ln w="19050" cap="rnd">
              <a:solidFill>
                <a:schemeClr val="accent5">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dynamicR!$AL$20:$AL$119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1</c:v>
                </c:pt>
                <c:pt idx="21">
                  <c:v>1</c:v>
                </c:pt>
                <c:pt idx="22">
                  <c:v>0.999999999999999</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-7.4389684021116995E-215</c:v>
                </c:pt>
                <c:pt idx="52">
                  <c:v>1.7920481426501499E-216</c:v>
                </c:pt>
                <c:pt idx="53">
                  <c:v>-6.0694134063632897E-216</c:v>
                </c:pt>
                <c:pt idx="54">
                  <c:v>7.9811036677555196E-215</c:v>
                </c:pt>
                <c:pt idx="55">
                  <c:v>-5.0243076109047496E-215</c:v>
                </c:pt>
                <c:pt idx="56">
                  <c:v>1.63800952077005E-214</c:v>
                </c:pt>
                <c:pt idx="57">
                  <c:v>-4.7735613646576596E-215</c:v>
                </c:pt>
                <c:pt idx="58">
                  <c:v>8.8872036709532197E-216</c:v>
                </c:pt>
                <c:pt idx="59">
                  <c:v>5.4131662415583399E-217</c:v>
                </c:pt>
                <c:pt idx="60">
                  <c:v>-1.00446481149981E-216</c:v>
                </c:pt>
                <c:pt idx="61">
                  <c:v>4.7814311625845298E-217</c:v>
                </c:pt>
                <c:pt idx="62">
                  <c:v>1.1887843210796201E-215</c:v>
                </c:pt>
                <c:pt idx="63">
                  <c:v>9.2326497318503801E-216</c:v>
                </c:pt>
                <c:pt idx="64">
                  <c:v>-7.4844131778707801E-216</c:v>
                </c:pt>
                <c:pt idx="65">
                  <c:v>-1.7118378428267602E-216</c:v>
                </c:pt>
                <c:pt idx="66">
                  <c:v>1.1958044033824199E-215</c:v>
                </c:pt>
                <c:pt idx="67">
                  <c:v>-3.86531204614452E-216</c:v>
                </c:pt>
                <c:pt idx="68">
                  <c:v>-1.31244799002918E-215</c:v>
                </c:pt>
                <c:pt idx="69">
                  <c:v>1.12423119001639E-215</c:v>
                </c:pt>
                <c:pt idx="70">
                  <c:v>1.04761422612991E-215</c:v>
                </c:pt>
                <c:pt idx="71">
                  <c:v>-1.92003119092703E-215</c:v>
                </c:pt>
                <c:pt idx="72">
                  <c:v>-3.1899340919629002E-216</c:v>
                </c:pt>
                <c:pt idx="73">
                  <c:v>2.5377459859219101E-215</c:v>
                </c:pt>
                <c:pt idx="74">
                  <c:v>-8.9952532055383294E-216</c:v>
                </c:pt>
                <c:pt idx="75">
                  <c:v>-2.5959756579993399E-215</c:v>
                </c:pt>
                <c:pt idx="76">
                  <c:v>2.5079280219061602E-215</c:v>
                </c:pt>
                <c:pt idx="77">
                  <c:v>-1.7978251512443901E-215</c:v>
                </c:pt>
                <c:pt idx="78">
                  <c:v>7.0290942060763596E-216</c:v>
                </c:pt>
                <c:pt idx="79">
                  <c:v>-1.6266017441898299E-216</c:v>
                </c:pt>
                <c:pt idx="80">
                  <c:v>1.5400923639093499E-217</c:v>
                </c:pt>
                <c:pt idx="81">
                  <c:v>8.2221624390945806E-223</c:v>
                </c:pt>
                <c:pt idx="82">
                  <c:v>-2.5528884768232899E-223</c:v>
                </c:pt>
                <c:pt idx="83">
                  <c:v>5.4323666405300299E-224</c:v>
                </c:pt>
                <c:pt idx="84">
                  <c:v>-7.1172173470007795E-225</c:v>
                </c:pt>
                <c:pt idx="85">
                  <c:v>4.2332251256395899E-226</c:v>
                </c:pt>
                <c:pt idx="86">
                  <c:v>9.5712514192726998E-231</c:v>
                </c:pt>
                <c:pt idx="87">
                  <c:v>-1.9902257735246599E-231</c:v>
                </c:pt>
                <c:pt idx="88">
                  <c:v>2.9099965417719898E-232</c:v>
                </c:pt>
                <c:pt idx="89">
                  <c:v>-2.6836645759523701E-233</c:v>
                </c:pt>
                <c:pt idx="90">
                  <c:v>1.1633847107596601E-234</c:v>
                </c:pt>
                <c:pt idx="91">
                  <c:v>7.5949154827230202E-239</c:v>
                </c:pt>
                <c:pt idx="92">
                  <c:v>-1.17798374493267E-239</c:v>
                </c:pt>
                <c:pt idx="93">
                  <c:v>1.31428088159334E-240</c:v>
                </c:pt>
                <c:pt idx="94">
                  <c:v>-9.3753691884213301E-242</c:v>
                </c:pt>
                <c:pt idx="95">
                  <c:v>3.1960667039538E-243</c:v>
                </c:pt>
                <c:pt idx="96">
                  <c:v>4.7757972963523102E-247</c:v>
                </c:pt>
                <c:pt idx="97">
                  <c:v>-5.9476151385910698E-248</c:v>
                </c:pt>
                <c:pt idx="98">
                  <c:v>5.36991641816208E-249</c:v>
                </c:pt>
                <c:pt idx="99">
                  <c:v>-3.1260068760891302E-250</c:v>
                </c:pt>
              </c:numCache>
            </c:numRef>
          </c:yVal>
          <c:smooth val="0"/>
          <c:extLst>
            <c:ext xmlns:c16="http://schemas.microsoft.com/office/drawing/2014/chart" uri="{C3380CC4-5D6E-409C-BE32-E72D297353CC}">
              <c16:uniqueId val="{0000001C-CF86-4C2E-BF49-1F263FBF5A1F}"/>
            </c:ext>
          </c:extLst>
        </c:ser>
        <c:ser>
          <c:idx val="29"/>
          <c:order val="29"/>
          <c:tx>
            <c:strRef>
              <c:f>dynamicR!$AM$19</c:f>
              <c:strCache>
                <c:ptCount val="1"/>
                <c:pt idx="0">
                  <c:v>sd2RA</c:v>
                </c:pt>
              </c:strCache>
            </c:strRef>
          </c:tx>
          <c:spPr>
            <a:ln w="19050" cap="rnd">
              <a:solidFill>
                <a:schemeClr val="accent6">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dynamicR!$AM$20:$AM$119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0.999999999999999</c:v>
                </c:pt>
                <c:pt idx="14">
                  <c:v>1</c:v>
                </c:pt>
                <c:pt idx="15">
                  <c:v>1</c:v>
                </c:pt>
                <c:pt idx="16">
                  <c:v>0.999999999999999</c:v>
                </c:pt>
                <c:pt idx="17">
                  <c:v>1</c:v>
                </c:pt>
                <c:pt idx="18">
                  <c:v>1</c:v>
                </c:pt>
                <c:pt idx="19">
                  <c:v>0.999999999999998</c:v>
                </c:pt>
                <c:pt idx="20">
                  <c:v>0.999999999999999</c:v>
                </c:pt>
                <c:pt idx="21">
                  <c:v>1</c:v>
                </c:pt>
                <c:pt idx="22">
                  <c:v>0.999999999999999</c:v>
                </c:pt>
                <c:pt idx="23">
                  <c:v>1</c:v>
                </c:pt>
                <c:pt idx="24">
                  <c:v>1</c:v>
                </c:pt>
                <c:pt idx="25">
                  <c:v>0.999999999999999</c:v>
                </c:pt>
                <c:pt idx="26">
                  <c:v>1</c:v>
                </c:pt>
                <c:pt idx="27">
                  <c:v>0.999999999999999</c:v>
                </c:pt>
                <c:pt idx="28">
                  <c:v>1</c:v>
                </c:pt>
                <c:pt idx="29">
                  <c:v>1</c:v>
                </c:pt>
                <c:pt idx="30">
                  <c:v>1</c:v>
                </c:pt>
                <c:pt idx="31">
                  <c:v>1</c:v>
                </c:pt>
                <c:pt idx="32">
                  <c:v>1</c:v>
                </c:pt>
                <c:pt idx="33">
                  <c:v>1</c:v>
                </c:pt>
                <c:pt idx="34">
                  <c:v>0.999999999999999</c:v>
                </c:pt>
                <c:pt idx="35">
                  <c:v>1</c:v>
                </c:pt>
                <c:pt idx="36">
                  <c:v>0.999999999999999</c:v>
                </c:pt>
                <c:pt idx="37">
                  <c:v>0.999999999999999</c:v>
                </c:pt>
                <c:pt idx="38">
                  <c:v>1</c:v>
                </c:pt>
                <c:pt idx="39">
                  <c:v>1</c:v>
                </c:pt>
                <c:pt idx="40">
                  <c:v>0.999999999999999</c:v>
                </c:pt>
                <c:pt idx="41">
                  <c:v>0.999999999999999</c:v>
                </c:pt>
                <c:pt idx="42">
                  <c:v>0.999999999999999</c:v>
                </c:pt>
                <c:pt idx="43">
                  <c:v>1</c:v>
                </c:pt>
                <c:pt idx="44">
                  <c:v>0.999999999999999</c:v>
                </c:pt>
                <c:pt idx="45">
                  <c:v>1</c:v>
                </c:pt>
                <c:pt idx="46">
                  <c:v>0.999999999999999</c:v>
                </c:pt>
                <c:pt idx="47">
                  <c:v>1</c:v>
                </c:pt>
                <c:pt idx="48">
                  <c:v>1</c:v>
                </c:pt>
                <c:pt idx="49">
                  <c:v>1</c:v>
                </c:pt>
                <c:pt idx="50">
                  <c:v>1</c:v>
                </c:pt>
                <c:pt idx="51">
                  <c:v>7.0080230655374702E-34</c:v>
                </c:pt>
                <c:pt idx="52">
                  <c:v>-2.0888413507002299E-37</c:v>
                </c:pt>
                <c:pt idx="53">
                  <c:v>-3.8111193113729298E-35</c:v>
                </c:pt>
                <c:pt idx="54">
                  <c:v>-2.8847888818037399E-33</c:v>
                </c:pt>
                <c:pt idx="55">
                  <c:v>1.5763735221070699E-33</c:v>
                </c:pt>
                <c:pt idx="56">
                  <c:v>-5.4161235654442499E-33</c:v>
                </c:pt>
                <c:pt idx="57">
                  <c:v>1.5787721810348298E-33</c:v>
                </c:pt>
                <c:pt idx="58">
                  <c:v>-2.9578388221055098E-34</c:v>
                </c:pt>
                <c:pt idx="59">
                  <c:v>-1.8025440464507401E-35</c:v>
                </c:pt>
                <c:pt idx="60">
                  <c:v>3.34401342264916E-35</c:v>
                </c:pt>
                <c:pt idx="61">
                  <c:v>-1.5901926114313299E-35</c:v>
                </c:pt>
                <c:pt idx="62">
                  <c:v>-3.9568019286498797E-34</c:v>
                </c:pt>
                <c:pt idx="63">
                  <c:v>-3.0729976926530898E-34</c:v>
                </c:pt>
                <c:pt idx="64">
                  <c:v>2.4912601383333601E-34</c:v>
                </c:pt>
                <c:pt idx="65">
                  <c:v>5.6975040356164105E-35</c:v>
                </c:pt>
                <c:pt idx="66">
                  <c:v>-3.9802603255674502E-34</c:v>
                </c:pt>
                <c:pt idx="67">
                  <c:v>1.2866128472275001E-34</c:v>
                </c:pt>
                <c:pt idx="68">
                  <c:v>4.3684773082755898E-34</c:v>
                </c:pt>
                <c:pt idx="69">
                  <c:v>-3.7420358260560398E-34</c:v>
                </c:pt>
                <c:pt idx="70">
                  <c:v>-3.48696052507836E-34</c:v>
                </c:pt>
                <c:pt idx="71">
                  <c:v>6.3908242497600903E-34</c:v>
                </c:pt>
                <c:pt idx="72">
                  <c:v>1.0617541246871201E-34</c:v>
                </c:pt>
                <c:pt idx="73">
                  <c:v>-8.4468520891767598E-34</c:v>
                </c:pt>
                <c:pt idx="74">
                  <c:v>2.9940405633638798E-34</c:v>
                </c:pt>
                <c:pt idx="75">
                  <c:v>8.6406555410029499E-34</c:v>
                </c:pt>
                <c:pt idx="76">
                  <c:v>-8.34754959490397E-34</c:v>
                </c:pt>
                <c:pt idx="77">
                  <c:v>5.98390630349551E-34</c:v>
                </c:pt>
                <c:pt idx="78">
                  <c:v>-2.33945222885374E-34</c:v>
                </c:pt>
                <c:pt idx="79">
                  <c:v>5.4127373375264895E-35</c:v>
                </c:pt>
                <c:pt idx="80">
                  <c:v>-5.1181072478369103E-36</c:v>
                </c:pt>
                <c:pt idx="81">
                  <c:v>-3.4903932811218702E-39</c:v>
                </c:pt>
                <c:pt idx="82">
                  <c:v>1.08365607410198E-39</c:v>
                </c:pt>
                <c:pt idx="83">
                  <c:v>-2.3055072813834201E-40</c:v>
                </c:pt>
                <c:pt idx="84">
                  <c:v>3.0183649741761301E-41</c:v>
                </c:pt>
                <c:pt idx="85">
                  <c:v>-1.7861958388510099E-42</c:v>
                </c:pt>
                <c:pt idx="86">
                  <c:v>-3.03307214774623E-45</c:v>
                </c:pt>
                <c:pt idx="87">
                  <c:v>6.2521978039905799E-46</c:v>
                </c:pt>
                <c:pt idx="88">
                  <c:v>-9.1365475218394904E-47</c:v>
                </c:pt>
                <c:pt idx="89">
                  <c:v>8.4078011817879198E-48</c:v>
                </c:pt>
                <c:pt idx="90">
                  <c:v>-3.5906373178968097E-49</c:v>
                </c:pt>
                <c:pt idx="91">
                  <c:v>-1.3448241229992199E-51</c:v>
                </c:pt>
                <c:pt idx="92">
                  <c:v>2.0839146690515298E-52</c:v>
                </c:pt>
                <c:pt idx="93">
                  <c:v>-2.3219142346573198E-53</c:v>
                </c:pt>
                <c:pt idx="94">
                  <c:v>1.64765667837591E-54</c:v>
                </c:pt>
                <c:pt idx="95">
                  <c:v>-5.4132709736045199E-56</c:v>
                </c:pt>
                <c:pt idx="96">
                  <c:v>-4.0289251010981498E-58</c:v>
                </c:pt>
                <c:pt idx="97">
                  <c:v>5.0068379650604603E-59</c:v>
                </c:pt>
                <c:pt idx="98">
                  <c:v>-4.5076764460163098E-60</c:v>
                </c:pt>
                <c:pt idx="99">
                  <c:v>2.5948234355534901E-61</c:v>
                </c:pt>
              </c:numCache>
            </c:numRef>
          </c:yVal>
          <c:smooth val="0"/>
          <c:extLst>
            <c:ext xmlns:c16="http://schemas.microsoft.com/office/drawing/2014/chart" uri="{C3380CC4-5D6E-409C-BE32-E72D297353CC}">
              <c16:uniqueId val="{0000001D-CF86-4C2E-BF49-1F263FBF5A1F}"/>
            </c:ext>
          </c:extLst>
        </c:ser>
        <c:ser>
          <c:idx val="30"/>
          <c:order val="30"/>
          <c:tx>
            <c:strRef>
              <c:f>dynamicR!$AN$19</c:f>
              <c:strCache>
                <c:ptCount val="1"/>
                <c:pt idx="0">
                  <c:v>sd2RP</c:v>
                </c:pt>
              </c:strCache>
            </c:strRef>
          </c:tx>
          <c:spPr>
            <a:ln w="19050" cap="rnd">
              <a:solidFill>
                <a:schemeClr val="accent1">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dynamicR!$AN$20:$AN$119</c:f>
              <c:numCache>
                <c:formatCode>0.00</c:formatCode>
                <c:ptCount val="100"/>
                <c:pt idx="0">
                  <c:v>0</c:v>
                </c:pt>
                <c:pt idx="1">
                  <c:v>1</c:v>
                </c:pt>
                <c:pt idx="2">
                  <c:v>1</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0.999999999999998</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-2.13730217285748E-30</c:v>
                </c:pt>
                <c:pt idx="52">
                  <c:v>1.9703033173729899E-34</c:v>
                </c:pt>
                <c:pt idx="53">
                  <c:v>1.18745906170881E-31</c:v>
                </c:pt>
                <c:pt idx="54">
                  <c:v>8.8542984970255299E-30</c:v>
                </c:pt>
                <c:pt idx="55">
                  <c:v>-4.8367236172398597E-30</c:v>
                </c:pt>
                <c:pt idx="56">
                  <c:v>1.6620268613662401E-29</c:v>
                </c:pt>
                <c:pt idx="57">
                  <c:v>-4.8447259463739899E-30</c:v>
                </c:pt>
                <c:pt idx="58">
                  <c:v>9.0767627362208792E-31</c:v>
                </c:pt>
                <c:pt idx="59">
                  <c:v>5.5314934260274999E-32</c:v>
                </c:pt>
                <c:pt idx="60">
                  <c:v>-1.02618227841234E-31</c:v>
                </c:pt>
                <c:pt idx="61">
                  <c:v>4.8798464726247801E-32</c:v>
                </c:pt>
                <c:pt idx="62">
                  <c:v>1.21422953989635E-30</c:v>
                </c:pt>
                <c:pt idx="63">
                  <c:v>9.4301525179845295E-31</c:v>
                </c:pt>
                <c:pt idx="64">
                  <c:v>-7.6449661327612498E-31</c:v>
                </c:pt>
                <c:pt idx="65">
                  <c:v>-1.7484013049492501E-31</c:v>
                </c:pt>
                <c:pt idx="66">
                  <c:v>1.22142825664722E-30</c:v>
                </c:pt>
                <c:pt idx="67">
                  <c:v>-3.9482475143116097E-31</c:v>
                </c:pt>
                <c:pt idx="68">
                  <c:v>-1.34056096332107E-30</c:v>
                </c:pt>
                <c:pt idx="69">
                  <c:v>1.1483239594073499E-30</c:v>
                </c:pt>
                <c:pt idx="70">
                  <c:v>1.070048629518E-30</c:v>
                </c:pt>
                <c:pt idx="71">
                  <c:v>-1.9611615007326599E-30</c:v>
                </c:pt>
                <c:pt idx="72">
                  <c:v>-3.2582202666820601E-31</c:v>
                </c:pt>
                <c:pt idx="73">
                  <c:v>2.59209774222244E-30</c:v>
                </c:pt>
                <c:pt idx="74">
                  <c:v>-9.1878556563931704E-31</c:v>
                </c:pt>
                <c:pt idx="75">
                  <c:v>-2.6515704879235602E-30</c:v>
                </c:pt>
                <c:pt idx="76">
                  <c:v>2.5616246386146101E-30</c:v>
                </c:pt>
                <c:pt idx="77">
                  <c:v>-1.8362899925467099E-30</c:v>
                </c:pt>
                <c:pt idx="78">
                  <c:v>7.1791108690241602E-31</c:v>
                </c:pt>
                <c:pt idx="79">
                  <c:v>-1.6610144796084601E-31</c:v>
                </c:pt>
                <c:pt idx="80">
                  <c:v>1.5706005747103801E-32</c:v>
                </c:pt>
                <c:pt idx="81">
                  <c:v>1.0712791588519501E-35</c:v>
                </c:pt>
                <c:pt idx="82">
                  <c:v>-3.3259811462394998E-36</c:v>
                </c:pt>
                <c:pt idx="83">
                  <c:v>7.0761148530177198E-37</c:v>
                </c:pt>
                <c:pt idx="84">
                  <c:v>-9.26403882298286E-38</c:v>
                </c:pt>
                <c:pt idx="85">
                  <c:v>5.4822566306169603E-39</c:v>
                </c:pt>
                <c:pt idx="86">
                  <c:v>9.3021931554337806E-42</c:v>
                </c:pt>
                <c:pt idx="87">
                  <c:v>-1.91749804711775E-42</c:v>
                </c:pt>
                <c:pt idx="88">
                  <c:v>2.8021058663158698E-43</c:v>
                </c:pt>
                <c:pt idx="89">
                  <c:v>-2.57860984424964E-44</c:v>
                </c:pt>
                <c:pt idx="90">
                  <c:v>1.1012355632465799E-45</c:v>
                </c:pt>
                <c:pt idx="91">
                  <c:v>4.1210816345534901E-48</c:v>
                </c:pt>
                <c:pt idx="92">
                  <c:v>-6.3859491598150103E-49</c:v>
                </c:pt>
                <c:pt idx="93">
                  <c:v>7.1152826129296397E-50</c:v>
                </c:pt>
                <c:pt idx="94">
                  <c:v>-5.0491059872125898E-51</c:v>
                </c:pt>
                <c:pt idx="95">
                  <c:v>1.65890062052632E-52</c:v>
                </c:pt>
                <c:pt idx="96">
                  <c:v>1.2336799689262E-54</c:v>
                </c:pt>
                <c:pt idx="97">
                  <c:v>-1.5331230037837799E-55</c:v>
                </c:pt>
                <c:pt idx="98">
                  <c:v>1.3802795790952299E-56</c:v>
                </c:pt>
                <c:pt idx="99">
                  <c:v>-7.9455793912437803E-58</c:v>
                </c:pt>
              </c:numCache>
            </c:numRef>
          </c:yVal>
          <c:smooth val="0"/>
          <c:extLst>
            <c:ext xmlns:c16="http://schemas.microsoft.com/office/drawing/2014/chart" uri="{C3380CC4-5D6E-409C-BE32-E72D297353CC}">
              <c16:uniqueId val="{0000001E-CF86-4C2E-BF49-1F263FBF5A1F}"/>
            </c:ext>
          </c:extLst>
        </c:ser>
        <c:ser>
          <c:idx val="31"/>
          <c:order val="31"/>
          <c:tx>
            <c:strRef>
              <c:f>dynamicR!$AO$19</c:f>
              <c:strCache>
                <c:ptCount val="1"/>
                <c:pt idx="0">
                  <c:v>s1RD</c:v>
                </c:pt>
              </c:strCache>
            </c:strRef>
          </c:tx>
          <c:spPr>
            <a:ln w="19050" cap="rnd">
              <a:solidFill>
                <a:schemeClr val="accent2">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dynamicR!$AO$20:$AO$119</c:f>
              <c:numCache>
                <c:formatCode>0.00</c:formatCode>
                <c:ptCount val="100"/>
                <c:pt idx="0">
                  <c:v>0</c:v>
                </c:pt>
                <c:pt idx="1">
                  <c:v>1</c:v>
                </c:pt>
                <c:pt idx="2">
                  <c:v>0.999999999999996</c:v>
                </c:pt>
                <c:pt idx="3">
                  <c:v>0.999999999999994</c:v>
                </c:pt>
                <c:pt idx="4">
                  <c:v>0.999999999999999</c:v>
                </c:pt>
                <c:pt idx="5">
                  <c:v>1</c:v>
                </c:pt>
                <c:pt idx="6">
                  <c:v>1</c:v>
                </c:pt>
                <c:pt idx="7">
                  <c:v>0.999999999999999</c:v>
                </c:pt>
                <c:pt idx="8">
                  <c:v>1</c:v>
                </c:pt>
                <c:pt idx="9">
                  <c:v>1</c:v>
                </c:pt>
                <c:pt idx="10">
                  <c:v>1</c:v>
                </c:pt>
                <c:pt idx="11">
                  <c:v>1</c:v>
                </c:pt>
                <c:pt idx="12">
                  <c:v>1</c:v>
                </c:pt>
                <c:pt idx="13">
                  <c:v>1</c:v>
                </c:pt>
                <c:pt idx="14">
                  <c:v>0.999999999999999</c:v>
                </c:pt>
                <c:pt idx="15">
                  <c:v>1</c:v>
                </c:pt>
                <c:pt idx="16">
                  <c:v>1</c:v>
                </c:pt>
                <c:pt idx="17">
                  <c:v>0.999999999999999</c:v>
                </c:pt>
                <c:pt idx="18">
                  <c:v>1</c:v>
                </c:pt>
                <c:pt idx="19">
                  <c:v>1</c:v>
                </c:pt>
                <c:pt idx="20">
                  <c:v>0.999999999999998</c:v>
                </c:pt>
                <c:pt idx="21">
                  <c:v>1</c:v>
                </c:pt>
                <c:pt idx="22">
                  <c:v>1</c:v>
                </c:pt>
                <c:pt idx="23">
                  <c:v>0.999999999999998</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4.0778096873008902E-16</c:v>
                </c:pt>
                <c:pt idx="52">
                  <c:v>3.9962902618437E-16</c:v>
                </c:pt>
                <c:pt idx="53">
                  <c:v>3.9164032064618198E-16</c:v>
                </c:pt>
                <c:pt idx="54">
                  <c:v>3.8381148252369102E-16</c:v>
                </c:pt>
                <c:pt idx="55">
                  <c:v>3.7613910991920299E-16</c:v>
                </c:pt>
                <c:pt idx="56">
                  <c:v>3.6862006960930401E-16</c:v>
                </c:pt>
                <c:pt idx="57">
                  <c:v>3.6125132149757898E-16</c:v>
                </c:pt>
                <c:pt idx="58">
                  <c:v>3.54029872390424E-16</c:v>
                </c:pt>
                <c:pt idx="59">
                  <c:v>3.4695278159486099E-16</c:v>
                </c:pt>
                <c:pt idx="60">
                  <c:v>3.4001715852201498E-16</c:v>
                </c:pt>
                <c:pt idx="61">
                  <c:v>3.3322016996227602E-16</c:v>
                </c:pt>
                <c:pt idx="62">
                  <c:v>3.2655904963051101E-16</c:v>
                </c:pt>
                <c:pt idx="63">
                  <c:v>3.2003108757813302E-16</c:v>
                </c:pt>
                <c:pt idx="64">
                  <c:v>3.1363362300196E-16</c:v>
                </c:pt>
                <c:pt idx="65">
                  <c:v>3.0736404564491902E-16</c:v>
                </c:pt>
                <c:pt idx="66">
                  <c:v>3.0121979775270698E-16</c:v>
                </c:pt>
                <c:pt idx="67">
                  <c:v>2.9519837376566199E-16</c:v>
                </c:pt>
                <c:pt idx="68">
                  <c:v>2.8929731869706499E-16</c:v>
                </c:pt>
                <c:pt idx="69">
                  <c:v>2.83514226566439E-16</c:v>
                </c:pt>
                <c:pt idx="70">
                  <c:v>2.7784673930077801E-16</c:v>
                </c:pt>
                <c:pt idx="71">
                  <c:v>2.7229254588781598E-16</c:v>
                </c:pt>
                <c:pt idx="72">
                  <c:v>2.6684938153126599E-16</c:v>
                </c:pt>
                <c:pt idx="73">
                  <c:v>2.6151502674293799E-16</c:v>
                </c:pt>
                <c:pt idx="74">
                  <c:v>2.56287306416132E-16</c:v>
                </c:pt>
                <c:pt idx="75">
                  <c:v>2.5116408896115299E-16</c:v>
                </c:pt>
                <c:pt idx="76">
                  <c:v>2.4614328543068201E-16</c:v>
                </c:pt>
                <c:pt idx="77">
                  <c:v>2.4122284852245399E-16</c:v>
                </c:pt>
                <c:pt idx="78">
                  <c:v>2.3640077178655002E-16</c:v>
                </c:pt>
                <c:pt idx="79">
                  <c:v>2.3167508894241002E-16</c:v>
                </c:pt>
                <c:pt idx="80">
                  <c:v>2.27043873098339E-16</c:v>
                </c:pt>
                <c:pt idx="81">
                  <c:v>2.2250523588951301E-16</c:v>
                </c:pt>
                <c:pt idx="82">
                  <c:v>2.1805732665949501E-16</c:v>
                </c:pt>
                <c:pt idx="83">
                  <c:v>2.1369833172499199E-16</c:v>
                </c:pt>
                <c:pt idx="84">
                  <c:v>2.0942647366855499E-16</c:v>
                </c:pt>
                <c:pt idx="85">
                  <c:v>2.0524001061895299E-16</c:v>
                </c:pt>
                <c:pt idx="86">
                  <c:v>2.0113723552559199E-16</c:v>
                </c:pt>
                <c:pt idx="87">
                  <c:v>1.9711647545489401E-16</c:v>
                </c:pt>
                <c:pt idx="88">
                  <c:v>1.9317609091209001E-16</c:v>
                </c:pt>
                <c:pt idx="89">
                  <c:v>1.89314475178278E-16</c:v>
                </c:pt>
                <c:pt idx="90">
                  <c:v>1.85530053655693E-16</c:v>
                </c:pt>
                <c:pt idx="91">
                  <c:v>1.8182128322302499E-16</c:v>
                </c:pt>
                <c:pt idx="92">
                  <c:v>1.7818665160491599E-16</c:v>
                </c:pt>
                <c:pt idx="93">
                  <c:v>1.7462467675577199E-16</c:v>
                </c:pt>
                <c:pt idx="94">
                  <c:v>1.71133906257055E-16</c:v>
                </c:pt>
                <c:pt idx="95">
                  <c:v>1.6771291672460799E-16</c:v>
                </c:pt>
                <c:pt idx="96">
                  <c:v>1.6436031322776899E-16</c:v>
                </c:pt>
                <c:pt idx="97">
                  <c:v>1.6107472872044299E-16</c:v>
                </c:pt>
                <c:pt idx="98">
                  <c:v>1.5785482348419301E-16</c:v>
                </c:pt>
                <c:pt idx="99">
                  <c:v>1.5469928458159299E-16</c:v>
                </c:pt>
              </c:numCache>
            </c:numRef>
          </c:yVal>
          <c:smooth val="0"/>
          <c:extLst>
            <c:ext xmlns:c16="http://schemas.microsoft.com/office/drawing/2014/chart" uri="{C3380CC4-5D6E-409C-BE32-E72D297353CC}">
              <c16:uniqueId val="{0000001F-CF86-4C2E-BF49-1F263FBF5A1F}"/>
            </c:ext>
          </c:extLst>
        </c:ser>
        <c:ser>
          <c:idx val="32"/>
          <c:order val="32"/>
          <c:tx>
            <c:strRef>
              <c:f>dynamicR!$AP$19</c:f>
              <c:strCache>
                <c:ptCount val="1"/>
                <c:pt idx="0">
                  <c:v>s1RS</c:v>
                </c:pt>
              </c:strCache>
            </c:strRef>
          </c:tx>
          <c:spPr>
            <a:ln w="19050" cap="rnd">
              <a:solidFill>
                <a:schemeClr val="accent3">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dynamicR!$AP$20:$AP$119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-1.0928456333117E-214</c:v>
                </c:pt>
                <c:pt idx="52">
                  <c:v>2.63266630690965E-216</c:v>
                </c:pt>
                <c:pt idx="53">
                  <c:v>-8.9164679626576696E-216</c:v>
                </c:pt>
                <c:pt idx="54">
                  <c:v>1.17248977152881E-214</c:v>
                </c:pt>
                <c:pt idx="55">
                  <c:v>-7.3811210803392303E-215</c:v>
                </c:pt>
                <c:pt idx="56">
                  <c:v>2.4063707068715299E-214</c:v>
                </c:pt>
                <c:pt idx="57">
                  <c:v>-7.0127542556821202E-215</c:v>
                </c:pt>
                <c:pt idx="58">
                  <c:v>1.3056033141822099E-215</c:v>
                </c:pt>
                <c:pt idx="59">
                  <c:v>7.9523864275755804E-217</c:v>
                </c:pt>
                <c:pt idx="60">
                  <c:v>-1.4756414226894101E-216</c:v>
                </c:pt>
                <c:pt idx="61">
                  <c:v>7.0243156380097803E-217</c:v>
                </c:pt>
                <c:pt idx="62">
                  <c:v>1.74642194205824E-215</c:v>
                </c:pt>
                <c:pt idx="63">
                  <c:v>1.3563521817311199E-215</c:v>
                </c:pt>
                <c:pt idx="64">
                  <c:v>-1.09952185316447E-215</c:v>
                </c:pt>
                <c:pt idx="65">
                  <c:v>-2.5148305852844399E-216</c:v>
                </c:pt>
                <c:pt idx="66">
                  <c:v>1.75673502034437E-215</c:v>
                </c:pt>
                <c:pt idx="67">
                  <c:v>-5.6784613075640003E-216</c:v>
                </c:pt>
                <c:pt idx="68">
                  <c:v>-1.92809404275747E-215</c:v>
                </c:pt>
                <c:pt idx="69">
                  <c:v>1.65158808320066E-215</c:v>
                </c:pt>
                <c:pt idx="70">
                  <c:v>1.5390314617069799E-215</c:v>
                </c:pt>
                <c:pt idx="71">
                  <c:v>-2.8206837370010701E-215</c:v>
                </c:pt>
                <c:pt idx="72">
                  <c:v>-4.6862755448042599E-216</c:v>
                </c:pt>
                <c:pt idx="73">
                  <c:v>3.7281575762701299E-215</c:v>
                </c:pt>
                <c:pt idx="74">
                  <c:v>-1.3214766794918799E-215</c:v>
                </c:pt>
                <c:pt idx="75">
                  <c:v>-3.8137017537895499E-215</c:v>
                </c:pt>
                <c:pt idx="76">
                  <c:v>3.68435253468192E-215</c:v>
                </c:pt>
                <c:pt idx="77">
                  <c:v>-2.6411530135811999E-215</c:v>
                </c:pt>
                <c:pt idx="78">
                  <c:v>1.03263175132884E-215</c:v>
                </c:pt>
                <c:pt idx="79">
                  <c:v>-2.3896117459421799E-216</c:v>
                </c:pt>
                <c:pt idx="80">
                  <c:v>2.26252235114063E-217</c:v>
                </c:pt>
                <c:pt idx="81">
                  <c:v>1.20790331348049E-222</c:v>
                </c:pt>
                <c:pt idx="82">
                  <c:v>-3.7504033040185703E-223</c:v>
                </c:pt>
                <c:pt idx="83">
                  <c:v>7.9805939659859798E-224</c:v>
                </c:pt>
                <c:pt idx="84">
                  <c:v>-1.04557788106238E-224</c:v>
                </c:pt>
                <c:pt idx="85">
                  <c:v>6.2189538883184097E-226</c:v>
                </c:pt>
                <c:pt idx="86">
                  <c:v>1.4122603654605999E-230</c:v>
                </c:pt>
                <c:pt idx="87">
                  <c:v>-2.92380520789493E-231</c:v>
                </c:pt>
                <c:pt idx="88">
                  <c:v>4.27502377695493E-232</c:v>
                </c:pt>
                <c:pt idx="89">
                  <c:v>-3.9425215959181099E-233</c:v>
                </c:pt>
                <c:pt idx="90">
                  <c:v>1.70910657850497E-234</c:v>
                </c:pt>
                <c:pt idx="91">
                  <c:v>1.1135973825756601E-238</c:v>
                </c:pt>
                <c:pt idx="92">
                  <c:v>-1.73055538806058E-239</c:v>
                </c:pt>
                <c:pt idx="93">
                  <c:v>1.9307867703559201E-240</c:v>
                </c:pt>
                <c:pt idx="94">
                  <c:v>-1.377318458185E-241</c:v>
                </c:pt>
                <c:pt idx="95">
                  <c:v>4.6952807844380997E-243</c:v>
                </c:pt>
                <c:pt idx="96">
                  <c:v>7.0155341003239001E-247</c:v>
                </c:pt>
                <c:pt idx="97">
                  <c:v>-8.7375375913226693E-248</c:v>
                </c:pt>
                <c:pt idx="98">
                  <c:v>7.8888459435747099E-249</c:v>
                </c:pt>
                <c:pt idx="99">
                  <c:v>-4.59235880737766E-250</c:v>
                </c:pt>
              </c:numCache>
            </c:numRef>
          </c:yVal>
          <c:smooth val="0"/>
          <c:extLst>
            <c:ext xmlns:c16="http://schemas.microsoft.com/office/drawing/2014/chart" uri="{C3380CC4-5D6E-409C-BE32-E72D297353CC}">
              <c16:uniqueId val="{00000020-CF86-4C2E-BF49-1F263FBF5A1F}"/>
            </c:ext>
          </c:extLst>
        </c:ser>
        <c:ser>
          <c:idx val="33"/>
          <c:order val="33"/>
          <c:tx>
            <c:strRef>
              <c:f>dynamicR!$AQ$19</c:f>
              <c:strCache>
                <c:ptCount val="1"/>
                <c:pt idx="0">
                  <c:v>s1RA</c:v>
                </c:pt>
              </c:strCache>
            </c:strRef>
          </c:tx>
          <c:spPr>
            <a:ln w="19050" cap="rnd">
              <a:solidFill>
                <a:schemeClr val="accent4">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dynamicR!$AQ$20:$AQ$119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0.999999999999998</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-3.7545924563232399E-94</c:v>
                </c:pt>
                <c:pt idx="52">
                  <c:v>9.0448764845599801E-96</c:v>
                </c:pt>
                <c:pt idx="53">
                  <c:v>-3.0633112471356503E-95</c:v>
                </c:pt>
                <c:pt idx="54">
                  <c:v>4.02822081219995E-94</c:v>
                </c:pt>
                <c:pt idx="55">
                  <c:v>-2.5358605141391101E-94</c:v>
                </c:pt>
                <c:pt idx="56">
                  <c:v>8.2673322050572899E-94</c:v>
                </c:pt>
                <c:pt idx="57">
                  <c:v>-2.4092949935125899E-94</c:v>
                </c:pt>
                <c:pt idx="58">
                  <c:v>4.4854708378202501E-95</c:v>
                </c:pt>
                <c:pt idx="59">
                  <c:v>2.7323456616246701E-96</c:v>
                </c:pt>
                <c:pt idx="60">
                  <c:v>-5.0699118967838702E-96</c:v>
                </c:pt>
                <c:pt idx="61">
                  <c:v>2.4129173657196799E-96</c:v>
                </c:pt>
                <c:pt idx="62">
                  <c:v>6.0000081527052699E-95</c:v>
                </c:pt>
                <c:pt idx="63">
                  <c:v>4.6598736823904803E-95</c:v>
                </c:pt>
                <c:pt idx="64">
                  <c:v>-3.77755001492737E-95</c:v>
                </c:pt>
                <c:pt idx="65">
                  <c:v>-8.6398827426634092E-96</c:v>
                </c:pt>
                <c:pt idx="66">
                  <c:v>6.0354655936470103E-95</c:v>
                </c:pt>
                <c:pt idx="67">
                  <c:v>-1.9509107882199501E-95</c:v>
                </c:pt>
                <c:pt idx="68">
                  <c:v>-6.6241798568751899E-95</c:v>
                </c:pt>
                <c:pt idx="69">
                  <c:v>5.67422364648187E-95</c:v>
                </c:pt>
                <c:pt idx="70">
                  <c:v>5.28750712727528E-95</c:v>
                </c:pt>
                <c:pt idx="71">
                  <c:v>-9.69077292402681E-95</c:v>
                </c:pt>
                <c:pt idx="72">
                  <c:v>-1.6100175789146999E-95</c:v>
                </c:pt>
                <c:pt idx="73">
                  <c:v>1.28084902042396E-94</c:v>
                </c:pt>
                <c:pt idx="74">
                  <c:v>-4.54007223650931E-95</c:v>
                </c:pt>
                <c:pt idx="75">
                  <c:v>-1.3102382622271599E-94</c:v>
                </c:pt>
                <c:pt idx="76">
                  <c:v>1.2657978826115001E-94</c:v>
                </c:pt>
                <c:pt idx="77">
                  <c:v>-9.0739324359093506E-95</c:v>
                </c:pt>
                <c:pt idx="78">
                  <c:v>3.5476710986051901E-95</c:v>
                </c:pt>
                <c:pt idx="79">
                  <c:v>-8.2093880541451697E-96</c:v>
                </c:pt>
                <c:pt idx="80">
                  <c:v>7.7709070757774502E-97</c:v>
                </c:pt>
                <c:pt idx="81">
                  <c:v>1.0009187391696101E-100</c:v>
                </c:pt>
                <c:pt idx="82">
                  <c:v>-3.1076744717608899E-101</c:v>
                </c:pt>
                <c:pt idx="83">
                  <c:v>6.6125154709781297E-102</c:v>
                </c:pt>
                <c:pt idx="84">
                  <c:v>-8.6613944682627302E-103</c:v>
                </c:pt>
                <c:pt idx="85">
                  <c:v>5.1434277165861402E-104</c:v>
                </c:pt>
                <c:pt idx="86">
                  <c:v>2.8341889464962703E-107</c:v>
                </c:pt>
                <c:pt idx="87">
                  <c:v>-5.8428946647247797E-108</c:v>
                </c:pt>
                <c:pt idx="88">
                  <c:v>8.5411732647177705E-109</c:v>
                </c:pt>
                <c:pt idx="89">
                  <c:v>-7.8697809079905098E-110</c:v>
                </c:pt>
                <c:pt idx="90">
                  <c:v>3.3904366428119501E-111</c:v>
                </c:pt>
                <c:pt idx="91">
                  <c:v>5.3802125756516197E-114</c:v>
                </c:pt>
                <c:pt idx="92">
                  <c:v>-8.3390285086784508E-115</c:v>
                </c:pt>
                <c:pt idx="93">
                  <c:v>9.2976997213066305E-116</c:v>
                </c:pt>
                <c:pt idx="94">
                  <c:v>-6.6152721448308802E-117</c:v>
                </c:pt>
                <c:pt idx="95">
                  <c:v>2.2147590541115901E-118</c:v>
                </c:pt>
                <c:pt idx="96">
                  <c:v>8.1634992654052505E-121</c:v>
                </c:pt>
                <c:pt idx="97">
                  <c:v>-1.01493431781267E-121</c:v>
                </c:pt>
                <c:pt idx="98">
                  <c:v>9.1490322069736806E-123</c:v>
                </c:pt>
                <c:pt idx="99">
                  <c:v>-5.2929530869420201E-124</c:v>
                </c:pt>
              </c:numCache>
            </c:numRef>
          </c:yVal>
          <c:smooth val="0"/>
          <c:extLst>
            <c:ext xmlns:c16="http://schemas.microsoft.com/office/drawing/2014/chart" uri="{C3380CC4-5D6E-409C-BE32-E72D297353CC}">
              <c16:uniqueId val="{00000021-CF86-4C2E-BF49-1F263FBF5A1F}"/>
            </c:ext>
          </c:extLst>
        </c:ser>
        <c:ser>
          <c:idx val="34"/>
          <c:order val="34"/>
          <c:tx>
            <c:strRef>
              <c:f>dynamicR!$AR$19</c:f>
              <c:strCache>
                <c:ptCount val="1"/>
                <c:pt idx="0">
                  <c:v>s1RP</c:v>
                </c:pt>
              </c:strCache>
            </c:strRef>
          </c:tx>
          <c:spPr>
            <a:ln w="19050" cap="rnd">
              <a:solidFill>
                <a:schemeClr val="accent5">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dynamicR!$AR$20:$AR$119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2.0178677896835401E-89</c:v>
                </c:pt>
                <c:pt idx="52">
                  <c:v>-4.8610821846114102E-91</c:v>
                </c:pt>
                <c:pt idx="53">
                  <c:v>1.64634247231678E-90</c:v>
                </c:pt>
                <c:pt idx="54">
                  <c:v>-2.16492674993179E-89</c:v>
                </c:pt>
                <c:pt idx="55">
                  <c:v>1.36287217613672E-89</c:v>
                </c:pt>
                <c:pt idx="56">
                  <c:v>-4.4431924763338997E-89</c:v>
                </c:pt>
                <c:pt idx="57">
                  <c:v>1.2948500978385699E-89</c:v>
                </c:pt>
                <c:pt idx="58">
                  <c:v>-2.41066508152597E-90</c:v>
                </c:pt>
                <c:pt idx="59">
                  <c:v>-1.46848869416858E-91</c:v>
                </c:pt>
                <c:pt idx="60">
                  <c:v>2.7247874251904598E-91</c:v>
                </c:pt>
                <c:pt idx="61">
                  <c:v>-1.2967690694332999E-91</c:v>
                </c:pt>
                <c:pt idx="62">
                  <c:v>-3.2246423199746299E-90</c:v>
                </c:pt>
                <c:pt idx="63">
                  <c:v>-2.5044000673625002E-90</c:v>
                </c:pt>
                <c:pt idx="64">
                  <c:v>2.03020774150735E-90</c:v>
                </c:pt>
                <c:pt idx="65">
                  <c:v>4.6434099962429401E-91</c:v>
                </c:pt>
                <c:pt idx="66">
                  <c:v>-3.2437006105791598E-90</c:v>
                </c:pt>
                <c:pt idx="67">
                  <c:v>1.0484982820023601E-90</c:v>
                </c:pt>
                <c:pt idx="68">
                  <c:v>3.5600984538263098E-90</c:v>
                </c:pt>
                <c:pt idx="69">
                  <c:v>-3.04955493630409E-90</c:v>
                </c:pt>
                <c:pt idx="70">
                  <c:v>-2.8417167953803199E-90</c:v>
                </c:pt>
                <c:pt idx="71">
                  <c:v>5.2082080887300896E-90</c:v>
                </c:pt>
                <c:pt idx="72">
                  <c:v>8.6528733454634304E-91</c:v>
                </c:pt>
                <c:pt idx="73">
                  <c:v>-6.8837929667411204E-90</c:v>
                </c:pt>
                <c:pt idx="74">
                  <c:v>2.4400153605847202E-90</c:v>
                </c:pt>
                <c:pt idx="75">
                  <c:v>7.0417421519223196E-90</c:v>
                </c:pt>
                <c:pt idx="76">
                  <c:v>-6.8029010087676096E-90</c:v>
                </c:pt>
                <c:pt idx="77">
                  <c:v>4.8766899951057202E-90</c:v>
                </c:pt>
                <c:pt idx="78">
                  <c:v>-1.9066560239559701E-90</c:v>
                </c:pt>
                <c:pt idx="79">
                  <c:v>4.4120217714858797E-91</c:v>
                </c:pt>
                <c:pt idx="80">
                  <c:v>-4.1762172285395997E-92</c:v>
                </c:pt>
                <c:pt idx="81">
                  <c:v>-6.1430807689689301E-96</c:v>
                </c:pt>
                <c:pt idx="82">
                  <c:v>1.9073113071348102E-96</c:v>
                </c:pt>
                <c:pt idx="83">
                  <c:v>-4.0583445472718902E-97</c:v>
                </c:pt>
                <c:pt idx="84">
                  <c:v>5.3156359482640999E-98</c:v>
                </c:pt>
                <c:pt idx="85">
                  <c:v>-3.1558535648160798E-99</c:v>
                </c:pt>
                <c:pt idx="86">
                  <c:v>-1.9864197889483599E-102</c:v>
                </c:pt>
                <c:pt idx="87">
                  <c:v>4.09511047739802E-103</c:v>
                </c:pt>
                <c:pt idx="88">
                  <c:v>-5.9860483344458801E-104</c:v>
                </c:pt>
                <c:pt idx="89">
                  <c:v>5.5147710287449699E-105</c:v>
                </c:pt>
                <c:pt idx="90">
                  <c:v>-2.3736594524335799E-106</c:v>
                </c:pt>
                <c:pt idx="91">
                  <c:v>-4.3061809499728702E-109</c:v>
                </c:pt>
                <c:pt idx="92">
                  <c:v>6.6741183641847298E-110</c:v>
                </c:pt>
                <c:pt idx="93">
                  <c:v>-7.4406555878227197E-111</c:v>
                </c:pt>
                <c:pt idx="94">
                  <c:v>5.2919532463523998E-112</c:v>
                </c:pt>
                <c:pt idx="95">
                  <c:v>-1.76691540596608E-113</c:v>
                </c:pt>
                <c:pt idx="96">
                  <c:v>-7.4612381686314696E-116</c:v>
                </c:pt>
                <c:pt idx="97">
                  <c:v>9.27551022782568E-117</c:v>
                </c:pt>
                <c:pt idx="98">
                  <c:v>-8.3593613482756199E-118</c:v>
                </c:pt>
                <c:pt idx="99">
                  <c:v>4.83163109499587E-119</c:v>
                </c:pt>
              </c:numCache>
            </c:numRef>
          </c:yVal>
          <c:smooth val="0"/>
          <c:extLst>
            <c:ext xmlns:c16="http://schemas.microsoft.com/office/drawing/2014/chart" uri="{C3380CC4-5D6E-409C-BE32-E72D297353CC}">
              <c16:uniqueId val="{00000022-CF86-4C2E-BF49-1F263FBF5A1F}"/>
            </c:ext>
          </c:extLst>
        </c:ser>
        <c:ser>
          <c:idx val="35"/>
          <c:order val="35"/>
          <c:tx>
            <c:strRef>
              <c:f>dynamicR!$AS$19</c:f>
              <c:strCache>
                <c:ptCount val="1"/>
                <c:pt idx="0">
                  <c:v>s2RD</c:v>
                </c:pt>
              </c:strCache>
            </c:strRef>
          </c:tx>
          <c:spPr>
            <a:ln w="19050" cap="rnd">
              <a:solidFill>
                <a:schemeClr val="accent6">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dynamicR!$AS$20:$AS$119</c:f>
              <c:numCache>
                <c:formatCode>0.00</c:formatCode>
                <c:ptCount val="100"/>
                <c:pt idx="0">
                  <c:v>0</c:v>
                </c:pt>
                <c:pt idx="1">
                  <c:v>0.999999999999999</c:v>
                </c:pt>
                <c:pt idx="2">
                  <c:v>0.999999999999999</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1</c:v>
                </c:pt>
                <c:pt idx="21">
                  <c:v>1</c:v>
                </c:pt>
                <c:pt idx="22">
                  <c:v>0.999999999999998</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1.1549855819825E-17</c:v>
                </c:pt>
                <c:pt idx="52">
                  <c:v>1.13188019337742E-17</c:v>
                </c:pt>
                <c:pt idx="53">
                  <c:v>1.10925524222926E-17</c:v>
                </c:pt>
                <c:pt idx="54">
                  <c:v>1.08706290811769E-17</c:v>
                </c:pt>
                <c:pt idx="55">
                  <c:v>1.06536023698177E-17</c:v>
                </c:pt>
                <c:pt idx="56">
                  <c:v>1.0440178035710099E-17</c:v>
                </c:pt>
                <c:pt idx="57">
                  <c:v>1.02319257185048E-17</c:v>
                </c:pt>
                <c:pt idx="58">
                  <c:v>1.00272691240476E-17</c:v>
                </c:pt>
                <c:pt idx="59">
                  <c:v>9.8268404340379997E-18</c:v>
                </c:pt>
                <c:pt idx="60">
                  <c:v>9.6304042455271007E-18</c:v>
                </c:pt>
                <c:pt idx="61">
                  <c:v>9.4378880677386302E-18</c:v>
                </c:pt>
                <c:pt idx="62">
                  <c:v>9.2491986547585907E-18</c:v>
                </c:pt>
                <c:pt idx="63">
                  <c:v>9.0643110759208606E-18</c:v>
                </c:pt>
                <c:pt idx="64">
                  <c:v>8.8831498793717896E-18</c:v>
                </c:pt>
                <c:pt idx="65">
                  <c:v>8.7055623630249703E-18</c:v>
                </c:pt>
                <c:pt idx="66">
                  <c:v>8.5315076533736096E-18</c:v>
                </c:pt>
                <c:pt idx="67">
                  <c:v>8.3609952915801604E-18</c:v>
                </c:pt>
                <c:pt idx="68">
                  <c:v>8.1938779550668703E-18</c:v>
                </c:pt>
                <c:pt idx="69">
                  <c:v>8.0300292960327297E-18</c:v>
                </c:pt>
                <c:pt idx="70">
                  <c:v>7.8695091397549306E-18</c:v>
                </c:pt>
                <c:pt idx="71">
                  <c:v>7.7122600629481001E-18</c:v>
                </c:pt>
                <c:pt idx="72">
                  <c:v>7.5580572823958206E-18</c:v>
                </c:pt>
                <c:pt idx="73">
                  <c:v>7.40690933951673E-18</c:v>
                </c:pt>
                <c:pt idx="74">
                  <c:v>7.2589171408327106E-18</c:v>
                </c:pt>
                <c:pt idx="75">
                  <c:v>7.1138473369006495E-18</c:v>
                </c:pt>
                <c:pt idx="76">
                  <c:v>6.9715318454233697E-18</c:v>
                </c:pt>
                <c:pt idx="77">
                  <c:v>6.8322615127120403E-18</c:v>
                </c:pt>
                <c:pt idx="78">
                  <c:v>6.69563082226868E-18</c:v>
                </c:pt>
                <c:pt idx="79">
                  <c:v>6.5618024066170099E-18</c:v>
                </c:pt>
                <c:pt idx="80">
                  <c:v>6.4306274808750703E-18</c:v>
                </c:pt>
                <c:pt idx="81">
                  <c:v>6.3020786335752497E-18</c:v>
                </c:pt>
                <c:pt idx="82">
                  <c:v>6.1760992732227799E-18</c:v>
                </c:pt>
                <c:pt idx="83">
                  <c:v>6.05263821992507E-18</c:v>
                </c:pt>
                <c:pt idx="84">
                  <c:v>5.9316451789285196E-18</c:v>
                </c:pt>
                <c:pt idx="85">
                  <c:v>5.8130708030969398E-18</c:v>
                </c:pt>
                <c:pt idx="86">
                  <c:v>5.6968667450492397E-18</c:v>
                </c:pt>
                <c:pt idx="87">
                  <c:v>5.5829856216662397E-18</c:v>
                </c:pt>
                <c:pt idx="88">
                  <c:v>5.4713809970620101E-18</c:v>
                </c:pt>
                <c:pt idx="89">
                  <c:v>5.3620073636886503E-18</c:v>
                </c:pt>
                <c:pt idx="90">
                  <c:v>5.2548201237679198E-18</c:v>
                </c:pt>
                <c:pt idx="91">
                  <c:v>5.1497755710390698E-18</c:v>
                </c:pt>
                <c:pt idx="92">
                  <c:v>5.0468308728999499E-18</c:v>
                </c:pt>
                <c:pt idx="93">
                  <c:v>4.94594405295446E-18</c:v>
                </c:pt>
                <c:pt idx="94">
                  <c:v>4.8470739739420798E-18</c:v>
                </c:pt>
                <c:pt idx="95">
                  <c:v>4.7501803209511301E-18</c:v>
                </c:pt>
                <c:pt idx="96">
                  <c:v>4.65522358496649E-18</c:v>
                </c:pt>
                <c:pt idx="97">
                  <c:v>4.5621650467553102E-18</c:v>
                </c:pt>
                <c:pt idx="98">
                  <c:v>4.4709667610938903E-18</c:v>
                </c:pt>
                <c:pt idx="99">
                  <c:v>4.3815915412845503E-18</c:v>
                </c:pt>
              </c:numCache>
            </c:numRef>
          </c:yVal>
          <c:smooth val="0"/>
          <c:extLst>
            <c:ext xmlns:c16="http://schemas.microsoft.com/office/drawing/2014/chart" uri="{C3380CC4-5D6E-409C-BE32-E72D297353CC}">
              <c16:uniqueId val="{00000023-CF86-4C2E-BF49-1F263FBF5A1F}"/>
            </c:ext>
          </c:extLst>
        </c:ser>
        <c:ser>
          <c:idx val="36"/>
          <c:order val="36"/>
          <c:tx>
            <c:strRef>
              <c:f>dynamicR!$AT$19</c:f>
              <c:strCache>
                <c:ptCount val="1"/>
                <c:pt idx="0">
                  <c:v>s2RS</c:v>
                </c:pt>
              </c:strCache>
            </c:strRef>
          </c:tx>
          <c:spPr>
            <a:ln w="19050" cap="rnd">
              <a:solidFill>
                <a:schemeClr val="accent1">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dynamicR!$AT$20:$AT$119</c:f>
              <c:numCache>
                <c:formatCode>0.00</c:formatCode>
                <c:ptCount val="100"/>
                <c:pt idx="0">
                  <c:v>0</c:v>
                </c:pt>
                <c:pt idx="1">
                  <c:v>1</c:v>
                </c:pt>
                <c:pt idx="2">
                  <c:v>0.999999999999999</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0.999999999999999</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-1.08941439691336E-216</c:v>
                </c:pt>
                <c:pt idx="52">
                  <c:v>2.6244003707269402E-218</c:v>
                </c:pt>
                <c:pt idx="53">
                  <c:v>-8.8884724556736704E-218</c:v>
                </c:pt>
                <c:pt idx="54">
                  <c:v>1.16880848019497E-216</c:v>
                </c:pt>
                <c:pt idx="55">
                  <c:v>-7.3579464189936005E-217</c:v>
                </c:pt>
                <c:pt idx="56">
                  <c:v>2.3988153714504399E-216</c:v>
                </c:pt>
                <c:pt idx="57">
                  <c:v>-6.9907361553029703E-217</c:v>
                </c:pt>
                <c:pt idx="58">
                  <c:v>1.3015040823969901E-217</c:v>
                </c:pt>
                <c:pt idx="59">
                  <c:v>7.9274181429081206E-219</c:v>
                </c:pt>
                <c:pt idx="60">
                  <c:v>-1.47100831847028E-218</c:v>
                </c:pt>
                <c:pt idx="61">
                  <c:v>7.0022612378562797E-219</c:v>
                </c:pt>
                <c:pt idx="62">
                  <c:v>1.7409386622155299E-217</c:v>
                </c:pt>
                <c:pt idx="63">
                  <c:v>1.3520936125969399E-217</c:v>
                </c:pt>
                <c:pt idx="64">
                  <c:v>-1.0960696599293301E-217</c:v>
                </c:pt>
                <c:pt idx="65">
                  <c:v>-2.5069347157216802E-218</c:v>
                </c:pt>
                <c:pt idx="66">
                  <c:v>1.7512193603002199E-217</c:v>
                </c:pt>
                <c:pt idx="67">
                  <c:v>-5.6606325162074496E-218</c:v>
                </c:pt>
                <c:pt idx="68">
                  <c:v>-1.9220403629766E-217</c:v>
                </c:pt>
                <c:pt idx="69">
                  <c:v>1.64640255533538E-217</c:v>
                </c:pt>
                <c:pt idx="70">
                  <c:v>1.5341993303714501E-217</c:v>
                </c:pt>
                <c:pt idx="71">
                  <c:v>-2.8118275734902399E-217</c:v>
                </c:pt>
                <c:pt idx="72">
                  <c:v>-4.6715619411709704E-218</c:v>
                </c:pt>
                <c:pt idx="73">
                  <c:v>3.7164521969479299E-217</c:v>
                </c:pt>
                <c:pt idx="74">
                  <c:v>-1.31732760974831E-217</c:v>
                </c:pt>
                <c:pt idx="75">
                  <c:v>-3.8017277895091803E-217</c:v>
                </c:pt>
                <c:pt idx="76">
                  <c:v>3.6727846910237598E-217</c:v>
                </c:pt>
                <c:pt idx="77">
                  <c:v>-2.63286052667859E-217</c:v>
                </c:pt>
                <c:pt idx="78">
                  <c:v>1.0293895744352499E-217</c:v>
                </c:pt>
                <c:pt idx="79">
                  <c:v>-2.3821090287565201E-218</c:v>
                </c:pt>
                <c:pt idx="80">
                  <c:v>2.2554186593600699E-219</c:v>
                </c:pt>
                <c:pt idx="81">
                  <c:v>1.20411060437938E-224</c:v>
                </c:pt>
                <c:pt idx="82">
                  <c:v>-3.7386270795167201E-225</c:v>
                </c:pt>
                <c:pt idx="83">
                  <c:v>7.9555340624775299E-226</c:v>
                </c:pt>
                <c:pt idx="84">
                  <c:v>-1.04229445817642E-226</c:v>
                </c:pt>
                <c:pt idx="85">
                  <c:v>6.1994266142344201E-228</c:v>
                </c:pt>
                <c:pt idx="86">
                  <c:v>1.4062645419849099E-232</c:v>
                </c:pt>
                <c:pt idx="87">
                  <c:v>-2.9146255425919702E-233</c:v>
                </c:pt>
                <c:pt idx="88">
                  <c:v>4.2616011884458199E-234</c:v>
                </c:pt>
                <c:pt idx="89">
                  <c:v>-3.9301436081431402E-235</c:v>
                </c:pt>
                <c:pt idx="90">
                  <c:v>1.7037422555404199E-236</c:v>
                </c:pt>
                <c:pt idx="91">
                  <c:v>1.11010071985097E-240</c:v>
                </c:pt>
                <c:pt idx="92">
                  <c:v>-1.72512224267854E-241</c:v>
                </c:pt>
                <c:pt idx="93">
                  <c:v>1.9247246770277001E-242</c:v>
                </c:pt>
                <c:pt idx="94">
                  <c:v>-1.37299233807025E-243</c:v>
                </c:pt>
                <c:pt idx="95">
                  <c:v>4.6805318240133797E-245</c:v>
                </c:pt>
                <c:pt idx="96">
                  <c:v>6.9943146023283403E-249</c:v>
                </c:pt>
                <c:pt idx="97">
                  <c:v>-8.7100991609843995E-250</c:v>
                </c:pt>
                <c:pt idx="98">
                  <c:v>7.8640764566702896E-251</c:v>
                </c:pt>
                <c:pt idx="99">
                  <c:v>-4.5779427740984102E-252</c:v>
                </c:pt>
              </c:numCache>
            </c:numRef>
          </c:yVal>
          <c:smooth val="0"/>
          <c:extLst>
            <c:ext xmlns:c16="http://schemas.microsoft.com/office/drawing/2014/chart" uri="{C3380CC4-5D6E-409C-BE32-E72D297353CC}">
              <c16:uniqueId val="{00000024-CF86-4C2E-BF49-1F263FBF5A1F}"/>
            </c:ext>
          </c:extLst>
        </c:ser>
        <c:ser>
          <c:idx val="37"/>
          <c:order val="37"/>
          <c:tx>
            <c:strRef>
              <c:f>dynamicR!$AU$19</c:f>
              <c:strCache>
                <c:ptCount val="1"/>
                <c:pt idx="0">
                  <c:v>s2RA</c:v>
                </c:pt>
              </c:strCache>
            </c:strRef>
          </c:tx>
          <c:spPr>
            <a:ln w="19050" cap="rnd">
              <a:solidFill>
                <a:schemeClr val="accent2">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dynamicR!$AU$20:$AU$119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0.999999999999999</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1.3362602406475799E-90</c:v>
                </c:pt>
                <c:pt idx="52">
                  <c:v>-3.2190750270874501E-92</c:v>
                </c:pt>
                <c:pt idx="53">
                  <c:v>1.09023202544355E-91</c:v>
                </c:pt>
                <c:pt idx="54">
                  <c:v>-1.4336446864461101E-90</c:v>
                </c:pt>
                <c:pt idx="55">
                  <c:v>9.0251313806468102E-91</c:v>
                </c:pt>
                <c:pt idx="56">
                  <c:v>-2.94234468427567E-90</c:v>
                </c:pt>
                <c:pt idx="57">
                  <c:v>8.5746819958114305E-91</c:v>
                </c:pt>
                <c:pt idx="58">
                  <c:v>-1.59637800628725E-91</c:v>
                </c:pt>
                <c:pt idx="59">
                  <c:v>-9.7244819693577405E-93</c:v>
                </c:pt>
                <c:pt idx="60">
                  <c:v>1.8043876179591999E-92</c:v>
                </c:pt>
                <c:pt idx="61">
                  <c:v>-8.5874796525658102E-93</c:v>
                </c:pt>
                <c:pt idx="62">
                  <c:v>-2.1354036649962301E-91</c:v>
                </c:pt>
                <c:pt idx="63">
                  <c:v>-1.65844935056025E-91</c:v>
                </c:pt>
                <c:pt idx="64">
                  <c:v>1.3444313987250099E-91</c:v>
                </c:pt>
                <c:pt idx="65">
                  <c:v>3.0749334633262401E-92</c:v>
                </c:pt>
                <c:pt idx="66">
                  <c:v>-2.14802366970757E-91</c:v>
                </c:pt>
                <c:pt idx="67">
                  <c:v>6.9432989218873204E-92</c:v>
                </c:pt>
                <c:pt idx="68">
                  <c:v>2.35754696507298E-91</c:v>
                </c:pt>
                <c:pt idx="69">
                  <c:v>-2.0194576397295399E-91</c:v>
                </c:pt>
                <c:pt idx="70">
                  <c:v>-1.88182472440958E-91</c:v>
                </c:pt>
                <c:pt idx="71">
                  <c:v>3.4489481365912601E-91</c:v>
                </c:pt>
                <c:pt idx="72">
                  <c:v>5.7300547480408401E-92</c:v>
                </c:pt>
                <c:pt idx="73">
                  <c:v>-4.5585441045694098E-91</c:v>
                </c:pt>
                <c:pt idx="74">
                  <c:v>1.61581245542337E-91</c:v>
                </c:pt>
                <c:pt idx="75">
                  <c:v>4.6631403670919897E-91</c:v>
                </c:pt>
                <c:pt idx="76">
                  <c:v>-4.5049766877028699E-91</c:v>
                </c:pt>
                <c:pt idx="77">
                  <c:v>3.2294133235683701E-91</c:v>
                </c:pt>
                <c:pt idx="78">
                  <c:v>-1.2626155402221099E-91</c:v>
                </c:pt>
                <c:pt idx="79">
                  <c:v>2.92171244687669E-92</c:v>
                </c:pt>
                <c:pt idx="80">
                  <c:v>-2.7656070107939701E-93</c:v>
                </c:pt>
                <c:pt idx="81">
                  <c:v>-3.8212099093120802E-97</c:v>
                </c:pt>
                <c:pt idx="82">
                  <c:v>1.1864157649347599E-97</c:v>
                </c:pt>
                <c:pt idx="83">
                  <c:v>-2.5244461938944699E-98</c:v>
                </c:pt>
                <c:pt idx="84">
                  <c:v>3.3065847327422501E-99</c:v>
                </c:pt>
                <c:pt idx="85">
                  <c:v>-1.9633224731600601E-100</c:v>
                </c:pt>
                <c:pt idx="86">
                  <c:v>-1.1606546242962301E-103</c:v>
                </c:pt>
                <c:pt idx="87">
                  <c:v>2.3927658776164701E-104</c:v>
                </c:pt>
                <c:pt idx="88">
                  <c:v>-3.4976960327654596E-105</c:v>
                </c:pt>
                <c:pt idx="89">
                  <c:v>3.2225343632928101E-106</c:v>
                </c:pt>
                <c:pt idx="90">
                  <c:v>-1.3876653510468899E-107</c:v>
                </c:pt>
                <c:pt idx="91">
                  <c:v>-2.3634416303560701E-110</c:v>
                </c:pt>
                <c:pt idx="92">
                  <c:v>3.6631350687720997E-111</c:v>
                </c:pt>
                <c:pt idx="93">
                  <c:v>-4.0840504111228198E-112</c:v>
                </c:pt>
                <c:pt idx="94">
                  <c:v>2.9052103665650102E-113</c:v>
                </c:pt>
                <c:pt idx="95">
                  <c:v>-9.7129963245559392E-115</c:v>
                </c:pt>
                <c:pt idx="96">
                  <c:v>-3.8466905631391701E-117</c:v>
                </c:pt>
                <c:pt idx="97">
                  <c:v>4.7822333822996004E-118</c:v>
                </c:pt>
                <c:pt idx="98">
                  <c:v>-4.3103824109288201E-119</c:v>
                </c:pt>
                <c:pt idx="99">
                  <c:v>2.4924865013834201E-120</c:v>
                </c:pt>
              </c:numCache>
            </c:numRef>
          </c:yVal>
          <c:smooth val="0"/>
          <c:extLst>
            <c:ext xmlns:c16="http://schemas.microsoft.com/office/drawing/2014/chart" uri="{C3380CC4-5D6E-409C-BE32-E72D297353CC}">
              <c16:uniqueId val="{00000025-CF86-4C2E-BF49-1F263FBF5A1F}"/>
            </c:ext>
          </c:extLst>
        </c:ser>
        <c:ser>
          <c:idx val="38"/>
          <c:order val="38"/>
          <c:tx>
            <c:strRef>
              <c:f>dynamicR!$AV$19</c:f>
              <c:strCache>
                <c:ptCount val="1"/>
                <c:pt idx="0">
                  <c:v>s2RP</c:v>
                </c:pt>
              </c:strCache>
            </c:strRef>
          </c:tx>
          <c:spPr>
            <a:ln w="19050" cap="rnd">
              <a:solidFill>
                <a:schemeClr val="accent3">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dynamicR!$AV$20:$AV$119</c:f>
              <c:numCache>
                <c:formatCode>0.00</c:formatCode>
                <c:ptCount val="100"/>
                <c:pt idx="0">
                  <c:v>0</c:v>
                </c:pt>
                <c:pt idx="1">
                  <c:v>1</c:v>
                </c:pt>
                <c:pt idx="2">
                  <c:v>0.999999999999999</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0.999999999999999</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1.92491734291074E-89</c:v>
                </c:pt>
                <c:pt idx="52">
                  <c:v>-4.6371627829300198E-91</c:v>
                </c:pt>
                <c:pt idx="53">
                  <c:v>1.5705058555979601E-90</c:v>
                </c:pt>
                <c:pt idx="54">
                  <c:v>-2.06520222445586E-89</c:v>
                </c:pt>
                <c:pt idx="55">
                  <c:v>1.30009324773108E-89</c:v>
                </c:pt>
                <c:pt idx="56">
                  <c:v>-4.2385226130381001E-89</c:v>
                </c:pt>
                <c:pt idx="57">
                  <c:v>1.2352045177225199E-89</c:v>
                </c:pt>
                <c:pt idx="58">
                  <c:v>-2.2996209398057098E-90</c:v>
                </c:pt>
                <c:pt idx="59">
                  <c:v>-1.40084468071717E-91</c:v>
                </c:pt>
                <c:pt idx="60">
                  <c:v>2.5992736498708102E-91</c:v>
                </c:pt>
                <c:pt idx="61">
                  <c:v>-1.23703509135354E-91</c:v>
                </c:pt>
                <c:pt idx="62">
                  <c:v>-3.0761033794898702E-90</c:v>
                </c:pt>
                <c:pt idx="63">
                  <c:v>-2.3890381462745799E-90</c:v>
                </c:pt>
                <c:pt idx="64">
                  <c:v>1.9366888714869599E-90</c:v>
                </c:pt>
                <c:pt idx="65">
                  <c:v>4.4295173735517199E-91</c:v>
                </c:pt>
                <c:pt idx="66">
                  <c:v>-3.0942837750328002E-90</c:v>
                </c:pt>
                <c:pt idx="67">
                  <c:v>1.00020057703545E-90</c:v>
                </c:pt>
                <c:pt idx="68">
                  <c:v>3.39610716445295E-90</c:v>
                </c:pt>
                <c:pt idx="69">
                  <c:v>-2.9090811679015802E-90</c:v>
                </c:pt>
                <c:pt idx="70">
                  <c:v>-2.71081681957437E-90</c:v>
                </c:pt>
                <c:pt idx="71">
                  <c:v>4.9682987798190002E-90</c:v>
                </c:pt>
                <c:pt idx="72">
                  <c:v>8.2542900263833395E-91</c:v>
                </c:pt>
                <c:pt idx="73">
                  <c:v>-6.5667000269698098E-90</c:v>
                </c:pt>
                <c:pt idx="74">
                  <c:v>2.3276192371427002E-90</c:v>
                </c:pt>
                <c:pt idx="75">
                  <c:v>6.7173734890229597E-90</c:v>
                </c:pt>
                <c:pt idx="76">
                  <c:v>-6.4895342513520397E-90</c:v>
                </c:pt>
                <c:pt idx="77">
                  <c:v>4.6520516341750903E-90</c:v>
                </c:pt>
                <c:pt idx="78">
                  <c:v>-1.81882840195529E-90</c:v>
                </c:pt>
                <c:pt idx="79">
                  <c:v>4.2087877428667399E-91</c:v>
                </c:pt>
                <c:pt idx="80">
                  <c:v>-3.9838452123318601E-92</c:v>
                </c:pt>
                <c:pt idx="81">
                  <c:v>-5.86019138965123E-96</c:v>
                </c:pt>
                <c:pt idx="82">
                  <c:v>1.8194794615769599E-96</c:v>
                </c:pt>
                <c:pt idx="83">
                  <c:v>-3.87145742246992E-97</c:v>
                </c:pt>
                <c:pt idx="84">
                  <c:v>5.0708503891357297E-98</c:v>
                </c:pt>
                <c:pt idx="85">
                  <c:v>-3.0105260582671599E-99</c:v>
                </c:pt>
                <c:pt idx="86">
                  <c:v>-1.8949688382412502E-102</c:v>
                </c:pt>
                <c:pt idx="87">
                  <c:v>3.90658600928902E-103</c:v>
                </c:pt>
                <c:pt idx="88">
                  <c:v>-5.7104717301058403E-104</c:v>
                </c:pt>
                <c:pt idx="89">
                  <c:v>5.2608902526705301E-105</c:v>
                </c:pt>
                <c:pt idx="90">
                  <c:v>-2.26438417360059E-106</c:v>
                </c:pt>
                <c:pt idx="91">
                  <c:v>-4.10799745742647E-109</c:v>
                </c:pt>
                <c:pt idx="92">
                  <c:v>6.3669562149707904E-110</c:v>
                </c:pt>
                <c:pt idx="93">
                  <c:v>-7.0982150084847604E-111</c:v>
                </c:pt>
                <c:pt idx="94">
                  <c:v>5.0484018370174E-112</c:v>
                </c:pt>
                <c:pt idx="95">
                  <c:v>-1.6855960391732901E-113</c:v>
                </c:pt>
                <c:pt idx="96">
                  <c:v>-7.1179519007997297E-116</c:v>
                </c:pt>
                <c:pt idx="97">
                  <c:v>8.8487506633842397E-117</c:v>
                </c:pt>
                <c:pt idx="98">
                  <c:v>-7.9747527850971191E-118</c:v>
                </c:pt>
                <c:pt idx="99">
                  <c:v>4.6093303722977299E-119</c:v>
                </c:pt>
              </c:numCache>
            </c:numRef>
          </c:yVal>
          <c:smooth val="0"/>
          <c:extLst>
            <c:ext xmlns:c16="http://schemas.microsoft.com/office/drawing/2014/chart" uri="{C3380CC4-5D6E-409C-BE32-E72D297353CC}">
              <c16:uniqueId val="{00000026-CF86-4C2E-BF49-1F263FBF5A1F}"/>
            </c:ext>
          </c:extLst>
        </c:ser>
        <c:ser>
          <c:idx val="39"/>
          <c:order val="39"/>
          <c:tx>
            <c:strRef>
              <c:f>dynamicR!$AW$19</c:f>
              <c:strCache>
                <c:ptCount val="1"/>
                <c:pt idx="0">
                  <c:v>s3RD</c:v>
                </c:pt>
              </c:strCache>
            </c:strRef>
          </c:tx>
          <c:spPr>
            <a:ln w="19050" cap="rnd">
              <a:solidFill>
                <a:schemeClr val="accent4">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dynamicR!$AW$20:$AW$119</c:f>
              <c:numCache>
                <c:formatCode>0.00</c:formatCode>
                <c:ptCount val="100"/>
                <c:pt idx="0">
                  <c:v>0</c:v>
                </c:pt>
                <c:pt idx="1">
                  <c:v>1</c:v>
                </c:pt>
                <c:pt idx="2">
                  <c:v>1</c:v>
                </c:pt>
                <c:pt idx="3">
                  <c:v>1</c:v>
                </c:pt>
                <c:pt idx="4">
                  <c:v>1</c:v>
                </c:pt>
                <c:pt idx="5">
                  <c:v>0.999999999999999</c:v>
                </c:pt>
                <c:pt idx="6">
                  <c:v>1</c:v>
                </c:pt>
                <c:pt idx="7">
                  <c:v>0.999999999999999</c:v>
                </c:pt>
                <c:pt idx="8">
                  <c:v>1</c:v>
                </c:pt>
                <c:pt idx="9">
                  <c:v>1</c:v>
                </c:pt>
                <c:pt idx="10">
                  <c:v>1</c:v>
                </c:pt>
                <c:pt idx="11">
                  <c:v>1</c:v>
                </c:pt>
                <c:pt idx="12">
                  <c:v>1</c:v>
                </c:pt>
                <c:pt idx="13">
                  <c:v>1</c:v>
                </c:pt>
                <c:pt idx="14">
                  <c:v>0.999999999999999</c:v>
                </c:pt>
                <c:pt idx="15">
                  <c:v>1</c:v>
                </c:pt>
                <c:pt idx="16">
                  <c:v>0.999999999999999</c:v>
                </c:pt>
                <c:pt idx="17">
                  <c:v>0.999999999999999</c:v>
                </c:pt>
                <c:pt idx="18">
                  <c:v>1</c:v>
                </c:pt>
                <c:pt idx="19">
                  <c:v>1</c:v>
                </c:pt>
                <c:pt idx="20">
                  <c:v>0.999999999999998</c:v>
                </c:pt>
                <c:pt idx="21">
                  <c:v>1</c:v>
                </c:pt>
                <c:pt idx="22">
                  <c:v>1</c:v>
                </c:pt>
                <c:pt idx="23">
                  <c:v>0.999999999999999</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4.0778096873008798E-16</c:v>
                </c:pt>
                <c:pt idx="52">
                  <c:v>3.9962902618437E-16</c:v>
                </c:pt>
                <c:pt idx="53">
                  <c:v>3.9164032064618198E-16</c:v>
                </c:pt>
                <c:pt idx="54">
                  <c:v>3.8381148252368998E-16</c:v>
                </c:pt>
                <c:pt idx="55">
                  <c:v>3.7613910991920299E-16</c:v>
                </c:pt>
                <c:pt idx="56">
                  <c:v>3.6862006960930401E-16</c:v>
                </c:pt>
                <c:pt idx="57">
                  <c:v>3.6125132149757898E-16</c:v>
                </c:pt>
                <c:pt idx="58">
                  <c:v>3.54029872390424E-16</c:v>
                </c:pt>
                <c:pt idx="59">
                  <c:v>3.4695278159486099E-16</c:v>
                </c:pt>
                <c:pt idx="60">
                  <c:v>3.4001715852201498E-16</c:v>
                </c:pt>
                <c:pt idx="61">
                  <c:v>3.3322016996227602E-16</c:v>
                </c:pt>
                <c:pt idx="62">
                  <c:v>3.2655904963051002E-16</c:v>
                </c:pt>
                <c:pt idx="63">
                  <c:v>3.2003108757813302E-16</c:v>
                </c:pt>
                <c:pt idx="64">
                  <c:v>3.1363362300196E-16</c:v>
                </c:pt>
                <c:pt idx="65">
                  <c:v>3.0736404564491902E-16</c:v>
                </c:pt>
                <c:pt idx="66">
                  <c:v>3.0121979775270698E-16</c:v>
                </c:pt>
                <c:pt idx="67">
                  <c:v>2.9519837376566199E-16</c:v>
                </c:pt>
                <c:pt idx="68">
                  <c:v>2.8929731869706499E-16</c:v>
                </c:pt>
                <c:pt idx="69">
                  <c:v>2.83514226566439E-16</c:v>
                </c:pt>
                <c:pt idx="70">
                  <c:v>2.7784673930077801E-16</c:v>
                </c:pt>
                <c:pt idx="71">
                  <c:v>2.7229254588781598E-16</c:v>
                </c:pt>
                <c:pt idx="72">
                  <c:v>2.6684938153126599E-16</c:v>
                </c:pt>
                <c:pt idx="73">
                  <c:v>2.6151502674293799E-16</c:v>
                </c:pt>
                <c:pt idx="74">
                  <c:v>2.56287306416132E-16</c:v>
                </c:pt>
                <c:pt idx="75">
                  <c:v>2.5116408896115299E-16</c:v>
                </c:pt>
                <c:pt idx="76">
                  <c:v>2.4614328543068201E-16</c:v>
                </c:pt>
                <c:pt idx="77">
                  <c:v>2.4122284852245498E-16</c:v>
                </c:pt>
                <c:pt idx="78">
                  <c:v>2.3640077178654899E-16</c:v>
                </c:pt>
                <c:pt idx="79">
                  <c:v>2.3167508894241002E-16</c:v>
                </c:pt>
                <c:pt idx="80">
                  <c:v>2.2704387309833801E-16</c:v>
                </c:pt>
                <c:pt idx="81">
                  <c:v>2.2250523588951301E-16</c:v>
                </c:pt>
                <c:pt idx="82">
                  <c:v>2.1805732665949501E-16</c:v>
                </c:pt>
                <c:pt idx="83">
                  <c:v>2.1369833172499199E-16</c:v>
                </c:pt>
                <c:pt idx="84">
                  <c:v>2.0942647366855499E-16</c:v>
                </c:pt>
                <c:pt idx="85">
                  <c:v>2.0524001061895299E-16</c:v>
                </c:pt>
                <c:pt idx="86">
                  <c:v>2.0113723552559199E-16</c:v>
                </c:pt>
                <c:pt idx="87">
                  <c:v>1.9711647545489401E-16</c:v>
                </c:pt>
                <c:pt idx="88">
                  <c:v>1.9317609091209001E-16</c:v>
                </c:pt>
                <c:pt idx="89">
                  <c:v>1.89314475178278E-16</c:v>
                </c:pt>
                <c:pt idx="90">
                  <c:v>1.85530053655693E-16</c:v>
                </c:pt>
                <c:pt idx="91">
                  <c:v>1.8182128322302499E-16</c:v>
                </c:pt>
                <c:pt idx="92">
                  <c:v>1.7818665160491599E-16</c:v>
                </c:pt>
                <c:pt idx="93">
                  <c:v>1.7462467675577199E-16</c:v>
                </c:pt>
                <c:pt idx="94">
                  <c:v>1.71133906257055E-16</c:v>
                </c:pt>
                <c:pt idx="95">
                  <c:v>1.6771291672460799E-16</c:v>
                </c:pt>
                <c:pt idx="96">
                  <c:v>1.6436031322776899E-16</c:v>
                </c:pt>
                <c:pt idx="97">
                  <c:v>1.6107472872044201E-16</c:v>
                </c:pt>
                <c:pt idx="98">
                  <c:v>1.5785482348419301E-16</c:v>
                </c:pt>
                <c:pt idx="99">
                  <c:v>1.5469928458159299E-16</c:v>
                </c:pt>
              </c:numCache>
            </c:numRef>
          </c:yVal>
          <c:smooth val="0"/>
          <c:extLst>
            <c:ext xmlns:c16="http://schemas.microsoft.com/office/drawing/2014/chart" uri="{C3380CC4-5D6E-409C-BE32-E72D297353CC}">
              <c16:uniqueId val="{00000027-CF86-4C2E-BF49-1F263FBF5A1F}"/>
            </c:ext>
          </c:extLst>
        </c:ser>
        <c:ser>
          <c:idx val="40"/>
          <c:order val="40"/>
          <c:tx>
            <c:strRef>
              <c:f>dynamicR!$AX$19</c:f>
              <c:strCache>
                <c:ptCount val="1"/>
                <c:pt idx="0">
                  <c:v>s3RS</c:v>
                </c:pt>
              </c:strCache>
            </c:strRef>
          </c:tx>
          <c:spPr>
            <a:ln w="19050" cap="rnd">
              <a:solidFill>
                <a:schemeClr val="accent5">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dynamicR!$AX$20:$AX$119</c:f>
              <c:numCache>
                <c:formatCode>0.00</c:formatCode>
                <c:ptCount val="100"/>
                <c:pt idx="0">
                  <c:v>0</c:v>
                </c:pt>
                <c:pt idx="1">
                  <c:v>1</c:v>
                </c:pt>
                <c:pt idx="2">
                  <c:v>0.999999999999999</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-1.09284563643476E-214</c:v>
                </c:pt>
                <c:pt idx="52">
                  <c:v>2.6326663076339701E-216</c:v>
                </c:pt>
                <c:pt idx="53">
                  <c:v>-8.9164679737464305E-216</c:v>
                </c:pt>
                <c:pt idx="54">
                  <c:v>1.17248977338623E-214</c:v>
                </c:pt>
                <c:pt idx="55">
                  <c:v>-7.3811210946871396E-215</c:v>
                </c:pt>
                <c:pt idx="56">
                  <c:v>2.40637071101596E-214</c:v>
                </c:pt>
                <c:pt idx="57">
                  <c:v>-7.0127542677082499E-215</c:v>
                </c:pt>
                <c:pt idx="58">
                  <c:v>1.3056033163983701E-215</c:v>
                </c:pt>
                <c:pt idx="59">
                  <c:v>7.9523864410750206E-217</c:v>
                </c:pt>
                <c:pt idx="60">
                  <c:v>-1.4756414251941899E-216</c:v>
                </c:pt>
                <c:pt idx="61">
                  <c:v>7.0243156499337597E-217</c:v>
                </c:pt>
                <c:pt idx="62">
                  <c:v>1.74642194502261E-215</c:v>
                </c:pt>
                <c:pt idx="63">
                  <c:v>1.35635218403338E-215</c:v>
                </c:pt>
                <c:pt idx="64">
                  <c:v>-1.09952185503079E-215</c:v>
                </c:pt>
                <c:pt idx="65">
                  <c:v>-2.5148305895530501E-216</c:v>
                </c:pt>
                <c:pt idx="66">
                  <c:v>1.75673502332623E-215</c:v>
                </c:pt>
                <c:pt idx="67">
                  <c:v>-5.6784613172026603E-216</c:v>
                </c:pt>
                <c:pt idx="68">
                  <c:v>-1.9280940460301999E-215</c:v>
                </c:pt>
                <c:pt idx="69">
                  <c:v>1.65158808600406E-215</c:v>
                </c:pt>
                <c:pt idx="70">
                  <c:v>1.5390314643193099E-215</c:v>
                </c:pt>
                <c:pt idx="71">
                  <c:v>-2.8206837417888801E-215</c:v>
                </c:pt>
                <c:pt idx="72">
                  <c:v>-4.6862755527586E-216</c:v>
                </c:pt>
                <c:pt idx="73">
                  <c:v>3.7281575825982798E-215</c:v>
                </c:pt>
                <c:pt idx="74">
                  <c:v>-1.32147668173496E-215</c:v>
                </c:pt>
                <c:pt idx="75">
                  <c:v>-3.81370176026289E-215</c:v>
                </c:pt>
                <c:pt idx="76">
                  <c:v>3.6843525409357401E-215</c:v>
                </c:pt>
                <c:pt idx="77">
                  <c:v>-2.64115301806426E-215</c:v>
                </c:pt>
                <c:pt idx="78">
                  <c:v>1.03263175308165E-215</c:v>
                </c:pt>
                <c:pt idx="79">
                  <c:v>-2.3896117499982499E-216</c:v>
                </c:pt>
                <c:pt idx="80">
                  <c:v>2.2625223549806199E-217</c:v>
                </c:pt>
                <c:pt idx="81">
                  <c:v>1.20790337838771E-222</c:v>
                </c:pt>
                <c:pt idx="82">
                  <c:v>-3.7504036016605201E-223</c:v>
                </c:pt>
                <c:pt idx="83">
                  <c:v>7.9805951992241302E-224</c:v>
                </c:pt>
                <c:pt idx="84">
                  <c:v>-1.04557816179637E-224</c:v>
                </c:pt>
                <c:pt idx="85">
                  <c:v>6.21895841953043E-226</c:v>
                </c:pt>
                <c:pt idx="86">
                  <c:v>1.41333766497773E-230</c:v>
                </c:pt>
                <c:pt idx="87">
                  <c:v>-2.9238060639769899E-231</c:v>
                </c:pt>
                <c:pt idx="88">
                  <c:v>4.27502498695325E-232</c:v>
                </c:pt>
                <c:pt idx="89">
                  <c:v>-3.9425229894782402E-233</c:v>
                </c:pt>
                <c:pt idx="90">
                  <c:v>1.70910966245503E-234</c:v>
                </c:pt>
                <c:pt idx="91">
                  <c:v>1.1122843095489799E-238</c:v>
                </c:pt>
                <c:pt idx="92">
                  <c:v>-1.7305559479912199E-239</c:v>
                </c:pt>
                <c:pt idx="93">
                  <c:v>1.9307880265644499E-240</c:v>
                </c:pt>
                <c:pt idx="94">
                  <c:v>-1.37731900082988E-241</c:v>
                </c:pt>
                <c:pt idx="95">
                  <c:v>4.6952787727414103E-243</c:v>
                </c:pt>
                <c:pt idx="96">
                  <c:v>7.0175708902434206E-247</c:v>
                </c:pt>
                <c:pt idx="97">
                  <c:v>-8.7375366358681796E-248</c:v>
                </c:pt>
                <c:pt idx="98">
                  <c:v>7.8888498267973504E-249</c:v>
                </c:pt>
                <c:pt idx="99">
                  <c:v>-4.5923640644985599E-250</c:v>
                </c:pt>
              </c:numCache>
            </c:numRef>
          </c:yVal>
          <c:smooth val="0"/>
          <c:extLst>
            <c:ext xmlns:c16="http://schemas.microsoft.com/office/drawing/2014/chart" uri="{C3380CC4-5D6E-409C-BE32-E72D297353CC}">
              <c16:uniqueId val="{00000028-CF86-4C2E-BF49-1F263FBF5A1F}"/>
            </c:ext>
          </c:extLst>
        </c:ser>
        <c:ser>
          <c:idx val="41"/>
          <c:order val="41"/>
          <c:tx>
            <c:strRef>
              <c:f>dynamicR!$AY$19</c:f>
              <c:strCache>
                <c:ptCount val="1"/>
                <c:pt idx="0">
                  <c:v>s3RA</c:v>
                </c:pt>
              </c:strCache>
            </c:strRef>
          </c:tx>
          <c:spPr>
            <a:ln w="19050" cap="rnd">
              <a:solidFill>
                <a:schemeClr val="accent6">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dynamicR!$AY$20:$AY$119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-3.7545924641834497E-94</c:v>
                </c:pt>
                <c:pt idx="52">
                  <c:v>9.0448765069498897E-96</c:v>
                </c:pt>
                <c:pt idx="53">
                  <c:v>-3.0633112548969397E-95</c:v>
                </c:pt>
                <c:pt idx="54">
                  <c:v>4.0282208188214799E-94</c:v>
                </c:pt>
                <c:pt idx="55">
                  <c:v>-2.53586051848604E-94</c:v>
                </c:pt>
                <c:pt idx="56">
                  <c:v>8.2673322190807401E-94</c:v>
                </c:pt>
                <c:pt idx="57">
                  <c:v>-2.4092949976002399E-94</c:v>
                </c:pt>
                <c:pt idx="58">
                  <c:v>4.4854708454169401E-95</c:v>
                </c:pt>
                <c:pt idx="59">
                  <c:v>2.7323456662525098E-96</c:v>
                </c:pt>
                <c:pt idx="60">
                  <c:v>-5.0699119053704603E-96</c:v>
                </c:pt>
                <c:pt idx="61">
                  <c:v>2.4129173698061799E-96</c:v>
                </c:pt>
                <c:pt idx="62">
                  <c:v>6.0000081628670601E-95</c:v>
                </c:pt>
                <c:pt idx="63">
                  <c:v>4.6598736902825702E-95</c:v>
                </c:pt>
                <c:pt idx="64">
                  <c:v>-3.7775500213251503E-95</c:v>
                </c:pt>
                <c:pt idx="65">
                  <c:v>-8.6398827572960296E-96</c:v>
                </c:pt>
                <c:pt idx="66">
                  <c:v>6.0354656038688497E-95</c:v>
                </c:pt>
                <c:pt idx="67">
                  <c:v>-1.95091079152408E-95</c:v>
                </c:pt>
                <c:pt idx="68">
                  <c:v>-6.6241798680940904E-95</c:v>
                </c:pt>
                <c:pt idx="69">
                  <c:v>5.6742236560919297E-95</c:v>
                </c:pt>
                <c:pt idx="70">
                  <c:v>5.2875071362303597E-95</c:v>
                </c:pt>
                <c:pt idx="71">
                  <c:v>-9.6907729404393996E-95</c:v>
                </c:pt>
                <c:pt idx="72">
                  <c:v>-1.6100175816414501E-95</c:v>
                </c:pt>
                <c:pt idx="73">
                  <c:v>1.28084902259325E-94</c:v>
                </c:pt>
                <c:pt idx="74">
                  <c:v>-4.5400722441985102E-95</c:v>
                </c:pt>
                <c:pt idx="75">
                  <c:v>-1.3102382644462101E-94</c:v>
                </c:pt>
                <c:pt idx="76">
                  <c:v>1.26579788475529E-94</c:v>
                </c:pt>
                <c:pt idx="77">
                  <c:v>-9.0739324512772604E-95</c:v>
                </c:pt>
                <c:pt idx="78">
                  <c:v>3.5476711046135201E-95</c:v>
                </c:pt>
                <c:pt idx="79">
                  <c:v>-8.2093880680479608E-96</c:v>
                </c:pt>
                <c:pt idx="80">
                  <c:v>7.7709070889326198E-97</c:v>
                </c:pt>
                <c:pt idx="81">
                  <c:v>1.00091874297713E-100</c:v>
                </c:pt>
                <c:pt idx="82">
                  <c:v>-3.10767448365755E-101</c:v>
                </c:pt>
                <c:pt idx="83">
                  <c:v>6.6125154706240297E-102</c:v>
                </c:pt>
                <c:pt idx="84">
                  <c:v>-8.6613943826923104E-103</c:v>
                </c:pt>
                <c:pt idx="85">
                  <c:v>5.1434276204565098E-104</c:v>
                </c:pt>
                <c:pt idx="86">
                  <c:v>2.83417292103472E-107</c:v>
                </c:pt>
                <c:pt idx="87">
                  <c:v>-5.8428947122567399E-108</c:v>
                </c:pt>
                <c:pt idx="88">
                  <c:v>8.5411733553741299E-109</c:v>
                </c:pt>
                <c:pt idx="89">
                  <c:v>-7.8697809596354904E-110</c:v>
                </c:pt>
                <c:pt idx="90">
                  <c:v>3.3904366897326297E-111</c:v>
                </c:pt>
                <c:pt idx="91">
                  <c:v>5.3801998614809702E-114</c:v>
                </c:pt>
                <c:pt idx="92">
                  <c:v>-8.3390286376533196E-115</c:v>
                </c:pt>
                <c:pt idx="93">
                  <c:v>9.2976999920837802E-116</c:v>
                </c:pt>
                <c:pt idx="94">
                  <c:v>-6.6152723972330404E-117</c:v>
                </c:pt>
                <c:pt idx="95">
                  <c:v>2.2147589941816701E-118</c:v>
                </c:pt>
                <c:pt idx="96">
                  <c:v>8.1634891292488997E-121</c:v>
                </c:pt>
                <c:pt idx="97">
                  <c:v>-1.01493435335721E-121</c:v>
                </c:pt>
                <c:pt idx="98">
                  <c:v>9.1490327877886596E-123</c:v>
                </c:pt>
                <c:pt idx="99">
                  <c:v>-5.2929532933020096E-124</c:v>
                </c:pt>
              </c:numCache>
            </c:numRef>
          </c:yVal>
          <c:smooth val="0"/>
          <c:extLst>
            <c:ext xmlns:c16="http://schemas.microsoft.com/office/drawing/2014/chart" uri="{C3380CC4-5D6E-409C-BE32-E72D297353CC}">
              <c16:uniqueId val="{00000029-CF86-4C2E-BF49-1F263FBF5A1F}"/>
            </c:ext>
          </c:extLst>
        </c:ser>
        <c:ser>
          <c:idx val="42"/>
          <c:order val="42"/>
          <c:tx>
            <c:strRef>
              <c:f>dynamicR!$AZ$19</c:f>
              <c:strCache>
                <c:ptCount val="1"/>
                <c:pt idx="0">
                  <c:v>s3RP</c:v>
                </c:pt>
              </c:strCache>
            </c:strRef>
          </c:tx>
          <c:spPr>
            <a:ln w="19050" cap="rnd">
              <a:solidFill>
                <a:schemeClr val="accent1">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dynamicR!$AZ$20:$AZ$119</c:f>
              <c:numCache>
                <c:formatCode>0.00</c:formatCode>
                <c:ptCount val="100"/>
                <c:pt idx="0">
                  <c:v>0</c:v>
                </c:pt>
                <c:pt idx="1">
                  <c:v>1</c:v>
                </c:pt>
                <c:pt idx="2">
                  <c:v>1</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0.999999999999999</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2.0178677901217001E-89</c:v>
                </c:pt>
                <c:pt idx="52">
                  <c:v>-4.8610821854109599E-91</c:v>
                </c:pt>
                <c:pt idx="53">
                  <c:v>1.64634247252788E-90</c:v>
                </c:pt>
                <c:pt idx="54">
                  <c:v>-2.1649267507295298E-89</c:v>
                </c:pt>
                <c:pt idx="55">
                  <c:v>1.3628721766021001E-89</c:v>
                </c:pt>
                <c:pt idx="56">
                  <c:v>-4.4431924778936401E-89</c:v>
                </c:pt>
                <c:pt idx="57">
                  <c:v>1.2948500982931899E-89</c:v>
                </c:pt>
                <c:pt idx="58">
                  <c:v>-2.4106650823751699E-90</c:v>
                </c:pt>
                <c:pt idx="59">
                  <c:v>-1.4684886946861201E-91</c:v>
                </c:pt>
                <c:pt idx="60">
                  <c:v>2.7247874261505699E-91</c:v>
                </c:pt>
                <c:pt idx="61">
                  <c:v>-1.2967690698900301E-91</c:v>
                </c:pt>
                <c:pt idx="62">
                  <c:v>-3.2246423211106698E-90</c:v>
                </c:pt>
                <c:pt idx="63">
                  <c:v>-2.5044000682447702E-90</c:v>
                </c:pt>
                <c:pt idx="64">
                  <c:v>2.0302077422226201E-90</c:v>
                </c:pt>
                <c:pt idx="65">
                  <c:v>4.6434099978785199E-91</c:v>
                </c:pt>
                <c:pt idx="66">
                  <c:v>-3.2437006117219301E-90</c:v>
                </c:pt>
                <c:pt idx="67">
                  <c:v>1.04849828237179E-90</c:v>
                </c:pt>
                <c:pt idx="68">
                  <c:v>3.5600984550805299E-90</c:v>
                </c:pt>
                <c:pt idx="69">
                  <c:v>-3.04955493737849E-90</c:v>
                </c:pt>
                <c:pt idx="70">
                  <c:v>-2.8417167963814101E-90</c:v>
                </c:pt>
                <c:pt idx="71">
                  <c:v>5.2082080905649797E-90</c:v>
                </c:pt>
                <c:pt idx="72">
                  <c:v>8.6528733485112696E-91</c:v>
                </c:pt>
                <c:pt idx="73">
                  <c:v>-6.8837929691663E-90</c:v>
                </c:pt>
                <c:pt idx="74">
                  <c:v>2.4400153614444299E-90</c:v>
                </c:pt>
                <c:pt idx="75">
                  <c:v>7.0417421544030798E-90</c:v>
                </c:pt>
                <c:pt idx="76">
                  <c:v>-6.80290101116445E-90</c:v>
                </c:pt>
                <c:pt idx="77">
                  <c:v>4.8766899968238996E-90</c:v>
                </c:pt>
                <c:pt idx="78">
                  <c:v>-1.9066560246277699E-90</c:v>
                </c:pt>
                <c:pt idx="79">
                  <c:v>4.4120217730406899E-91</c:v>
                </c:pt>
                <c:pt idx="80">
                  <c:v>-4.1762172300137299E-92</c:v>
                </c:pt>
                <c:pt idx="81">
                  <c:v>-6.1430807587875702E-96</c:v>
                </c:pt>
                <c:pt idx="82">
                  <c:v>1.9073113033764201E-96</c:v>
                </c:pt>
                <c:pt idx="83">
                  <c:v>-4.0583445381627699E-97</c:v>
                </c:pt>
                <c:pt idx="84">
                  <c:v>5.3156359439884198E-98</c:v>
                </c:pt>
                <c:pt idx="85">
                  <c:v>-3.1558536070084801E-99</c:v>
                </c:pt>
                <c:pt idx="86">
                  <c:v>-1.9864153401837601E-102</c:v>
                </c:pt>
                <c:pt idx="87">
                  <c:v>4.0951104508099901E-103</c:v>
                </c:pt>
                <c:pt idx="88">
                  <c:v>-5.9860483244100699E-104</c:v>
                </c:pt>
                <c:pt idx="89">
                  <c:v>5.5147710632023602E-105</c:v>
                </c:pt>
                <c:pt idx="90">
                  <c:v>-2.3736594324176302E-106</c:v>
                </c:pt>
                <c:pt idx="91">
                  <c:v>-4.3061778063757601E-109</c:v>
                </c:pt>
                <c:pt idx="92">
                  <c:v>6.67411830187732E-110</c:v>
                </c:pt>
                <c:pt idx="93">
                  <c:v>-7.4406554916314906E-111</c:v>
                </c:pt>
                <c:pt idx="94">
                  <c:v>5.2919532499748399E-112</c:v>
                </c:pt>
                <c:pt idx="95">
                  <c:v>-1.7669153652039399E-113</c:v>
                </c:pt>
                <c:pt idx="96">
                  <c:v>-7.4612335441432499E-116</c:v>
                </c:pt>
                <c:pt idx="97">
                  <c:v>9.2755101663044793E-117</c:v>
                </c:pt>
                <c:pt idx="98">
                  <c:v>-8.3593612950375997E-118</c:v>
                </c:pt>
                <c:pt idx="99">
                  <c:v>4.8316309965930899E-119</c:v>
                </c:pt>
              </c:numCache>
            </c:numRef>
          </c:yVal>
          <c:smooth val="0"/>
          <c:extLst>
            <c:ext xmlns:c16="http://schemas.microsoft.com/office/drawing/2014/chart" uri="{C3380CC4-5D6E-409C-BE32-E72D297353CC}">
              <c16:uniqueId val="{0000002A-CF86-4C2E-BF49-1F263FBF5A1F}"/>
            </c:ext>
          </c:extLst>
        </c:ser>
        <c:ser>
          <c:idx val="43"/>
          <c:order val="43"/>
          <c:tx>
            <c:strRef>
              <c:f>dynamicR!$BA$19</c:f>
              <c:strCache>
                <c:ptCount val="1"/>
                <c:pt idx="0">
                  <c:v>aCG</c:v>
                </c:pt>
              </c:strCache>
            </c:strRef>
          </c:tx>
          <c:spPr>
            <a:ln w="19050" cap="rnd">
              <a:solidFill>
                <a:schemeClr val="accent2">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dynamicR!$BA$20:$BA$119</c:f>
              <c:numCache>
                <c:formatCode>0.00</c:formatCode>
                <c:ptCount val="100"/>
                <c:pt idx="0">
                  <c:v>0</c:v>
                </c:pt>
                <c:pt idx="1">
                  <c:v>2.0752011463963299E-2</c:v>
                </c:pt>
                <c:pt idx="2">
                  <c:v>4.0327306565499099E-2</c:v>
                </c:pt>
                <c:pt idx="3">
                  <c:v>5.9511288225796398E-2</c:v>
                </c:pt>
                <c:pt idx="4">
                  <c:v>7.8311784439097906E-2</c:v>
                </c:pt>
                <c:pt idx="5">
                  <c:v>9.6736457879026003E-2</c:v>
                </c:pt>
                <c:pt idx="6">
                  <c:v>0.11479281833077</c:v>
                </c:pt>
                <c:pt idx="7">
                  <c:v>0.132488228250282</c:v>
                </c:pt>
                <c:pt idx="8">
                  <c:v>0.14982990408563099</c:v>
                </c:pt>
                <c:pt idx="9">
                  <c:v>0.16682491767860799</c:v>
                </c:pt>
                <c:pt idx="10">
                  <c:v>0.18348019891003201</c:v>
                </c:pt>
                <c:pt idx="11">
                  <c:v>0.19980253890417499</c:v>
                </c:pt>
                <c:pt idx="12">
                  <c:v>0.21579859302436599</c:v>
                </c:pt>
                <c:pt idx="13">
                  <c:v>0.231474883478059</c:v>
                </c:pt>
                <c:pt idx="14">
                  <c:v>0.24683780244369799</c:v>
                </c:pt>
                <c:pt idx="15">
                  <c:v>0.26189361462167299</c:v>
                </c:pt>
                <c:pt idx="16">
                  <c:v>0.27664845932738602</c:v>
                </c:pt>
                <c:pt idx="17">
                  <c:v>0.29110835284660402</c:v>
                </c:pt>
                <c:pt idx="18">
                  <c:v>0.30527919113462498</c:v>
                </c:pt>
                <c:pt idx="19">
                  <c:v>0.31916675241522002</c:v>
                </c:pt>
                <c:pt idx="20">
                  <c:v>0.33277669949563699</c:v>
                </c:pt>
                <c:pt idx="21">
                  <c:v>0.34611458195859901</c:v>
                </c:pt>
                <c:pt idx="22">
                  <c:v>0.35918583839426199</c:v>
                </c:pt>
                <c:pt idx="23">
                  <c:v>0.371995798666021</c:v>
                </c:pt>
                <c:pt idx="24">
                  <c:v>0.38454968611702001</c:v>
                </c:pt>
                <c:pt idx="25">
                  <c:v>0.396852619689466</c:v>
                </c:pt>
                <c:pt idx="26">
                  <c:v>0.40890961599046199</c:v>
                </c:pt>
                <c:pt idx="27">
                  <c:v>0.42072559133526899</c:v>
                </c:pt>
                <c:pt idx="28">
                  <c:v>0.43230536376091599</c:v>
                </c:pt>
                <c:pt idx="29">
                  <c:v>0.44365365499421799</c:v>
                </c:pt>
                <c:pt idx="30">
                  <c:v>0.45477509237760899</c:v>
                </c:pt>
                <c:pt idx="31">
                  <c:v>0.46567421075110499</c:v>
                </c:pt>
                <c:pt idx="32">
                  <c:v>0.476355454300117</c:v>
                </c:pt>
                <c:pt idx="33">
                  <c:v>0.48682317836977801</c:v>
                </c:pt>
                <c:pt idx="34">
                  <c:v>0.49708165124398401</c:v>
                </c:pt>
                <c:pt idx="35">
                  <c:v>0.50713505588250996</c:v>
                </c:pt>
                <c:pt idx="36">
                  <c:v>0.51698749162610302</c:v>
                </c:pt>
                <c:pt idx="37">
                  <c:v>0.52664297586951903</c:v>
                </c:pt>
                <c:pt idx="38">
                  <c:v>0.536105445699116</c:v>
                </c:pt>
                <c:pt idx="39">
                  <c:v>0.54537875949909398</c:v>
                </c:pt>
                <c:pt idx="40">
                  <c:v>0.55446669852372699</c:v>
                </c:pt>
                <c:pt idx="41">
                  <c:v>0.56337296843978002</c:v>
                </c:pt>
                <c:pt idx="42">
                  <c:v>0.57210120090407302</c:v>
                </c:pt>
                <c:pt idx="43">
                  <c:v>0.58065495565413905</c:v>
                </c:pt>
                <c:pt idx="44">
                  <c:v>0.58903772062316995</c:v>
                </c:pt>
                <c:pt idx="45">
                  <c:v>0.59725292021153198</c:v>
                </c:pt>
                <c:pt idx="46">
                  <c:v>0.60530387720458401</c:v>
                </c:pt>
                <c:pt idx="47">
                  <c:v>0.61319390518667505</c:v>
                </c:pt>
                <c:pt idx="48">
                  <c:v>0.62092621203045495</c:v>
                </c:pt>
                <c:pt idx="49">
                  <c:v>0.62850395081335997</c:v>
                </c:pt>
                <c:pt idx="50">
                  <c:v>0.62850395081335997</c:v>
                </c:pt>
                <c:pt idx="51">
                  <c:v>0.61517785932373203</c:v>
                </c:pt>
                <c:pt idx="52">
                  <c:v>0.60287984899670299</c:v>
                </c:pt>
                <c:pt idx="53">
                  <c:v>0.59082809781505896</c:v>
                </c:pt>
                <c:pt idx="54">
                  <c:v>0.57901752241672699</c:v>
                </c:pt>
                <c:pt idx="55">
                  <c:v>0.56744299070316995</c:v>
                </c:pt>
                <c:pt idx="56">
                  <c:v>0.55609977589734105</c:v>
                </c:pt>
                <c:pt idx="57">
                  <c:v>0.54498329171377402</c:v>
                </c:pt>
                <c:pt idx="58">
                  <c:v>0.53408902262418101</c:v>
                </c:pt>
                <c:pt idx="59">
                  <c:v>0.52341253230288998</c:v>
                </c:pt>
                <c:pt idx="60">
                  <c:v>0.51294946001112396</c:v>
                </c:pt>
                <c:pt idx="61">
                  <c:v>0.50269553157240898</c:v>
                </c:pt>
                <c:pt idx="62">
                  <c:v>0.49264657377245102</c:v>
                </c:pt>
                <c:pt idx="63">
                  <c:v>0.48279849838621097</c:v>
                </c:pt>
                <c:pt idx="64">
                  <c:v>0.47314729132933497</c:v>
                </c:pt>
                <c:pt idx="65">
                  <c:v>0.46368901477125801</c:v>
                </c:pt>
                <c:pt idx="66">
                  <c:v>0.45441981008704202</c:v>
                </c:pt>
                <c:pt idx="67">
                  <c:v>0.44533589739252599</c:v>
                </c:pt>
                <c:pt idx="68">
                  <c:v>0.436433573097807</c:v>
                </c:pt>
                <c:pt idx="69">
                  <c:v>0.42770920754373998</c:v>
                </c:pt>
                <c:pt idx="70">
                  <c:v>0.41915924334435301</c:v>
                </c:pt>
                <c:pt idx="71">
                  <c:v>0.41078019410943301</c:v>
                </c:pt>
                <c:pt idx="72">
                  <c:v>0.40256864317011398</c:v>
                </c:pt>
                <c:pt idx="73">
                  <c:v>0.39452124220930102</c:v>
                </c:pt>
                <c:pt idx="74">
                  <c:v>0.38663470986376602</c:v>
                </c:pt>
                <c:pt idx="75">
                  <c:v>0.37890583041993697</c:v>
                </c:pt>
                <c:pt idx="76">
                  <c:v>0.37133145249449101</c:v>
                </c:pt>
                <c:pt idx="77">
                  <c:v>0.36390848752983801</c:v>
                </c:pt>
                <c:pt idx="78">
                  <c:v>0.35663390859809002</c:v>
                </c:pt>
                <c:pt idx="79">
                  <c:v>0.34950474937088799</c:v>
                </c:pt>
                <c:pt idx="80">
                  <c:v>0.34251810294181401</c:v>
                </c:pt>
                <c:pt idx="81">
                  <c:v>0.33567112052606501</c:v>
                </c:pt>
                <c:pt idx="82">
                  <c:v>0.328961010225651</c:v>
                </c:pt>
                <c:pt idx="83">
                  <c:v>0.32238503592022499</c:v>
                </c:pt>
                <c:pt idx="84">
                  <c:v>0.31594051620004798</c:v>
                </c:pt>
                <c:pt idx="85">
                  <c:v>0.30962482328036101</c:v>
                </c:pt>
                <c:pt idx="86">
                  <c:v>0.30343538190677</c:v>
                </c:pt>
                <c:pt idx="87">
                  <c:v>0.29736966829377498</c:v>
                </c:pt>
                <c:pt idx="88">
                  <c:v>0.29142520910161801</c:v>
                </c:pt>
                <c:pt idx="89">
                  <c:v>0.28559958043617201</c:v>
                </c:pt>
                <c:pt idx="90">
                  <c:v>0.27989040686121902</c:v>
                </c:pt>
                <c:pt idx="91">
                  <c:v>0.27429536042588099</c:v>
                </c:pt>
                <c:pt idx="92">
                  <c:v>0.26881215971344502</c:v>
                </c:pt>
                <c:pt idx="93">
                  <c:v>0.26343856891178202</c:v>
                </c:pt>
                <c:pt idx="94">
                  <c:v>0.25817239690410199</c:v>
                </c:pt>
                <c:pt idx="95">
                  <c:v>0.25301149637484499</c:v>
                </c:pt>
                <c:pt idx="96">
                  <c:v>0.24795376293336299</c:v>
                </c:pt>
                <c:pt idx="97">
                  <c:v>0.242997134255622</c:v>
                </c:pt>
                <c:pt idx="98">
                  <c:v>0.238139589244069</c:v>
                </c:pt>
                <c:pt idx="99">
                  <c:v>0.23337914720294101</c:v>
                </c:pt>
              </c:numCache>
            </c:numRef>
          </c:yVal>
          <c:smooth val="0"/>
          <c:extLst>
            <c:ext xmlns:c16="http://schemas.microsoft.com/office/drawing/2014/chart" uri="{C3380CC4-5D6E-409C-BE32-E72D297353CC}">
              <c16:uniqueId val="{0000002B-CF86-4C2E-BF49-1F263FBF5A1F}"/>
            </c:ext>
          </c:extLst>
        </c:ser>
        <c:ser>
          <c:idx val="44"/>
          <c:order val="44"/>
          <c:tx>
            <c:strRef>
              <c:f>dynamicR!$BB$19</c:f>
              <c:strCache>
                <c:ptCount val="1"/>
                <c:pt idx="0">
                  <c:v>aCS</c:v>
                </c:pt>
              </c:strCache>
            </c:strRef>
          </c:tx>
          <c:spPr>
            <a:ln w="19050" cap="rnd">
              <a:solidFill>
                <a:schemeClr val="accent3">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dynamicR!$BB$20:$BB$119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1</c:v>
                </c:pt>
                <c:pt idx="21">
                  <c:v>1</c:v>
                </c:pt>
                <c:pt idx="22">
                  <c:v>0.999999999999999</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-3.2745450075095699E-214</c:v>
                </c:pt>
                <c:pt idx="52">
                  <c:v>7.8883829958816201E-216</c:v>
                </c:pt>
                <c:pt idx="53">
                  <c:v>-2.6716835664569098E-215</c:v>
                </c:pt>
                <c:pt idx="54">
                  <c:v>3.5131865187984102E-214</c:v>
                </c:pt>
                <c:pt idx="55">
                  <c:v>-2.2116401865383301E-214</c:v>
                </c:pt>
                <c:pt idx="56">
                  <c:v>7.2103222808071696E-214</c:v>
                </c:pt>
                <c:pt idx="57">
                  <c:v>-2.1012647022154499E-214</c:v>
                </c:pt>
                <c:pt idx="58">
                  <c:v>3.9120409182293499E-215</c:v>
                </c:pt>
                <c:pt idx="59">
                  <c:v>2.3828111313990201E-216</c:v>
                </c:pt>
                <c:pt idx="60">
                  <c:v>-4.4215341394189603E-216</c:v>
                </c:pt>
                <c:pt idx="61">
                  <c:v>2.1047288942939199E-216</c:v>
                </c:pt>
                <c:pt idx="62">
                  <c:v>5.2328866077556395E-215</c:v>
                </c:pt>
                <c:pt idx="63">
                  <c:v>4.0641021486572101E-215</c:v>
                </c:pt>
                <c:pt idx="64">
                  <c:v>-3.2945492963619299E-215</c:v>
                </c:pt>
                <c:pt idx="65">
                  <c:v>-7.5353057434678798E-216</c:v>
                </c:pt>
                <c:pt idx="66">
                  <c:v>5.2637881716610096E-215</c:v>
                </c:pt>
                <c:pt idx="67">
                  <c:v>-1.7014642002258301E-215</c:v>
                </c:pt>
                <c:pt idx="68">
                  <c:v>-5.7772393096184799E-215</c:v>
                </c:pt>
                <c:pt idx="69">
                  <c:v>4.9487314342396996E-215</c:v>
                </c:pt>
                <c:pt idx="70">
                  <c:v>4.61147270938984E-215</c:v>
                </c:pt>
                <c:pt idx="71">
                  <c:v>-8.4517479977784503E-215</c:v>
                </c:pt>
                <c:pt idx="72">
                  <c:v>-1.40417089067029E-215</c:v>
                </c:pt>
                <c:pt idx="73">
                  <c:v>1.11708547531615E-214</c:v>
                </c:pt>
                <c:pt idx="74">
                  <c:v>-3.9596030329443298E-215</c:v>
                </c:pt>
                <c:pt idx="75">
                  <c:v>-1.14271748154172E-214</c:v>
                </c:pt>
                <c:pt idx="76">
                  <c:v>1.1039599636652099E-214</c:v>
                </c:pt>
                <c:pt idx="77">
                  <c:v>-7.9138116058675298E-215</c:v>
                </c:pt>
                <c:pt idx="78">
                  <c:v>3.0941233227425201E-215</c:v>
                </c:pt>
                <c:pt idx="79">
                  <c:v>-7.16010661681043E-216</c:v>
                </c:pt>
                <c:pt idx="80">
                  <c:v>6.7793026564143403E-217</c:v>
                </c:pt>
                <c:pt idx="81">
                  <c:v>3.6192982980331202E-222</c:v>
                </c:pt>
                <c:pt idx="82">
                  <c:v>-1.12375128022458E-222</c:v>
                </c:pt>
                <c:pt idx="83">
                  <c:v>2.3912637470886101E-223</c:v>
                </c:pt>
                <c:pt idx="84">
                  <c:v>-3.1329158433784802E-224</c:v>
                </c:pt>
                <c:pt idx="85">
                  <c:v>1.8634168715211201E-225</c:v>
                </c:pt>
                <c:pt idx="86">
                  <c:v>4.2124343582438099E-230</c:v>
                </c:pt>
                <c:pt idx="87">
                  <c:v>-8.7607450111695998E-231</c:v>
                </c:pt>
                <c:pt idx="88">
                  <c:v>1.2809471778071199E-231</c:v>
                </c:pt>
                <c:pt idx="89">
                  <c:v>-1.1813184446314399E-232</c:v>
                </c:pt>
                <c:pt idx="90">
                  <c:v>5.12109215299565E-234</c:v>
                </c:pt>
                <c:pt idx="91">
                  <c:v>3.3255833186905398E-238</c:v>
                </c:pt>
                <c:pt idx="92">
                  <c:v>-5.1853531067362902E-239</c:v>
                </c:pt>
                <c:pt idx="93">
                  <c:v>5.7853195827178195E-240</c:v>
                </c:pt>
                <c:pt idx="94">
                  <c:v>-4.1269311227010503E-241</c:v>
                </c:pt>
                <c:pt idx="95">
                  <c:v>1.4068692757142499E-242</c:v>
                </c:pt>
                <c:pt idx="96">
                  <c:v>2.10003413775384E-246</c:v>
                </c:pt>
                <c:pt idx="97">
                  <c:v>-2.6180741732397899E-247</c:v>
                </c:pt>
                <c:pt idx="98">
                  <c:v>2.3637788023102999E-248</c:v>
                </c:pt>
                <c:pt idx="99">
                  <c:v>-1.3760350032295799E-249</c:v>
                </c:pt>
              </c:numCache>
            </c:numRef>
          </c:yVal>
          <c:smooth val="0"/>
          <c:extLst>
            <c:ext xmlns:c16="http://schemas.microsoft.com/office/drawing/2014/chart" uri="{C3380CC4-5D6E-409C-BE32-E72D297353CC}">
              <c16:uniqueId val="{0000002C-CF86-4C2E-BF49-1F263FBF5A1F}"/>
            </c:ext>
          </c:extLst>
        </c:ser>
        <c:ser>
          <c:idx val="45"/>
          <c:order val="45"/>
          <c:tx>
            <c:strRef>
              <c:f>dynamicR!$BC$19</c:f>
              <c:strCache>
                <c:ptCount val="1"/>
                <c:pt idx="0">
                  <c:v>aCA</c:v>
                </c:pt>
              </c:strCache>
            </c:strRef>
          </c:tx>
          <c:spPr>
            <a:ln w="19050" cap="rnd">
              <a:solidFill>
                <a:schemeClr val="accent4">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dynamicR!$BC$20:$BC$119</c:f>
              <c:numCache>
                <c:formatCode>0.00</c:formatCode>
                <c:ptCount val="100"/>
                <c:pt idx="0">
                  <c:v>0</c:v>
                </c:pt>
                <c:pt idx="1">
                  <c:v>1</c:v>
                </c:pt>
                <c:pt idx="2">
                  <c:v>0.999999999999998</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0.999999999999998</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-1.25791017005755E-100</c:v>
                </c:pt>
                <c:pt idx="52">
                  <c:v>3.0303234120971299E-102</c:v>
                </c:pt>
                <c:pt idx="53">
                  <c:v>-1.02631086536002E-101</c:v>
                </c:pt>
                <c:pt idx="54">
                  <c:v>1.3495844188243299E-100</c:v>
                </c:pt>
                <c:pt idx="55">
                  <c:v>-8.4959578392560695E-101</c:v>
                </c:pt>
                <c:pt idx="56">
                  <c:v>2.7698254813541901E-100</c:v>
                </c:pt>
                <c:pt idx="57">
                  <c:v>-8.0719274781941903E-101</c:v>
                </c:pt>
                <c:pt idx="58">
                  <c:v>1.50278236558759E-101</c:v>
                </c:pt>
                <c:pt idx="59">
                  <c:v>9.1541205404421902E-103</c:v>
                </c:pt>
                <c:pt idx="60">
                  <c:v>-1.6985743996712401E-102</c:v>
                </c:pt>
                <c:pt idx="61">
                  <c:v>8.0842636865987896E-103</c:v>
                </c:pt>
                <c:pt idx="62">
                  <c:v>2.0101982521842901E-101</c:v>
                </c:pt>
                <c:pt idx="63">
                  <c:v>1.56121014016546E-101</c:v>
                </c:pt>
                <c:pt idx="64">
                  <c:v>-1.26560051346546E-101</c:v>
                </c:pt>
                <c:pt idx="65">
                  <c:v>-2.8946463019800199E-102</c:v>
                </c:pt>
                <c:pt idx="66">
                  <c:v>2.02207617265649E-101</c:v>
                </c:pt>
                <c:pt idx="67">
                  <c:v>-6.53617639715206E-102</c:v>
                </c:pt>
                <c:pt idx="68">
                  <c:v>-2.2193150291322301E-101</c:v>
                </c:pt>
                <c:pt idx="69">
                  <c:v>1.9010482956671701E-101</c:v>
                </c:pt>
                <c:pt idx="70">
                  <c:v>1.77148662865295E-101</c:v>
                </c:pt>
                <c:pt idx="71">
                  <c:v>-3.2467229825171999E-101</c:v>
                </c:pt>
                <c:pt idx="72">
                  <c:v>-5.3940832540438499E-102</c:v>
                </c:pt>
                <c:pt idx="73">
                  <c:v>4.2912598863563799E-101</c:v>
                </c:pt>
                <c:pt idx="74">
                  <c:v>-1.5210717878074599E-101</c:v>
                </c:pt>
                <c:pt idx="75">
                  <c:v>-4.3897236067054598E-101</c:v>
                </c:pt>
                <c:pt idx="76">
                  <c:v>4.2408345143185702E-101</c:v>
                </c:pt>
                <c:pt idx="77">
                  <c:v>-3.0400638725373199E-101</c:v>
                </c:pt>
                <c:pt idx="78">
                  <c:v>1.18858766240795E-101</c:v>
                </c:pt>
                <c:pt idx="79">
                  <c:v>-2.7504333064294498E-102</c:v>
                </c:pt>
                <c:pt idx="80">
                  <c:v>2.6036338985027801E-103</c:v>
                </c:pt>
                <c:pt idx="81">
                  <c:v>2.80440933932925E-107</c:v>
                </c:pt>
                <c:pt idx="82">
                  <c:v>-8.7072227498804707E-108</c:v>
                </c:pt>
                <c:pt idx="83">
                  <c:v>1.8527434083954399E-108</c:v>
                </c:pt>
                <c:pt idx="84">
                  <c:v>-2.4269088537886902E-109</c:v>
                </c:pt>
                <c:pt idx="85">
                  <c:v>1.44157508950081E-110</c:v>
                </c:pt>
                <c:pt idx="86">
                  <c:v>6.64089841004514E-114</c:v>
                </c:pt>
                <c:pt idx="87">
                  <c:v>-1.36909912278082E-114</c:v>
                </c:pt>
                <c:pt idx="88">
                  <c:v>2.0014351794011801E-115</c:v>
                </c:pt>
                <c:pt idx="89">
                  <c:v>-1.84439239144494E-116</c:v>
                </c:pt>
                <c:pt idx="90">
                  <c:v>7.9544348132646302E-118</c:v>
                </c:pt>
                <c:pt idx="91">
                  <c:v>1.05429588134046E-120</c:v>
                </c:pt>
                <c:pt idx="92">
                  <c:v>-1.6341699839676201E-121</c:v>
                </c:pt>
                <c:pt idx="93">
                  <c:v>1.8222442741323801E-122</c:v>
                </c:pt>
                <c:pt idx="94">
                  <c:v>-1.29709467374712E-123</c:v>
                </c:pt>
                <c:pt idx="95">
                  <c:v>4.3561677597747301E-125</c:v>
                </c:pt>
                <c:pt idx="96">
                  <c:v>1.33787276399478E-127</c:v>
                </c:pt>
                <c:pt idx="97">
                  <c:v>-1.6634780598932501E-128</c:v>
                </c:pt>
                <c:pt idx="98">
                  <c:v>1.49993273537012E-129</c:v>
                </c:pt>
                <c:pt idx="99">
                  <c:v>-8.6867575211741596E-131</c:v>
                </c:pt>
              </c:numCache>
            </c:numRef>
          </c:yVal>
          <c:smooth val="0"/>
          <c:extLst>
            <c:ext xmlns:c16="http://schemas.microsoft.com/office/drawing/2014/chart" uri="{C3380CC4-5D6E-409C-BE32-E72D297353CC}">
              <c16:uniqueId val="{0000002D-CF86-4C2E-BF49-1F263FBF5A1F}"/>
            </c:ext>
          </c:extLst>
        </c:ser>
        <c:ser>
          <c:idx val="46"/>
          <c:order val="46"/>
          <c:tx>
            <c:strRef>
              <c:f>dynamicR!$BD$19</c:f>
              <c:strCache>
                <c:ptCount val="1"/>
                <c:pt idx="0">
                  <c:v>aCP</c:v>
                </c:pt>
              </c:strCache>
            </c:strRef>
          </c:tx>
          <c:spPr>
            <a:ln w="19050" cap="rnd">
              <a:solidFill>
                <a:schemeClr val="accent5">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dynamicR!$BD$20:$BD$119</c:f>
              <c:numCache>
                <c:formatCode>0.00</c:formatCode>
                <c:ptCount val="100"/>
                <c:pt idx="0">
                  <c:v>0</c:v>
                </c:pt>
                <c:pt idx="1">
                  <c:v>1</c:v>
                </c:pt>
                <c:pt idx="2">
                  <c:v>0.999999999999998</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-2.7710876635363001E-214</c:v>
                </c:pt>
                <c:pt idx="52">
                  <c:v>6.6755535207046305E-216</c:v>
                </c:pt>
                <c:pt idx="53">
                  <c:v>-2.2609154173342599E-215</c:v>
                </c:pt>
                <c:pt idx="54">
                  <c:v>2.9730383134784898E-214</c:v>
                </c:pt>
                <c:pt idx="55">
                  <c:v>-1.87160316906028E-214</c:v>
                </c:pt>
                <c:pt idx="56">
                  <c:v>6.10174389876993E-214</c:v>
                </c:pt>
                <c:pt idx="57">
                  <c:v>-1.7781977804258501E-214</c:v>
                </c:pt>
                <c:pt idx="58">
                  <c:v>3.3105693298772801E-215</c:v>
                </c:pt>
                <c:pt idx="59">
                  <c:v>2.0164567844235199E-216</c:v>
                </c:pt>
                <c:pt idx="60">
                  <c:v>-3.7417285807931099E-216</c:v>
                </c:pt>
                <c:pt idx="61">
                  <c:v>1.7811293569763801E-216</c:v>
                </c:pt>
                <c:pt idx="62">
                  <c:v>4.4283365824823202E-215</c:v>
                </c:pt>
                <c:pt idx="63">
                  <c:v>3.4392513289260601E-215</c:v>
                </c:pt>
                <c:pt idx="64">
                  <c:v>-2.7880163025602303E-215</c:v>
                </c:pt>
                <c:pt idx="65">
                  <c:v>-6.3767615439106605E-216</c:v>
                </c:pt>
                <c:pt idx="66">
                  <c:v>4.4544870680853798E-215</c:v>
                </c:pt>
                <c:pt idx="67">
                  <c:v>-1.4398661248416999E-215</c:v>
                </c:pt>
                <c:pt idx="68">
                  <c:v>-4.8889957108225999E-215</c:v>
                </c:pt>
                <c:pt idx="69">
                  <c:v>4.18786992530001E-215</c:v>
                </c:pt>
                <c:pt idx="70">
                  <c:v>3.9024643239628301E-215</c:v>
                </c:pt>
                <c:pt idx="71">
                  <c:v>-7.1523019033155304E-215</c:v>
                </c:pt>
                <c:pt idx="72">
                  <c:v>-1.18828130424133E-215</c:v>
                </c:pt>
                <c:pt idx="73">
                  <c:v>9.4533492638088903E-215</c:v>
                </c:pt>
                <c:pt idx="74">
                  <c:v>-3.3508188266317899E-215</c:v>
                </c:pt>
                <c:pt idx="75">
                  <c:v>-9.6702604246254006E-215</c:v>
                </c:pt>
                <c:pt idx="76">
                  <c:v>9.3422744636761003E-215</c:v>
                </c:pt>
                <c:pt idx="77">
                  <c:v>-6.6970725849855802E-215</c:v>
                </c:pt>
                <c:pt idx="78">
                  <c:v>2.61840558144451E-215</c:v>
                </c:pt>
                <c:pt idx="79">
                  <c:v>-6.05924883193591E-216</c:v>
                </c:pt>
                <c:pt idx="80">
                  <c:v>5.7369930226737198E-217</c:v>
                </c:pt>
                <c:pt idx="81">
                  <c:v>3.0628352599391899E-222</c:v>
                </c:pt>
                <c:pt idx="82">
                  <c:v>-9.5097567170309998E-223</c:v>
                </c:pt>
                <c:pt idx="83">
                  <c:v>2.0236089171473999E-223</c:v>
                </c:pt>
                <c:pt idx="84">
                  <c:v>-2.65123138729284E-224</c:v>
                </c:pt>
                <c:pt idx="85">
                  <c:v>1.5769160235230699E-225</c:v>
                </c:pt>
                <c:pt idx="86">
                  <c:v>3.5808149227835899E-230</c:v>
                </c:pt>
                <c:pt idx="87">
                  <c:v>-7.41378695075539E-231</c:v>
                </c:pt>
                <c:pt idx="88">
                  <c:v>1.08400217941497E-231</c:v>
                </c:pt>
                <c:pt idx="89">
                  <c:v>-9.9969097314040499E-233</c:v>
                </c:pt>
                <c:pt idx="90">
                  <c:v>4.3337231142865099E-234</c:v>
                </c:pt>
                <c:pt idx="91">
                  <c:v>2.8136298048817499E-238</c:v>
                </c:pt>
                <c:pt idx="92">
                  <c:v>-4.3881077238645603E-239</c:v>
                </c:pt>
                <c:pt idx="93">
                  <c:v>4.8958266529426503E-240</c:v>
                </c:pt>
                <c:pt idx="94">
                  <c:v>-3.4924151906183403E-241</c:v>
                </c:pt>
                <c:pt idx="95">
                  <c:v>1.1905639732407901E-242</c:v>
                </c:pt>
                <c:pt idx="96">
                  <c:v>1.77860866857567E-246</c:v>
                </c:pt>
                <c:pt idx="97">
                  <c:v>-2.2155468848717299E-247</c:v>
                </c:pt>
                <c:pt idx="98">
                  <c:v>2.0003475460091701E-248</c:v>
                </c:pt>
                <c:pt idx="99">
                  <c:v>-1.1644689065518701E-249</c:v>
                </c:pt>
              </c:numCache>
            </c:numRef>
          </c:yVal>
          <c:smooth val="0"/>
          <c:extLst>
            <c:ext xmlns:c16="http://schemas.microsoft.com/office/drawing/2014/chart" uri="{C3380CC4-5D6E-409C-BE32-E72D297353CC}">
              <c16:uniqueId val="{0000002E-CF86-4C2E-BF49-1F263FBF5A1F}"/>
            </c:ext>
          </c:extLst>
        </c:ser>
        <c:ser>
          <c:idx val="47"/>
          <c:order val="47"/>
          <c:tx>
            <c:strRef>
              <c:f>dynamicR!$BE$19</c:f>
              <c:strCache>
                <c:ptCount val="1"/>
                <c:pt idx="0">
                  <c:v>cwCS</c:v>
                </c:pt>
              </c:strCache>
            </c:strRef>
          </c:tx>
          <c:spPr>
            <a:ln w="19050" cap="rnd">
              <a:solidFill>
                <a:schemeClr val="accent6">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dynamicR!$BE$20:$BE$119</c:f>
              <c:numCache>
                <c:formatCode>0.00</c:formatCode>
                <c:ptCount val="100"/>
                <c:pt idx="0">
                  <c:v>0</c:v>
                </c:pt>
                <c:pt idx="1">
                  <c:v>1</c:v>
                </c:pt>
                <c:pt idx="2">
                  <c:v>0.999999999999998</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1</c:v>
                </c:pt>
                <c:pt idx="21">
                  <c:v>1</c:v>
                </c:pt>
                <c:pt idx="22">
                  <c:v>0.999999999999999</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-5.21655206490942E-214</c:v>
                </c:pt>
                <c:pt idx="52">
                  <c:v>1.25666806059648E-215</c:v>
                </c:pt>
                <c:pt idx="53">
                  <c:v>-4.2561566702185799E-215</c:v>
                </c:pt>
                <c:pt idx="54">
                  <c:v>5.5967227259263003E-214</c:v>
                </c:pt>
                <c:pt idx="55">
                  <c:v>-3.5232791682548101E-214</c:v>
                </c:pt>
                <c:pt idx="56">
                  <c:v>1.14864879328486E-213</c:v>
                </c:pt>
                <c:pt idx="57">
                  <c:v>-3.3474442204792402E-214</c:v>
                </c:pt>
                <c:pt idx="58">
                  <c:v>6.2321223733220703E-215</c:v>
                </c:pt>
                <c:pt idx="59">
                  <c:v>3.7959650407019498E-216</c:v>
                </c:pt>
                <c:pt idx="60">
                  <c:v>-7.0437764866613596E-216</c:v>
                </c:pt>
                <c:pt idx="61">
                  <c:v>3.3529628922801501E-216</c:v>
                </c:pt>
                <c:pt idx="62">
                  <c:v>8.3363109913513598E-215</c:v>
                </c:pt>
                <c:pt idx="63">
                  <c:v>6.4743652884839897E-215</c:v>
                </c:pt>
                <c:pt idx="64">
                  <c:v>-5.2484201492358403E-215</c:v>
                </c:pt>
                <c:pt idx="65">
                  <c:v>-1.20042066264852E-215</c:v>
                </c:pt>
                <c:pt idx="66">
                  <c:v>8.3855390878388305E-215</c:v>
                </c:pt>
                <c:pt idx="67">
                  <c:v>-2.7105373719949299E-215</c:v>
                </c:pt>
                <c:pt idx="68">
                  <c:v>-9.2034984066081303E-215</c:v>
                </c:pt>
                <c:pt idx="69">
                  <c:v>7.8836342808108699E-215</c:v>
                </c:pt>
                <c:pt idx="70">
                  <c:v>7.3463603389815697E-215</c:v>
                </c:pt>
                <c:pt idx="71">
                  <c:v>-1.3464155639373001E-214</c:v>
                </c:pt>
                <c:pt idx="72">
                  <c:v>-2.23693080073285E-215</c:v>
                </c:pt>
                <c:pt idx="73">
                  <c:v>1.7795860342846401E-214</c:v>
                </c:pt>
                <c:pt idx="74">
                  <c:v>-6.3078917544286095E-215</c:v>
                </c:pt>
                <c:pt idx="75">
                  <c:v>-1.8204194005020401E-214</c:v>
                </c:pt>
                <c:pt idx="76">
                  <c:v>1.75867628499239E-214</c:v>
                </c:pt>
                <c:pt idx="77">
                  <c:v>-1.26071898014569E-214</c:v>
                </c:pt>
                <c:pt idx="78">
                  <c:v>4.9291292163194896E-215</c:v>
                </c:pt>
                <c:pt idx="79">
                  <c:v>-1.14064912854212E-215</c:v>
                </c:pt>
                <c:pt idx="80">
                  <c:v>1.0799847098656E-216</c:v>
                </c:pt>
                <c:pt idx="81">
                  <c:v>5.7657653300685398E-222</c:v>
                </c:pt>
                <c:pt idx="82">
                  <c:v>-1.7902050851154201E-222</c:v>
                </c:pt>
                <c:pt idx="83">
                  <c:v>3.8094303305709797E-223</c:v>
                </c:pt>
                <c:pt idx="84">
                  <c:v>-4.9909268147695903E-224</c:v>
                </c:pt>
                <c:pt idx="85">
                  <c:v>2.9685363822033798E-225</c:v>
                </c:pt>
                <c:pt idx="86">
                  <c:v>6.7172881055286204E-230</c:v>
                </c:pt>
                <c:pt idx="87">
                  <c:v>-1.3956405041869999E-230</c:v>
                </c:pt>
                <c:pt idx="88">
                  <c:v>2.0406270781240601E-231</c:v>
                </c:pt>
                <c:pt idx="89">
                  <c:v>-1.8819113025243601E-232</c:v>
                </c:pt>
                <c:pt idx="90">
                  <c:v>8.1582065455843598E-234</c:v>
                </c:pt>
                <c:pt idx="91">
                  <c:v>5.2990955834108598E-238</c:v>
                </c:pt>
                <c:pt idx="92">
                  <c:v>-8.2605835086564493E-239</c:v>
                </c:pt>
                <c:pt idx="93">
                  <c:v>9.2163667007730396E-240</c:v>
                </c:pt>
                <c:pt idx="94">
                  <c:v>-6.5744575930927094E-241</c:v>
                </c:pt>
                <c:pt idx="95">
                  <c:v>2.2412339887942798E-242</c:v>
                </c:pt>
                <c:pt idx="96">
                  <c:v>3.3421253983332998E-246</c:v>
                </c:pt>
                <c:pt idx="97">
                  <c:v>-4.1707539517796198E-247</c:v>
                </c:pt>
                <c:pt idx="98">
                  <c:v>3.76564490508575E-248</c:v>
                </c:pt>
                <c:pt idx="99">
                  <c:v>-2.19210748205729E-249</c:v>
                </c:pt>
              </c:numCache>
            </c:numRef>
          </c:yVal>
          <c:smooth val="0"/>
          <c:extLst>
            <c:ext xmlns:c16="http://schemas.microsoft.com/office/drawing/2014/chart" uri="{C3380CC4-5D6E-409C-BE32-E72D297353CC}">
              <c16:uniqueId val="{0000002F-CF86-4C2E-BF49-1F263FBF5A1F}"/>
            </c:ext>
          </c:extLst>
        </c:ser>
        <c:ser>
          <c:idx val="48"/>
          <c:order val="48"/>
          <c:tx>
            <c:strRef>
              <c:f>dynamicR!$BF$19</c:f>
              <c:strCache>
                <c:ptCount val="1"/>
                <c:pt idx="0">
                  <c:v>cwCA</c:v>
                </c:pt>
              </c:strCache>
            </c:strRef>
          </c:tx>
          <c:spPr>
            <a:ln w="19050" cap="rnd">
              <a:solidFill>
                <a:schemeClr val="accent1">
                  <a:lumMod val="50000"/>
                  <a:lumOff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dynamicR!$BF$20:$BF$119</c:f>
              <c:numCache>
                <c:formatCode>0.00</c:formatCode>
                <c:ptCount val="100"/>
                <c:pt idx="0">
                  <c:v>0</c:v>
                </c:pt>
                <c:pt idx="1">
                  <c:v>1</c:v>
                </c:pt>
                <c:pt idx="2">
                  <c:v>0.999999999999998</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0.999999999999999</c:v>
                </c:pt>
                <c:pt idx="22">
                  <c:v>1</c:v>
                </c:pt>
                <c:pt idx="23">
                  <c:v>0.999999999999998</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-1.28156294936996E-100</c:v>
                </c:pt>
                <c:pt idx="52">
                  <c:v>3.0873033059634999E-102</c:v>
                </c:pt>
                <c:pt idx="53">
                  <c:v>-1.04560883214206E-101</c:v>
                </c:pt>
                <c:pt idx="54">
                  <c:v>1.37496097128982E-100</c:v>
                </c:pt>
                <c:pt idx="55">
                  <c:v>-8.6557093251825497E-101</c:v>
                </c:pt>
                <c:pt idx="56">
                  <c:v>2.8219071595822399E-100</c:v>
                </c:pt>
                <c:pt idx="57">
                  <c:v>-8.2237058240413198E-101</c:v>
                </c:pt>
                <c:pt idx="58">
                  <c:v>1.5310395349476899E-101</c:v>
                </c:pt>
                <c:pt idx="59">
                  <c:v>9.3262476164422009E-103</c:v>
                </c:pt>
                <c:pt idx="60">
                  <c:v>-1.73051309257928E-102</c:v>
                </c:pt>
                <c:pt idx="61">
                  <c:v>8.2362739931990195E-103</c:v>
                </c:pt>
                <c:pt idx="62">
                  <c:v>2.04799648149553E-101</c:v>
                </c:pt>
                <c:pt idx="63">
                  <c:v>1.5905659406776201E-101</c:v>
                </c:pt>
                <c:pt idx="64">
                  <c:v>-1.28939789681926E-101</c:v>
                </c:pt>
                <c:pt idx="65">
                  <c:v>-2.94907501545558E-102</c:v>
                </c:pt>
                <c:pt idx="66">
                  <c:v>2.0600977452928101E-101</c:v>
                </c:pt>
                <c:pt idx="67">
                  <c:v>-6.6590776552790098E-102</c:v>
                </c:pt>
                <c:pt idx="68">
                  <c:v>-2.2610453302574301E-101</c:v>
                </c:pt>
                <c:pt idx="69">
                  <c:v>1.9367941527403401E-101</c:v>
                </c:pt>
                <c:pt idx="70">
                  <c:v>1.80479630730721E-101</c:v>
                </c:pt>
                <c:pt idx="71">
                  <c:v>-3.3077718764110497E-101</c:v>
                </c:pt>
                <c:pt idx="72">
                  <c:v>-5.4955094668757601E-102</c:v>
                </c:pt>
                <c:pt idx="73">
                  <c:v>4.3719494526925898E-101</c:v>
                </c:pt>
                <c:pt idx="74">
                  <c:v>-1.54967285746409E-101</c:v>
                </c:pt>
                <c:pt idx="75">
                  <c:v>-4.4722646094741698E-101</c:v>
                </c:pt>
                <c:pt idx="76">
                  <c:v>4.3205759205549799E-101</c:v>
                </c:pt>
                <c:pt idx="77">
                  <c:v>-3.0972269067057699E-101</c:v>
                </c:pt>
                <c:pt idx="78">
                  <c:v>1.2109369550567799E-101</c:v>
                </c:pt>
                <c:pt idx="79">
                  <c:v>-2.8021503491184902E-102</c:v>
                </c:pt>
                <c:pt idx="80">
                  <c:v>2.6525906374868802E-103</c:v>
                </c:pt>
                <c:pt idx="81">
                  <c:v>2.8571413104035501E-107</c:v>
                </c:pt>
                <c:pt idx="82">
                  <c:v>-8.8709467237174202E-108</c:v>
                </c:pt>
                <c:pt idx="83">
                  <c:v>1.8875809882651601E-108</c:v>
                </c:pt>
                <c:pt idx="84">
                  <c:v>-2.4725426283597302E-109</c:v>
                </c:pt>
                <c:pt idx="85">
                  <c:v>1.4686814488726E-110</c:v>
                </c:pt>
                <c:pt idx="86">
                  <c:v>6.7657178764336004E-114</c:v>
                </c:pt>
                <c:pt idx="87">
                  <c:v>-1.3948426147169199E-114</c:v>
                </c:pt>
                <c:pt idx="88">
                  <c:v>2.0390686447908498E-115</c:v>
                </c:pt>
                <c:pt idx="89">
                  <c:v>-1.8790729567878399E-116</c:v>
                </c:pt>
                <c:pt idx="90">
                  <c:v>8.1040046589732197E-118</c:v>
                </c:pt>
                <c:pt idx="91">
                  <c:v>1.0741181099502E-120</c:v>
                </c:pt>
                <c:pt idx="92">
                  <c:v>-1.6648976875731201E-121</c:v>
                </c:pt>
                <c:pt idx="93">
                  <c:v>1.8565083770895499E-122</c:v>
                </c:pt>
                <c:pt idx="94">
                  <c:v>-1.3214842847550999E-123</c:v>
                </c:pt>
                <c:pt idx="95">
                  <c:v>4.4380779184504298E-125</c:v>
                </c:pt>
                <c:pt idx="96">
                  <c:v>1.36302840046215E-127</c:v>
                </c:pt>
                <c:pt idx="97">
                  <c:v>-1.69475684059203E-128</c:v>
                </c:pt>
                <c:pt idx="98">
                  <c:v>1.528136350202E-129</c:v>
                </c:pt>
                <c:pt idx="99">
                  <c:v>-8.8500970597839002E-131</c:v>
                </c:pt>
              </c:numCache>
            </c:numRef>
          </c:yVal>
          <c:smooth val="0"/>
          <c:extLst>
            <c:ext xmlns:c16="http://schemas.microsoft.com/office/drawing/2014/chart" uri="{C3380CC4-5D6E-409C-BE32-E72D297353CC}">
              <c16:uniqueId val="{00000030-CF86-4C2E-BF49-1F263FBF5A1F}"/>
            </c:ext>
          </c:extLst>
        </c:ser>
        <c:ser>
          <c:idx val="49"/>
          <c:order val="49"/>
          <c:tx>
            <c:strRef>
              <c:f>dynamicR!$BG$19</c:f>
              <c:strCache>
                <c:ptCount val="1"/>
                <c:pt idx="0">
                  <c:v>cwCP</c:v>
                </c:pt>
              </c:strCache>
            </c:strRef>
          </c:tx>
          <c:spPr>
            <a:ln w="19050" cap="rnd">
              <a:solidFill>
                <a:schemeClr val="accent2">
                  <a:lumMod val="50000"/>
                  <a:lumOff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dynamicR!$BG$20:$BG$119</c:f>
              <c:numCache>
                <c:formatCode>0.00</c:formatCode>
                <c:ptCount val="100"/>
                <c:pt idx="0">
                  <c:v>0</c:v>
                </c:pt>
                <c:pt idx="1">
                  <c:v>1</c:v>
                </c:pt>
                <c:pt idx="2">
                  <c:v>0.999999999999999</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0.999999999999999</c:v>
                </c:pt>
                <c:pt idx="18">
                  <c:v>1</c:v>
                </c:pt>
                <c:pt idx="19">
                  <c:v>1</c:v>
                </c:pt>
                <c:pt idx="20">
                  <c:v>0.999999999999998</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-4.4145132887379404E-214</c:v>
                </c:pt>
                <c:pt idx="52">
                  <c:v>1.0634568087664601E-215</c:v>
                </c:pt>
                <c:pt idx="53">
                  <c:v>-3.6017775300400499E-215</c:v>
                </c:pt>
                <c:pt idx="54">
                  <c:v>4.7362332023347603E-214</c:v>
                </c:pt>
                <c:pt idx="55">
                  <c:v>-2.9815791434377902E-214</c:v>
                </c:pt>
                <c:pt idx="56">
                  <c:v>9.7204539383538198E-214</c:v>
                </c:pt>
                <c:pt idx="57">
                  <c:v>-2.83277861313269E-214</c:v>
                </c:pt>
                <c:pt idx="58">
                  <c:v>5.2739408969889098E-215</c:v>
                </c:pt>
                <c:pt idx="59">
                  <c:v>3.2123398855916899E-216</c:v>
                </c:pt>
                <c:pt idx="60">
                  <c:v>-5.9608041461583695E-216</c:v>
                </c:pt>
                <c:pt idx="61">
                  <c:v>2.83744879583385E-216</c:v>
                </c:pt>
                <c:pt idx="62">
                  <c:v>7.0546129927602495E-215</c:v>
                </c:pt>
                <c:pt idx="63">
                  <c:v>5.4789392491953396E-215</c:v>
                </c:pt>
                <c:pt idx="64">
                  <c:v>-4.44148173150913E-215</c:v>
                </c:pt>
                <c:pt idx="65">
                  <c:v>-1.0158573993079701E-215</c:v>
                </c:pt>
                <c:pt idx="66">
                  <c:v>7.09627232738089E-215</c:v>
                </c:pt>
                <c:pt idx="67">
                  <c:v>-2.2937954428137699E-215</c:v>
                </c:pt>
                <c:pt idx="68">
                  <c:v>-7.7884713640680404E-215</c:v>
                </c:pt>
                <c:pt idx="69">
                  <c:v>6.6715347934213303E-215</c:v>
                </c:pt>
                <c:pt idx="70">
                  <c:v>6.2168660874868702E-215</c:v>
                </c:pt>
                <c:pt idx="71">
                  <c:v>-1.13940575643846E-214</c:v>
                </c:pt>
                <c:pt idx="72">
                  <c:v>-1.8930053241924601E-215</c:v>
                </c:pt>
                <c:pt idx="73">
                  <c:v>1.50597677704489E-214</c:v>
                </c:pt>
                <c:pt idx="74">
                  <c:v>-5.3380608249726403E-215</c:v>
                </c:pt>
                <c:pt idx="75">
                  <c:v>-1.5405320612891901E-214</c:v>
                </c:pt>
                <c:pt idx="76">
                  <c:v>1.4882818770843599E-214</c:v>
                </c:pt>
                <c:pt idx="77">
                  <c:v>-1.0668849214938E-214</c:v>
                </c:pt>
                <c:pt idx="78">
                  <c:v>4.1712814035511702E-215</c:v>
                </c:pt>
                <c:pt idx="79">
                  <c:v>-9.6527566818725394E-216</c:v>
                </c:pt>
                <c:pt idx="80">
                  <c:v>9.1393833244756405E-217</c:v>
                </c:pt>
                <c:pt idx="81">
                  <c:v>4.87928556649502E-222</c:v>
                </c:pt>
                <c:pt idx="82">
                  <c:v>-1.5149629308526001E-222</c:v>
                </c:pt>
                <c:pt idx="83">
                  <c:v>3.22373371341734E-223</c:v>
                </c:pt>
                <c:pt idx="84">
                  <c:v>-4.2235743420849102E-224</c:v>
                </c:pt>
                <c:pt idx="85">
                  <c:v>2.51212397639111E-225</c:v>
                </c:pt>
                <c:pt idx="86">
                  <c:v>5.7117608392312498E-230</c:v>
                </c:pt>
                <c:pt idx="87">
                  <c:v>-1.18106172956193E-230</c:v>
                </c:pt>
                <c:pt idx="88">
                  <c:v>1.7268817099251401E-231</c:v>
                </c:pt>
                <c:pt idx="89">
                  <c:v>-1.5925681277518099E-232</c:v>
                </c:pt>
                <c:pt idx="90">
                  <c:v>6.9038731698077295E-234</c:v>
                </c:pt>
                <c:pt idx="91">
                  <c:v>4.4917648092283099E-238</c:v>
                </c:pt>
                <c:pt idx="92">
                  <c:v>-6.9905267922913999E-239</c:v>
                </c:pt>
                <c:pt idx="93">
                  <c:v>7.7993570513297001E-240</c:v>
                </c:pt>
                <c:pt idx="94">
                  <c:v>-5.5636374018822599E-241</c:v>
                </c:pt>
                <c:pt idx="95">
                  <c:v>1.89664469700864E-242</c:v>
                </c:pt>
                <c:pt idx="96">
                  <c:v>2.83087740044602E-246</c:v>
                </c:pt>
                <c:pt idx="97">
                  <c:v>-3.5295016632611999E-247</c:v>
                </c:pt>
                <c:pt idx="98">
                  <c:v>3.1866768718352302E-248</c:v>
                </c:pt>
                <c:pt idx="99">
                  <c:v>-1.8550724233728001E-249</c:v>
                </c:pt>
              </c:numCache>
            </c:numRef>
          </c:yVal>
          <c:smooth val="0"/>
          <c:extLst>
            <c:ext xmlns:c16="http://schemas.microsoft.com/office/drawing/2014/chart" uri="{C3380CC4-5D6E-409C-BE32-E72D297353CC}">
              <c16:uniqueId val="{00000031-CF86-4C2E-BF49-1F263FBF5A1F}"/>
            </c:ext>
          </c:extLst>
        </c:ser>
        <c:ser>
          <c:idx val="50"/>
          <c:order val="50"/>
          <c:tx>
            <c:strRef>
              <c:f>dynamicR!$BH$19</c:f>
              <c:strCache>
                <c:ptCount val="1"/>
                <c:pt idx="0">
                  <c:v>w0CD</c:v>
                </c:pt>
              </c:strCache>
            </c:strRef>
          </c:tx>
          <c:spPr>
            <a:ln w="19050" cap="rnd">
              <a:solidFill>
                <a:schemeClr val="accent3">
                  <a:lumMod val="50000"/>
                  <a:lumOff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dynamicR!$BH$20:$BH$119</c:f>
              <c:numCache>
                <c:formatCode>0.00</c:formatCode>
                <c:ptCount val="100"/>
                <c:pt idx="0">
                  <c:v>0</c:v>
                </c:pt>
                <c:pt idx="1">
                  <c:v>0.999999999999996</c:v>
                </c:pt>
                <c:pt idx="2">
                  <c:v>0.99999999999999001</c:v>
                </c:pt>
                <c:pt idx="3">
                  <c:v>0.99999999999998801</c:v>
                </c:pt>
                <c:pt idx="4">
                  <c:v>0.999999999999996</c:v>
                </c:pt>
                <c:pt idx="5">
                  <c:v>0.999999999999996</c:v>
                </c:pt>
                <c:pt idx="6">
                  <c:v>0.999999999999997</c:v>
                </c:pt>
                <c:pt idx="7">
                  <c:v>0.999999999999996</c:v>
                </c:pt>
                <c:pt idx="8">
                  <c:v>0.999999999999997</c:v>
                </c:pt>
                <c:pt idx="9">
                  <c:v>0.999999999999997</c:v>
                </c:pt>
                <c:pt idx="10">
                  <c:v>0.999999999999997</c:v>
                </c:pt>
                <c:pt idx="11">
                  <c:v>0.999999999999997</c:v>
                </c:pt>
                <c:pt idx="12">
                  <c:v>0.999999999999997</c:v>
                </c:pt>
                <c:pt idx="13">
                  <c:v>0.999999999999997</c:v>
                </c:pt>
                <c:pt idx="14">
                  <c:v>0.999999999999997</c:v>
                </c:pt>
                <c:pt idx="15">
                  <c:v>0.999999999999997</c:v>
                </c:pt>
                <c:pt idx="16">
                  <c:v>0.999999999999997</c:v>
                </c:pt>
                <c:pt idx="17">
                  <c:v>0.999999999999997</c:v>
                </c:pt>
                <c:pt idx="18">
                  <c:v>0.999999999999997</c:v>
                </c:pt>
                <c:pt idx="19">
                  <c:v>0.999999999999998</c:v>
                </c:pt>
                <c:pt idx="20">
                  <c:v>0.999999999999997</c:v>
                </c:pt>
                <c:pt idx="21">
                  <c:v>0.999999999999997</c:v>
                </c:pt>
                <c:pt idx="22">
                  <c:v>0.999999999999999</c:v>
                </c:pt>
                <c:pt idx="23">
                  <c:v>0.999999999999997</c:v>
                </c:pt>
                <c:pt idx="24">
                  <c:v>0.999999999999998</c:v>
                </c:pt>
                <c:pt idx="25">
                  <c:v>0.999999999999997</c:v>
                </c:pt>
                <c:pt idx="26">
                  <c:v>0.999999999999998</c:v>
                </c:pt>
                <c:pt idx="27">
                  <c:v>0.999999999999997</c:v>
                </c:pt>
                <c:pt idx="28">
                  <c:v>0.999999999999998</c:v>
                </c:pt>
                <c:pt idx="29">
                  <c:v>0.999999999999998</c:v>
                </c:pt>
                <c:pt idx="30">
                  <c:v>0.999999999999998</c:v>
                </c:pt>
                <c:pt idx="31">
                  <c:v>0.999999999999998</c:v>
                </c:pt>
                <c:pt idx="32">
                  <c:v>0.999999999999998</c:v>
                </c:pt>
                <c:pt idx="33">
                  <c:v>0.999999999999998</c:v>
                </c:pt>
                <c:pt idx="34">
                  <c:v>0.999999999999998</c:v>
                </c:pt>
                <c:pt idx="35">
                  <c:v>0.999999999999998</c:v>
                </c:pt>
                <c:pt idx="36">
                  <c:v>0.999999999999998</c:v>
                </c:pt>
                <c:pt idx="37">
                  <c:v>0.999999999999998</c:v>
                </c:pt>
                <c:pt idx="38">
                  <c:v>0.999999999999998</c:v>
                </c:pt>
                <c:pt idx="39">
                  <c:v>0.999999999999998</c:v>
                </c:pt>
                <c:pt idx="40">
                  <c:v>0.999999999999998</c:v>
                </c:pt>
                <c:pt idx="41">
                  <c:v>0.999999999999998</c:v>
                </c:pt>
                <c:pt idx="42">
                  <c:v>0.999999999999998</c:v>
                </c:pt>
                <c:pt idx="43">
                  <c:v>0.999999999999998</c:v>
                </c:pt>
                <c:pt idx="44">
                  <c:v>0.999999999999998</c:v>
                </c:pt>
                <c:pt idx="45">
                  <c:v>0.999999999999998</c:v>
                </c:pt>
                <c:pt idx="46">
                  <c:v>0.999999999999998</c:v>
                </c:pt>
                <c:pt idx="47">
                  <c:v>0.999999999999999</c:v>
                </c:pt>
                <c:pt idx="48">
                  <c:v>0.999999999999998</c:v>
                </c:pt>
                <c:pt idx="49">
                  <c:v>0.999999999999999</c:v>
                </c:pt>
                <c:pt idx="50">
                  <c:v>0.999999999999999</c:v>
                </c:pt>
                <c:pt idx="51">
                  <c:v>2.43896970068705E-15</c:v>
                </c:pt>
                <c:pt idx="52">
                  <c:v>2.3902122977607901E-15</c:v>
                </c:pt>
                <c:pt idx="53">
                  <c:v>2.3424312284278399E-15</c:v>
                </c:pt>
                <c:pt idx="54">
                  <c:v>2.29560633815483E-15</c:v>
                </c:pt>
                <c:pt idx="55">
                  <c:v>2.24971728122046E-15</c:v>
                </c:pt>
                <c:pt idx="56">
                  <c:v>2.2047453152331702E-15</c:v>
                </c:pt>
                <c:pt idx="57">
                  <c:v>2.16067226035192E-15</c:v>
                </c:pt>
                <c:pt idx="58">
                  <c:v>2.1174802111591299E-15</c:v>
                </c:pt>
                <c:pt idx="59">
                  <c:v>2.0751515805296001E-15</c:v>
                </c:pt>
                <c:pt idx="60">
                  <c:v>2.0336690793283298E-15</c:v>
                </c:pt>
                <c:pt idx="61">
                  <c:v>1.9930157619233298E-15</c:v>
                </c:pt>
                <c:pt idx="62">
                  <c:v>1.9531750829191198E-15</c:v>
                </c:pt>
                <c:pt idx="63">
                  <c:v>1.91413083400284E-15</c:v>
                </c:pt>
                <c:pt idx="64">
                  <c:v>1.8758671007034801E-15</c:v>
                </c:pt>
                <c:pt idx="65">
                  <c:v>1.83836827071764E-15</c:v>
                </c:pt>
                <c:pt idx="66">
                  <c:v>1.8016190459790301E-15</c:v>
                </c:pt>
                <c:pt idx="67">
                  <c:v>1.7656044406965199E-15</c:v>
                </c:pt>
                <c:pt idx="68">
                  <c:v>1.7303097712527E-15</c:v>
                </c:pt>
                <c:pt idx="69">
                  <c:v>1.69572064717825E-15</c:v>
                </c:pt>
                <c:pt idx="70">
                  <c:v>1.6618229649006099E-15</c:v>
                </c:pt>
                <c:pt idx="71">
                  <c:v>1.6286029020912E-15</c:v>
                </c:pt>
                <c:pt idx="72">
                  <c:v>1.59604691251566E-15</c:v>
                </c:pt>
                <c:pt idx="73">
                  <c:v>1.56414172138095E-15</c:v>
                </c:pt>
                <c:pt idx="74">
                  <c:v>1.53287431951986E-15</c:v>
                </c:pt>
                <c:pt idx="75">
                  <c:v>1.50223195739306E-15</c:v>
                </c:pt>
                <c:pt idx="76">
                  <c:v>1.47220214063288E-15</c:v>
                </c:pt>
                <c:pt idx="77">
                  <c:v>1.44277262484184E-15</c:v>
                </c:pt>
                <c:pt idx="78">
                  <c:v>1.4139314086103799E-15</c:v>
                </c:pt>
                <c:pt idx="79">
                  <c:v>1.3856667318851899E-15</c:v>
                </c:pt>
                <c:pt idx="80">
                  <c:v>1.35796706959418E-15</c:v>
                </c:pt>
                <c:pt idx="81">
                  <c:v>1.3308211273311299E-15</c:v>
                </c:pt>
                <c:pt idx="82">
                  <c:v>1.3042178361677401E-15</c:v>
                </c:pt>
                <c:pt idx="83">
                  <c:v>1.27814634832352E-15</c:v>
                </c:pt>
                <c:pt idx="84">
                  <c:v>1.2525960329265E-15</c:v>
                </c:pt>
                <c:pt idx="85">
                  <c:v>1.2275564717093001E-15</c:v>
                </c:pt>
                <c:pt idx="86">
                  <c:v>1.20301745466952E-15</c:v>
                </c:pt>
                <c:pt idx="87">
                  <c:v>1.1789689758612699E-15</c:v>
                </c:pt>
                <c:pt idx="88">
                  <c:v>1.1554012293387701E-15</c:v>
                </c:pt>
                <c:pt idx="89">
                  <c:v>1.13230460519127E-15</c:v>
                </c:pt>
                <c:pt idx="90">
                  <c:v>1.10966968562702E-15</c:v>
                </c:pt>
                <c:pt idx="91">
                  <c:v>1.08748724111741E-15</c:v>
                </c:pt>
                <c:pt idx="92">
                  <c:v>1.0657482266258799E-15</c:v>
                </c:pt>
                <c:pt idx="93">
                  <c:v>1.0444437779224001E-15</c:v>
                </c:pt>
                <c:pt idx="94">
                  <c:v>1.02356520797871E-15</c:v>
                </c:pt>
                <c:pt idx="95">
                  <c:v>1.0031040034234099E-15</c:v>
                </c:pt>
                <c:pt idx="96">
                  <c:v>9.8305182106770207E-16</c:v>
                </c:pt>
                <c:pt idx="97">
                  <c:v>9.6340048450250995E-16</c:v>
                </c:pt>
                <c:pt idx="98">
                  <c:v>9.4414198076764492E-16</c:v>
                </c:pt>
                <c:pt idx="99">
                  <c:v>9.2526845708220194E-16</c:v>
                </c:pt>
              </c:numCache>
            </c:numRef>
          </c:yVal>
          <c:smooth val="0"/>
          <c:extLst>
            <c:ext xmlns:c16="http://schemas.microsoft.com/office/drawing/2014/chart" uri="{C3380CC4-5D6E-409C-BE32-E72D297353CC}">
              <c16:uniqueId val="{00000032-CF86-4C2E-BF49-1F263FBF5A1F}"/>
            </c:ext>
          </c:extLst>
        </c:ser>
        <c:ser>
          <c:idx val="51"/>
          <c:order val="51"/>
          <c:tx>
            <c:strRef>
              <c:f>dynamicR!$BI$19</c:f>
              <c:strCache>
                <c:ptCount val="1"/>
                <c:pt idx="0">
                  <c:v>w0CS</c:v>
                </c:pt>
              </c:strCache>
            </c:strRef>
          </c:tx>
          <c:spPr>
            <a:ln w="19050" cap="rnd">
              <a:solidFill>
                <a:schemeClr val="accent4">
                  <a:lumMod val="50000"/>
                  <a:lumOff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dynamicR!$BI$20:$BI$119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0.999999999999999</c:v>
                </c:pt>
                <c:pt idx="22">
                  <c:v>1</c:v>
                </c:pt>
                <c:pt idx="23">
                  <c:v>0.999999999999998</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-3.6468527505343899E-214</c:v>
                </c:pt>
                <c:pt idx="52">
                  <c:v>8.7852732205769798E-216</c:v>
                </c:pt>
                <c:pt idx="53">
                  <c:v>-2.9754475407230598E-215</c:v>
                </c:pt>
                <c:pt idx="54">
                  <c:v>3.9126272513821901E-214</c:v>
                </c:pt>
                <c:pt idx="55">
                  <c:v>-2.46309826859411E-214</c:v>
                </c:pt>
                <c:pt idx="56">
                  <c:v>8.0301183189385698E-214</c:v>
                </c:pt>
                <c:pt idx="57">
                  <c:v>-2.3401733685456302E-214</c:v>
                </c:pt>
                <c:pt idx="58">
                  <c:v>4.3568304200825299E-215</c:v>
                </c:pt>
                <c:pt idx="59">
                  <c:v>2.6537309398304E-216</c:v>
                </c:pt>
                <c:pt idx="60">
                  <c:v>-4.9242517766836398E-216</c:v>
                </c:pt>
                <c:pt idx="61">
                  <c:v>2.34403143125619E-216</c:v>
                </c:pt>
                <c:pt idx="62">
                  <c:v>5.8278530398986498E-215</c:v>
                </c:pt>
                <c:pt idx="63">
                  <c:v>4.5261806411794798E-215</c:v>
                </c:pt>
                <c:pt idx="64">
                  <c:v>-3.669131508304E-215</c:v>
                </c:pt>
                <c:pt idx="65">
                  <c:v>-8.39205161039655E-216</c:v>
                </c:pt>
                <c:pt idx="66">
                  <c:v>5.8622680361793197E-215</c:v>
                </c:pt>
                <c:pt idx="67">
                  <c:v>-1.8949165259701999E-215</c:v>
                </c:pt>
                <c:pt idx="68">
                  <c:v>-6.4340973150232696E-215</c:v>
                </c:pt>
                <c:pt idx="69">
                  <c:v>5.5113901168678996E-215</c:v>
                </c:pt>
                <c:pt idx="70">
                  <c:v>5.13578589835982E-215</c:v>
                </c:pt>
                <c:pt idx="71">
                  <c:v>-9.4126911116911906E-215</c:v>
                </c:pt>
                <c:pt idx="72">
                  <c:v>-1.56382169290699E-215</c:v>
                </c:pt>
                <c:pt idx="73">
                  <c:v>1.2440953666947401E-214</c:v>
                </c:pt>
                <c:pt idx="74">
                  <c:v>-4.4098002311256498E-215</c:v>
                </c:pt>
                <c:pt idx="75">
                  <c:v>-1.2726416694522001E-214</c:v>
                </c:pt>
                <c:pt idx="76">
                  <c:v>1.2294775164126499E-214</c:v>
                </c:pt>
                <c:pt idx="77">
                  <c:v>-8.8135926652955098E-215</c:v>
                </c:pt>
                <c:pt idx="78">
                  <c:v>3.4459175907882999E-215</c:v>
                </c:pt>
                <c:pt idx="79">
                  <c:v>-7.9741932590201305E-216</c:v>
                </c:pt>
                <c:pt idx="80">
                  <c:v>7.5500928179992296E-217</c:v>
                </c:pt>
                <c:pt idx="81">
                  <c:v>4.0308030680807898E-222</c:v>
                </c:pt>
                <c:pt idx="82">
                  <c:v>-1.25151884143738E-222</c:v>
                </c:pt>
                <c:pt idx="83">
                  <c:v>2.66314392560691E-223</c:v>
                </c:pt>
                <c:pt idx="84">
                  <c:v>-3.4891186218655E-224</c:v>
                </c:pt>
                <c:pt idx="85">
                  <c:v>2.07527877828445E-225</c:v>
                </c:pt>
                <c:pt idx="86">
                  <c:v>4.70191465865361E-230</c:v>
                </c:pt>
                <c:pt idx="87">
                  <c:v>-9.7568181269182403E-231</c:v>
                </c:pt>
                <c:pt idx="88">
                  <c:v>1.42658708399264E-231</c:v>
                </c:pt>
                <c:pt idx="89">
                  <c:v>-1.3156300507534899E-232</c:v>
                </c:pt>
                <c:pt idx="90">
                  <c:v>5.7033370278505196E-234</c:v>
                </c:pt>
                <c:pt idx="91">
                  <c:v>3.7042606693349E-238</c:v>
                </c:pt>
                <c:pt idx="92">
                  <c:v>-5.7749130028323496E-239</c:v>
                </c:pt>
                <c:pt idx="93">
                  <c:v>6.4430932400734196E-240</c:v>
                </c:pt>
                <c:pt idx="94">
                  <c:v>-4.5961528829925601E-241</c:v>
                </c:pt>
                <c:pt idx="95">
                  <c:v>1.5668238832311E-242</c:v>
                </c:pt>
                <c:pt idx="96">
                  <c:v>2.3397105647468901E-246</c:v>
                </c:pt>
                <c:pt idx="97">
                  <c:v>-2.9157414204624899E-247</c:v>
                </c:pt>
                <c:pt idx="98">
                  <c:v>2.6325321638235499E-248</c:v>
                </c:pt>
                <c:pt idx="99">
                  <c:v>-1.53248481130888E-249</c:v>
                </c:pt>
              </c:numCache>
            </c:numRef>
          </c:yVal>
          <c:smooth val="0"/>
          <c:extLst>
            <c:ext xmlns:c16="http://schemas.microsoft.com/office/drawing/2014/chart" uri="{C3380CC4-5D6E-409C-BE32-E72D297353CC}">
              <c16:uniqueId val="{00000033-CF86-4C2E-BF49-1F263FBF5A1F}"/>
            </c:ext>
          </c:extLst>
        </c:ser>
        <c:ser>
          <c:idx val="52"/>
          <c:order val="52"/>
          <c:tx>
            <c:strRef>
              <c:f>dynamicR!$BJ$19</c:f>
              <c:strCache>
                <c:ptCount val="1"/>
                <c:pt idx="0">
                  <c:v>w0CA</c:v>
                </c:pt>
              </c:strCache>
            </c:strRef>
          </c:tx>
          <c:spPr>
            <a:ln w="19050" cap="rnd">
              <a:solidFill>
                <a:schemeClr val="accent5">
                  <a:lumMod val="50000"/>
                  <a:lumOff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dynamicR!$BJ$20:$BJ$119</c:f>
              <c:numCache>
                <c:formatCode>0.00</c:formatCode>
                <c:ptCount val="100"/>
                <c:pt idx="0">
                  <c:v>0</c:v>
                </c:pt>
                <c:pt idx="1">
                  <c:v>1</c:v>
                </c:pt>
                <c:pt idx="2">
                  <c:v>0.999999999999997</c:v>
                </c:pt>
                <c:pt idx="3">
                  <c:v>0.999999999999996</c:v>
                </c:pt>
                <c:pt idx="4">
                  <c:v>1</c:v>
                </c:pt>
                <c:pt idx="5">
                  <c:v>1</c:v>
                </c:pt>
                <c:pt idx="6">
                  <c:v>1</c:v>
                </c:pt>
                <c:pt idx="7">
                  <c:v>0.999999999999999</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0.999999999999999</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-7.1172939225573603E-100</c:v>
                </c:pt>
                <c:pt idx="52">
                  <c:v>1.7145661940204501E-101</c:v>
                </c:pt>
                <c:pt idx="53">
                  <c:v>-5.80689805181209E-101</c:v>
                </c:pt>
                <c:pt idx="54">
                  <c:v>7.6359896087269201E-100</c:v>
                </c:pt>
                <c:pt idx="55">
                  <c:v>-4.8070387334731103E-100</c:v>
                </c:pt>
                <c:pt idx="56">
                  <c:v>1.5671756651628699E-99</c:v>
                </c:pt>
                <c:pt idx="57">
                  <c:v>-4.5671210695823998E-100</c:v>
                </c:pt>
                <c:pt idx="58">
                  <c:v>8.5027882417697599E-101</c:v>
                </c:pt>
                <c:pt idx="59">
                  <c:v>5.1794291893050298E-102</c:v>
                </c:pt>
                <c:pt idx="60">
                  <c:v>-9.6105855139202605E-102</c:v>
                </c:pt>
                <c:pt idx="61">
                  <c:v>4.5741009338328703E-102</c:v>
                </c:pt>
                <c:pt idx="62">
                  <c:v>1.13737627308494E-100</c:v>
                </c:pt>
                <c:pt idx="63">
                  <c:v>8.8333743639187201E-101</c:v>
                </c:pt>
                <c:pt idx="64">
                  <c:v>-7.1608061227569495E-101</c:v>
                </c:pt>
                <c:pt idx="65">
                  <c:v>-1.6377996644204098E-101</c:v>
                </c:pt>
                <c:pt idx="66">
                  <c:v>1.1440968365437701E-100</c:v>
                </c:pt>
                <c:pt idx="67">
                  <c:v>-3.6981884462089502E-101</c:v>
                </c:pt>
                <c:pt idx="68">
                  <c:v>-1.25569518026047E-100</c:v>
                </c:pt>
                <c:pt idx="69">
                  <c:v>1.07561889636049E-100</c:v>
                </c:pt>
                <c:pt idx="70">
                  <c:v>1.0023125118768E-100</c:v>
                </c:pt>
                <c:pt idx="71">
                  <c:v>-1.8370057190040601E-100</c:v>
                </c:pt>
                <c:pt idx="72">
                  <c:v>-3.0519886789919997E-101</c:v>
                </c:pt>
                <c:pt idx="73">
                  <c:v>2.4280078699100198E-100</c:v>
                </c:pt>
                <c:pt idx="74">
                  <c:v>-8.6062703478672803E-101</c:v>
                </c:pt>
                <c:pt idx="75">
                  <c:v>-2.4837189417723101E-100</c:v>
                </c:pt>
                <c:pt idx="76">
                  <c:v>2.3994770413435599E-100</c:v>
                </c:pt>
                <c:pt idx="77">
                  <c:v>-1.7200773672592599E-100</c:v>
                </c:pt>
                <c:pt idx="78">
                  <c:v>6.7250650737317498E-101</c:v>
                </c:pt>
                <c:pt idx="79">
                  <c:v>-1.5562035137756101E-101</c:v>
                </c:pt>
                <c:pt idx="80">
                  <c:v>1.4731439631576101E-102</c:v>
                </c:pt>
                <c:pt idx="81">
                  <c:v>1.5867433184293301E-106</c:v>
                </c:pt>
                <c:pt idx="82">
                  <c:v>-4.9265730644020298E-107</c:v>
                </c:pt>
                <c:pt idx="83">
                  <c:v>1.0482878471922799E-107</c:v>
                </c:pt>
                <c:pt idx="84">
                  <c:v>-1.3731523976298399E-108</c:v>
                </c:pt>
                <c:pt idx="85">
                  <c:v>8.15647556462349E-110</c:v>
                </c:pt>
                <c:pt idx="86">
                  <c:v>3.75743272437014E-113</c:v>
                </c:pt>
                <c:pt idx="87">
                  <c:v>-7.7464043571832597E-114</c:v>
                </c:pt>
                <c:pt idx="88">
                  <c:v>1.13241809352021E-114</c:v>
                </c:pt>
                <c:pt idx="89">
                  <c:v>-1.0435627887787101E-115</c:v>
                </c:pt>
                <c:pt idx="90">
                  <c:v>4.5006432391261002E-117</c:v>
                </c:pt>
                <c:pt idx="91">
                  <c:v>5.9652446519056999E-120</c:v>
                </c:pt>
                <c:pt idx="92">
                  <c:v>-9.24618342734973E-121</c:v>
                </c:pt>
                <c:pt idx="93">
                  <c:v>1.0310313715990001E-121</c:v>
                </c:pt>
                <c:pt idx="94">
                  <c:v>-7.33900139501152E-123</c:v>
                </c:pt>
                <c:pt idx="95">
                  <c:v>2.4647328651439002E-124</c:v>
                </c:pt>
                <c:pt idx="96">
                  <c:v>7.5697226100908805E-127</c:v>
                </c:pt>
                <c:pt idx="97">
                  <c:v>-9.412009569528309E-128</c:v>
                </c:pt>
                <c:pt idx="98">
                  <c:v>8.4866653313598405E-129</c:v>
                </c:pt>
                <c:pt idx="99">
                  <c:v>-4.9149939028873498E-130</c:v>
                </c:pt>
              </c:numCache>
            </c:numRef>
          </c:yVal>
          <c:smooth val="0"/>
          <c:extLst>
            <c:ext xmlns:c16="http://schemas.microsoft.com/office/drawing/2014/chart" uri="{C3380CC4-5D6E-409C-BE32-E72D297353CC}">
              <c16:uniqueId val="{00000034-CF86-4C2E-BF49-1F263FBF5A1F}"/>
            </c:ext>
          </c:extLst>
        </c:ser>
        <c:ser>
          <c:idx val="53"/>
          <c:order val="53"/>
          <c:tx>
            <c:strRef>
              <c:f>dynamicR!$BK$19</c:f>
              <c:strCache>
                <c:ptCount val="1"/>
                <c:pt idx="0">
                  <c:v>w0CP</c:v>
                </c:pt>
              </c:strCache>
            </c:strRef>
          </c:tx>
          <c:spPr>
            <a:ln w="19050" cap="rnd">
              <a:solidFill>
                <a:schemeClr val="accent6">
                  <a:lumMod val="50000"/>
                  <a:lumOff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dynamicR!$BK$20:$BK$119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0.999999999999999</c:v>
                </c:pt>
                <c:pt idx="18">
                  <c:v>1</c:v>
                </c:pt>
                <c:pt idx="19">
                  <c:v>1</c:v>
                </c:pt>
                <c:pt idx="20">
                  <c:v>0.999999999999998</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-3.7869236081845198E-109</c:v>
                </c:pt>
                <c:pt idx="52">
                  <c:v>9.1227435990829996E-111</c:v>
                </c:pt>
                <c:pt idx="53">
                  <c:v>-3.0897029271783803E-110</c:v>
                </c:pt>
                <c:pt idx="54">
                  <c:v>4.0629075312450301E-109</c:v>
                </c:pt>
                <c:pt idx="55">
                  <c:v>-2.5576988652208202E-109</c:v>
                </c:pt>
                <c:pt idx="56">
                  <c:v>8.3385300034538597E-109</c:v>
                </c:pt>
                <c:pt idx="57">
                  <c:v>-2.43004642553471E-109</c:v>
                </c:pt>
                <c:pt idx="58">
                  <c:v>4.52411993587647E-110</c:v>
                </c:pt>
                <c:pt idx="59">
                  <c:v>2.7558038408417399E-111</c:v>
                </c:pt>
                <c:pt idx="60">
                  <c:v>-5.1135098833234703E-111</c:v>
                </c:pt>
                <c:pt idx="61">
                  <c:v>2.4338143200121101E-111</c:v>
                </c:pt>
                <c:pt idx="62">
                  <c:v>6.0516807689916801E-110</c:v>
                </c:pt>
                <c:pt idx="63">
                  <c:v>4.7000084025992599E-110</c:v>
                </c:pt>
                <c:pt idx="64">
                  <c:v>-3.8100721070014601E-110</c:v>
                </c:pt>
                <c:pt idx="65">
                  <c:v>-8.71431326725183E-111</c:v>
                </c:pt>
                <c:pt idx="66">
                  <c:v>6.08743512916677E-110</c:v>
                </c:pt>
                <c:pt idx="67">
                  <c:v>-1.9677062197017701E-110</c:v>
                </c:pt>
                <c:pt idx="68">
                  <c:v>-6.6812217044338004E-110</c:v>
                </c:pt>
                <c:pt idx="69">
                  <c:v>5.7230818307770001E-110</c:v>
                </c:pt>
                <c:pt idx="70">
                  <c:v>5.3330404092838399E-110</c:v>
                </c:pt>
                <c:pt idx="71">
                  <c:v>-9.7742208100928005E-110</c:v>
                </c:pt>
                <c:pt idx="72">
                  <c:v>-1.6238830320580599E-110</c:v>
                </c:pt>
                <c:pt idx="73">
                  <c:v>1.2918788261324E-109</c:v>
                </c:pt>
                <c:pt idx="74">
                  <c:v>-4.5791697071946801E-110</c:v>
                </c:pt>
                <c:pt idx="75">
                  <c:v>-1.3215212754991599E-109</c:v>
                </c:pt>
                <c:pt idx="76">
                  <c:v>1.2766985489853901E-109</c:v>
                </c:pt>
                <c:pt idx="77">
                  <c:v>-9.1520826312592104E-110</c:v>
                </c:pt>
                <c:pt idx="78">
                  <c:v>3.5782367479759002E-110</c:v>
                </c:pt>
                <c:pt idx="79">
                  <c:v>-8.2802068484885299E-111</c:v>
                </c:pt>
                <c:pt idx="80">
                  <c:v>7.8385553628704398E-112</c:v>
                </c:pt>
                <c:pt idx="81">
                  <c:v>6.9584375547072902E-116</c:v>
                </c:pt>
                <c:pt idx="82">
                  <c:v>-2.1604855950622699E-116</c:v>
                </c:pt>
                <c:pt idx="83">
                  <c:v>4.5971744600677999E-117</c:v>
                </c:pt>
                <c:pt idx="84">
                  <c:v>-6.0220519458211699E-118</c:v>
                </c:pt>
                <c:pt idx="85">
                  <c:v>3.57795673815164E-119</c:v>
                </c:pt>
                <c:pt idx="86">
                  <c:v>1.3581136208312601E-122</c:v>
                </c:pt>
                <c:pt idx="87">
                  <c:v>-2.7999240322541301E-123</c:v>
                </c:pt>
                <c:pt idx="88">
                  <c:v>4.0932501855005202E-124</c:v>
                </c:pt>
                <c:pt idx="89">
                  <c:v>-3.7725928957083801E-125</c:v>
                </c:pt>
                <c:pt idx="90">
                  <c:v>1.628587673346E-126</c:v>
                </c:pt>
                <c:pt idx="91">
                  <c:v>1.77709675904101E-129</c:v>
                </c:pt>
                <c:pt idx="92">
                  <c:v>-2.7546043073392199E-130</c:v>
                </c:pt>
                <c:pt idx="93">
                  <c:v>3.07194088256444E-131</c:v>
                </c:pt>
                <c:pt idx="94">
                  <c:v>-2.18751492569761E-132</c:v>
                </c:pt>
                <c:pt idx="95">
                  <c:v>7.3670722095938397E-134</c:v>
                </c:pt>
                <c:pt idx="96">
                  <c:v>1.8587119020362899E-136</c:v>
                </c:pt>
                <c:pt idx="97">
                  <c:v>-2.3112654485565302E-137</c:v>
                </c:pt>
                <c:pt idx="98">
                  <c:v>2.0845388776969599E-138</c:v>
                </c:pt>
                <c:pt idx="99">
                  <c:v>-1.2084006833394701E-139</c:v>
                </c:pt>
              </c:numCache>
            </c:numRef>
          </c:yVal>
          <c:smooth val="0"/>
          <c:extLst>
            <c:ext xmlns:c16="http://schemas.microsoft.com/office/drawing/2014/chart" uri="{C3380CC4-5D6E-409C-BE32-E72D297353CC}">
              <c16:uniqueId val="{00000035-CF86-4C2E-BF49-1F263FBF5A1F}"/>
            </c:ext>
          </c:extLst>
        </c:ser>
        <c:ser>
          <c:idx val="54"/>
          <c:order val="54"/>
          <c:tx>
            <c:strRef>
              <c:f>dynamicR!$BL$19</c:f>
              <c:strCache>
                <c:ptCount val="1"/>
                <c:pt idx="0">
                  <c:v>w1CD</c:v>
                </c:pt>
              </c:strCache>
            </c:strRef>
          </c:tx>
          <c:spPr>
            <a:ln w="19050" cap="rnd">
              <a:solidFill>
                <a:schemeClr val="accent1"/>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dynamicR!$BL$20:$BL$119</c:f>
              <c:numCache>
                <c:formatCode>0.00</c:formatCode>
                <c:ptCount val="100"/>
                <c:pt idx="0">
                  <c:v>0</c:v>
                </c:pt>
                <c:pt idx="1">
                  <c:v>0.99999999999999101</c:v>
                </c:pt>
                <c:pt idx="2">
                  <c:v>0.99999999999999001</c:v>
                </c:pt>
                <c:pt idx="3">
                  <c:v>0.99999999999999001</c:v>
                </c:pt>
                <c:pt idx="4">
                  <c:v>0.99999999999999201</c:v>
                </c:pt>
                <c:pt idx="5">
                  <c:v>0.99999999999999201</c:v>
                </c:pt>
                <c:pt idx="6">
                  <c:v>0.99999999999999301</c:v>
                </c:pt>
                <c:pt idx="7">
                  <c:v>0.99999999999999301</c:v>
                </c:pt>
                <c:pt idx="8">
                  <c:v>0.99999999999999301</c:v>
                </c:pt>
                <c:pt idx="9">
                  <c:v>0.99999999999999301</c:v>
                </c:pt>
                <c:pt idx="10">
                  <c:v>0.99999999999999301</c:v>
                </c:pt>
                <c:pt idx="11">
                  <c:v>0.99999999999999301</c:v>
                </c:pt>
                <c:pt idx="12">
                  <c:v>0.999999999999994</c:v>
                </c:pt>
                <c:pt idx="13">
                  <c:v>0.99999999999999301</c:v>
                </c:pt>
                <c:pt idx="14">
                  <c:v>0.99999999999999301</c:v>
                </c:pt>
                <c:pt idx="15">
                  <c:v>0.999999999999994</c:v>
                </c:pt>
                <c:pt idx="16">
                  <c:v>0.999999999999994</c:v>
                </c:pt>
                <c:pt idx="17">
                  <c:v>0.99999999999999301</c:v>
                </c:pt>
                <c:pt idx="18">
                  <c:v>0.999999999999995</c:v>
                </c:pt>
                <c:pt idx="19">
                  <c:v>0.999999999999995</c:v>
                </c:pt>
                <c:pt idx="20">
                  <c:v>0.99999999999999201</c:v>
                </c:pt>
                <c:pt idx="21">
                  <c:v>0.999999999999994</c:v>
                </c:pt>
                <c:pt idx="22">
                  <c:v>0.999999999999998</c:v>
                </c:pt>
                <c:pt idx="23">
                  <c:v>0.99999999999999301</c:v>
                </c:pt>
                <c:pt idx="24">
                  <c:v>0.999999999999996</c:v>
                </c:pt>
                <c:pt idx="25">
                  <c:v>0.999999999999995</c:v>
                </c:pt>
                <c:pt idx="26">
                  <c:v>0.999999999999995</c:v>
                </c:pt>
                <c:pt idx="27">
                  <c:v>0.999999999999995</c:v>
                </c:pt>
                <c:pt idx="28">
                  <c:v>0.999999999999995</c:v>
                </c:pt>
                <c:pt idx="29">
                  <c:v>0.999999999999995</c:v>
                </c:pt>
                <c:pt idx="30">
                  <c:v>0.999999999999995</c:v>
                </c:pt>
                <c:pt idx="31">
                  <c:v>0.999999999999996</c:v>
                </c:pt>
                <c:pt idx="32">
                  <c:v>0.999999999999996</c:v>
                </c:pt>
                <c:pt idx="33">
                  <c:v>0.999999999999996</c:v>
                </c:pt>
                <c:pt idx="34">
                  <c:v>0.999999999999996</c:v>
                </c:pt>
                <c:pt idx="35">
                  <c:v>0.999999999999996</c:v>
                </c:pt>
                <c:pt idx="36">
                  <c:v>0.999999999999996</c:v>
                </c:pt>
                <c:pt idx="37">
                  <c:v>0.999999999999996</c:v>
                </c:pt>
                <c:pt idx="38">
                  <c:v>0.999999999999996</c:v>
                </c:pt>
                <c:pt idx="39">
                  <c:v>0.999999999999996</c:v>
                </c:pt>
                <c:pt idx="40">
                  <c:v>0.999999999999996</c:v>
                </c:pt>
                <c:pt idx="41">
                  <c:v>0.999999999999997</c:v>
                </c:pt>
                <c:pt idx="42">
                  <c:v>0.999999999999996</c:v>
                </c:pt>
                <c:pt idx="43">
                  <c:v>0.999999999999997</c:v>
                </c:pt>
                <c:pt idx="44">
                  <c:v>0.999999999999997</c:v>
                </c:pt>
                <c:pt idx="45">
                  <c:v>0.999999999999997</c:v>
                </c:pt>
                <c:pt idx="46">
                  <c:v>0.999999999999997</c:v>
                </c:pt>
                <c:pt idx="47">
                  <c:v>0.999999999999997</c:v>
                </c:pt>
                <c:pt idx="48">
                  <c:v>0.999999999999996</c:v>
                </c:pt>
                <c:pt idx="49">
                  <c:v>0.999999999999997</c:v>
                </c:pt>
                <c:pt idx="50">
                  <c:v>0.999999999999997</c:v>
                </c:pt>
                <c:pt idx="51">
                  <c:v>5.2695268798578299E-15</c:v>
                </c:pt>
                <c:pt idx="52">
                  <c:v>5.1641837640713998E-15</c:v>
                </c:pt>
                <c:pt idx="53">
                  <c:v>5.0609501726442597E-15</c:v>
                </c:pt>
                <c:pt idx="54">
                  <c:v>4.9597823438313001E-15</c:v>
                </c:pt>
                <c:pt idx="55">
                  <c:v>4.86063669724181E-15</c:v>
                </c:pt>
                <c:pt idx="56">
                  <c:v>4.7634720561816502E-15</c:v>
                </c:pt>
                <c:pt idx="57">
                  <c:v>4.6682500798410698E-15</c:v>
                </c:pt>
                <c:pt idx="58">
                  <c:v>4.5749312378750297E-15</c:v>
                </c:pt>
                <c:pt idx="59">
                  <c:v>4.4834779375470003E-15</c:v>
                </c:pt>
                <c:pt idx="60">
                  <c:v>4.3938527377878097E-15</c:v>
                </c:pt>
                <c:pt idx="61">
                  <c:v>4.3060190310290902E-15</c:v>
                </c:pt>
                <c:pt idx="62">
                  <c:v>4.2199410616072003E-15</c:v>
                </c:pt>
                <c:pt idx="63">
                  <c:v>4.1355838399304999E-15</c:v>
                </c:pt>
                <c:pt idx="64">
                  <c:v>4.0529129818675896E-15</c:v>
                </c:pt>
                <c:pt idx="65">
                  <c:v>3.9718947115753898E-15</c:v>
                </c:pt>
                <c:pt idx="66">
                  <c:v>3.89249599462899E-15</c:v>
                </c:pt>
                <c:pt idx="67">
                  <c:v>3.8146844990058403E-15</c:v>
                </c:pt>
                <c:pt idx="68">
                  <c:v>3.73842845589545E-15</c:v>
                </c:pt>
                <c:pt idx="69">
                  <c:v>3.6636967409427603E-15</c:v>
                </c:pt>
                <c:pt idx="70">
                  <c:v>3.5904589543189604E-15</c:v>
                </c:pt>
                <c:pt idx="71">
                  <c:v>3.5186852366798099E-15</c:v>
                </c:pt>
                <c:pt idx="72">
                  <c:v>3.4483462296724299E-15</c:v>
                </c:pt>
                <c:pt idx="73">
                  <c:v>3.37941329282373E-15</c:v>
                </c:pt>
                <c:pt idx="74">
                  <c:v>3.3118584111585598E-15</c:v>
                </c:pt>
                <c:pt idx="75">
                  <c:v>3.2456539406388399E-15</c:v>
                </c:pt>
                <c:pt idx="76">
                  <c:v>3.1807728248185901E-15</c:v>
                </c:pt>
                <c:pt idx="77">
                  <c:v>3.11718880657096E-15</c:v>
                </c:pt>
                <c:pt idx="78">
                  <c:v>3.0548757587195502E-15</c:v>
                </c:pt>
                <c:pt idx="79">
                  <c:v>2.9938083966759199E-15</c:v>
                </c:pt>
                <c:pt idx="80">
                  <c:v>2.9339617665399099E-15</c:v>
                </c:pt>
                <c:pt idx="81">
                  <c:v>2.8753114808983898E-15</c:v>
                </c:pt>
                <c:pt idx="82">
                  <c:v>2.8178336223649999E-15</c:v>
                </c:pt>
                <c:pt idx="83">
                  <c:v>2.7615047538268699E-15</c:v>
                </c:pt>
                <c:pt idx="84">
                  <c:v>2.7063019067334401E-15</c:v>
                </c:pt>
                <c:pt idx="85">
                  <c:v>2.6522025718444001E-15</c:v>
                </c:pt>
                <c:pt idx="86">
                  <c:v>2.5991846898948899E-15</c:v>
                </c:pt>
                <c:pt idx="87">
                  <c:v>2.5472266424941198E-15</c:v>
                </c:pt>
                <c:pt idx="88">
                  <c:v>2.4963072433625198E-15</c:v>
                </c:pt>
                <c:pt idx="89">
                  <c:v>2.4464057297648301E-15</c:v>
                </c:pt>
                <c:pt idx="90">
                  <c:v>2.3975017540494101E-15</c:v>
                </c:pt>
                <c:pt idx="91">
                  <c:v>2.3495753753173101E-15</c:v>
                </c:pt>
                <c:pt idx="92">
                  <c:v>2.3026070512747198E-15</c:v>
                </c:pt>
                <c:pt idx="93">
                  <c:v>2.2565776302702402E-15</c:v>
                </c:pt>
                <c:pt idx="94">
                  <c:v>2.2114683435064401E-15</c:v>
                </c:pt>
                <c:pt idx="95">
                  <c:v>2.16726079738107E-15</c:v>
                </c:pt>
                <c:pt idx="96">
                  <c:v>2.1239369659805799E-15</c:v>
                </c:pt>
                <c:pt idx="97">
                  <c:v>2.08147918372816E-15</c:v>
                </c:pt>
                <c:pt idx="98">
                  <c:v>2.0398701381871702E-15</c:v>
                </c:pt>
                <c:pt idx="99">
                  <c:v>1.9990928629970599E-15</c:v>
                </c:pt>
              </c:numCache>
            </c:numRef>
          </c:yVal>
          <c:smooth val="0"/>
          <c:extLst>
            <c:ext xmlns:c16="http://schemas.microsoft.com/office/drawing/2014/chart" uri="{C3380CC4-5D6E-409C-BE32-E72D297353CC}">
              <c16:uniqueId val="{00000036-CF86-4C2E-BF49-1F263FBF5A1F}"/>
            </c:ext>
          </c:extLst>
        </c:ser>
        <c:ser>
          <c:idx val="55"/>
          <c:order val="55"/>
          <c:tx>
            <c:strRef>
              <c:f>dynamicR!$BM$19</c:f>
              <c:strCache>
                <c:ptCount val="1"/>
                <c:pt idx="0">
                  <c:v>w1CS</c:v>
                </c:pt>
              </c:strCache>
            </c:strRef>
          </c:tx>
          <c:spPr>
            <a:ln w="19050" cap="rnd">
              <a:solidFill>
                <a:schemeClr val="accent2"/>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dynamicR!$BM$20:$BM$119</c:f>
              <c:numCache>
                <c:formatCode>0.00</c:formatCode>
                <c:ptCount val="100"/>
                <c:pt idx="0">
                  <c:v>0</c:v>
                </c:pt>
                <c:pt idx="1">
                  <c:v>1</c:v>
                </c:pt>
                <c:pt idx="2">
                  <c:v>0.999999999999996</c:v>
                </c:pt>
                <c:pt idx="3">
                  <c:v>0.999999999999994</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1</c:v>
                </c:pt>
                <c:pt idx="21">
                  <c:v>1</c:v>
                </c:pt>
                <c:pt idx="22">
                  <c:v>0.999999999999999</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-3.6468316146234102E-214</c:v>
                </c:pt>
                <c:pt idx="52">
                  <c:v>8.7852218251329295E-216</c:v>
                </c:pt>
                <c:pt idx="53">
                  <c:v>-2.9754301784833899E-215</c:v>
                </c:pt>
                <c:pt idx="54">
                  <c:v>3.9126045372952301E-214</c:v>
                </c:pt>
                <c:pt idx="55">
                  <c:v>-2.4630839799891902E-214</c:v>
                </c:pt>
                <c:pt idx="56">
                  <c:v>8.0300717090827999E-214</c:v>
                </c:pt>
                <c:pt idx="57">
                  <c:v>-2.3401597849712601E-214</c:v>
                </c:pt>
                <c:pt idx="58">
                  <c:v>4.3568051298351902E-215</c:v>
                </c:pt>
                <c:pt idx="59">
                  <c:v>2.6537155356253501E-216</c:v>
                </c:pt>
                <c:pt idx="60">
                  <c:v>-4.9242231927058999E-216</c:v>
                </c:pt>
                <c:pt idx="61">
                  <c:v>2.34401782477341E-216</c:v>
                </c:pt>
                <c:pt idx="62">
                  <c:v>5.8278192107546199E-215</c:v>
                </c:pt>
                <c:pt idx="63">
                  <c:v>4.5261543678991099E-215</c:v>
                </c:pt>
                <c:pt idx="64">
                  <c:v>-3.6691102099670399E-215</c:v>
                </c:pt>
                <c:pt idx="65">
                  <c:v>-8.3920028967587102E-216</c:v>
                </c:pt>
                <c:pt idx="66">
                  <c:v>5.8622340072654403E-215</c:v>
                </c:pt>
                <c:pt idx="67">
                  <c:v>-1.89490552648146E-215</c:v>
                </c:pt>
                <c:pt idx="68">
                  <c:v>-6.4340599667918103E-215</c:v>
                </c:pt>
                <c:pt idx="69">
                  <c:v>5.5113581247074702E-215</c:v>
                </c:pt>
                <c:pt idx="70">
                  <c:v>5.1357560864823696E-215</c:v>
                </c:pt>
                <c:pt idx="71">
                  <c:v>-9.4126364735113707E-215</c:v>
                </c:pt>
                <c:pt idx="72">
                  <c:v>-1.5638126153360601E-215</c:v>
                </c:pt>
                <c:pt idx="73">
                  <c:v>1.24408814505052E-214</c:v>
                </c:pt>
                <c:pt idx="74">
                  <c:v>-4.4097746334029003E-215</c:v>
                </c:pt>
                <c:pt idx="75">
                  <c:v>-1.27263428210425E-214</c:v>
                </c:pt>
                <c:pt idx="76">
                  <c:v>1.2294703796211901E-214</c:v>
                </c:pt>
                <c:pt idx="77">
                  <c:v>-8.8135415047235897E-215</c:v>
                </c:pt>
                <c:pt idx="78">
                  <c:v>3.44589758814904E-215</c:v>
                </c:pt>
                <c:pt idx="79">
                  <c:v>-7.9741469709394696E-216</c:v>
                </c:pt>
                <c:pt idx="80">
                  <c:v>7.5500489917083992E-217</c:v>
                </c:pt>
                <c:pt idx="81">
                  <c:v>4.0307797662892703E-222</c:v>
                </c:pt>
                <c:pt idx="82">
                  <c:v>-1.25151165653694E-222</c:v>
                </c:pt>
                <c:pt idx="83">
                  <c:v>2.6631291702768599E-223</c:v>
                </c:pt>
                <c:pt idx="84">
                  <c:v>-3.4891008704109099E-224</c:v>
                </c:pt>
                <c:pt idx="85">
                  <c:v>2.0752709776122701E-225</c:v>
                </c:pt>
                <c:pt idx="86">
                  <c:v>4.68695204349951E-230</c:v>
                </c:pt>
                <c:pt idx="87">
                  <c:v>-9.7567625396437004E-231</c:v>
                </c:pt>
                <c:pt idx="88">
                  <c:v>1.4265795520682701E-231</c:v>
                </c:pt>
                <c:pt idx="89">
                  <c:v>-1.31562441441646E-232</c:v>
                </c:pt>
                <c:pt idx="90">
                  <c:v>5.7033184182999201E-234</c:v>
                </c:pt>
                <c:pt idx="91">
                  <c:v>3.71459987909432E-238</c:v>
                </c:pt>
                <c:pt idx="92">
                  <c:v>-5.77488003937995E-239</c:v>
                </c:pt>
                <c:pt idx="93">
                  <c:v>6.4430583510146604E-240</c:v>
                </c:pt>
                <c:pt idx="94">
                  <c:v>-4.5961313781790902E-241</c:v>
                </c:pt>
                <c:pt idx="95">
                  <c:v>1.56682173067781E-242</c:v>
                </c:pt>
                <c:pt idx="96">
                  <c:v>2.3390676928169598E-246</c:v>
                </c:pt>
                <c:pt idx="97">
                  <c:v>-2.9157258323683003E-247</c:v>
                </c:pt>
                <c:pt idx="98">
                  <c:v>2.6325192346970101E-248</c:v>
                </c:pt>
                <c:pt idx="99">
                  <c:v>-1.53247756790444E-249</c:v>
                </c:pt>
              </c:numCache>
            </c:numRef>
          </c:yVal>
          <c:smooth val="0"/>
          <c:extLst>
            <c:ext xmlns:c16="http://schemas.microsoft.com/office/drawing/2014/chart" uri="{C3380CC4-5D6E-409C-BE32-E72D297353CC}">
              <c16:uniqueId val="{00000037-CF86-4C2E-BF49-1F263FBF5A1F}"/>
            </c:ext>
          </c:extLst>
        </c:ser>
        <c:ser>
          <c:idx val="56"/>
          <c:order val="56"/>
          <c:tx>
            <c:strRef>
              <c:f>dynamicR!$BN$19</c:f>
              <c:strCache>
                <c:ptCount val="1"/>
                <c:pt idx="0">
                  <c:v>w1CA</c:v>
                </c:pt>
              </c:strCache>
            </c:strRef>
          </c:tx>
          <c:spPr>
            <a:ln w="19050" cap="rnd">
              <a:solidFill>
                <a:schemeClr val="accent3"/>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dynamicR!$BN$20:$BN$119</c:f>
              <c:numCache>
                <c:formatCode>0.00</c:formatCode>
                <c:ptCount val="100"/>
                <c:pt idx="0">
                  <c:v>0</c:v>
                </c:pt>
                <c:pt idx="1">
                  <c:v>1</c:v>
                </c:pt>
                <c:pt idx="2">
                  <c:v>0.999999999999998</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3.1587970202207099E-90</c:v>
                </c:pt>
                <c:pt idx="52">
                  <c:v>-7.6095995077638102E-92</c:v>
                </c:pt>
                <c:pt idx="53">
                  <c:v>2.5772084718987499E-91</c:v>
                </c:pt>
                <c:pt idx="54">
                  <c:v>-3.3890049596921901E-90</c:v>
                </c:pt>
                <c:pt idx="55">
                  <c:v>2.13345848299653E-90</c:v>
                </c:pt>
                <c:pt idx="56">
                  <c:v>-6.9554335947654598E-90</c:v>
                </c:pt>
                <c:pt idx="57">
                  <c:v>2.0269762903372399E-90</c:v>
                </c:pt>
                <c:pt idx="58">
                  <c:v>-3.7736909962160599E-91</c:v>
                </c:pt>
                <c:pt idx="59">
                  <c:v>-2.2987804487173801E-92</c:v>
                </c:pt>
                <c:pt idx="60">
                  <c:v>4.26540888339565E-92</c:v>
                </c:pt>
                <c:pt idx="61">
                  <c:v>-2.0299985563644599E-92</c:v>
                </c:pt>
                <c:pt idx="62">
                  <c:v>-5.0478988410871797E-91</c:v>
                </c:pt>
                <c:pt idx="63">
                  <c:v>-3.9204224001914899E-91</c:v>
                </c:pt>
                <c:pt idx="64">
                  <c:v>3.1781130642850702E-91</c:v>
                </c:pt>
                <c:pt idx="65">
                  <c:v>7.2688607007477193E-92</c:v>
                </c:pt>
                <c:pt idx="66">
                  <c:v>-5.0777315975959005E-91</c:v>
                </c:pt>
                <c:pt idx="67">
                  <c:v>1.64133247932613E-91</c:v>
                </c:pt>
                <c:pt idx="68">
                  <c:v>5.57302543443208E-91</c:v>
                </c:pt>
                <c:pt idx="69">
                  <c:v>-4.7738132764346801E-91</c:v>
                </c:pt>
                <c:pt idx="70">
                  <c:v>-4.4484615157644798E-91</c:v>
                </c:pt>
                <c:pt idx="71">
                  <c:v>8.1529980211391196E-91</c:v>
                </c:pt>
                <c:pt idx="72">
                  <c:v>1.35453250774054E-91</c:v>
                </c:pt>
                <c:pt idx="73">
                  <c:v>-1.0775981341220201E-90</c:v>
                </c:pt>
                <c:pt idx="74">
                  <c:v>3.8196328257541902E-91</c:v>
                </c:pt>
                <c:pt idx="75">
                  <c:v>1.1023237306298099E-90</c:v>
                </c:pt>
                <c:pt idx="76">
                  <c:v>-1.0649352744129601E-90</c:v>
                </c:pt>
                <c:pt idx="77">
                  <c:v>7.6340374332139305E-91</c:v>
                </c:pt>
                <c:pt idx="78">
                  <c:v>-2.9847072544135099E-91</c:v>
                </c:pt>
                <c:pt idx="79">
                  <c:v>6.9066577422934205E-92</c:v>
                </c:pt>
                <c:pt idx="80">
                  <c:v>-6.5376229733498399E-93</c:v>
                </c:pt>
                <c:pt idx="81">
                  <c:v>-9.11483641406098E-97</c:v>
                </c:pt>
                <c:pt idx="82">
                  <c:v>2.8299893217711999E-97</c:v>
                </c:pt>
                <c:pt idx="83">
                  <c:v>-6.0216253995523796E-98</c:v>
                </c:pt>
                <c:pt idx="84">
                  <c:v>7.8872613367939005E-99</c:v>
                </c:pt>
                <c:pt idx="85">
                  <c:v>-4.6830733804260504E-100</c:v>
                </c:pt>
                <c:pt idx="86">
                  <c:v>-2.79428499327816E-103</c:v>
                </c:pt>
                <c:pt idx="87">
                  <c:v>5.7605752130665606E-104</c:v>
                </c:pt>
                <c:pt idx="88">
                  <c:v>-8.4206697975973894E-105</c:v>
                </c:pt>
                <c:pt idx="89">
                  <c:v>7.7581464563855196E-106</c:v>
                </c:pt>
                <c:pt idx="90">
                  <c:v>-3.3405365841085801E-107</c:v>
                </c:pt>
                <c:pt idx="91">
                  <c:v>-5.7442185945889996E-110</c:v>
                </c:pt>
                <c:pt idx="92">
                  <c:v>8.9030356259024007E-111</c:v>
                </c:pt>
                <c:pt idx="93">
                  <c:v>-9.9259735855199394E-112</c:v>
                </c:pt>
                <c:pt idx="94">
                  <c:v>7.0606918074016998E-113</c:v>
                </c:pt>
                <c:pt idx="95">
                  <c:v>-2.3601295953056002E-114</c:v>
                </c:pt>
                <c:pt idx="96">
                  <c:v>-9.4405389237473695E-117</c:v>
                </c:pt>
                <c:pt idx="97">
                  <c:v>1.17364894003126E-117</c:v>
                </c:pt>
                <c:pt idx="98">
                  <c:v>-1.0578291653187601E-118</c:v>
                </c:pt>
                <c:pt idx="99">
                  <c:v>6.1164879945496802E-120</c:v>
                </c:pt>
              </c:numCache>
            </c:numRef>
          </c:yVal>
          <c:smooth val="0"/>
          <c:extLst>
            <c:ext xmlns:c16="http://schemas.microsoft.com/office/drawing/2014/chart" uri="{C3380CC4-5D6E-409C-BE32-E72D297353CC}">
              <c16:uniqueId val="{00000038-CF86-4C2E-BF49-1F263FBF5A1F}"/>
            </c:ext>
          </c:extLst>
        </c:ser>
        <c:ser>
          <c:idx val="57"/>
          <c:order val="57"/>
          <c:tx>
            <c:strRef>
              <c:f>dynamicR!$BO$19</c:f>
              <c:strCache>
                <c:ptCount val="1"/>
                <c:pt idx="0">
                  <c:v>w1CP</c:v>
                </c:pt>
              </c:strCache>
            </c:strRef>
          </c:tx>
          <c:spPr>
            <a:ln w="19050" cap="rnd">
              <a:solidFill>
                <a:schemeClr val="accent4"/>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dynamicR!$BO$20:$BO$119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0.999999999999999</c:v>
                </c:pt>
                <c:pt idx="21">
                  <c:v>1</c:v>
                </c:pt>
                <c:pt idx="22">
                  <c:v>0.999999999999999</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2.6589360960286499E-91</c:v>
                </c:pt>
                <c:pt idx="52">
                  <c:v>-6.4054271575503602E-93</c:v>
                </c:pt>
                <c:pt idx="53">
                  <c:v>2.1693793228947401E-92</c:v>
                </c:pt>
                <c:pt idx="54">
                  <c:v>-2.8527150538449298E-91</c:v>
                </c:pt>
                <c:pt idx="55">
                  <c:v>1.7958511508457801E-91</c:v>
                </c:pt>
                <c:pt idx="56">
                  <c:v>-5.8547767953639596E-91</c:v>
                </c:pt>
                <c:pt idx="57">
                  <c:v>1.7062188734556599E-91</c:v>
                </c:pt>
                <c:pt idx="58">
                  <c:v>-3.1765245904214503E-92</c:v>
                </c:pt>
                <c:pt idx="59">
                  <c:v>-1.9350182892938901E-93</c:v>
                </c:pt>
                <c:pt idx="60">
                  <c:v>3.59043846252452E-93</c:v>
                </c:pt>
                <c:pt idx="61">
                  <c:v>-1.7087527473746801E-93</c:v>
                </c:pt>
                <c:pt idx="62">
                  <c:v>-4.2490982125552298E-92</c:v>
                </c:pt>
                <c:pt idx="63">
                  <c:v>-3.3000380529155003E-92</c:v>
                </c:pt>
                <c:pt idx="64">
                  <c:v>2.6751960906244499E-92</c:v>
                </c:pt>
                <c:pt idx="65">
                  <c:v>6.1186037318394302E-93</c:v>
                </c:pt>
                <c:pt idx="66">
                  <c:v>-4.2742108574761101E-92</c:v>
                </c:pt>
                <c:pt idx="67">
                  <c:v>1.3816016929703E-92</c:v>
                </c:pt>
                <c:pt idx="68">
                  <c:v>4.69112712611201E-92</c:v>
                </c:pt>
                <c:pt idx="69">
                  <c:v>-4.0183858696114097E-92</c:v>
                </c:pt>
                <c:pt idx="70">
                  <c:v>-3.7445186417604001E-92</c:v>
                </c:pt>
                <c:pt idx="71">
                  <c:v>6.8628343899767204E-92</c:v>
                </c:pt>
                <c:pt idx="72">
                  <c:v>1.14018563217486E-92</c:v>
                </c:pt>
                <c:pt idx="73">
                  <c:v>-9.0707458478600895E-92</c:v>
                </c:pt>
                <c:pt idx="74">
                  <c:v>3.2151983307239301E-92</c:v>
                </c:pt>
                <c:pt idx="75">
                  <c:v>9.2788749018737895E-92</c:v>
                </c:pt>
                <c:pt idx="76">
                  <c:v>-8.9641550619283696E-92</c:v>
                </c:pt>
                <c:pt idx="77">
                  <c:v>6.4259950022907698E-92</c:v>
                </c:pt>
                <c:pt idx="78">
                  <c:v>-2.5123935597688299E-92</c:v>
                </c:pt>
                <c:pt idx="79">
                  <c:v>5.8137087972824199E-93</c:v>
                </c:pt>
                <c:pt idx="80">
                  <c:v>-5.5030179301197505E-94</c:v>
                </c:pt>
                <c:pt idx="81">
                  <c:v>-7.9505855983995095E-98</c:v>
                </c:pt>
                <c:pt idx="82">
                  <c:v>2.4685087302848801E-98</c:v>
                </c:pt>
                <c:pt idx="83">
                  <c:v>-5.25245752545514E-99</c:v>
                </c:pt>
                <c:pt idx="84">
                  <c:v>6.8797233442475705E-100</c:v>
                </c:pt>
                <c:pt idx="85">
                  <c:v>-4.0845789277326001E-101</c:v>
                </c:pt>
                <c:pt idx="86">
                  <c:v>-2.5253896248472401E-104</c:v>
                </c:pt>
                <c:pt idx="87">
                  <c:v>5.2062513964206202E-105</c:v>
                </c:pt>
                <c:pt idx="88">
                  <c:v>-7.61030106277917E-106</c:v>
                </c:pt>
                <c:pt idx="89">
                  <c:v>7.0112796386555997E-107</c:v>
                </c:pt>
                <c:pt idx="90">
                  <c:v>-3.0181799923571702E-108</c:v>
                </c:pt>
                <c:pt idx="91">
                  <c:v>-5.3783063698959901E-111</c:v>
                </c:pt>
                <c:pt idx="92">
                  <c:v>8.3358475804736303E-112</c:v>
                </c:pt>
                <c:pt idx="93">
                  <c:v>-9.2933666741770801E-113</c:v>
                </c:pt>
                <c:pt idx="94">
                  <c:v>6.6099991732449995E-114</c:v>
                </c:pt>
                <c:pt idx="95">
                  <c:v>-2.20783781904843E-115</c:v>
                </c:pt>
                <c:pt idx="96">
                  <c:v>-9.1560768176590899E-118</c:v>
                </c:pt>
                <c:pt idx="97">
                  <c:v>1.1382605880488601E-118</c:v>
                </c:pt>
                <c:pt idx="98">
                  <c:v>-1.02586742581593E-119</c:v>
                </c:pt>
                <c:pt idx="99">
                  <c:v>5.9301831200665304E-121</c:v>
                </c:pt>
              </c:numCache>
            </c:numRef>
          </c:yVal>
          <c:smooth val="0"/>
          <c:extLst>
            <c:ext xmlns:c16="http://schemas.microsoft.com/office/drawing/2014/chart" uri="{C3380CC4-5D6E-409C-BE32-E72D297353CC}">
              <c16:uniqueId val="{00000039-CF86-4C2E-BF49-1F263FBF5A1F}"/>
            </c:ext>
          </c:extLst>
        </c:ser>
        <c:ser>
          <c:idx val="58"/>
          <c:order val="58"/>
          <c:tx>
            <c:strRef>
              <c:f>dynamicR!$BP$19</c:f>
              <c:strCache>
                <c:ptCount val="1"/>
                <c:pt idx="0">
                  <c:v>w2CD</c:v>
                </c:pt>
              </c:strCache>
            </c:strRef>
          </c:tx>
          <c:spPr>
            <a:ln w="19050" cap="rnd">
              <a:solidFill>
                <a:schemeClr val="accent5"/>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dynamicR!$BP$20:$BP$119</c:f>
              <c:numCache>
                <c:formatCode>0.00</c:formatCode>
                <c:ptCount val="100"/>
                <c:pt idx="0">
                  <c:v>0</c:v>
                </c:pt>
                <c:pt idx="1">
                  <c:v>2.0131817151505998E-2</c:v>
                </c:pt>
                <c:pt idx="2">
                  <c:v>3.9719510018295101E-2</c:v>
                </c:pt>
                <c:pt idx="3">
                  <c:v>5.8915641610433202E-2</c:v>
                </c:pt>
                <c:pt idx="4">
                  <c:v>7.7728044879925698E-2</c:v>
                </c:pt>
                <c:pt idx="5">
                  <c:v>9.6164387353444999E-2</c:v>
                </c:pt>
                <c:pt idx="6">
                  <c:v>0.114232183572418</c:v>
                </c:pt>
                <c:pt idx="7">
                  <c:v>0.13193880065571201</c:v>
                </c:pt>
                <c:pt idx="8">
                  <c:v>0.14929145962183801</c:v>
                </c:pt>
                <c:pt idx="9">
                  <c:v>0.166297236791452</c:v>
                </c:pt>
                <c:pt idx="10">
                  <c:v>0.182963066434323</c:v>
                </c:pt>
                <c:pt idx="11">
                  <c:v>0.199295743975798</c:v>
                </c:pt>
                <c:pt idx="12">
                  <c:v>0.21530192899429301</c:v>
                </c:pt>
                <c:pt idx="13">
                  <c:v>0.23098814782802299</c:v>
                </c:pt>
                <c:pt idx="14">
                  <c:v>0.24636079670383501</c:v>
                </c:pt>
                <c:pt idx="15">
                  <c:v>0.261426144289788</c:v>
                </c:pt>
                <c:pt idx="16">
                  <c:v>0.276190333789541</c:v>
                </c:pt>
                <c:pt idx="17">
                  <c:v>0.29065938529920099</c:v>
                </c:pt>
                <c:pt idx="18">
                  <c:v>0.30483919850819502</c:v>
                </c:pt>
                <c:pt idx="19">
                  <c:v>0.31873555529985498</c:v>
                </c:pt>
                <c:pt idx="20">
                  <c:v>0.33235412206789999</c:v>
                </c:pt>
                <c:pt idx="21">
                  <c:v>0.34570045190981302</c:v>
                </c:pt>
                <c:pt idx="22">
                  <c:v>0.35877998686020701</c:v>
                </c:pt>
                <c:pt idx="23">
                  <c:v>0.371598060158078</c:v>
                </c:pt>
                <c:pt idx="24">
                  <c:v>0.38415989845471399</c:v>
                </c:pt>
                <c:pt idx="25">
                  <c:v>0.39647062393433502</c:v>
                </c:pt>
                <c:pt idx="26">
                  <c:v>0.40853525638124999</c:v>
                </c:pt>
                <c:pt idx="27">
                  <c:v>0.42035871522440499</c:v>
                </c:pt>
                <c:pt idx="28">
                  <c:v>0.43194582155227301</c:v>
                </c:pt>
                <c:pt idx="29">
                  <c:v>0.44330130008211499</c:v>
                </c:pt>
                <c:pt idx="30">
                  <c:v>0.45442978108703203</c:v>
                </c:pt>
                <c:pt idx="31">
                  <c:v>0.46533580227912402</c:v>
                </c:pt>
                <c:pt idx="32">
                  <c:v>0.47602381065847199</c:v>
                </c:pt>
                <c:pt idx="33">
                  <c:v>0.48649816432861098</c:v>
                </c:pt>
                <c:pt idx="34">
                  <c:v>0.49676313427669899</c:v>
                </c:pt>
                <c:pt idx="35">
                  <c:v>0.50682290611173797</c:v>
                </c:pt>
                <c:pt idx="36">
                  <c:v>0.51668158177073997</c:v>
                </c:pt>
                <c:pt idx="37">
                  <c:v>0.52634318119282497</c:v>
                </c:pt>
                <c:pt idx="38">
                  <c:v>0.53581164395785696</c:v>
                </c:pt>
                <c:pt idx="39">
                  <c:v>0.54509083089369303</c:v>
                </c:pt>
                <c:pt idx="40">
                  <c:v>0.554184525649422</c:v>
                </c:pt>
                <c:pt idx="41">
                  <c:v>0.56309643623873595</c:v>
                </c:pt>
                <c:pt idx="42">
                  <c:v>0.57183019655047995</c:v>
                </c:pt>
                <c:pt idx="43">
                  <c:v>0.58038936783274298</c:v>
                </c:pt>
                <c:pt idx="44">
                  <c:v>0.58877744014394495</c:v>
                </c:pt>
                <c:pt idx="45">
                  <c:v>0.59699783377564997</c:v>
                </c:pt>
                <c:pt idx="46">
                  <c:v>0.60505390064610698</c:v>
                </c:pt>
                <c:pt idx="47">
                  <c:v>0.61294892566844095</c:v>
                </c:pt>
                <c:pt idx="48">
                  <c:v>0.62068612809134405</c:v>
                </c:pt>
                <c:pt idx="49">
                  <c:v>0.62826866280952598</c:v>
                </c:pt>
                <c:pt idx="50">
                  <c:v>0.62826866280952598</c:v>
                </c:pt>
                <c:pt idx="51">
                  <c:v>0.61556747443038495</c:v>
                </c:pt>
                <c:pt idx="52">
                  <c:v>0.60326167531420005</c:v>
                </c:pt>
                <c:pt idx="53">
                  <c:v>0.59120229130865698</c:v>
                </c:pt>
                <c:pt idx="54">
                  <c:v>0.57938423583188403</c:v>
                </c:pt>
                <c:pt idx="55">
                  <c:v>0.56780237353542395</c:v>
                </c:pt>
                <c:pt idx="56">
                  <c:v>0.55645197464779095</c:v>
                </c:pt>
                <c:pt idx="57">
                  <c:v>0.54532844998005903</c:v>
                </c:pt>
                <c:pt idx="58">
                  <c:v>0.53442728114301397</c:v>
                </c:pt>
                <c:pt idx="59">
                  <c:v>0.52374402900179495</c:v>
                </c:pt>
                <c:pt idx="60">
                  <c:v>0.513274330055699</c:v>
                </c:pt>
                <c:pt idx="61">
                  <c:v>0.50301390742125796</c:v>
                </c:pt>
                <c:pt idx="62">
                  <c:v>0.49295858524111003</c:v>
                </c:pt>
                <c:pt idx="63">
                  <c:v>0.483104272701043</c:v>
                </c:pt>
                <c:pt idx="64">
                  <c:v>0.47344695317443303</c:v>
                </c:pt>
                <c:pt idx="65">
                  <c:v>0.46398268633666501</c:v>
                </c:pt>
                <c:pt idx="66">
                  <c:v>0.45470761111901697</c:v>
                </c:pt>
                <c:pt idx="67">
                  <c:v>0.44561794524346598</c:v>
                </c:pt>
                <c:pt idx="68">
                  <c:v>0.43670998277441198</c:v>
                </c:pt>
                <c:pt idx="69">
                  <c:v>0.42798009175385499</c:v>
                </c:pt>
                <c:pt idx="70">
                  <c:v>0.41942471254292002</c:v>
                </c:pt>
                <c:pt idx="71">
                  <c:v>0.41104035654334198</c:v>
                </c:pt>
                <c:pt idx="72">
                  <c:v>0.40282360492219099</c:v>
                </c:pt>
                <c:pt idx="73">
                  <c:v>0.39477110724183101</c:v>
                </c:pt>
                <c:pt idx="74">
                  <c:v>0.386879580060982</c:v>
                </c:pt>
                <c:pt idx="75">
                  <c:v>0.37914580562926897</c:v>
                </c:pt>
                <c:pt idx="76">
                  <c:v>0.37156663056737699</c:v>
                </c:pt>
                <c:pt idx="77">
                  <c:v>0.36413896436196103</c:v>
                </c:pt>
                <c:pt idx="78">
                  <c:v>0.35685977816771602</c:v>
                </c:pt>
                <c:pt idx="79">
                  <c:v>0.34972610377781799</c:v>
                </c:pt>
                <c:pt idx="80">
                  <c:v>0.34273503244470399</c:v>
                </c:pt>
                <c:pt idx="81">
                  <c:v>0.33588371357935098</c:v>
                </c:pt>
                <c:pt idx="82">
                  <c:v>0.32916935351555399</c:v>
                </c:pt>
                <c:pt idx="83">
                  <c:v>0.32258921440007998</c:v>
                </c:pt>
                <c:pt idx="84">
                  <c:v>0.31614061312495101</c:v>
                </c:pt>
                <c:pt idx="85">
                  <c:v>0.309820920241133</c:v>
                </c:pt>
                <c:pt idx="86">
                  <c:v>0.30362755886323201</c:v>
                </c:pt>
                <c:pt idx="87">
                  <c:v>0.29755800360733498</c:v>
                </c:pt>
                <c:pt idx="88">
                  <c:v>0.291609779567228</c:v>
                </c:pt>
                <c:pt idx="89">
                  <c:v>0.28578046131364199</c:v>
                </c:pt>
                <c:pt idx="90">
                  <c:v>0.28006767190590598</c:v>
                </c:pt>
                <c:pt idx="91">
                  <c:v>0.27446908191876301</c:v>
                </c:pt>
                <c:pt idx="92">
                  <c:v>0.26898240849059402</c:v>
                </c:pt>
                <c:pt idx="93">
                  <c:v>0.26360541439324697</c:v>
                </c:pt>
                <c:pt idx="94">
                  <c:v>0.25833590712221699</c:v>
                </c:pt>
                <c:pt idx="95">
                  <c:v>0.25317173800196702</c:v>
                </c:pt>
                <c:pt idx="96">
                  <c:v>0.24811080130905999</c:v>
                </c:pt>
                <c:pt idx="97">
                  <c:v>0.24315103341331601</c:v>
                </c:pt>
                <c:pt idx="98">
                  <c:v>0.23829041193714501</c:v>
                </c:pt>
                <c:pt idx="99">
                  <c:v>0.23352695493033601</c:v>
                </c:pt>
              </c:numCache>
            </c:numRef>
          </c:yVal>
          <c:smooth val="0"/>
          <c:extLst>
            <c:ext xmlns:c16="http://schemas.microsoft.com/office/drawing/2014/chart" uri="{C3380CC4-5D6E-409C-BE32-E72D297353CC}">
              <c16:uniqueId val="{0000003A-CF86-4C2E-BF49-1F263FBF5A1F}"/>
            </c:ext>
          </c:extLst>
        </c:ser>
        <c:ser>
          <c:idx val="59"/>
          <c:order val="59"/>
          <c:tx>
            <c:strRef>
              <c:f>dynamicR!$BQ$19</c:f>
              <c:strCache>
                <c:ptCount val="1"/>
                <c:pt idx="0">
                  <c:v>w2CS</c:v>
                </c:pt>
              </c:strCache>
            </c:strRef>
          </c:tx>
          <c:spPr>
            <a:ln w="19050" cap="rnd">
              <a:solidFill>
                <a:schemeClr val="accent6"/>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dynamicR!$BQ$20:$BQ$119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0.999999999999999</c:v>
                </c:pt>
                <c:pt idx="36">
                  <c:v>1</c:v>
                </c:pt>
                <c:pt idx="37">
                  <c:v>1</c:v>
                </c:pt>
                <c:pt idx="38">
                  <c:v>1</c:v>
                </c:pt>
                <c:pt idx="39">
                  <c:v>1</c:v>
                </c:pt>
                <c:pt idx="40">
                  <c:v>1</c:v>
                </c:pt>
                <c:pt idx="41">
                  <c:v>1</c:v>
                </c:pt>
                <c:pt idx="42">
                  <c:v>1</c:v>
                </c:pt>
                <c:pt idx="43">
                  <c:v>1</c:v>
                </c:pt>
                <c:pt idx="44">
                  <c:v>1</c:v>
                </c:pt>
                <c:pt idx="45">
                  <c:v>0.999999999999999</c:v>
                </c:pt>
                <c:pt idx="46">
                  <c:v>1</c:v>
                </c:pt>
                <c:pt idx="47">
                  <c:v>1</c:v>
                </c:pt>
                <c:pt idx="48">
                  <c:v>1</c:v>
                </c:pt>
                <c:pt idx="49">
                  <c:v>1</c:v>
                </c:pt>
                <c:pt idx="50">
                  <c:v>1</c:v>
                </c:pt>
                <c:pt idx="51">
                  <c:v>-3.66121101411117E-214</c:v>
                </c:pt>
                <c:pt idx="52">
                  <c:v>8.8198621325174397E-216</c:v>
                </c:pt>
                <c:pt idx="53">
                  <c:v>-2.9871623239470201E-215</c:v>
                </c:pt>
                <c:pt idx="54">
                  <c:v>3.9280319269527097E-214</c:v>
                </c:pt>
                <c:pt idx="55">
                  <c:v>-2.4727959036165501E-214</c:v>
                </c:pt>
                <c:pt idx="56">
                  <c:v>8.0617342499384403E-214</c:v>
                </c:pt>
                <c:pt idx="57">
                  <c:v>-2.34938702593799E-214</c:v>
                </c:pt>
                <c:pt idx="58">
                  <c:v>4.3739839964750401E-215</c:v>
                </c:pt>
                <c:pt idx="59">
                  <c:v>2.66417912624478E-216</c:v>
                </c:pt>
                <c:pt idx="60">
                  <c:v>-4.9436393866859797E-216</c:v>
                </c:pt>
                <c:pt idx="61">
                  <c:v>2.35326027845513E-216</c:v>
                </c:pt>
                <c:pt idx="62">
                  <c:v>5.8507982805177899E-215</c:v>
                </c:pt>
                <c:pt idx="63">
                  <c:v>4.54400097796323E-215</c:v>
                </c:pt>
                <c:pt idx="64">
                  <c:v>-3.6835774980613898E-215</c:v>
                </c:pt>
                <c:pt idx="65">
                  <c:v>-8.42509253338612E-216</c:v>
                </c:pt>
                <c:pt idx="66">
                  <c:v>5.8853487744449797E-215</c:v>
                </c:pt>
                <c:pt idx="67">
                  <c:v>-1.9023771320192101E-215</c:v>
                </c:pt>
                <c:pt idx="68">
                  <c:v>-6.4594294416314297E-215</c:v>
                </c:pt>
                <c:pt idx="69">
                  <c:v>5.5330893895696701E-215</c:v>
                </c:pt>
                <c:pt idx="70">
                  <c:v>5.1560063538859704E-215</c:v>
                </c:pt>
                <c:pt idx="71">
                  <c:v>-9.44975046458737E-215</c:v>
                </c:pt>
                <c:pt idx="72">
                  <c:v>-1.5699787227399E-215</c:v>
                </c:pt>
                <c:pt idx="73">
                  <c:v>1.24899358004135E-214</c:v>
                </c:pt>
                <c:pt idx="74">
                  <c:v>-4.4271623586011301E-215</c:v>
                </c:pt>
                <c:pt idx="75">
                  <c:v>-1.2776522744087201E-214</c:v>
                </c:pt>
                <c:pt idx="76">
                  <c:v>1.23431817681659E-214</c:v>
                </c:pt>
                <c:pt idx="77">
                  <c:v>-8.8482932665362098E-215</c:v>
                </c:pt>
                <c:pt idx="78">
                  <c:v>3.45948474969465E-215</c:v>
                </c:pt>
                <c:pt idx="79">
                  <c:v>-8.0055890031842694E-216</c:v>
                </c:pt>
                <c:pt idx="80">
                  <c:v>7.5798188071744807E-217</c:v>
                </c:pt>
                <c:pt idx="81">
                  <c:v>4.0466733614231202E-222</c:v>
                </c:pt>
                <c:pt idx="82">
                  <c:v>-1.25644634810912E-222</c:v>
                </c:pt>
                <c:pt idx="83">
                  <c:v>2.6736289838620402E-223</c:v>
                </c:pt>
                <c:pt idx="84">
                  <c:v>-3.5028551058988299E-224</c:v>
                </c:pt>
                <c:pt idx="85">
                  <c:v>2.0834491499879001E-225</c:v>
                </c:pt>
                <c:pt idx="86">
                  <c:v>4.74182174033969E-230</c:v>
                </c:pt>
                <c:pt idx="87">
                  <c:v>-9.7952315125668303E-231</c:v>
                </c:pt>
                <c:pt idx="88">
                  <c:v>1.4322036967843199E-231</c:v>
                </c:pt>
                <c:pt idx="89">
                  <c:v>-1.3208100535878399E-232</c:v>
                </c:pt>
                <c:pt idx="90">
                  <c:v>5.7257882902458002E-234</c:v>
                </c:pt>
                <c:pt idx="91">
                  <c:v>3.7232310987848899E-238</c:v>
                </c:pt>
                <c:pt idx="92">
                  <c:v>-5.7976500456941501E-239</c:v>
                </c:pt>
                <c:pt idx="93">
                  <c:v>6.4684588343014796E-240</c:v>
                </c:pt>
                <c:pt idx="94">
                  <c:v>-4.61424197313664E-241</c:v>
                </c:pt>
                <c:pt idx="95">
                  <c:v>1.57299525621854E-242</c:v>
                </c:pt>
                <c:pt idx="96">
                  <c:v>2.3446803606007E-246</c:v>
                </c:pt>
                <c:pt idx="97">
                  <c:v>-2.9272200696940603E-247</c:v>
                </c:pt>
                <c:pt idx="98">
                  <c:v>2.6428964453129601E-248</c:v>
                </c:pt>
                <c:pt idx="99">
                  <c:v>-1.5385168159887301E-249</c:v>
                </c:pt>
              </c:numCache>
            </c:numRef>
          </c:yVal>
          <c:smooth val="0"/>
          <c:extLst>
            <c:ext xmlns:c16="http://schemas.microsoft.com/office/drawing/2014/chart" uri="{C3380CC4-5D6E-409C-BE32-E72D297353CC}">
              <c16:uniqueId val="{0000003B-CF86-4C2E-BF49-1F263FBF5A1F}"/>
            </c:ext>
          </c:extLst>
        </c:ser>
        <c:ser>
          <c:idx val="60"/>
          <c:order val="60"/>
          <c:tx>
            <c:strRef>
              <c:f>dynamicR!$BR$19</c:f>
              <c:strCache>
                <c:ptCount val="1"/>
                <c:pt idx="0">
                  <c:v>w2CA</c:v>
                </c:pt>
              </c:strCache>
            </c:strRef>
          </c:tx>
          <c:spPr>
            <a:ln w="19050" cap="rnd">
              <a:solidFill>
                <a:schemeClr val="accent1">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dynamicR!$BR$20:$BR$119</c:f>
              <c:numCache>
                <c:formatCode>0.00</c:formatCode>
                <c:ptCount val="100"/>
                <c:pt idx="0">
                  <c:v>0</c:v>
                </c:pt>
                <c:pt idx="1">
                  <c:v>1</c:v>
                </c:pt>
                <c:pt idx="2">
                  <c:v>0.999999999999999</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1.22544429380479E-29</c:v>
                </c:pt>
                <c:pt idx="52">
                  <c:v>-2.6472948967368501E-33</c:v>
                </c:pt>
                <c:pt idx="53">
                  <c:v>-6.7213999084660002E-31</c:v>
                </c:pt>
                <c:pt idx="54">
                  <c:v>-5.05735872128167E-29</c:v>
                </c:pt>
                <c:pt idx="55">
                  <c:v>2.76319490663174E-29</c:v>
                </c:pt>
                <c:pt idx="56">
                  <c:v>-9.49432326217705E-29</c:v>
                </c:pt>
                <c:pt idx="57">
                  <c:v>2.76756214109294E-29</c:v>
                </c:pt>
                <c:pt idx="58">
                  <c:v>-5.1851609756965803E-30</c:v>
                </c:pt>
                <c:pt idx="59">
                  <c:v>-3.15942924964247E-31</c:v>
                </c:pt>
                <c:pt idx="60">
                  <c:v>5.86165130583688E-31</c:v>
                </c:pt>
                <c:pt idx="61">
                  <c:v>-2.7882337091859102E-31</c:v>
                </c:pt>
                <c:pt idx="62">
                  <c:v>-6.9362198249215295E-30</c:v>
                </c:pt>
                <c:pt idx="63">
                  <c:v>-5.3869422716710302E-30</c:v>
                </c:pt>
                <c:pt idx="64">
                  <c:v>4.3670867527687597E-30</c:v>
                </c:pt>
                <c:pt idx="65">
                  <c:v>9.9877745111048299E-31</c:v>
                </c:pt>
                <c:pt idx="66">
                  <c:v>-6.9772952886420498E-30</c:v>
                </c:pt>
                <c:pt idx="67">
                  <c:v>2.255381671217E-30</c:v>
                </c:pt>
                <c:pt idx="68">
                  <c:v>7.6578468412420101E-30</c:v>
                </c:pt>
                <c:pt idx="69">
                  <c:v>-6.5596895079474701E-30</c:v>
                </c:pt>
                <c:pt idx="70">
                  <c:v>-6.1125763664599202E-30</c:v>
                </c:pt>
                <c:pt idx="71">
                  <c:v>1.12029730359155E-29</c:v>
                </c:pt>
                <c:pt idx="72">
                  <c:v>1.8612392601185101E-30</c:v>
                </c:pt>
                <c:pt idx="73">
                  <c:v>-1.48071624109884E-29</c:v>
                </c:pt>
                <c:pt idx="74">
                  <c:v>5.2485016527591599E-30</c:v>
                </c:pt>
                <c:pt idx="75">
                  <c:v>1.5146902658427201E-29</c:v>
                </c:pt>
                <c:pt idx="76">
                  <c:v>-1.4633114359686201E-29</c:v>
                </c:pt>
                <c:pt idx="77">
                  <c:v>1.04897334034632E-29</c:v>
                </c:pt>
                <c:pt idx="78">
                  <c:v>-4.1010998883793802E-30</c:v>
                </c:pt>
                <c:pt idx="79">
                  <c:v>9.4891203548761698E-31</c:v>
                </c:pt>
                <c:pt idx="80">
                  <c:v>-8.9760224941631602E-32</c:v>
                </c:pt>
                <c:pt idx="81">
                  <c:v>-4.3661902444132198E-35</c:v>
                </c:pt>
                <c:pt idx="82">
                  <c:v>1.3555862132122701E-35</c:v>
                </c:pt>
                <c:pt idx="83">
                  <c:v>-2.8841864533205E-36</c:v>
                </c:pt>
                <c:pt idx="84">
                  <c:v>3.7766779867145298E-37</c:v>
                </c:pt>
                <c:pt idx="85">
                  <c:v>-2.2378771659311E-38</c:v>
                </c:pt>
                <c:pt idx="86">
                  <c:v>-2.8302134214734498E-41</c:v>
                </c:pt>
                <c:pt idx="87">
                  <c:v>5.8343008812629104E-42</c:v>
                </c:pt>
                <c:pt idx="88">
                  <c:v>-8.5269615897225996E-43</c:v>
                </c:pt>
                <c:pt idx="89">
                  <c:v>7.8507805302936104E-44</c:v>
                </c:pt>
                <c:pt idx="90">
                  <c:v>-3.3645744722636599E-45</c:v>
                </c:pt>
                <c:pt idx="91">
                  <c:v>-9.6764119694719703E-48</c:v>
                </c:pt>
                <c:pt idx="92">
                  <c:v>1.49958763319401E-48</c:v>
                </c:pt>
                <c:pt idx="93">
                  <c:v>-1.67133065494426E-49</c:v>
                </c:pt>
                <c:pt idx="94">
                  <c:v>1.1873275147853301E-50</c:v>
                </c:pt>
                <c:pt idx="95">
                  <c:v>-3.9323372411831802E-52</c:v>
                </c:pt>
                <c:pt idx="96">
                  <c:v>-2.29404324607528E-54</c:v>
                </c:pt>
                <c:pt idx="97">
                  <c:v>2.8514059372728299E-55</c:v>
                </c:pt>
                <c:pt idx="98">
                  <c:v>-2.56857074998405E-56</c:v>
                </c:pt>
                <c:pt idx="99">
                  <c:v>1.48187163874227E-57</c:v>
                </c:pt>
              </c:numCache>
            </c:numRef>
          </c:yVal>
          <c:smooth val="0"/>
          <c:extLst>
            <c:ext xmlns:c16="http://schemas.microsoft.com/office/drawing/2014/chart" uri="{C3380CC4-5D6E-409C-BE32-E72D297353CC}">
              <c16:uniqueId val="{0000003C-CF86-4C2E-BF49-1F263FBF5A1F}"/>
            </c:ext>
          </c:extLst>
        </c:ser>
        <c:ser>
          <c:idx val="61"/>
          <c:order val="61"/>
          <c:tx>
            <c:strRef>
              <c:f>dynamicR!$BS$19</c:f>
              <c:strCache>
                <c:ptCount val="1"/>
                <c:pt idx="0">
                  <c:v>w2CP</c:v>
                </c:pt>
              </c:strCache>
            </c:strRef>
          </c:tx>
          <c:spPr>
            <a:ln w="19050" cap="rnd">
              <a:solidFill>
                <a:schemeClr val="accent2">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dynamicR!$BS$20:$BS$119</c:f>
              <c:numCache>
                <c:formatCode>0.00</c:formatCode>
                <c:ptCount val="100"/>
                <c:pt idx="0">
                  <c:v>0</c:v>
                </c:pt>
                <c:pt idx="1">
                  <c:v>1.00000000000001</c:v>
                </c:pt>
                <c:pt idx="2">
                  <c:v>1.00000000000004</c:v>
                </c:pt>
                <c:pt idx="3">
                  <c:v>1.00000000000006</c:v>
                </c:pt>
                <c:pt idx="4">
                  <c:v>0.99999999999994904</c:v>
                </c:pt>
                <c:pt idx="5">
                  <c:v>0.99999999999997402</c:v>
                </c:pt>
                <c:pt idx="6">
                  <c:v>0.999999999999995</c:v>
                </c:pt>
                <c:pt idx="7">
                  <c:v>1.0000000000000799</c:v>
                </c:pt>
                <c:pt idx="8">
                  <c:v>0.99999999999996403</c:v>
                </c:pt>
                <c:pt idx="9">
                  <c:v>1.00000000000002</c:v>
                </c:pt>
                <c:pt idx="10">
                  <c:v>0.999999999999999</c:v>
                </c:pt>
                <c:pt idx="11">
                  <c:v>0.99999999999999001</c:v>
                </c:pt>
                <c:pt idx="12">
                  <c:v>1.00000000000002</c:v>
                </c:pt>
                <c:pt idx="13">
                  <c:v>0.999999999999994</c:v>
                </c:pt>
                <c:pt idx="14">
                  <c:v>0.99999999999996503</c:v>
                </c:pt>
                <c:pt idx="15">
                  <c:v>1</c:v>
                </c:pt>
                <c:pt idx="16">
                  <c:v>1.00000000000002</c:v>
                </c:pt>
                <c:pt idx="17">
                  <c:v>0.99999999999995803</c:v>
                </c:pt>
                <c:pt idx="18">
                  <c:v>1.00000000000001</c:v>
                </c:pt>
                <c:pt idx="19">
                  <c:v>1.00000000000006</c:v>
                </c:pt>
                <c:pt idx="20">
                  <c:v>0.99999999999993205</c:v>
                </c:pt>
                <c:pt idx="21">
                  <c:v>0.99999999999995903</c:v>
                </c:pt>
                <c:pt idx="22">
                  <c:v>1.0000000000001401</c:v>
                </c:pt>
                <c:pt idx="23">
                  <c:v>0.99999999999992695</c:v>
                </c:pt>
                <c:pt idx="24">
                  <c:v>1.00000000000004</c:v>
                </c:pt>
                <c:pt idx="25">
                  <c:v>0.99999999999998801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-8.4783704421628805E-26</c:v>
                </c:pt>
                <c:pt idx="52">
                  <c:v>1.07352283323628E-29</c:v>
                </c:pt>
                <c:pt idx="53">
                  <c:v>4.6935940381706801E-27</c:v>
                </c:pt>
                <c:pt idx="54">
                  <c:v>3.50868612643329E-25</c:v>
                </c:pt>
                <c:pt idx="55">
                  <c:v>-1.9167616322210601E-25</c:v>
                </c:pt>
                <c:pt idx="56">
                  <c:v>6.5863600153071899E-25</c:v>
                </c:pt>
                <c:pt idx="57">
                  <c:v>-1.91990151914393E-25</c:v>
                </c:pt>
                <c:pt idx="58">
                  <c:v>3.5970521475165002E-26</c:v>
                </c:pt>
                <c:pt idx="59">
                  <c:v>2.1917606726972199E-27</c:v>
                </c:pt>
                <c:pt idx="60">
                  <c:v>-4.0663473437011598E-27</c:v>
                </c:pt>
                <c:pt idx="61">
                  <c:v>1.9342546788749899E-27</c:v>
                </c:pt>
                <c:pt idx="62">
                  <c:v>4.8117974690248597E-26</c:v>
                </c:pt>
                <c:pt idx="63">
                  <c:v>3.7370319619836999E-26</c:v>
                </c:pt>
                <c:pt idx="64">
                  <c:v>-3.0295373470021E-26</c:v>
                </c:pt>
                <c:pt idx="65">
                  <c:v>-6.9287233217457193E-27</c:v>
                </c:pt>
                <c:pt idx="66">
                  <c:v>4.8402923603783702E-26</c:v>
                </c:pt>
                <c:pt idx="67">
                  <c:v>-1.56460436713739E-26</c:v>
                </c:pt>
                <c:pt idx="68">
                  <c:v>-5.3124048822122599E-26</c:v>
                </c:pt>
                <c:pt idx="69">
                  <c:v>4.55059069436875E-26</c:v>
                </c:pt>
                <c:pt idx="70">
                  <c:v>4.2404191676618199E-26</c:v>
                </c:pt>
                <c:pt idx="71">
                  <c:v>-7.7717313867977203E-26</c:v>
                </c:pt>
                <c:pt idx="72">
                  <c:v>-1.29117971883874E-26</c:v>
                </c:pt>
                <c:pt idx="73">
                  <c:v>1.0272031225938501E-25</c:v>
                </c:pt>
                <c:pt idx="74">
                  <c:v>-3.6409928760366001E-26</c:v>
                </c:pt>
                <c:pt idx="75">
                  <c:v>-1.0507715979868901E-25</c:v>
                </c:pt>
                <c:pt idx="76">
                  <c:v>1.01512905327713E-25</c:v>
                </c:pt>
                <c:pt idx="77">
                  <c:v>-7.2769424697279699E-26</c:v>
                </c:pt>
                <c:pt idx="78">
                  <c:v>2.8450168142011001E-26</c:v>
                </c:pt>
                <c:pt idx="79">
                  <c:v>-6.58279670535162E-27</c:v>
                </c:pt>
                <c:pt idx="80">
                  <c:v>6.22685002189544E-28</c:v>
                </c:pt>
                <c:pt idx="81">
                  <c:v>3.0290237412444999E-31</c:v>
                </c:pt>
                <c:pt idx="82">
                  <c:v>-9.4043151039716501E-32</c:v>
                </c:pt>
                <c:pt idx="83">
                  <c:v>2.0008907699901001E-32</c:v>
                </c:pt>
                <c:pt idx="84">
                  <c:v>-2.6200530331392101E-33</c:v>
                </c:pt>
                <c:pt idx="85">
                  <c:v>1.55251902961696E-34</c:v>
                </c:pt>
                <c:pt idx="86">
                  <c:v>1.96277279186958E-37</c:v>
                </c:pt>
                <c:pt idx="87">
                  <c:v>-4.04612180010361E-38</c:v>
                </c:pt>
                <c:pt idx="88">
                  <c:v>5.9134987335802004E-39</c:v>
                </c:pt>
                <c:pt idx="89">
                  <c:v>-5.4445666726611202E-40</c:v>
                </c:pt>
                <c:pt idx="90">
                  <c:v>2.3333645501635099E-41</c:v>
                </c:pt>
                <c:pt idx="91">
                  <c:v>6.7080649045915697E-44</c:v>
                </c:pt>
                <c:pt idx="92">
                  <c:v>-1.03957135565704E-44</c:v>
                </c:pt>
                <c:pt idx="93">
                  <c:v>1.15863062136503E-45</c:v>
                </c:pt>
                <c:pt idx="94">
                  <c:v>-8.2310233404455696E-47</c:v>
                </c:pt>
                <c:pt idx="95">
                  <c:v>2.72608179073752E-48</c:v>
                </c:pt>
                <c:pt idx="96">
                  <c:v>1.5897316892997001E-50</c:v>
                </c:pt>
                <c:pt idx="97">
                  <c:v>-1.97597333457113E-51</c:v>
                </c:pt>
                <c:pt idx="98">
                  <c:v>1.7799749932873298E-52</c:v>
                </c:pt>
                <c:pt idx="99">
                  <c:v>-1.02691456000692E-53</c:v>
                </c:pt>
              </c:numCache>
            </c:numRef>
          </c:yVal>
          <c:smooth val="0"/>
          <c:extLst>
            <c:ext xmlns:c16="http://schemas.microsoft.com/office/drawing/2014/chart" uri="{C3380CC4-5D6E-409C-BE32-E72D297353CC}">
              <c16:uniqueId val="{0000003D-CF86-4C2E-BF49-1F263FBF5A1F}"/>
            </c:ext>
          </c:extLst>
        </c:ser>
        <c:ser>
          <c:idx val="62"/>
          <c:order val="62"/>
          <c:tx>
            <c:strRef>
              <c:f>dynamicR!$BT$19</c:f>
              <c:strCache>
                <c:ptCount val="1"/>
                <c:pt idx="0">
                  <c:v>sd0CD</c:v>
                </c:pt>
              </c:strCache>
            </c:strRef>
          </c:tx>
          <c:spPr>
            <a:ln w="19050" cap="rnd">
              <a:solidFill>
                <a:schemeClr val="accent3">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dynamicR!$BT$20:$BT$119</c:f>
              <c:numCache>
                <c:formatCode>0.00</c:formatCode>
                <c:ptCount val="100"/>
                <c:pt idx="0">
                  <c:v>0</c:v>
                </c:pt>
                <c:pt idx="1">
                  <c:v>0.999999999999995</c:v>
                </c:pt>
                <c:pt idx="2">
                  <c:v>0.99999999999999201</c:v>
                </c:pt>
                <c:pt idx="3">
                  <c:v>0.99999999999999001</c:v>
                </c:pt>
                <c:pt idx="4">
                  <c:v>0.999999999999996</c:v>
                </c:pt>
                <c:pt idx="5">
                  <c:v>0.999999999999997</c:v>
                </c:pt>
                <c:pt idx="6">
                  <c:v>0.999999999999997</c:v>
                </c:pt>
                <c:pt idx="7">
                  <c:v>0.999999999999997</c:v>
                </c:pt>
                <c:pt idx="8">
                  <c:v>0.999999999999998</c:v>
                </c:pt>
                <c:pt idx="9">
                  <c:v>0.999999999999997</c:v>
                </c:pt>
                <c:pt idx="10">
                  <c:v>0.999999999999997</c:v>
                </c:pt>
                <c:pt idx="11">
                  <c:v>0.999999999999997</c:v>
                </c:pt>
                <c:pt idx="12">
                  <c:v>0.999999999999997</c:v>
                </c:pt>
                <c:pt idx="13">
                  <c:v>0.999999999999997</c:v>
                </c:pt>
                <c:pt idx="14">
                  <c:v>0.999999999999997</c:v>
                </c:pt>
                <c:pt idx="15">
                  <c:v>0.999999999999998</c:v>
                </c:pt>
                <c:pt idx="16">
                  <c:v>0.999999999999998</c:v>
                </c:pt>
                <c:pt idx="17">
                  <c:v>0.999999999999997</c:v>
                </c:pt>
                <c:pt idx="18">
                  <c:v>0.999999999999998</c:v>
                </c:pt>
                <c:pt idx="19">
                  <c:v>0.999999999999998</c:v>
                </c:pt>
                <c:pt idx="20">
                  <c:v>0.999999999999997</c:v>
                </c:pt>
                <c:pt idx="21">
                  <c:v>0.999999999999998</c:v>
                </c:pt>
                <c:pt idx="22">
                  <c:v>1</c:v>
                </c:pt>
                <c:pt idx="23">
                  <c:v>0.999999999999997</c:v>
                </c:pt>
                <c:pt idx="24">
                  <c:v>0.999999999999999</c:v>
                </c:pt>
                <c:pt idx="25">
                  <c:v>0.999999999999997</c:v>
                </c:pt>
                <c:pt idx="26">
                  <c:v>0.999999999999998</c:v>
                </c:pt>
                <c:pt idx="27">
                  <c:v>0.999999999999998</c:v>
                </c:pt>
                <c:pt idx="28">
                  <c:v>0.999999999999999</c:v>
                </c:pt>
                <c:pt idx="29">
                  <c:v>0.999999999999998</c:v>
                </c:pt>
                <c:pt idx="30">
                  <c:v>0.999999999999999</c:v>
                </c:pt>
                <c:pt idx="31">
                  <c:v>0.999999999999998</c:v>
                </c:pt>
                <c:pt idx="32">
                  <c:v>0.999999999999998</c:v>
                </c:pt>
                <c:pt idx="33">
                  <c:v>0.999999999999998</c:v>
                </c:pt>
                <c:pt idx="34">
                  <c:v>0.999999999999999</c:v>
                </c:pt>
                <c:pt idx="35">
                  <c:v>0.999999999999998</c:v>
                </c:pt>
                <c:pt idx="36">
                  <c:v>0.999999999999999</c:v>
                </c:pt>
                <c:pt idx="37">
                  <c:v>0.999999999999998</c:v>
                </c:pt>
                <c:pt idx="38">
                  <c:v>0.999999999999999</c:v>
                </c:pt>
                <c:pt idx="39">
                  <c:v>0.999999999999999</c:v>
                </c:pt>
                <c:pt idx="40">
                  <c:v>0.999999999999998</c:v>
                </c:pt>
                <c:pt idx="41">
                  <c:v>0.999999999999999</c:v>
                </c:pt>
                <c:pt idx="42">
                  <c:v>0.999999999999999</c:v>
                </c:pt>
                <c:pt idx="43">
                  <c:v>0.999999999999999</c:v>
                </c:pt>
                <c:pt idx="44">
                  <c:v>0.999999999999998</c:v>
                </c:pt>
                <c:pt idx="45">
                  <c:v>0.999999999999999</c:v>
                </c:pt>
                <c:pt idx="46">
                  <c:v>0.999999999999999</c:v>
                </c:pt>
                <c:pt idx="47">
                  <c:v>0.999999999999999</c:v>
                </c:pt>
                <c:pt idx="48">
                  <c:v>0.999999999999999</c:v>
                </c:pt>
                <c:pt idx="49">
                  <c:v>0.999999999999999</c:v>
                </c:pt>
                <c:pt idx="50">
                  <c:v>0.999999999999999</c:v>
                </c:pt>
                <c:pt idx="51">
                  <c:v>2.4132977235701099E-15</c:v>
                </c:pt>
                <c:pt idx="52">
                  <c:v>2.36505352676236E-15</c:v>
                </c:pt>
                <c:pt idx="53">
                  <c:v>2.3177753891015801E-15</c:v>
                </c:pt>
                <c:pt idx="54">
                  <c:v>2.2714433635542801E-15</c:v>
                </c:pt>
                <c:pt idx="55">
                  <c:v>2.2260373266392E-15</c:v>
                </c:pt>
                <c:pt idx="56">
                  <c:v>2.1815387186232399E-15</c:v>
                </c:pt>
                <c:pt idx="57">
                  <c:v>2.1379295711025701E-15</c:v>
                </c:pt>
                <c:pt idx="58">
                  <c:v>2.09519214903706E-15</c:v>
                </c:pt>
                <c:pt idx="59">
                  <c:v>2.0533090590982401E-15</c:v>
                </c:pt>
                <c:pt idx="60">
                  <c:v>2.0122631922687501E-15</c:v>
                </c:pt>
                <c:pt idx="61">
                  <c:v>1.9720377813766999E-15</c:v>
                </c:pt>
                <c:pt idx="62">
                  <c:v>1.9326164549986902E-15</c:v>
                </c:pt>
                <c:pt idx="63">
                  <c:v>1.89398317605463E-15</c:v>
                </c:pt>
                <c:pt idx="64">
                  <c:v>1.8561221975842601E-15</c:v>
                </c:pt>
                <c:pt idx="65">
                  <c:v>1.8190180706602699E-15</c:v>
                </c:pt>
                <c:pt idx="66">
                  <c:v>1.7826556586225302E-15</c:v>
                </c:pt>
                <c:pt idx="67">
                  <c:v>1.74702013439282E-15</c:v>
                </c:pt>
                <c:pt idx="68">
                  <c:v>1.71209696796672E-15</c:v>
                </c:pt>
                <c:pt idx="69">
                  <c:v>1.67787191963948E-15</c:v>
                </c:pt>
                <c:pt idx="70">
                  <c:v>1.6443310358243601E-15</c:v>
                </c:pt>
                <c:pt idx="71">
                  <c:v>1.6114606397807001E-15</c:v>
                </c:pt>
                <c:pt idx="72">
                  <c:v>1.57924732591048E-15</c:v>
                </c:pt>
                <c:pt idx="73">
                  <c:v>1.54767796001355E-15</c:v>
                </c:pt>
                <c:pt idx="74">
                  <c:v>1.51673967182462E-15</c:v>
                </c:pt>
                <c:pt idx="75">
                  <c:v>1.48641984390522E-15</c:v>
                </c:pt>
                <c:pt idx="76">
                  <c:v>1.4567061120794601E-15</c:v>
                </c:pt>
                <c:pt idx="77">
                  <c:v>1.42758636506162E-15</c:v>
                </c:pt>
                <c:pt idx="78">
                  <c:v>1.39904872353693E-15</c:v>
                </c:pt>
                <c:pt idx="79">
                  <c:v>1.3710815538840299E-15</c:v>
                </c:pt>
                <c:pt idx="80">
                  <c:v>1.34367345119721E-15</c:v>
                </c:pt>
                <c:pt idx="81">
                  <c:v>1.3168132402694201E-15</c:v>
                </c:pt>
                <c:pt idx="82">
                  <c:v>1.2904899686299399E-15</c:v>
                </c:pt>
                <c:pt idx="83">
                  <c:v>1.2646929026818199E-15</c:v>
                </c:pt>
                <c:pt idx="84">
                  <c:v>1.2394115234514499E-15</c:v>
                </c:pt>
                <c:pt idx="85">
                  <c:v>1.2146355223314001E-15</c:v>
                </c:pt>
                <c:pt idx="86">
                  <c:v>1.1903547967871699E-15</c:v>
                </c:pt>
                <c:pt idx="87">
                  <c:v>1.16655944619294E-15</c:v>
                </c:pt>
                <c:pt idx="88">
                  <c:v>1.14323976781784E-15</c:v>
                </c:pt>
                <c:pt idx="89">
                  <c:v>1.1203862529026199E-15</c:v>
                </c:pt>
                <c:pt idx="90">
                  <c:v>1.0979895827848099E-15</c:v>
                </c:pt>
                <c:pt idx="91">
                  <c:v>1.0760406250835099E-15</c:v>
                </c:pt>
                <c:pt idx="92">
                  <c:v>1.0545304299679E-15</c:v>
                </c:pt>
                <c:pt idx="93">
                  <c:v>1.0334502265106199E-15</c:v>
                </c:pt>
                <c:pt idx="94">
                  <c:v>1.0127914191208699E-15</c:v>
                </c:pt>
                <c:pt idx="95">
                  <c:v>9.92545584036841E-16</c:v>
                </c:pt>
                <c:pt idx="96">
                  <c:v>9.7270446588803708E-16</c:v>
                </c:pt>
                <c:pt idx="97">
                  <c:v>9.5325997432820195E-16</c:v>
                </c:pt>
                <c:pt idx="98">
                  <c:v>9.3420418073954005E-16</c:v>
                </c:pt>
                <c:pt idx="99">
                  <c:v>9.1552931499753307E-16</c:v>
                </c:pt>
              </c:numCache>
            </c:numRef>
          </c:yVal>
          <c:smooth val="0"/>
          <c:extLst>
            <c:ext xmlns:c16="http://schemas.microsoft.com/office/drawing/2014/chart" uri="{C3380CC4-5D6E-409C-BE32-E72D297353CC}">
              <c16:uniqueId val="{0000003E-CF86-4C2E-BF49-1F263FBF5A1F}"/>
            </c:ext>
          </c:extLst>
        </c:ser>
        <c:ser>
          <c:idx val="63"/>
          <c:order val="63"/>
          <c:tx>
            <c:strRef>
              <c:f>dynamicR!$BU$19</c:f>
              <c:strCache>
                <c:ptCount val="1"/>
                <c:pt idx="0">
                  <c:v>sd0CS</c:v>
                </c:pt>
              </c:strCache>
            </c:strRef>
          </c:tx>
          <c:spPr>
            <a:ln w="19050" cap="rnd">
              <a:solidFill>
                <a:schemeClr val="accent4">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dynamicR!$BU$20:$BU$119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0.999999999999999</c:v>
                </c:pt>
                <c:pt idx="15">
                  <c:v>1</c:v>
                </c:pt>
                <c:pt idx="16">
                  <c:v>1</c:v>
                </c:pt>
                <c:pt idx="17">
                  <c:v>0.999999999999999</c:v>
                </c:pt>
                <c:pt idx="18">
                  <c:v>1</c:v>
                </c:pt>
                <c:pt idx="19">
                  <c:v>1</c:v>
                </c:pt>
                <c:pt idx="20">
                  <c:v>0.999999999999998</c:v>
                </c:pt>
                <c:pt idx="21">
                  <c:v>0.999999999999999</c:v>
                </c:pt>
                <c:pt idx="22">
                  <c:v>1</c:v>
                </c:pt>
                <c:pt idx="23">
                  <c:v>0.999999999999997</c:v>
                </c:pt>
                <c:pt idx="24">
                  <c:v>1</c:v>
                </c:pt>
                <c:pt idx="25">
                  <c:v>1</c:v>
                </c:pt>
                <c:pt idx="26">
                  <c:v>0.999999999999999</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-3.6893955962826799E-214</c:v>
                </c:pt>
                <c:pt idx="52">
                  <c:v>8.8877589665248097E-216</c:v>
                </c:pt>
                <c:pt idx="53">
                  <c:v>-3.0101580033356701E-215</c:v>
                </c:pt>
                <c:pt idx="54">
                  <c:v>3.95827056322637E-214</c:v>
                </c:pt>
                <c:pt idx="55">
                  <c:v>-2.4918318887874999E-214</c:v>
                </c:pt>
                <c:pt idx="56">
                  <c:v>8.1237948016720405E-214</c:v>
                </c:pt>
                <c:pt idx="57">
                  <c:v>-2.36747299247618E-214</c:v>
                </c:pt>
                <c:pt idx="58">
                  <c:v>4.4076556428590598E-215</c:v>
                </c:pt>
                <c:pt idx="59">
                  <c:v>2.6846884142333999E-216</c:v>
                </c:pt>
                <c:pt idx="60">
                  <c:v>-4.98169633371927E-216</c:v>
                </c:pt>
                <c:pt idx="61">
                  <c:v>2.3713760621459901E-216</c:v>
                </c:pt>
                <c:pt idx="62">
                  <c:v>5.8958386855408202E-215</c:v>
                </c:pt>
                <c:pt idx="63">
                  <c:v>4.5789814429629901E-215</c:v>
                </c:pt>
                <c:pt idx="64">
                  <c:v>-3.7119342819550701E-215</c:v>
                </c:pt>
                <c:pt idx="65">
                  <c:v>-8.4899502778963004E-216</c:v>
                </c:pt>
                <c:pt idx="66">
                  <c:v>5.9306551548384103E-215</c:v>
                </c:pt>
                <c:pt idx="67">
                  <c:v>-1.9170219432781999E-215</c:v>
                </c:pt>
                <c:pt idx="68">
                  <c:v>-6.50915518918233E-215</c:v>
                </c:pt>
                <c:pt idx="69">
                  <c:v>5.5756840194280101E-215</c:v>
                </c:pt>
                <c:pt idx="70">
                  <c:v>5.1956981366727905E-215</c:v>
                </c:pt>
                <c:pt idx="71">
                  <c:v>-9.522496193953599E-215</c:v>
                </c:pt>
                <c:pt idx="72">
                  <c:v>-1.5820646765122301E-215</c:v>
                </c:pt>
                <c:pt idx="73">
                  <c:v>1.2586085375256E-214</c:v>
                </c:pt>
                <c:pt idx="74">
                  <c:v>-4.4612433807409401E-215</c:v>
                </c:pt>
                <c:pt idx="75">
                  <c:v>-1.28748785122384E-214</c:v>
                </c:pt>
                <c:pt idx="76">
                  <c:v>1.24382016063924E-214</c:v>
                </c:pt>
                <c:pt idx="77">
                  <c:v>-8.9164088797190701E-215</c:v>
                </c:pt>
                <c:pt idx="78">
                  <c:v>3.4861164308477101E-215</c:v>
                </c:pt>
                <c:pt idx="79">
                  <c:v>-8.06721734069769E-216</c:v>
                </c:pt>
                <c:pt idx="80">
                  <c:v>7.6381694958689098E-217</c:v>
                </c:pt>
                <c:pt idx="81">
                  <c:v>4.0778252187547999E-222</c:v>
                </c:pt>
                <c:pt idx="82">
                  <c:v>-1.26611869631586E-222</c:v>
                </c:pt>
                <c:pt idx="83">
                  <c:v>2.6942113694219199E-223</c:v>
                </c:pt>
                <c:pt idx="84">
                  <c:v>-3.52982198089072E-224</c:v>
                </c:pt>
                <c:pt idx="85">
                  <c:v>2.0994900944568499E-225</c:v>
                </c:pt>
                <c:pt idx="86">
                  <c:v>4.7409619966891296E-230</c:v>
                </c:pt>
                <c:pt idx="87">
                  <c:v>-9.8706381284707896E-231</c:v>
                </c:pt>
                <c:pt idx="88">
                  <c:v>1.4432293740296799E-231</c:v>
                </c:pt>
                <c:pt idx="89">
                  <c:v>-1.33097816099246E-232</c:v>
                </c:pt>
                <c:pt idx="90">
                  <c:v>5.7698752574537704E-234</c:v>
                </c:pt>
                <c:pt idx="91">
                  <c:v>3.7467360784949102E-238</c:v>
                </c:pt>
                <c:pt idx="92">
                  <c:v>-5.8422812349500501E-239</c:v>
                </c:pt>
                <c:pt idx="93">
                  <c:v>6.5182567908645403E-240</c:v>
                </c:pt>
                <c:pt idx="94">
                  <c:v>-4.64976986162707E-241</c:v>
                </c:pt>
                <c:pt idx="95">
                  <c:v>1.5851048622237201E-242</c:v>
                </c:pt>
                <c:pt idx="96">
                  <c:v>2.36716760137497E-246</c:v>
                </c:pt>
                <c:pt idx="97">
                  <c:v>-2.9497565460466798E-247</c:v>
                </c:pt>
                <c:pt idx="98">
                  <c:v>2.6632429829021901E-248</c:v>
                </c:pt>
                <c:pt idx="99">
                  <c:v>-1.5503620606808999E-249</c:v>
                </c:pt>
              </c:numCache>
            </c:numRef>
          </c:yVal>
          <c:smooth val="0"/>
          <c:extLst>
            <c:ext xmlns:c16="http://schemas.microsoft.com/office/drawing/2014/chart" uri="{C3380CC4-5D6E-409C-BE32-E72D297353CC}">
              <c16:uniqueId val="{0000003F-CF86-4C2E-BF49-1F263FBF5A1F}"/>
            </c:ext>
          </c:extLst>
        </c:ser>
        <c:ser>
          <c:idx val="64"/>
          <c:order val="64"/>
          <c:tx>
            <c:strRef>
              <c:f>dynamicR!$BV$19</c:f>
              <c:strCache>
                <c:ptCount val="1"/>
                <c:pt idx="0">
                  <c:v>sd0CA</c:v>
                </c:pt>
              </c:strCache>
            </c:strRef>
          </c:tx>
          <c:spPr>
            <a:ln w="19050" cap="rnd">
              <a:solidFill>
                <a:schemeClr val="accent5">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dynamicR!$BV$20:$BV$119</c:f>
              <c:numCache>
                <c:formatCode>0.00</c:formatCode>
                <c:ptCount val="100"/>
                <c:pt idx="0">
                  <c:v>0</c:v>
                </c:pt>
                <c:pt idx="1">
                  <c:v>1</c:v>
                </c:pt>
                <c:pt idx="2">
                  <c:v>0.999999999999996</c:v>
                </c:pt>
                <c:pt idx="3">
                  <c:v>0.999999999999995</c:v>
                </c:pt>
                <c:pt idx="4">
                  <c:v>0.999999999999999</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0.999999999999998</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1.3875285077457499E-88</c:v>
                </c:pt>
                <c:pt idx="52">
                  <c:v>-3.3425826977561799E-90</c:v>
                </c:pt>
                <c:pt idx="53">
                  <c:v>1.1320599038714101E-89</c:v>
                </c:pt>
                <c:pt idx="54">
                  <c:v>-1.4886493515164601E-88</c:v>
                </c:pt>
                <c:pt idx="55">
                  <c:v>9.3713969767890998E-89</c:v>
                </c:pt>
                <c:pt idx="56">
                  <c:v>-3.0552330090110802E-88</c:v>
                </c:pt>
                <c:pt idx="57">
                  <c:v>8.9036629136131504E-89</c:v>
                </c:pt>
                <c:pt idx="58">
                  <c:v>-1.6576243137646699E-89</c:v>
                </c:pt>
                <c:pt idx="59">
                  <c:v>-1.00976356944923E-90</c:v>
                </c:pt>
                <c:pt idx="60">
                  <c:v>1.87362114997143E-90</c:v>
                </c:pt>
                <c:pt idx="61">
                  <c:v>-8.9168625505482705E-91</c:v>
                </c:pt>
                <c:pt idx="62">
                  <c:v>-2.2173321830524198E-89</c:v>
                </c:pt>
                <c:pt idx="63">
                  <c:v>-1.7220784075881199E-89</c:v>
                </c:pt>
                <c:pt idx="64">
                  <c:v>1.39601369295586E-89</c:v>
                </c:pt>
                <c:pt idx="65">
                  <c:v>3.1929068985937298E-90</c:v>
                </c:pt>
                <c:pt idx="66">
                  <c:v>-2.2304370339283501E-89</c:v>
                </c:pt>
                <c:pt idx="67">
                  <c:v>7.2096954633128304E-90</c:v>
                </c:pt>
                <c:pt idx="68">
                  <c:v>2.4479988838006E-89</c:v>
                </c:pt>
                <c:pt idx="69">
                  <c:v>-2.09693836561241E-89</c:v>
                </c:pt>
                <c:pt idx="70">
                  <c:v>-1.9540244903428799E-89</c:v>
                </c:pt>
                <c:pt idx="71">
                  <c:v>3.5812738724092299E-89</c:v>
                </c:pt>
                <c:pt idx="72">
                  <c:v>5.9498985067404896E-90</c:v>
                </c:pt>
                <c:pt idx="73">
                  <c:v>-4.7334414333651403E-89</c:v>
                </c:pt>
                <c:pt idx="74">
                  <c:v>1.67780610189818E-89</c:v>
                </c:pt>
                <c:pt idx="75">
                  <c:v>4.8420506339472699E-89</c:v>
                </c:pt>
                <c:pt idx="76">
                  <c:v>-4.6778184326338103E-89</c:v>
                </c:pt>
                <c:pt idx="77">
                  <c:v>3.3533150835329399E-89</c:v>
                </c:pt>
                <c:pt idx="78">
                  <c:v>-1.3110570111195901E-89</c:v>
                </c:pt>
                <c:pt idx="79">
                  <c:v>3.03379983393627E-90</c:v>
                </c:pt>
                <c:pt idx="80">
                  <c:v>-2.8716579707568603E-91</c:v>
                </c:pt>
                <c:pt idx="81">
                  <c:v>-4.2120862066930097E-95</c:v>
                </c:pt>
                <c:pt idx="82">
                  <c:v>1.30777382186743E-95</c:v>
                </c:pt>
                <c:pt idx="83">
                  <c:v>-2.7826594468403798E-96</c:v>
                </c:pt>
                <c:pt idx="84">
                  <c:v>3.6447413209258302E-97</c:v>
                </c:pt>
                <c:pt idx="85">
                  <c:v>-2.1638675825335598E-98</c:v>
                </c:pt>
                <c:pt idx="86">
                  <c:v>-1.35813776988615E-101</c:v>
                </c:pt>
                <c:pt idx="87">
                  <c:v>2.79987496944029E-102</c:v>
                </c:pt>
                <c:pt idx="88">
                  <c:v>-4.0927345422415401E-103</c:v>
                </c:pt>
                <c:pt idx="89">
                  <c:v>3.7705279653773101E-104</c:v>
                </c:pt>
                <c:pt idx="90">
                  <c:v>-1.6229393866299401E-105</c:v>
                </c:pt>
                <c:pt idx="91">
                  <c:v>-2.9357994767518101E-108</c:v>
                </c:pt>
                <c:pt idx="92">
                  <c:v>4.5501856965874696E-109</c:v>
                </c:pt>
                <c:pt idx="93">
                  <c:v>-5.0727959647786999E-110</c:v>
                </c:pt>
                <c:pt idx="94">
                  <c:v>3.60791272634803E-111</c:v>
                </c:pt>
                <c:pt idx="95">
                  <c:v>-1.20471082929528E-112</c:v>
                </c:pt>
                <c:pt idx="96">
                  <c:v>-5.0723307428508196E-115</c:v>
                </c:pt>
                <c:pt idx="97">
                  <c:v>6.3057343955012199E-116</c:v>
                </c:pt>
                <c:pt idx="98">
                  <c:v>-5.6829429272066799E-117</c:v>
                </c:pt>
                <c:pt idx="99">
                  <c:v>3.2847564457339699E-118</c:v>
                </c:pt>
              </c:numCache>
            </c:numRef>
          </c:yVal>
          <c:smooth val="0"/>
          <c:extLst>
            <c:ext xmlns:c16="http://schemas.microsoft.com/office/drawing/2014/chart" uri="{C3380CC4-5D6E-409C-BE32-E72D297353CC}">
              <c16:uniqueId val="{00000040-CF86-4C2E-BF49-1F263FBF5A1F}"/>
            </c:ext>
          </c:extLst>
        </c:ser>
        <c:ser>
          <c:idx val="65"/>
          <c:order val="65"/>
          <c:tx>
            <c:strRef>
              <c:f>dynamicR!$BW$19</c:f>
              <c:strCache>
                <c:ptCount val="1"/>
                <c:pt idx="0">
                  <c:v>sd0CP</c:v>
                </c:pt>
              </c:strCache>
            </c:strRef>
          </c:tx>
          <c:spPr>
            <a:ln w="19050" cap="rnd">
              <a:solidFill>
                <a:schemeClr val="accent6">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dynamicR!$BW$20:$BW$119</c:f>
              <c:numCache>
                <c:formatCode>0.00</c:formatCode>
                <c:ptCount val="100"/>
                <c:pt idx="0">
                  <c:v>0</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0.999999999999998</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5.9590262555896101E-89</c:v>
                </c:pt>
                <c:pt idx="52">
                  <c:v>-1.4355408166712601E-90</c:v>
                </c:pt>
                <c:pt idx="53">
                  <c:v>4.8618638498766999E-90</c:v>
                </c:pt>
                <c:pt idx="54">
                  <c:v>-6.3933104993203096E-89</c:v>
                </c:pt>
                <c:pt idx="55">
                  <c:v>4.02473897662602E-89</c:v>
                </c:pt>
                <c:pt idx="56">
                  <c:v>-1.3121325887192801E-88</c:v>
                </c:pt>
                <c:pt idx="57">
                  <c:v>3.8238609734490302E-89</c:v>
                </c:pt>
                <c:pt idx="58">
                  <c:v>-7.1190081920108004E-90</c:v>
                </c:pt>
                <c:pt idx="59">
                  <c:v>-4.3366371156659998E-91</c:v>
                </c:pt>
                <c:pt idx="60">
                  <c:v>8.0466509839476598E-91</c:v>
                </c:pt>
                <c:pt idx="61">
                  <c:v>-3.8295298287602597E-91</c:v>
                </c:pt>
                <c:pt idx="62">
                  <c:v>-9.5227886346023899E-90</c:v>
                </c:pt>
                <c:pt idx="63">
                  <c:v>-7.3958195407145802E-90</c:v>
                </c:pt>
                <c:pt idx="64">
                  <c:v>5.9954676302620903E-90</c:v>
                </c:pt>
                <c:pt idx="65">
                  <c:v>1.3712594692697901E-90</c:v>
                </c:pt>
                <c:pt idx="66">
                  <c:v>-9.5790701092200291E-90</c:v>
                </c:pt>
                <c:pt idx="67">
                  <c:v>3.0963518475821902E-90</c:v>
                </c:pt>
                <c:pt idx="68">
                  <c:v>1.0513434173892799E-89</c:v>
                </c:pt>
                <c:pt idx="69">
                  <c:v>-9.0057326494156704E-90</c:v>
                </c:pt>
                <c:pt idx="70">
                  <c:v>-8.3919596488949403E-90</c:v>
                </c:pt>
                <c:pt idx="71">
                  <c:v>1.5380516455874001E-89</c:v>
                </c:pt>
                <c:pt idx="72">
                  <c:v>2.5553061607138198E-90</c:v>
                </c:pt>
                <c:pt idx="73">
                  <c:v>-2.0328736771480799E-89</c:v>
                </c:pt>
                <c:pt idx="74">
                  <c:v>7.2056830277127403E-90</c:v>
                </c:pt>
                <c:pt idx="75">
                  <c:v>2.0795181298296499E-89</c:v>
                </c:pt>
                <c:pt idx="76">
                  <c:v>-2.0089852366502499E-89</c:v>
                </c:pt>
                <c:pt idx="77">
                  <c:v>1.44015006004866E-89</c:v>
                </c:pt>
                <c:pt idx="78">
                  <c:v>-5.6306037048621203E-90</c:v>
                </c:pt>
                <c:pt idx="79">
                  <c:v>1.3029276713284799E-90</c:v>
                </c:pt>
                <c:pt idx="80">
                  <c:v>-1.2332925168084E-91</c:v>
                </c:pt>
                <c:pt idx="81">
                  <c:v>-1.8089669702908001E-95</c:v>
                </c:pt>
                <c:pt idx="82">
                  <c:v>5.6165034027734304E-96</c:v>
                </c:pt>
                <c:pt idx="83">
                  <c:v>-1.19507028178869E-96</c:v>
                </c:pt>
                <c:pt idx="84">
                  <c:v>1.56530906888087E-97</c:v>
                </c:pt>
                <c:pt idx="85">
                  <c:v>-9.2931743596317907E-99</c:v>
                </c:pt>
                <c:pt idx="86">
                  <c:v>-5.8328016869561202E-102</c:v>
                </c:pt>
                <c:pt idx="87">
                  <c:v>1.20246383579738E-102</c:v>
                </c:pt>
                <c:pt idx="88">
                  <c:v>-1.75770895587803E-103</c:v>
                </c:pt>
                <c:pt idx="89">
                  <c:v>1.6193307419110301E-104</c:v>
                </c:pt>
                <c:pt idx="90">
                  <c:v>-6.9700469050574501E-106</c:v>
                </c:pt>
                <c:pt idx="91">
                  <c:v>-1.2608410912391101E-108</c:v>
                </c:pt>
                <c:pt idx="92">
                  <c:v>1.9541707460621201E-109</c:v>
                </c:pt>
                <c:pt idx="93">
                  <c:v>-2.1786164689318201E-110</c:v>
                </c:pt>
                <c:pt idx="94">
                  <c:v>1.5494922543502E-111</c:v>
                </c:pt>
                <c:pt idx="95">
                  <c:v>-5.1738782766264902E-113</c:v>
                </c:pt>
                <c:pt idx="96">
                  <c:v>-2.1784185248885901E-115</c:v>
                </c:pt>
                <c:pt idx="97">
                  <c:v>2.7081271876264E-116</c:v>
                </c:pt>
                <c:pt idx="98">
                  <c:v>-2.4406566169035198E-117</c:v>
                </c:pt>
                <c:pt idx="99">
                  <c:v>1.41070616872908E-118</c:v>
                </c:pt>
              </c:numCache>
            </c:numRef>
          </c:yVal>
          <c:smooth val="0"/>
          <c:extLst>
            <c:ext xmlns:c16="http://schemas.microsoft.com/office/drawing/2014/chart" uri="{C3380CC4-5D6E-409C-BE32-E72D297353CC}">
              <c16:uniqueId val="{00000041-CF86-4C2E-BF49-1F263FBF5A1F}"/>
            </c:ext>
          </c:extLst>
        </c:ser>
        <c:ser>
          <c:idx val="66"/>
          <c:order val="66"/>
          <c:tx>
            <c:strRef>
              <c:f>dynamicR!$BX$19</c:f>
              <c:strCache>
                <c:ptCount val="1"/>
                <c:pt idx="0">
                  <c:v>sd1CD</c:v>
                </c:pt>
              </c:strCache>
            </c:strRef>
          </c:tx>
          <c:spPr>
            <a:ln w="19050" cap="rnd">
              <a:solidFill>
                <a:schemeClr val="accent1">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dynamicR!$BX$20:$BX$119</c:f>
              <c:numCache>
                <c:formatCode>0.00</c:formatCode>
                <c:ptCount val="100"/>
                <c:pt idx="0">
                  <c:v>0</c:v>
                </c:pt>
                <c:pt idx="1">
                  <c:v>0.99999999999999101</c:v>
                </c:pt>
                <c:pt idx="2">
                  <c:v>0.99999999999999001</c:v>
                </c:pt>
                <c:pt idx="3">
                  <c:v>0.99999999999998801</c:v>
                </c:pt>
                <c:pt idx="4">
                  <c:v>0.99999999999999201</c:v>
                </c:pt>
                <c:pt idx="5">
                  <c:v>0.99999999999999201</c:v>
                </c:pt>
                <c:pt idx="6">
                  <c:v>0.99999999999999301</c:v>
                </c:pt>
                <c:pt idx="7">
                  <c:v>0.99999999999999301</c:v>
                </c:pt>
                <c:pt idx="8">
                  <c:v>0.99999999999999301</c:v>
                </c:pt>
                <c:pt idx="9">
                  <c:v>0.99999999999999301</c:v>
                </c:pt>
                <c:pt idx="10">
                  <c:v>0.99999999999999301</c:v>
                </c:pt>
                <c:pt idx="11">
                  <c:v>0.99999999999999301</c:v>
                </c:pt>
                <c:pt idx="12">
                  <c:v>0.99999999999999301</c:v>
                </c:pt>
                <c:pt idx="13">
                  <c:v>0.999999999999994</c:v>
                </c:pt>
                <c:pt idx="14">
                  <c:v>0.999999999999994</c:v>
                </c:pt>
                <c:pt idx="15">
                  <c:v>0.999999999999994</c:v>
                </c:pt>
                <c:pt idx="16">
                  <c:v>0.999999999999994</c:v>
                </c:pt>
                <c:pt idx="17">
                  <c:v>0.999999999999994</c:v>
                </c:pt>
                <c:pt idx="18">
                  <c:v>0.999999999999994</c:v>
                </c:pt>
                <c:pt idx="19">
                  <c:v>0.999999999999995</c:v>
                </c:pt>
                <c:pt idx="20">
                  <c:v>0.999999999999994</c:v>
                </c:pt>
                <c:pt idx="21">
                  <c:v>0.999999999999994</c:v>
                </c:pt>
                <c:pt idx="22">
                  <c:v>0.999999999999996</c:v>
                </c:pt>
                <c:pt idx="23">
                  <c:v>0.999999999999995</c:v>
                </c:pt>
                <c:pt idx="24">
                  <c:v>0.999999999999996</c:v>
                </c:pt>
                <c:pt idx="25">
                  <c:v>0.999999999999995</c:v>
                </c:pt>
                <c:pt idx="26">
                  <c:v>0.999999999999995</c:v>
                </c:pt>
                <c:pt idx="27">
                  <c:v>0.999999999999996</c:v>
                </c:pt>
                <c:pt idx="28">
                  <c:v>0.999999999999995</c:v>
                </c:pt>
                <c:pt idx="29">
                  <c:v>0.999999999999995</c:v>
                </c:pt>
                <c:pt idx="30">
                  <c:v>0.999999999999995</c:v>
                </c:pt>
                <c:pt idx="31">
                  <c:v>0.999999999999996</c:v>
                </c:pt>
                <c:pt idx="32">
                  <c:v>0.999999999999996</c:v>
                </c:pt>
                <c:pt idx="33">
                  <c:v>0.999999999999996</c:v>
                </c:pt>
                <c:pt idx="34">
                  <c:v>0.999999999999996</c:v>
                </c:pt>
                <c:pt idx="35">
                  <c:v>0.999999999999996</c:v>
                </c:pt>
                <c:pt idx="36">
                  <c:v>0.999999999999996</c:v>
                </c:pt>
                <c:pt idx="37">
                  <c:v>0.999999999999996</c:v>
                </c:pt>
                <c:pt idx="38">
                  <c:v>0.999999999999996</c:v>
                </c:pt>
                <c:pt idx="39">
                  <c:v>0.999999999999996</c:v>
                </c:pt>
                <c:pt idx="40">
                  <c:v>0.999999999999996</c:v>
                </c:pt>
                <c:pt idx="41">
                  <c:v>0.999999999999997</c:v>
                </c:pt>
                <c:pt idx="42">
                  <c:v>0.999999999999996</c:v>
                </c:pt>
                <c:pt idx="43">
                  <c:v>0.999999999999997</c:v>
                </c:pt>
                <c:pt idx="44">
                  <c:v>0.999999999999997</c:v>
                </c:pt>
                <c:pt idx="45">
                  <c:v>0.999999999999997</c:v>
                </c:pt>
                <c:pt idx="46">
                  <c:v>0.999999999999998</c:v>
                </c:pt>
                <c:pt idx="47">
                  <c:v>0.999999999999997</c:v>
                </c:pt>
                <c:pt idx="48">
                  <c:v>0.999999999999996</c:v>
                </c:pt>
                <c:pt idx="49">
                  <c:v>0.999999999999998</c:v>
                </c:pt>
                <c:pt idx="50">
                  <c:v>0.999999999999998</c:v>
                </c:pt>
                <c:pt idx="51">
                  <c:v>5.2477720843174603E-15</c:v>
                </c:pt>
                <c:pt idx="52">
                  <c:v>5.1428638655101897E-15</c:v>
                </c:pt>
                <c:pt idx="53">
                  <c:v>5.0400564656161603E-15</c:v>
                </c:pt>
                <c:pt idx="54">
                  <c:v>4.9393062960527002E-15</c:v>
                </c:pt>
                <c:pt idx="55">
                  <c:v>4.8405699694201499E-15</c:v>
                </c:pt>
                <c:pt idx="56">
                  <c:v>4.74380645538446E-15</c:v>
                </c:pt>
                <c:pt idx="57">
                  <c:v>4.6489776038841599E-15</c:v>
                </c:pt>
                <c:pt idx="58">
                  <c:v>4.5560440185301997E-15</c:v>
                </c:pt>
                <c:pt idx="59">
                  <c:v>4.4649682758115603E-15</c:v>
                </c:pt>
                <c:pt idx="60">
                  <c:v>4.3757130862213402E-15</c:v>
                </c:pt>
                <c:pt idx="61">
                  <c:v>4.2882419934744898E-15</c:v>
                </c:pt>
                <c:pt idx="62">
                  <c:v>4.2025193892295799E-15</c:v>
                </c:pt>
                <c:pt idx="63">
                  <c:v>4.11851042936256E-15</c:v>
                </c:pt>
                <c:pt idx="64">
                  <c:v>4.0361808716923101E-15</c:v>
                </c:pt>
                <c:pt idx="65">
                  <c:v>3.9554970782721298E-15</c:v>
                </c:pt>
                <c:pt idx="66">
                  <c:v>3.8764261516759102E-15</c:v>
                </c:pt>
                <c:pt idx="67">
                  <c:v>3.7989358949395E-15</c:v>
                </c:pt>
                <c:pt idx="68">
                  <c:v>3.7229946688821803E-15</c:v>
                </c:pt>
                <c:pt idx="69">
                  <c:v>3.6485714765020998E-15</c:v>
                </c:pt>
                <c:pt idx="70">
                  <c:v>3.5756360459558902E-15</c:v>
                </c:pt>
                <c:pt idx="71">
                  <c:v>3.50415864132859E-15</c:v>
                </c:pt>
                <c:pt idx="72">
                  <c:v>3.4341100223214399E-15</c:v>
                </c:pt>
                <c:pt idx="73">
                  <c:v>3.36546166810107E-15</c:v>
                </c:pt>
                <c:pt idx="74">
                  <c:v>3.29818568253592E-15</c:v>
                </c:pt>
                <c:pt idx="75">
                  <c:v>3.2322545323227299E-15</c:v>
                </c:pt>
                <c:pt idx="76">
                  <c:v>3.1676412705804499E-15</c:v>
                </c:pt>
                <c:pt idx="77">
                  <c:v>3.1043197554215499E-15</c:v>
                </c:pt>
                <c:pt idx="78">
                  <c:v>3.0422639606973498E-15</c:v>
                </c:pt>
                <c:pt idx="79">
                  <c:v>2.9814487104850301E-15</c:v>
                </c:pt>
                <c:pt idx="80">
                  <c:v>2.9218491520575E-15</c:v>
                </c:pt>
                <c:pt idx="81">
                  <c:v>2.8634409991941798E-15</c:v>
                </c:pt>
                <c:pt idx="82">
                  <c:v>2.8062004331678098E-15</c:v>
                </c:pt>
                <c:pt idx="83">
                  <c:v>2.7501041136273701E-15</c:v>
                </c:pt>
                <c:pt idx="84">
                  <c:v>2.6951291668469401E-15</c:v>
                </c:pt>
                <c:pt idx="85">
                  <c:v>2.6412531765135301E-15</c:v>
                </c:pt>
                <c:pt idx="86">
                  <c:v>2.5884541744321098E-15</c:v>
                </c:pt>
                <c:pt idx="87">
                  <c:v>2.5367106314615999E-15</c:v>
                </c:pt>
                <c:pt idx="88">
                  <c:v>2.4860014487882102E-15</c:v>
                </c:pt>
                <c:pt idx="89">
                  <c:v>2.4363059493938802E-15</c:v>
                </c:pt>
                <c:pt idx="90">
                  <c:v>2.3876038696305398E-15</c:v>
                </c:pt>
                <c:pt idx="91">
                  <c:v>2.3398753509235701E-15</c:v>
                </c:pt>
                <c:pt idx="92">
                  <c:v>2.2931009316578799E-15</c:v>
                </c:pt>
                <c:pt idx="93">
                  <c:v>2.2472615392480301E-15</c:v>
                </c:pt>
                <c:pt idx="94">
                  <c:v>2.2023384823820299E-15</c:v>
                </c:pt>
                <c:pt idx="95">
                  <c:v>2.1583134433940302E-15</c:v>
                </c:pt>
                <c:pt idx="96">
                  <c:v>2.1151684707889799E-15</c:v>
                </c:pt>
                <c:pt idx="97">
                  <c:v>2.0728859719209E-15</c:v>
                </c:pt>
                <c:pt idx="98">
                  <c:v>2.0314487058261E-15</c:v>
                </c:pt>
                <c:pt idx="99">
                  <c:v>1.9908397761882102E-15</c:v>
                </c:pt>
              </c:numCache>
            </c:numRef>
          </c:yVal>
          <c:smooth val="0"/>
          <c:extLst>
            <c:ext xmlns:c16="http://schemas.microsoft.com/office/drawing/2014/chart" uri="{C3380CC4-5D6E-409C-BE32-E72D297353CC}">
              <c16:uniqueId val="{00000042-CF86-4C2E-BF49-1F263FBF5A1F}"/>
            </c:ext>
          </c:extLst>
        </c:ser>
        <c:ser>
          <c:idx val="67"/>
          <c:order val="67"/>
          <c:tx>
            <c:strRef>
              <c:f>dynamicR!$BY$19</c:f>
              <c:strCache>
                <c:ptCount val="1"/>
                <c:pt idx="0">
                  <c:v>sd1CS</c:v>
                </c:pt>
              </c:strCache>
            </c:strRef>
          </c:tx>
          <c:spPr>
            <a:ln w="19050" cap="rnd">
              <a:solidFill>
                <a:schemeClr val="accent2">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dynamicR!$BY$20:$BY$119</c:f>
              <c:numCache>
                <c:formatCode>0.00</c:formatCode>
                <c:ptCount val="100"/>
                <c:pt idx="0">
                  <c:v>0</c:v>
                </c:pt>
                <c:pt idx="1">
                  <c:v>1</c:v>
                </c:pt>
                <c:pt idx="2">
                  <c:v>0.999999999999996</c:v>
                </c:pt>
                <c:pt idx="3">
                  <c:v>0.999999999999994</c:v>
                </c:pt>
                <c:pt idx="4">
                  <c:v>0.999999999999999</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1</c:v>
                </c:pt>
                <c:pt idx="21">
                  <c:v>1</c:v>
                </c:pt>
                <c:pt idx="22">
                  <c:v>0.999999999999998</c:v>
                </c:pt>
                <c:pt idx="23">
                  <c:v>1</c:v>
                </c:pt>
                <c:pt idx="24">
                  <c:v>0.999999999999999</c:v>
                </c:pt>
                <c:pt idx="25">
                  <c:v>1</c:v>
                </c:pt>
                <c:pt idx="26">
                  <c:v>1</c:v>
                </c:pt>
                <c:pt idx="27">
                  <c:v>1</c:v>
                </c:pt>
                <c:pt idx="28">
                  <c:v>1</c:v>
                </c:pt>
                <c:pt idx="29">
                  <c:v>0.999999999999999</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-3.6893736407822801E-214</c:v>
                </c:pt>
                <c:pt idx="52">
                  <c:v>8.8877056399452803E-216</c:v>
                </c:pt>
                <c:pt idx="53">
                  <c:v>-3.0101399790206699E-215</c:v>
                </c:pt>
                <c:pt idx="54">
                  <c:v>3.9582469898739996E-214</c:v>
                </c:pt>
                <c:pt idx="55">
                  <c:v>-2.4918170562770802E-214</c:v>
                </c:pt>
                <c:pt idx="56">
                  <c:v>8.1237464237060106E-214</c:v>
                </c:pt>
                <c:pt idx="57">
                  <c:v>-2.3674588936711699E-214</c:v>
                </c:pt>
                <c:pt idx="58">
                  <c:v>4.4076293936263602E-215</c:v>
                </c:pt>
                <c:pt idx="59">
                  <c:v>2.6846724259139101E-216</c:v>
                </c:pt>
                <c:pt idx="60">
                  <c:v>-4.9816666658610503E-216</c:v>
                </c:pt>
                <c:pt idx="61">
                  <c:v>2.3713619397162599E-216</c:v>
                </c:pt>
                <c:pt idx="62">
                  <c:v>5.8958035736235798E-215</c:v>
                </c:pt>
                <c:pt idx="63">
                  <c:v>4.5789541734215201E-215</c:v>
                </c:pt>
                <c:pt idx="64">
                  <c:v>-3.71191217600281E-215</c:v>
                </c:pt>
                <c:pt idx="65">
                  <c:v>-8.4898997170773294E-216</c:v>
                </c:pt>
                <c:pt idx="66">
                  <c:v>5.9306198355762502E-215</c:v>
                </c:pt>
                <c:pt idx="67">
                  <c:v>-1.91701052669798E-215</c:v>
                </c:pt>
                <c:pt idx="68">
                  <c:v>-6.5091164247368202E-215</c:v>
                </c:pt>
                <c:pt idx="69">
                  <c:v>5.5756508141513203E-215</c:v>
                </c:pt>
                <c:pt idx="70">
                  <c:v>5.1956671943535996E-215</c:v>
                </c:pt>
                <c:pt idx="71">
                  <c:v>-9.5224394839391791E-215</c:v>
                </c:pt>
                <c:pt idx="72">
                  <c:v>-1.58205525472729E-215</c:v>
                </c:pt>
                <c:pt idx="73">
                  <c:v>1.2586010420426E-214</c:v>
                </c:pt>
                <c:pt idx="74">
                  <c:v>-4.4612168123737097E-215</c:v>
                </c:pt>
                <c:pt idx="75">
                  <c:v>-1.28748018375376E-214</c:v>
                </c:pt>
                <c:pt idx="76">
                  <c:v>1.2438127532265501E-214</c:v>
                </c:pt>
                <c:pt idx="77">
                  <c:v>-8.9163557791804996E-215</c:v>
                </c:pt>
                <c:pt idx="78">
                  <c:v>3.4860956697248299E-215</c:v>
                </c:pt>
                <c:pt idx="79">
                  <c:v>-8.0671692974116105E-216</c:v>
                </c:pt>
                <c:pt idx="80">
                  <c:v>7.6381240077221499E-217</c:v>
                </c:pt>
                <c:pt idx="81">
                  <c:v>4.0778010010774297E-222</c:v>
                </c:pt>
                <c:pt idx="82">
                  <c:v>-1.26611120213451E-222</c:v>
                </c:pt>
                <c:pt idx="83">
                  <c:v>2.6941957565792598E-223</c:v>
                </c:pt>
                <c:pt idx="84">
                  <c:v>-3.5298024168191699E-224</c:v>
                </c:pt>
                <c:pt idx="85">
                  <c:v>2.0994783245568799E-225</c:v>
                </c:pt>
                <c:pt idx="86">
                  <c:v>4.7656441627335501E-230</c:v>
                </c:pt>
                <c:pt idx="87">
                  <c:v>-9.8705793637622002E-231</c:v>
                </c:pt>
                <c:pt idx="88">
                  <c:v>1.4432212412958201E-231</c:v>
                </c:pt>
                <c:pt idx="89">
                  <c:v>-1.33097175690305E-232</c:v>
                </c:pt>
                <c:pt idx="90">
                  <c:v>5.7698473059185098E-234</c:v>
                </c:pt>
                <c:pt idx="91">
                  <c:v>3.7541394467300302E-238</c:v>
                </c:pt>
                <c:pt idx="92">
                  <c:v>-5.8422489083996901E-239</c:v>
                </c:pt>
                <c:pt idx="93">
                  <c:v>6.5182192304830605E-240</c:v>
                </c:pt>
                <c:pt idx="94">
                  <c:v>-4.6497448627049497E-241</c:v>
                </c:pt>
                <c:pt idx="95">
                  <c:v>1.5850984197245001E-242</c:v>
                </c:pt>
                <c:pt idx="96">
                  <c:v>2.3650775295463803E-246</c:v>
                </c:pt>
                <c:pt idx="97">
                  <c:v>-2.94973829310819E-247</c:v>
                </c:pt>
                <c:pt idx="98">
                  <c:v>2.6632284705629601E-248</c:v>
                </c:pt>
                <c:pt idx="99">
                  <c:v>-1.5503537046589101E-249</c:v>
                </c:pt>
              </c:numCache>
            </c:numRef>
          </c:yVal>
          <c:smooth val="0"/>
          <c:extLst>
            <c:ext xmlns:c16="http://schemas.microsoft.com/office/drawing/2014/chart" uri="{C3380CC4-5D6E-409C-BE32-E72D297353CC}">
              <c16:uniqueId val="{00000043-CF86-4C2E-BF49-1F263FBF5A1F}"/>
            </c:ext>
          </c:extLst>
        </c:ser>
        <c:ser>
          <c:idx val="68"/>
          <c:order val="68"/>
          <c:tx>
            <c:strRef>
              <c:f>dynamicR!$BZ$19</c:f>
              <c:strCache>
                <c:ptCount val="1"/>
                <c:pt idx="0">
                  <c:v>sd1CA</c:v>
                </c:pt>
              </c:strCache>
            </c:strRef>
          </c:tx>
          <c:spPr>
            <a:ln w="19050" cap="rnd">
              <a:solidFill>
                <a:schemeClr val="accent3">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dynamicR!$BZ$20:$BZ$119</c:f>
              <c:numCache>
                <c:formatCode>0.00</c:formatCode>
                <c:ptCount val="100"/>
                <c:pt idx="0">
                  <c:v>0</c:v>
                </c:pt>
                <c:pt idx="1">
                  <c:v>1</c:v>
                </c:pt>
                <c:pt idx="2">
                  <c:v>0.999999999999998</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1.16111542728107E-87</c:v>
                </c:pt>
                <c:pt idx="52">
                  <c:v>-2.7971487763279701E-89</c:v>
                </c:pt>
                <c:pt idx="53">
                  <c:v>9.4733382617107906E-89</c:v>
                </c:pt>
                <c:pt idx="54">
                  <c:v>-1.2457356333745399E-87</c:v>
                </c:pt>
                <c:pt idx="55">
                  <c:v>7.8421986926898996E-88</c:v>
                </c:pt>
                <c:pt idx="56">
                  <c:v>-2.55668868095005E-87</c:v>
                </c:pt>
                <c:pt idx="57">
                  <c:v>7.4507889402877504E-88</c:v>
                </c:pt>
                <c:pt idx="58">
                  <c:v>-1.3871383643928601E-88</c:v>
                </c:pt>
                <c:pt idx="59">
                  <c:v>-8.4499133477497903E-90</c:v>
                </c:pt>
                <c:pt idx="60">
                  <c:v>1.56788729069715E-89</c:v>
                </c:pt>
                <c:pt idx="61">
                  <c:v>-7.4618639120987396E-90</c:v>
                </c:pt>
                <c:pt idx="62">
                  <c:v>-1.8555141773968E-88</c:v>
                </c:pt>
                <c:pt idx="63">
                  <c:v>-1.44107460332687E-88</c:v>
                </c:pt>
                <c:pt idx="64">
                  <c:v>1.1682158511371499E-88</c:v>
                </c:pt>
                <c:pt idx="65">
                  <c:v>2.67189795455951E-89</c:v>
                </c:pt>
                <c:pt idx="66">
                  <c:v>-1.86648039994405E-88</c:v>
                </c:pt>
                <c:pt idx="67">
                  <c:v>6.0332361814448701E-89</c:v>
                </c:pt>
                <c:pt idx="68">
                  <c:v>2.0485411789009599E-88</c:v>
                </c:pt>
                <c:pt idx="69">
                  <c:v>-1.75476565969687E-88</c:v>
                </c:pt>
                <c:pt idx="70">
                  <c:v>-1.6351722085692101E-88</c:v>
                </c:pt>
                <c:pt idx="71">
                  <c:v>2.9968914587613998E-88</c:v>
                </c:pt>
                <c:pt idx="72">
                  <c:v>4.9790108240364E-89</c:v>
                </c:pt>
                <c:pt idx="73">
                  <c:v>-3.9610515726303102E-88</c:v>
                </c:pt>
                <c:pt idx="74">
                  <c:v>1.4040263867312299E-88</c:v>
                </c:pt>
                <c:pt idx="75">
                  <c:v>4.0519382572484998E-88</c:v>
                </c:pt>
                <c:pt idx="76">
                  <c:v>-3.9145050994088898E-88</c:v>
                </c:pt>
                <c:pt idx="77">
                  <c:v>2.8061307144557801E-88</c:v>
                </c:pt>
                <c:pt idx="78">
                  <c:v>-1.09712275607614E-88</c:v>
                </c:pt>
                <c:pt idx="79">
                  <c:v>2.5387559777572699E-89</c:v>
                </c:pt>
                <c:pt idx="80">
                  <c:v>-2.4030874445525399E-90</c:v>
                </c:pt>
                <c:pt idx="81">
                  <c:v>-3.4446104476031701E-94</c:v>
                </c:pt>
                <c:pt idx="82">
                  <c:v>1.06948758767155E-94</c:v>
                </c:pt>
                <c:pt idx="83">
                  <c:v>-2.2756416344255899E-95</c:v>
                </c:pt>
                <c:pt idx="84">
                  <c:v>2.9806654376752299E-96</c:v>
                </c:pt>
                <c:pt idx="85">
                  <c:v>-1.7696855020296699E-97</c:v>
                </c:pt>
                <c:pt idx="86">
                  <c:v>-1.0853355443276799E-100</c:v>
                </c:pt>
                <c:pt idx="87">
                  <c:v>2.2374898564725399E-101</c:v>
                </c:pt>
                <c:pt idx="88">
                  <c:v>-3.2706852004604501E-102</c:v>
                </c:pt>
                <c:pt idx="89">
                  <c:v>3.0132693381317002E-103</c:v>
                </c:pt>
                <c:pt idx="90">
                  <c:v>-1.29721479577911E-104</c:v>
                </c:pt>
                <c:pt idx="91">
                  <c:v>-2.29244001198777E-107</c:v>
                </c:pt>
                <c:pt idx="92">
                  <c:v>3.5530626527599698E-108</c:v>
                </c:pt>
                <c:pt idx="93">
                  <c:v>-3.9612204323924901E-109</c:v>
                </c:pt>
                <c:pt idx="94">
                  <c:v>2.8175293962522798E-110</c:v>
                </c:pt>
                <c:pt idx="95">
                  <c:v>-9.4126639007846397E-112</c:v>
                </c:pt>
                <c:pt idx="96">
                  <c:v>-3.8699054934239E-114</c:v>
                </c:pt>
                <c:pt idx="97">
                  <c:v>4.8110014358547299E-115</c:v>
                </c:pt>
                <c:pt idx="98">
                  <c:v>-4.33602642426454E-116</c:v>
                </c:pt>
                <c:pt idx="99">
                  <c:v>2.5066637208499E-117</c:v>
                </c:pt>
              </c:numCache>
            </c:numRef>
          </c:yVal>
          <c:smooth val="0"/>
          <c:extLst>
            <c:ext xmlns:c16="http://schemas.microsoft.com/office/drawing/2014/chart" uri="{C3380CC4-5D6E-409C-BE32-E72D297353CC}">
              <c16:uniqueId val="{00000044-CF86-4C2E-BF49-1F263FBF5A1F}"/>
            </c:ext>
          </c:extLst>
        </c:ser>
        <c:ser>
          <c:idx val="69"/>
          <c:order val="69"/>
          <c:tx>
            <c:strRef>
              <c:f>dynamicR!$CA$19</c:f>
              <c:strCache>
                <c:ptCount val="1"/>
                <c:pt idx="0">
                  <c:v>sd1CP</c:v>
                </c:pt>
              </c:strCache>
            </c:strRef>
          </c:tx>
          <c:spPr>
            <a:ln w="19050" cap="rnd">
              <a:solidFill>
                <a:schemeClr val="accent4">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dynamicR!$CA$20:$CA$119</c:f>
              <c:numCache>
                <c:formatCode>0.00</c:formatCode>
                <c:ptCount val="100"/>
                <c:pt idx="0">
                  <c:v>0</c:v>
                </c:pt>
                <c:pt idx="1">
                  <c:v>1</c:v>
                </c:pt>
                <c:pt idx="2">
                  <c:v>0.999999999999997</c:v>
                </c:pt>
                <c:pt idx="3">
                  <c:v>0.999999999999995</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0.999999999999998</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4.7289456525529198E-89</c:v>
                </c:pt>
                <c:pt idx="52">
                  <c:v>-1.1392118769561E-90</c:v>
                </c:pt>
                <c:pt idx="53">
                  <c:v>3.8582641027350102E-90</c:v>
                </c:pt>
                <c:pt idx="54">
                  <c:v>-5.07358354309353E-89</c:v>
                </c:pt>
                <c:pt idx="55">
                  <c:v>3.1939400927984001E-89</c:v>
                </c:pt>
                <c:pt idx="56">
                  <c:v>-1.04127819149314E-88</c:v>
                </c:pt>
                <c:pt idx="57">
                  <c:v>3.0345282149195201E-89</c:v>
                </c:pt>
                <c:pt idx="58">
                  <c:v>-5.6494827373449197E-90</c:v>
                </c:pt>
                <c:pt idx="59">
                  <c:v>-3.4414487227210701E-91</c:v>
                </c:pt>
                <c:pt idx="60">
                  <c:v>6.3856310504482498E-91</c:v>
                </c:pt>
                <c:pt idx="61">
                  <c:v>-3.0390372431095198E-91</c:v>
                </c:pt>
                <c:pt idx="62">
                  <c:v>-7.55706574012929E-90</c:v>
                </c:pt>
                <c:pt idx="63">
                  <c:v>-5.8691523674024898E-90</c:v>
                </c:pt>
                <c:pt idx="64">
                  <c:v>4.7578640769950203E-90</c:v>
                </c:pt>
                <c:pt idx="65">
                  <c:v>1.0882001421361399E-90</c:v>
                </c:pt>
                <c:pt idx="66">
                  <c:v>-7.6017286573890201E-90</c:v>
                </c:pt>
                <c:pt idx="67">
                  <c:v>2.4571929713311701E-90</c:v>
                </c:pt>
                <c:pt idx="68">
                  <c:v>8.3432186635850804E-90</c:v>
                </c:pt>
                <c:pt idx="69">
                  <c:v>-7.14674122646881E-90</c:v>
                </c:pt>
                <c:pt idx="70">
                  <c:v>-6.6596656104985199E-90</c:v>
                </c:pt>
                <c:pt idx="71">
                  <c:v>1.22056227295563E-89</c:v>
                </c:pt>
                <c:pt idx="72">
                  <c:v>2.0278321026975201E-90</c:v>
                </c:pt>
                <c:pt idx="73">
                  <c:v>-1.6132416418670102E-89</c:v>
                </c:pt>
                <c:pt idx="74">
                  <c:v>5.7182639108120298E-90</c:v>
                </c:pt>
                <c:pt idx="75">
                  <c:v>1.6502576147277901E-89</c:v>
                </c:pt>
                <c:pt idx="76">
                  <c:v>-1.5942843693641101E-89</c:v>
                </c:pt>
                <c:pt idx="77">
                  <c:v>1.1428699616560701E-89</c:v>
                </c:pt>
                <c:pt idx="78">
                  <c:v>-4.4683185790229496E-90</c:v>
                </c:pt>
                <c:pt idx="79">
                  <c:v>1.0339744681258599E-90</c:v>
                </c:pt>
                <c:pt idx="80">
                  <c:v>-9.7871909969822893E-92</c:v>
                </c:pt>
                <c:pt idx="81">
                  <c:v>-1.40714164783325E-95</c:v>
                </c:pt>
                <c:pt idx="82">
                  <c:v>4.3689132264783498E-96</c:v>
                </c:pt>
                <c:pt idx="83">
                  <c:v>-9.2961141791329995E-97</c:v>
                </c:pt>
                <c:pt idx="84">
                  <c:v>1.2176162919714501E-97</c:v>
                </c:pt>
                <c:pt idx="85">
                  <c:v>-7.22920918594272E-99</c:v>
                </c:pt>
                <c:pt idx="86">
                  <c:v>-4.4474960636789402E-102</c:v>
                </c:pt>
                <c:pt idx="87">
                  <c:v>9.1687637587301895E-103</c:v>
                </c:pt>
                <c:pt idx="88">
                  <c:v>-1.3402569831011601E-103</c:v>
                </c:pt>
                <c:pt idx="89">
                  <c:v>1.23476931558636E-104</c:v>
                </c:pt>
                <c:pt idx="90">
                  <c:v>-5.3155674494357703E-106</c:v>
                </c:pt>
                <c:pt idx="91">
                  <c:v>-9.4241489985851897E-109</c:v>
                </c:pt>
                <c:pt idx="92">
                  <c:v>1.4606522685311999E-109</c:v>
                </c:pt>
                <c:pt idx="93">
                  <c:v>-1.6284404289925499E-110</c:v>
                </c:pt>
                <c:pt idx="94">
                  <c:v>1.1582624366478599E-111</c:v>
                </c:pt>
                <c:pt idx="95">
                  <c:v>-3.8691933302408398E-113</c:v>
                </c:pt>
                <c:pt idx="96">
                  <c:v>-1.5961763906725099E-115</c:v>
                </c:pt>
                <c:pt idx="97">
                  <c:v>1.9843342107707401E-116</c:v>
                </c:pt>
                <c:pt idx="98">
                  <c:v>-1.7884160132770599E-117</c:v>
                </c:pt>
                <c:pt idx="99">
                  <c:v>1.0338605308656399E-118</c:v>
                </c:pt>
              </c:numCache>
            </c:numRef>
          </c:yVal>
          <c:smooth val="0"/>
          <c:extLst>
            <c:ext xmlns:c16="http://schemas.microsoft.com/office/drawing/2014/chart" uri="{C3380CC4-5D6E-409C-BE32-E72D297353CC}">
              <c16:uniqueId val="{00000045-CF86-4C2E-BF49-1F263FBF5A1F}"/>
            </c:ext>
          </c:extLst>
        </c:ser>
        <c:ser>
          <c:idx val="70"/>
          <c:order val="70"/>
          <c:tx>
            <c:strRef>
              <c:f>dynamicR!$CB$19</c:f>
              <c:strCache>
                <c:ptCount val="1"/>
                <c:pt idx="0">
                  <c:v>sd2CD</c:v>
                </c:pt>
              </c:strCache>
            </c:strRef>
          </c:tx>
          <c:spPr>
            <a:ln w="19050" cap="rnd">
              <a:solidFill>
                <a:schemeClr val="accent5">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dynamicR!$CB$20:$CB$119</c:f>
              <c:numCache>
                <c:formatCode>0.00</c:formatCode>
                <c:ptCount val="100"/>
                <c:pt idx="0">
                  <c:v>0</c:v>
                </c:pt>
                <c:pt idx="1">
                  <c:v>2.0131948052879201E-2</c:v>
                </c:pt>
                <c:pt idx="2">
                  <c:v>3.9719638302932798E-2</c:v>
                </c:pt>
                <c:pt idx="3">
                  <c:v>5.8915767330644402E-2</c:v>
                </c:pt>
                <c:pt idx="4">
                  <c:v>7.7728168086972804E-2</c:v>
                </c:pt>
                <c:pt idx="5">
                  <c:v>9.6164508097566603E-2</c:v>
                </c:pt>
                <c:pt idx="6">
                  <c:v>0.114232301902849</c:v>
                </c:pt>
                <c:pt idx="7">
                  <c:v>0.13193891662070101</c:v>
                </c:pt>
                <c:pt idx="8">
                  <c:v>0.14929157326867101</c:v>
                </c:pt>
                <c:pt idx="9">
                  <c:v>0.16629734816646999</c:v>
                </c:pt>
                <c:pt idx="10">
                  <c:v>0.18296317558294001</c:v>
                </c:pt>
                <c:pt idx="11">
                  <c:v>0.199295850942519</c:v>
                </c:pt>
                <c:pt idx="12">
                  <c:v>0.21530203382273599</c:v>
                </c:pt>
                <c:pt idx="13">
                  <c:v>0.23098825056093</c:v>
                </c:pt>
                <c:pt idx="14">
                  <c:v>0.24636089738309799</c:v>
                </c:pt>
                <c:pt idx="15">
                  <c:v>0.261426242956459</c:v>
                </c:pt>
                <c:pt idx="16">
                  <c:v>0.276190430483853</c:v>
                </c:pt>
                <c:pt idx="17">
                  <c:v>0.29065948006058001</c:v>
                </c:pt>
                <c:pt idx="18">
                  <c:v>0.30483929137528099</c:v>
                </c:pt>
                <c:pt idx="19">
                  <c:v>0.31873564631051698</c:v>
                </c:pt>
                <c:pt idx="20">
                  <c:v>0.33235421125924602</c:v>
                </c:pt>
                <c:pt idx="21">
                  <c:v>0.34570053931821199</c:v>
                </c:pt>
                <c:pt idx="22">
                  <c:v>0.35878007252130101</c:v>
                </c:pt>
                <c:pt idx="23">
                  <c:v>0.37159814410679398</c:v>
                </c:pt>
                <c:pt idx="24">
                  <c:v>0.38415998072528501</c:v>
                </c:pt>
                <c:pt idx="25">
                  <c:v>0.39647070456030697</c:v>
                </c:pt>
                <c:pt idx="26">
                  <c:v>0.40853533539549802</c:v>
                </c:pt>
                <c:pt idx="27">
                  <c:v>0.420358792659148</c:v>
                </c:pt>
                <c:pt idx="28">
                  <c:v>0.43194589743908501</c:v>
                </c:pt>
                <c:pt idx="29">
                  <c:v>0.44330137445193901</c:v>
                </c:pt>
                <c:pt idx="30">
                  <c:v>0.45442985397019298</c:v>
                </c:pt>
                <c:pt idx="31">
                  <c:v>0.46533587370534202</c:v>
                </c:pt>
                <c:pt idx="32">
                  <c:v>0.47602388065687001</c:v>
                </c:pt>
                <c:pt idx="33">
                  <c:v>0.48649823292773098</c:v>
                </c:pt>
                <c:pt idx="34">
                  <c:v>0.49676320150451397</c:v>
                </c:pt>
                <c:pt idx="35">
                  <c:v>0.50682297199565995</c:v>
                </c:pt>
                <c:pt idx="36">
                  <c:v>0.51668164633763403</c:v>
                </c:pt>
                <c:pt idx="37">
                  <c:v>0.52634324446901803</c:v>
                </c:pt>
                <c:pt idx="38">
                  <c:v>0.53581170596914995</c:v>
                </c:pt>
                <c:pt idx="39">
                  <c:v>0.54509089166537295</c:v>
                </c:pt>
                <c:pt idx="40">
                  <c:v>0.55418458520626701</c:v>
                </c:pt>
                <c:pt idx="41">
                  <c:v>0.56309649460503297</c:v>
                </c:pt>
                <c:pt idx="42">
                  <c:v>0.57183025375002605</c:v>
                </c:pt>
                <c:pt idx="43">
                  <c:v>0.58038942388886205</c:v>
                </c:pt>
                <c:pt idx="44">
                  <c:v>0.58877749507949495</c:v>
                </c:pt>
                <c:pt idx="45">
                  <c:v>0.59699788761303196</c:v>
                </c:pt>
                <c:pt idx="46">
                  <c:v>0.60505395340727197</c:v>
                </c:pt>
                <c:pt idx="47">
                  <c:v>0.61294897737490295</c:v>
                </c:pt>
                <c:pt idx="48">
                  <c:v>0.62068617876418697</c:v>
                </c:pt>
                <c:pt idx="49">
                  <c:v>0.62826871246941196</c:v>
                </c:pt>
                <c:pt idx="50">
                  <c:v>0.62826871246941196</c:v>
                </c:pt>
                <c:pt idx="51">
                  <c:v>0.61556739219623302</c:v>
                </c:pt>
                <c:pt idx="52">
                  <c:v>0.60326159472398599</c:v>
                </c:pt>
                <c:pt idx="53">
                  <c:v>0.59120221232947201</c:v>
                </c:pt>
                <c:pt idx="54">
                  <c:v>0.57938415843147695</c:v>
                </c:pt>
                <c:pt idx="55">
                  <c:v>0.56780229768225998</c:v>
                </c:pt>
                <c:pt idx="56">
                  <c:v>0.55645190031091096</c:v>
                </c:pt>
                <c:pt idx="57">
                  <c:v>0.54532837712920201</c:v>
                </c:pt>
                <c:pt idx="58">
                  <c:v>0.53442720974844604</c:v>
                </c:pt>
                <c:pt idx="59">
                  <c:v>0.52374395903441295</c:v>
                </c:pt>
                <c:pt idx="60">
                  <c:v>0.51327426148697197</c:v>
                </c:pt>
                <c:pt idx="61">
                  <c:v>0.50301384022322904</c:v>
                </c:pt>
                <c:pt idx="62">
                  <c:v>0.49295851938637703</c:v>
                </c:pt>
                <c:pt idx="63">
                  <c:v>0.48310420816275501</c:v>
                </c:pt>
                <c:pt idx="64">
                  <c:v>0.47344688992627698</c:v>
                </c:pt>
                <c:pt idx="65">
                  <c:v>0.46398262435284698</c:v>
                </c:pt>
                <c:pt idx="66">
                  <c:v>0.45470755037426203</c:v>
                </c:pt>
                <c:pt idx="67">
                  <c:v>0.44561788571300998</c:v>
                </c:pt>
                <c:pt idx="68">
                  <c:v>0.43670992443397899</c:v>
                </c:pt>
                <c:pt idx="69">
                  <c:v>0.427980034579651</c:v>
                </c:pt>
                <c:pt idx="70">
                  <c:v>0.41942465651163602</c:v>
                </c:pt>
                <c:pt idx="71">
                  <c:v>0.41104030163213501</c:v>
                </c:pt>
                <c:pt idx="72">
                  <c:v>0.40282355110866502</c:v>
                </c:pt>
                <c:pt idx="73">
                  <c:v>0.39477105450403899</c:v>
                </c:pt>
                <c:pt idx="74">
                  <c:v>0.386879528377431</c:v>
                </c:pt>
                <c:pt idx="75">
                  <c:v>0.37914575497888198</c:v>
                </c:pt>
                <c:pt idx="76">
                  <c:v>0.37156658092949002</c:v>
                </c:pt>
                <c:pt idx="77">
                  <c:v>0.36413891571634799</c:v>
                </c:pt>
                <c:pt idx="78">
                  <c:v>0.35685973049453301</c:v>
                </c:pt>
                <c:pt idx="79">
                  <c:v>0.34972605705762899</c:v>
                </c:pt>
                <c:pt idx="80">
                  <c:v>0.34273498665845697</c:v>
                </c:pt>
                <c:pt idx="81">
                  <c:v>0.33588366870837699</c:v>
                </c:pt>
                <c:pt idx="82">
                  <c:v>0.32916930954155699</c:v>
                </c:pt>
                <c:pt idx="83">
                  <c:v>0.32258917130512899</c:v>
                </c:pt>
                <c:pt idx="84">
                  <c:v>0.31614057089147302</c:v>
                </c:pt>
                <c:pt idx="85">
                  <c:v>0.30982087885190901</c:v>
                </c:pt>
                <c:pt idx="86">
                  <c:v>0.30362751830138401</c:v>
                </c:pt>
                <c:pt idx="87">
                  <c:v>0.29755796385632299</c:v>
                </c:pt>
                <c:pt idx="88">
                  <c:v>0.29160974061084499</c:v>
                </c:pt>
                <c:pt idx="89">
                  <c:v>0.28578042313600199</c:v>
                </c:pt>
                <c:pt idx="90">
                  <c:v>0.28006763449144201</c:v>
                </c:pt>
                <c:pt idx="91">
                  <c:v>0.27446904525221899</c:v>
                </c:pt>
                <c:pt idx="92">
                  <c:v>0.26898237255702001</c:v>
                </c:pt>
                <c:pt idx="93">
                  <c:v>0.26360537917798899</c:v>
                </c:pt>
                <c:pt idx="94">
                  <c:v>0.25833587261091701</c:v>
                </c:pt>
                <c:pt idx="95">
                  <c:v>0.25317170418055202</c:v>
                </c:pt>
                <c:pt idx="96">
                  <c:v>0.24811076816374</c:v>
                </c:pt>
                <c:pt idx="97">
                  <c:v>0.24315100093057501</c:v>
                </c:pt>
                <c:pt idx="98">
                  <c:v>0.23829038010373799</c:v>
                </c:pt>
                <c:pt idx="99">
                  <c:v>0.23352692373328399</c:v>
                </c:pt>
              </c:numCache>
            </c:numRef>
          </c:yVal>
          <c:smooth val="0"/>
          <c:extLst>
            <c:ext xmlns:c16="http://schemas.microsoft.com/office/drawing/2014/chart" uri="{C3380CC4-5D6E-409C-BE32-E72D297353CC}">
              <c16:uniqueId val="{00000046-CF86-4C2E-BF49-1F263FBF5A1F}"/>
            </c:ext>
          </c:extLst>
        </c:ser>
        <c:ser>
          <c:idx val="71"/>
          <c:order val="71"/>
          <c:tx>
            <c:strRef>
              <c:f>dynamicR!$CC$19</c:f>
              <c:strCache>
                <c:ptCount val="1"/>
                <c:pt idx="0">
                  <c:v>sd2CS</c:v>
                </c:pt>
              </c:strCache>
            </c:strRef>
          </c:tx>
          <c:spPr>
            <a:ln w="19050" cap="rnd">
              <a:solidFill>
                <a:schemeClr val="accent6">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dynamicR!$CC$20:$CC$119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-3.66185437111513E-214</c:v>
                </c:pt>
                <c:pt idx="52">
                  <c:v>8.8214131276482698E-216</c:v>
                </c:pt>
                <c:pt idx="53">
                  <c:v>-2.98768751524316E-215</c:v>
                </c:pt>
                <c:pt idx="54">
                  <c:v>3.92872226846599E-214</c:v>
                </c:pt>
                <c:pt idx="55">
                  <c:v>-2.47323046510596E-214</c:v>
                </c:pt>
                <c:pt idx="56">
                  <c:v>8.0631510590097004E-214</c:v>
                </c:pt>
                <c:pt idx="57">
                  <c:v>-2.3497999196105201E-214</c:v>
                </c:pt>
                <c:pt idx="58">
                  <c:v>4.3747527058597302E-215</c:v>
                </c:pt>
                <c:pt idx="59">
                  <c:v>2.6646473445785502E-216</c:v>
                </c:pt>
                <c:pt idx="60">
                  <c:v>-4.9445082106220803E-216</c:v>
                </c:pt>
                <c:pt idx="61">
                  <c:v>2.3536738541017001E-216</c:v>
                </c:pt>
                <c:pt idx="62">
                  <c:v>5.8518265338334097E-215</c:v>
                </c:pt>
                <c:pt idx="63">
                  <c:v>4.5447995671211101E-215</c:v>
                </c:pt>
                <c:pt idx="64">
                  <c:v>-3.68422487139309E-215</c:v>
                </c:pt>
                <c:pt idx="65">
                  <c:v>-8.4265732081448595E-216</c:v>
                </c:pt>
                <c:pt idx="66">
                  <c:v>5.8863830998653705E-215</c:v>
                </c:pt>
                <c:pt idx="67">
                  <c:v>-1.9027114668398299E-215</c:v>
                </c:pt>
                <c:pt idx="68">
                  <c:v>-6.4605646593269098E-215</c:v>
                </c:pt>
                <c:pt idx="69">
                  <c:v>5.5340618068771598E-215</c:v>
                </c:pt>
                <c:pt idx="70">
                  <c:v>5.1569125004278502E-215</c:v>
                </c:pt>
                <c:pt idx="71">
                  <c:v>-9.4514112186898997E-215</c:v>
                </c:pt>
                <c:pt idx="72">
                  <c:v>-1.5702546399310299E-215</c:v>
                </c:pt>
                <c:pt idx="73">
                  <c:v>1.2492130854367401E-214</c:v>
                </c:pt>
                <c:pt idx="74">
                  <c:v>-4.4279404138605501E-215</c:v>
                </c:pt>
                <c:pt idx="75">
                  <c:v>-1.27787681644973E-214</c:v>
                </c:pt>
                <c:pt idx="76">
                  <c:v>1.2345351030712599E-214</c:v>
                </c:pt>
                <c:pt idx="77">
                  <c:v>-8.84984831705283E-215</c:v>
                </c:pt>
                <c:pt idx="78">
                  <c:v>3.4600927396635102E-215</c:v>
                </c:pt>
                <c:pt idx="79">
                  <c:v>-8.0069959519539195E-216</c:v>
                </c:pt>
                <c:pt idx="80">
                  <c:v>7.5811509286252605E-217</c:v>
                </c:pt>
                <c:pt idx="81">
                  <c:v>4.04738364634604E-222</c:v>
                </c:pt>
                <c:pt idx="82">
                  <c:v>-1.2566667485892701E-222</c:v>
                </c:pt>
                <c:pt idx="83">
                  <c:v>2.67409774196645E-223</c:v>
                </c:pt>
                <c:pt idx="84">
                  <c:v>-3.503469327653E-224</c:v>
                </c:pt>
                <c:pt idx="85">
                  <c:v>2.08381471174289E-225</c:v>
                </c:pt>
                <c:pt idx="86">
                  <c:v>4.7307171765449297E-230</c:v>
                </c:pt>
                <c:pt idx="87">
                  <c:v>-9.7969517426515304E-231</c:v>
                </c:pt>
                <c:pt idx="88">
                  <c:v>1.4324551537618099E-231</c:v>
                </c:pt>
                <c:pt idx="89">
                  <c:v>-1.32104212858453E-232</c:v>
                </c:pt>
                <c:pt idx="90">
                  <c:v>5.7268030552117E-234</c:v>
                </c:pt>
                <c:pt idx="91">
                  <c:v>3.7313153688440801E-238</c:v>
                </c:pt>
                <c:pt idx="92">
                  <c:v>-5.7986677082658504E-239</c:v>
                </c:pt>
                <c:pt idx="93">
                  <c:v>6.4695961225757501E-240</c:v>
                </c:pt>
                <c:pt idx="94">
                  <c:v>-4.6150567442869597E-241</c:v>
                </c:pt>
                <c:pt idx="95">
                  <c:v>1.5732735335935601E-242</c:v>
                </c:pt>
                <c:pt idx="96">
                  <c:v>2.3487563775528499E-246</c:v>
                </c:pt>
                <c:pt idx="97">
                  <c:v>-2.9277339298134998E-247</c:v>
                </c:pt>
                <c:pt idx="98">
                  <c:v>2.6433604227247501E-248</c:v>
                </c:pt>
                <c:pt idx="99">
                  <c:v>-1.53878823020153E-249</c:v>
                </c:pt>
              </c:numCache>
            </c:numRef>
          </c:yVal>
          <c:smooth val="0"/>
          <c:extLst>
            <c:ext xmlns:c16="http://schemas.microsoft.com/office/drawing/2014/chart" uri="{C3380CC4-5D6E-409C-BE32-E72D297353CC}">
              <c16:uniqueId val="{00000047-CF86-4C2E-BF49-1F263FBF5A1F}"/>
            </c:ext>
          </c:extLst>
        </c:ser>
        <c:ser>
          <c:idx val="72"/>
          <c:order val="72"/>
          <c:tx>
            <c:strRef>
              <c:f>dynamicR!$CD$19</c:f>
              <c:strCache>
                <c:ptCount val="1"/>
                <c:pt idx="0">
                  <c:v>sd2CA</c:v>
                </c:pt>
              </c:strCache>
            </c:strRef>
          </c:tx>
          <c:spPr>
            <a:ln w="19050" cap="rnd">
              <a:solidFill>
                <a:schemeClr val="accent1">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dynamicR!$CD$20:$CD$119</c:f>
              <c:numCache>
                <c:formatCode>0.00</c:formatCode>
                <c:ptCount val="100"/>
                <c:pt idx="0">
                  <c:v>0</c:v>
                </c:pt>
                <c:pt idx="1">
                  <c:v>1</c:v>
                </c:pt>
                <c:pt idx="2">
                  <c:v>0.999999999999999</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6.9255483260965202E-27</c:v>
                </c:pt>
                <c:pt idx="52">
                  <c:v>-1.6695924599289501E-28</c:v>
                </c:pt>
                <c:pt idx="53">
                  <c:v>5.65737361804961E-28</c:v>
                </c:pt>
                <c:pt idx="54">
                  <c:v>-7.4147297849586906E-27</c:v>
                </c:pt>
                <c:pt idx="55">
                  <c:v>4.6694923143800398E-27</c:v>
                </c:pt>
                <c:pt idx="56">
                  <c:v>-1.52213126743472E-26</c:v>
                </c:pt>
                <c:pt idx="57">
                  <c:v>4.4358429501536401E-27</c:v>
                </c:pt>
                <c:pt idx="58">
                  <c:v>-8.2582174036129301E-28</c:v>
                </c:pt>
                <c:pt idx="59">
                  <c:v>-5.0306093031703397E-29</c:v>
                </c:pt>
                <c:pt idx="60">
                  <c:v>9.33431305749636E-29</c:v>
                </c:pt>
                <c:pt idx="61">
                  <c:v>-4.4423349997101499E-29</c:v>
                </c:pt>
                <c:pt idx="62">
                  <c:v>-1.1046661885380999E-27</c:v>
                </c:pt>
                <c:pt idx="63">
                  <c:v>-8.5793266953735691E-28</c:v>
                </c:pt>
                <c:pt idx="64">
                  <c:v>6.9548863941831401E-28</c:v>
                </c:pt>
                <c:pt idx="65">
                  <c:v>1.59069346690685E-28</c:v>
                </c:pt>
                <c:pt idx="66">
                  <c:v>-1.11119505260057E-27</c:v>
                </c:pt>
                <c:pt idx="67">
                  <c:v>3.5918425323757598E-28</c:v>
                </c:pt>
                <c:pt idx="68">
                  <c:v>1.2195834910622501E-27</c:v>
                </c:pt>
                <c:pt idx="69">
                  <c:v>-1.0446865425497199E-27</c:v>
                </c:pt>
                <c:pt idx="70">
                  <c:v>-9.7348735992351394E-28</c:v>
                </c:pt>
                <c:pt idx="71">
                  <c:v>1.7841766754827101E-27</c:v>
                </c:pt>
                <c:pt idx="72">
                  <c:v>2.9642160997886802E-28</c:v>
                </c:pt>
                <c:pt idx="73">
                  <c:v>-2.3581820300005301E-27</c:v>
                </c:pt>
                <c:pt idx="74">
                  <c:v>8.3587643059496996E-28</c:v>
                </c:pt>
                <c:pt idx="75">
                  <c:v>2.4122906983569401E-27</c:v>
                </c:pt>
                <c:pt idx="76">
                  <c:v>-2.3304708219108899E-27</c:v>
                </c:pt>
                <c:pt idx="77">
                  <c:v>1.6706083631847299E-27</c:v>
                </c:pt>
                <c:pt idx="78">
                  <c:v>-6.5316333391643204E-28</c:v>
                </c:pt>
                <c:pt idx="79">
                  <c:v>1.5114260420396801E-28</c:v>
                </c:pt>
                <c:pt idx="80">
                  <c:v>-1.43064188718956E-29</c:v>
                </c:pt>
                <c:pt idx="81">
                  <c:v>-2.1280336833364398E-33</c:v>
                </c:pt>
                <c:pt idx="82">
                  <c:v>6.6071400901917297E-34</c:v>
                </c:pt>
                <c:pt idx="83">
                  <c:v>-1.4058528594296501E-34</c:v>
                </c:pt>
                <c:pt idx="84">
                  <c:v>1.8413757587574799E-35</c:v>
                </c:pt>
                <c:pt idx="85">
                  <c:v>-1.0931450925173099E-36</c:v>
                </c:pt>
                <c:pt idx="86">
                  <c:v>-7.09854234044845E-40</c:v>
                </c:pt>
                <c:pt idx="87">
                  <c:v>1.46340427867368E-40</c:v>
                </c:pt>
                <c:pt idx="88">
                  <c:v>-2.1391071216955899E-41</c:v>
                </c:pt>
                <c:pt idx="89">
                  <c:v>1.9705841295404101E-42</c:v>
                </c:pt>
                <c:pt idx="90">
                  <c:v>-8.4783870374360998E-44</c:v>
                </c:pt>
                <c:pt idx="91">
                  <c:v>-1.6209140729776101E-46</c:v>
                </c:pt>
                <c:pt idx="92">
                  <c:v>2.5122013330926199E-47</c:v>
                </c:pt>
                <c:pt idx="93">
                  <c:v>-2.8005731122838003E-48</c:v>
                </c:pt>
                <c:pt idx="94">
                  <c:v>1.9913817250934799E-49</c:v>
                </c:pt>
                <c:pt idx="95">
                  <c:v>-6.6384705820780101E-51</c:v>
                </c:pt>
                <c:pt idx="96">
                  <c:v>-3.0110943530666299E-53</c:v>
                </c:pt>
                <c:pt idx="97">
                  <c:v>3.7430710570005801E-54</c:v>
                </c:pt>
                <c:pt idx="98">
                  <c:v>-3.3728206574148103E-55</c:v>
                </c:pt>
                <c:pt idx="99">
                  <c:v>1.94821543748709E-56</c:v>
                </c:pt>
              </c:numCache>
            </c:numRef>
          </c:yVal>
          <c:smooth val="0"/>
          <c:extLst>
            <c:ext xmlns:c16="http://schemas.microsoft.com/office/drawing/2014/chart" uri="{C3380CC4-5D6E-409C-BE32-E72D297353CC}">
              <c16:uniqueId val="{00000048-CF86-4C2E-BF49-1F263FBF5A1F}"/>
            </c:ext>
          </c:extLst>
        </c:ser>
        <c:ser>
          <c:idx val="73"/>
          <c:order val="73"/>
          <c:tx>
            <c:strRef>
              <c:f>dynamicR!$CE$19</c:f>
              <c:strCache>
                <c:ptCount val="1"/>
                <c:pt idx="0">
                  <c:v>sd2CP</c:v>
                </c:pt>
              </c:strCache>
            </c:strRef>
          </c:tx>
          <c:spPr>
            <a:ln w="19050" cap="rnd">
              <a:solidFill>
                <a:schemeClr val="accent2">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dynamicR!$CE$20:$CE$119</c:f>
              <c:numCache>
                <c:formatCode>0.00</c:formatCode>
                <c:ptCount val="100"/>
                <c:pt idx="0">
                  <c:v>0</c:v>
                </c:pt>
                <c:pt idx="1">
                  <c:v>1.00000000000001</c:v>
                </c:pt>
                <c:pt idx="2">
                  <c:v>1.00000000000003</c:v>
                </c:pt>
                <c:pt idx="3">
                  <c:v>1.00000000000005</c:v>
                </c:pt>
                <c:pt idx="4">
                  <c:v>0.99999999999992295</c:v>
                </c:pt>
                <c:pt idx="5">
                  <c:v>0.999999999999999</c:v>
                </c:pt>
                <c:pt idx="6">
                  <c:v>0.99999999999996303</c:v>
                </c:pt>
                <c:pt idx="7">
                  <c:v>1.00000000000005</c:v>
                </c:pt>
                <c:pt idx="8">
                  <c:v>0.99999999999997702</c:v>
                </c:pt>
                <c:pt idx="9">
                  <c:v>1.00000000000001</c:v>
                </c:pt>
                <c:pt idx="10">
                  <c:v>1.00000000000001</c:v>
                </c:pt>
                <c:pt idx="11">
                  <c:v>0.99999999999998701</c:v>
                </c:pt>
                <c:pt idx="12">
                  <c:v>1.00000000000001</c:v>
                </c:pt>
                <c:pt idx="13">
                  <c:v>1.00000000000002</c:v>
                </c:pt>
                <c:pt idx="14">
                  <c:v>0.99999999999997102</c:v>
                </c:pt>
                <c:pt idx="15">
                  <c:v>0.99999999999996902</c:v>
                </c:pt>
                <c:pt idx="16">
                  <c:v>1.00000000000005</c:v>
                </c:pt>
                <c:pt idx="17">
                  <c:v>0.99999999999998901</c:v>
                </c:pt>
                <c:pt idx="18">
                  <c:v>0.99999999999991895</c:v>
                </c:pt>
                <c:pt idx="19">
                  <c:v>1.0000000000000899</c:v>
                </c:pt>
                <c:pt idx="20">
                  <c:v>1.00000000000005</c:v>
                </c:pt>
                <c:pt idx="21">
                  <c:v>0.99999999999980904</c:v>
                </c:pt>
                <c:pt idx="22">
                  <c:v>1.0000000000000699</c:v>
                </c:pt>
                <c:pt idx="23">
                  <c:v>0.99999999999996103</c:v>
                </c:pt>
                <c:pt idx="24">
                  <c:v>1.00000000000001</c:v>
                </c:pt>
                <c:pt idx="25">
                  <c:v>0.999999999999999</c:v>
                </c:pt>
                <c:pt idx="26">
                  <c:v>1</c:v>
                </c:pt>
                <c:pt idx="27">
                  <c:v>0.999999999999999</c:v>
                </c:pt>
                <c:pt idx="28">
                  <c:v>1</c:v>
                </c:pt>
                <c:pt idx="29">
                  <c:v>1</c:v>
                </c:pt>
                <c:pt idx="30">
                  <c:v>1</c:v>
                </c:pt>
                <c:pt idx="31">
                  <c:v>0.999999999999999</c:v>
                </c:pt>
                <c:pt idx="32">
                  <c:v>1</c:v>
                </c:pt>
                <c:pt idx="33">
                  <c:v>1</c:v>
                </c:pt>
                <c:pt idx="34">
                  <c:v>1</c:v>
                </c:pt>
                <c:pt idx="35">
                  <c:v>0.999999999999999</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2.8406113931697101E-24</c:v>
                </c:pt>
                <c:pt idx="52">
                  <c:v>-7.0102029886884202E-26</c:v>
                </c:pt>
                <c:pt idx="53">
                  <c:v>2.4131109826544901E-25</c:v>
                </c:pt>
                <c:pt idx="54">
                  <c:v>-2.83385373331163E-24</c:v>
                </c:pt>
                <c:pt idx="55">
                  <c:v>1.8079991146253699E-24</c:v>
                </c:pt>
                <c:pt idx="56">
                  <c:v>-5.8666301156619902E-24</c:v>
                </c:pt>
                <c:pt idx="57">
                  <c:v>1.70963458362061E-24</c:v>
                </c:pt>
                <c:pt idx="58">
                  <c:v>-3.1810218995960601E-25</c:v>
                </c:pt>
                <c:pt idx="59">
                  <c:v>-1.9376780918403599E-26</c:v>
                </c:pt>
                <c:pt idx="60">
                  <c:v>3.5954403294837999E-26</c:v>
                </c:pt>
                <c:pt idx="61">
                  <c:v>-1.7112713084519399E-26</c:v>
                </c:pt>
                <c:pt idx="62">
                  <c:v>-4.2550892833280202E-25</c:v>
                </c:pt>
                <c:pt idx="63">
                  <c:v>-3.3046942266371602E-25</c:v>
                </c:pt>
                <c:pt idx="64">
                  <c:v>2.67895818474774E-25</c:v>
                </c:pt>
                <c:pt idx="65">
                  <c:v>6.1272522505031998E-26</c:v>
                </c:pt>
                <c:pt idx="66">
                  <c:v>-4.28022944665336E-25</c:v>
                </c:pt>
                <c:pt idx="67">
                  <c:v>1.3835441213306301E-25</c:v>
                </c:pt>
                <c:pt idx="68">
                  <c:v>4.6977356557051197E-25</c:v>
                </c:pt>
                <c:pt idx="69">
                  <c:v>-4.0240435142055202E-25</c:v>
                </c:pt>
                <c:pt idx="70">
                  <c:v>-3.7497952539708902E-25</c:v>
                </c:pt>
                <c:pt idx="71">
                  <c:v>6.8725015176110204E-25</c:v>
                </c:pt>
                <c:pt idx="72">
                  <c:v>1.14179302707129E-25</c:v>
                </c:pt>
                <c:pt idx="73">
                  <c:v>-9.0835261525911602E-25</c:v>
                </c:pt>
                <c:pt idx="74">
                  <c:v>3.2197298815004902E-25</c:v>
                </c:pt>
                <c:pt idx="75">
                  <c:v>9.2919495613063795E-25</c:v>
                </c:pt>
                <c:pt idx="76">
                  <c:v>-8.9767898292728904E-25</c:v>
                </c:pt>
                <c:pt idx="77">
                  <c:v>6.4350600779133399E-25</c:v>
                </c:pt>
                <c:pt idx="78">
                  <c:v>-2.5159481443422601E-25</c:v>
                </c:pt>
                <c:pt idx="79">
                  <c:v>5.8220184972330896E-26</c:v>
                </c:pt>
                <c:pt idx="80">
                  <c:v>-5.5114616603930497E-27</c:v>
                </c:pt>
                <c:pt idx="81">
                  <c:v>-4.9999027043041204E-31</c:v>
                </c:pt>
                <c:pt idx="82">
                  <c:v>1.5524232829857099E-31</c:v>
                </c:pt>
                <c:pt idx="83">
                  <c:v>-3.3035082829365799E-32</c:v>
                </c:pt>
                <c:pt idx="84">
                  <c:v>4.3284001706554303E-33</c:v>
                </c:pt>
                <c:pt idx="85">
                  <c:v>-2.5757477354923599E-34</c:v>
                </c:pt>
                <c:pt idx="86">
                  <c:v>3.61302265689479E-38</c:v>
                </c:pt>
                <c:pt idx="87">
                  <c:v>-7.4417964616685497E-39</c:v>
                </c:pt>
                <c:pt idx="88">
                  <c:v>1.08524070771225E-39</c:v>
                </c:pt>
                <c:pt idx="89">
                  <c:v>-9.9060615515951508E-41</c:v>
                </c:pt>
                <c:pt idx="90">
                  <c:v>3.9885268046393799E-42</c:v>
                </c:pt>
                <c:pt idx="91">
                  <c:v>7.4827263954436896E-44</c:v>
                </c:pt>
                <c:pt idx="92">
                  <c:v>-1.1593506904083801E-44</c:v>
                </c:pt>
                <c:pt idx="93">
                  <c:v>1.2912584124634101E-45</c:v>
                </c:pt>
                <c:pt idx="94">
                  <c:v>-9.1490055299045608E-47</c:v>
                </c:pt>
                <c:pt idx="95">
                  <c:v>2.9730115310101203E-48</c:v>
                </c:pt>
                <c:pt idx="96">
                  <c:v>2.87337294271758E-50</c:v>
                </c:pt>
                <c:pt idx="97">
                  <c:v>-3.5704870518746398E-51</c:v>
                </c:pt>
                <c:pt idx="98">
                  <c:v>3.21369169444547E-52</c:v>
                </c:pt>
                <c:pt idx="99">
                  <c:v>-1.8480460872039799E-53</c:v>
                </c:pt>
              </c:numCache>
            </c:numRef>
          </c:yVal>
          <c:smooth val="0"/>
          <c:extLst>
            <c:ext xmlns:c16="http://schemas.microsoft.com/office/drawing/2014/chart" uri="{C3380CC4-5D6E-409C-BE32-E72D297353CC}">
              <c16:uniqueId val="{00000049-CF86-4C2E-BF49-1F263FBF5A1F}"/>
            </c:ext>
          </c:extLst>
        </c:ser>
        <c:ser>
          <c:idx val="74"/>
          <c:order val="74"/>
          <c:tx>
            <c:strRef>
              <c:f>dynamicR!$CF$19</c:f>
              <c:strCache>
                <c:ptCount val="1"/>
                <c:pt idx="0">
                  <c:v>s1CD</c:v>
                </c:pt>
              </c:strCache>
            </c:strRef>
          </c:tx>
          <c:spPr>
            <a:ln w="19050" cap="rnd">
              <a:solidFill>
                <a:schemeClr val="accent3">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dynamicR!$CF$20:$CF$119</c:f>
              <c:numCache>
                <c:formatCode>0.00</c:formatCode>
                <c:ptCount val="100"/>
                <c:pt idx="0">
                  <c:v>0</c:v>
                </c:pt>
                <c:pt idx="1">
                  <c:v>0.99999999999999001</c:v>
                </c:pt>
                <c:pt idx="2">
                  <c:v>0.99999999999998801</c:v>
                </c:pt>
                <c:pt idx="3">
                  <c:v>0.99999999999998701</c:v>
                </c:pt>
                <c:pt idx="4">
                  <c:v>0.99999999999999101</c:v>
                </c:pt>
                <c:pt idx="5">
                  <c:v>0.99999999999999101</c:v>
                </c:pt>
                <c:pt idx="6">
                  <c:v>0.99999999999999201</c:v>
                </c:pt>
                <c:pt idx="7">
                  <c:v>0.99999999999999101</c:v>
                </c:pt>
                <c:pt idx="8">
                  <c:v>0.99999999999999201</c:v>
                </c:pt>
                <c:pt idx="9">
                  <c:v>0.99999999999999101</c:v>
                </c:pt>
                <c:pt idx="10">
                  <c:v>0.99999999999999201</c:v>
                </c:pt>
                <c:pt idx="11">
                  <c:v>0.99999999999999201</c:v>
                </c:pt>
                <c:pt idx="12">
                  <c:v>0.99999999999999201</c:v>
                </c:pt>
                <c:pt idx="13">
                  <c:v>0.99999999999999201</c:v>
                </c:pt>
                <c:pt idx="14">
                  <c:v>0.99999999999999201</c:v>
                </c:pt>
                <c:pt idx="15">
                  <c:v>0.99999999999999201</c:v>
                </c:pt>
                <c:pt idx="16">
                  <c:v>0.99999999999999301</c:v>
                </c:pt>
                <c:pt idx="17">
                  <c:v>0.99999999999999301</c:v>
                </c:pt>
                <c:pt idx="18">
                  <c:v>0.99999999999999301</c:v>
                </c:pt>
                <c:pt idx="19">
                  <c:v>0.99999999999999301</c:v>
                </c:pt>
                <c:pt idx="20">
                  <c:v>0.999999999999994</c:v>
                </c:pt>
                <c:pt idx="21">
                  <c:v>0.999999999999994</c:v>
                </c:pt>
                <c:pt idx="22">
                  <c:v>0.99999999999999301</c:v>
                </c:pt>
                <c:pt idx="23">
                  <c:v>0.999999999999994</c:v>
                </c:pt>
                <c:pt idx="24">
                  <c:v>0.999999999999994</c:v>
                </c:pt>
                <c:pt idx="25">
                  <c:v>0.999999999999994</c:v>
                </c:pt>
                <c:pt idx="26">
                  <c:v>0.999999999999994</c:v>
                </c:pt>
                <c:pt idx="27">
                  <c:v>0.999999999999994</c:v>
                </c:pt>
                <c:pt idx="28">
                  <c:v>0.999999999999995</c:v>
                </c:pt>
                <c:pt idx="29">
                  <c:v>0.999999999999994</c:v>
                </c:pt>
                <c:pt idx="30">
                  <c:v>0.999999999999995</c:v>
                </c:pt>
                <c:pt idx="31">
                  <c:v>0.999999999999995</c:v>
                </c:pt>
                <c:pt idx="32">
                  <c:v>0.999999999999995</c:v>
                </c:pt>
                <c:pt idx="33">
                  <c:v>0.999999999999994</c:v>
                </c:pt>
                <c:pt idx="34">
                  <c:v>0.999999999999995</c:v>
                </c:pt>
                <c:pt idx="35">
                  <c:v>0.999999999999995</c:v>
                </c:pt>
                <c:pt idx="36">
                  <c:v>0.999999999999995</c:v>
                </c:pt>
                <c:pt idx="37">
                  <c:v>0.999999999999995</c:v>
                </c:pt>
                <c:pt idx="38">
                  <c:v>0.999999999999995</c:v>
                </c:pt>
                <c:pt idx="39">
                  <c:v>0.999999999999996</c:v>
                </c:pt>
                <c:pt idx="40">
                  <c:v>0.999999999999996</c:v>
                </c:pt>
                <c:pt idx="41">
                  <c:v>0.999999999999996</c:v>
                </c:pt>
                <c:pt idx="42">
                  <c:v>0.999999999999995</c:v>
                </c:pt>
                <c:pt idx="43">
                  <c:v>0.999999999999996</c:v>
                </c:pt>
                <c:pt idx="44">
                  <c:v>0.999999999999996</c:v>
                </c:pt>
                <c:pt idx="45">
                  <c:v>0.999999999999996</c:v>
                </c:pt>
                <c:pt idx="46">
                  <c:v>0.999999999999996</c:v>
                </c:pt>
                <c:pt idx="47">
                  <c:v>0.999999999999996</c:v>
                </c:pt>
                <c:pt idx="48">
                  <c:v>0.999999999999996</c:v>
                </c:pt>
                <c:pt idx="49">
                  <c:v>0.999999999999997</c:v>
                </c:pt>
                <c:pt idx="50">
                  <c:v>0.999999999999997</c:v>
                </c:pt>
                <c:pt idx="51">
                  <c:v>6.2032099342459603E-15</c:v>
                </c:pt>
                <c:pt idx="52">
                  <c:v>6.0792016678953202E-15</c:v>
                </c:pt>
                <c:pt idx="53">
                  <c:v>5.9576765812524098E-15</c:v>
                </c:pt>
                <c:pt idx="54">
                  <c:v>5.8385834157074801E-15</c:v>
                </c:pt>
                <c:pt idx="55">
                  <c:v>5.72187042121044E-15</c:v>
                </c:pt>
                <c:pt idx="56">
                  <c:v>5.6074899348144898E-15</c:v>
                </c:pt>
                <c:pt idx="57">
                  <c:v>5.49539571023122E-15</c:v>
                </c:pt>
                <c:pt idx="58">
                  <c:v>5.3855422146631003E-15</c:v>
                </c:pt>
                <c:pt idx="59">
                  <c:v>5.2778847139579704E-15</c:v>
                </c:pt>
                <c:pt idx="60">
                  <c:v>5.1723792361529399E-15</c:v>
                </c:pt>
                <c:pt idx="61">
                  <c:v>5.0689826821449697E-15</c:v>
                </c:pt>
                <c:pt idx="62">
                  <c:v>4.9676529708936197E-15</c:v>
                </c:pt>
                <c:pt idx="63">
                  <c:v>4.8683488783564104E-15</c:v>
                </c:pt>
                <c:pt idx="64">
                  <c:v>4.7710299280961999E-15</c:v>
                </c:pt>
                <c:pt idx="65">
                  <c:v>4.67565641258899E-15</c:v>
                </c:pt>
                <c:pt idx="66">
                  <c:v>4.5821894229888296E-15</c:v>
                </c:pt>
                <c:pt idx="67">
                  <c:v>4.49059084444048E-15</c:v>
                </c:pt>
                <c:pt idx="68">
                  <c:v>4.4008233314100098E-15</c:v>
                </c:pt>
                <c:pt idx="69">
                  <c:v>4.31285028385198E-15</c:v>
                </c:pt>
                <c:pt idx="70">
                  <c:v>4.2266358304947203E-15</c:v>
                </c:pt>
                <c:pt idx="71">
                  <c:v>4.1421448159598503E-15</c:v>
                </c:pt>
                <c:pt idx="72">
                  <c:v>4.0593427879117098E-15</c:v>
                </c:pt>
                <c:pt idx="73">
                  <c:v>3.9781959832464803E-15</c:v>
                </c:pt>
                <c:pt idx="74">
                  <c:v>3.8986713139964802E-15</c:v>
                </c:pt>
                <c:pt idx="75">
                  <c:v>3.8207363541796704E-15</c:v>
                </c:pt>
                <c:pt idx="76">
                  <c:v>3.7443593264946903E-15</c:v>
                </c:pt>
                <c:pt idx="77">
                  <c:v>3.66950908714928E-15</c:v>
                </c:pt>
                <c:pt idx="78">
                  <c:v>3.5961551138017397E-15</c:v>
                </c:pt>
                <c:pt idx="79">
                  <c:v>3.5242674951711998E-15</c:v>
                </c:pt>
                <c:pt idx="80">
                  <c:v>3.45381691916456E-15</c:v>
                </c:pt>
                <c:pt idx="81">
                  <c:v>3.3847746597638702E-15</c:v>
                </c:pt>
                <c:pt idx="82">
                  <c:v>3.3171125645753801E-15</c:v>
                </c:pt>
                <c:pt idx="83">
                  <c:v>3.2508030436449599E-15</c:v>
                </c:pt>
                <c:pt idx="84">
                  <c:v>3.1858190586985601E-15</c:v>
                </c:pt>
                <c:pt idx="85">
                  <c:v>3.12213411219526E-15</c:v>
                </c:pt>
                <c:pt idx="86">
                  <c:v>3.0597222362894901E-15</c:v>
                </c:pt>
                <c:pt idx="87">
                  <c:v>2.99855798212763E-15</c:v>
                </c:pt>
                <c:pt idx="88">
                  <c:v>2.9386164095309799E-15</c:v>
                </c:pt>
                <c:pt idx="89">
                  <c:v>2.8798730769109602E-15</c:v>
                </c:pt>
                <c:pt idx="90">
                  <c:v>2.8223040313094E-15</c:v>
                </c:pt>
                <c:pt idx="91">
                  <c:v>2.7658857985914498E-15</c:v>
                </c:pt>
                <c:pt idx="92">
                  <c:v>2.7105953738543901E-15</c:v>
                </c:pt>
                <c:pt idx="93">
                  <c:v>2.6564102120540302E-15</c:v>
                </c:pt>
                <c:pt idx="94">
                  <c:v>2.6033082188363399E-15</c:v>
                </c:pt>
                <c:pt idx="95">
                  <c:v>2.5512677415214699E-15</c:v>
                </c:pt>
                <c:pt idx="96">
                  <c:v>2.5002675602674498E-15</c:v>
                </c:pt>
                <c:pt idx="97">
                  <c:v>2.4502868794153602E-15</c:v>
                </c:pt>
                <c:pt idx="98">
                  <c:v>2.4013053190177901E-15</c:v>
                </c:pt>
                <c:pt idx="99">
                  <c:v>2.3533029065229899E-15</c:v>
                </c:pt>
              </c:numCache>
            </c:numRef>
          </c:yVal>
          <c:smooth val="0"/>
          <c:extLst>
            <c:ext xmlns:c16="http://schemas.microsoft.com/office/drawing/2014/chart" uri="{C3380CC4-5D6E-409C-BE32-E72D297353CC}">
              <c16:uniqueId val="{0000004A-CF86-4C2E-BF49-1F263FBF5A1F}"/>
            </c:ext>
          </c:extLst>
        </c:ser>
        <c:ser>
          <c:idx val="75"/>
          <c:order val="75"/>
          <c:tx>
            <c:strRef>
              <c:f>dynamicR!$CG$19</c:f>
              <c:strCache>
                <c:ptCount val="1"/>
                <c:pt idx="0">
                  <c:v>s1CS</c:v>
                </c:pt>
              </c:strCache>
            </c:strRef>
          </c:tx>
          <c:spPr>
            <a:ln w="19050" cap="rnd">
              <a:solidFill>
                <a:schemeClr val="accent4">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dynamicR!$CG$20:$CG$119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1</c:v>
                </c:pt>
                <c:pt idx="21">
                  <c:v>1</c:v>
                </c:pt>
                <c:pt idx="22">
                  <c:v>0.999999999999998</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-4.1107927925044697E-214</c:v>
                </c:pt>
                <c:pt idx="52">
                  <c:v>9.9029048418384499E-216</c:v>
                </c:pt>
                <c:pt idx="53">
                  <c:v>-3.3539735954927998E-215</c:v>
                </c:pt>
                <c:pt idx="54">
                  <c:v>4.4103781233139503E-214</c:v>
                </c:pt>
                <c:pt idx="55">
                  <c:v>-2.7764451070660199E-214</c:v>
                </c:pt>
                <c:pt idx="56">
                  <c:v>9.0516821458869598E-214</c:v>
                </c:pt>
                <c:pt idx="57">
                  <c:v>-2.6378821150263399E-214</c:v>
                </c:pt>
                <c:pt idx="58">
                  <c:v>4.9110912867474298E-215</c:v>
                </c:pt>
                <c:pt idx="59">
                  <c:v>2.9913293930163698E-216</c:v>
                </c:pt>
                <c:pt idx="60">
                  <c:v>-5.5506980218365903E-216</c:v>
                </c:pt>
                <c:pt idx="61">
                  <c:v>2.6422309862770401E-216</c:v>
                </c:pt>
                <c:pt idx="62">
                  <c:v>6.5692523061642404E-215</c:v>
                </c:pt>
                <c:pt idx="63">
                  <c:v>5.10198565605911E-215</c:v>
                </c:pt>
                <c:pt idx="64">
                  <c:v>-4.1359057027571398E-215</c:v>
                </c:pt>
                <c:pt idx="65">
                  <c:v>-9.4596593321095803E-216</c:v>
                </c:pt>
                <c:pt idx="66">
                  <c:v>6.6080454590005796E-215</c:v>
                </c:pt>
                <c:pt idx="67">
                  <c:v>-2.13598123923115E-215</c:v>
                </c:pt>
                <c:pt idx="68">
                  <c:v>-7.2526208769219898E-215</c:v>
                </c:pt>
                <c:pt idx="69">
                  <c:v>6.2125300668249201E-215</c:v>
                </c:pt>
                <c:pt idx="70">
                  <c:v>5.7891427813616401E-215</c:v>
                </c:pt>
                <c:pt idx="71">
                  <c:v>-1.0610141053551101E-214</c:v>
                </c:pt>
                <c:pt idx="72">
                  <c:v>-1.76276566897371E-215</c:v>
                </c:pt>
                <c:pt idx="73">
                  <c:v>1.40236486760998E-214</c:v>
                </c:pt>
                <c:pt idx="74">
                  <c:v>-4.9707997335760604E-215</c:v>
                </c:pt>
                <c:pt idx="75">
                  <c:v>-1.4345427320718801E-214</c:v>
                </c:pt>
                <c:pt idx="76">
                  <c:v>1.38588738507585E-214</c:v>
                </c:pt>
                <c:pt idx="77">
                  <c:v>-9.9348273790884306E-215</c:v>
                </c:pt>
                <c:pt idx="78">
                  <c:v>3.8842952842430098E-215</c:v>
                </c:pt>
                <c:pt idx="79">
                  <c:v>-8.9886424894342905E-216</c:v>
                </c:pt>
                <c:pt idx="80">
                  <c:v>8.51058946009072E-217</c:v>
                </c:pt>
                <c:pt idx="81">
                  <c:v>4.5435888262101702E-222</c:v>
                </c:pt>
                <c:pt idx="82">
                  <c:v>-1.4107331533820501E-222</c:v>
                </c:pt>
                <c:pt idx="83">
                  <c:v>3.0019411842054902E-223</c:v>
                </c:pt>
                <c:pt idx="84">
                  <c:v>-3.93299507737843E-224</c:v>
                </c:pt>
                <c:pt idx="85">
                  <c:v>2.3392929966719E-225</c:v>
                </c:pt>
                <c:pt idx="86">
                  <c:v>5.2918817194502403E-230</c:v>
                </c:pt>
                <c:pt idx="87">
                  <c:v>-1.0998048619247499E-230</c:v>
                </c:pt>
                <c:pt idx="88">
                  <c:v>1.6080731737520701E-231</c:v>
                </c:pt>
                <c:pt idx="89">
                  <c:v>-1.48300113965758E-232</c:v>
                </c:pt>
                <c:pt idx="90">
                  <c:v>6.4289055913363995E-234</c:v>
                </c:pt>
                <c:pt idx="91">
                  <c:v>4.1745692271514802E-238</c:v>
                </c:pt>
                <c:pt idx="92">
                  <c:v>-6.5095813478275403E-239</c:v>
                </c:pt>
                <c:pt idx="93">
                  <c:v>7.2627671426801695E-240</c:v>
                </c:pt>
                <c:pt idx="94">
                  <c:v>-5.1808640210720301E-241</c:v>
                </c:pt>
                <c:pt idx="95">
                  <c:v>1.7661570985376401E-242</c:v>
                </c:pt>
                <c:pt idx="96">
                  <c:v>2.6352738116908101E-246</c:v>
                </c:pt>
                <c:pt idx="97">
                  <c:v>-3.2866747828442697E-247</c:v>
                </c:pt>
                <c:pt idx="98">
                  <c:v>2.9674375740180901E-248</c:v>
                </c:pt>
                <c:pt idx="99">
                  <c:v>-1.7274435835054901E-249</c:v>
                </c:pt>
              </c:numCache>
            </c:numRef>
          </c:yVal>
          <c:smooth val="0"/>
          <c:extLst>
            <c:ext xmlns:c16="http://schemas.microsoft.com/office/drawing/2014/chart" uri="{C3380CC4-5D6E-409C-BE32-E72D297353CC}">
              <c16:uniqueId val="{0000004B-CF86-4C2E-BF49-1F263FBF5A1F}"/>
            </c:ext>
          </c:extLst>
        </c:ser>
        <c:ser>
          <c:idx val="76"/>
          <c:order val="76"/>
          <c:tx>
            <c:strRef>
              <c:f>dynamicR!$CH$19</c:f>
              <c:strCache>
                <c:ptCount val="1"/>
                <c:pt idx="0">
                  <c:v>s1CA</c:v>
                </c:pt>
              </c:strCache>
            </c:strRef>
          </c:tx>
          <c:spPr>
            <a:ln w="19050" cap="rnd">
              <a:solidFill>
                <a:schemeClr val="accent5">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dynamicR!$CH$20:$CH$119</c:f>
              <c:numCache>
                <c:formatCode>0.00</c:formatCode>
                <c:ptCount val="100"/>
                <c:pt idx="0">
                  <c:v>0</c:v>
                </c:pt>
                <c:pt idx="1">
                  <c:v>1</c:v>
                </c:pt>
                <c:pt idx="2">
                  <c:v>0.999999999999997</c:v>
                </c:pt>
                <c:pt idx="3">
                  <c:v>0.999999999999997</c:v>
                </c:pt>
                <c:pt idx="4">
                  <c:v>1</c:v>
                </c:pt>
                <c:pt idx="5">
                  <c:v>1</c:v>
                </c:pt>
                <c:pt idx="6">
                  <c:v>1</c:v>
                </c:pt>
                <c:pt idx="7">
                  <c:v>0.999999999999999</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-8.45977484174395E-94</c:v>
                </c:pt>
                <c:pt idx="52">
                  <c:v>2.0379740143632101E-95</c:v>
                </c:pt>
                <c:pt idx="53">
                  <c:v>-6.90219344545648E-95</c:v>
                </c:pt>
                <c:pt idx="54">
                  <c:v>9.07630893974298E-94</c:v>
                </c:pt>
                <c:pt idx="55">
                  <c:v>-5.71375168529204E-94</c:v>
                </c:pt>
                <c:pt idx="56">
                  <c:v>1.86277924426172E-93</c:v>
                </c:pt>
                <c:pt idx="57">
                  <c:v>-5.4285767112166095E-94</c:v>
                </c:pt>
                <c:pt idx="58">
                  <c:v>1.0106575821800801E-94</c:v>
                </c:pt>
                <c:pt idx="59">
                  <c:v>6.1564682057395904E-96</c:v>
                </c:pt>
                <c:pt idx="60">
                  <c:v>-1.1423427070999301E-95</c:v>
                </c:pt>
                <c:pt idx="61">
                  <c:v>5.4367385698912496E-96</c:v>
                </c:pt>
                <c:pt idx="62">
                  <c:v>1.3519101900187699E-94</c:v>
                </c:pt>
                <c:pt idx="63">
                  <c:v>1.04995369257661E-94</c:v>
                </c:pt>
                <c:pt idx="64">
                  <c:v>-8.5115023655211094E-95</c:v>
                </c:pt>
                <c:pt idx="65">
                  <c:v>-1.9467216082195801E-95</c:v>
                </c:pt>
                <c:pt idx="66">
                  <c:v>1.3598993917838599E-94</c:v>
                </c:pt>
                <c:pt idx="67">
                  <c:v>-4.39575431780899E-95</c:v>
                </c:pt>
                <c:pt idx="68">
                  <c:v>-1.49254734678837E-94</c:v>
                </c:pt>
                <c:pt idx="69">
                  <c:v>1.27850505747543E-94</c:v>
                </c:pt>
                <c:pt idx="70">
                  <c:v>1.1913708420443399E-94</c:v>
                </c:pt>
                <c:pt idx="71">
                  <c:v>-2.18350614394523E-94</c:v>
                </c:pt>
                <c:pt idx="72">
                  <c:v>-3.6276603558657703E-95</c:v>
                </c:pt>
                <c:pt idx="73">
                  <c:v>2.88598414954874E-94</c:v>
                </c:pt>
                <c:pt idx="74">
                  <c:v>-1.02296026334427E-94</c:v>
                </c:pt>
                <c:pt idx="75">
                  <c:v>-2.9522034186887502E-94</c:v>
                </c:pt>
                <c:pt idx="76">
                  <c:v>2.8520712179954499E-94</c:v>
                </c:pt>
                <c:pt idx="77">
                  <c:v>-2.0445208425450701E-94</c:v>
                </c:pt>
                <c:pt idx="78">
                  <c:v>7.9935436535572598E-95</c:v>
                </c:pt>
                <c:pt idx="79">
                  <c:v>-1.8497233806539301E-95</c:v>
                </c:pt>
                <c:pt idx="80">
                  <c:v>1.7509256977288099E-96</c:v>
                </c:pt>
                <c:pt idx="81">
                  <c:v>2.2552508777411099E-100</c:v>
                </c:pt>
                <c:pt idx="82">
                  <c:v>-7.0021524366726003E-101</c:v>
                </c:pt>
                <c:pt idx="83">
                  <c:v>1.4899192833289999E-101</c:v>
                </c:pt>
                <c:pt idx="84">
                  <c:v>-1.9515687442118001E-102</c:v>
                </c:pt>
                <c:pt idx="85">
                  <c:v>1.15890721376682E-103</c:v>
                </c:pt>
                <c:pt idx="86">
                  <c:v>6.3859238852262806E-107</c:v>
                </c:pt>
                <c:pt idx="87">
                  <c:v>-1.31650991938236E-107</c:v>
                </c:pt>
                <c:pt idx="88">
                  <c:v>1.9244809355744201E-108</c:v>
                </c:pt>
                <c:pt idx="89">
                  <c:v>-1.77320405504475E-109</c:v>
                </c:pt>
                <c:pt idx="90">
                  <c:v>7.6392668569457907E-111</c:v>
                </c:pt>
                <c:pt idx="91">
                  <c:v>1.21225879270289E-113</c:v>
                </c:pt>
                <c:pt idx="92">
                  <c:v>-1.8789341369256499E-114</c:v>
                </c:pt>
                <c:pt idx="93">
                  <c:v>2.0949401074443999E-115</c:v>
                </c:pt>
                <c:pt idx="94">
                  <c:v>-1.49054059596751E-116</c:v>
                </c:pt>
                <c:pt idx="95">
                  <c:v>4.9902528598828204E-118</c:v>
                </c:pt>
                <c:pt idx="96">
                  <c:v>1.8393818611915799E-120</c:v>
                </c:pt>
                <c:pt idx="97">
                  <c:v>-2.2868309348171101E-121</c:v>
                </c:pt>
                <c:pt idx="98">
                  <c:v>2.0614427457889099E-122</c:v>
                </c:pt>
                <c:pt idx="99">
                  <c:v>-1.1925982383822901E-123</c:v>
                </c:pt>
              </c:numCache>
            </c:numRef>
          </c:yVal>
          <c:smooth val="0"/>
          <c:extLst>
            <c:ext xmlns:c16="http://schemas.microsoft.com/office/drawing/2014/chart" uri="{C3380CC4-5D6E-409C-BE32-E72D297353CC}">
              <c16:uniqueId val="{0000004C-CF86-4C2E-BF49-1F263FBF5A1F}"/>
            </c:ext>
          </c:extLst>
        </c:ser>
        <c:ser>
          <c:idx val="77"/>
          <c:order val="77"/>
          <c:tx>
            <c:strRef>
              <c:f>dynamicR!$CI$19</c:f>
              <c:strCache>
                <c:ptCount val="1"/>
                <c:pt idx="0">
                  <c:v>s1CP</c:v>
                </c:pt>
              </c:strCache>
            </c:strRef>
          </c:tx>
          <c:spPr>
            <a:ln w="19050" cap="rnd">
              <a:solidFill>
                <a:schemeClr val="accent6">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dynamicR!$CI$20:$CI$119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0.999999999999999</c:v>
                </c:pt>
                <c:pt idx="21">
                  <c:v>0.999999999999999</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2.06704860962095E-89</c:v>
                </c:pt>
                <c:pt idx="52">
                  <c:v>-4.9795597142646595E-91</c:v>
                </c:pt>
                <c:pt idx="53">
                  <c:v>1.6864682274990401E-90</c:v>
                </c:pt>
                <c:pt idx="54">
                  <c:v>-2.2176917875986101E-89</c:v>
                </c:pt>
                <c:pt idx="55">
                  <c:v>1.39608900543104E-89</c:v>
                </c:pt>
                <c:pt idx="56">
                  <c:v>-4.5514849250384802E-89</c:v>
                </c:pt>
                <c:pt idx="57">
                  <c:v>1.32640904751734E-89</c:v>
                </c:pt>
                <c:pt idx="58">
                  <c:v>-2.46941941772051E-90</c:v>
                </c:pt>
                <c:pt idx="59">
                  <c:v>-1.5042796794433899E-91</c:v>
                </c:pt>
                <c:pt idx="60">
                  <c:v>2.7911977605231199E-91</c:v>
                </c:pt>
                <c:pt idx="61">
                  <c:v>-1.3283747895541901E-91</c:v>
                </c:pt>
                <c:pt idx="62">
                  <c:v>-3.3032354519808401E-90</c:v>
                </c:pt>
                <c:pt idx="63">
                  <c:v>-2.5654389751109001E-90</c:v>
                </c:pt>
                <c:pt idx="64">
                  <c:v>2.07968931781738E-90</c:v>
                </c:pt>
                <c:pt idx="65">
                  <c:v>4.7565822797338902E-91</c:v>
                </c:pt>
                <c:pt idx="66">
                  <c:v>-3.32275824394729E-90</c:v>
                </c:pt>
                <c:pt idx="67">
                  <c:v>1.07405298100738E-90</c:v>
                </c:pt>
                <c:pt idx="68">
                  <c:v>3.6468675463248799E-90</c:v>
                </c:pt>
                <c:pt idx="69">
                  <c:v>-3.1238807218910999E-90</c:v>
                </c:pt>
                <c:pt idx="70">
                  <c:v>-2.91097701126228E-90</c:v>
                </c:pt>
                <c:pt idx="71">
                  <c:v>5.3351460077972499E-90</c:v>
                </c:pt>
                <c:pt idx="72">
                  <c:v>8.8637669422072703E-91</c:v>
                </c:pt>
                <c:pt idx="73">
                  <c:v>-7.0515693573154401E-90</c:v>
                </c:pt>
                <c:pt idx="74">
                  <c:v>2.4994850413440102E-90</c:v>
                </c:pt>
                <c:pt idx="75">
                  <c:v>7.2133681853188098E-90</c:v>
                </c:pt>
                <c:pt idx="76">
                  <c:v>-6.9687058466237996E-90</c:v>
                </c:pt>
                <c:pt idx="77">
                  <c:v>4.9955479342219103E-90</c:v>
                </c:pt>
                <c:pt idx="78">
                  <c:v>-1.9531263154525499E-90</c:v>
                </c:pt>
                <c:pt idx="79">
                  <c:v>4.5195545069313298E-91</c:v>
                </c:pt>
                <c:pt idx="80">
                  <c:v>-4.2780027784871202E-92</c:v>
                </c:pt>
                <c:pt idx="81">
                  <c:v>-6.2928040431441702E-96</c:v>
                </c:pt>
                <c:pt idx="82">
                  <c:v>1.9537975742898899E-96</c:v>
                </c:pt>
                <c:pt idx="83">
                  <c:v>-4.1572572270777398E-97</c:v>
                </c:pt>
                <c:pt idx="84">
                  <c:v>5.4451921477348401E-98</c:v>
                </c:pt>
                <c:pt idx="85">
                  <c:v>-3.23277013619965E-99</c:v>
                </c:pt>
                <c:pt idx="86">
                  <c:v>-2.0348305044132499E-102</c:v>
                </c:pt>
                <c:pt idx="87">
                  <c:v>4.1949192428553802E-103</c:v>
                </c:pt>
                <c:pt idx="88">
                  <c:v>-6.1319442950785105E-104</c:v>
                </c:pt>
                <c:pt idx="89">
                  <c:v>5.6491807405206196E-105</c:v>
                </c:pt>
                <c:pt idx="90">
                  <c:v>-2.4315119317256502E-106</c:v>
                </c:pt>
                <c:pt idx="91">
                  <c:v>-4.4111304618923597E-109</c:v>
                </c:pt>
                <c:pt idx="92">
                  <c:v>6.8367844134999196E-110</c:v>
                </c:pt>
                <c:pt idx="93">
                  <c:v>-7.6220041080070107E-111</c:v>
                </c:pt>
                <c:pt idx="94">
                  <c:v>5.4209322563916297E-112</c:v>
                </c:pt>
                <c:pt idx="95">
                  <c:v>-1.8099798013935199E-113</c:v>
                </c:pt>
                <c:pt idx="96">
                  <c:v>-7.6430858378203904E-116</c:v>
                </c:pt>
                <c:pt idx="97">
                  <c:v>9.5015790798240606E-117</c:v>
                </c:pt>
                <c:pt idx="98">
                  <c:v>-8.56310111193831E-118</c:v>
                </c:pt>
                <c:pt idx="99">
                  <c:v>4.9493905808270898E-119</c:v>
                </c:pt>
              </c:numCache>
            </c:numRef>
          </c:yVal>
          <c:smooth val="0"/>
          <c:extLst>
            <c:ext xmlns:c16="http://schemas.microsoft.com/office/drawing/2014/chart" uri="{C3380CC4-5D6E-409C-BE32-E72D297353CC}">
              <c16:uniqueId val="{0000004D-CF86-4C2E-BF49-1F263FBF5A1F}"/>
            </c:ext>
          </c:extLst>
        </c:ser>
        <c:ser>
          <c:idx val="78"/>
          <c:order val="78"/>
          <c:tx>
            <c:strRef>
              <c:f>dynamicR!$CJ$19</c:f>
              <c:strCache>
                <c:ptCount val="1"/>
                <c:pt idx="0">
                  <c:v>s2CD</c:v>
                </c:pt>
              </c:strCache>
            </c:strRef>
          </c:tx>
          <c:spPr>
            <a:ln w="19050" cap="rnd">
              <a:solidFill>
                <a:schemeClr val="accent1">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dynamicR!$CJ$20:$CJ$119</c:f>
              <c:numCache>
                <c:formatCode>0.00</c:formatCode>
                <c:ptCount val="100"/>
                <c:pt idx="0">
                  <c:v>0</c:v>
                </c:pt>
                <c:pt idx="1">
                  <c:v>0.99999999999998901</c:v>
                </c:pt>
                <c:pt idx="2">
                  <c:v>0.99999999999999001</c:v>
                </c:pt>
                <c:pt idx="3">
                  <c:v>0.99999999999998901</c:v>
                </c:pt>
                <c:pt idx="4">
                  <c:v>0.99999999999999101</c:v>
                </c:pt>
                <c:pt idx="5">
                  <c:v>0.99999999999999101</c:v>
                </c:pt>
                <c:pt idx="6">
                  <c:v>0.99999999999999201</c:v>
                </c:pt>
                <c:pt idx="7">
                  <c:v>0.99999999999999201</c:v>
                </c:pt>
                <c:pt idx="8">
                  <c:v>0.99999999999999301</c:v>
                </c:pt>
                <c:pt idx="9">
                  <c:v>0.99999999999999201</c:v>
                </c:pt>
                <c:pt idx="10">
                  <c:v>0.99999999999999301</c:v>
                </c:pt>
                <c:pt idx="11">
                  <c:v>0.99999999999999301</c:v>
                </c:pt>
                <c:pt idx="12">
                  <c:v>0.99999999999999301</c:v>
                </c:pt>
                <c:pt idx="13">
                  <c:v>0.99999999999999301</c:v>
                </c:pt>
                <c:pt idx="14">
                  <c:v>0.99999999999999301</c:v>
                </c:pt>
                <c:pt idx="15">
                  <c:v>0.999999999999994</c:v>
                </c:pt>
                <c:pt idx="16">
                  <c:v>0.99999999999999301</c:v>
                </c:pt>
                <c:pt idx="17">
                  <c:v>0.99999999999999201</c:v>
                </c:pt>
                <c:pt idx="18">
                  <c:v>0.999999999999994</c:v>
                </c:pt>
                <c:pt idx="19">
                  <c:v>0.999999999999995</c:v>
                </c:pt>
                <c:pt idx="20">
                  <c:v>0.99999999999999101</c:v>
                </c:pt>
                <c:pt idx="21">
                  <c:v>0.999999999999994</c:v>
                </c:pt>
                <c:pt idx="22">
                  <c:v>0.999999999999998</c:v>
                </c:pt>
                <c:pt idx="23">
                  <c:v>0.99999999999999201</c:v>
                </c:pt>
                <c:pt idx="24">
                  <c:v>0.999999999999995</c:v>
                </c:pt>
                <c:pt idx="25">
                  <c:v>0.999999999999994</c:v>
                </c:pt>
                <c:pt idx="26">
                  <c:v>0.999999999999995</c:v>
                </c:pt>
                <c:pt idx="27">
                  <c:v>0.999999999999995</c:v>
                </c:pt>
                <c:pt idx="28">
                  <c:v>0.999999999999995</c:v>
                </c:pt>
                <c:pt idx="29">
                  <c:v>0.999999999999994</c:v>
                </c:pt>
                <c:pt idx="30">
                  <c:v>0.999999999999995</c:v>
                </c:pt>
                <c:pt idx="31">
                  <c:v>0.999999999999995</c:v>
                </c:pt>
                <c:pt idx="32">
                  <c:v>0.999999999999995</c:v>
                </c:pt>
                <c:pt idx="33">
                  <c:v>0.999999999999995</c:v>
                </c:pt>
                <c:pt idx="34">
                  <c:v>0.999999999999996</c:v>
                </c:pt>
                <c:pt idx="35">
                  <c:v>0.999999999999995</c:v>
                </c:pt>
                <c:pt idx="36">
                  <c:v>0.999999999999996</c:v>
                </c:pt>
                <c:pt idx="37">
                  <c:v>0.999999999999996</c:v>
                </c:pt>
                <c:pt idx="38">
                  <c:v>0.999999999999996</c:v>
                </c:pt>
                <c:pt idx="39">
                  <c:v>0.999999999999996</c:v>
                </c:pt>
                <c:pt idx="40">
                  <c:v>0.999999999999996</c:v>
                </c:pt>
                <c:pt idx="41">
                  <c:v>0.999999999999996</c:v>
                </c:pt>
                <c:pt idx="42">
                  <c:v>0.999999999999996</c:v>
                </c:pt>
                <c:pt idx="43">
                  <c:v>0.999999999999996</c:v>
                </c:pt>
                <c:pt idx="44">
                  <c:v>0.999999999999996</c:v>
                </c:pt>
                <c:pt idx="45">
                  <c:v>0.999999999999996</c:v>
                </c:pt>
                <c:pt idx="46">
                  <c:v>0.999999999999997</c:v>
                </c:pt>
                <c:pt idx="47">
                  <c:v>0.999999999999997</c:v>
                </c:pt>
                <c:pt idx="48">
                  <c:v>0.999999999999996</c:v>
                </c:pt>
                <c:pt idx="49">
                  <c:v>0.999999999999997</c:v>
                </c:pt>
                <c:pt idx="50">
                  <c:v>0.999999999999997</c:v>
                </c:pt>
                <c:pt idx="51">
                  <c:v>5.7834543949968798E-15</c:v>
                </c:pt>
                <c:pt idx="52">
                  <c:v>5.6678372935054603E-15</c:v>
                </c:pt>
                <c:pt idx="53">
                  <c:v>5.5545355223707603E-15</c:v>
                </c:pt>
                <c:pt idx="54">
                  <c:v>5.44350090824726E-15</c:v>
                </c:pt>
                <c:pt idx="55">
                  <c:v>5.3346858705847201E-15</c:v>
                </c:pt>
                <c:pt idx="56">
                  <c:v>5.2280447645484098E-15</c:v>
                </c:pt>
                <c:pt idx="57">
                  <c:v>5.1235361311782201E-15</c:v>
                </c:pt>
                <c:pt idx="58">
                  <c:v>5.0211160252569901E-15</c:v>
                </c:pt>
                <c:pt idx="59">
                  <c:v>4.9207434561085899E-15</c:v>
                </c:pt>
                <c:pt idx="60">
                  <c:v>4.82237727350573E-15</c:v>
                </c:pt>
                <c:pt idx="61">
                  <c:v>4.7259773025192399E-15</c:v>
                </c:pt>
                <c:pt idx="62">
                  <c:v>4.6315042947119203E-15</c:v>
                </c:pt>
                <c:pt idx="63">
                  <c:v>4.5389198674623E-15</c:v>
                </c:pt>
                <c:pt idx="64">
                  <c:v>4.4481862831831998E-15</c:v>
                </c:pt>
                <c:pt idx="65">
                  <c:v>4.3592664423832003E-15</c:v>
                </c:pt>
                <c:pt idx="66">
                  <c:v>4.2721241006932901E-15</c:v>
                </c:pt>
                <c:pt idx="67">
                  <c:v>4.1867238030095198E-15</c:v>
                </c:pt>
                <c:pt idx="68">
                  <c:v>4.1030306529836201E-15</c:v>
                </c:pt>
                <c:pt idx="69">
                  <c:v>4.0210104689233904E-15</c:v>
                </c:pt>
                <c:pt idx="70">
                  <c:v>3.9406299336591703E-15</c:v>
                </c:pt>
                <c:pt idx="71">
                  <c:v>3.8618562787319801E-15</c:v>
                </c:pt>
                <c:pt idx="72">
                  <c:v>3.7846572222582098E-15</c:v>
                </c:pt>
                <c:pt idx="73">
                  <c:v>3.7090013572988297E-15</c:v>
                </c:pt>
                <c:pt idx="74">
                  <c:v>3.6348579975959302E-15</c:v>
                </c:pt>
                <c:pt idx="75">
                  <c:v>3.5621967381456499E-15</c:v>
                </c:pt>
                <c:pt idx="76">
                  <c:v>3.4909878428752098E-15</c:v>
                </c:pt>
                <c:pt idx="77">
                  <c:v>3.4212026247134999E-15</c:v>
                </c:pt>
                <c:pt idx="78">
                  <c:v>3.3528122775362301E-15</c:v>
                </c:pt>
                <c:pt idx="79">
                  <c:v>3.28578913269984E-15</c:v>
                </c:pt>
                <c:pt idx="80">
                  <c:v>3.2201057672523799E-15</c:v>
                </c:pt>
                <c:pt idx="81">
                  <c:v>3.1557354251017701E-15</c:v>
                </c:pt>
                <c:pt idx="82">
                  <c:v>3.0926518546758799E-15</c:v>
                </c:pt>
                <c:pt idx="83">
                  <c:v>3.0308293331536002E-15</c:v>
                </c:pt>
                <c:pt idx="84">
                  <c:v>2.9702426519208698E-15</c:v>
                </c:pt>
                <c:pt idx="85">
                  <c:v>2.9108671064474202E-15</c:v>
                </c:pt>
                <c:pt idx="86">
                  <c:v>2.85267848606877E-15</c:v>
                </c:pt>
                <c:pt idx="87">
                  <c:v>2.7956530639913899E-15</c:v>
                </c:pt>
                <c:pt idx="88">
                  <c:v>2.7397675876760599E-15</c:v>
                </c:pt>
                <c:pt idx="89">
                  <c:v>2.6849992694354199E-15</c:v>
                </c:pt>
                <c:pt idx="90">
                  <c:v>2.6313257771480099E-15</c:v>
                </c:pt>
                <c:pt idx="91">
                  <c:v>2.57872522511499E-15</c:v>
                </c:pt>
                <c:pt idx="92">
                  <c:v>2.5271761651178701E-15</c:v>
                </c:pt>
                <c:pt idx="93">
                  <c:v>2.4766575776791999E-15</c:v>
                </c:pt>
                <c:pt idx="94">
                  <c:v>2.4271488635146098E-15</c:v>
                </c:pt>
                <c:pt idx="95">
                  <c:v>2.3786298351269599E-15</c:v>
                </c:pt>
                <c:pt idx="96">
                  <c:v>2.3310807085678801E-15</c:v>
                </c:pt>
                <c:pt idx="97">
                  <c:v>2.2844820953686899E-15</c:v>
                </c:pt>
                <c:pt idx="98">
                  <c:v>2.23881499464203E-15</c:v>
                </c:pt>
                <c:pt idx="99">
                  <c:v>2.1940607853287801E-15</c:v>
                </c:pt>
              </c:numCache>
            </c:numRef>
          </c:yVal>
          <c:smooth val="0"/>
          <c:extLst>
            <c:ext xmlns:c16="http://schemas.microsoft.com/office/drawing/2014/chart" uri="{C3380CC4-5D6E-409C-BE32-E72D297353CC}">
              <c16:uniqueId val="{0000004E-CF86-4C2E-BF49-1F263FBF5A1F}"/>
            </c:ext>
          </c:extLst>
        </c:ser>
        <c:ser>
          <c:idx val="79"/>
          <c:order val="79"/>
          <c:tx>
            <c:strRef>
              <c:f>dynamicR!$CK$19</c:f>
              <c:strCache>
                <c:ptCount val="1"/>
                <c:pt idx="0">
                  <c:v>s2CS</c:v>
                </c:pt>
              </c:strCache>
            </c:strRef>
          </c:tx>
          <c:spPr>
            <a:ln w="19050" cap="rnd">
              <a:solidFill>
                <a:schemeClr val="accent2">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dynamicR!$CK$20:$CK$119</c:f>
              <c:numCache>
                <c:formatCode>0.00</c:formatCode>
                <c:ptCount val="100"/>
                <c:pt idx="0">
                  <c:v>0</c:v>
                </c:pt>
                <c:pt idx="1">
                  <c:v>1</c:v>
                </c:pt>
                <c:pt idx="2">
                  <c:v>0.999999999999998</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-4.1107927668439702E-214</c:v>
                </c:pt>
                <c:pt idx="52">
                  <c:v>9.9029048909684204E-216</c:v>
                </c:pt>
                <c:pt idx="53">
                  <c:v>-3.3539735815266399E-215</c:v>
                </c:pt>
                <c:pt idx="54">
                  <c:v>4.4103781889516002E-214</c:v>
                </c:pt>
                <c:pt idx="55">
                  <c:v>-2.7764451356642401E-214</c:v>
                </c:pt>
                <c:pt idx="56">
                  <c:v>9.0516822590459007E-214</c:v>
                </c:pt>
                <c:pt idx="57">
                  <c:v>-2.6378821481344102E-214</c:v>
                </c:pt>
                <c:pt idx="58">
                  <c:v>4.9110913494291702E-215</c:v>
                </c:pt>
                <c:pt idx="59">
                  <c:v>2.9913294311950302E-216</c:v>
                </c:pt>
                <c:pt idx="60">
                  <c:v>-5.5506980926811798E-216</c:v>
                </c:pt>
                <c:pt idx="61">
                  <c:v>2.6422310200011199E-216</c:v>
                </c:pt>
                <c:pt idx="62">
                  <c:v>6.5692523900093603E-215</c:v>
                </c:pt>
                <c:pt idx="63">
                  <c:v>5.1019857211772196E-215</c:v>
                </c:pt>
                <c:pt idx="64">
                  <c:v>-4.1359057555447202E-215</c:v>
                </c:pt>
                <c:pt idx="65">
                  <c:v>-9.4596594528466106E-216</c:v>
                </c:pt>
                <c:pt idx="66">
                  <c:v>6.6080455433408002E-215</c:v>
                </c:pt>
                <c:pt idx="67">
                  <c:v>-2.13598126649312E-215</c:v>
                </c:pt>
                <c:pt idx="68">
                  <c:v>-7.25262096948916E-215</c:v>
                </c:pt>
                <c:pt idx="69">
                  <c:v>6.2125301461169496E-215</c:v>
                </c:pt>
                <c:pt idx="70">
                  <c:v>5.7891428552501404E-215</c:v>
                </c:pt>
                <c:pt idx="71">
                  <c:v>-1.0610141188971101E-214</c:v>
                </c:pt>
                <c:pt idx="72">
                  <c:v>-1.7627656914725901E-215</c:v>
                </c:pt>
                <c:pt idx="73">
                  <c:v>1.40236488550874E-214</c:v>
                </c:pt>
                <c:pt idx="74">
                  <c:v>-4.9707997970194198E-215</c:v>
                </c:pt>
                <c:pt idx="75">
                  <c:v>-1.43454275038135E-214</c:v>
                </c:pt>
                <c:pt idx="76">
                  <c:v>1.38588740276425E-214</c:v>
                </c:pt>
                <c:pt idx="77">
                  <c:v>-9.934827505888941E-215</c:v>
                </c:pt>
                <c:pt idx="78">
                  <c:v>3.8842953338190602E-215</c:v>
                </c:pt>
                <c:pt idx="79">
                  <c:v>-8.9886426041584196E-216</c:v>
                </c:pt>
                <c:pt idx="80">
                  <c:v>8.5105895687157005E-217</c:v>
                </c:pt>
                <c:pt idx="81">
                  <c:v>4.5435887660041197E-222</c:v>
                </c:pt>
                <c:pt idx="82">
                  <c:v>-1.4107331513054001E-222</c:v>
                </c:pt>
                <c:pt idx="83">
                  <c:v>3.0019414309695199E-223</c:v>
                </c:pt>
                <c:pt idx="84">
                  <c:v>-3.9329968824614402E-224</c:v>
                </c:pt>
                <c:pt idx="85">
                  <c:v>2.3392968848059499E-225</c:v>
                </c:pt>
                <c:pt idx="86">
                  <c:v>5.2632720666305796E-230</c:v>
                </c:pt>
                <c:pt idx="87">
                  <c:v>-1.09980509196493E-230</c:v>
                </c:pt>
                <c:pt idx="88">
                  <c:v>1.60807368641435E-231</c:v>
                </c:pt>
                <c:pt idx="89">
                  <c:v>-1.48300166281274E-232</c:v>
                </c:pt>
                <c:pt idx="90">
                  <c:v>6.42891321512504E-234</c:v>
                </c:pt>
                <c:pt idx="91">
                  <c:v>4.1740075268009003E-238</c:v>
                </c:pt>
                <c:pt idx="92">
                  <c:v>-6.50958150518174E-239</c:v>
                </c:pt>
                <c:pt idx="93">
                  <c:v>7.2627651902817104E-240</c:v>
                </c:pt>
                <c:pt idx="94">
                  <c:v>-5.1808628499640199E-241</c:v>
                </c:pt>
                <c:pt idx="95">
                  <c:v>1.7661587060657599E-242</c:v>
                </c:pt>
                <c:pt idx="96">
                  <c:v>2.6355866812880498E-246</c:v>
                </c:pt>
                <c:pt idx="97">
                  <c:v>-3.2866760472287498E-247</c:v>
                </c:pt>
                <c:pt idx="98">
                  <c:v>2.9674407363447301E-248</c:v>
                </c:pt>
                <c:pt idx="99">
                  <c:v>-1.7274469224908899E-249</c:v>
                </c:pt>
              </c:numCache>
            </c:numRef>
          </c:yVal>
          <c:smooth val="0"/>
          <c:extLst>
            <c:ext xmlns:c16="http://schemas.microsoft.com/office/drawing/2014/chart" uri="{C3380CC4-5D6E-409C-BE32-E72D297353CC}">
              <c16:uniqueId val="{0000004F-CF86-4C2E-BF49-1F263FBF5A1F}"/>
            </c:ext>
          </c:extLst>
        </c:ser>
        <c:ser>
          <c:idx val="80"/>
          <c:order val="80"/>
          <c:tx>
            <c:strRef>
              <c:f>dynamicR!$CL$19</c:f>
              <c:strCache>
                <c:ptCount val="1"/>
                <c:pt idx="0">
                  <c:v>s2CA</c:v>
                </c:pt>
              </c:strCache>
            </c:strRef>
          </c:tx>
          <c:spPr>
            <a:ln w="19050" cap="rnd">
              <a:solidFill>
                <a:schemeClr val="accent3">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dynamicR!$CL$20:$CL$119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0.999999999999998</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3.6935617001913501E-90</c:v>
                </c:pt>
                <c:pt idx="52">
                  <c:v>-8.8978567487158306E-92</c:v>
                </c:pt>
                <c:pt idx="53">
                  <c:v>3.0135142274432599E-91</c:v>
                </c:pt>
                <c:pt idx="54">
                  <c:v>-3.9627423908321399E-90</c:v>
                </c:pt>
                <c:pt idx="55">
                  <c:v>2.4946397844017099E-90</c:v>
                </c:pt>
                <c:pt idx="56">
                  <c:v>-8.1329454363143195E-90</c:v>
                </c:pt>
                <c:pt idx="57">
                  <c:v>2.3701309087917099E-90</c:v>
                </c:pt>
                <c:pt idx="58">
                  <c:v>-4.4125541409136401E-91</c:v>
                </c:pt>
                <c:pt idx="59">
                  <c:v>-2.6879475295400801E-92</c:v>
                </c:pt>
                <c:pt idx="60">
                  <c:v>4.9875142504351798E-92</c:v>
                </c:pt>
                <c:pt idx="61">
                  <c:v>-2.3736683136260398E-92</c:v>
                </c:pt>
                <c:pt idx="62">
                  <c:v>-5.9024768866717196E-91</c:v>
                </c:pt>
                <c:pt idx="63">
                  <c:v>-4.5841257650061602E-91</c:v>
                </c:pt>
                <c:pt idx="64">
                  <c:v>3.7161476243434703E-91</c:v>
                </c:pt>
                <c:pt idx="65">
                  <c:v>8.4994345532186895E-92</c:v>
                </c:pt>
                <c:pt idx="66">
                  <c:v>-5.9373598867056201E-91</c:v>
                </c:pt>
                <c:pt idx="67">
                  <c:v>1.91919973143639E-91</c:v>
                </c:pt>
                <c:pt idx="68">
                  <c:v>6.5165039747232799E-91</c:v>
                </c:pt>
                <c:pt idx="69">
                  <c:v>-5.5819900646921104E-91</c:v>
                </c:pt>
                <c:pt idx="70">
                  <c:v>-5.2015584325668604E-91</c:v>
                </c:pt>
                <c:pt idx="71">
                  <c:v>9.5332498455721199E-91</c:v>
                </c:pt>
                <c:pt idx="72">
                  <c:v>1.5838464766210301E-91</c:v>
                </c:pt>
                <c:pt idx="73">
                  <c:v>-1.2600288018210501E-90</c:v>
                </c:pt>
                <c:pt idx="74">
                  <c:v>4.4662729710867998E-91</c:v>
                </c:pt>
                <c:pt idx="75">
                  <c:v>1.28894029205085E-90</c:v>
                </c:pt>
                <c:pt idx="76">
                  <c:v>-1.2452222130192601E-90</c:v>
                </c:pt>
                <c:pt idx="77">
                  <c:v>8.9264328858896697E-91</c:v>
                </c:pt>
                <c:pt idx="78">
                  <c:v>-3.4900001180462301E-91</c:v>
                </c:pt>
                <c:pt idx="79">
                  <c:v>8.0759157951616504E-92</c:v>
                </c:pt>
                <c:pt idx="80">
                  <c:v>-7.6444242025145902E-93</c:v>
                </c:pt>
                <c:pt idx="81">
                  <c:v>-1.05622199112181E-96</c:v>
                </c:pt>
                <c:pt idx="82">
                  <c:v>3.27937603124749E-97</c:v>
                </c:pt>
                <c:pt idx="83">
                  <c:v>-6.9778306821768595E-98</c:v>
                </c:pt>
                <c:pt idx="84">
                  <c:v>9.1397425896451803E-99</c:v>
                </c:pt>
                <c:pt idx="85">
                  <c:v>-5.42682671750935E-100</c:v>
                </c:pt>
                <c:pt idx="86">
                  <c:v>-3.2081741987915602E-103</c:v>
                </c:pt>
                <c:pt idx="87">
                  <c:v>6.6138527346641397E-104</c:v>
                </c:pt>
                <c:pt idx="88">
                  <c:v>-9.6679942243673802E-105</c:v>
                </c:pt>
                <c:pt idx="89">
                  <c:v>8.9074189835072591E-106</c:v>
                </c:pt>
                <c:pt idx="90">
                  <c:v>-3.8356511095415499E-107</c:v>
                </c:pt>
                <c:pt idx="91">
                  <c:v>-6.5327849300768898E-110</c:v>
                </c:pt>
                <c:pt idx="92">
                  <c:v>1.0125284753232401E-110</c:v>
                </c:pt>
                <c:pt idx="93">
                  <c:v>-1.1288738503833101E-111</c:v>
                </c:pt>
                <c:pt idx="94">
                  <c:v>8.0303026522772102E-113</c:v>
                </c:pt>
                <c:pt idx="95">
                  <c:v>-2.6847733449654398E-114</c:v>
                </c:pt>
                <c:pt idx="96">
                  <c:v>-1.06326363994347E-116</c:v>
                </c:pt>
                <c:pt idx="97">
                  <c:v>1.3218588411553601E-117</c:v>
                </c:pt>
                <c:pt idx="98">
                  <c:v>-1.1914343637837699E-118</c:v>
                </c:pt>
                <c:pt idx="99">
                  <c:v>6.8894912776529707E-120</c:v>
                </c:pt>
              </c:numCache>
            </c:numRef>
          </c:yVal>
          <c:smooth val="0"/>
          <c:extLst>
            <c:ext xmlns:c16="http://schemas.microsoft.com/office/drawing/2014/chart" uri="{C3380CC4-5D6E-409C-BE32-E72D297353CC}">
              <c16:uniqueId val="{00000050-CF86-4C2E-BF49-1F263FBF5A1F}"/>
            </c:ext>
          </c:extLst>
        </c:ser>
        <c:ser>
          <c:idx val="81"/>
          <c:order val="81"/>
          <c:tx>
            <c:strRef>
              <c:f>dynamicR!$CM$19</c:f>
              <c:strCache>
                <c:ptCount val="1"/>
                <c:pt idx="0">
                  <c:v>s2CP</c:v>
                </c:pt>
              </c:strCache>
            </c:strRef>
          </c:tx>
          <c:spPr>
            <a:ln w="19050" cap="rnd">
              <a:solidFill>
                <a:schemeClr val="accent4">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dynamicR!$CM$20:$CM$119</c:f>
              <c:numCache>
                <c:formatCode>0.00</c:formatCode>
                <c:ptCount val="100"/>
                <c:pt idx="0">
                  <c:v>0</c:v>
                </c:pt>
                <c:pt idx="1">
                  <c:v>1</c:v>
                </c:pt>
                <c:pt idx="2">
                  <c:v>0.999999999999999</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2.0655266967732402E-89</c:v>
                </c:pt>
                <c:pt idx="52">
                  <c:v>-4.9758934049362799E-91</c:v>
                </c:pt>
                <c:pt idx="53">
                  <c:v>1.68522652691429E-90</c:v>
                </c:pt>
                <c:pt idx="54">
                  <c:v>-2.2160589622943401E-89</c:v>
                </c:pt>
                <c:pt idx="55">
                  <c:v>1.39506110318904E-89</c:v>
                </c:pt>
                <c:pt idx="56">
                  <c:v>-4.5481337914981199E-89</c:v>
                </c:pt>
                <c:pt idx="57">
                  <c:v>1.3254324488362999E-89</c:v>
                </c:pt>
                <c:pt idx="58">
                  <c:v>-2.46760125137378E-90</c:v>
                </c:pt>
                <c:pt idx="59">
                  <c:v>-1.5031721216674E-91</c:v>
                </c:pt>
                <c:pt idx="60">
                  <c:v>2.7891426800222198E-91</c:v>
                </c:pt>
                <c:pt idx="61">
                  <c:v>-1.3273967402969101E-91</c:v>
                </c:pt>
                <c:pt idx="62">
                  <c:v>-3.3008033703267602E-90</c:v>
                </c:pt>
                <c:pt idx="63">
                  <c:v>-2.5635501126655998E-90</c:v>
                </c:pt>
                <c:pt idx="64">
                  <c:v>2.0781580999201501E-90</c:v>
                </c:pt>
                <c:pt idx="65">
                  <c:v>4.7530801380168599E-91</c:v>
                </c:pt>
                <c:pt idx="66">
                  <c:v>-3.3203117884385101E-90</c:v>
                </c:pt>
                <c:pt idx="67">
                  <c:v>1.07326218543052E-90</c:v>
                </c:pt>
                <c:pt idx="68">
                  <c:v>3.6441824579628498E-90</c:v>
                </c:pt>
                <c:pt idx="69">
                  <c:v>-3.1215806944551501E-90</c:v>
                </c:pt>
                <c:pt idx="70">
                  <c:v>-2.9088337388301399E-90</c:v>
                </c:pt>
                <c:pt idx="71">
                  <c:v>5.3312178864212103E-90</c:v>
                </c:pt>
                <c:pt idx="72">
                  <c:v>8.8572407937922205E-91</c:v>
                </c:pt>
                <c:pt idx="73">
                  <c:v>-7.0463774805063898E-90</c:v>
                </c:pt>
                <c:pt idx="74">
                  <c:v>2.49764473912849E-90</c:v>
                </c:pt>
                <c:pt idx="75">
                  <c:v>7.2080571804409701E-90</c:v>
                </c:pt>
                <c:pt idx="76">
                  <c:v>-6.96357497980663E-90</c:v>
                </c:pt>
                <c:pt idx="77">
                  <c:v>4.9918698491746104E-90</c:v>
                </c:pt>
                <c:pt idx="78">
                  <c:v>-1.9516882817559299E-90</c:v>
                </c:pt>
                <c:pt idx="79">
                  <c:v>4.5162268795232802E-91</c:v>
                </c:pt>
                <c:pt idx="80">
                  <c:v>-4.2748529816667903E-92</c:v>
                </c:pt>
                <c:pt idx="81">
                  <c:v>-6.2882605420422804E-96</c:v>
                </c:pt>
                <c:pt idx="82">
                  <c:v>1.9523869010799401E-96</c:v>
                </c:pt>
                <c:pt idx="83">
                  <c:v>-4.1542556110863199E-97</c:v>
                </c:pt>
                <c:pt idx="84">
                  <c:v>5.44126060896258E-98</c:v>
                </c:pt>
                <c:pt idx="85">
                  <c:v>-3.2304359361943002E-99</c:v>
                </c:pt>
                <c:pt idx="86">
                  <c:v>-2.03338986908926E-102</c:v>
                </c:pt>
                <c:pt idx="87">
                  <c:v>4.1919502254039599E-103</c:v>
                </c:pt>
                <c:pt idx="88">
                  <c:v>-6.1276042873214801E-104</c:v>
                </c:pt>
                <c:pt idx="89">
                  <c:v>5.6451822898223497E-105</c:v>
                </c:pt>
                <c:pt idx="90">
                  <c:v>-2.4297905866402002E-106</c:v>
                </c:pt>
                <c:pt idx="91">
                  <c:v>-4.40807908555138E-109</c:v>
                </c:pt>
                <c:pt idx="92">
                  <c:v>6.8320430466826305E-110</c:v>
                </c:pt>
                <c:pt idx="93">
                  <c:v>-7.6167181206397905E-111</c:v>
                </c:pt>
                <c:pt idx="94">
                  <c:v>5.4171724274332603E-112</c:v>
                </c:pt>
                <c:pt idx="95">
                  <c:v>-1.80872372424376E-113</c:v>
                </c:pt>
                <c:pt idx="96">
                  <c:v>-7.6378992014661802E-116</c:v>
                </c:pt>
                <c:pt idx="97">
                  <c:v>9.4951251156491406E-117</c:v>
                </c:pt>
                <c:pt idx="98">
                  <c:v>-8.5572844178624192E-118</c:v>
                </c:pt>
                <c:pt idx="99">
                  <c:v>4.9460280991921498E-119</c:v>
                </c:pt>
              </c:numCache>
            </c:numRef>
          </c:yVal>
          <c:smooth val="0"/>
          <c:extLst>
            <c:ext xmlns:c16="http://schemas.microsoft.com/office/drawing/2014/chart" uri="{C3380CC4-5D6E-409C-BE32-E72D297353CC}">
              <c16:uniqueId val="{00000051-CF86-4C2E-BF49-1F263FBF5A1F}"/>
            </c:ext>
          </c:extLst>
        </c:ser>
        <c:ser>
          <c:idx val="82"/>
          <c:order val="82"/>
          <c:tx>
            <c:strRef>
              <c:f>dynamicR!$CN$19</c:f>
              <c:strCache>
                <c:ptCount val="1"/>
                <c:pt idx="0">
                  <c:v>s3CD</c:v>
                </c:pt>
              </c:strCache>
            </c:strRef>
          </c:tx>
          <c:spPr>
            <a:ln w="19050" cap="rnd">
              <a:solidFill>
                <a:schemeClr val="accent5">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dynamicR!$CN$20:$CN$119</c:f>
              <c:numCache>
                <c:formatCode>0.00</c:formatCode>
                <c:ptCount val="100"/>
                <c:pt idx="0">
                  <c:v>0</c:v>
                </c:pt>
                <c:pt idx="1">
                  <c:v>0.99999999999999001</c:v>
                </c:pt>
                <c:pt idx="2">
                  <c:v>0.99999999999998901</c:v>
                </c:pt>
                <c:pt idx="3">
                  <c:v>0.99999999999998801</c:v>
                </c:pt>
                <c:pt idx="4">
                  <c:v>0.99999999999999101</c:v>
                </c:pt>
                <c:pt idx="5">
                  <c:v>0.99999999999999101</c:v>
                </c:pt>
                <c:pt idx="6">
                  <c:v>0.99999999999999101</c:v>
                </c:pt>
                <c:pt idx="7">
                  <c:v>0.99999999999999101</c:v>
                </c:pt>
                <c:pt idx="8">
                  <c:v>0.99999999999999201</c:v>
                </c:pt>
                <c:pt idx="9">
                  <c:v>0.99999999999999201</c:v>
                </c:pt>
                <c:pt idx="10">
                  <c:v>0.99999999999999201</c:v>
                </c:pt>
                <c:pt idx="11">
                  <c:v>0.99999999999999201</c:v>
                </c:pt>
                <c:pt idx="12">
                  <c:v>0.99999999999999201</c:v>
                </c:pt>
                <c:pt idx="13">
                  <c:v>0.99999999999999201</c:v>
                </c:pt>
                <c:pt idx="14">
                  <c:v>0.99999999999999201</c:v>
                </c:pt>
                <c:pt idx="15">
                  <c:v>0.99999999999999301</c:v>
                </c:pt>
                <c:pt idx="16">
                  <c:v>0.99999999999999201</c:v>
                </c:pt>
                <c:pt idx="17">
                  <c:v>0.99999999999999201</c:v>
                </c:pt>
                <c:pt idx="18">
                  <c:v>0.999999999999994</c:v>
                </c:pt>
                <c:pt idx="19">
                  <c:v>0.99999999999999301</c:v>
                </c:pt>
                <c:pt idx="20">
                  <c:v>0.99999999999999201</c:v>
                </c:pt>
                <c:pt idx="21">
                  <c:v>0.999999999999995</c:v>
                </c:pt>
                <c:pt idx="22">
                  <c:v>0.999999999999995</c:v>
                </c:pt>
                <c:pt idx="23">
                  <c:v>0.99999999999999301</c:v>
                </c:pt>
                <c:pt idx="24">
                  <c:v>0.999999999999994</c:v>
                </c:pt>
                <c:pt idx="25">
                  <c:v>0.99999999999999301</c:v>
                </c:pt>
                <c:pt idx="26">
                  <c:v>0.999999999999994</c:v>
                </c:pt>
                <c:pt idx="27">
                  <c:v>0.999999999999994</c:v>
                </c:pt>
                <c:pt idx="28">
                  <c:v>0.999999999999995</c:v>
                </c:pt>
                <c:pt idx="29">
                  <c:v>0.999999999999994</c:v>
                </c:pt>
                <c:pt idx="30">
                  <c:v>0.999999999999995</c:v>
                </c:pt>
                <c:pt idx="31">
                  <c:v>0.999999999999994</c:v>
                </c:pt>
                <c:pt idx="32">
                  <c:v>0.999999999999995</c:v>
                </c:pt>
                <c:pt idx="33">
                  <c:v>0.999999999999995</c:v>
                </c:pt>
                <c:pt idx="34">
                  <c:v>0.999999999999995</c:v>
                </c:pt>
                <c:pt idx="35">
                  <c:v>0.999999999999995</c:v>
                </c:pt>
                <c:pt idx="36">
                  <c:v>0.999999999999995</c:v>
                </c:pt>
                <c:pt idx="37">
                  <c:v>0.999999999999995</c:v>
                </c:pt>
                <c:pt idx="38">
                  <c:v>0.999999999999995</c:v>
                </c:pt>
                <c:pt idx="39">
                  <c:v>0.999999999999996</c:v>
                </c:pt>
                <c:pt idx="40">
                  <c:v>0.999999999999995</c:v>
                </c:pt>
                <c:pt idx="41">
                  <c:v>0.999999999999996</c:v>
                </c:pt>
                <c:pt idx="42">
                  <c:v>0.999999999999996</c:v>
                </c:pt>
                <c:pt idx="43">
                  <c:v>0.999999999999996</c:v>
                </c:pt>
                <c:pt idx="44">
                  <c:v>0.999999999999996</c:v>
                </c:pt>
                <c:pt idx="45">
                  <c:v>0.999999999999996</c:v>
                </c:pt>
                <c:pt idx="46">
                  <c:v>0.999999999999996</c:v>
                </c:pt>
                <c:pt idx="47">
                  <c:v>0.999999999999996</c:v>
                </c:pt>
                <c:pt idx="48">
                  <c:v>0.999999999999996</c:v>
                </c:pt>
                <c:pt idx="49">
                  <c:v>0.999999999999996</c:v>
                </c:pt>
                <c:pt idx="50">
                  <c:v>0.999999999999996</c:v>
                </c:pt>
                <c:pt idx="51">
                  <c:v>6.2032099342459603E-15</c:v>
                </c:pt>
                <c:pt idx="52">
                  <c:v>6.0792016678953202E-15</c:v>
                </c:pt>
                <c:pt idx="53">
                  <c:v>5.9576765812524098E-15</c:v>
                </c:pt>
                <c:pt idx="54">
                  <c:v>5.8385834157074801E-15</c:v>
                </c:pt>
                <c:pt idx="55">
                  <c:v>5.72187042121044E-15</c:v>
                </c:pt>
                <c:pt idx="56">
                  <c:v>5.6074899348144898E-15</c:v>
                </c:pt>
                <c:pt idx="57">
                  <c:v>5.49539571023122E-15</c:v>
                </c:pt>
                <c:pt idx="58">
                  <c:v>5.3855422146631003E-15</c:v>
                </c:pt>
                <c:pt idx="59">
                  <c:v>5.2778847139579704E-15</c:v>
                </c:pt>
                <c:pt idx="60">
                  <c:v>5.1723792361529399E-15</c:v>
                </c:pt>
                <c:pt idx="61">
                  <c:v>5.0689826821449697E-15</c:v>
                </c:pt>
                <c:pt idx="62">
                  <c:v>4.9676529708936197E-15</c:v>
                </c:pt>
                <c:pt idx="63">
                  <c:v>4.8683488783564104E-15</c:v>
                </c:pt>
                <c:pt idx="64">
                  <c:v>4.7710299280961999E-15</c:v>
                </c:pt>
                <c:pt idx="65">
                  <c:v>4.67565641258899E-15</c:v>
                </c:pt>
                <c:pt idx="66">
                  <c:v>4.5821894229888296E-15</c:v>
                </c:pt>
                <c:pt idx="67">
                  <c:v>4.49059084444048E-15</c:v>
                </c:pt>
                <c:pt idx="68">
                  <c:v>4.4008233314100098E-15</c:v>
                </c:pt>
                <c:pt idx="69">
                  <c:v>4.31285028385198E-15</c:v>
                </c:pt>
                <c:pt idx="70">
                  <c:v>4.2266358304947203E-15</c:v>
                </c:pt>
                <c:pt idx="71">
                  <c:v>4.1421448159598503E-15</c:v>
                </c:pt>
                <c:pt idx="72">
                  <c:v>4.0593427879117098E-15</c:v>
                </c:pt>
                <c:pt idx="73">
                  <c:v>3.9781959832464803E-15</c:v>
                </c:pt>
                <c:pt idx="74">
                  <c:v>3.8986713139964802E-15</c:v>
                </c:pt>
                <c:pt idx="75">
                  <c:v>3.8207363541796798E-15</c:v>
                </c:pt>
                <c:pt idx="76">
                  <c:v>3.7443593264946903E-15</c:v>
                </c:pt>
                <c:pt idx="77">
                  <c:v>3.66950908714928E-15</c:v>
                </c:pt>
                <c:pt idx="78">
                  <c:v>3.5961551138017397E-15</c:v>
                </c:pt>
                <c:pt idx="79">
                  <c:v>3.5242674951711998E-15</c:v>
                </c:pt>
                <c:pt idx="80">
                  <c:v>3.45381691916456E-15</c:v>
                </c:pt>
                <c:pt idx="81">
                  <c:v>3.3847746597638702E-15</c:v>
                </c:pt>
                <c:pt idx="82">
                  <c:v>3.3171125645753801E-15</c:v>
                </c:pt>
                <c:pt idx="83">
                  <c:v>3.2508030436449599E-15</c:v>
                </c:pt>
                <c:pt idx="84">
                  <c:v>3.1858190586985601E-15</c:v>
                </c:pt>
                <c:pt idx="85">
                  <c:v>3.12213411219526E-15</c:v>
                </c:pt>
                <c:pt idx="86">
                  <c:v>3.0597222362894901E-15</c:v>
                </c:pt>
                <c:pt idx="87">
                  <c:v>2.99855798212763E-15</c:v>
                </c:pt>
                <c:pt idx="88">
                  <c:v>2.9386164095309799E-15</c:v>
                </c:pt>
                <c:pt idx="89">
                  <c:v>2.8798730769109602E-15</c:v>
                </c:pt>
                <c:pt idx="90">
                  <c:v>2.8223040313094E-15</c:v>
                </c:pt>
                <c:pt idx="91">
                  <c:v>2.7658857985914498E-15</c:v>
                </c:pt>
                <c:pt idx="92">
                  <c:v>2.7105953738543901E-15</c:v>
                </c:pt>
                <c:pt idx="93">
                  <c:v>2.6564102120540302E-15</c:v>
                </c:pt>
                <c:pt idx="94">
                  <c:v>2.6033082188363399E-15</c:v>
                </c:pt>
                <c:pt idx="95">
                  <c:v>2.5512677415214699E-15</c:v>
                </c:pt>
                <c:pt idx="96">
                  <c:v>2.5002675602674498E-15</c:v>
                </c:pt>
                <c:pt idx="97">
                  <c:v>2.4502868794153602E-15</c:v>
                </c:pt>
                <c:pt idx="98">
                  <c:v>2.4013053190177901E-15</c:v>
                </c:pt>
                <c:pt idx="99">
                  <c:v>2.3533029065229899E-15</c:v>
                </c:pt>
              </c:numCache>
            </c:numRef>
          </c:yVal>
          <c:smooth val="0"/>
          <c:extLst>
            <c:ext xmlns:c16="http://schemas.microsoft.com/office/drawing/2014/chart" uri="{C3380CC4-5D6E-409C-BE32-E72D297353CC}">
              <c16:uniqueId val="{00000052-CF86-4C2E-BF49-1F263FBF5A1F}"/>
            </c:ext>
          </c:extLst>
        </c:ser>
        <c:ser>
          <c:idx val="83"/>
          <c:order val="83"/>
          <c:tx>
            <c:strRef>
              <c:f>dynamicR!$CO$19</c:f>
              <c:strCache>
                <c:ptCount val="1"/>
                <c:pt idx="0">
                  <c:v>s3CS</c:v>
                </c:pt>
              </c:strCache>
            </c:strRef>
          </c:tx>
          <c:spPr>
            <a:ln w="19050" cap="rnd">
              <a:solidFill>
                <a:schemeClr val="accent6">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dynamicR!$CO$20:$CO$119</c:f>
              <c:numCache>
                <c:formatCode>0.00</c:formatCode>
                <c:ptCount val="100"/>
                <c:pt idx="0">
                  <c:v>0</c:v>
                </c:pt>
                <c:pt idx="1">
                  <c:v>1</c:v>
                </c:pt>
                <c:pt idx="2">
                  <c:v>0.999999999999999</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1</c:v>
                </c:pt>
                <c:pt idx="21">
                  <c:v>1</c:v>
                </c:pt>
                <c:pt idx="22">
                  <c:v>0.999999999999998</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-4.1107927597948603E-214</c:v>
                </c:pt>
                <c:pt idx="52">
                  <c:v>9.9029056283013195E-216</c:v>
                </c:pt>
                <c:pt idx="53">
                  <c:v>-3.3539737528986898E-215</c:v>
                </c:pt>
                <c:pt idx="54">
                  <c:v>4.41037827434228E-214</c:v>
                </c:pt>
                <c:pt idx="55">
                  <c:v>-2.7764451688317198E-214</c:v>
                </c:pt>
                <c:pt idx="56">
                  <c:v>9.0516824144758094E-214</c:v>
                </c:pt>
                <c:pt idx="57">
                  <c:v>-2.6378821939561798E-214</c:v>
                </c:pt>
                <c:pt idx="58">
                  <c:v>4.91109143656541E-215</c:v>
                </c:pt>
                <c:pt idx="59">
                  <c:v>2.9913294842693901E-216</c:v>
                </c:pt>
                <c:pt idx="60">
                  <c:v>-5.5506981911659497E-216</c:v>
                </c:pt>
                <c:pt idx="61">
                  <c:v>2.6422310668819101E-216</c:v>
                </c:pt>
                <c:pt idx="62">
                  <c:v>6.5692525065660098E-215</c:v>
                </c:pt>
                <c:pt idx="63">
                  <c:v>5.1019858117004298E-215</c:v>
                </c:pt>
                <c:pt idx="64">
                  <c:v>-4.13590582892709E-215</c:v>
                </c:pt>
                <c:pt idx="65">
                  <c:v>-9.4596596206862405E-216</c:v>
                </c:pt>
                <c:pt idx="66">
                  <c:v>6.6080456605857004E-215</c:v>
                </c:pt>
                <c:pt idx="67">
                  <c:v>-2.1359813043914099E-215</c:v>
                </c:pt>
                <c:pt idx="68">
                  <c:v>-7.25262109817056E-215</c:v>
                </c:pt>
                <c:pt idx="69">
                  <c:v>6.2125302563444203E-215</c:v>
                </c:pt>
                <c:pt idx="70">
                  <c:v>5.7891429579653405E-215</c:v>
                </c:pt>
                <c:pt idx="71">
                  <c:v>-1.06101413772242E-214</c:v>
                </c:pt>
                <c:pt idx="72">
                  <c:v>-1.76276572274871E-215</c:v>
                </c:pt>
                <c:pt idx="73">
                  <c:v>1.40236491039055E-214</c:v>
                </c:pt>
                <c:pt idx="74">
                  <c:v>-4.9707998852153296E-215</c:v>
                </c:pt>
                <c:pt idx="75">
                  <c:v>-1.4345427758340599E-214</c:v>
                </c:pt>
                <c:pt idx="76">
                  <c:v>1.3858874273537501E-214</c:v>
                </c:pt>
                <c:pt idx="77">
                  <c:v>-9.9348276821604605E-215</c:v>
                </c:pt>
                <c:pt idx="78">
                  <c:v>3.8842954027374002E-215</c:v>
                </c:pt>
                <c:pt idx="79">
                  <c:v>-8.9886427636413894E-216</c:v>
                </c:pt>
                <c:pt idx="80">
                  <c:v>8.5105897197142403E-217</c:v>
                </c:pt>
                <c:pt idx="81">
                  <c:v>4.5435888901683002E-222</c:v>
                </c:pt>
                <c:pt idx="82">
                  <c:v>-1.4107330676065299E-222</c:v>
                </c:pt>
                <c:pt idx="83">
                  <c:v>3.0019406119092702E-223</c:v>
                </c:pt>
                <c:pt idx="84">
                  <c:v>-3.9329941563455701E-224</c:v>
                </c:pt>
                <c:pt idx="85">
                  <c:v>2.33929332504961E-225</c:v>
                </c:pt>
                <c:pt idx="86">
                  <c:v>5.2598838275279102E-230</c:v>
                </c:pt>
                <c:pt idx="87">
                  <c:v>-1.0998046152885E-230</c:v>
                </c:pt>
                <c:pt idx="88">
                  <c:v>1.6080727527398999E-231</c:v>
                </c:pt>
                <c:pt idx="89">
                  <c:v>-1.48300077759238E-232</c:v>
                </c:pt>
                <c:pt idx="90">
                  <c:v>6.4289042712360601E-234</c:v>
                </c:pt>
                <c:pt idx="91">
                  <c:v>4.1727459121940301E-238</c:v>
                </c:pt>
                <c:pt idx="92">
                  <c:v>-6.5095811154354196E-239</c:v>
                </c:pt>
                <c:pt idx="93">
                  <c:v>7.2627667784026703E-240</c:v>
                </c:pt>
                <c:pt idx="94">
                  <c:v>-5.1808647891578701E-241</c:v>
                </c:pt>
                <c:pt idx="95">
                  <c:v>1.7661545053536101E-242</c:v>
                </c:pt>
                <c:pt idx="96">
                  <c:v>2.6360571547936799E-246</c:v>
                </c:pt>
                <c:pt idx="97">
                  <c:v>-3.2866742772522299E-247</c:v>
                </c:pt>
                <c:pt idx="98">
                  <c:v>2.96743730733216E-248</c:v>
                </c:pt>
                <c:pt idx="99">
                  <c:v>-1.7274455988406199E-249</c:v>
                </c:pt>
              </c:numCache>
            </c:numRef>
          </c:yVal>
          <c:smooth val="0"/>
          <c:extLst>
            <c:ext xmlns:c16="http://schemas.microsoft.com/office/drawing/2014/chart" uri="{C3380CC4-5D6E-409C-BE32-E72D297353CC}">
              <c16:uniqueId val="{00000053-CF86-4C2E-BF49-1F263FBF5A1F}"/>
            </c:ext>
          </c:extLst>
        </c:ser>
        <c:ser>
          <c:idx val="84"/>
          <c:order val="84"/>
          <c:tx>
            <c:strRef>
              <c:f>dynamicR!$CP$19</c:f>
              <c:strCache>
                <c:ptCount val="1"/>
                <c:pt idx="0">
                  <c:v>s3CA</c:v>
                </c:pt>
              </c:strCache>
            </c:strRef>
          </c:tx>
          <c:spPr>
            <a:ln w="19050" cap="rnd">
              <a:solidFill>
                <a:schemeClr val="accent1">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dynamicR!$CP$20:$CP$119</c:f>
              <c:numCache>
                <c:formatCode>0.00</c:formatCode>
                <c:ptCount val="100"/>
                <c:pt idx="0">
                  <c:v>0</c:v>
                </c:pt>
                <c:pt idx="1">
                  <c:v>1</c:v>
                </c:pt>
                <c:pt idx="2">
                  <c:v>0.999999999999998</c:v>
                </c:pt>
                <c:pt idx="3">
                  <c:v>0.999999999999998</c:v>
                </c:pt>
                <c:pt idx="4">
                  <c:v>1</c:v>
                </c:pt>
                <c:pt idx="5">
                  <c:v>1</c:v>
                </c:pt>
                <c:pt idx="6">
                  <c:v>1</c:v>
                </c:pt>
                <c:pt idx="7">
                  <c:v>0.999999999999999</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0.999999999999998</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0.999999999999999</c:v>
                </c:pt>
                <c:pt idx="45">
                  <c:v>1</c:v>
                </c:pt>
                <c:pt idx="46">
                  <c:v>1</c:v>
                </c:pt>
                <c:pt idx="47">
                  <c:v>1</c:v>
                </c:pt>
                <c:pt idx="48">
                  <c:v>1</c:v>
                </c:pt>
                <c:pt idx="49">
                  <c:v>1</c:v>
                </c:pt>
                <c:pt idx="50">
                  <c:v>1</c:v>
                </c:pt>
                <c:pt idx="51">
                  <c:v>-8.4597748404121996E-94</c:v>
                </c:pt>
                <c:pt idx="52">
                  <c:v>2.03797400266288E-95</c:v>
                </c:pt>
                <c:pt idx="53">
                  <c:v>-6.9021934158336099E-95</c:v>
                </c:pt>
                <c:pt idx="54">
                  <c:v>9.07630893185753E-94</c:v>
                </c:pt>
                <c:pt idx="55">
                  <c:v>-5.7137516825111696E-94</c:v>
                </c:pt>
                <c:pt idx="56">
                  <c:v>1.862779242765E-93</c:v>
                </c:pt>
                <c:pt idx="57">
                  <c:v>-5.4285767067805296E-94</c:v>
                </c:pt>
                <c:pt idx="58">
                  <c:v>1.01065758133401E-94</c:v>
                </c:pt>
                <c:pt idx="59">
                  <c:v>6.1564682005844801E-96</c:v>
                </c:pt>
                <c:pt idx="60">
                  <c:v>-1.14234270614348E-95</c:v>
                </c:pt>
                <c:pt idx="61">
                  <c:v>5.4367385653402298E-96</c:v>
                </c:pt>
                <c:pt idx="62">
                  <c:v>1.35191018888698E-94</c:v>
                </c:pt>
                <c:pt idx="63">
                  <c:v>1.04995369169764E-94</c:v>
                </c:pt>
                <c:pt idx="64">
                  <c:v>-8.5115023583953804E-95</c:v>
                </c:pt>
                <c:pt idx="65">
                  <c:v>-1.9467216065900599E-95</c:v>
                </c:pt>
                <c:pt idx="66">
                  <c:v>1.35989939064539E-94</c:v>
                </c:pt>
                <c:pt idx="67">
                  <c:v>-4.3957543141287002E-95</c:v>
                </c:pt>
                <c:pt idx="68">
                  <c:v>-1.49254734553886E-94</c:v>
                </c:pt>
                <c:pt idx="69">
                  <c:v>1.27850505640508E-94</c:v>
                </c:pt>
                <c:pt idx="70">
                  <c:v>1.19137084104699E-94</c:v>
                </c:pt>
                <c:pt idx="71">
                  <c:v>-2.1835061421172399E-94</c:v>
                </c:pt>
                <c:pt idx="72">
                  <c:v>-3.62766035282929E-95</c:v>
                </c:pt>
                <c:pt idx="73">
                  <c:v>2.88598414713268E-94</c:v>
                </c:pt>
                <c:pt idx="74">
                  <c:v>-1.02296026248782E-94</c:v>
                </c:pt>
                <c:pt idx="75">
                  <c:v>-2.9522034162172898E-94</c:v>
                </c:pt>
                <c:pt idx="76">
                  <c:v>2.8520712156076701E-94</c:v>
                </c:pt>
                <c:pt idx="77">
                  <c:v>-2.0445208408333801E-94</c:v>
                </c:pt>
                <c:pt idx="78">
                  <c:v>7.9935436468648606E-95</c:v>
                </c:pt>
                <c:pt idx="79">
                  <c:v>-1.8497233791053201E-95</c:v>
                </c:pt>
                <c:pt idx="80">
                  <c:v>1.7509256962635199E-96</c:v>
                </c:pt>
                <c:pt idx="81">
                  <c:v>2.2552508733811601E-100</c:v>
                </c:pt>
                <c:pt idx="82">
                  <c:v>-7.0021524324964805E-101</c:v>
                </c:pt>
                <c:pt idx="83">
                  <c:v>1.48991928526661E-101</c:v>
                </c:pt>
                <c:pt idx="84">
                  <c:v>-1.9515687443570299E-102</c:v>
                </c:pt>
                <c:pt idx="85">
                  <c:v>1.1589072056750599E-103</c:v>
                </c:pt>
                <c:pt idx="86">
                  <c:v>6.3859656401414199E-107</c:v>
                </c:pt>
                <c:pt idx="87">
                  <c:v>-1.31650991367794E-107</c:v>
                </c:pt>
                <c:pt idx="88">
                  <c:v>1.92448091834665E-108</c:v>
                </c:pt>
                <c:pt idx="89">
                  <c:v>-1.7732040314233899E-109</c:v>
                </c:pt>
                <c:pt idx="90">
                  <c:v>7.6392669708568696E-111</c:v>
                </c:pt>
                <c:pt idx="91">
                  <c:v>1.21226069093776E-113</c:v>
                </c:pt>
                <c:pt idx="92">
                  <c:v>-1.87893415398822E-114</c:v>
                </c:pt>
                <c:pt idx="93">
                  <c:v>2.0949401465103298E-115</c:v>
                </c:pt>
                <c:pt idx="94">
                  <c:v>-1.4905405989607699E-116</c:v>
                </c:pt>
                <c:pt idx="95">
                  <c:v>4.9902531011098304E-118</c:v>
                </c:pt>
                <c:pt idx="96">
                  <c:v>1.8393832981950799E-120</c:v>
                </c:pt>
                <c:pt idx="97">
                  <c:v>-2.2868309095941299E-121</c:v>
                </c:pt>
                <c:pt idx="98">
                  <c:v>2.06144273581918E-122</c:v>
                </c:pt>
                <c:pt idx="99">
                  <c:v>-1.19259823648697E-123</c:v>
                </c:pt>
              </c:numCache>
            </c:numRef>
          </c:yVal>
          <c:smooth val="0"/>
          <c:extLst>
            <c:ext xmlns:c16="http://schemas.microsoft.com/office/drawing/2014/chart" uri="{C3380CC4-5D6E-409C-BE32-E72D297353CC}">
              <c16:uniqueId val="{00000054-CF86-4C2E-BF49-1F263FBF5A1F}"/>
            </c:ext>
          </c:extLst>
        </c:ser>
        <c:ser>
          <c:idx val="85"/>
          <c:order val="85"/>
          <c:tx>
            <c:strRef>
              <c:f>dynamicR!$CQ$19</c:f>
              <c:strCache>
                <c:ptCount val="1"/>
                <c:pt idx="0">
                  <c:v>s3CP</c:v>
                </c:pt>
              </c:strCache>
            </c:strRef>
          </c:tx>
          <c:spPr>
            <a:ln w="19050" cap="rnd">
              <a:solidFill>
                <a:schemeClr val="accent2">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dynamicR!$CQ$20:$CQ$119</c:f>
              <c:numCache>
                <c:formatCode>0.00</c:formatCode>
                <c:ptCount val="100"/>
                <c:pt idx="0">
                  <c:v>0</c:v>
                </c:pt>
                <c:pt idx="1">
                  <c:v>1</c:v>
                </c:pt>
                <c:pt idx="2">
                  <c:v>1</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0.999999999999999</c:v>
                </c:pt>
                <c:pt idx="19">
                  <c:v>1</c:v>
                </c:pt>
                <c:pt idx="20">
                  <c:v>1</c:v>
                </c:pt>
                <c:pt idx="21">
                  <c:v>0.999999999999999</c:v>
                </c:pt>
                <c:pt idx="22">
                  <c:v>0.999999999999999</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2.0670486095701602E-89</c:v>
                </c:pt>
                <c:pt idx="52">
                  <c:v>-4.97955971240423E-91</c:v>
                </c:pt>
                <c:pt idx="53">
                  <c:v>1.6864682267930499E-90</c:v>
                </c:pt>
                <c:pt idx="54">
                  <c:v>-2.2176917883984899E-89</c:v>
                </c:pt>
                <c:pt idx="55">
                  <c:v>1.3960890058517201E-89</c:v>
                </c:pt>
                <c:pt idx="56">
                  <c:v>-4.5514849264752797E-89</c:v>
                </c:pt>
                <c:pt idx="57">
                  <c:v>1.32640904793556E-89</c:v>
                </c:pt>
                <c:pt idx="58">
                  <c:v>-2.46941941850527E-90</c:v>
                </c:pt>
                <c:pt idx="59">
                  <c:v>-1.50427967992162E-91</c:v>
                </c:pt>
                <c:pt idx="60">
                  <c:v>2.7911977614103599E-91</c:v>
                </c:pt>
                <c:pt idx="61">
                  <c:v>-1.32837478997619E-91</c:v>
                </c:pt>
                <c:pt idx="62">
                  <c:v>-3.3032354530306502E-90</c:v>
                </c:pt>
                <c:pt idx="63">
                  <c:v>-2.5654389759262E-90</c:v>
                </c:pt>
                <c:pt idx="64">
                  <c:v>2.0796893184783601E-90</c:v>
                </c:pt>
                <c:pt idx="65">
                  <c:v>4.7565822812453201E-91</c:v>
                </c:pt>
                <c:pt idx="66">
                  <c:v>-3.3227582450033198E-90</c:v>
                </c:pt>
                <c:pt idx="67">
                  <c:v>1.07405298134878E-90</c:v>
                </c:pt>
                <c:pt idx="68">
                  <c:v>3.6468675474839E-90</c:v>
                </c:pt>
                <c:pt idx="69">
                  <c:v>-3.1238807228839699E-90</c:v>
                </c:pt>
                <c:pt idx="70">
                  <c:v>-2.9109770121873802E-90</c:v>
                </c:pt>
                <c:pt idx="71">
                  <c:v>5.3351460094928803E-90</c:v>
                </c:pt>
                <c:pt idx="72">
                  <c:v>8.8637669450235898E-91</c:v>
                </c:pt>
                <c:pt idx="73">
                  <c:v>-7.0515693595565603E-90</c:v>
                </c:pt>
                <c:pt idx="74">
                  <c:v>2.4994850421384798E-90</c:v>
                </c:pt>
                <c:pt idx="75">
                  <c:v>7.2133681876112699E-90</c:v>
                </c:pt>
                <c:pt idx="76">
                  <c:v>-6.9687058488387397E-90</c:v>
                </c:pt>
                <c:pt idx="77">
                  <c:v>4.9955479358096801E-90</c:v>
                </c:pt>
                <c:pt idx="78">
                  <c:v>-1.95312631607337E-90</c:v>
                </c:pt>
                <c:pt idx="79">
                  <c:v>4.5195545083681799E-91</c:v>
                </c:pt>
                <c:pt idx="80">
                  <c:v>-4.2780027798481597E-92</c:v>
                </c:pt>
                <c:pt idx="81">
                  <c:v>-6.2928040402804901E-96</c:v>
                </c:pt>
                <c:pt idx="82">
                  <c:v>1.9537975742338898E-96</c:v>
                </c:pt>
                <c:pt idx="83">
                  <c:v>-4.1572572264995398E-97</c:v>
                </c:pt>
                <c:pt idx="84">
                  <c:v>5.44519213787533E-98</c:v>
                </c:pt>
                <c:pt idx="85">
                  <c:v>-3.2327700832962698E-99</c:v>
                </c:pt>
                <c:pt idx="86">
                  <c:v>-2.03483701261717E-102</c:v>
                </c:pt>
                <c:pt idx="87">
                  <c:v>4.19491921065463E-103</c:v>
                </c:pt>
                <c:pt idx="88">
                  <c:v>-6.1319442569262096E-104</c:v>
                </c:pt>
                <c:pt idx="89">
                  <c:v>5.6491806350059898E-105</c:v>
                </c:pt>
                <c:pt idx="90">
                  <c:v>-2.4315117380543698E-106</c:v>
                </c:pt>
                <c:pt idx="91">
                  <c:v>-4.4111384630229197E-109</c:v>
                </c:pt>
                <c:pt idx="92">
                  <c:v>6.8367843208129303E-110</c:v>
                </c:pt>
                <c:pt idx="93">
                  <c:v>-7.6220039287840407E-111</c:v>
                </c:pt>
                <c:pt idx="94">
                  <c:v>5.4209320286745195E-112</c:v>
                </c:pt>
                <c:pt idx="95">
                  <c:v>-1.8099796030373001E-113</c:v>
                </c:pt>
                <c:pt idx="96">
                  <c:v>-7.6430902443490402E-116</c:v>
                </c:pt>
                <c:pt idx="97">
                  <c:v>9.5015789113626501E-117</c:v>
                </c:pt>
                <c:pt idx="98">
                  <c:v>-8.5631009300515405E-118</c:v>
                </c:pt>
                <c:pt idx="99">
                  <c:v>4.9493904575332699E-119</c:v>
                </c:pt>
              </c:numCache>
            </c:numRef>
          </c:yVal>
          <c:smooth val="0"/>
          <c:extLst>
            <c:ext xmlns:c16="http://schemas.microsoft.com/office/drawing/2014/chart" uri="{C3380CC4-5D6E-409C-BE32-E72D297353CC}">
              <c16:uniqueId val="{00000055-CF86-4C2E-BF49-1F263FBF5A1F}"/>
            </c:ext>
          </c:extLst>
        </c:ser>
        <c:ser>
          <c:idx val="86"/>
          <c:order val="86"/>
          <c:tx>
            <c:strRef>
              <c:f>dynamicR!$CR$19</c:f>
              <c:strCache>
                <c:ptCount val="1"/>
                <c:pt idx="0">
                  <c:v>aMG</c:v>
                </c:pt>
              </c:strCache>
            </c:strRef>
          </c:tx>
          <c:spPr>
            <a:ln w="19050" cap="rnd">
              <a:solidFill>
                <a:schemeClr val="accent3">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dynamicR!$CR$20:$CR$119</c:f>
              <c:numCache>
                <c:formatCode>0.00</c:formatCode>
                <c:ptCount val="100"/>
                <c:pt idx="0">
                  <c:v>0</c:v>
                </c:pt>
                <c:pt idx="1">
                  <c:v>1.99978252839863E-2</c:v>
                </c:pt>
                <c:pt idx="2">
                  <c:v>3.9588196665695602E-2</c:v>
                </c:pt>
                <c:pt idx="3">
                  <c:v>5.8786953228790302E-2</c:v>
                </c:pt>
                <c:pt idx="4">
                  <c:v>7.7601928996389305E-2</c:v>
                </c:pt>
                <c:pt idx="5">
                  <c:v>9.6040792543666806E-2</c:v>
                </c:pt>
                <c:pt idx="6">
                  <c:v>0.114111059439613</c:v>
                </c:pt>
                <c:pt idx="7">
                  <c:v>0.13182009781051601</c:v>
                </c:pt>
                <c:pt idx="8">
                  <c:v>0.14917512966232299</c:v>
                </c:pt>
                <c:pt idx="9">
                  <c:v>0.166183232283341</c:v>
                </c:pt>
                <c:pt idx="10">
                  <c:v>0.18285134089156399</c:v>
                </c:pt>
                <c:pt idx="11">
                  <c:v>0.19918625184157601</c:v>
                </c:pt>
                <c:pt idx="12">
                  <c:v>0.215194625622459</c:v>
                </c:pt>
                <c:pt idx="13">
                  <c:v>0.23088298946486599</c:v>
                </c:pt>
                <c:pt idx="14">
                  <c:v>0.246257740470298</c:v>
                </c:pt>
                <c:pt idx="15">
                  <c:v>0.26132514816402203</c:v>
                </c:pt>
                <c:pt idx="16">
                  <c:v>0.27609135658974798</c:v>
                </c:pt>
                <c:pt idx="17">
                  <c:v>0.29056238666679701</c:v>
                </c:pt>
                <c:pt idx="18">
                  <c:v>0.30474413889134999</c:v>
                </c:pt>
                <c:pt idx="19">
                  <c:v>0.31864239593738303</c:v>
                </c:pt>
                <c:pt idx="20">
                  <c:v>0.33226282497346299</c:v>
                </c:pt>
                <c:pt idx="21">
                  <c:v>0.34561097985642603</c:v>
                </c:pt>
                <c:pt idx="22">
                  <c:v>0.35869230336506203</c:v>
                </c:pt>
                <c:pt idx="23">
                  <c:v>0.37151212946765799</c:v>
                </c:pt>
                <c:pt idx="24">
                  <c:v>0.38407568553021498</c:v>
                </c:pt>
                <c:pt idx="25">
                  <c:v>0.39638809443738998</c:v>
                </c:pt>
                <c:pt idx="26">
                  <c:v>0.40845437665991802</c:v>
                </c:pt>
                <c:pt idx="27">
                  <c:v>0.42027945229945401</c:v>
                </c:pt>
                <c:pt idx="28">
                  <c:v>0.43186814310372701</c:v>
                </c:pt>
                <c:pt idx="29">
                  <c:v>0.44322517443607901</c:v>
                </c:pt>
                <c:pt idx="30">
                  <c:v>0.45435517720277901</c:v>
                </c:pt>
                <c:pt idx="31">
                  <c:v>0.46526268973643398</c:v>
                </c:pt>
                <c:pt idx="32">
                  <c:v>0.47595215964522802</c:v>
                </c:pt>
                <c:pt idx="33">
                  <c:v>0.486427945628645</c:v>
                </c:pt>
                <c:pt idx="34">
                  <c:v>0.49669431925787999</c:v>
                </c:pt>
                <c:pt idx="35">
                  <c:v>0.50675546671429095</c:v>
                </c:pt>
                <c:pt idx="36">
                  <c:v>0.51661549049581101</c:v>
                </c:pt>
                <c:pt idx="37">
                  <c:v>0.52627841109126705</c:v>
                </c:pt>
                <c:pt idx="38">
                  <c:v>0.53574816861923802</c:v>
                </c:pt>
                <c:pt idx="39">
                  <c:v>0.54502862443553102</c:v>
                </c:pt>
                <c:pt idx="40">
                  <c:v>0.554123562706624</c:v>
                </c:pt>
                <c:pt idx="41">
                  <c:v>0.56303669195327</c:v>
                </c:pt>
                <c:pt idx="42">
                  <c:v>0.57177164663370605</c:v>
                </c:pt>
                <c:pt idx="43">
                  <c:v>0.58033198927547403</c:v>
                </c:pt>
                <c:pt idx="44">
                  <c:v>0.588721210503519</c:v>
                </c:pt>
                <c:pt idx="45">
                  <c:v>0.59694273776407702</c:v>
                </c:pt>
                <c:pt idx="46">
                  <c:v>0.60499989464277804</c:v>
                </c:pt>
                <c:pt idx="47">
                  <c:v>0.61289599927829597</c:v>
                </c:pt>
                <c:pt idx="48">
                  <c:v>0.62063426140579903</c:v>
                </c:pt>
                <c:pt idx="49">
                  <c:v>0.62821783654283303</c:v>
                </c:pt>
                <c:pt idx="50">
                  <c:v>0.62821783654283303</c:v>
                </c:pt>
                <c:pt idx="51">
                  <c:v>0.61565165007455602</c:v>
                </c:pt>
                <c:pt idx="52">
                  <c:v>0.60334416820453696</c:v>
                </c:pt>
                <c:pt idx="53">
                  <c:v>0.59128313514097397</c:v>
                </c:pt>
                <c:pt idx="54">
                  <c:v>0.57946346360679601</c:v>
                </c:pt>
                <c:pt idx="55">
                  <c:v>0.56788001755081696</c:v>
                </c:pt>
                <c:pt idx="56">
                  <c:v>0.55652806655569897</c:v>
                </c:pt>
                <c:pt idx="57">
                  <c:v>0.54540302080357494</c:v>
                </c:pt>
                <c:pt idx="58">
                  <c:v>0.53450036128860301</c:v>
                </c:pt>
                <c:pt idx="59">
                  <c:v>0.52381564826831495</c:v>
                </c:pt>
                <c:pt idx="60">
                  <c:v>0.51334451764544597</c:v>
                </c:pt>
                <c:pt idx="61">
                  <c:v>0.50308269195168598</c:v>
                </c:pt>
                <c:pt idx="62">
                  <c:v>0.49302599475866199</c:v>
                </c:pt>
                <c:pt idx="63">
                  <c:v>0.48317033469270598</c:v>
                </c:pt>
                <c:pt idx="64">
                  <c:v>0.47351169457794001</c:v>
                </c:pt>
                <c:pt idx="65">
                  <c:v>0.46404613355101598</c:v>
                </c:pt>
                <c:pt idx="66">
                  <c:v>0.45476979001520201</c:v>
                </c:pt>
                <c:pt idx="67">
                  <c:v>0.44567888117517601</c:v>
                </c:pt>
                <c:pt idx="68">
                  <c:v>0.436769700588655</c:v>
                </c:pt>
                <c:pt idx="69">
                  <c:v>0.42803861580105301</c:v>
                </c:pt>
                <c:pt idx="70">
                  <c:v>0.41948206668659499</c:v>
                </c:pt>
                <c:pt idx="71">
                  <c:v>0.41109656416995699</c:v>
                </c:pt>
                <c:pt idx="72">
                  <c:v>0.40287868895088103</c:v>
                </c:pt>
                <c:pt idx="73">
                  <c:v>0.39482509013349598</c:v>
                </c:pt>
                <c:pt idx="74">
                  <c:v>0.38693248382734802</c:v>
                </c:pt>
                <c:pt idx="75">
                  <c:v>0.37919765184224702</c:v>
                </c:pt>
                <c:pt idx="76">
                  <c:v>0.37161744036778499</c:v>
                </c:pt>
                <c:pt idx="77">
                  <c:v>0.364188758467619</c:v>
                </c:pt>
                <c:pt idx="78">
                  <c:v>0.35690857688265798</c:v>
                </c:pt>
                <c:pt idx="79">
                  <c:v>0.34977392699994397</c:v>
                </c:pt>
                <c:pt idx="80">
                  <c:v>0.34278189967426098</c:v>
                </c:pt>
                <c:pt idx="81">
                  <c:v>0.335929643926758</c:v>
                </c:pt>
                <c:pt idx="82">
                  <c:v>0.32921436570921397</c:v>
                </c:pt>
                <c:pt idx="83">
                  <c:v>0.32263332679400702</c:v>
                </c:pt>
                <c:pt idx="84">
                  <c:v>0.31618384370625902</c:v>
                </c:pt>
                <c:pt idx="85">
                  <c:v>0.309863286637375</c:v>
                </c:pt>
                <c:pt idx="86">
                  <c:v>0.30366907834958101</c:v>
                </c:pt>
                <c:pt idx="87">
                  <c:v>0.29759869311363402</c:v>
                </c:pt>
                <c:pt idx="88">
                  <c:v>0.29164965568488799</c:v>
                </c:pt>
                <c:pt idx="89">
                  <c:v>0.28581954030241002</c:v>
                </c:pt>
                <c:pt idx="90">
                  <c:v>0.28010596970049401</c:v>
                </c:pt>
                <c:pt idx="91">
                  <c:v>0.27450661413534699</c:v>
                </c:pt>
                <c:pt idx="92">
                  <c:v>0.26901919043318001</c:v>
                </c:pt>
                <c:pt idx="93">
                  <c:v>0.26364146105991199</c:v>
                </c:pt>
                <c:pt idx="94">
                  <c:v>0.25837123321122402</c:v>
                </c:pt>
                <c:pt idx="95">
                  <c:v>0.25320635791775897</c:v>
                </c:pt>
                <c:pt idx="96">
                  <c:v>0.24814472916813399</c:v>
                </c:pt>
                <c:pt idx="97">
                  <c:v>0.243184283049978</c:v>
                </c:pt>
                <c:pt idx="98">
                  <c:v>0.23832299690914999</c:v>
                </c:pt>
                <c:pt idx="99">
                  <c:v>0.23355888852442</c:v>
                </c:pt>
              </c:numCache>
            </c:numRef>
          </c:yVal>
          <c:smooth val="0"/>
          <c:extLst>
            <c:ext xmlns:c16="http://schemas.microsoft.com/office/drawing/2014/chart" uri="{C3380CC4-5D6E-409C-BE32-E72D297353CC}">
              <c16:uniqueId val="{00000056-CF86-4C2E-BF49-1F263FBF5A1F}"/>
            </c:ext>
          </c:extLst>
        </c:ser>
        <c:ser>
          <c:idx val="87"/>
          <c:order val="87"/>
          <c:tx>
            <c:strRef>
              <c:f>dynamicR!$CS$19</c:f>
              <c:strCache>
                <c:ptCount val="1"/>
                <c:pt idx="0">
                  <c:v>aMS</c:v>
                </c:pt>
              </c:strCache>
            </c:strRef>
          </c:tx>
          <c:spPr>
            <a:ln w="19050" cap="rnd">
              <a:solidFill>
                <a:schemeClr val="accent4">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dynamicR!$CS$20:$CS$119</c:f>
              <c:numCache>
                <c:formatCode>0.00</c:formatCode>
                <c:ptCount val="100"/>
                <c:pt idx="0">
                  <c:v>0</c:v>
                </c:pt>
                <c:pt idx="1">
                  <c:v>1</c:v>
                </c:pt>
                <c:pt idx="2">
                  <c:v>0.999999999999996</c:v>
                </c:pt>
                <c:pt idx="3">
                  <c:v>0.999999999999995</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0.999999999999998</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-1.2211353851544701E-213</c:v>
                </c:pt>
                <c:pt idx="52">
                  <c:v>2.9417169934725498E-215</c:v>
                </c:pt>
                <c:pt idx="53">
                  <c:v>-9.9631784048344702E-215</c:v>
                </c:pt>
                <c:pt idx="54">
                  <c:v>1.3101290215691001E-213</c:v>
                </c:pt>
                <c:pt idx="55">
                  <c:v>-8.2475950370530402E-214</c:v>
                </c:pt>
                <c:pt idx="56">
                  <c:v>2.68885594568683E-213</c:v>
                </c:pt>
                <c:pt idx="57">
                  <c:v>-7.8359855073775305E-214</c:v>
                </c:pt>
                <c:pt idx="58">
                  <c:v>1.4588688383878E-214</c:v>
                </c:pt>
                <c:pt idx="59">
                  <c:v>8.88592164556395E-216</c:v>
                </c:pt>
                <c:pt idx="60">
                  <c:v>-1.64886781828108E-215</c:v>
                </c:pt>
                <c:pt idx="61">
                  <c:v>7.8489040920589803E-216</c:v>
                </c:pt>
                <c:pt idx="62">
                  <c:v>1.9514354186067999E-214</c:v>
                </c:pt>
                <c:pt idx="63">
                  <c:v>1.51557514469571E-214</c:v>
                </c:pt>
                <c:pt idx="64">
                  <c:v>-1.22859535609627E-214</c:v>
                </c:pt>
                <c:pt idx="65">
                  <c:v>-2.8100479945502702E-215</c:v>
                </c:pt>
                <c:pt idx="66">
                  <c:v>1.9629591550863901E-214</c:v>
                </c:pt>
                <c:pt idx="67">
                  <c:v>-6.3450591474530403E-215</c:v>
                </c:pt>
                <c:pt idx="68">
                  <c:v>-2.1544341117286901E-214</c:v>
                </c:pt>
                <c:pt idx="69">
                  <c:v>1.84546895849715E-214</c:v>
                </c:pt>
                <c:pt idx="70">
                  <c:v>1.71969925044897E-214</c:v>
                </c:pt>
                <c:pt idx="71">
                  <c:v>-3.1518054237139401E-214</c:v>
                </c:pt>
                <c:pt idx="72">
                  <c:v>-5.2364001271672702E-215</c:v>
                </c:pt>
                <c:pt idx="73">
                  <c:v>4.1658081390724599E-214</c:v>
                </c:pt>
                <c:pt idx="74">
                  <c:v>-1.4766055871837501E-214</c:v>
                </c:pt>
                <c:pt idx="75">
                  <c:v>-4.2613943968070601E-214</c:v>
                </c:pt>
                <c:pt idx="76">
                  <c:v>4.1168607984498903E-214</c:v>
                </c:pt>
                <c:pt idx="77">
                  <c:v>-2.9511994853822898E-214</c:v>
                </c:pt>
                <c:pt idx="78">
                  <c:v>1.15385298672223E-214</c:v>
                </c:pt>
                <c:pt idx="79">
                  <c:v>-2.6701296436153702E-215</c:v>
                </c:pt>
                <c:pt idx="80">
                  <c:v>2.5281211516374E-216</c:v>
                </c:pt>
                <c:pt idx="81">
                  <c:v>1.3496999192170901E-221</c:v>
                </c:pt>
                <c:pt idx="82">
                  <c:v>-4.1906658473345203E-222</c:v>
                </c:pt>
                <c:pt idx="83">
                  <c:v>8.9174411453426994E-223</c:v>
                </c:pt>
                <c:pt idx="84">
                  <c:v>-1.1683187145441101E-223</c:v>
                </c:pt>
                <c:pt idx="85">
                  <c:v>6.9489977998168602E-225</c:v>
                </c:pt>
                <c:pt idx="86">
                  <c:v>1.5769888498752201E-229</c:v>
                </c:pt>
                <c:pt idx="87">
                  <c:v>-3.26703369074773E-230</c:v>
                </c:pt>
                <c:pt idx="88">
                  <c:v>4.77687090220024E-231</c:v>
                </c:pt>
                <c:pt idx="89">
                  <c:v>-4.4053349335145999E-232</c:v>
                </c:pt>
                <c:pt idx="90">
                  <c:v>1.90974009036202E-233</c:v>
                </c:pt>
                <c:pt idx="91">
                  <c:v>1.2419084207046899E-237</c:v>
                </c:pt>
                <c:pt idx="92">
                  <c:v>-1.93370742916176E-238</c:v>
                </c:pt>
                <c:pt idx="93">
                  <c:v>2.1574438900365398E-239</c:v>
                </c:pt>
                <c:pt idx="94">
                  <c:v>-1.5390026411635499E-240</c:v>
                </c:pt>
                <c:pt idx="95">
                  <c:v>5.2464593981672796E-242</c:v>
                </c:pt>
                <c:pt idx="96">
                  <c:v>7.8352061379975598E-246</c:v>
                </c:pt>
                <c:pt idx="97">
                  <c:v>-9.7632512118692606E-247</c:v>
                </c:pt>
                <c:pt idx="98">
                  <c:v>8.81493627214383E-248</c:v>
                </c:pt>
                <c:pt idx="99">
                  <c:v>-5.1314739575405395E-249</c:v>
                </c:pt>
              </c:numCache>
            </c:numRef>
          </c:yVal>
          <c:smooth val="0"/>
          <c:extLst>
            <c:ext xmlns:c16="http://schemas.microsoft.com/office/drawing/2014/chart" uri="{C3380CC4-5D6E-409C-BE32-E72D297353CC}">
              <c16:uniqueId val="{00000057-CF86-4C2E-BF49-1F263FBF5A1F}"/>
            </c:ext>
          </c:extLst>
        </c:ser>
        <c:ser>
          <c:idx val="88"/>
          <c:order val="88"/>
          <c:tx>
            <c:strRef>
              <c:f>dynamicR!$CT$19</c:f>
              <c:strCache>
                <c:ptCount val="1"/>
                <c:pt idx="0">
                  <c:v>aMA</c:v>
                </c:pt>
              </c:strCache>
            </c:strRef>
          </c:tx>
          <c:spPr>
            <a:ln w="19050" cap="rnd">
              <a:solidFill>
                <a:schemeClr val="accent5">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dynamicR!$CT$20:$CT$119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0.999999999999999</c:v>
                </c:pt>
                <c:pt idx="15">
                  <c:v>1</c:v>
                </c:pt>
                <c:pt idx="16">
                  <c:v>1</c:v>
                </c:pt>
                <c:pt idx="17">
                  <c:v>0.999999999999998</c:v>
                </c:pt>
                <c:pt idx="18">
                  <c:v>1</c:v>
                </c:pt>
                <c:pt idx="19">
                  <c:v>1</c:v>
                </c:pt>
                <c:pt idx="20">
                  <c:v>0.999999999999997</c:v>
                </c:pt>
                <c:pt idx="21">
                  <c:v>0.999999999999999</c:v>
                </c:pt>
                <c:pt idx="22">
                  <c:v>1</c:v>
                </c:pt>
                <c:pt idx="23">
                  <c:v>0.999999999999997</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0.999999999999999</c:v>
                </c:pt>
                <c:pt idx="38">
                  <c:v>1</c:v>
                </c:pt>
                <c:pt idx="39">
                  <c:v>1</c:v>
                </c:pt>
                <c:pt idx="40">
                  <c:v>1</c:v>
                </c:pt>
                <c:pt idx="41">
                  <c:v>1</c:v>
                </c:pt>
                <c:pt idx="42">
                  <c:v>1</c:v>
                </c:pt>
                <c:pt idx="43">
                  <c:v>1</c:v>
                </c:pt>
                <c:pt idx="44">
                  <c:v>1</c:v>
                </c:pt>
                <c:pt idx="45">
                  <c:v>1</c:v>
                </c:pt>
                <c:pt idx="46">
                  <c:v>1</c:v>
                </c:pt>
                <c:pt idx="47">
                  <c:v>1</c:v>
                </c:pt>
                <c:pt idx="48">
                  <c:v>0.999999999999999</c:v>
                </c:pt>
                <c:pt idx="49">
                  <c:v>1</c:v>
                </c:pt>
                <c:pt idx="50">
                  <c:v>1</c:v>
                </c:pt>
                <c:pt idx="51">
                  <c:v>-1.13739027130377E-99</c:v>
                </c:pt>
                <c:pt idx="52">
                  <c:v>2.7399892879784599E-101</c:v>
                </c:pt>
                <c:pt idx="53">
                  <c:v>-9.2798041321496398E-101</c:v>
                </c:pt>
                <c:pt idx="54">
                  <c:v>1.2202812461332501E-99</c:v>
                </c:pt>
                <c:pt idx="55">
                  <c:v>-7.6819633284500402E-100</c:v>
                </c:pt>
                <c:pt idx="56">
                  <c:v>2.50444954942066E-99</c:v>
                </c:pt>
                <c:pt idx="57">
                  <c:v>-7.2985591591046495E-100</c:v>
                </c:pt>
                <c:pt idx="58">
                  <c:v>1.35880135548933E-100</c:v>
                </c:pt>
                <c:pt idx="59">
                  <c:v>8.2770677135269102E-102</c:v>
                </c:pt>
                <c:pt idx="60">
                  <c:v>-1.5358346288351101E-101</c:v>
                </c:pt>
                <c:pt idx="61">
                  <c:v>7.3097134402377495E-102</c:v>
                </c:pt>
                <c:pt idx="62">
                  <c:v>1.8176019178946E-100</c:v>
                </c:pt>
                <c:pt idx="63">
                  <c:v>1.4116311870821201E-100</c:v>
                </c:pt>
                <c:pt idx="64">
                  <c:v>-1.1443438069173299E-100</c:v>
                </c:pt>
                <c:pt idx="65">
                  <c:v>-2.6173113345358801E-101</c:v>
                </c:pt>
                <c:pt idx="66">
                  <c:v>1.82834181929854E-100</c:v>
                </c:pt>
                <c:pt idx="67">
                  <c:v>-5.9099478085063506E-101</c:v>
                </c:pt>
                <c:pt idx="68">
                  <c:v>-2.00668329553061E-100</c:v>
                </c:pt>
                <c:pt idx="69">
                  <c:v>1.7189095774310599E-100</c:v>
                </c:pt>
                <c:pt idx="70">
                  <c:v>1.6017611647336699E-100</c:v>
                </c:pt>
                <c:pt idx="71">
                  <c:v>-2.9356556814648902E-100</c:v>
                </c:pt>
                <c:pt idx="72">
                  <c:v>-4.8772781775036801E-101</c:v>
                </c:pt>
                <c:pt idx="73">
                  <c:v>3.88011589958856E-100</c:v>
                </c:pt>
                <c:pt idx="74">
                  <c:v>-1.37533847508317E-100</c:v>
                </c:pt>
                <c:pt idx="75">
                  <c:v>-3.9691458481297898E-100</c:v>
                </c:pt>
                <c:pt idx="76">
                  <c:v>3.8345217633748001E-100</c:v>
                </c:pt>
                <c:pt idx="77">
                  <c:v>-2.7487965026541599E-100</c:v>
                </c:pt>
                <c:pt idx="78">
                  <c:v>1.07470952799355E-100</c:v>
                </c:pt>
                <c:pt idx="79">
                  <c:v>-2.4869153315475999E-101</c:v>
                </c:pt>
                <c:pt idx="80">
                  <c:v>2.35418071937622E-102</c:v>
                </c:pt>
                <c:pt idx="81">
                  <c:v>2.5357199348825598E-106</c:v>
                </c:pt>
                <c:pt idx="82">
                  <c:v>-7.8729870031085801E-107</c:v>
                </c:pt>
                <c:pt idx="83">
                  <c:v>1.6752327577751799E-107</c:v>
                </c:pt>
                <c:pt idx="84">
                  <c:v>-2.1943876073328602E-108</c:v>
                </c:pt>
                <c:pt idx="85">
                  <c:v>1.3034582677163199E-109</c:v>
                </c:pt>
                <c:pt idx="86">
                  <c:v>6.0046794575907804E-113</c:v>
                </c:pt>
                <c:pt idx="87">
                  <c:v>-1.23792621962375E-113</c:v>
                </c:pt>
                <c:pt idx="88">
                  <c:v>1.8096783588867001E-114</c:v>
                </c:pt>
                <c:pt idx="89">
                  <c:v>-1.6676817397533899E-115</c:v>
                </c:pt>
                <c:pt idx="90">
                  <c:v>7.1923225379082606E-117</c:v>
                </c:pt>
                <c:pt idx="91">
                  <c:v>9.5328868575169902E-120</c:v>
                </c:pt>
                <c:pt idx="92">
                  <c:v>-1.4776007313619E-120</c:v>
                </c:pt>
                <c:pt idx="93">
                  <c:v>1.64765566248916E-121</c:v>
                </c:pt>
                <c:pt idx="94">
                  <c:v>-1.17282043626511E-122</c:v>
                </c:pt>
                <c:pt idx="95">
                  <c:v>3.9388041557483201E-124</c:v>
                </c:pt>
                <c:pt idx="96">
                  <c:v>1.20969461505358E-126</c:v>
                </c:pt>
                <c:pt idx="97">
                  <c:v>-1.5041007921645099E-127</c:v>
                </c:pt>
                <c:pt idx="98">
                  <c:v>1.35622470647772E-128</c:v>
                </c:pt>
                <c:pt idx="99">
                  <c:v>-7.8544819682484996E-130</c:v>
                </c:pt>
              </c:numCache>
            </c:numRef>
          </c:yVal>
          <c:smooth val="0"/>
          <c:extLst>
            <c:ext xmlns:c16="http://schemas.microsoft.com/office/drawing/2014/chart" uri="{C3380CC4-5D6E-409C-BE32-E72D297353CC}">
              <c16:uniqueId val="{00000058-CF86-4C2E-BF49-1F263FBF5A1F}"/>
            </c:ext>
          </c:extLst>
        </c:ser>
        <c:ser>
          <c:idx val="89"/>
          <c:order val="89"/>
          <c:tx>
            <c:strRef>
              <c:f>dynamicR!$CU$19</c:f>
              <c:strCache>
                <c:ptCount val="1"/>
                <c:pt idx="0">
                  <c:v>aMP</c:v>
                </c:pt>
              </c:strCache>
            </c:strRef>
          </c:tx>
          <c:spPr>
            <a:ln w="19050" cap="rnd">
              <a:solidFill>
                <a:schemeClr val="accent6">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dynamicR!$CU$20:$CU$119</c:f>
              <c:numCache>
                <c:formatCode>0.00</c:formatCode>
                <c:ptCount val="100"/>
                <c:pt idx="0">
                  <c:v>0</c:v>
                </c:pt>
                <c:pt idx="1">
                  <c:v>1</c:v>
                </c:pt>
                <c:pt idx="2">
                  <c:v>1</c:v>
                </c:pt>
                <c:pt idx="3">
                  <c:v>0.999999999999999</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-9.55890585666462E-214</c:v>
                </c:pt>
                <c:pt idx="52">
                  <c:v>2.3027417956108699E-215</c:v>
                </c:pt>
                <c:pt idx="53">
                  <c:v>-7.7990600499965498E-215</c:v>
                </c:pt>
                <c:pt idx="54">
                  <c:v>1.02555377036769E-213</c:v>
                </c:pt>
                <c:pt idx="55">
                  <c:v>-6.4561215408801996E-214</c:v>
                </c:pt>
                <c:pt idx="56">
                  <c:v>2.1048051811287602E-213</c:v>
                </c:pt>
                <c:pt idx="57">
                  <c:v>-6.1339183750843204E-214</c:v>
                </c:pt>
                <c:pt idx="58">
                  <c:v>1.1419855695590199E-214</c:v>
                </c:pt>
                <c:pt idx="59">
                  <c:v>6.9557961876770799E-216</c:v>
                </c:pt>
                <c:pt idx="60">
                  <c:v>-1.2907145634746601E-215</c:v>
                </c:pt>
                <c:pt idx="61">
                  <c:v>6.1440308806669204E-216</c:v>
                </c:pt>
                <c:pt idx="62">
                  <c:v>1.5275609634928801E-214</c:v>
                </c:pt>
                <c:pt idx="63">
                  <c:v>1.1863746071903199E-214</c:v>
                </c:pt>
                <c:pt idx="64">
                  <c:v>-9.6173016448298808E-215</c:v>
                </c:pt>
                <c:pt idx="65">
                  <c:v>-2.1996729077576301E-215</c:v>
                </c:pt>
                <c:pt idx="66">
                  <c:v>1.53658161055263E-214</c:v>
                </c:pt>
                <c:pt idx="67">
                  <c:v>-4.9668385504852699E-215</c:v>
                </c:pt>
                <c:pt idx="68">
                  <c:v>-1.6864659810107499E-214</c:v>
                </c:pt>
                <c:pt idx="69">
                  <c:v>1.44461165029395E-214</c:v>
                </c:pt>
                <c:pt idx="70">
                  <c:v>1.34616058464E-214</c:v>
                </c:pt>
                <c:pt idx="71">
                  <c:v>-2.4671966512883301E-214</c:v>
                </c:pt>
                <c:pt idx="72">
                  <c:v>-4.0989931551172299E-215</c:v>
                </c:pt>
                <c:pt idx="73">
                  <c:v>3.26094619077406E-214</c:v>
                </c:pt>
                <c:pt idx="74">
                  <c:v>-1.15586969058362E-214</c:v>
                </c:pt>
                <c:pt idx="75">
                  <c:v>-3.3357700022864401E-214</c:v>
                </c:pt>
                <c:pt idx="76">
                  <c:v>3.2226307814160699E-214</c:v>
                </c:pt>
                <c:pt idx="77">
                  <c:v>-2.3101646543210998E-214</c:v>
                </c:pt>
                <c:pt idx="78">
                  <c:v>9.0322270625058E-215</c:v>
                </c:pt>
                <c:pt idx="79">
                  <c:v>-2.0901464479692499E-215</c:v>
                </c:pt>
                <c:pt idx="80">
                  <c:v>1.9789838447664901E-216</c:v>
                </c:pt>
                <c:pt idx="81">
                  <c:v>1.05685534183385E-221</c:v>
                </c:pt>
                <c:pt idx="82">
                  <c:v>-3.2814161051999298E-222</c:v>
                </c:pt>
                <c:pt idx="83">
                  <c:v>6.9826210690996307E-223</c:v>
                </c:pt>
                <c:pt idx="84">
                  <c:v>-9.1482802351395892E-224</c:v>
                </c:pt>
                <c:pt idx="85">
                  <c:v>5.4412658693791704E-225</c:v>
                </c:pt>
                <c:pt idx="86">
                  <c:v>1.23994071989865E-229</c:v>
                </c:pt>
                <c:pt idx="87">
                  <c:v>-2.5589582276479399E-230</c:v>
                </c:pt>
                <c:pt idx="88">
                  <c:v>3.74156347900344E-231</c:v>
                </c:pt>
                <c:pt idx="89">
                  <c:v>-3.4505495481661699E-232</c:v>
                </c:pt>
                <c:pt idx="90">
                  <c:v>1.4958301966053201E-233</c:v>
                </c:pt>
                <c:pt idx="91">
                  <c:v>9.7606275908413505E-238</c:v>
                </c:pt>
                <c:pt idx="92">
                  <c:v>-1.5150561535012299E-238</c:v>
                </c:pt>
                <c:pt idx="93">
                  <c:v>1.69035228082255E-239</c:v>
                </c:pt>
                <c:pt idx="94">
                  <c:v>-1.2058039054100701E-240</c:v>
                </c:pt>
                <c:pt idx="95">
                  <c:v>4.11057351819172E-242</c:v>
                </c:pt>
                <c:pt idx="96">
                  <c:v>6.1443637422221495E-246</c:v>
                </c:pt>
                <c:pt idx="97">
                  <c:v>-7.6517055239732506E-247</c:v>
                </c:pt>
                <c:pt idx="98">
                  <c:v>6.9084842295185E-248</c:v>
                </c:pt>
                <c:pt idx="99">
                  <c:v>-4.0216587617793999E-249</c:v>
                </c:pt>
              </c:numCache>
            </c:numRef>
          </c:yVal>
          <c:smooth val="0"/>
          <c:extLst>
            <c:ext xmlns:c16="http://schemas.microsoft.com/office/drawing/2014/chart" uri="{C3380CC4-5D6E-409C-BE32-E72D297353CC}">
              <c16:uniqueId val="{00000059-CF86-4C2E-BF49-1F263FBF5A1F}"/>
            </c:ext>
          </c:extLst>
        </c:ser>
        <c:ser>
          <c:idx val="90"/>
          <c:order val="90"/>
          <c:tx>
            <c:strRef>
              <c:f>dynamicR!$CV$19</c:f>
              <c:strCache>
                <c:ptCount val="1"/>
                <c:pt idx="0">
                  <c:v>cwMS</c:v>
                </c:pt>
              </c:strCache>
            </c:strRef>
          </c:tx>
          <c:spPr>
            <a:ln w="19050" cap="rnd">
              <a:solidFill>
                <a:schemeClr val="accent1">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dynamicR!$CV$20:$CV$119</c:f>
              <c:numCache>
                <c:formatCode>0.00</c:formatCode>
                <c:ptCount val="100"/>
                <c:pt idx="0">
                  <c:v>0</c:v>
                </c:pt>
                <c:pt idx="1">
                  <c:v>1</c:v>
                </c:pt>
                <c:pt idx="2">
                  <c:v>0.999999999999997</c:v>
                </c:pt>
                <c:pt idx="3">
                  <c:v>0.999999999999995</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-1.94534396089639E-213</c:v>
                </c:pt>
                <c:pt idx="52">
                  <c:v>4.6863363196570105E-215</c:v>
                </c:pt>
                <c:pt idx="53">
                  <c:v>-1.58719568755845E-214</c:v>
                </c:pt>
                <c:pt idx="54">
                  <c:v>2.08711631942392E-213</c:v>
                </c:pt>
                <c:pt idx="55">
                  <c:v>-1.3138927493204801E-213</c:v>
                </c:pt>
                <c:pt idx="56">
                  <c:v>4.2835133250298503E-213</c:v>
                </c:pt>
                <c:pt idx="57">
                  <c:v>-1.2483208104095901E-213</c:v>
                </c:pt>
                <c:pt idx="58">
                  <c:v>2.32406801767006E-214</c:v>
                </c:pt>
                <c:pt idx="59">
                  <c:v>1.41558211133014E-215</c:v>
                </c:pt>
                <c:pt idx="60">
                  <c:v>-2.6267481085333E-215</c:v>
                </c:pt>
                <c:pt idx="61">
                  <c:v>1.25037882050206E-215</c:v>
                </c:pt>
                <c:pt idx="62">
                  <c:v>3.1087569530546602E-214</c:v>
                </c:pt>
                <c:pt idx="63">
                  <c:v>2.4144046602952602E-214</c:v>
                </c:pt>
                <c:pt idx="64">
                  <c:v>-1.9572281610435701E-214</c:v>
                </c:pt>
                <c:pt idx="65">
                  <c:v>-4.4765797310941098E-215</c:v>
                </c:pt>
                <c:pt idx="66">
                  <c:v>3.12711497585397E-214</c:v>
                </c:pt>
                <c:pt idx="67">
                  <c:v>-1.0108070476793901E-214</c:v>
                </c:pt>
                <c:pt idx="68">
                  <c:v>-3.43214638869082E-214</c:v>
                </c:pt>
                <c:pt idx="69">
                  <c:v>2.9399458478983099E-214</c:v>
                </c:pt>
                <c:pt idx="70">
                  <c:v>2.7395869476494402E-214</c:v>
                </c:pt>
                <c:pt idx="71">
                  <c:v>-5.0210203895148999E-214</c:v>
                </c:pt>
                <c:pt idx="72">
                  <c:v>-8.3419082943196702E-215</c:v>
                </c:pt>
                <c:pt idx="73">
                  <c:v>6.6363892414534196E-214</c:v>
                </c:pt>
                <c:pt idx="74">
                  <c:v>-2.3523237522020699E-214</c:v>
                </c:pt>
                <c:pt idx="75">
                  <c:v>-6.7886640441526703E-214</c:v>
                </c:pt>
                <c:pt idx="76">
                  <c:v>6.5584131096058001E-214</c:v>
                </c:pt>
                <c:pt idx="77">
                  <c:v>-4.7014427598039496E-214</c:v>
                </c:pt>
                <c:pt idx="78">
                  <c:v>1.8381589577978299E-214</c:v>
                </c:pt>
                <c:pt idx="79">
                  <c:v>-4.2536811702816599E-215</c:v>
                </c:pt>
                <c:pt idx="80">
                  <c:v>4.02745288590703E-216</c:v>
                </c:pt>
                <c:pt idx="81">
                  <c:v>2.1501549248071501E-221</c:v>
                </c:pt>
                <c:pt idx="82">
                  <c:v>-6.6759881851319602E-222</c:v>
                </c:pt>
                <c:pt idx="83">
                  <c:v>1.42060313812678E-222</c:v>
                </c:pt>
                <c:pt idx="84">
                  <c:v>-1.8612032561564801E-223</c:v>
                </c:pt>
                <c:pt idx="85">
                  <c:v>1.1070181605342399E-224</c:v>
                </c:pt>
                <c:pt idx="86">
                  <c:v>2.5130131705401001E-229</c:v>
                </c:pt>
                <c:pt idx="87">
                  <c:v>-5.2045869634812102E-230</c:v>
                </c:pt>
                <c:pt idx="88">
                  <c:v>7.6098533728331402E-231</c:v>
                </c:pt>
                <c:pt idx="89">
                  <c:v>-7.01797263168453E-232</c:v>
                </c:pt>
                <c:pt idx="90">
                  <c:v>3.0423302641444701E-233</c:v>
                </c:pt>
                <c:pt idx="91">
                  <c:v>1.9789015080597701E-237</c:v>
                </c:pt>
                <c:pt idx="92">
                  <c:v>-3.0805145052398897E-238</c:v>
                </c:pt>
                <c:pt idx="93">
                  <c:v>3.4369410503138398E-239</c:v>
                </c:pt>
                <c:pt idx="94">
                  <c:v>-2.4517266731034001E-240</c:v>
                </c:pt>
                <c:pt idx="95">
                  <c:v>8.3579275494386293E-242</c:v>
                </c:pt>
                <c:pt idx="96">
                  <c:v>1.24845665929844E-245</c:v>
                </c:pt>
                <c:pt idx="97">
                  <c:v>-1.5553459873434601E-246</c:v>
                </c:pt>
                <c:pt idx="98">
                  <c:v>1.4042725156138699E-247</c:v>
                </c:pt>
                <c:pt idx="99">
                  <c:v>-8.1747414084438601E-249</c:v>
                </c:pt>
              </c:numCache>
            </c:numRef>
          </c:yVal>
          <c:smooth val="0"/>
          <c:extLst>
            <c:ext xmlns:c16="http://schemas.microsoft.com/office/drawing/2014/chart" uri="{C3380CC4-5D6E-409C-BE32-E72D297353CC}">
              <c16:uniqueId val="{0000005A-CF86-4C2E-BF49-1F263FBF5A1F}"/>
            </c:ext>
          </c:extLst>
        </c:ser>
        <c:ser>
          <c:idx val="91"/>
          <c:order val="91"/>
          <c:tx>
            <c:strRef>
              <c:f>dynamicR!$CW$19</c:f>
              <c:strCache>
                <c:ptCount val="1"/>
                <c:pt idx="0">
                  <c:v>cwMA</c:v>
                </c:pt>
              </c:strCache>
            </c:strRef>
          </c:tx>
          <c:spPr>
            <a:ln w="19050" cap="rnd">
              <a:solidFill>
                <a:schemeClr val="accent2">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dynamicR!$CW$20:$CW$119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0.999999999999998</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-1.1587768858690401E-99</c:v>
                </c:pt>
                <c:pt idx="52">
                  <c:v>2.7915099466930401E-101</c:v>
                </c:pt>
                <c:pt idx="53">
                  <c:v>-9.4542944576940604E-101</c:v>
                </c:pt>
                <c:pt idx="54">
                  <c:v>1.24322647852653E-99</c:v>
                </c:pt>
                <c:pt idx="55">
                  <c:v>-7.8264090740223304E-100</c:v>
                </c:pt>
                <c:pt idx="56">
                  <c:v>2.5515412975392301E-99</c:v>
                </c:pt>
                <c:pt idx="57">
                  <c:v>-7.4357956666781103E-100</c:v>
                </c:pt>
                <c:pt idx="58">
                  <c:v>1.3843512138137001E-100</c:v>
                </c:pt>
                <c:pt idx="59">
                  <c:v>8.4327033453021495E-102</c:v>
                </c:pt>
                <c:pt idx="60">
                  <c:v>-1.56471328502535E-101</c:v>
                </c:pt>
                <c:pt idx="61">
                  <c:v>7.4471596843398297E-102</c:v>
                </c:pt>
                <c:pt idx="62">
                  <c:v>1.8517787100390601E-100</c:v>
                </c:pt>
                <c:pt idx="63">
                  <c:v>1.43817441703287E-100</c:v>
                </c:pt>
                <c:pt idx="64">
                  <c:v>-1.1658611700130101E-100</c:v>
                </c:pt>
                <c:pt idx="65">
                  <c:v>-2.66652524907769E-101</c:v>
                </c:pt>
                <c:pt idx="66">
                  <c:v>1.8627205563101799E-100</c:v>
                </c:pt>
                <c:pt idx="67">
                  <c:v>-6.0210739334551297E-101</c:v>
                </c:pt>
                <c:pt idx="68">
                  <c:v>-2.0444154288519401E-100</c:v>
                </c:pt>
                <c:pt idx="69">
                  <c:v>1.7512306345142999E-100</c:v>
                </c:pt>
                <c:pt idx="70">
                  <c:v>1.63187945293158E-100</c:v>
                </c:pt>
                <c:pt idx="71">
                  <c:v>-2.99085549889753E-100</c:v>
                </c:pt>
                <c:pt idx="72">
                  <c:v>-4.9689867748941102E-101</c:v>
                </c:pt>
                <c:pt idx="73">
                  <c:v>3.9530746224480502E-100</c:v>
                </c:pt>
                <c:pt idx="74">
                  <c:v>-1.4011992847182399E-100</c:v>
                </c:pt>
                <c:pt idx="75">
                  <c:v>-4.0437786218450199E-100</c:v>
                </c:pt>
                <c:pt idx="76">
                  <c:v>3.9066231690729801E-100</c:v>
                </c:pt>
                <c:pt idx="77">
                  <c:v>-2.8004827634318802E-100</c:v>
                </c:pt>
                <c:pt idx="78">
                  <c:v>1.09491754152617E-100</c:v>
                </c:pt>
                <c:pt idx="79">
                  <c:v>-2.53367737967793E-101</c:v>
                </c:pt>
                <c:pt idx="80">
                  <c:v>2.3984469276797901E-102</c:v>
                </c:pt>
                <c:pt idx="81">
                  <c:v>2.5833996857548899E-106</c:v>
                </c:pt>
                <c:pt idx="82">
                  <c:v>-8.0210246960053895E-107</c:v>
                </c:pt>
                <c:pt idx="83">
                  <c:v>1.70673256962349E-107</c:v>
                </c:pt>
                <c:pt idx="84">
                  <c:v>-2.2356492198097599E-108</c:v>
                </c:pt>
                <c:pt idx="85">
                  <c:v>1.3279675181484301E-109</c:v>
                </c:pt>
                <c:pt idx="86">
                  <c:v>6.1175444863484601E-113</c:v>
                </c:pt>
                <c:pt idx="87">
                  <c:v>-1.26120325030314E-113</c:v>
                </c:pt>
                <c:pt idx="88">
                  <c:v>1.8437061976672902E-114</c:v>
                </c:pt>
                <c:pt idx="89">
                  <c:v>-1.69903961407235E-115</c:v>
                </c:pt>
                <c:pt idx="90">
                  <c:v>7.32756197757569E-117</c:v>
                </c:pt>
                <c:pt idx="91">
                  <c:v>9.71208505213846E-120</c:v>
                </c:pt>
                <c:pt idx="92">
                  <c:v>-1.5053844138984699E-120</c:v>
                </c:pt>
                <c:pt idx="93">
                  <c:v>1.6786369023347401E-121</c:v>
                </c:pt>
                <c:pt idx="94">
                  <c:v>-1.19487320903524E-122</c:v>
                </c:pt>
                <c:pt idx="95">
                  <c:v>4.0128661782270497E-124</c:v>
                </c:pt>
                <c:pt idx="96">
                  <c:v>1.2324405153652101E-126</c:v>
                </c:pt>
                <c:pt idx="97">
                  <c:v>-1.5323827643820101E-127</c:v>
                </c:pt>
                <c:pt idx="98">
                  <c:v>1.3817261379828501E-128</c:v>
                </c:pt>
                <c:pt idx="99">
                  <c:v>-8.0021716498507098E-130</c:v>
                </c:pt>
              </c:numCache>
            </c:numRef>
          </c:yVal>
          <c:smooth val="0"/>
          <c:extLst>
            <c:ext xmlns:c16="http://schemas.microsoft.com/office/drawing/2014/chart" uri="{C3380CC4-5D6E-409C-BE32-E72D297353CC}">
              <c16:uniqueId val="{0000005B-CF86-4C2E-BF49-1F263FBF5A1F}"/>
            </c:ext>
          </c:extLst>
        </c:ser>
        <c:ser>
          <c:idx val="92"/>
          <c:order val="92"/>
          <c:tx>
            <c:strRef>
              <c:f>dynamicR!$CX$19</c:f>
              <c:strCache>
                <c:ptCount val="1"/>
                <c:pt idx="0">
                  <c:v>cwMP</c:v>
                </c:pt>
              </c:strCache>
            </c:strRef>
          </c:tx>
          <c:spPr>
            <a:ln w="19050" cap="rnd">
              <a:solidFill>
                <a:schemeClr val="accent3">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dynamicR!$CX$20:$CX$119</c:f>
              <c:numCache>
                <c:formatCode>0.00</c:formatCode>
                <c:ptCount val="100"/>
                <c:pt idx="0">
                  <c:v>0</c:v>
                </c:pt>
                <c:pt idx="1">
                  <c:v>1</c:v>
                </c:pt>
                <c:pt idx="2">
                  <c:v>0.999999999999999</c:v>
                </c:pt>
                <c:pt idx="3">
                  <c:v>0.999999999999998</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1</c:v>
                </c:pt>
                <c:pt idx="21">
                  <c:v>1</c:v>
                </c:pt>
                <c:pt idx="22">
                  <c:v>0.999999999999999</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-1.5225045184323701E-213</c:v>
                </c:pt>
                <c:pt idx="52">
                  <c:v>3.6677151280234998E-215</c:v>
                </c:pt>
                <c:pt idx="53">
                  <c:v>-1.2422031636293299E-214</c:v>
                </c:pt>
                <c:pt idx="54">
                  <c:v>1.6334612435532799E-213</c:v>
                </c:pt>
                <c:pt idx="55">
                  <c:v>-1.02830536181047E-213</c:v>
                </c:pt>
                <c:pt idx="56">
                  <c:v>3.3524499571975498E-213</c:v>
                </c:pt>
                <c:pt idx="57">
                  <c:v>-9.7698611597064496E-214</c:v>
                </c:pt>
                <c:pt idx="58">
                  <c:v>1.81890918232594E-214</c:v>
                </c:pt>
                <c:pt idx="59">
                  <c:v>1.10789154378214E-215</c:v>
                </c:pt>
                <c:pt idx="60">
                  <c:v>-2.0557988068038899E-215</c:v>
                </c:pt>
                <c:pt idx="61">
                  <c:v>9.7859679517674696E-216</c:v>
                </c:pt>
                <c:pt idx="62">
                  <c:v>2.4330383300195001E-214</c:v>
                </c:pt>
                <c:pt idx="63">
                  <c:v>1.8896102754907998E-214</c:v>
                </c:pt>
                <c:pt idx="64">
                  <c:v>-1.5318055444255501E-214</c:v>
                </c:pt>
                <c:pt idx="65">
                  <c:v>-3.5035514954735502E-215</c:v>
                </c:pt>
                <c:pt idx="66">
                  <c:v>2.4474060577797501E-214</c:v>
                </c:pt>
                <c:pt idx="67">
                  <c:v>-7.9109828420439199E-215</c:v>
                </c:pt>
                <c:pt idx="68">
                  <c:v>-2.6861359200308E-214</c:v>
                </c:pt>
                <c:pt idx="69">
                  <c:v>2.3009199640215098E-214</c:v>
                </c:pt>
                <c:pt idx="70">
                  <c:v>2.1441110234333901E-214</c:v>
                </c:pt>
                <c:pt idx="71">
                  <c:v>-3.9296526709858102E-214</c:v>
                </c:pt>
                <c:pt idx="72">
                  <c:v>-6.5287132227342196E-215</c:v>
                </c:pt>
                <c:pt idx="73">
                  <c:v>5.1939053588708099E-214</c:v>
                </c:pt>
                <c:pt idx="74">
                  <c:v>-1.8410232579313E-214</c:v>
                </c:pt>
                <c:pt idx="75">
                  <c:v>-5.3130817490498198E-214</c:v>
                </c:pt>
                <c:pt idx="76">
                  <c:v>5.1328780991883004E-214</c:v>
                </c:pt>
                <c:pt idx="77">
                  <c:v>-3.6795383535893698E-214</c:v>
                </c:pt>
                <c:pt idx="78">
                  <c:v>1.43861719261442E-214</c:v>
                </c:pt>
                <c:pt idx="79">
                  <c:v>-3.3291021077138399E-215</c:v>
                </c:pt>
                <c:pt idx="80">
                  <c:v>3.1520467357113197E-216</c:v>
                </c:pt>
                <c:pt idx="81">
                  <c:v>1.6833236770487E-221</c:v>
                </c:pt>
                <c:pt idx="82">
                  <c:v>-5.2265294582281502E-222</c:v>
                </c:pt>
                <c:pt idx="83">
                  <c:v>1.11216853015779E-222</c:v>
                </c:pt>
                <c:pt idx="84">
                  <c:v>-1.4571080894027501E-223</c:v>
                </c:pt>
                <c:pt idx="85">
                  <c:v>8.6666861422133495E-225</c:v>
                </c:pt>
                <c:pt idx="86">
                  <c:v>1.9635149429527802E-229</c:v>
                </c:pt>
                <c:pt idx="87">
                  <c:v>-4.0758386929317702E-230</c:v>
                </c:pt>
                <c:pt idx="88">
                  <c:v>5.9594611375817201E-231</c:v>
                </c:pt>
                <c:pt idx="89">
                  <c:v>-5.4959444028894599E-232</c:v>
                </c:pt>
                <c:pt idx="90">
                  <c:v>2.3825209701254598E-233</c:v>
                </c:pt>
                <c:pt idx="91">
                  <c:v>1.5530802835074401E-237</c:v>
                </c:pt>
                <c:pt idx="92">
                  <c:v>-2.4131495649485498E-238</c:v>
                </c:pt>
                <c:pt idx="93">
                  <c:v>2.6923577647275501E-239</c:v>
                </c:pt>
                <c:pt idx="94">
                  <c:v>-1.9205791981569901E-240</c:v>
                </c:pt>
                <c:pt idx="95">
                  <c:v>6.5472337489159699E-242</c:v>
                </c:pt>
                <c:pt idx="96">
                  <c:v>9.78811123612243E-246</c:v>
                </c:pt>
                <c:pt idx="97">
                  <c:v>-1.21875147254025E-246</c:v>
                </c:pt>
                <c:pt idx="98">
                  <c:v>1.1003717273987799E-247</c:v>
                </c:pt>
                <c:pt idx="99">
                  <c:v>-6.40562942487117E-249</c:v>
                </c:pt>
              </c:numCache>
            </c:numRef>
          </c:yVal>
          <c:smooth val="0"/>
          <c:extLst>
            <c:ext xmlns:c16="http://schemas.microsoft.com/office/drawing/2014/chart" uri="{C3380CC4-5D6E-409C-BE32-E72D297353CC}">
              <c16:uniqueId val="{0000005C-CF86-4C2E-BF49-1F263FBF5A1F}"/>
            </c:ext>
          </c:extLst>
        </c:ser>
        <c:ser>
          <c:idx val="93"/>
          <c:order val="93"/>
          <c:tx>
            <c:strRef>
              <c:f>dynamicR!$CY$19</c:f>
              <c:strCache>
                <c:ptCount val="1"/>
                <c:pt idx="0">
                  <c:v>w2MD</c:v>
                </c:pt>
              </c:strCache>
            </c:strRef>
          </c:tx>
          <c:spPr>
            <a:ln w="19050" cap="rnd">
              <a:solidFill>
                <a:schemeClr val="accent4">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dynamicR!$CY$20:$CY$119</c:f>
              <c:numCache>
                <c:formatCode>0.00</c:formatCode>
                <c:ptCount val="100"/>
                <c:pt idx="0">
                  <c:v>0</c:v>
                </c:pt>
                <c:pt idx="1">
                  <c:v>1.9998164849522999E-2</c:v>
                </c:pt>
                <c:pt idx="2">
                  <c:v>3.9588529443272902E-2</c:v>
                </c:pt>
                <c:pt idx="3">
                  <c:v>5.8787279354100698E-2</c:v>
                </c:pt>
                <c:pt idx="4">
                  <c:v>7.7602248602412299E-2</c:v>
                </c:pt>
                <c:pt idx="5">
                  <c:v>9.6041105760717602E-2</c:v>
                </c:pt>
                <c:pt idx="6">
                  <c:v>0.114111366395414</c:v>
                </c:pt>
                <c:pt idx="7">
                  <c:v>0.13182039863023001</c:v>
                </c:pt>
                <c:pt idx="8">
                  <c:v>0.14917542446861201</c:v>
                </c:pt>
                <c:pt idx="9">
                  <c:v>0.166183521196413</c:v>
                </c:pt>
                <c:pt idx="10">
                  <c:v>0.182851624029225</c:v>
                </c:pt>
                <c:pt idx="11">
                  <c:v>0.19918652931927699</c:v>
                </c:pt>
                <c:pt idx="12">
                  <c:v>0.21519489755334301</c:v>
                </c:pt>
                <c:pt idx="13">
                  <c:v>0.23088325595981599</c:v>
                </c:pt>
                <c:pt idx="14">
                  <c:v>0.24625800163798001</c:v>
                </c:pt>
                <c:pt idx="15">
                  <c:v>0.26132540411092697</c:v>
                </c:pt>
                <c:pt idx="16">
                  <c:v>0.27609160742024003</c:v>
                </c:pt>
                <c:pt idx="17">
                  <c:v>0.290562632483154</c:v>
                </c:pt>
                <c:pt idx="18">
                  <c:v>0.30474437979380598</c:v>
                </c:pt>
                <c:pt idx="19">
                  <c:v>0.31864263202416598</c:v>
                </c:pt>
                <c:pt idx="20">
                  <c:v>0.33226305634083902</c:v>
                </c:pt>
                <c:pt idx="21">
                  <c:v>0.34561120659874001</c:v>
                </c:pt>
                <c:pt idx="22">
                  <c:v>0.358692525574767</c:v>
                </c:pt>
                <c:pt idx="23">
                  <c:v>0.37151234723535997</c:v>
                </c:pt>
                <c:pt idx="24">
                  <c:v>0.384075898944713</c:v>
                </c:pt>
                <c:pt idx="25">
                  <c:v>0.39638830358570298</c:v>
                </c:pt>
                <c:pt idx="26">
                  <c:v>0.40845458162732901</c:v>
                </c:pt>
                <c:pt idx="27">
                  <c:v>0.42027965316953902</c:v>
                </c:pt>
                <c:pt idx="28">
                  <c:v>0.43186833995839202</c:v>
                </c:pt>
                <c:pt idx="29">
                  <c:v>0.44322536735559398</c:v>
                </c:pt>
                <c:pt idx="30">
                  <c:v>0.45435536626580603</c:v>
                </c:pt>
                <c:pt idx="31">
                  <c:v>0.46526287502006602</c:v>
                </c:pt>
                <c:pt idx="32">
                  <c:v>0.47595234122501601</c:v>
                </c:pt>
                <c:pt idx="33">
                  <c:v>0.48642812357862902</c:v>
                </c:pt>
                <c:pt idx="34">
                  <c:v>0.49669449365061902</c:v>
                </c:pt>
                <c:pt idx="35">
                  <c:v>0.50675563762089704</c:v>
                </c:pt>
                <c:pt idx="36">
                  <c:v>0.51661565798597198</c:v>
                </c:pt>
                <c:pt idx="37">
                  <c:v>0.52627857523327704</c:v>
                </c:pt>
                <c:pt idx="38">
                  <c:v>0.53574832948002804</c:v>
                </c:pt>
                <c:pt idx="39">
                  <c:v>0.54502878208069205</c:v>
                </c:pt>
                <c:pt idx="40">
                  <c:v>0.55412371720043896</c:v>
                </c:pt>
                <c:pt idx="41">
                  <c:v>0.56303684335873205</c:v>
                </c:pt>
                <c:pt idx="42">
                  <c:v>0.57177179494006802</c:v>
                </c:pt>
                <c:pt idx="43">
                  <c:v>0.58033213367828496</c:v>
                </c:pt>
                <c:pt idx="44">
                  <c:v>0.58872135010784199</c:v>
                </c:pt>
                <c:pt idx="45">
                  <c:v>0.59694286498682503</c:v>
                </c:pt>
                <c:pt idx="46">
                  <c:v>0.60500003069067598</c:v>
                </c:pt>
                <c:pt idx="47">
                  <c:v>0.61289613258057996</c:v>
                </c:pt>
                <c:pt idx="48">
                  <c:v>0.62063439034432699</c:v>
                </c:pt>
                <c:pt idx="49">
                  <c:v>0.62821795930694802</c:v>
                </c:pt>
                <c:pt idx="50">
                  <c:v>0.62821795930694802</c:v>
                </c:pt>
                <c:pt idx="51">
                  <c:v>0.61565143675452405</c:v>
                </c:pt>
                <c:pt idx="52">
                  <c:v>0.60334395914891403</c:v>
                </c:pt>
                <c:pt idx="53">
                  <c:v>0.59128293026454404</c:v>
                </c:pt>
                <c:pt idx="54">
                  <c:v>0.57946326282572103</c:v>
                </c:pt>
                <c:pt idx="55">
                  <c:v>0.56787982078356503</c:v>
                </c:pt>
                <c:pt idx="56">
                  <c:v>0.556527873721402</c:v>
                </c:pt>
                <c:pt idx="57">
                  <c:v>0.54540283182443094</c:v>
                </c:pt>
                <c:pt idx="58">
                  <c:v>0.53450017608706502</c:v>
                </c:pt>
                <c:pt idx="59">
                  <c:v>0.52381546676898805</c:v>
                </c:pt>
                <c:pt idx="60">
                  <c:v>0.51334433977431404</c:v>
                </c:pt>
                <c:pt idx="61">
                  <c:v>0.50308251763621603</c:v>
                </c:pt>
                <c:pt idx="62">
                  <c:v>0.49302582392775401</c:v>
                </c:pt>
                <c:pt idx="63">
                  <c:v>0.48317016727673501</c:v>
                </c:pt>
                <c:pt idx="64">
                  <c:v>0.473511530508677</c:v>
                </c:pt>
                <c:pt idx="65">
                  <c:v>0.464045972761507</c:v>
                </c:pt>
                <c:pt idx="66">
                  <c:v>0.45476963243986201</c:v>
                </c:pt>
                <c:pt idx="67">
                  <c:v>0.445678726749826</c:v>
                </c:pt>
                <c:pt idx="68">
                  <c:v>0.43676954925031097</c:v>
                </c:pt>
                <c:pt idx="69">
                  <c:v>0.42803846748792401</c:v>
                </c:pt>
                <c:pt idx="70">
                  <c:v>0.41948192133826701</c:v>
                </c:pt>
                <c:pt idx="71">
                  <c:v>0.41109642172723398</c:v>
                </c:pt>
                <c:pt idx="72">
                  <c:v>0.40287854935556899</c:v>
                </c:pt>
                <c:pt idx="73">
                  <c:v>0.39482495332864198</c:v>
                </c:pt>
                <c:pt idx="74">
                  <c:v>0.38693234975732599</c:v>
                </c:pt>
                <c:pt idx="75">
                  <c:v>0.37919752045234301</c:v>
                </c:pt>
                <c:pt idx="76">
                  <c:v>0.37161731160425698</c:v>
                </c:pt>
                <c:pt idx="77">
                  <c:v>0.36418863227819998</c:v>
                </c:pt>
                <c:pt idx="78">
                  <c:v>0.35690845321571901</c:v>
                </c:pt>
                <c:pt idx="79">
                  <c:v>0.349773805805144</c:v>
                </c:pt>
                <c:pt idx="80">
                  <c:v>0.342781780902158</c:v>
                </c:pt>
                <c:pt idx="81">
                  <c:v>0.33592952752892502</c:v>
                </c:pt>
                <c:pt idx="82">
                  <c:v>0.32921425163818901</c:v>
                </c:pt>
                <c:pt idx="83">
                  <c:v>0.32263321500327702</c:v>
                </c:pt>
                <c:pt idx="84">
                  <c:v>0.31618373415024098</c:v>
                </c:pt>
                <c:pt idx="85">
                  <c:v>0.30986317927139601</c:v>
                </c:pt>
                <c:pt idx="86">
                  <c:v>0.30366897312986302</c:v>
                </c:pt>
                <c:pt idx="87">
                  <c:v>0.29759858999727101</c:v>
                </c:pt>
                <c:pt idx="88">
                  <c:v>0.29164955462983599</c:v>
                </c:pt>
                <c:pt idx="89">
                  <c:v>0.285819441267462</c:v>
                </c:pt>
                <c:pt idx="90">
                  <c:v>0.28010587264526698</c:v>
                </c:pt>
                <c:pt idx="91">
                  <c:v>0.27450651902026701</c:v>
                </c:pt>
                <c:pt idx="92">
                  <c:v>0.26901909721946299</c:v>
                </c:pt>
                <c:pt idx="93">
                  <c:v>0.26364136970954999</c:v>
                </c:pt>
                <c:pt idx="94">
                  <c:v>0.25837114368696801</c:v>
                </c:pt>
                <c:pt idx="95">
                  <c:v>0.25320627018310399</c:v>
                </c:pt>
                <c:pt idx="96">
                  <c:v>0.248144643187307</c:v>
                </c:pt>
                <c:pt idx="97">
                  <c:v>0.243184198787918</c:v>
                </c:pt>
                <c:pt idx="98">
                  <c:v>0.23832291433150099</c:v>
                </c:pt>
                <c:pt idx="99">
                  <c:v>0.23355880759750899</c:v>
                </c:pt>
              </c:numCache>
            </c:numRef>
          </c:yVal>
          <c:smooth val="0"/>
          <c:extLst>
            <c:ext xmlns:c16="http://schemas.microsoft.com/office/drawing/2014/chart" uri="{C3380CC4-5D6E-409C-BE32-E72D297353CC}">
              <c16:uniqueId val="{0000005D-CF86-4C2E-BF49-1F263FBF5A1F}"/>
            </c:ext>
          </c:extLst>
        </c:ser>
        <c:ser>
          <c:idx val="94"/>
          <c:order val="94"/>
          <c:tx>
            <c:strRef>
              <c:f>dynamicR!$CZ$19</c:f>
              <c:strCache>
                <c:ptCount val="1"/>
                <c:pt idx="0">
                  <c:v>w2MS</c:v>
                </c:pt>
              </c:strCache>
            </c:strRef>
          </c:tx>
          <c:spPr>
            <a:ln w="19050" cap="rnd">
              <a:solidFill>
                <a:schemeClr val="accent5">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dynamicR!$CZ$20:$CZ$119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-1.5709586697113202E-213</c:v>
                </c:pt>
                <c:pt idx="52">
                  <c:v>3.7844417402550399E-215</c:v>
                </c:pt>
                <c:pt idx="53">
                  <c:v>-1.2817367665826699E-214</c:v>
                </c:pt>
                <c:pt idx="54">
                  <c:v>1.6854466665672999E-213</c:v>
                </c:pt>
                <c:pt idx="55">
                  <c:v>-1.0610314953927899E-213</c:v>
                </c:pt>
                <c:pt idx="56">
                  <c:v>3.4591427338621698E-213</c:v>
                </c:pt>
                <c:pt idx="57">
                  <c:v>-1.0080790074681899E-213</c:v>
                </c:pt>
                <c:pt idx="58">
                  <c:v>1.8767965424291501E-214</c:v>
                </c:pt>
                <c:pt idx="59">
                  <c:v>1.1431505411495699E-215</c:v>
                </c:pt>
                <c:pt idx="60">
                  <c:v>-2.1212252526366101E-215</c:v>
                </c:pt>
                <c:pt idx="61">
                  <c:v>1.0097409495779E-215</c:v>
                </c:pt>
                <c:pt idx="62">
                  <c:v>2.5104705440568298E-214</c:v>
                </c:pt>
                <c:pt idx="63">
                  <c:v>1.9497477199525302E-214</c:v>
                </c:pt>
                <c:pt idx="64">
                  <c:v>-1.5805557399623E-214</c:v>
                </c:pt>
                <c:pt idx="65">
                  <c:v>-3.61505312983437E-215</c:v>
                </c:pt>
                <c:pt idx="66">
                  <c:v>2.52529552914916E-214</c:v>
                </c:pt>
                <c:pt idx="67">
                  <c:v>-8.1627523709454497E-215</c:v>
                </c:pt>
                <c:pt idx="68">
                  <c:v>-2.7716230447777298E-214</c:v>
                </c:pt>
                <c:pt idx="69">
                  <c:v>2.3741474691414699E-214</c:v>
                </c:pt>
                <c:pt idx="70">
                  <c:v>2.21234803454114E-214</c:v>
                </c:pt>
                <c:pt idx="71">
                  <c:v>-4.0547151093944197E-214</c:v>
                </c:pt>
                <c:pt idx="72">
                  <c:v>-6.73649158501681E-215</c:v>
                </c:pt>
                <c:pt idx="73">
                  <c:v>5.35920303875597E-214</c:v>
                </c:pt>
                <c:pt idx="74">
                  <c:v>-1.89961440510345E-214</c:v>
                </c:pt>
                <c:pt idx="75">
                  <c:v>-5.4821722552472102E-214</c:v>
                </c:pt>
                <c:pt idx="76">
                  <c:v>5.2962335673242398E-214</c:v>
                </c:pt>
                <c:pt idx="77">
                  <c:v>-3.7966408250278497E-214</c:v>
                </c:pt>
                <c:pt idx="78">
                  <c:v>1.48440163979714E-214</c:v>
                </c:pt>
                <c:pt idx="79">
                  <c:v>-3.4350518368139501E-215</c:v>
                </c:pt>
                <c:pt idx="80">
                  <c:v>3.2523616320987503E-216</c:v>
                </c:pt>
                <c:pt idx="81">
                  <c:v>1.7363534878043701E-221</c:v>
                </c:pt>
                <c:pt idx="82">
                  <c:v>-5.3911812659022902E-222</c:v>
                </c:pt>
                <c:pt idx="83">
                  <c:v>1.1472052596625901E-222</c:v>
                </c:pt>
                <c:pt idx="84">
                  <c:v>-1.5030111738209699E-223</c:v>
                </c:pt>
                <c:pt idx="85">
                  <c:v>8.9397062014965599E-225</c:v>
                </c:pt>
                <c:pt idx="86">
                  <c:v>2.02501063719851E-229</c:v>
                </c:pt>
                <c:pt idx="87">
                  <c:v>-4.2029528356250896E-230</c:v>
                </c:pt>
                <c:pt idx="88">
                  <c:v>6.1453193385408201E-231</c:v>
                </c:pt>
                <c:pt idx="89">
                  <c:v>-5.6673461684153999E-232</c:v>
                </c:pt>
                <c:pt idx="90">
                  <c:v>2.4568265468945301E-233</c:v>
                </c:pt>
                <c:pt idx="91">
                  <c:v>1.6008260248018899E-237</c:v>
                </c:pt>
                <c:pt idx="92">
                  <c:v>-2.4876649094560198E-238</c:v>
                </c:pt>
                <c:pt idx="93">
                  <c:v>2.77549655684178E-239</c:v>
                </c:pt>
                <c:pt idx="94">
                  <c:v>-1.9798882925280699E-240</c:v>
                </c:pt>
                <c:pt idx="95">
                  <c:v>6.7494438659812297E-242</c:v>
                </c:pt>
                <c:pt idx="96">
                  <c:v>1.00825931158795E-245</c:v>
                </c:pt>
                <c:pt idx="97">
                  <c:v>-1.2560167090636E-246</c:v>
                </c:pt>
                <c:pt idx="98">
                  <c:v>1.13401789520512E-247</c:v>
                </c:pt>
                <c:pt idx="99">
                  <c:v>-6.6015043141264804E-249</c:v>
                </c:pt>
              </c:numCache>
            </c:numRef>
          </c:yVal>
          <c:smooth val="0"/>
          <c:extLst>
            <c:ext xmlns:c16="http://schemas.microsoft.com/office/drawing/2014/chart" uri="{C3380CC4-5D6E-409C-BE32-E72D297353CC}">
              <c16:uniqueId val="{0000005E-CF86-4C2E-BF49-1F263FBF5A1F}"/>
            </c:ext>
          </c:extLst>
        </c:ser>
        <c:ser>
          <c:idx val="95"/>
          <c:order val="95"/>
          <c:tx>
            <c:strRef>
              <c:f>dynamicR!$DA$19</c:f>
              <c:strCache>
                <c:ptCount val="1"/>
                <c:pt idx="0">
                  <c:v>w2MA</c:v>
                </c:pt>
              </c:strCache>
            </c:strRef>
          </c:tx>
          <c:spPr>
            <a:ln w="19050" cap="rnd">
              <a:solidFill>
                <a:schemeClr val="accent6">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dynamicR!$DA$20:$DA$119</c:f>
              <c:numCache>
                <c:formatCode>0.00</c:formatCode>
                <c:ptCount val="100"/>
                <c:pt idx="0">
                  <c:v>0</c:v>
                </c:pt>
                <c:pt idx="1">
                  <c:v>1</c:v>
                </c:pt>
                <c:pt idx="2">
                  <c:v>0.999999999999997</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0.999999999999999</c:v>
                </c:pt>
                <c:pt idx="49">
                  <c:v>1</c:v>
                </c:pt>
                <c:pt idx="50">
                  <c:v>1</c:v>
                </c:pt>
                <c:pt idx="51">
                  <c:v>4.1424068387916201E-27</c:v>
                </c:pt>
                <c:pt idx="52">
                  <c:v>-7.14542150044224E-31</c:v>
                </c:pt>
                <c:pt idx="53">
                  <c:v>-2.2823167679812499E-28</c:v>
                </c:pt>
                <c:pt idx="54">
                  <c:v>-1.71187172195115E-26</c:v>
                </c:pt>
                <c:pt idx="55">
                  <c:v>9.3525172566469295E-27</c:v>
                </c:pt>
                <c:pt idx="56">
                  <c:v>-3.2136101803090401E-26</c:v>
                </c:pt>
                <c:pt idx="57">
                  <c:v>9.3675856602092799E-27</c:v>
                </c:pt>
                <c:pt idx="58">
                  <c:v>-1.75508093938854E-27</c:v>
                </c:pt>
                <c:pt idx="59">
                  <c:v>-1.06933666793463E-28</c:v>
                </c:pt>
                <c:pt idx="60">
                  <c:v>1.98398726436314E-28</c:v>
                </c:pt>
                <c:pt idx="61">
                  <c:v>-9.4385461337918399E-29</c:v>
                </c:pt>
                <c:pt idx="62">
                  <c:v>-2.3477596673831599E-27</c:v>
                </c:pt>
                <c:pt idx="63">
                  <c:v>-1.8233657966827001E-27</c:v>
                </c:pt>
                <c:pt idx="64">
                  <c:v>1.4781551277775499E-27</c:v>
                </c:pt>
                <c:pt idx="65">
                  <c:v>3.3806639396048299E-28</c:v>
                </c:pt>
                <c:pt idx="66">
                  <c:v>-2.36165573357127E-27</c:v>
                </c:pt>
                <c:pt idx="67">
                  <c:v>7.6339266620467604E-28</c:v>
                </c:pt>
                <c:pt idx="68">
                  <c:v>2.5920095333041502E-27</c:v>
                </c:pt>
                <c:pt idx="69">
                  <c:v>-2.2203050280668099E-27</c:v>
                </c:pt>
                <c:pt idx="70">
                  <c:v>-2.0689715482736501E-27</c:v>
                </c:pt>
                <c:pt idx="71">
                  <c:v>3.7919546126231499E-27</c:v>
                </c:pt>
                <c:pt idx="72">
                  <c:v>6.29988851714877E-28</c:v>
                </c:pt>
                <c:pt idx="73">
                  <c:v>-5.0118944793449199E-27</c:v>
                </c:pt>
                <c:pt idx="74">
                  <c:v>1.7765021352255098E-27</c:v>
                </c:pt>
                <c:pt idx="75">
                  <c:v>5.12688999352658E-27</c:v>
                </c:pt>
                <c:pt idx="76">
                  <c:v>-4.9529872164799299E-27</c:v>
                </c:pt>
                <c:pt idx="77">
                  <c:v>3.5505509128516301E-27</c:v>
                </c:pt>
                <c:pt idx="78">
                  <c:v>-1.3881440928200001E-27</c:v>
                </c:pt>
                <c:pt idx="79">
                  <c:v>3.21196181940215E-28</c:v>
                </c:pt>
                <c:pt idx="80">
                  <c:v>-3.03880194538302E-29</c:v>
                </c:pt>
                <c:pt idx="81">
                  <c:v>-1.21245715531692E-32</c:v>
                </c:pt>
                <c:pt idx="82">
                  <c:v>3.7643844560766798E-33</c:v>
                </c:pt>
                <c:pt idx="83">
                  <c:v>-8.0093817723804898E-34</c:v>
                </c:pt>
                <c:pt idx="84">
                  <c:v>1.04886498003915E-34</c:v>
                </c:pt>
                <c:pt idx="85">
                  <c:v>-6.2184641752866501E-36</c:v>
                </c:pt>
                <c:pt idx="86">
                  <c:v>-6.7416138470087095E-39</c:v>
                </c:pt>
                <c:pt idx="87">
                  <c:v>1.3897647206119401E-39</c:v>
                </c:pt>
                <c:pt idx="88">
                  <c:v>-2.0312732261343498E-40</c:v>
                </c:pt>
                <c:pt idx="89">
                  <c:v>1.8705563745940001E-41</c:v>
                </c:pt>
                <c:pt idx="90">
                  <c:v>-8.0273880103398298E-43</c:v>
                </c:pt>
                <c:pt idx="91">
                  <c:v>-2.04160907049965E-45</c:v>
                </c:pt>
                <c:pt idx="92">
                  <c:v>3.1640638207667798E-46</c:v>
                </c:pt>
                <c:pt idx="93">
                  <c:v>-3.5267872627662098E-47</c:v>
                </c:pt>
                <c:pt idx="94">
                  <c:v>2.50644355171156E-48</c:v>
                </c:pt>
                <c:pt idx="95">
                  <c:v>-8.3243467514753701E-50</c:v>
                </c:pt>
                <c:pt idx="96">
                  <c:v>-4.3932213844892999E-52</c:v>
                </c:pt>
                <c:pt idx="97">
                  <c:v>5.4609309958311496E-53</c:v>
                </c:pt>
                <c:pt idx="98">
                  <c:v>-4.9201190036508201E-54</c:v>
                </c:pt>
                <c:pt idx="99">
                  <c:v>2.84051433380615E-55</c:v>
                </c:pt>
              </c:numCache>
            </c:numRef>
          </c:yVal>
          <c:smooth val="0"/>
          <c:extLst>
            <c:ext xmlns:c16="http://schemas.microsoft.com/office/drawing/2014/chart" uri="{C3380CC4-5D6E-409C-BE32-E72D297353CC}">
              <c16:uniqueId val="{0000005F-CF86-4C2E-BF49-1F263FBF5A1F}"/>
            </c:ext>
          </c:extLst>
        </c:ser>
        <c:ser>
          <c:idx val="96"/>
          <c:order val="96"/>
          <c:tx>
            <c:strRef>
              <c:f>dynamicR!$DB$19</c:f>
              <c:strCache>
                <c:ptCount val="1"/>
                <c:pt idx="0">
                  <c:v>w2MP</c:v>
                </c:pt>
              </c:strCache>
            </c:strRef>
          </c:tx>
          <c:spPr>
            <a:ln w="19050" cap="rnd">
              <a:solidFill>
                <a:schemeClr val="accent1">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dynamicR!$DB$20:$DB$119</c:f>
              <c:numCache>
                <c:formatCode>0.00</c:formatCode>
                <c:ptCount val="100"/>
                <c:pt idx="0">
                  <c:v>0</c:v>
                </c:pt>
                <c:pt idx="1">
                  <c:v>1</c:v>
                </c:pt>
                <c:pt idx="2">
                  <c:v>1</c:v>
                </c:pt>
                <c:pt idx="3">
                  <c:v>1</c:v>
                </c:pt>
                <c:pt idx="4">
                  <c:v>0.99999999999997302</c:v>
                </c:pt>
                <c:pt idx="5">
                  <c:v>1.0000000000000799</c:v>
                </c:pt>
                <c:pt idx="6">
                  <c:v>1.00000000000005</c:v>
                </c:pt>
                <c:pt idx="7">
                  <c:v>1.00000000000002</c:v>
                </c:pt>
                <c:pt idx="8">
                  <c:v>1</c:v>
                </c:pt>
                <c:pt idx="9">
                  <c:v>1.00000000000001</c:v>
                </c:pt>
                <c:pt idx="10">
                  <c:v>1.00000000000001</c:v>
                </c:pt>
                <c:pt idx="11">
                  <c:v>1.00000000000001</c:v>
                </c:pt>
                <c:pt idx="12">
                  <c:v>1.00000000000001</c:v>
                </c:pt>
                <c:pt idx="13">
                  <c:v>1.00000000000001</c:v>
                </c:pt>
                <c:pt idx="14">
                  <c:v>0.999999999999996</c:v>
                </c:pt>
                <c:pt idx="15">
                  <c:v>0.99999999999999001</c:v>
                </c:pt>
                <c:pt idx="16">
                  <c:v>1</c:v>
                </c:pt>
                <c:pt idx="17">
                  <c:v>1</c:v>
                </c:pt>
                <c:pt idx="18">
                  <c:v>0.99999999999998901</c:v>
                </c:pt>
                <c:pt idx="19">
                  <c:v>1.00000000000001</c:v>
                </c:pt>
                <c:pt idx="20">
                  <c:v>1.00000000000001</c:v>
                </c:pt>
                <c:pt idx="21">
                  <c:v>0.99999999999997602</c:v>
                </c:pt>
                <c:pt idx="22">
                  <c:v>0.999999999999998</c:v>
                </c:pt>
                <c:pt idx="23">
                  <c:v>1</c:v>
                </c:pt>
                <c:pt idx="24">
                  <c:v>0.999999999999998</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-6.9285085298519301E-22</c:v>
                </c:pt>
                <c:pt idx="52">
                  <c:v>1.00645385303258E-25</c:v>
                </c:pt>
                <c:pt idx="53">
                  <c:v>3.82814044040868E-23</c:v>
                </c:pt>
                <c:pt idx="54">
                  <c:v>2.86565675964253E-21</c:v>
                </c:pt>
                <c:pt idx="55">
                  <c:v>-1.56553197229062E-21</c:v>
                </c:pt>
                <c:pt idx="56">
                  <c:v>5.3794042914324199E-21</c:v>
                </c:pt>
                <c:pt idx="57">
                  <c:v>-1.56808175492645E-21</c:v>
                </c:pt>
                <c:pt idx="58">
                  <c:v>2.9379139498866702E-22</c:v>
                </c:pt>
                <c:pt idx="59">
                  <c:v>1.7900136372904201E-23</c:v>
                </c:pt>
                <c:pt idx="60">
                  <c:v>-3.3210910251173302E-23</c:v>
                </c:pt>
                <c:pt idx="61">
                  <c:v>1.5799636039731199E-23</c:v>
                </c:pt>
                <c:pt idx="62">
                  <c:v>3.9300271744186801E-22</c:v>
                </c:pt>
                <c:pt idx="63">
                  <c:v>3.0522192052400501E-22</c:v>
                </c:pt>
                <c:pt idx="64">
                  <c:v>-2.4743545311305199E-22</c:v>
                </c:pt>
                <c:pt idx="65">
                  <c:v>-5.6590550739153004E-23</c:v>
                </c:pt>
                <c:pt idx="66">
                  <c:v>3.95328844728559E-22</c:v>
                </c:pt>
                <c:pt idx="67">
                  <c:v>-1.2778794766049599E-22</c:v>
                </c:pt>
                <c:pt idx="68">
                  <c:v>-4.3388886923983702E-22</c:v>
                </c:pt>
                <c:pt idx="69">
                  <c:v>3.71667474153428E-22</c:v>
                </c:pt>
                <c:pt idx="70">
                  <c:v>3.4633504041039199E-22</c:v>
                </c:pt>
                <c:pt idx="71">
                  <c:v>-6.3475341332623601E-22</c:v>
                </c:pt>
                <c:pt idx="72">
                  <c:v>-1.05456846386295E-22</c:v>
                </c:pt>
                <c:pt idx="73">
                  <c:v>8.3896498125126604E-22</c:v>
                </c:pt>
                <c:pt idx="74">
                  <c:v>-2.97377187047248E-22</c:v>
                </c:pt>
                <c:pt idx="75">
                  <c:v>-8.5821463046958601E-22</c:v>
                </c:pt>
                <c:pt idx="76">
                  <c:v>8.2910421380774904E-22</c:v>
                </c:pt>
                <c:pt idx="77">
                  <c:v>-5.9434369657775702E-22</c:v>
                </c:pt>
                <c:pt idx="78">
                  <c:v>2.32368080204971E-22</c:v>
                </c:pt>
                <c:pt idx="79">
                  <c:v>-5.37665671939692E-23</c:v>
                </c:pt>
                <c:pt idx="80">
                  <c:v>5.0867973360643802E-24</c:v>
                </c:pt>
                <c:pt idx="81">
                  <c:v>2.0289633864875999E-27</c:v>
                </c:pt>
                <c:pt idx="82">
                  <c:v>-6.2994377167747797E-28</c:v>
                </c:pt>
                <c:pt idx="83">
                  <c:v>1.3403148389074199E-28</c:v>
                </c:pt>
                <c:pt idx="84">
                  <c:v>-1.7552035109816599E-29</c:v>
                </c:pt>
                <c:pt idx="85">
                  <c:v>1.0406183601070599E-30</c:v>
                </c:pt>
                <c:pt idx="86">
                  <c:v>1.12779746976287E-33</c:v>
                </c:pt>
                <c:pt idx="87">
                  <c:v>-2.3249198139892101E-34</c:v>
                </c:pt>
                <c:pt idx="88">
                  <c:v>3.3980916466646799E-35</c:v>
                </c:pt>
                <c:pt idx="89">
                  <c:v>-3.1292318055358698E-36</c:v>
                </c:pt>
                <c:pt idx="90">
                  <c:v>1.34289638288004E-37</c:v>
                </c:pt>
                <c:pt idx="91">
                  <c:v>3.4143863507186302E-40</c:v>
                </c:pt>
                <c:pt idx="92">
                  <c:v>-5.2915743505176003E-41</c:v>
                </c:pt>
                <c:pt idx="93">
                  <c:v>5.8981937806324794E-42</c:v>
                </c:pt>
                <c:pt idx="94">
                  <c:v>-4.1917764708929599E-43</c:v>
                </c:pt>
                <c:pt idx="95">
                  <c:v>1.3921733573309901E-44</c:v>
                </c:pt>
                <c:pt idx="96">
                  <c:v>7.3453652954361302E-47</c:v>
                </c:pt>
                <c:pt idx="97">
                  <c:v>-9.1305444230244304E-48</c:v>
                </c:pt>
                <c:pt idx="98">
                  <c:v>8.2263236541987894E-49</c:v>
                </c:pt>
                <c:pt idx="99">
                  <c:v>-4.7492819092058699E-50</c:v>
                </c:pt>
              </c:numCache>
            </c:numRef>
          </c:yVal>
          <c:smooth val="0"/>
          <c:extLst>
            <c:ext xmlns:c16="http://schemas.microsoft.com/office/drawing/2014/chart" uri="{C3380CC4-5D6E-409C-BE32-E72D297353CC}">
              <c16:uniqueId val="{00000060-CF86-4C2E-BF49-1F263FBF5A1F}"/>
            </c:ext>
          </c:extLst>
        </c:ser>
        <c:ser>
          <c:idx val="97"/>
          <c:order val="97"/>
          <c:tx>
            <c:strRef>
              <c:f>dynamicR!$DC$19</c:f>
              <c:strCache>
                <c:ptCount val="1"/>
                <c:pt idx="0">
                  <c:v>w3MD</c:v>
                </c:pt>
              </c:strCache>
            </c:strRef>
          </c:tx>
          <c:spPr>
            <a:ln w="19050" cap="rnd">
              <a:solidFill>
                <a:schemeClr val="accent2">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dynamicR!$DC$20:$DC$119</c:f>
              <c:numCache>
                <c:formatCode>0.00</c:formatCode>
                <c:ptCount val="100"/>
                <c:pt idx="0">
                  <c:v>0</c:v>
                </c:pt>
                <c:pt idx="1">
                  <c:v>1.99969615814251E-2</c:v>
                </c:pt>
                <c:pt idx="2">
                  <c:v>3.9587350228661299E-2</c:v>
                </c:pt>
                <c:pt idx="3">
                  <c:v>5.8786123712142098E-2</c:v>
                </c:pt>
                <c:pt idx="4">
                  <c:v>7.76011160618926E-2</c:v>
                </c:pt>
                <c:pt idx="5">
                  <c:v>9.6039995859837302E-2</c:v>
                </c:pt>
                <c:pt idx="6">
                  <c:v>0.11411027868160301</c:v>
                </c:pt>
                <c:pt idx="7">
                  <c:v>0.13181933265996401</c:v>
                </c:pt>
                <c:pt idx="8">
                  <c:v>0.149174379807233</c:v>
                </c:pt>
                <c:pt idx="9">
                  <c:v>0.16618249741795399</c:v>
                </c:pt>
                <c:pt idx="10">
                  <c:v>0.18285062071623401</c:v>
                </c:pt>
                <c:pt idx="11">
                  <c:v>0.19918554606264699</c:v>
                </c:pt>
                <c:pt idx="12">
                  <c:v>0.21519393395214501</c:v>
                </c:pt>
                <c:pt idx="13">
                  <c:v>0.23088231162113401</c:v>
                </c:pt>
                <c:pt idx="14">
                  <c:v>0.24625707617675299</c:v>
                </c:pt>
                <c:pt idx="15">
                  <c:v>0.261324497149793</c:v>
                </c:pt>
                <c:pt idx="16">
                  <c:v>0.276090718589379</c:v>
                </c:pt>
                <c:pt idx="17">
                  <c:v>0.29056176142014101</c:v>
                </c:pt>
                <c:pt idx="18">
                  <c:v>0.30474352614345901</c:v>
                </c:pt>
                <c:pt idx="19">
                  <c:v>0.31864179543840199</c:v>
                </c:pt>
                <c:pt idx="20">
                  <c:v>0.33226223647853498</c:v>
                </c:pt>
                <c:pt idx="21">
                  <c:v>0.34561040312559299</c:v>
                </c:pt>
                <c:pt idx="22">
                  <c:v>0.35869173816315503</c:v>
                </c:pt>
                <c:pt idx="23">
                  <c:v>0.37151157556420999</c:v>
                </c:pt>
                <c:pt idx="24">
                  <c:v>0.38407514269937199</c:v>
                </c:pt>
                <c:pt idx="25">
                  <c:v>0.39638756245780798</c:v>
                </c:pt>
                <c:pt idx="26">
                  <c:v>0.40845385531467898</c:v>
                </c:pt>
                <c:pt idx="27">
                  <c:v>0.42027894137597399</c:v>
                </c:pt>
                <c:pt idx="28">
                  <c:v>0.43186764239367598</c:v>
                </c:pt>
                <c:pt idx="29">
                  <c:v>0.443224683735289</c:v>
                </c:pt>
                <c:pt idx="30">
                  <c:v>0.45435469631116199</c:v>
                </c:pt>
                <c:pt idx="31">
                  <c:v>0.465262218457905</c:v>
                </c:pt>
                <c:pt idx="32">
                  <c:v>0.47595169778761998</c:v>
                </c:pt>
                <c:pt idx="33">
                  <c:v>0.48642749300363203</c:v>
                </c:pt>
                <c:pt idx="34">
                  <c:v>0.49669387568090001</c:v>
                </c:pt>
                <c:pt idx="35">
                  <c:v>0.50675503200447503</c:v>
                </c:pt>
                <c:pt idx="36">
                  <c:v>0.516615064475902</c:v>
                </c:pt>
                <c:pt idx="37">
                  <c:v>0.52627799358755201</c:v>
                </c:pt>
                <c:pt idx="38">
                  <c:v>0.53574775946147801</c:v>
                </c:pt>
                <c:pt idx="39">
                  <c:v>0.54502822345688895</c:v>
                </c:pt>
                <c:pt idx="40">
                  <c:v>0.55412316974359999</c:v>
                </c:pt>
                <c:pt idx="41">
                  <c:v>0.563036306845628</c:v>
                </c:pt>
                <c:pt idx="42">
                  <c:v>0.57177126915193199</c:v>
                </c:pt>
                <c:pt idx="43">
                  <c:v>0.580331618400724</c:v>
                </c:pt>
                <c:pt idx="44">
                  <c:v>0.58872084513074796</c:v>
                </c:pt>
                <c:pt idx="45">
                  <c:v>0.59694237010428997</c:v>
                </c:pt>
                <c:pt idx="46">
                  <c:v>0.60499954570090897</c:v>
                </c:pt>
                <c:pt idx="47">
                  <c:v>0.61289565728582296</c:v>
                </c:pt>
                <c:pt idx="48">
                  <c:v>0.62063392455077504</c:v>
                </c:pt>
                <c:pt idx="49">
                  <c:v>0.62821750282467204</c:v>
                </c:pt>
                <c:pt idx="50">
                  <c:v>0.62821750282467204</c:v>
                </c:pt>
                <c:pt idx="51">
                  <c:v>0.61565219266508098</c:v>
                </c:pt>
                <c:pt idx="52">
                  <c:v>0.60334469994807105</c:v>
                </c:pt>
                <c:pt idx="53">
                  <c:v>0.59128365625490797</c:v>
                </c:pt>
                <c:pt idx="54">
                  <c:v>0.57946397430362795</c:v>
                </c:pt>
                <c:pt idx="55">
                  <c:v>0.56788051803907602</c:v>
                </c:pt>
                <c:pt idx="56">
                  <c:v>0.55652855703871296</c:v>
                </c:pt>
                <c:pt idx="57">
                  <c:v>0.54540350148218797</c:v>
                </c:pt>
                <c:pt idx="58">
                  <c:v>0.53450083235829404</c:v>
                </c:pt>
                <c:pt idx="59">
                  <c:v>0.52381610992129302</c:v>
                </c:pt>
                <c:pt idx="60">
                  <c:v>0.51334497006993596</c:v>
                </c:pt>
                <c:pt idx="61">
                  <c:v>0.50308313533214499</c:v>
                </c:pt>
                <c:pt idx="62">
                  <c:v>0.49302642927585</c:v>
                </c:pt>
                <c:pt idx="63">
                  <c:v>0.48317076052383701</c:v>
                </c:pt>
                <c:pt idx="64">
                  <c:v>0.47351211189669001</c:v>
                </c:pt>
                <c:pt idx="65">
                  <c:v>0.464046542527495</c:v>
                </c:pt>
                <c:pt idx="66">
                  <c:v>0.454770190816154</c:v>
                </c:pt>
                <c:pt idx="67">
                  <c:v>0.44567927396410101</c:v>
                </c:pt>
                <c:pt idx="68">
                  <c:v>0.43677008552570001</c:v>
                </c:pt>
                <c:pt idx="69">
                  <c:v>0.42803899304309501</c:v>
                </c:pt>
                <c:pt idx="70">
                  <c:v>0.41948243638752097</c:v>
                </c:pt>
                <c:pt idx="71">
                  <c:v>0.41109692648058499</c:v>
                </c:pt>
                <c:pt idx="72">
                  <c:v>0.40287904401883101</c:v>
                </c:pt>
                <c:pt idx="73">
                  <c:v>0.39482543810352</c:v>
                </c:pt>
                <c:pt idx="74">
                  <c:v>0.386932824841491</c:v>
                </c:pt>
                <c:pt idx="75">
                  <c:v>0.37919798603951099</c:v>
                </c:pt>
                <c:pt idx="76">
                  <c:v>0.37161776788427398</c:v>
                </c:pt>
                <c:pt idx="77">
                  <c:v>0.36418907943712098</c:v>
                </c:pt>
                <c:pt idx="78">
                  <c:v>0.35690889143587301</c:v>
                </c:pt>
                <c:pt idx="79">
                  <c:v>0.34977423526522</c:v>
                </c:pt>
                <c:pt idx="80">
                  <c:v>0.34278220177726898</c:v>
                </c:pt>
                <c:pt idx="81">
                  <c:v>0.33592993999068699</c:v>
                </c:pt>
                <c:pt idx="82">
                  <c:v>0.32921465585478599</c:v>
                </c:pt>
                <c:pt idx="83">
                  <c:v>0.32263361113952999</c:v>
                </c:pt>
                <c:pt idx="84">
                  <c:v>0.31618412236767801</c:v>
                </c:pt>
                <c:pt idx="85">
                  <c:v>0.30986355972831497</c:v>
                </c:pt>
                <c:pt idx="86">
                  <c:v>0.303669345981397</c:v>
                </c:pt>
                <c:pt idx="87">
                  <c:v>0.297598955395454</c:v>
                </c:pt>
                <c:pt idx="88">
                  <c:v>0.29164991272365998</c:v>
                </c:pt>
                <c:pt idx="89">
                  <c:v>0.28581979220294301</c:v>
                </c:pt>
                <c:pt idx="90">
                  <c:v>0.280106216565501</c:v>
                </c:pt>
                <c:pt idx="91">
                  <c:v>0.27450685606549002</c:v>
                </c:pt>
                <c:pt idx="92">
                  <c:v>0.269019427527107</c:v>
                </c:pt>
                <c:pt idx="93">
                  <c:v>0.26364169341429999</c:v>
                </c:pt>
                <c:pt idx="94">
                  <c:v>0.25837146092081698</c:v>
                </c:pt>
                <c:pt idx="95">
                  <c:v>0.253206581075407</c:v>
                </c:pt>
                <c:pt idx="96">
                  <c:v>0.24814494786483099</c:v>
                </c:pt>
                <c:pt idx="97">
                  <c:v>0.243184497374898</c:v>
                </c:pt>
                <c:pt idx="98">
                  <c:v>0.23832320694968701</c:v>
                </c:pt>
                <c:pt idx="99">
                  <c:v>0.23355909436621899</c:v>
                </c:pt>
              </c:numCache>
            </c:numRef>
          </c:yVal>
          <c:smooth val="0"/>
          <c:extLst>
            <c:ext xmlns:c16="http://schemas.microsoft.com/office/drawing/2014/chart" uri="{C3380CC4-5D6E-409C-BE32-E72D297353CC}">
              <c16:uniqueId val="{00000061-CF86-4C2E-BF49-1F263FBF5A1F}"/>
            </c:ext>
          </c:extLst>
        </c:ser>
        <c:ser>
          <c:idx val="98"/>
          <c:order val="98"/>
          <c:tx>
            <c:strRef>
              <c:f>dynamicR!$DD$19</c:f>
              <c:strCache>
                <c:ptCount val="1"/>
                <c:pt idx="0">
                  <c:v>w3MS</c:v>
                </c:pt>
              </c:strCache>
            </c:strRef>
          </c:tx>
          <c:spPr>
            <a:ln w="19050" cap="rnd">
              <a:solidFill>
                <a:schemeClr val="accent3">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dynamicR!$DD$20:$DD$119</c:f>
              <c:numCache>
                <c:formatCode>0.00</c:formatCode>
                <c:ptCount val="100"/>
                <c:pt idx="0">
                  <c:v>0</c:v>
                </c:pt>
                <c:pt idx="1">
                  <c:v>1</c:v>
                </c:pt>
                <c:pt idx="2">
                  <c:v>0.999999999999999</c:v>
                </c:pt>
                <c:pt idx="3">
                  <c:v>0.999999999999997</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1</c:v>
                </c:pt>
                <c:pt idx="21">
                  <c:v>1</c:v>
                </c:pt>
                <c:pt idx="22">
                  <c:v>0.999999999999999</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-1.57120617034727E-213</c:v>
                </c:pt>
                <c:pt idx="52">
                  <c:v>3.78503773797783E-215</c:v>
                </c:pt>
                <c:pt idx="53">
                  <c:v>-1.28193864895277E-214</c:v>
                </c:pt>
                <c:pt idx="54">
                  <c:v>1.6857121662615199E-213</c:v>
                </c:pt>
                <c:pt idx="55">
                  <c:v>-1.0611986417005101E-213</c:v>
                </c:pt>
                <c:pt idx="56">
                  <c:v>3.45968764308261E-213</c:v>
                </c:pt>
                <c:pt idx="57">
                  <c:v>-1.0082378072077E-213</c:v>
                </c:pt>
                <c:pt idx="58">
                  <c:v>1.8770921880473002E-214</c:v>
                </c:pt>
                <c:pt idx="59">
                  <c:v>1.1433306179131899E-215</c:v>
                </c:pt>
                <c:pt idx="60">
                  <c:v>-2.12155940230913E-215</c:v>
                </c:pt>
                <c:pt idx="61">
                  <c:v>1.00990001076615E-215</c:v>
                </c:pt>
                <c:pt idx="62">
                  <c:v>2.5108660102667998E-214</c:v>
                </c:pt>
                <c:pt idx="63">
                  <c:v>1.95005485733087E-214</c:v>
                </c:pt>
                <c:pt idx="64">
                  <c:v>-1.580804719736E-214</c:v>
                </c:pt>
                <c:pt idx="65">
                  <c:v>-3.6156225973250401E-215</c:v>
                </c:pt>
                <c:pt idx="66">
                  <c:v>2.5256933306904502E-214</c:v>
                </c:pt>
                <c:pt idx="67">
                  <c:v>-8.1640382226151701E-215</c:v>
                </c:pt>
                <c:pt idx="68">
                  <c:v>-2.7720596494865499E-214</c:v>
                </c:pt>
                <c:pt idx="69">
                  <c:v>2.3745214608233999E-214</c:v>
                </c:pt>
                <c:pt idx="70">
                  <c:v>2.2126965384877099E-214</c:v>
                </c:pt>
                <c:pt idx="71">
                  <c:v>-4.0553538353974903E-214</c:v>
                </c:pt>
                <c:pt idx="72">
                  <c:v>-6.7375527624936602E-215</c:v>
                </c:pt>
                <c:pt idx="73">
                  <c:v>5.3600472564739698E-214</c:v>
                </c:pt>
                <c:pt idx="74">
                  <c:v>-1.89991364514454E-214</c:v>
                </c:pt>
                <c:pt idx="75">
                  <c:v>-5.4830358439035799E-214</c:v>
                </c:pt>
                <c:pt idx="76">
                  <c:v>5.2970678656672601E-214</c:v>
                </c:pt>
                <c:pt idx="77">
                  <c:v>-3.7972388974332398E-214</c:v>
                </c:pt>
                <c:pt idx="78">
                  <c:v>1.48463547273E-214</c:v>
                </c:pt>
                <c:pt idx="79">
                  <c:v>-3.4355929492883901E-215</c:v>
                </c:pt>
                <c:pt idx="80">
                  <c:v>3.2528739659768801E-216</c:v>
                </c:pt>
                <c:pt idx="81">
                  <c:v>1.7366274479416101E-221</c:v>
                </c:pt>
                <c:pt idx="82">
                  <c:v>-5.3920325891169698E-222</c:v>
                </c:pt>
                <c:pt idx="83">
                  <c:v>1.14738654861188E-222</c:v>
                </c:pt>
                <c:pt idx="84">
                  <c:v>-1.50324890770222E-223</c:v>
                </c:pt>
                <c:pt idx="85">
                  <c:v>8.9411255834620606E-225</c:v>
                </c:pt>
                <c:pt idx="86">
                  <c:v>2.0175328139525298E-229</c:v>
                </c:pt>
                <c:pt idx="87">
                  <c:v>-4.2036166085481803E-230</c:v>
                </c:pt>
                <c:pt idx="88">
                  <c:v>6.1462896167628506E-231</c:v>
                </c:pt>
                <c:pt idx="89">
                  <c:v>-5.6682407047941099E-232</c:v>
                </c:pt>
                <c:pt idx="90">
                  <c:v>2.4572150892956102E-233</c:v>
                </c:pt>
                <c:pt idx="91">
                  <c:v>1.59844237207169E-237</c:v>
                </c:pt>
                <c:pt idx="92">
                  <c:v>-2.4880579684101401E-238</c:v>
                </c:pt>
                <c:pt idx="93">
                  <c:v>2.7759349364147601E-239</c:v>
                </c:pt>
                <c:pt idx="94">
                  <c:v>-1.9802003831169701E-240</c:v>
                </c:pt>
                <c:pt idx="95">
                  <c:v>6.7505080978523901E-242</c:v>
                </c:pt>
                <c:pt idx="96">
                  <c:v>1.00828963097775E-245</c:v>
                </c:pt>
                <c:pt idx="97">
                  <c:v>-1.2562151943233999E-246</c:v>
                </c:pt>
                <c:pt idx="98">
                  <c:v>1.13419818384132E-247</c:v>
                </c:pt>
                <c:pt idx="99">
                  <c:v>-6.6025558160467801E-249</c:v>
                </c:pt>
              </c:numCache>
            </c:numRef>
          </c:yVal>
          <c:smooth val="0"/>
          <c:extLst>
            <c:ext xmlns:c16="http://schemas.microsoft.com/office/drawing/2014/chart" uri="{C3380CC4-5D6E-409C-BE32-E72D297353CC}">
              <c16:uniqueId val="{00000062-CF86-4C2E-BF49-1F263FBF5A1F}"/>
            </c:ext>
          </c:extLst>
        </c:ser>
        <c:ser>
          <c:idx val="99"/>
          <c:order val="99"/>
          <c:tx>
            <c:strRef>
              <c:f>dynamicR!$DE$19</c:f>
              <c:strCache>
                <c:ptCount val="1"/>
                <c:pt idx="0">
                  <c:v>w3MA</c:v>
                </c:pt>
              </c:strCache>
            </c:strRef>
          </c:tx>
          <c:spPr>
            <a:ln w="19050" cap="rnd">
              <a:solidFill>
                <a:schemeClr val="accent4">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dynamicR!$DE$20:$DE$119</c:f>
              <c:numCache>
                <c:formatCode>0.00</c:formatCode>
                <c:ptCount val="100"/>
                <c:pt idx="0">
                  <c:v>0</c:v>
                </c:pt>
                <c:pt idx="1">
                  <c:v>0.999999999999999</c:v>
                </c:pt>
                <c:pt idx="2">
                  <c:v>0.999999999999997</c:v>
                </c:pt>
                <c:pt idx="3">
                  <c:v>0.999999999999995</c:v>
                </c:pt>
                <c:pt idx="4">
                  <c:v>0.999999999999999</c:v>
                </c:pt>
                <c:pt idx="5">
                  <c:v>1</c:v>
                </c:pt>
                <c:pt idx="6">
                  <c:v>1</c:v>
                </c:pt>
                <c:pt idx="7">
                  <c:v>1</c:v>
                </c:pt>
                <c:pt idx="8">
                  <c:v>1</c:v>
                </c:pt>
                <c:pt idx="9">
                  <c:v>1</c:v>
                </c:pt>
                <c:pt idx="10">
                  <c:v>1</c:v>
                </c:pt>
                <c:pt idx="11">
                  <c:v>1</c:v>
                </c:pt>
                <c:pt idx="12">
                  <c:v>1</c:v>
                </c:pt>
                <c:pt idx="13">
                  <c:v>0.999999999999999</c:v>
                </c:pt>
                <c:pt idx="14">
                  <c:v>0.999999999999999</c:v>
                </c:pt>
                <c:pt idx="15">
                  <c:v>1</c:v>
                </c:pt>
                <c:pt idx="16">
                  <c:v>1</c:v>
                </c:pt>
                <c:pt idx="17">
                  <c:v>0.999999999999999</c:v>
                </c:pt>
                <c:pt idx="18">
                  <c:v>1</c:v>
                </c:pt>
                <c:pt idx="19">
                  <c:v>1</c:v>
                </c:pt>
                <c:pt idx="20">
                  <c:v>0.999999999999997</c:v>
                </c:pt>
                <c:pt idx="21">
                  <c:v>1</c:v>
                </c:pt>
                <c:pt idx="22">
                  <c:v>1</c:v>
                </c:pt>
                <c:pt idx="23">
                  <c:v>0.999999999999998</c:v>
                </c:pt>
                <c:pt idx="24">
                  <c:v>1</c:v>
                </c:pt>
                <c:pt idx="25">
                  <c:v>0.999999999999999</c:v>
                </c:pt>
                <c:pt idx="26">
                  <c:v>1</c:v>
                </c:pt>
                <c:pt idx="27">
                  <c:v>1</c:v>
                </c:pt>
                <c:pt idx="28">
                  <c:v>1</c:v>
                </c:pt>
                <c:pt idx="29">
                  <c:v>1</c:v>
                </c:pt>
                <c:pt idx="30">
                  <c:v>1</c:v>
                </c:pt>
                <c:pt idx="31">
                  <c:v>1</c:v>
                </c:pt>
                <c:pt idx="32">
                  <c:v>1</c:v>
                </c:pt>
                <c:pt idx="33">
                  <c:v>1</c:v>
                </c:pt>
                <c:pt idx="34">
                  <c:v>1</c:v>
                </c:pt>
                <c:pt idx="35">
                  <c:v>0.999999999999999</c:v>
                </c:pt>
                <c:pt idx="36">
                  <c:v>1</c:v>
                </c:pt>
                <c:pt idx="37">
                  <c:v>1</c:v>
                </c:pt>
                <c:pt idx="38">
                  <c:v>1</c:v>
                </c:pt>
                <c:pt idx="39">
                  <c:v>1</c:v>
                </c:pt>
                <c:pt idx="40">
                  <c:v>1</c:v>
                </c:pt>
                <c:pt idx="41">
                  <c:v>1</c:v>
                </c:pt>
                <c:pt idx="42">
                  <c:v>1</c:v>
                </c:pt>
                <c:pt idx="43">
                  <c:v>1</c:v>
                </c:pt>
                <c:pt idx="44">
                  <c:v>1</c:v>
                </c:pt>
                <c:pt idx="45">
                  <c:v>1</c:v>
                </c:pt>
                <c:pt idx="46">
                  <c:v>1</c:v>
                </c:pt>
                <c:pt idx="47">
                  <c:v>1</c:v>
                </c:pt>
                <c:pt idx="48">
                  <c:v>0.999999999999999</c:v>
                </c:pt>
                <c:pt idx="49">
                  <c:v>1</c:v>
                </c:pt>
                <c:pt idx="50">
                  <c:v>1</c:v>
                </c:pt>
                <c:pt idx="51">
                  <c:v>6.4432168092625098E-24</c:v>
                </c:pt>
                <c:pt idx="52">
                  <c:v>-1.07967409674487E-27</c:v>
                </c:pt>
                <c:pt idx="53">
                  <c:v>-3.5517347388895002E-25</c:v>
                </c:pt>
                <c:pt idx="54">
                  <c:v>-2.6631138335988902E-23</c:v>
                </c:pt>
                <c:pt idx="55">
                  <c:v>1.45493708292E-23</c:v>
                </c:pt>
                <c:pt idx="56">
                  <c:v>-4.9993127977397599E-23</c:v>
                </c:pt>
                <c:pt idx="57">
                  <c:v>1.4572890746313799E-23</c:v>
                </c:pt>
                <c:pt idx="58">
                  <c:v>-2.7303486765865E-24</c:v>
                </c:pt>
                <c:pt idx="59">
                  <c:v>-1.66345176818771E-25</c:v>
                </c:pt>
                <c:pt idx="60">
                  <c:v>3.0863556402843901E-25</c:v>
                </c:pt>
                <c:pt idx="61">
                  <c:v>-1.4684583046962899E-25</c:v>
                </c:pt>
                <c:pt idx="62">
                  <c:v>-3.6523385831197698E-24</c:v>
                </c:pt>
                <c:pt idx="63">
                  <c:v>-2.8365588515986E-24</c:v>
                </c:pt>
                <c:pt idx="64">
                  <c:v>2.2995092423782702E-24</c:v>
                </c:pt>
                <c:pt idx="65">
                  <c:v>5.25922253008482E-25</c:v>
                </c:pt>
                <c:pt idx="66">
                  <c:v>-3.6739467178849202E-24</c:v>
                </c:pt>
                <c:pt idx="67">
                  <c:v>1.18758008110189E-24</c:v>
                </c:pt>
                <c:pt idx="68">
                  <c:v>4.0323036927930698E-24</c:v>
                </c:pt>
                <c:pt idx="69">
                  <c:v>-3.45405140518086E-24</c:v>
                </c:pt>
                <c:pt idx="70">
                  <c:v>-3.21863270071527E-24</c:v>
                </c:pt>
                <c:pt idx="71">
                  <c:v>5.8990177277218302E-24</c:v>
                </c:pt>
                <c:pt idx="72">
                  <c:v>9.8005431616096394E-25</c:v>
                </c:pt>
                <c:pt idx="73">
                  <c:v>-7.7968413417048796E-24</c:v>
                </c:pt>
                <c:pt idx="74">
                  <c:v>2.7636483774421602E-24</c:v>
                </c:pt>
                <c:pt idx="75">
                  <c:v>7.9757374901189901E-24</c:v>
                </c:pt>
                <c:pt idx="76">
                  <c:v>-7.7052067877493693E-24</c:v>
                </c:pt>
                <c:pt idx="77">
                  <c:v>5.52349004678664E-24</c:v>
                </c:pt>
                <c:pt idx="78">
                  <c:v>-2.15950841768279E-24</c:v>
                </c:pt>
                <c:pt idx="79">
                  <c:v>4.9968876155047996E-25</c:v>
                </c:pt>
                <c:pt idx="80">
                  <c:v>-4.7281992565519702E-26</c:v>
                </c:pt>
                <c:pt idx="81">
                  <c:v>-1.52830061739379E-29</c:v>
                </c:pt>
                <c:pt idx="82">
                  <c:v>4.7450289818853698E-30</c:v>
                </c:pt>
                <c:pt idx="83">
                  <c:v>-1.0096040587598001E-30</c:v>
                </c:pt>
                <c:pt idx="84">
                  <c:v>1.3222066573523399E-31</c:v>
                </c:pt>
                <c:pt idx="85">
                  <c:v>-7.8425266790880502E-33</c:v>
                </c:pt>
                <c:pt idx="86">
                  <c:v>-7.3502994698118205E-36</c:v>
                </c:pt>
                <c:pt idx="87">
                  <c:v>1.5152627632180501E-36</c:v>
                </c:pt>
                <c:pt idx="88">
                  <c:v>-2.2147846129188402E-37</c:v>
                </c:pt>
                <c:pt idx="89">
                  <c:v>2.0398492403965801E-38</c:v>
                </c:pt>
                <c:pt idx="90">
                  <c:v>-8.7629173976453905E-40</c:v>
                </c:pt>
                <c:pt idx="91">
                  <c:v>-2.0065222698065601E-42</c:v>
                </c:pt>
                <c:pt idx="92">
                  <c:v>3.1097596578547198E-43</c:v>
                </c:pt>
                <c:pt idx="93">
                  <c:v>-3.4665060514949002E-44</c:v>
                </c:pt>
                <c:pt idx="94">
                  <c:v>2.4642940352594999E-45</c:v>
                </c:pt>
                <c:pt idx="95">
                  <c:v>-8.2006617622417002E-47</c:v>
                </c:pt>
                <c:pt idx="96">
                  <c:v>-4.0034699491994297E-49</c:v>
                </c:pt>
                <c:pt idx="97">
                  <c:v>4.9766549784664304E-50</c:v>
                </c:pt>
                <c:pt idx="98">
                  <c:v>-4.4843291643295298E-51</c:v>
                </c:pt>
                <c:pt idx="99">
                  <c:v>2.5901242300082101E-52</c:v>
                </c:pt>
              </c:numCache>
            </c:numRef>
          </c:yVal>
          <c:smooth val="0"/>
          <c:extLst>
            <c:ext xmlns:c16="http://schemas.microsoft.com/office/drawing/2014/chart" uri="{C3380CC4-5D6E-409C-BE32-E72D297353CC}">
              <c16:uniqueId val="{00000063-CF86-4C2E-BF49-1F263FBF5A1F}"/>
            </c:ext>
          </c:extLst>
        </c:ser>
        <c:ser>
          <c:idx val="100"/>
          <c:order val="100"/>
          <c:tx>
            <c:strRef>
              <c:f>dynamicR!$DF$19</c:f>
              <c:strCache>
                <c:ptCount val="1"/>
                <c:pt idx="0">
                  <c:v>w3MP</c:v>
                </c:pt>
              </c:strCache>
            </c:strRef>
          </c:tx>
          <c:spPr>
            <a:ln w="19050" cap="rnd">
              <a:solidFill>
                <a:schemeClr val="accent5">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dynamicR!$DF$20:$DF$119</c:f>
              <c:numCache>
                <c:formatCode>0.00</c:formatCode>
                <c:ptCount val="100"/>
                <c:pt idx="0">
                  <c:v>0</c:v>
                </c:pt>
                <c:pt idx="1">
                  <c:v>1</c:v>
                </c:pt>
                <c:pt idx="2">
                  <c:v>1.00000000000001</c:v>
                </c:pt>
                <c:pt idx="3">
                  <c:v>1</c:v>
                </c:pt>
                <c:pt idx="4">
                  <c:v>0.99999999999997302</c:v>
                </c:pt>
                <c:pt idx="5">
                  <c:v>1.0000000000000799</c:v>
                </c:pt>
                <c:pt idx="6">
                  <c:v>1.00000000000005</c:v>
                </c:pt>
                <c:pt idx="7">
                  <c:v>1.00000000000002</c:v>
                </c:pt>
                <c:pt idx="8">
                  <c:v>1</c:v>
                </c:pt>
                <c:pt idx="9">
                  <c:v>1.00000000000001</c:v>
                </c:pt>
                <c:pt idx="10">
                  <c:v>1.00000000000001</c:v>
                </c:pt>
                <c:pt idx="11">
                  <c:v>1.00000000000001</c:v>
                </c:pt>
                <c:pt idx="12">
                  <c:v>1.00000000000001</c:v>
                </c:pt>
                <c:pt idx="13">
                  <c:v>1.00000000000001</c:v>
                </c:pt>
                <c:pt idx="14">
                  <c:v>0.999999999999996</c:v>
                </c:pt>
                <c:pt idx="15">
                  <c:v>0.99999999999998901</c:v>
                </c:pt>
                <c:pt idx="16">
                  <c:v>1</c:v>
                </c:pt>
                <c:pt idx="17">
                  <c:v>1</c:v>
                </c:pt>
                <c:pt idx="18">
                  <c:v>0.99999999999998801</c:v>
                </c:pt>
                <c:pt idx="19">
                  <c:v>1.00000000000001</c:v>
                </c:pt>
                <c:pt idx="20">
                  <c:v>1.00000000000001</c:v>
                </c:pt>
                <c:pt idx="21">
                  <c:v>0.99999999999997602</c:v>
                </c:pt>
                <c:pt idx="22">
                  <c:v>0.999999999999996</c:v>
                </c:pt>
                <c:pt idx="23">
                  <c:v>1</c:v>
                </c:pt>
                <c:pt idx="24">
                  <c:v>0.999999999999997</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-1.0638168694760299E-18</c:v>
                </c:pt>
                <c:pt idx="52">
                  <c:v>1.54788052437652E-22</c:v>
                </c:pt>
                <c:pt idx="53">
                  <c:v>5.8775585159873506E-20</c:v>
                </c:pt>
                <c:pt idx="54">
                  <c:v>4.3999764207314202E-18</c:v>
                </c:pt>
                <c:pt idx="55">
                  <c:v>-2.40374840433461E-18</c:v>
                </c:pt>
                <c:pt idx="56">
                  <c:v>8.2596422471912994E-18</c:v>
                </c:pt>
                <c:pt idx="57">
                  <c:v>-2.40766835567118E-18</c:v>
                </c:pt>
                <c:pt idx="58">
                  <c:v>4.5109684224149602E-19</c:v>
                </c:pt>
                <c:pt idx="59">
                  <c:v>2.7482857897884599E-20</c:v>
                </c:pt>
                <c:pt idx="60">
                  <c:v>-5.0991483340072403E-20</c:v>
                </c:pt>
                <c:pt idx="61">
                  <c:v>2.42612564886988E-20</c:v>
                </c:pt>
                <c:pt idx="62">
                  <c:v>6.0342417726370299E-19</c:v>
                </c:pt>
                <c:pt idx="63">
                  <c:v>4.6864444573E-19</c:v>
                </c:pt>
                <c:pt idx="64">
                  <c:v>-3.7991534526912599E-19</c:v>
                </c:pt>
                <c:pt idx="65">
                  <c:v>-8.6890685338715799E-20</c:v>
                </c:pt>
                <c:pt idx="66">
                  <c:v>6.0699418359472297E-19</c:v>
                </c:pt>
                <c:pt idx="67">
                  <c:v>-1.9620703768553699E-19</c:v>
                </c:pt>
                <c:pt idx="68">
                  <c:v>-6.66200431203835E-19</c:v>
                </c:pt>
                <c:pt idx="69">
                  <c:v>5.7066399538204401E-19</c:v>
                </c:pt>
                <c:pt idx="70">
                  <c:v>5.31769096841222E-19</c:v>
                </c:pt>
                <c:pt idx="71">
                  <c:v>-9.7461115366362206E-19</c:v>
                </c:pt>
                <c:pt idx="72">
                  <c:v>-1.6192049449927499E-19</c:v>
                </c:pt>
                <c:pt idx="73">
                  <c:v>1.28816167116984E-18</c:v>
                </c:pt>
                <c:pt idx="74">
                  <c:v>-4.5659848083546998E-19</c:v>
                </c:pt>
                <c:pt idx="75">
                  <c:v>-1.31771814810695E-18</c:v>
                </c:pt>
                <c:pt idx="76">
                  <c:v>1.27302219142989E-18</c:v>
                </c:pt>
                <c:pt idx="77">
                  <c:v>-9.1256803294303698E-19</c:v>
                </c:pt>
                <c:pt idx="78">
                  <c:v>3.5678499105388001E-19</c:v>
                </c:pt>
                <c:pt idx="79">
                  <c:v>-8.25564967718356E-20</c:v>
                </c:pt>
                <c:pt idx="80">
                  <c:v>7.8117337652988298E-21</c:v>
                </c:pt>
                <c:pt idx="81">
                  <c:v>2.5250928401981801E-24</c:v>
                </c:pt>
                <c:pt idx="82">
                  <c:v>-7.8398441795547204E-25</c:v>
                </c:pt>
                <c:pt idx="83">
                  <c:v>1.66809064996961E-25</c:v>
                </c:pt>
                <c:pt idx="84">
                  <c:v>-2.18457971288757E-26</c:v>
                </c:pt>
                <c:pt idx="85">
                  <c:v>1.2957599681179999E-27</c:v>
                </c:pt>
                <c:pt idx="86">
                  <c:v>1.2144275586632E-30</c:v>
                </c:pt>
                <c:pt idx="87">
                  <c:v>-2.5035396661633699E-31</c:v>
                </c:pt>
                <c:pt idx="88">
                  <c:v>3.6593000767146201E-32</c:v>
                </c:pt>
                <c:pt idx="89">
                  <c:v>-3.3702693190372903E-33</c:v>
                </c:pt>
                <c:pt idx="90">
                  <c:v>1.4478223981730999E-34</c:v>
                </c:pt>
                <c:pt idx="91">
                  <c:v>3.3151707746897099E-37</c:v>
                </c:pt>
                <c:pt idx="92">
                  <c:v>-5.1379297215800299E-38</c:v>
                </c:pt>
                <c:pt idx="93">
                  <c:v>5.7273444558362899E-39</c:v>
                </c:pt>
                <c:pt idx="94">
                  <c:v>-4.0714947496011901E-40</c:v>
                </c:pt>
                <c:pt idx="95">
                  <c:v>1.35490969823165E-41</c:v>
                </c:pt>
                <c:pt idx="96">
                  <c:v>6.6144388003259495E-44</c:v>
                </c:pt>
                <c:pt idx="97">
                  <c:v>-8.2223036173565303E-45</c:v>
                </c:pt>
                <c:pt idx="98">
                  <c:v>7.4088954418468299E-46</c:v>
                </c:pt>
                <c:pt idx="99">
                  <c:v>-4.2793380796399E-47</c:v>
                </c:pt>
              </c:numCache>
            </c:numRef>
          </c:yVal>
          <c:smooth val="0"/>
          <c:extLst>
            <c:ext xmlns:c16="http://schemas.microsoft.com/office/drawing/2014/chart" uri="{C3380CC4-5D6E-409C-BE32-E72D297353CC}">
              <c16:uniqueId val="{00000064-CF86-4C2E-BF49-1F263FBF5A1F}"/>
            </c:ext>
          </c:extLst>
        </c:ser>
        <c:ser>
          <c:idx val="101"/>
          <c:order val="101"/>
          <c:tx>
            <c:strRef>
              <c:f>dynamicR!$DG$19</c:f>
              <c:strCache>
                <c:ptCount val="1"/>
                <c:pt idx="0">
                  <c:v>sdMD</c:v>
                </c:pt>
              </c:strCache>
            </c:strRef>
          </c:tx>
          <c:spPr>
            <a:ln w="19050" cap="rnd">
              <a:solidFill>
                <a:schemeClr val="accent6">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dynamicR!$DG$20:$DG$119</c:f>
              <c:numCache>
                <c:formatCode>0.00</c:formatCode>
                <c:ptCount val="100"/>
                <c:pt idx="0">
                  <c:v>0</c:v>
                </c:pt>
                <c:pt idx="1">
                  <c:v>1.9996795998808901E-2</c:v>
                </c:pt>
                <c:pt idx="2">
                  <c:v>3.9587187956063197E-2</c:v>
                </c:pt>
                <c:pt idx="3">
                  <c:v>5.8785964683394303E-2</c:v>
                </c:pt>
                <c:pt idx="4">
                  <c:v>7.7600960212151002E-2</c:v>
                </c:pt>
                <c:pt idx="5">
                  <c:v>9.6039843125552998E-2</c:v>
                </c:pt>
                <c:pt idx="6">
                  <c:v>0.114110129000498</c:v>
                </c:pt>
                <c:pt idx="7">
                  <c:v>0.131819185971004</c:v>
                </c:pt>
                <c:pt idx="8">
                  <c:v>0.14917423605060501</c:v>
                </c:pt>
                <c:pt idx="9">
                  <c:v>0.16618235653504099</c:v>
                </c:pt>
                <c:pt idx="10">
                  <c:v>0.182850482649589</c:v>
                </c:pt>
                <c:pt idx="11">
                  <c:v>0.19918541075597199</c:v>
                </c:pt>
                <c:pt idx="12">
                  <c:v>0.215193801350269</c:v>
                </c:pt>
                <c:pt idx="13">
                  <c:v>0.230882181669987</c:v>
                </c:pt>
                <c:pt idx="14">
                  <c:v>0.24625694882334601</c:v>
                </c:pt>
                <c:pt idx="15">
                  <c:v>0.26132437234219802</c:v>
                </c:pt>
                <c:pt idx="16">
                  <c:v>0.27609059627670501</c:v>
                </c:pt>
                <c:pt idx="17">
                  <c:v>0.29056164155251302</c:v>
                </c:pt>
                <c:pt idx="18">
                  <c:v>0.304743408672</c:v>
                </c:pt>
                <c:pt idx="19">
                  <c:v>0.318641680315214</c:v>
                </c:pt>
                <c:pt idx="20">
                  <c:v>0.33226212365667501</c:v>
                </c:pt>
                <c:pt idx="21">
                  <c:v>0.34561029255905701</c:v>
                </c:pt>
                <c:pt idx="22">
                  <c:v>0.35869162980685898</c:v>
                </c:pt>
                <c:pt idx="23">
                  <c:v>0.37151146937397</c:v>
                </c:pt>
                <c:pt idx="24">
                  <c:v>0.38407503863189002</c:v>
                </c:pt>
                <c:pt idx="25">
                  <c:v>0.39638746047064799</c:v>
                </c:pt>
                <c:pt idx="26">
                  <c:v>0.408453755366256</c:v>
                </c:pt>
                <c:pt idx="27">
                  <c:v>0.42027884342553401</c:v>
                </c:pt>
                <c:pt idx="28">
                  <c:v>0.431867546401278</c:v>
                </c:pt>
                <c:pt idx="29">
                  <c:v>0.44322458966179201</c:v>
                </c:pt>
                <c:pt idx="30">
                  <c:v>0.454354604118206</c:v>
                </c:pt>
                <c:pt idx="31">
                  <c:v>0.46526212810789902</c:v>
                </c:pt>
                <c:pt idx="32">
                  <c:v>0.47595160924372198</c:v>
                </c:pt>
                <c:pt idx="33">
                  <c:v>0.48642740622973801</c:v>
                </c:pt>
                <c:pt idx="34">
                  <c:v>0.496693790641628</c:v>
                </c:pt>
                <c:pt idx="35">
                  <c:v>0.50675494866514903</c:v>
                </c:pt>
                <c:pt idx="36">
                  <c:v>0.51661498280254103</c:v>
                </c:pt>
                <c:pt idx="37">
                  <c:v>0.52627791354685305</c:v>
                </c:pt>
                <c:pt idx="38">
                  <c:v>0.53574768102080295</c:v>
                </c:pt>
                <c:pt idx="39">
                  <c:v>0.54502814658425303</c:v>
                </c:pt>
                <c:pt idx="40">
                  <c:v>0.55412309440765795</c:v>
                </c:pt>
                <c:pt idx="41">
                  <c:v>0.56303623301566097</c:v>
                </c:pt>
                <c:pt idx="42">
                  <c:v>0.57177119679783694</c:v>
                </c:pt>
                <c:pt idx="43">
                  <c:v>0.58033154749299598</c:v>
                </c:pt>
                <c:pt idx="44">
                  <c:v>0.58872077564047498</c:v>
                </c:pt>
                <c:pt idx="45">
                  <c:v>0.59694230200313703</c:v>
                </c:pt>
                <c:pt idx="46">
                  <c:v>0.60499947896110695</c:v>
                </c:pt>
                <c:pt idx="47">
                  <c:v>0.61289559188015896</c:v>
                </c:pt>
                <c:pt idx="48">
                  <c:v>0.62063386045257896</c:v>
                </c:pt>
                <c:pt idx="49">
                  <c:v>0.62821744000780699</c:v>
                </c:pt>
                <c:pt idx="50">
                  <c:v>0.62821744000780699</c:v>
                </c:pt>
                <c:pt idx="51">
                  <c:v>0.61565229668649502</c:v>
                </c:pt>
                <c:pt idx="52">
                  <c:v>0.60334480188999795</c:v>
                </c:pt>
                <c:pt idx="53">
                  <c:v>0.59128375615897899</c:v>
                </c:pt>
                <c:pt idx="54">
                  <c:v>0.57946407221063501</c:v>
                </c:pt>
                <c:pt idx="55">
                  <c:v>0.56788061398891598</c:v>
                </c:pt>
                <c:pt idx="56">
                  <c:v>0.55652865107053195</c:v>
                </c:pt>
                <c:pt idx="57">
                  <c:v>0.54540359363428503</c:v>
                </c:pt>
                <c:pt idx="58">
                  <c:v>0.53450092266826599</c:v>
                </c:pt>
                <c:pt idx="59">
                  <c:v>0.52381619842595994</c:v>
                </c:pt>
                <c:pt idx="60">
                  <c:v>0.513345056805385</c:v>
                </c:pt>
                <c:pt idx="61">
                  <c:v>0.50308322033374098</c:v>
                </c:pt>
                <c:pt idx="62">
                  <c:v>0.49302651257825197</c:v>
                </c:pt>
                <c:pt idx="63">
                  <c:v>0.48317084216101203</c:v>
                </c:pt>
                <c:pt idx="64">
                  <c:v>0.47351219190192501</c:v>
                </c:pt>
                <c:pt idx="65">
                  <c:v>0.46404662093341598</c:v>
                </c:pt>
                <c:pt idx="66">
                  <c:v>0.454770267654731</c:v>
                </c:pt>
                <c:pt idx="67">
                  <c:v>0.44567934926666303</c:v>
                </c:pt>
                <c:pt idx="68">
                  <c:v>0.43677015932295299</c:v>
                </c:pt>
                <c:pt idx="69">
                  <c:v>0.42803906536513397</c:v>
                </c:pt>
                <c:pt idx="70">
                  <c:v>0.41948250726383102</c:v>
                </c:pt>
                <c:pt idx="71">
                  <c:v>0.41109699594006599</c:v>
                </c:pt>
                <c:pt idx="72">
                  <c:v>0.40287911208980998</c:v>
                </c:pt>
                <c:pt idx="73">
                  <c:v>0.394825504813753</c:v>
                </c:pt>
                <c:pt idx="74">
                  <c:v>0.38693289021817401</c:v>
                </c:pt>
                <c:pt idx="75">
                  <c:v>0.37919805010930602</c:v>
                </c:pt>
                <c:pt idx="76">
                  <c:v>0.371617830673309</c:v>
                </c:pt>
                <c:pt idx="77">
                  <c:v>0.36418914097098998</c:v>
                </c:pt>
                <c:pt idx="78">
                  <c:v>0.35690895173967502</c:v>
                </c:pt>
                <c:pt idx="79">
                  <c:v>0.34977429436353902</c:v>
                </c:pt>
                <c:pt idx="80">
                  <c:v>0.342782259694206</c:v>
                </c:pt>
                <c:pt idx="81">
                  <c:v>0.33592999674985602</c:v>
                </c:pt>
                <c:pt idx="82">
                  <c:v>0.32921471147933201</c:v>
                </c:pt>
                <c:pt idx="83">
                  <c:v>0.32263366565213403</c:v>
                </c:pt>
                <c:pt idx="84">
                  <c:v>0.31618417579056801</c:v>
                </c:pt>
                <c:pt idx="85">
                  <c:v>0.30986361208327401</c:v>
                </c:pt>
                <c:pt idx="86">
                  <c:v>0.30366939728977399</c:v>
                </c:pt>
                <c:pt idx="87">
                  <c:v>0.29759900567816899</c:v>
                </c:pt>
                <c:pt idx="88">
                  <c:v>0.29164996200121701</c:v>
                </c:pt>
                <c:pt idx="89">
                  <c:v>0.28581984049543502</c:v>
                </c:pt>
                <c:pt idx="90">
                  <c:v>0.28010626389262</c:v>
                </c:pt>
                <c:pt idx="91">
                  <c:v>0.27450690244653297</c:v>
                </c:pt>
                <c:pt idx="92">
                  <c:v>0.26901947298098799</c:v>
                </c:pt>
                <c:pt idx="93">
                  <c:v>0.26364173795955098</c:v>
                </c:pt>
                <c:pt idx="94">
                  <c:v>0.25837150457560298</c:v>
                </c:pt>
                <c:pt idx="95">
                  <c:v>0.25320662385752801</c:v>
                </c:pt>
                <c:pt idx="96">
                  <c:v>0.248144989791731</c:v>
                </c:pt>
                <c:pt idx="97">
                  <c:v>0.24318453846367399</c:v>
                </c:pt>
                <c:pt idx="98">
                  <c:v>0.238323247217093</c:v>
                </c:pt>
                <c:pt idx="99">
                  <c:v>0.23355913382867399</c:v>
                </c:pt>
              </c:numCache>
            </c:numRef>
          </c:yVal>
          <c:smooth val="0"/>
          <c:extLst>
            <c:ext xmlns:c16="http://schemas.microsoft.com/office/drawing/2014/chart" uri="{C3380CC4-5D6E-409C-BE32-E72D297353CC}">
              <c16:uniqueId val="{00000065-CF86-4C2E-BF49-1F263FBF5A1F}"/>
            </c:ext>
          </c:extLst>
        </c:ser>
        <c:ser>
          <c:idx val="102"/>
          <c:order val="102"/>
          <c:tx>
            <c:strRef>
              <c:f>dynamicR!$DH$19</c:f>
              <c:strCache>
                <c:ptCount val="1"/>
                <c:pt idx="0">
                  <c:v>sdMS</c:v>
                </c:pt>
              </c:strCache>
            </c:strRef>
          </c:tx>
          <c:spPr>
            <a:ln w="19050" cap="rnd">
              <a:solidFill>
                <a:schemeClr val="accent1">
                  <a:lumMod val="50000"/>
                  <a:lumOff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dynamicR!$DH$20:$DH$119</c:f>
              <c:numCache>
                <c:formatCode>0.00</c:formatCode>
                <c:ptCount val="100"/>
                <c:pt idx="0">
                  <c:v>0</c:v>
                </c:pt>
                <c:pt idx="1">
                  <c:v>1</c:v>
                </c:pt>
                <c:pt idx="2">
                  <c:v>0.999999999999998</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-1.57148232339406E-213</c:v>
                </c:pt>
                <c:pt idx="52">
                  <c:v>3.7857026833873901E-215</c:v>
                </c:pt>
                <c:pt idx="53">
                  <c:v>-1.28216388378022E-214</c:v>
                </c:pt>
                <c:pt idx="54">
                  <c:v>1.6860084264635499E-213</c:v>
                </c:pt>
                <c:pt idx="55">
                  <c:v>-1.06138515102622E-213</c:v>
                </c:pt>
                <c:pt idx="56">
                  <c:v>3.4602956790471403E-213</c:v>
                </c:pt>
                <c:pt idx="57">
                  <c:v>-1.0084150035950199E-213</c:v>
                </c:pt>
                <c:pt idx="58">
                  <c:v>1.8774220838253101E-214</c:v>
                </c:pt>
                <c:pt idx="59">
                  <c:v>1.1435315563357199E-215</c:v>
                </c:pt>
                <c:pt idx="60">
                  <c:v>-2.1219322627862401E-215</c:v>
                </c:pt>
                <c:pt idx="61">
                  <c:v>1.01007749898575E-215</c:v>
                </c:pt>
                <c:pt idx="62">
                  <c:v>2.5113072907222798E-214</c:v>
                </c:pt>
                <c:pt idx="63">
                  <c:v>1.9503975761745801E-214</c:v>
                </c:pt>
                <c:pt idx="64">
                  <c:v>-1.58108254349234E-214</c:v>
                </c:pt>
                <c:pt idx="65">
                  <c:v>-3.6162580368828797E-215</c:v>
                </c:pt>
                <c:pt idx="66">
                  <c:v>2.5261372170224002E-214</c:v>
                </c:pt>
                <c:pt idx="67">
                  <c:v>-8.1654730385271103E-215</c:v>
                </c:pt>
                <c:pt idx="68">
                  <c:v>-2.7725468342824399E-214</c:v>
                </c:pt>
                <c:pt idx="69">
                  <c:v>2.3749387789548102E-214</c:v>
                </c:pt>
                <c:pt idx="70">
                  <c:v>2.2130854161627499E-214</c:v>
                </c:pt>
                <c:pt idx="71">
                  <c:v>-4.0560665569764699E-214</c:v>
                </c:pt>
                <c:pt idx="72">
                  <c:v>-6.7387368759990803E-215</c:v>
                </c:pt>
                <c:pt idx="73">
                  <c:v>5.3609892757155098E-214</c:v>
                </c:pt>
                <c:pt idx="74">
                  <c:v>-1.9002475517548701E-214</c:v>
                </c:pt>
                <c:pt idx="75">
                  <c:v>-5.4839994781814402E-214</c:v>
                </c:pt>
                <c:pt idx="76">
                  <c:v>5.2979988163872203E-214</c:v>
                </c:pt>
                <c:pt idx="77">
                  <c:v>-3.7979062557482903E-214</c:v>
                </c:pt>
                <c:pt idx="78">
                  <c:v>1.4848963949037701E-214</c:v>
                </c:pt>
                <c:pt idx="79">
                  <c:v>-3.4361967489392E-215</c:v>
                </c:pt>
                <c:pt idx="80">
                  <c:v>3.2534456530754199E-216</c:v>
                </c:pt>
                <c:pt idx="81">
                  <c:v>1.7369326164066001E-221</c:v>
                </c:pt>
                <c:pt idx="82">
                  <c:v>-5.3929796647046303E-222</c:v>
                </c:pt>
                <c:pt idx="83">
                  <c:v>1.14758798144321E-222</c:v>
                </c:pt>
                <c:pt idx="84">
                  <c:v>-1.5035126525694101E-223</c:v>
                </c:pt>
                <c:pt idx="85">
                  <c:v>8.9426922641797495E-225</c:v>
                </c:pt>
                <c:pt idx="86">
                  <c:v>2.0261113748319401E-229</c:v>
                </c:pt>
                <c:pt idx="87">
                  <c:v>-4.2043565122006203E-230</c:v>
                </c:pt>
                <c:pt idx="88">
                  <c:v>6.1473715229127301E-231</c:v>
                </c:pt>
                <c:pt idx="89">
                  <c:v>-5.6692376060404399E-232</c:v>
                </c:pt>
                <c:pt idx="90">
                  <c:v>2.4576473089609299E-233</c:v>
                </c:pt>
                <c:pt idx="91">
                  <c:v>1.5998527922610001E-237</c:v>
                </c:pt>
                <c:pt idx="92">
                  <c:v>-2.48849404038984E-238</c:v>
                </c:pt>
                <c:pt idx="93">
                  <c:v>2.77642093092537E-239</c:v>
                </c:pt>
                <c:pt idx="94">
                  <c:v>-1.9805469090909101E-240</c:v>
                </c:pt>
                <c:pt idx="95">
                  <c:v>6.7516894292677603E-242</c:v>
                </c:pt>
                <c:pt idx="96">
                  <c:v>1.00805274259297E-245</c:v>
                </c:pt>
                <c:pt idx="97">
                  <c:v>-1.25643580546653E-246</c:v>
                </c:pt>
                <c:pt idx="98">
                  <c:v>1.13439763726307E-247</c:v>
                </c:pt>
                <c:pt idx="99">
                  <c:v>-6.6037204563014904E-249</c:v>
                </c:pt>
              </c:numCache>
            </c:numRef>
          </c:yVal>
          <c:smooth val="0"/>
          <c:extLst>
            <c:ext xmlns:c16="http://schemas.microsoft.com/office/drawing/2014/chart" uri="{C3380CC4-5D6E-409C-BE32-E72D297353CC}">
              <c16:uniqueId val="{00000066-CF86-4C2E-BF49-1F263FBF5A1F}"/>
            </c:ext>
          </c:extLst>
        </c:ser>
        <c:ser>
          <c:idx val="103"/>
          <c:order val="103"/>
          <c:tx>
            <c:strRef>
              <c:f>dynamicR!$DI$19</c:f>
              <c:strCache>
                <c:ptCount val="1"/>
                <c:pt idx="0">
                  <c:v>sdMA</c:v>
                </c:pt>
              </c:strCache>
            </c:strRef>
          </c:tx>
          <c:spPr>
            <a:ln w="19050" cap="rnd">
              <a:solidFill>
                <a:schemeClr val="accent2">
                  <a:lumMod val="50000"/>
                  <a:lumOff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dynamicR!$DI$20:$DI$119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0.999999999999999</c:v>
                </c:pt>
                <c:pt idx="14">
                  <c:v>1</c:v>
                </c:pt>
                <c:pt idx="15">
                  <c:v>1</c:v>
                </c:pt>
                <c:pt idx="16">
                  <c:v>1</c:v>
                </c:pt>
                <c:pt idx="17">
                  <c:v>0.999999999999999</c:v>
                </c:pt>
                <c:pt idx="18">
                  <c:v>1</c:v>
                </c:pt>
                <c:pt idx="19">
                  <c:v>1</c:v>
                </c:pt>
                <c:pt idx="20">
                  <c:v>0.999999999999997</c:v>
                </c:pt>
                <c:pt idx="21">
                  <c:v>1</c:v>
                </c:pt>
                <c:pt idx="22">
                  <c:v>1</c:v>
                </c:pt>
                <c:pt idx="23">
                  <c:v>0.999999999999998</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6.44573826460824E-24</c:v>
                </c:pt>
                <c:pt idx="52">
                  <c:v>-1.1411841500908899E-27</c:v>
                </c:pt>
                <c:pt idx="53">
                  <c:v>-3.5497482328475001E-25</c:v>
                </c:pt>
                <c:pt idx="54">
                  <c:v>-2.6633475451561401E-23</c:v>
                </c:pt>
                <c:pt idx="55">
                  <c:v>1.45508292463986E-23</c:v>
                </c:pt>
                <c:pt idx="56">
                  <c:v>-4.9997824487938797E-23</c:v>
                </c:pt>
                <c:pt idx="57">
                  <c:v>1.4574200345610299E-23</c:v>
                </c:pt>
                <c:pt idx="58">
                  <c:v>-2.7305586223535399E-24</c:v>
                </c:pt>
                <c:pt idx="59">
                  <c:v>-1.66376558066565E-25</c:v>
                </c:pt>
                <c:pt idx="60">
                  <c:v>3.0867827929327798E-25</c:v>
                </c:pt>
                <c:pt idx="61">
                  <c:v>-1.4683397649656199E-25</c:v>
                </c:pt>
                <c:pt idx="62">
                  <c:v>-3.6526772026960297E-24</c:v>
                </c:pt>
                <c:pt idx="63">
                  <c:v>-2.8368142802406201E-24</c:v>
                </c:pt>
                <c:pt idx="64">
                  <c:v>2.2997453591071401E-24</c:v>
                </c:pt>
                <c:pt idx="65">
                  <c:v>5.2596599448033998E-25</c:v>
                </c:pt>
                <c:pt idx="66">
                  <c:v>-3.67430573646409E-24</c:v>
                </c:pt>
                <c:pt idx="67">
                  <c:v>1.1877032021159399E-24</c:v>
                </c:pt>
                <c:pt idx="68">
                  <c:v>4.0326910303259998E-24</c:v>
                </c:pt>
                <c:pt idx="69">
                  <c:v>-3.4543906193367196E-24</c:v>
                </c:pt>
                <c:pt idx="70">
                  <c:v>-3.2189381418501501E-24</c:v>
                </c:pt>
                <c:pt idx="71">
                  <c:v>5.8995861617887398E-24</c:v>
                </c:pt>
                <c:pt idx="72">
                  <c:v>9.80145667969978E-25</c:v>
                </c:pt>
                <c:pt idx="73">
                  <c:v>-7.7975854891402207E-24</c:v>
                </c:pt>
                <c:pt idx="74">
                  <c:v>2.7639087827389598E-24</c:v>
                </c:pt>
                <c:pt idx="75">
                  <c:v>7.9764960845541198E-24</c:v>
                </c:pt>
                <c:pt idx="76">
                  <c:v>-7.7059314833724305E-24</c:v>
                </c:pt>
                <c:pt idx="77">
                  <c:v>5.5239914320388999E-24</c:v>
                </c:pt>
                <c:pt idx="78">
                  <c:v>-2.15968031028775E-24</c:v>
                </c:pt>
                <c:pt idx="79">
                  <c:v>4.9970891818209502E-25</c:v>
                </c:pt>
                <c:pt idx="80">
                  <c:v>-4.7270450860015698E-26</c:v>
                </c:pt>
                <c:pt idx="81">
                  <c:v>-2.2174893065117299E-29</c:v>
                </c:pt>
                <c:pt idx="82">
                  <c:v>6.8847140130375899E-30</c:v>
                </c:pt>
                <c:pt idx="83">
                  <c:v>-1.46481155204042E-30</c:v>
                </c:pt>
                <c:pt idx="84">
                  <c:v>1.91808161765233E-31</c:v>
                </c:pt>
                <c:pt idx="85">
                  <c:v>-1.13653892525998E-32</c:v>
                </c:pt>
                <c:pt idx="86">
                  <c:v>-1.4451967307586701E-35</c:v>
                </c:pt>
                <c:pt idx="87">
                  <c:v>2.9791606442578399E-36</c:v>
                </c:pt>
                <c:pt idx="88">
                  <c:v>-4.3540456285996996E-37</c:v>
                </c:pt>
                <c:pt idx="89">
                  <c:v>4.0085424906995301E-38</c:v>
                </c:pt>
                <c:pt idx="90">
                  <c:v>-1.7172318635714601E-39</c:v>
                </c:pt>
                <c:pt idx="91">
                  <c:v>-5.1092611153711402E-42</c:v>
                </c:pt>
                <c:pt idx="92">
                  <c:v>7.9178360714910199E-43</c:v>
                </c:pt>
                <c:pt idx="93">
                  <c:v>-8.8241206849347699E-44</c:v>
                </c:pt>
                <c:pt idx="94">
                  <c:v>6.2672821930852406E-45</c:v>
                </c:pt>
                <c:pt idx="95">
                  <c:v>-2.0722609238864701E-46</c:v>
                </c:pt>
                <c:pt idx="96">
                  <c:v>-1.27705438557471E-48</c:v>
                </c:pt>
                <c:pt idx="97">
                  <c:v>1.5872407589741101E-49</c:v>
                </c:pt>
                <c:pt idx="98">
                  <c:v>-1.4295687326976701E-50</c:v>
                </c:pt>
                <c:pt idx="99">
                  <c:v>8.2422546637745405E-52</c:v>
                </c:pt>
              </c:numCache>
            </c:numRef>
          </c:yVal>
          <c:smooth val="0"/>
          <c:extLst>
            <c:ext xmlns:c16="http://schemas.microsoft.com/office/drawing/2014/chart" uri="{C3380CC4-5D6E-409C-BE32-E72D297353CC}">
              <c16:uniqueId val="{00000067-CF86-4C2E-BF49-1F263FBF5A1F}"/>
            </c:ext>
          </c:extLst>
        </c:ser>
        <c:ser>
          <c:idx val="104"/>
          <c:order val="104"/>
          <c:tx>
            <c:strRef>
              <c:f>dynamicR!$DJ$19</c:f>
              <c:strCache>
                <c:ptCount val="1"/>
                <c:pt idx="0">
                  <c:v>sdMP</c:v>
                </c:pt>
              </c:strCache>
            </c:strRef>
          </c:tx>
          <c:spPr>
            <a:ln w="19050" cap="rnd">
              <a:solidFill>
                <a:schemeClr val="accent3">
                  <a:lumMod val="50000"/>
                  <a:lumOff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dynamicR!$DJ$20:$DJ$119</c:f>
              <c:numCache>
                <c:formatCode>0.00</c:formatCode>
                <c:ptCount val="100"/>
                <c:pt idx="0">
                  <c:v>0</c:v>
                </c:pt>
                <c:pt idx="1">
                  <c:v>1</c:v>
                </c:pt>
                <c:pt idx="2">
                  <c:v>1</c:v>
                </c:pt>
                <c:pt idx="3">
                  <c:v>1</c:v>
                </c:pt>
                <c:pt idx="4">
                  <c:v>0.99999999999997302</c:v>
                </c:pt>
                <c:pt idx="5">
                  <c:v>1.0000000000000799</c:v>
                </c:pt>
                <c:pt idx="6">
                  <c:v>1.00000000000005</c:v>
                </c:pt>
                <c:pt idx="7">
                  <c:v>1.00000000000002</c:v>
                </c:pt>
                <c:pt idx="8">
                  <c:v>1</c:v>
                </c:pt>
                <c:pt idx="9">
                  <c:v>1.00000000000001</c:v>
                </c:pt>
                <c:pt idx="10">
                  <c:v>1.00000000000001</c:v>
                </c:pt>
                <c:pt idx="11">
                  <c:v>1.00000000000001</c:v>
                </c:pt>
                <c:pt idx="12">
                  <c:v>1.00000000000001</c:v>
                </c:pt>
                <c:pt idx="13">
                  <c:v>1.00000000000001</c:v>
                </c:pt>
                <c:pt idx="14">
                  <c:v>0.999999999999996</c:v>
                </c:pt>
                <c:pt idx="15">
                  <c:v>0.99999999999998901</c:v>
                </c:pt>
                <c:pt idx="16">
                  <c:v>1</c:v>
                </c:pt>
                <c:pt idx="17">
                  <c:v>1</c:v>
                </c:pt>
                <c:pt idx="18">
                  <c:v>0.99999999999998801</c:v>
                </c:pt>
                <c:pt idx="19">
                  <c:v>1.00000000000001</c:v>
                </c:pt>
                <c:pt idx="20">
                  <c:v>1.00000000000001</c:v>
                </c:pt>
                <c:pt idx="21">
                  <c:v>0.99999999999997502</c:v>
                </c:pt>
                <c:pt idx="22">
                  <c:v>0.999999999999995</c:v>
                </c:pt>
                <c:pt idx="23">
                  <c:v>1</c:v>
                </c:pt>
                <c:pt idx="24">
                  <c:v>0.999999999999997</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-1.06380863566495E-18</c:v>
                </c:pt>
                <c:pt idx="52">
                  <c:v>1.5429768501355399E-22</c:v>
                </c:pt>
                <c:pt idx="53">
                  <c:v>5.8779816906635901E-20</c:v>
                </c:pt>
                <c:pt idx="54">
                  <c:v>4.39996031856981E-18</c:v>
                </c:pt>
                <c:pt idx="55">
                  <c:v>-2.4037301275872399E-18</c:v>
                </c:pt>
                <c:pt idx="56">
                  <c:v>8.2595800024884795E-18</c:v>
                </c:pt>
                <c:pt idx="57">
                  <c:v>-2.4076404665477001E-18</c:v>
                </c:pt>
                <c:pt idx="58">
                  <c:v>4.5108610173050697E-19</c:v>
                </c:pt>
                <c:pt idx="59">
                  <c:v>2.7485275336702101E-20</c:v>
                </c:pt>
                <c:pt idx="60">
                  <c:v>-5.0993405952262703E-20</c:v>
                </c:pt>
                <c:pt idx="61">
                  <c:v>2.4256854379552599E-20</c:v>
                </c:pt>
                <c:pt idx="62">
                  <c:v>6.0341935700320404E-19</c:v>
                </c:pt>
                <c:pt idx="63">
                  <c:v>4.6863945334899902E-19</c:v>
                </c:pt>
                <c:pt idx="64">
                  <c:v>-3.7991609799066098E-19</c:v>
                </c:pt>
                <c:pt idx="65">
                  <c:v>-8.6889162022097404E-20</c:v>
                </c:pt>
                <c:pt idx="66">
                  <c:v>6.0699237443174098E-19</c:v>
                </c:pt>
                <c:pt idx="67">
                  <c:v>-1.96207621185336E-19</c:v>
                </c:pt>
                <c:pt idx="68">
                  <c:v>-6.6619733853959603E-19</c:v>
                </c:pt>
                <c:pt idx="69">
                  <c:v>5.7066257271728904E-19</c:v>
                </c:pt>
                <c:pt idx="70">
                  <c:v>5.3176601087506E-19</c:v>
                </c:pt>
                <c:pt idx="71">
                  <c:v>-9.7460692381634804E-19</c:v>
                </c:pt>
                <c:pt idx="72">
                  <c:v>-1.61919281684096E-19</c:v>
                </c:pt>
                <c:pt idx="73">
                  <c:v>1.28815489701514E-18</c:v>
                </c:pt>
                <c:pt idx="74">
                  <c:v>-4.5659552393583899E-19</c:v>
                </c:pt>
                <c:pt idx="75">
                  <c:v>-1.31771078441748E-18</c:v>
                </c:pt>
                <c:pt idx="76">
                  <c:v>1.27301372784832E-18</c:v>
                </c:pt>
                <c:pt idx="77">
                  <c:v>-9.1255897272669309E-19</c:v>
                </c:pt>
                <c:pt idx="78">
                  <c:v>3.56777461146066E-19</c:v>
                </c:pt>
                <c:pt idx="79">
                  <c:v>-8.2551512888037402E-20</c:v>
                </c:pt>
                <c:pt idx="80">
                  <c:v>7.8090399179575906E-21</c:v>
                </c:pt>
                <c:pt idx="81">
                  <c:v>3.66362704524551E-24</c:v>
                </c:pt>
                <c:pt idx="82">
                  <c:v>-1.1374586721097999E-24</c:v>
                </c:pt>
                <c:pt idx="83">
                  <c:v>2.4200897722758299E-25</c:v>
                </c:pt>
                <c:pt idx="84">
                  <c:v>-3.1689602989311298E-26</c:v>
                </c:pt>
                <c:pt idx="85">
                  <c:v>1.87773368604406E-27</c:v>
                </c:pt>
                <c:pt idx="86">
                  <c:v>2.38772907799993E-30</c:v>
                </c:pt>
                <c:pt idx="87">
                  <c:v>-4.9221199575664602E-31</c:v>
                </c:pt>
                <c:pt idx="88">
                  <c:v>7.1936821788447598E-32</c:v>
                </c:pt>
                <c:pt idx="89">
                  <c:v>-6.6228475592290304E-33</c:v>
                </c:pt>
                <c:pt idx="90">
                  <c:v>2.8371819158409101E-34</c:v>
                </c:pt>
                <c:pt idx="91">
                  <c:v>8.4414630338514197E-37</c:v>
                </c:pt>
                <c:pt idx="92">
                  <c:v>-1.30817539762442E-37</c:v>
                </c:pt>
                <c:pt idx="93">
                  <c:v>1.45791066075248E-38</c:v>
                </c:pt>
                <c:pt idx="94">
                  <c:v>-1.03547285246415E-39</c:v>
                </c:pt>
                <c:pt idx="95">
                  <c:v>3.4237648905306501E-41</c:v>
                </c:pt>
                <c:pt idx="96">
                  <c:v>2.1099293905526801E-43</c:v>
                </c:pt>
                <c:pt idx="97">
                  <c:v>-2.6224135340641798E-44</c:v>
                </c:pt>
                <c:pt idx="98">
                  <c:v>2.36191036307635E-45</c:v>
                </c:pt>
                <c:pt idx="99">
                  <c:v>-1.3617720463870401E-46</c:v>
                </c:pt>
              </c:numCache>
            </c:numRef>
          </c:yVal>
          <c:smooth val="0"/>
          <c:extLst>
            <c:ext xmlns:c16="http://schemas.microsoft.com/office/drawing/2014/chart" uri="{C3380CC4-5D6E-409C-BE32-E72D297353CC}">
              <c16:uniqueId val="{00000068-CF86-4C2E-BF49-1F263FBF5A1F}"/>
            </c:ext>
          </c:extLst>
        </c:ser>
        <c:ser>
          <c:idx val="105"/>
          <c:order val="105"/>
          <c:tx>
            <c:strRef>
              <c:f>dynamicR!$DK$19</c:f>
              <c:strCache>
                <c:ptCount val="1"/>
                <c:pt idx="0">
                  <c:v>sMD</c:v>
                </c:pt>
              </c:strCache>
            </c:strRef>
          </c:tx>
          <c:spPr>
            <a:ln w="19050" cap="rnd">
              <a:solidFill>
                <a:schemeClr val="accent4">
                  <a:lumMod val="50000"/>
                  <a:lumOff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dynamicR!$DK$20:$DK$119</c:f>
              <c:numCache>
                <c:formatCode>0.00</c:formatCode>
                <c:ptCount val="100"/>
                <c:pt idx="0">
                  <c:v>0</c:v>
                </c:pt>
                <c:pt idx="1">
                  <c:v>0.99999999999959299</c:v>
                </c:pt>
                <c:pt idx="2">
                  <c:v>0.99999999999959699</c:v>
                </c:pt>
                <c:pt idx="3">
                  <c:v>0.99999999999960199</c:v>
                </c:pt>
                <c:pt idx="4">
                  <c:v>0.99999999999961597</c:v>
                </c:pt>
                <c:pt idx="5">
                  <c:v>0.99999999999962497</c:v>
                </c:pt>
                <c:pt idx="6">
                  <c:v>0.99999999999963296</c:v>
                </c:pt>
                <c:pt idx="7">
                  <c:v>0.99999999999963995</c:v>
                </c:pt>
                <c:pt idx="8">
                  <c:v>0.99999999999964695</c:v>
                </c:pt>
                <c:pt idx="9">
                  <c:v>0.99999999999965405</c:v>
                </c:pt>
                <c:pt idx="10">
                  <c:v>0.99999999999966105</c:v>
                </c:pt>
                <c:pt idx="11">
                  <c:v>0.99999999999966804</c:v>
                </c:pt>
                <c:pt idx="12">
                  <c:v>0.99999999999967504</c:v>
                </c:pt>
                <c:pt idx="13">
                  <c:v>0.99999999999968103</c:v>
                </c:pt>
                <c:pt idx="14">
                  <c:v>0.99999999999968803</c:v>
                </c:pt>
                <c:pt idx="15">
                  <c:v>0.99999999999969402</c:v>
                </c:pt>
                <c:pt idx="16">
                  <c:v>0.99999999999969902</c:v>
                </c:pt>
                <c:pt idx="17">
                  <c:v>0.99999999999970601</c:v>
                </c:pt>
                <c:pt idx="18">
                  <c:v>0.99999999999971301</c:v>
                </c:pt>
                <c:pt idx="19">
                  <c:v>0.999999999999716</c:v>
                </c:pt>
                <c:pt idx="20">
                  <c:v>0.999999999999722</c:v>
                </c:pt>
                <c:pt idx="21">
                  <c:v>0.99999999999973099</c:v>
                </c:pt>
                <c:pt idx="22">
                  <c:v>0.99999999999973399</c:v>
                </c:pt>
                <c:pt idx="23">
                  <c:v>0.99999999999973899</c:v>
                </c:pt>
                <c:pt idx="24">
                  <c:v>0.99999999999974498</c:v>
                </c:pt>
                <c:pt idx="25">
                  <c:v>0.99999999999974898</c:v>
                </c:pt>
                <c:pt idx="26">
                  <c:v>0.99999999999975497</c:v>
                </c:pt>
                <c:pt idx="27">
                  <c:v>0.99999999999975997</c:v>
                </c:pt>
                <c:pt idx="28">
                  <c:v>0.99999999999976497</c:v>
                </c:pt>
                <c:pt idx="29">
                  <c:v>0.99999999999976896</c:v>
                </c:pt>
                <c:pt idx="30">
                  <c:v>0.99999999999977396</c:v>
                </c:pt>
                <c:pt idx="31">
                  <c:v>0.99999999999977895</c:v>
                </c:pt>
                <c:pt idx="32">
                  <c:v>0.99999999999978295</c:v>
                </c:pt>
                <c:pt idx="33">
                  <c:v>0.99999999999978695</c:v>
                </c:pt>
                <c:pt idx="34">
                  <c:v>0.99999999999979206</c:v>
                </c:pt>
                <c:pt idx="35">
                  <c:v>0.99999999999979505</c:v>
                </c:pt>
                <c:pt idx="36">
                  <c:v>0.99999999999980005</c:v>
                </c:pt>
                <c:pt idx="37">
                  <c:v>0.99999999999980305</c:v>
                </c:pt>
                <c:pt idx="38">
                  <c:v>0.99999999999980804</c:v>
                </c:pt>
                <c:pt idx="39">
                  <c:v>0.99999999999981204</c:v>
                </c:pt>
                <c:pt idx="40">
                  <c:v>0.99999999999981504</c:v>
                </c:pt>
                <c:pt idx="41">
                  <c:v>0.99999999999981903</c:v>
                </c:pt>
                <c:pt idx="42">
                  <c:v>0.99999999999982203</c:v>
                </c:pt>
                <c:pt idx="43">
                  <c:v>0.99999999999982603</c:v>
                </c:pt>
                <c:pt idx="44">
                  <c:v>0.99999999999983002</c:v>
                </c:pt>
                <c:pt idx="45">
                  <c:v>0.99999999999983302</c:v>
                </c:pt>
                <c:pt idx="46">
                  <c:v>0.99999999999983602</c:v>
                </c:pt>
                <c:pt idx="47">
                  <c:v>0.99999999999984002</c:v>
                </c:pt>
                <c:pt idx="48">
                  <c:v>0.99999999999984301</c:v>
                </c:pt>
                <c:pt idx="49">
                  <c:v>0.99999999999984601</c:v>
                </c:pt>
                <c:pt idx="50">
                  <c:v>0.99999999999984601</c:v>
                </c:pt>
                <c:pt idx="51">
                  <c:v>2.5535115287395202E-13</c:v>
                </c:pt>
                <c:pt idx="52">
                  <c:v>2.5024643223509398E-13</c:v>
                </c:pt>
                <c:pt idx="53">
                  <c:v>2.4524393009405E-13</c:v>
                </c:pt>
                <c:pt idx="54">
                  <c:v>2.4034153642309101E-13</c:v>
                </c:pt>
                <c:pt idx="55">
                  <c:v>2.3553712096461698E-13</c:v>
                </c:pt>
                <c:pt idx="56">
                  <c:v>2.3082872170407902E-13</c:v>
                </c:pt>
                <c:pt idx="57">
                  <c:v>2.2621443494265001E-13</c:v>
                </c:pt>
                <c:pt idx="58">
                  <c:v>2.21692386352022E-13</c:v>
                </c:pt>
                <c:pt idx="59">
                  <c:v>2.1726073447952601E-13</c:v>
                </c:pt>
                <c:pt idx="60">
                  <c:v>2.12917669247557E-13</c:v>
                </c:pt>
                <c:pt idx="61">
                  <c:v>2.08661416509217E-13</c:v>
                </c:pt>
                <c:pt idx="62">
                  <c:v>2.0449024402550699E-13</c:v>
                </c:pt>
                <c:pt idx="63">
                  <c:v>2.0040245483518901E-13</c:v>
                </c:pt>
                <c:pt idx="64">
                  <c:v>1.96396382751727E-13</c:v>
                </c:pt>
                <c:pt idx="65">
                  <c:v>1.9247039324040099E-13</c:v>
                </c:pt>
                <c:pt idx="66">
                  <c:v>1.8862288464355499E-13</c:v>
                </c:pt>
                <c:pt idx="67">
                  <c:v>1.8485228798765E-13</c:v>
                </c:pt>
                <c:pt idx="68">
                  <c:v>1.8115706596776999E-13</c:v>
                </c:pt>
                <c:pt idx="69">
                  <c:v>1.77535711966554E-13</c:v>
                </c:pt>
                <c:pt idx="70">
                  <c:v>1.73986749366137E-13</c:v>
                </c:pt>
                <c:pt idx="71">
                  <c:v>1.70508731017946E-13</c:v>
                </c:pt>
                <c:pt idx="72">
                  <c:v>1.67100238713719E-13</c:v>
                </c:pt>
                <c:pt idx="73">
                  <c:v>1.63759882616968E-13</c:v>
                </c:pt>
                <c:pt idx="74">
                  <c:v>1.60486300682746E-13</c:v>
                </c:pt>
                <c:pt idx="75">
                  <c:v>1.5727815811633899E-13</c:v>
                </c:pt>
                <c:pt idx="76">
                  <c:v>1.5413414682554801E-13</c:v>
                </c:pt>
                <c:pt idx="77">
                  <c:v>1.5105298479615199E-13</c:v>
                </c:pt>
                <c:pt idx="78">
                  <c:v>1.4803341559557499E-13</c:v>
                </c:pt>
                <c:pt idx="79">
                  <c:v>1.4507420794513999E-13</c:v>
                </c:pt>
                <c:pt idx="80">
                  <c:v>1.4217415523136501E-13</c:v>
                </c:pt>
                <c:pt idx="81">
                  <c:v>1.3933207496616901E-13</c:v>
                </c:pt>
                <c:pt idx="82">
                  <c:v>1.36546808274345E-13</c:v>
                </c:pt>
                <c:pt idx="83">
                  <c:v>1.3381721943315E-13</c:v>
                </c:pt>
                <c:pt idx="84">
                  <c:v>1.31142195429401E-13</c:v>
                </c:pt>
                <c:pt idx="85">
                  <c:v>1.28520645508841E-13</c:v>
                </c:pt>
                <c:pt idx="86">
                  <c:v>1.25951500721788E-13</c:v>
                </c:pt>
                <c:pt idx="87">
                  <c:v>1.23433713482527E-13</c:v>
                </c:pt>
                <c:pt idx="88">
                  <c:v>1.2096625714461799E-13</c:v>
                </c:pt>
                <c:pt idx="89">
                  <c:v>1.18548125585767E-13</c:v>
                </c:pt>
                <c:pt idx="90">
                  <c:v>1.1617833279783399E-13</c:v>
                </c:pt>
                <c:pt idx="91">
                  <c:v>1.13855912483134E-13</c:v>
                </c:pt>
                <c:pt idx="92">
                  <c:v>1.11579917659622E-13</c:v>
                </c:pt>
                <c:pt idx="93">
                  <c:v>1.09349420275035E-13</c:v>
                </c:pt>
                <c:pt idx="94">
                  <c:v>1.07163510829478E-13</c:v>
                </c:pt>
                <c:pt idx="95">
                  <c:v>1.0502129800429201E-13</c:v>
                </c:pt>
                <c:pt idx="96">
                  <c:v>1.02921908298311E-13</c:v>
                </c:pt>
                <c:pt idx="97">
                  <c:v>1.00864485671592E-13</c:v>
                </c:pt>
                <c:pt idx="98">
                  <c:v>9.8848191196688703E-14</c:v>
                </c:pt>
                <c:pt idx="99">
                  <c:v>9.6872202716336406E-14</c:v>
                </c:pt>
              </c:numCache>
            </c:numRef>
          </c:yVal>
          <c:smooth val="0"/>
          <c:extLst>
            <c:ext xmlns:c16="http://schemas.microsoft.com/office/drawing/2014/chart" uri="{C3380CC4-5D6E-409C-BE32-E72D297353CC}">
              <c16:uniqueId val="{00000069-CF86-4C2E-BF49-1F263FBF5A1F}"/>
            </c:ext>
          </c:extLst>
        </c:ser>
        <c:ser>
          <c:idx val="106"/>
          <c:order val="106"/>
          <c:tx>
            <c:strRef>
              <c:f>dynamicR!$DL$19</c:f>
              <c:strCache>
                <c:ptCount val="1"/>
                <c:pt idx="0">
                  <c:v>sMS</c:v>
                </c:pt>
              </c:strCache>
            </c:strRef>
          </c:tx>
          <c:spPr>
            <a:ln w="19050" cap="rnd">
              <a:solidFill>
                <a:schemeClr val="accent5">
                  <a:lumMod val="50000"/>
                  <a:lumOff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dynamicR!$DL$20:$DL$119</c:f>
              <c:numCache>
                <c:formatCode>0.00</c:formatCode>
                <c:ptCount val="100"/>
                <c:pt idx="0">
                  <c:v>0</c:v>
                </c:pt>
                <c:pt idx="1">
                  <c:v>1</c:v>
                </c:pt>
                <c:pt idx="2">
                  <c:v>0.999999999999997</c:v>
                </c:pt>
                <c:pt idx="3">
                  <c:v>0.999999999999995</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-1.6451462991896301E-213</c:v>
                </c:pt>
                <c:pt idx="52">
                  <c:v>3.9631594789598601E-215</c:v>
                </c:pt>
                <c:pt idx="53">
                  <c:v>-1.34226596776695E-214</c:v>
                </c:pt>
                <c:pt idx="54">
                  <c:v>1.7650408880100501E-213</c:v>
                </c:pt>
                <c:pt idx="55">
                  <c:v>-1.1111380891179401E-213</c:v>
                </c:pt>
                <c:pt idx="56">
                  <c:v>3.6224987105484399E-213</c:v>
                </c:pt>
                <c:pt idx="57">
                  <c:v>-1.0556849441516399E-213</c:v>
                </c:pt>
                <c:pt idx="58">
                  <c:v>1.9654271516082E-214</c:v>
                </c:pt>
                <c:pt idx="59">
                  <c:v>1.1971351508587101E-215</c:v>
                </c:pt>
                <c:pt idx="60">
                  <c:v>-2.2213988634132799E-215</c:v>
                </c:pt>
                <c:pt idx="61">
                  <c:v>1.05742537005169E-215</c:v>
                </c:pt>
                <c:pt idx="62">
                  <c:v>2.6290260340185801E-214</c:v>
                </c:pt>
                <c:pt idx="63">
                  <c:v>2.0418234054401999E-214</c:v>
                </c:pt>
                <c:pt idx="64">
                  <c:v>-1.6551965520629999E-214</c:v>
                </c:pt>
                <c:pt idx="65">
                  <c:v>-3.78577188057156E-215</c:v>
                </c:pt>
                <c:pt idx="66">
                  <c:v>2.64455112028341E-214</c:v>
                </c:pt>
                <c:pt idx="67">
                  <c:v>-8.5482335346528603E-215</c:v>
                </c:pt>
                <c:pt idx="68">
                  <c:v>-2.90251130747448E-214</c:v>
                </c:pt>
                <c:pt idx="69">
                  <c:v>2.4862651823375702E-214</c:v>
                </c:pt>
                <c:pt idx="70">
                  <c:v>2.3168248649193198E-214</c:v>
                </c:pt>
                <c:pt idx="71">
                  <c:v>-4.2461966376632604E-214</c:v>
                </c:pt>
                <c:pt idx="72">
                  <c:v>-7.05461842477315E-215</c:v>
                </c:pt>
                <c:pt idx="73">
                  <c:v>5.6122882396831897E-214</c:v>
                </c:pt>
                <c:pt idx="74">
                  <c:v>-1.9893225743823401E-214</c:v>
                </c:pt>
                <c:pt idx="75">
                  <c:v>-5.7410646048563802E-214</c:v>
                </c:pt>
                <c:pt idx="76">
                  <c:v>5.5463450721229803E-214</c:v>
                </c:pt>
                <c:pt idx="77">
                  <c:v>-3.97593494751266E-214</c:v>
                </c:pt>
                <c:pt idx="78">
                  <c:v>1.55450163126019E-214</c:v>
                </c:pt>
                <c:pt idx="79">
                  <c:v>-3.5972701327122301E-215</c:v>
                </c:pt>
                <c:pt idx="80">
                  <c:v>3.40595249088818E-216</c:v>
                </c:pt>
                <c:pt idx="81">
                  <c:v>1.81835182255056E-221</c:v>
                </c:pt>
                <c:pt idx="82">
                  <c:v>-5.6457772186258703E-222</c:v>
                </c:pt>
                <c:pt idx="83">
                  <c:v>1.20138169609651E-222</c:v>
                </c:pt>
                <c:pt idx="84">
                  <c:v>-1.5739909371167799E-223</c:v>
                </c:pt>
                <c:pt idx="85">
                  <c:v>9.3618852288434701E-225</c:v>
                </c:pt>
                <c:pt idx="86">
                  <c:v>2.12430214991601E-229</c:v>
                </c:pt>
                <c:pt idx="87">
                  <c:v>-4.4014357746160101E-230</c:v>
                </c:pt>
                <c:pt idx="88">
                  <c:v>6.4355294912264801E-231</c:v>
                </c:pt>
                <c:pt idx="89">
                  <c:v>-5.9349842251817297E-232</c:v>
                </c:pt>
                <c:pt idx="90">
                  <c:v>2.57285082563845E-233</c:v>
                </c:pt>
                <c:pt idx="91">
                  <c:v>1.6726023218716499E-237</c:v>
                </c:pt>
                <c:pt idx="92">
                  <c:v>-2.6051416206372299E-238</c:v>
                </c:pt>
                <c:pt idx="93">
                  <c:v>2.9065650181119299E-239</c:v>
                </c:pt>
                <c:pt idx="94">
                  <c:v>-2.0733855805629201E-240</c:v>
                </c:pt>
                <c:pt idx="95">
                  <c:v>7.0681687960858898E-242</c:v>
                </c:pt>
                <c:pt idx="96">
                  <c:v>1.0555045010863E-245</c:v>
                </c:pt>
                <c:pt idx="97">
                  <c:v>-1.31533129954104E-246</c:v>
                </c:pt>
                <c:pt idx="98">
                  <c:v>1.18757169814827E-247</c:v>
                </c:pt>
                <c:pt idx="99">
                  <c:v>-6.9132533352374603E-249</c:v>
                </c:pt>
              </c:numCache>
            </c:numRef>
          </c:yVal>
          <c:smooth val="0"/>
          <c:extLst>
            <c:ext xmlns:c16="http://schemas.microsoft.com/office/drawing/2014/chart" uri="{C3380CC4-5D6E-409C-BE32-E72D297353CC}">
              <c16:uniqueId val="{0000006A-CF86-4C2E-BF49-1F263FBF5A1F}"/>
            </c:ext>
          </c:extLst>
        </c:ser>
        <c:ser>
          <c:idx val="107"/>
          <c:order val="107"/>
          <c:tx>
            <c:strRef>
              <c:f>dynamicR!$DM$19</c:f>
              <c:strCache>
                <c:ptCount val="1"/>
                <c:pt idx="0">
                  <c:v>sMA</c:v>
                </c:pt>
              </c:strCache>
            </c:strRef>
          </c:tx>
          <c:spPr>
            <a:ln w="19050" cap="rnd">
              <a:solidFill>
                <a:schemeClr val="accent6">
                  <a:lumMod val="50000"/>
                  <a:lumOff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dynamicR!$DM$20:$DM$119</c:f>
              <c:numCache>
                <c:formatCode>0.00</c:formatCode>
                <c:ptCount val="100"/>
                <c:pt idx="0">
                  <c:v>0</c:v>
                </c:pt>
                <c:pt idx="1">
                  <c:v>1</c:v>
                </c:pt>
                <c:pt idx="2">
                  <c:v>0.999999999999995</c:v>
                </c:pt>
                <c:pt idx="3">
                  <c:v>0.99999999999999301</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0.999999999999999</c:v>
                </c:pt>
                <c:pt idx="21">
                  <c:v>1</c:v>
                </c:pt>
                <c:pt idx="22">
                  <c:v>1</c:v>
                </c:pt>
                <c:pt idx="23">
                  <c:v>0.999999999999999</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-2.5278142548720802E-93</c:v>
                </c:pt>
                <c:pt idx="52">
                  <c:v>6.0895471173519795E-95</c:v>
                </c:pt>
                <c:pt idx="53">
                  <c:v>-2.06240275538868E-94</c:v>
                </c:pt>
                <c:pt idx="54">
                  <c:v>2.71203708682335E-93</c:v>
                </c:pt>
                <c:pt idx="55">
                  <c:v>-1.7072916513212299E-93</c:v>
                </c:pt>
                <c:pt idx="56">
                  <c:v>5.5660582165731297E-93</c:v>
                </c:pt>
                <c:pt idx="57">
                  <c:v>-1.62208023847251E-93</c:v>
                </c:pt>
                <c:pt idx="58">
                  <c:v>3.0198849147915701E-94</c:v>
                </c:pt>
                <c:pt idx="59">
                  <c:v>1.8395771021946501E-95</c:v>
                </c:pt>
                <c:pt idx="60">
                  <c:v>-3.4133652876773702E-95</c:v>
                </c:pt>
                <c:pt idx="61">
                  <c:v>1.62451903411963E-95</c:v>
                </c:pt>
                <c:pt idx="62">
                  <c:v>4.0395612331911402E-94</c:v>
                </c:pt>
                <c:pt idx="63">
                  <c:v>3.1373032502380802E-94</c:v>
                </c:pt>
                <c:pt idx="64">
                  <c:v>-2.5432706437085602E-94</c:v>
                </c:pt>
                <c:pt idx="65">
                  <c:v>-5.8168813271935603E-95</c:v>
                </c:pt>
                <c:pt idx="66">
                  <c:v>4.06343328473643E-94</c:v>
                </c:pt>
                <c:pt idx="67">
                  <c:v>-1.3134688135349601E-94</c:v>
                </c:pt>
                <c:pt idx="68">
                  <c:v>-4.4597906320312402E-94</c:v>
                </c:pt>
                <c:pt idx="69">
                  <c:v>3.8202237876107302E-94</c:v>
                </c:pt>
                <c:pt idx="70">
                  <c:v>3.5598632981768699E-94</c:v>
                </c:pt>
                <c:pt idx="71">
                  <c:v>-6.52440290534444E-94</c:v>
                </c:pt>
                <c:pt idx="72">
                  <c:v>-1.0839592932234001E-94</c:v>
                </c:pt>
                <c:pt idx="73">
                  <c:v>8.62343503007897E-94</c:v>
                </c:pt>
                <c:pt idx="74">
                  <c:v>-3.05664581376111E-94</c:v>
                </c:pt>
                <c:pt idx="75">
                  <c:v>-8.8213008309897995E-94</c:v>
                </c:pt>
                <c:pt idx="76">
                  <c:v>8.5221018463942E-94</c:v>
                </c:pt>
                <c:pt idx="77">
                  <c:v>-6.1091093158177101E-94</c:v>
                </c:pt>
                <c:pt idx="78">
                  <c:v>2.38850252753737E-94</c:v>
                </c:pt>
                <c:pt idx="79">
                  <c:v>-5.5270467784730198E-95</c:v>
                </c:pt>
                <c:pt idx="80">
                  <c:v>5.2318353855344203E-96</c:v>
                </c:pt>
                <c:pt idx="81">
                  <c:v>6.7387807281798797E-100</c:v>
                </c:pt>
                <c:pt idx="82">
                  <c:v>-2.0922714356189599E-100</c:v>
                </c:pt>
                <c:pt idx="83">
                  <c:v>4.4519390133609303E-101</c:v>
                </c:pt>
                <c:pt idx="84">
                  <c:v>-5.8313662588949298E-102</c:v>
                </c:pt>
                <c:pt idx="85">
                  <c:v>3.4628615778160101E-103</c:v>
                </c:pt>
                <c:pt idx="86">
                  <c:v>1.9081326915331001E-106</c:v>
                </c:pt>
                <c:pt idx="87">
                  <c:v>-3.93378563703918E-107</c:v>
                </c:pt>
                <c:pt idx="88">
                  <c:v>5.7504279062640297E-108</c:v>
                </c:pt>
                <c:pt idx="89">
                  <c:v>-5.2984063185912601E-109</c:v>
                </c:pt>
                <c:pt idx="90">
                  <c:v>2.28264433989095E-110</c:v>
                </c:pt>
                <c:pt idx="91">
                  <c:v>3.6222727218861103E-113</c:v>
                </c:pt>
                <c:pt idx="92">
                  <c:v>-5.6143333138516697E-114</c:v>
                </c:pt>
                <c:pt idx="93">
                  <c:v>6.2597681633435903E-115</c:v>
                </c:pt>
                <c:pt idx="94">
                  <c:v>-4.45379737807133E-116</c:v>
                </c:pt>
                <c:pt idx="95">
                  <c:v>1.49110859992415E-117</c:v>
                </c:pt>
                <c:pt idx="96">
                  <c:v>5.49614929356615E-120</c:v>
                </c:pt>
                <c:pt idx="97">
                  <c:v>-6.8331467847362498E-121</c:v>
                </c:pt>
                <c:pt idx="98">
                  <c:v>6.1596775437148805E-122</c:v>
                </c:pt>
                <c:pt idx="99">
                  <c:v>-3.5635336802094499E-123</c:v>
                </c:pt>
              </c:numCache>
            </c:numRef>
          </c:yVal>
          <c:smooth val="0"/>
          <c:extLst>
            <c:ext xmlns:c16="http://schemas.microsoft.com/office/drawing/2014/chart" uri="{C3380CC4-5D6E-409C-BE32-E72D297353CC}">
              <c16:uniqueId val="{0000006B-CF86-4C2E-BF49-1F263FBF5A1F}"/>
            </c:ext>
          </c:extLst>
        </c:ser>
        <c:ser>
          <c:idx val="108"/>
          <c:order val="108"/>
          <c:tx>
            <c:strRef>
              <c:f>dynamicR!$DN$19</c:f>
              <c:strCache>
                <c:ptCount val="1"/>
                <c:pt idx="0">
                  <c:v>sMP</c:v>
                </c:pt>
              </c:strCache>
            </c:strRef>
          </c:tx>
          <c:spPr>
            <a:ln w="19050" cap="rnd">
              <a:solidFill>
                <a:schemeClr val="accent1"/>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dynamicR!$DN$20:$DN$119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2.1249511254295102E-89</c:v>
                </c:pt>
                <c:pt idx="52">
                  <c:v>-5.1190479945554497E-91</c:v>
                </c:pt>
                <c:pt idx="53">
                  <c:v>1.7337098633958799E-90</c:v>
                </c:pt>
                <c:pt idx="54">
                  <c:v>-2.2798141474312399E-89</c:v>
                </c:pt>
                <c:pt idx="55">
                  <c:v>1.43519648793954E-89</c:v>
                </c:pt>
                <c:pt idx="56">
                  <c:v>-4.6789818950807201E-89</c:v>
                </c:pt>
                <c:pt idx="57">
                  <c:v>1.36356464341931E-89</c:v>
                </c:pt>
                <c:pt idx="58">
                  <c:v>-2.53859321460364E-90</c:v>
                </c:pt>
                <c:pt idx="59">
                  <c:v>-1.5464178177665899E-91</c:v>
                </c:pt>
                <c:pt idx="60">
                  <c:v>2.8693852670932198E-91</c:v>
                </c:pt>
                <c:pt idx="61">
                  <c:v>-1.3655854501725101E-91</c:v>
                </c:pt>
                <c:pt idx="62">
                  <c:v>-3.3957662454834801E-90</c:v>
                </c:pt>
                <c:pt idx="63">
                  <c:v>-2.6373024881726702E-90</c:v>
                </c:pt>
                <c:pt idx="64">
                  <c:v>2.1379459288322699E-90</c:v>
                </c:pt>
                <c:pt idx="65">
                  <c:v>4.8898244718518302E-91</c:v>
                </c:pt>
                <c:pt idx="66">
                  <c:v>-3.41583591322016E-90</c:v>
                </c:pt>
                <c:pt idx="67">
                  <c:v>1.10413953585377E-90</c:v>
                </c:pt>
                <c:pt idx="68">
                  <c:v>3.7490242205207998E-90</c:v>
                </c:pt>
                <c:pt idx="69">
                  <c:v>-3.2113874001785799E-90</c:v>
                </c:pt>
                <c:pt idx="70">
                  <c:v>-2.9925197945835299E-90</c:v>
                </c:pt>
                <c:pt idx="71">
                  <c:v>5.4845950255044103E-90</c:v>
                </c:pt>
                <c:pt idx="72">
                  <c:v>9.1120602898979999E-91</c:v>
                </c:pt>
                <c:pt idx="73">
                  <c:v>-7.2490991179263901E-90</c:v>
                </c:pt>
                <c:pt idx="74">
                  <c:v>2.5695010415916101E-90</c:v>
                </c:pt>
                <c:pt idx="75">
                  <c:v>7.4154302822286403E-90</c:v>
                </c:pt>
                <c:pt idx="76">
                  <c:v>-7.1639144204747403E-90</c:v>
                </c:pt>
                <c:pt idx="77">
                  <c:v>5.1354840729119802E-90</c:v>
                </c:pt>
                <c:pt idx="78">
                  <c:v>-2.0078376221114702E-90</c:v>
                </c:pt>
                <c:pt idx="79">
                  <c:v>4.6461570367498101E-91</c:v>
                </c:pt>
                <c:pt idx="80">
                  <c:v>-4.3978389201932798E-92</c:v>
                </c:pt>
                <c:pt idx="81">
                  <c:v>-6.4690791180313797E-96</c:v>
                </c:pt>
                <c:pt idx="82">
                  <c:v>2.0085276742073302E-96</c:v>
                </c:pt>
                <c:pt idx="83">
                  <c:v>-4.2737110046755897E-97</c:v>
                </c:pt>
                <c:pt idx="84">
                  <c:v>5.5977237895156297E-98</c:v>
                </c:pt>
                <c:pt idx="85">
                  <c:v>-3.3233270310521402E-99</c:v>
                </c:pt>
                <c:pt idx="86">
                  <c:v>-2.0918355512253099E-102</c:v>
                </c:pt>
                <c:pt idx="87">
                  <c:v>4.3124280268307798E-103</c:v>
                </c:pt>
                <c:pt idx="88">
                  <c:v>-6.3037133790258306E-104</c:v>
                </c:pt>
                <c:pt idx="89">
                  <c:v>5.8074265251953702E-105</c:v>
                </c:pt>
                <c:pt idx="90">
                  <c:v>-2.4996236499337599E-106</c:v>
                </c:pt>
                <c:pt idx="91">
                  <c:v>-4.5347080377214098E-109</c:v>
                </c:pt>
                <c:pt idx="92">
                  <c:v>7.0282975806278302E-110</c:v>
                </c:pt>
                <c:pt idx="93">
                  <c:v>-7.8355129206489598E-111</c:v>
                </c:pt>
                <c:pt idx="94">
                  <c:v>5.5727841244600803E-112</c:v>
                </c:pt>
                <c:pt idx="95">
                  <c:v>-1.8606810910515501E-113</c:v>
                </c:pt>
                <c:pt idx="96">
                  <c:v>-7.8571940014386703E-116</c:v>
                </c:pt>
                <c:pt idx="97">
                  <c:v>9.7677388363175502E-117</c:v>
                </c:pt>
                <c:pt idx="98">
                  <c:v>-8.8029720459988097E-118</c:v>
                </c:pt>
                <c:pt idx="99">
                  <c:v>5.0880337343467998E-119</c:v>
                </c:pt>
              </c:numCache>
            </c:numRef>
          </c:yVal>
          <c:smooth val="0"/>
          <c:extLst>
            <c:ext xmlns:c16="http://schemas.microsoft.com/office/drawing/2014/chart" uri="{C3380CC4-5D6E-409C-BE32-E72D297353CC}">
              <c16:uniqueId val="{0000006C-CF86-4C2E-BF49-1F263FBF5A1F}"/>
            </c:ext>
          </c:extLst>
        </c:ser>
        <c:ser>
          <c:idx val="109"/>
          <c:order val="109"/>
          <c:tx>
            <c:strRef>
              <c:f>dynamicR!$DO$19</c:f>
              <c:strCache>
                <c:ptCount val="1"/>
                <c:pt idx="0">
                  <c:v>aAG</c:v>
                </c:pt>
              </c:strCache>
            </c:strRef>
          </c:tx>
          <c:spPr>
            <a:ln w="19050" cap="rnd">
              <a:solidFill>
                <a:schemeClr val="accent2"/>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dynamicR!$DO$20:$DO$119</c:f>
              <c:numCache>
                <c:formatCode>0.00</c:formatCode>
                <c:ptCount val="100"/>
                <c:pt idx="0">
                  <c:v>0</c:v>
                </c:pt>
                <c:pt idx="1">
                  <c:v>1.9997824461962001E-2</c:v>
                </c:pt>
                <c:pt idx="2">
                  <c:v>3.95881958601038E-2</c:v>
                </c:pt>
                <c:pt idx="3">
                  <c:v>5.8786952439302299E-2</c:v>
                </c:pt>
                <c:pt idx="4">
                  <c:v>7.7601928222683303E-2</c:v>
                </c:pt>
                <c:pt idx="5">
                  <c:v>9.6040791785427307E-2</c:v>
                </c:pt>
                <c:pt idx="6">
                  <c:v>0.114111058696531</c:v>
                </c:pt>
                <c:pt idx="7">
                  <c:v>0.13182009708228801</c:v>
                </c:pt>
                <c:pt idx="8">
                  <c:v>0.14917512894865301</c:v>
                </c:pt>
                <c:pt idx="9">
                  <c:v>0.166183231583937</c:v>
                </c:pt>
                <c:pt idx="10">
                  <c:v>0.18285134020614099</c:v>
                </c:pt>
                <c:pt idx="11">
                  <c:v>0.199186251169855</c:v>
                </c:pt>
                <c:pt idx="12">
                  <c:v>0.215194624964165</c:v>
                </c:pt>
                <c:pt idx="13">
                  <c:v>0.23088298881973199</c:v>
                </c:pt>
                <c:pt idx="14">
                  <c:v>0.24625773983806001</c:v>
                </c:pt>
                <c:pt idx="15">
                  <c:v>0.26132514754442199</c:v>
                </c:pt>
                <c:pt idx="16">
                  <c:v>0.27609135598253498</c:v>
                </c:pt>
                <c:pt idx="17">
                  <c:v>0.29056238607172202</c:v>
                </c:pt>
                <c:pt idx="18">
                  <c:v>0.30474413830816999</c:v>
                </c:pt>
                <c:pt idx="19">
                  <c:v>0.31864239536586098</c:v>
                </c:pt>
                <c:pt idx="20">
                  <c:v>0.33226282441336702</c:v>
                </c:pt>
                <c:pt idx="21">
                  <c:v>0.34561097930752599</c:v>
                </c:pt>
                <c:pt idx="22">
                  <c:v>0.35869230282713299</c:v>
                </c:pt>
                <c:pt idx="23">
                  <c:v>0.37151212894048302</c:v>
                </c:pt>
                <c:pt idx="24">
                  <c:v>0.38407568501357903</c:v>
                </c:pt>
                <c:pt idx="25">
                  <c:v>0.39638809393108099</c:v>
                </c:pt>
                <c:pt idx="26">
                  <c:v>0.40845437616373098</c:v>
                </c:pt>
                <c:pt idx="27">
                  <c:v>0.42027945181318499</c:v>
                </c:pt>
                <c:pt idx="28">
                  <c:v>0.43186814262717899</c:v>
                </c:pt>
                <c:pt idx="29">
                  <c:v>0.44322517396905797</c:v>
                </c:pt>
                <c:pt idx="30">
                  <c:v>0.45435517674509301</c:v>
                </c:pt>
                <c:pt idx="31">
                  <c:v>0.46526268928789699</c:v>
                </c:pt>
                <c:pt idx="32">
                  <c:v>0.47595215920565698</c:v>
                </c:pt>
                <c:pt idx="33">
                  <c:v>0.48642794519786098</c:v>
                </c:pt>
                <c:pt idx="34">
                  <c:v>0.49669431883570703</c:v>
                </c:pt>
                <c:pt idx="35">
                  <c:v>0.50675546630055801</c:v>
                </c:pt>
                <c:pt idx="36">
                  <c:v>0.51661549009034902</c:v>
                </c:pt>
                <c:pt idx="37">
                  <c:v>0.52627841069391001</c:v>
                </c:pt>
                <c:pt idx="38">
                  <c:v>0.53574816822982396</c:v>
                </c:pt>
                <c:pt idx="39">
                  <c:v>0.54502862405390196</c:v>
                </c:pt>
                <c:pt idx="40">
                  <c:v>0.55412356233262405</c:v>
                </c:pt>
                <c:pt idx="41">
                  <c:v>0.56303669158674596</c:v>
                </c:pt>
                <c:pt idx="42">
                  <c:v>0.57177164569614303</c:v>
                </c:pt>
                <c:pt idx="43">
                  <c:v>0.58033198229101302</c:v>
                </c:pt>
                <c:pt idx="44">
                  <c:v>0.58872121199180605</c:v>
                </c:pt>
                <c:pt idx="45">
                  <c:v>0.59694273519139196</c:v>
                </c:pt>
                <c:pt idx="46">
                  <c:v>0.60499989275309896</c:v>
                </c:pt>
                <c:pt idx="47">
                  <c:v>0.61289599864389199</c:v>
                </c:pt>
                <c:pt idx="48">
                  <c:v>0.62063425396302196</c:v>
                </c:pt>
                <c:pt idx="49">
                  <c:v>0.62821783586272295</c:v>
                </c:pt>
                <c:pt idx="50">
                  <c:v>0.62821783586272295</c:v>
                </c:pt>
                <c:pt idx="51">
                  <c:v>0.61565165059096305</c:v>
                </c:pt>
                <c:pt idx="52">
                  <c:v>0.60334416871062102</c:v>
                </c:pt>
                <c:pt idx="53">
                  <c:v>0.59128313563694102</c:v>
                </c:pt>
                <c:pt idx="54">
                  <c:v>0.57946346409284899</c:v>
                </c:pt>
                <c:pt idx="55">
                  <c:v>0.56788001802715304</c:v>
                </c:pt>
                <c:pt idx="56">
                  <c:v>0.55652806702251401</c:v>
                </c:pt>
                <c:pt idx="57">
                  <c:v>0.545403021261058</c:v>
                </c:pt>
                <c:pt idx="58">
                  <c:v>0.53450036173694104</c:v>
                </c:pt>
                <c:pt idx="59">
                  <c:v>0.52381564870769104</c:v>
                </c:pt>
                <c:pt idx="60">
                  <c:v>0.51334451807603898</c:v>
                </c:pt>
                <c:pt idx="61">
                  <c:v>0.50308269237367098</c:v>
                </c:pt>
                <c:pt idx="62">
                  <c:v>0.49302599517221102</c:v>
                </c:pt>
                <c:pt idx="63">
                  <c:v>0.48317033509798801</c:v>
                </c:pt>
                <c:pt idx="64">
                  <c:v>0.47351169497512102</c:v>
                </c:pt>
                <c:pt idx="65">
                  <c:v>0.46404613394025701</c:v>
                </c:pt>
                <c:pt idx="66">
                  <c:v>0.45476979039666199</c:v>
                </c:pt>
                <c:pt idx="67">
                  <c:v>0.44567888154900998</c:v>
                </c:pt>
                <c:pt idx="68">
                  <c:v>0.43676970095501699</c:v>
                </c:pt>
                <c:pt idx="69">
                  <c:v>0.42803861616009098</c:v>
                </c:pt>
                <c:pt idx="70">
                  <c:v>0.41948206703845597</c:v>
                </c:pt>
                <c:pt idx="71">
                  <c:v>0.41109656451478399</c:v>
                </c:pt>
                <c:pt idx="72">
                  <c:v>0.40287868928881498</c:v>
                </c:pt>
                <c:pt idx="73">
                  <c:v>0.39482509046467401</c:v>
                </c:pt>
                <c:pt idx="74">
                  <c:v>0.38693248415190701</c:v>
                </c:pt>
                <c:pt idx="75">
                  <c:v>0.37919765216031698</c:v>
                </c:pt>
                <c:pt idx="76">
                  <c:v>0.37161744067949698</c:v>
                </c:pt>
                <c:pt idx="77">
                  <c:v>0.36418875877309997</c:v>
                </c:pt>
                <c:pt idx="78">
                  <c:v>0.35690857718203201</c:v>
                </c:pt>
                <c:pt idx="79">
                  <c:v>0.34977392729333301</c:v>
                </c:pt>
                <c:pt idx="80">
                  <c:v>0.34278189996178599</c:v>
                </c:pt>
                <c:pt idx="81">
                  <c:v>0.33592964420853499</c:v>
                </c:pt>
                <c:pt idx="82">
                  <c:v>0.32921436598535803</c:v>
                </c:pt>
                <c:pt idx="83">
                  <c:v>0.32263332706463099</c:v>
                </c:pt>
                <c:pt idx="84">
                  <c:v>0.31618384397147298</c:v>
                </c:pt>
                <c:pt idx="85">
                  <c:v>0.30986328689728798</c:v>
                </c:pt>
                <c:pt idx="86">
                  <c:v>0.30366907860429798</c:v>
                </c:pt>
                <c:pt idx="87">
                  <c:v>0.297598693363259</c:v>
                </c:pt>
                <c:pt idx="88">
                  <c:v>0.29164965592952302</c:v>
                </c:pt>
                <c:pt idx="89">
                  <c:v>0.28581954054215503</c:v>
                </c:pt>
                <c:pt idx="90">
                  <c:v>0.28010596993544601</c:v>
                </c:pt>
                <c:pt idx="91">
                  <c:v>0.27450661436560198</c:v>
                </c:pt>
                <c:pt idx="92">
                  <c:v>0.26901919065883301</c:v>
                </c:pt>
                <c:pt idx="93">
                  <c:v>0.26364146128105398</c:v>
                </c:pt>
                <c:pt idx="94">
                  <c:v>0.25837123342794499</c:v>
                </c:pt>
                <c:pt idx="95">
                  <c:v>0.25320635813014802</c:v>
                </c:pt>
                <c:pt idx="96">
                  <c:v>0.24814472937627699</c:v>
                </c:pt>
                <c:pt idx="97">
                  <c:v>0.24318428325395999</c:v>
                </c:pt>
                <c:pt idx="98">
                  <c:v>0.238322997109055</c:v>
                </c:pt>
                <c:pt idx="99">
                  <c:v>0.23355888872032901</c:v>
                </c:pt>
              </c:numCache>
            </c:numRef>
          </c:yVal>
          <c:smooth val="0"/>
          <c:extLst>
            <c:ext xmlns:c16="http://schemas.microsoft.com/office/drawing/2014/chart" uri="{C3380CC4-5D6E-409C-BE32-E72D297353CC}">
              <c16:uniqueId val="{0000006D-CF86-4C2E-BF49-1F263FBF5A1F}"/>
            </c:ext>
          </c:extLst>
        </c:ser>
        <c:ser>
          <c:idx val="110"/>
          <c:order val="110"/>
          <c:tx>
            <c:strRef>
              <c:f>dynamicR!$DP$19</c:f>
              <c:strCache>
                <c:ptCount val="1"/>
                <c:pt idx="0">
                  <c:v>aAS</c:v>
                </c:pt>
              </c:strCache>
            </c:strRef>
          </c:tx>
          <c:spPr>
            <a:ln w="19050" cap="rnd">
              <a:solidFill>
                <a:schemeClr val="accent3"/>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dynamicR!$DP$20:$DP$119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-5.9921512949303598E-213</c:v>
                </c:pt>
                <c:pt idx="52">
                  <c:v>1.4435100598629E-214</c:v>
                </c:pt>
                <c:pt idx="53">
                  <c:v>-4.8889640079449402E-214</c:v>
                </c:pt>
                <c:pt idx="54">
                  <c:v>6.42884592577276E-213</c:v>
                </c:pt>
                <c:pt idx="55">
                  <c:v>-4.0471218574429602E-213</c:v>
                </c:pt>
                <c:pt idx="56">
                  <c:v>1.31943040116957E-212</c:v>
                </c:pt>
                <c:pt idx="57">
                  <c:v>-3.84514370004504E-213</c:v>
                </c:pt>
                <c:pt idx="58">
                  <c:v>7.1587170707550401E-214</c:v>
                </c:pt>
                <c:pt idx="59">
                  <c:v>4.3603507936870999E-215</c:v>
                </c:pt>
                <c:pt idx="60">
                  <c:v>-8.0910482749033399E-215</c:v>
                </c:pt>
                <c:pt idx="61">
                  <c:v>3.8514828908560501E-215</c:v>
                </c:pt>
                <c:pt idx="62">
                  <c:v>9.5757573786375598E-214</c:v>
                </c:pt>
                <c:pt idx="63">
                  <c:v>7.4369767691624197E-214</c:v>
                </c:pt>
                <c:pt idx="64">
                  <c:v>-6.0287575670313804E-214</c:v>
                </c:pt>
                <c:pt idx="65">
                  <c:v>-1.3788997351165301E-214</c:v>
                </c:pt>
                <c:pt idx="66">
                  <c:v>9.6323047301777694E-214</c:v>
                </c:pt>
                <c:pt idx="67">
                  <c:v>-3.1135412614625398E-214</c:v>
                </c:pt>
                <c:pt idx="68">
                  <c:v>-1.0571878600473001E-213</c:v>
                </c:pt>
                <c:pt idx="69">
                  <c:v>9.0557764955359802E-214</c:v>
                </c:pt>
                <c:pt idx="70">
                  <c:v>8.4386204275623606E-214</c:v>
                </c:pt>
                <c:pt idx="71">
                  <c:v>-1.5466012225865098E-213</c:v>
                </c:pt>
                <c:pt idx="72">
                  <c:v>-2.5695186567340098E-214</c:v>
                </c:pt>
                <c:pt idx="73">
                  <c:v>2.0441756691180201E-213</c:v>
                </c:pt>
                <c:pt idx="74">
                  <c:v>-7.2457518767941002E-214</c:v>
                </c:pt>
                <c:pt idx="75">
                  <c:v>-2.0910801581967E-213</c:v>
                </c:pt>
                <c:pt idx="76">
                  <c:v>2.0201570490980401E-213</c:v>
                </c:pt>
                <c:pt idx="77">
                  <c:v>-1.4481632329988801E-213</c:v>
                </c:pt>
                <c:pt idx="78">
                  <c:v>5.6619943176788898E-214</c:v>
                </c:pt>
                <c:pt idx="79">
                  <c:v>-1.3102413430125201E-214</c:v>
                </c:pt>
                <c:pt idx="80">
                  <c:v>1.2405573118695401E-215</c:v>
                </c:pt>
                <c:pt idx="81">
                  <c:v>6.6230199773425702E-221</c:v>
                </c:pt>
                <c:pt idx="82">
                  <c:v>-2.05637273580493E-221</c:v>
                </c:pt>
                <c:pt idx="83">
                  <c:v>4.3758159290308799E-222</c:v>
                </c:pt>
                <c:pt idx="84">
                  <c:v>-5.7329768780026402E-223</c:v>
                </c:pt>
                <c:pt idx="85">
                  <c:v>3.4098968235751598E-224</c:v>
                </c:pt>
                <c:pt idx="86">
                  <c:v>7.7435577943834001E-229</c:v>
                </c:pt>
                <c:pt idx="87">
                  <c:v>-1.60314381494794E-229</c:v>
                </c:pt>
                <c:pt idx="88">
                  <c:v>2.3440264508253201E-230</c:v>
                </c:pt>
                <c:pt idx="89">
                  <c:v>-2.1617128612224601E-231</c:v>
                </c:pt>
                <c:pt idx="90">
                  <c:v>9.3711577190020502E-233</c:v>
                </c:pt>
                <c:pt idx="91">
                  <c:v>6.1019749582327197E-237</c:v>
                </c:pt>
                <c:pt idx="92">
                  <c:v>-9.4887640980791205E-238</c:v>
                </c:pt>
                <c:pt idx="93">
                  <c:v>1.05866450587822E-238</c:v>
                </c:pt>
                <c:pt idx="94">
                  <c:v>-7.5519335618091705E-240</c:v>
                </c:pt>
                <c:pt idx="95">
                  <c:v>2.5744565873520699E-241</c:v>
                </c:pt>
                <c:pt idx="96">
                  <c:v>3.8452089108496201E-245</c:v>
                </c:pt>
                <c:pt idx="97">
                  <c:v>-4.7908556850623997E-246</c:v>
                </c:pt>
                <c:pt idx="98">
                  <c:v>4.3255120957013101E-247</c:v>
                </c:pt>
                <c:pt idx="99">
                  <c:v>-2.51802364501369E-248</c:v>
                </c:pt>
              </c:numCache>
            </c:numRef>
          </c:yVal>
          <c:smooth val="0"/>
          <c:extLst>
            <c:ext xmlns:c16="http://schemas.microsoft.com/office/drawing/2014/chart" uri="{C3380CC4-5D6E-409C-BE32-E72D297353CC}">
              <c16:uniqueId val="{0000006E-CF86-4C2E-BF49-1F263FBF5A1F}"/>
            </c:ext>
          </c:extLst>
        </c:ser>
        <c:ser>
          <c:idx val="111"/>
          <c:order val="111"/>
          <c:tx>
            <c:strRef>
              <c:f>dynamicR!$DQ$19</c:f>
              <c:strCache>
                <c:ptCount val="1"/>
                <c:pt idx="0">
                  <c:v>aAA</c:v>
                </c:pt>
              </c:strCache>
            </c:strRef>
          </c:tx>
          <c:spPr>
            <a:ln w="19050" cap="rnd">
              <a:solidFill>
                <a:schemeClr val="accent4"/>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dynamicR!$DQ$20:$DQ$119</c:f>
              <c:numCache>
                <c:formatCode>0.00</c:formatCode>
                <c:ptCount val="100"/>
                <c:pt idx="0">
                  <c:v>0</c:v>
                </c:pt>
                <c:pt idx="1">
                  <c:v>1</c:v>
                </c:pt>
                <c:pt idx="2">
                  <c:v>0.999999999999996</c:v>
                </c:pt>
                <c:pt idx="3">
                  <c:v>0.999999999999994</c:v>
                </c:pt>
                <c:pt idx="4">
                  <c:v>1</c:v>
                </c:pt>
                <c:pt idx="5">
                  <c:v>1</c:v>
                </c:pt>
                <c:pt idx="6">
                  <c:v>1</c:v>
                </c:pt>
                <c:pt idx="7">
                  <c:v>1</c:v>
                </c:pt>
                <c:pt idx="8">
                  <c:v>1</c:v>
                </c:pt>
                <c:pt idx="9">
                  <c:v>1</c:v>
                </c:pt>
                <c:pt idx="10">
                  <c:v>1</c:v>
                </c:pt>
                <c:pt idx="11">
                  <c:v>1</c:v>
                </c:pt>
                <c:pt idx="12">
                  <c:v>1</c:v>
                </c:pt>
                <c:pt idx="13">
                  <c:v>1</c:v>
                </c:pt>
                <c:pt idx="14">
                  <c:v>0.999999999999999</c:v>
                </c:pt>
                <c:pt idx="15">
                  <c:v>1</c:v>
                </c:pt>
                <c:pt idx="16">
                  <c:v>1</c:v>
                </c:pt>
                <c:pt idx="17">
                  <c:v>0.999999999999998</c:v>
                </c:pt>
                <c:pt idx="18">
                  <c:v>1</c:v>
                </c:pt>
                <c:pt idx="19">
                  <c:v>1</c:v>
                </c:pt>
                <c:pt idx="20">
                  <c:v>0.999999999999997</c:v>
                </c:pt>
                <c:pt idx="21">
                  <c:v>0.999999999999998</c:v>
                </c:pt>
                <c:pt idx="22">
                  <c:v>1.00000000000001</c:v>
                </c:pt>
                <c:pt idx="23">
                  <c:v>0.999999999999996</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-5.0343028254297298E-99</c:v>
                </c:pt>
                <c:pt idx="52">
                  <c:v>1.2127706879681299E-100</c:v>
                </c:pt>
                <c:pt idx="53">
                  <c:v>-4.10741548813006E-100</c:v>
                </c:pt>
                <c:pt idx="54">
                  <c:v>5.4011938415634702E-99</c:v>
                </c:pt>
                <c:pt idx="55">
                  <c:v>-3.4001811588093299E-99</c:v>
                </c:pt>
                <c:pt idx="56">
                  <c:v>1.10851637889286E-98</c:v>
                </c:pt>
                <c:pt idx="57">
                  <c:v>-3.2304792772002102E-99</c:v>
                </c:pt>
                <c:pt idx="58">
                  <c:v>6.0143098453748703E-100</c:v>
                </c:pt>
                <c:pt idx="59">
                  <c:v>3.6635855299376497E-101</c:v>
                </c:pt>
                <c:pt idx="60">
                  <c:v>-6.7978923422143196E-101</c:v>
                </c:pt>
                <c:pt idx="61">
                  <c:v>3.2354163714132698E-101</c:v>
                </c:pt>
                <c:pt idx="62">
                  <c:v>8.0450472510967095E-100</c:v>
                </c:pt>
                <c:pt idx="63">
                  <c:v>6.24814459612375E-100</c:v>
                </c:pt>
                <c:pt idx="64">
                  <c:v>-5.0650804818768495E-100</c:v>
                </c:pt>
                <c:pt idx="65">
                  <c:v>-1.1584711233998601E-100</c:v>
                </c:pt>
                <c:pt idx="66">
                  <c:v>8.0925840705818604E-100</c:v>
                </c:pt>
                <c:pt idx="67">
                  <c:v>-2.6158538293151001E-100</c:v>
                </c:pt>
                <c:pt idx="68">
                  <c:v>-8.8819569189442095E-100</c:v>
                </c:pt>
                <c:pt idx="69">
                  <c:v>7.6082164277280801E-100</c:v>
                </c:pt>
                <c:pt idx="70">
                  <c:v>7.0896955644614402E-100</c:v>
                </c:pt>
                <c:pt idx="71">
                  <c:v>-1.2993763066498499E-99</c:v>
                </c:pt>
                <c:pt idx="72">
                  <c:v>-2.15877486750281E-100</c:v>
                </c:pt>
                <c:pt idx="73">
                  <c:v>1.71741212663772E-99</c:v>
                </c:pt>
                <c:pt idx="74">
                  <c:v>-6.08750624070218E-100</c:v>
                </c:pt>
                <c:pt idx="75">
                  <c:v>-1.7568184529474201E-99</c:v>
                </c:pt>
                <c:pt idx="76">
                  <c:v>1.6972313061510699E-99</c:v>
                </c:pt>
                <c:pt idx="77">
                  <c:v>-1.21666892677569E-99</c:v>
                </c:pt>
                <c:pt idx="78">
                  <c:v>4.7568660930592204E-100</c:v>
                </c:pt>
                <c:pt idx="79">
                  <c:v>-1.10075540495437E-100</c:v>
                </c:pt>
                <c:pt idx="80">
                  <c:v>1.0420045741887E-101</c:v>
                </c:pt>
                <c:pt idx="81">
                  <c:v>1.1223572382607699E-105</c:v>
                </c:pt>
                <c:pt idx="82">
                  <c:v>-3.4847318279101098E-106</c:v>
                </c:pt>
                <c:pt idx="83">
                  <c:v>7.4148946604341003E-107</c:v>
                </c:pt>
                <c:pt idx="84">
                  <c:v>-9.7127715574833505E-108</c:v>
                </c:pt>
                <c:pt idx="85">
                  <c:v>5.7693511095356598E-109</c:v>
                </c:pt>
                <c:pt idx="86">
                  <c:v>2.65776484574078E-112</c:v>
                </c:pt>
                <c:pt idx="87">
                  <c:v>-5.4792938865768901E-113</c:v>
                </c:pt>
                <c:pt idx="88">
                  <c:v>8.0099762805370093E-114</c:v>
                </c:pt>
                <c:pt idx="89">
                  <c:v>-7.3814726233350601E-115</c:v>
                </c:pt>
                <c:pt idx="90">
                  <c:v>3.1834571025796199E-116</c:v>
                </c:pt>
                <c:pt idx="91">
                  <c:v>4.21942992212603E-119</c:v>
                </c:pt>
                <c:pt idx="92">
                  <c:v>-6.54013821594775E-120</c:v>
                </c:pt>
                <c:pt idx="93">
                  <c:v>7.2928332735806303E-121</c:v>
                </c:pt>
                <c:pt idx="94">
                  <c:v>-5.1911234710817299E-122</c:v>
                </c:pt>
                <c:pt idx="95">
                  <c:v>1.74338863009415E-123</c:v>
                </c:pt>
                <c:pt idx="96">
                  <c:v>5.3543320397228802E-126</c:v>
                </c:pt>
                <c:pt idx="97">
                  <c:v>-6.6574323246665502E-127</c:v>
                </c:pt>
                <c:pt idx="98">
                  <c:v>6.0029050909634404E-128</c:v>
                </c:pt>
                <c:pt idx="99">
                  <c:v>-3.4765410293378299E-129</c:v>
                </c:pt>
              </c:numCache>
            </c:numRef>
          </c:yVal>
          <c:smooth val="0"/>
          <c:extLst>
            <c:ext xmlns:c16="http://schemas.microsoft.com/office/drawing/2014/chart" uri="{C3380CC4-5D6E-409C-BE32-E72D297353CC}">
              <c16:uniqueId val="{0000006F-CF86-4C2E-BF49-1F263FBF5A1F}"/>
            </c:ext>
          </c:extLst>
        </c:ser>
        <c:ser>
          <c:idx val="112"/>
          <c:order val="112"/>
          <c:tx>
            <c:strRef>
              <c:f>dynamicR!$DR$19</c:f>
              <c:strCache>
                <c:ptCount val="1"/>
                <c:pt idx="0">
                  <c:v>aAP</c:v>
                </c:pt>
              </c:strCache>
            </c:strRef>
          </c:tx>
          <c:spPr>
            <a:ln w="19050" cap="rnd">
              <a:solidFill>
                <a:schemeClr val="accent5"/>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dynamicR!$DR$20:$DR$119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-1.0194108513083899E-211</c:v>
                </c:pt>
                <c:pt idx="52">
                  <c:v>2.45576209274149E-213</c:v>
                </c:pt>
                <c:pt idx="53">
                  <c:v>-8.3173181724387899E-213</c:v>
                </c:pt>
                <c:pt idx="54">
                  <c:v>1.09370323632891E-211</c:v>
                </c:pt>
                <c:pt idx="55">
                  <c:v>-6.8851397706435505E-212</c:v>
                </c:pt>
                <c:pt idx="56">
                  <c:v>2.2446723963199498E-211</c:v>
                </c:pt>
                <c:pt idx="57">
                  <c:v>-6.5415257249689296E-212</c:v>
                </c:pt>
                <c:pt idx="58">
                  <c:v>1.2178720832265699E-212</c:v>
                </c:pt>
                <c:pt idx="59">
                  <c:v>7.4180186852763403E-214</c:v>
                </c:pt>
                <c:pt idx="60">
                  <c:v>-1.3764843504119201E-213</c:v>
                </c:pt>
                <c:pt idx="61">
                  <c:v>6.55230986631607E-214</c:v>
                </c:pt>
                <c:pt idx="62">
                  <c:v>1.6290695012181199E-212</c:v>
                </c:pt>
                <c:pt idx="63">
                  <c:v>1.26521083881469E-212</c:v>
                </c:pt>
                <c:pt idx="64">
                  <c:v>-1.02563846665136E-212</c:v>
                </c:pt>
                <c:pt idx="65">
                  <c:v>-2.3458442061923099E-213</c:v>
                </c:pt>
                <c:pt idx="66">
                  <c:v>1.6386895853491801E-212</c:v>
                </c:pt>
                <c:pt idx="67">
                  <c:v>-5.2968918567990897E-213</c:v>
                </c:pt>
                <c:pt idx="68">
                  <c:v>-1.7985339787301399E-212</c:v>
                </c:pt>
                <c:pt idx="69">
                  <c:v>1.54060809418542E-212</c:v>
                </c:pt>
                <c:pt idx="70">
                  <c:v>1.43561481741257E-212</c:v>
                </c:pt>
                <c:pt idx="71">
                  <c:v>-2.6311452824837599E-212</c:v>
                </c:pt>
                <c:pt idx="72">
                  <c:v>-4.37137691723197E-213</c:v>
                </c:pt>
                <c:pt idx="73">
                  <c:v>3.4776405761153699E-212</c:v>
                </c:pt>
                <c:pt idx="74">
                  <c:v>-1.2326788300285899E-212</c:v>
                </c:pt>
                <c:pt idx="75">
                  <c:v>-3.5574365330160598E-212</c:v>
                </c:pt>
                <c:pt idx="76">
                  <c:v>3.4367790533508E-212</c:v>
                </c:pt>
                <c:pt idx="77">
                  <c:v>-2.4636782877357198E-212</c:v>
                </c:pt>
                <c:pt idx="78">
                  <c:v>9.6324309975432206E-213</c:v>
                </c:pt>
                <c:pt idx="79">
                  <c:v>-2.2290395322190399E-213</c:v>
                </c:pt>
                <c:pt idx="80">
                  <c:v>2.1104898335502799E-214</c:v>
                </c:pt>
                <c:pt idx="81">
                  <c:v>1.1367596180648101E-219</c:v>
                </c:pt>
                <c:pt idx="82">
                  <c:v>-3.5295098343681399E-220</c:v>
                </c:pt>
                <c:pt idx="83">
                  <c:v>7.5105468995404799E-221</c:v>
                </c:pt>
                <c:pt idx="84">
                  <c:v>-9.8399437629166705E-222</c:v>
                </c:pt>
                <c:pt idx="85">
                  <c:v>5.8526618926646597E-223</c:v>
                </c:pt>
                <c:pt idx="86">
                  <c:v>1.3407221674124099E-227</c:v>
                </c:pt>
                <c:pt idx="87">
                  <c:v>-2.7753676945848597E-228</c:v>
                </c:pt>
                <c:pt idx="88">
                  <c:v>4.0579858563169798E-229</c:v>
                </c:pt>
                <c:pt idx="89">
                  <c:v>-3.7423625037779199E-230</c:v>
                </c:pt>
                <c:pt idx="90">
                  <c:v>1.62233286846788E-231</c:v>
                </c:pt>
                <c:pt idx="91">
                  <c:v>1.0653112414122201E-235</c:v>
                </c:pt>
                <c:pt idx="92">
                  <c:v>-1.6564829706104601E-236</c:v>
                </c:pt>
                <c:pt idx="93">
                  <c:v>1.84814244538581E-237</c:v>
                </c:pt>
                <c:pt idx="94">
                  <c:v>-1.31836208963154E-238</c:v>
                </c:pt>
                <c:pt idx="95">
                  <c:v>4.4942616508960902E-240</c:v>
                </c:pt>
                <c:pt idx="96">
                  <c:v>6.7707388805669301E-244</c:v>
                </c:pt>
                <c:pt idx="97">
                  <c:v>-8.4317422886454307E-245</c:v>
                </c:pt>
                <c:pt idx="98">
                  <c:v>7.6127471892967297E-246</c:v>
                </c:pt>
                <c:pt idx="99">
                  <c:v>-4.4316182951563298E-247</c:v>
                </c:pt>
              </c:numCache>
            </c:numRef>
          </c:yVal>
          <c:smooth val="0"/>
          <c:extLst>
            <c:ext xmlns:c16="http://schemas.microsoft.com/office/drawing/2014/chart" uri="{C3380CC4-5D6E-409C-BE32-E72D297353CC}">
              <c16:uniqueId val="{00000070-CF86-4C2E-BF49-1F263FBF5A1F}"/>
            </c:ext>
          </c:extLst>
        </c:ser>
        <c:ser>
          <c:idx val="113"/>
          <c:order val="113"/>
          <c:tx>
            <c:strRef>
              <c:f>dynamicR!$DS$19</c:f>
              <c:strCache>
                <c:ptCount val="1"/>
                <c:pt idx="0">
                  <c:v>cwAS</c:v>
                </c:pt>
              </c:strCache>
            </c:strRef>
          </c:tx>
          <c:spPr>
            <a:ln w="19050" cap="rnd">
              <a:solidFill>
                <a:schemeClr val="accent6"/>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dynamicR!$DS$20:$DS$119</c:f>
              <c:numCache>
                <c:formatCode>0.00</c:formatCode>
                <c:ptCount val="100"/>
                <c:pt idx="0">
                  <c:v>0</c:v>
                </c:pt>
                <c:pt idx="1">
                  <c:v>1</c:v>
                </c:pt>
                <c:pt idx="2">
                  <c:v>0.999999999999997</c:v>
                </c:pt>
                <c:pt idx="3">
                  <c:v>0.999999999999995</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-5.2067861712571802E-212</c:v>
                </c:pt>
                <c:pt idx="52">
                  <c:v>1.2543154297573E-213</c:v>
                </c:pt>
                <c:pt idx="53">
                  <c:v>-4.24818813448771E-213</c:v>
                </c:pt>
                <c:pt idx="54">
                  <c:v>5.5862451325207301E-212</c:v>
                </c:pt>
                <c:pt idx="55">
                  <c:v>-3.5166832025799401E-212</c:v>
                </c:pt>
                <c:pt idx="56">
                  <c:v>1.1464983898793701E-211</c:v>
                </c:pt>
                <c:pt idx="57">
                  <c:v>-3.3411773386408599E-212</c:v>
                </c:pt>
                <c:pt idx="58">
                  <c:v>6.2204545259208598E-213</c:v>
                </c:pt>
                <c:pt idx="59">
                  <c:v>3.7888606518656298E-214</c:v>
                </c:pt>
                <c:pt idx="60">
                  <c:v>-7.0305915633641704E-214</c:v>
                </c:pt>
                <c:pt idx="61">
                  <c:v>3.3466823757595198E-214</c:v>
                </c:pt>
                <c:pt idx="62">
                  <c:v>8.3207044247503406E-213</c:v>
                </c:pt>
                <c:pt idx="63">
                  <c:v>6.4622444058350599E-213</c:v>
                </c:pt>
                <c:pt idx="64">
                  <c:v>-5.2385947855732401E-213</c:v>
                </c:pt>
                <c:pt idx="65">
                  <c:v>-1.1981732656200001E-213</c:v>
                </c:pt>
                <c:pt idx="66">
                  <c:v>8.36984060428602E-213</c:v>
                </c:pt>
                <c:pt idx="67">
                  <c:v>-2.70546309637978E-213</c:v>
                </c:pt>
                <c:pt idx="68">
                  <c:v>-9.1862685408006695E-213</c:v>
                </c:pt>
                <c:pt idx="69">
                  <c:v>7.8688754315569698E-213</c:v>
                </c:pt>
                <c:pt idx="70">
                  <c:v>7.33260717059244E-213</c:v>
                </c:pt>
                <c:pt idx="71">
                  <c:v>-1.3438949424046699E-212</c:v>
                </c:pt>
                <c:pt idx="72">
                  <c:v>-2.23274300472125E-213</c:v>
                </c:pt>
                <c:pt idx="73">
                  <c:v>1.7762544657565501E-212</c:v>
                </c:pt>
                <c:pt idx="74">
                  <c:v>-6.2960826891943194E-213</c:v>
                </c:pt>
                <c:pt idx="75">
                  <c:v>-1.8170113840247299E-212</c:v>
                </c:pt>
                <c:pt idx="76">
                  <c:v>1.7553838480704399E-212</c:v>
                </c:pt>
                <c:pt idx="77">
                  <c:v>-1.25835875065886E-212</c:v>
                </c:pt>
                <c:pt idx="78">
                  <c:v>4.91990093037169E-213</c:v>
                </c:pt>
                <c:pt idx="79">
                  <c:v>-1.13851335441623E-213</c:v>
                </c:pt>
                <c:pt idx="80">
                  <c:v>1.0779607569747699E-214</c:v>
                </c:pt>
                <c:pt idx="81">
                  <c:v>6.6611565333622697E-220</c:v>
                </c:pt>
                <c:pt idx="82">
                  <c:v>-2.0682134431876299E-220</c:v>
                </c:pt>
                <c:pt idx="83">
                  <c:v>4.4010098775466998E-221</c:v>
                </c:pt>
                <c:pt idx="84">
                  <c:v>-5.7659742453945999E-222</c:v>
                </c:pt>
                <c:pt idx="85">
                  <c:v>3.4294862817762802E-223</c:v>
                </c:pt>
                <c:pt idx="86">
                  <c:v>8.9128687937152498E-228</c:v>
                </c:pt>
                <c:pt idx="87">
                  <c:v>-1.8410166221884099E-228</c:v>
                </c:pt>
                <c:pt idx="88">
                  <c:v>2.69182667156597E-229</c:v>
                </c:pt>
                <c:pt idx="89">
                  <c:v>-2.4824485219942002E-230</c:v>
                </c:pt>
                <c:pt idx="90">
                  <c:v>1.07611736655635E-231</c:v>
                </c:pt>
                <c:pt idx="91">
                  <c:v>7.9271887191219003E-236</c:v>
                </c:pt>
                <c:pt idx="92">
                  <c:v>-1.2307329262441601E-236</c:v>
                </c:pt>
                <c:pt idx="93">
                  <c:v>1.3731277494523E-237</c:v>
                </c:pt>
                <c:pt idx="94">
                  <c:v>-9.7950070020373794E-239</c:v>
                </c:pt>
                <c:pt idx="95">
                  <c:v>3.33879823351128E-240</c:v>
                </c:pt>
                <c:pt idx="96">
                  <c:v>5.5913464474997498E-244</c:v>
                </c:pt>
                <c:pt idx="97">
                  <c:v>-6.9563441296388599E-245</c:v>
                </c:pt>
                <c:pt idx="98">
                  <c:v>6.2806138690491502E-246</c:v>
                </c:pt>
                <c:pt idx="99">
                  <c:v>-3.6560415463968497E-247</c:v>
                </c:pt>
              </c:numCache>
            </c:numRef>
          </c:yVal>
          <c:smooth val="0"/>
          <c:extLst>
            <c:ext xmlns:c16="http://schemas.microsoft.com/office/drawing/2014/chart" uri="{C3380CC4-5D6E-409C-BE32-E72D297353CC}">
              <c16:uniqueId val="{00000071-CF86-4C2E-BF49-1F263FBF5A1F}"/>
            </c:ext>
          </c:extLst>
        </c:ser>
        <c:ser>
          <c:idx val="114"/>
          <c:order val="114"/>
          <c:tx>
            <c:strRef>
              <c:f>dynamicR!$DT$19</c:f>
              <c:strCache>
                <c:ptCount val="1"/>
                <c:pt idx="0">
                  <c:v>cwAA</c:v>
                </c:pt>
              </c:strCache>
            </c:strRef>
          </c:tx>
          <c:spPr>
            <a:ln w="19050" cap="rnd">
              <a:solidFill>
                <a:schemeClr val="accent1">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dynamicR!$DT$20:$DT$119</c:f>
              <c:numCache>
                <c:formatCode>0.00</c:formatCode>
                <c:ptCount val="100"/>
                <c:pt idx="0">
                  <c:v>0</c:v>
                </c:pt>
                <c:pt idx="1">
                  <c:v>1</c:v>
                </c:pt>
                <c:pt idx="2">
                  <c:v>0.999999999999997</c:v>
                </c:pt>
                <c:pt idx="3">
                  <c:v>0.999999999999995</c:v>
                </c:pt>
                <c:pt idx="4">
                  <c:v>1</c:v>
                </c:pt>
                <c:pt idx="5">
                  <c:v>1</c:v>
                </c:pt>
                <c:pt idx="6">
                  <c:v>1</c:v>
                </c:pt>
                <c:pt idx="7">
                  <c:v>1</c:v>
                </c:pt>
                <c:pt idx="8">
                  <c:v>1</c:v>
                </c:pt>
                <c:pt idx="9">
                  <c:v>1</c:v>
                </c:pt>
                <c:pt idx="10">
                  <c:v>1</c:v>
                </c:pt>
                <c:pt idx="11">
                  <c:v>1</c:v>
                </c:pt>
                <c:pt idx="12">
                  <c:v>1</c:v>
                </c:pt>
                <c:pt idx="13">
                  <c:v>1</c:v>
                </c:pt>
                <c:pt idx="14">
                  <c:v>0.999999999999999</c:v>
                </c:pt>
                <c:pt idx="15">
                  <c:v>1</c:v>
                </c:pt>
                <c:pt idx="16">
                  <c:v>1</c:v>
                </c:pt>
                <c:pt idx="17">
                  <c:v>0.999999999999998</c:v>
                </c:pt>
                <c:pt idx="18">
                  <c:v>1</c:v>
                </c:pt>
                <c:pt idx="19">
                  <c:v>1</c:v>
                </c:pt>
                <c:pt idx="20">
                  <c:v>0.999999999999997</c:v>
                </c:pt>
                <c:pt idx="21">
                  <c:v>0.999999999999997</c:v>
                </c:pt>
                <c:pt idx="22">
                  <c:v>1.00000000000001</c:v>
                </c:pt>
                <c:pt idx="23">
                  <c:v>0.999999999999996</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-5.3086392539688701E-99</c:v>
                </c:pt>
                <c:pt idx="52">
                  <c:v>1.2788587202312899E-100</c:v>
                </c:pt>
                <c:pt idx="53">
                  <c:v>-4.3312426412861299E-100</c:v>
                </c:pt>
                <c:pt idx="54">
                  <c:v>5.6955234160832901E-99</c:v>
                </c:pt>
                <c:pt idx="55">
                  <c:v>-3.5854686910161201E-99</c:v>
                </c:pt>
                <c:pt idx="56">
                  <c:v>1.16892323785444E-98</c:v>
                </c:pt>
                <c:pt idx="57">
                  <c:v>-3.4065191713985898E-99</c:v>
                </c:pt>
                <c:pt idx="58">
                  <c:v>6.3420502138442502E-100</c:v>
                </c:pt>
                <c:pt idx="59">
                  <c:v>3.8632268690720701E-101</c:v>
                </c:pt>
                <c:pt idx="60">
                  <c:v>-7.1683328080917495E-101</c:v>
                </c:pt>
                <c:pt idx="61">
                  <c:v>3.4117253047709699E-101</c:v>
                </c:pt>
                <c:pt idx="62">
                  <c:v>8.4834494648526697E-100</c:v>
                </c:pt>
                <c:pt idx="63">
                  <c:v>6.5886274220555204E-100</c:v>
                </c:pt>
                <c:pt idx="64">
                  <c:v>-5.3410940871175099E-100</c:v>
                </c:pt>
                <c:pt idx="65">
                  <c:v>-1.2216001876824301E-100</c:v>
                </c:pt>
                <c:pt idx="66">
                  <c:v>8.5335767286505099E-100</c:v>
                </c:pt>
                <c:pt idx="67">
                  <c:v>-2.7584006750750501E-100</c:v>
                </c:pt>
                <c:pt idx="68">
                  <c:v>-9.3659652105324399E-100</c:v>
                </c:pt>
                <c:pt idx="69">
                  <c:v>8.02281423188584E-100</c:v>
                </c:pt>
                <c:pt idx="70">
                  <c:v>7.4760373886057002E-100</c:v>
                </c:pt>
                <c:pt idx="71">
                  <c:v>-1.3701837775767099E-99</c:v>
                </c:pt>
                <c:pt idx="72">
                  <c:v>-2.2764139131635099E-100</c:v>
                </c:pt>
                <c:pt idx="73">
                  <c:v>1.81099980297444E-99</c:v>
                </c:pt>
                <c:pt idx="74">
                  <c:v>-6.4192353317666095E-100</c:v>
                </c:pt>
                <c:pt idx="75">
                  <c:v>-1.8525535151416601E-99</c:v>
                </c:pt>
                <c:pt idx="76">
                  <c:v>1.7897192603729701E-99</c:v>
                </c:pt>
                <c:pt idx="77">
                  <c:v>-1.2829693889431E-99</c:v>
                </c:pt>
                <c:pt idx="78">
                  <c:v>5.0160840392872299E-100</c:v>
                </c:pt>
                <c:pt idx="79">
                  <c:v>-1.16073934181299E-100</c:v>
                </c:pt>
                <c:pt idx="80">
                  <c:v>1.09878697680293E-101</c:v>
                </c:pt>
                <c:pt idx="81">
                  <c:v>1.18351833876164E-105</c:v>
                </c:pt>
                <c:pt idx="82">
                  <c:v>-3.6746268356941102E-106</c:v>
                </c:pt>
                <c:pt idx="83">
                  <c:v>7.8189577201819505E-107</c:v>
                </c:pt>
                <c:pt idx="84">
                  <c:v>-1.02420538171377E-107</c:v>
                </c:pt>
                <c:pt idx="85">
                  <c:v>6.08374291828346E-109</c:v>
                </c:pt>
                <c:pt idx="86">
                  <c:v>2.8026072725715698E-112</c:v>
                </c:pt>
                <c:pt idx="87">
                  <c:v>-5.7778794281376199E-113</c:v>
                </c:pt>
                <c:pt idx="88">
                  <c:v>8.44646739247364E-114</c:v>
                </c:pt>
                <c:pt idx="89">
                  <c:v>-7.7837145064965902E-115</c:v>
                </c:pt>
                <c:pt idx="90">
                  <c:v>3.3569347104811402E-116</c:v>
                </c:pt>
                <c:pt idx="91">
                  <c:v>4.44935026246847E-119</c:v>
                </c:pt>
                <c:pt idx="92">
                  <c:v>-6.8965329148733404E-120</c:v>
                </c:pt>
                <c:pt idx="93">
                  <c:v>7.69024494938926E-121</c:v>
                </c:pt>
                <c:pt idx="94">
                  <c:v>-5.4740058063743004E-122</c:v>
                </c:pt>
                <c:pt idx="95">
                  <c:v>1.83839205312158E-123</c:v>
                </c:pt>
                <c:pt idx="96">
                  <c:v>5.64611010283939E-126</c:v>
                </c:pt>
                <c:pt idx="97">
                  <c:v>-7.0202187625450404E-127</c:v>
                </c:pt>
                <c:pt idx="98">
                  <c:v>6.3300240086953499E-128</c:v>
                </c:pt>
                <c:pt idx="99">
                  <c:v>-3.6659898282423303E-129</c:v>
                </c:pt>
              </c:numCache>
            </c:numRef>
          </c:yVal>
          <c:smooth val="0"/>
          <c:extLst>
            <c:ext xmlns:c16="http://schemas.microsoft.com/office/drawing/2014/chart" uri="{C3380CC4-5D6E-409C-BE32-E72D297353CC}">
              <c16:uniqueId val="{00000072-CF86-4C2E-BF49-1F263FBF5A1F}"/>
            </c:ext>
          </c:extLst>
        </c:ser>
        <c:ser>
          <c:idx val="115"/>
          <c:order val="115"/>
          <c:tx>
            <c:strRef>
              <c:f>dynamicR!$DU$19</c:f>
              <c:strCache>
                <c:ptCount val="1"/>
                <c:pt idx="0">
                  <c:v>cwAP</c:v>
                </c:pt>
              </c:strCache>
            </c:strRef>
          </c:tx>
          <c:spPr>
            <a:ln w="19050" cap="rnd">
              <a:solidFill>
                <a:schemeClr val="accent2">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dynamicR!$DU$20:$DU$119</c:f>
              <c:numCache>
                <c:formatCode>0.00</c:formatCode>
                <c:ptCount val="100"/>
                <c:pt idx="0">
                  <c:v>0</c:v>
                </c:pt>
                <c:pt idx="1">
                  <c:v>1</c:v>
                </c:pt>
                <c:pt idx="2">
                  <c:v>0.999999999999998</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1.1130860732705301E-210</c:v>
                </c:pt>
                <c:pt idx="52">
                  <c:v>-2.6814258373605003E-212</c:v>
                </c:pt>
                <c:pt idx="53">
                  <c:v>9.0816096643030901E-212</c:v>
                </c:pt>
                <c:pt idx="54">
                  <c:v>-1.1942053160164301E-210</c:v>
                </c:pt>
                <c:pt idx="55">
                  <c:v>7.5178259212799796E-211</c:v>
                </c:pt>
                <c:pt idx="56">
                  <c:v>-2.4509388250988199E-210</c:v>
                </c:pt>
                <c:pt idx="57">
                  <c:v>7.1426367353542999E-211</c:v>
                </c:pt>
                <c:pt idx="58">
                  <c:v>-1.3297842859490499E-211</c:v>
                </c:pt>
                <c:pt idx="59">
                  <c:v>-8.0996702541509805E-213</c:v>
                </c:pt>
                <c:pt idx="60">
                  <c:v>1.5029714857259E-212</c:v>
                </c:pt>
                <c:pt idx="61">
                  <c:v>-7.1544144911020498E-213</c:v>
                </c:pt>
                <c:pt idx="62">
                  <c:v>-1.7787672274367399E-211</c:v>
                </c:pt>
                <c:pt idx="63">
                  <c:v>-1.38147303551964E-211</c:v>
                </c:pt>
                <c:pt idx="64">
                  <c:v>1.11988595375697E-211</c:v>
                </c:pt>
                <c:pt idx="65">
                  <c:v>2.5614075264201802E-212</c:v>
                </c:pt>
                <c:pt idx="66">
                  <c:v>-1.7892712965282499E-211</c:v>
                </c:pt>
                <c:pt idx="67">
                  <c:v>5.7836313365633296E-212</c:v>
                </c:pt>
                <c:pt idx="68">
                  <c:v>1.9638040446381701E-211</c:v>
                </c:pt>
                <c:pt idx="69">
                  <c:v>-1.6821769441326799E-211</c:v>
                </c:pt>
                <c:pt idx="70">
                  <c:v>-1.56753568490628E-211</c:v>
                </c:pt>
                <c:pt idx="71">
                  <c:v>2.8729252853980299E-211</c:v>
                </c:pt>
                <c:pt idx="72">
                  <c:v>4.7730695265867803E-212</c:v>
                </c:pt>
                <c:pt idx="73">
                  <c:v>-3.7972063463135201E-211</c:v>
                </c:pt>
                <c:pt idx="74">
                  <c:v>1.34595159719861E-211</c:v>
                </c:pt>
                <c:pt idx="75">
                  <c:v>3.8843348800283302E-211</c:v>
                </c:pt>
                <c:pt idx="76">
                  <c:v>-3.7525900059140898E-211</c:v>
                </c:pt>
                <c:pt idx="77">
                  <c:v>2.69006952216942E-211</c:v>
                </c:pt>
                <c:pt idx="78">
                  <c:v>-1.05175703352796E-211</c:v>
                </c:pt>
                <c:pt idx="79">
                  <c:v>2.4338697107541398E-212</c:v>
                </c:pt>
                <c:pt idx="80">
                  <c:v>-2.3044276957685699E-213</c:v>
                </c:pt>
                <c:pt idx="81">
                  <c:v>-1.16873554081392E-218</c:v>
                </c:pt>
                <c:pt idx="82">
                  <c:v>3.6287916307407201E-219</c:v>
                </c:pt>
                <c:pt idx="83">
                  <c:v>-7.7218122004340004E-220</c:v>
                </c:pt>
                <c:pt idx="84">
                  <c:v>1.01167372179249E-220</c:v>
                </c:pt>
                <c:pt idx="85">
                  <c:v>-6.0173149847106398E-222</c:v>
                </c:pt>
                <c:pt idx="86">
                  <c:v>-1.2951609463574E-226</c:v>
                </c:pt>
                <c:pt idx="87">
                  <c:v>2.6713488792002699E-227</c:v>
                </c:pt>
                <c:pt idx="88">
                  <c:v>-3.9058969529239899E-228</c:v>
                </c:pt>
                <c:pt idx="89">
                  <c:v>3.6021104275010002E-229</c:v>
                </c:pt>
                <c:pt idx="90">
                  <c:v>-1.56155892772394E-230</c:v>
                </c:pt>
                <c:pt idx="91">
                  <c:v>-9.5463188272454202E-235</c:v>
                </c:pt>
                <c:pt idx="92">
                  <c:v>1.48248781794101E-235</c:v>
                </c:pt>
                <c:pt idx="93">
                  <c:v>-1.6540190854523599E-236</c:v>
                </c:pt>
                <c:pt idx="94">
                  <c:v>1.179894978644E-237</c:v>
                </c:pt>
                <c:pt idx="95">
                  <c:v>-4.0224678140132396E-239</c:v>
                </c:pt>
                <c:pt idx="96">
                  <c:v>-5.5909387421858096E-243</c:v>
                </c:pt>
                <c:pt idx="97">
                  <c:v>6.95908698342099E-244</c:v>
                </c:pt>
                <c:pt idx="98">
                  <c:v>-6.2831681947768801E-245</c:v>
                </c:pt>
                <c:pt idx="99">
                  <c:v>3.6577164412839501E-246</c:v>
                </c:pt>
              </c:numCache>
            </c:numRef>
          </c:yVal>
          <c:smooth val="0"/>
          <c:extLst>
            <c:ext xmlns:c16="http://schemas.microsoft.com/office/drawing/2014/chart" uri="{C3380CC4-5D6E-409C-BE32-E72D297353CC}">
              <c16:uniqueId val="{00000073-CF86-4C2E-BF49-1F263FBF5A1F}"/>
            </c:ext>
          </c:extLst>
        </c:ser>
        <c:ser>
          <c:idx val="116"/>
          <c:order val="116"/>
          <c:tx>
            <c:strRef>
              <c:f>dynamicR!$DV$19</c:f>
              <c:strCache>
                <c:ptCount val="1"/>
                <c:pt idx="0">
                  <c:v>w2AD</c:v>
                </c:pt>
              </c:strCache>
            </c:strRef>
          </c:tx>
          <c:spPr>
            <a:ln w="19050" cap="rnd">
              <a:solidFill>
                <a:schemeClr val="accent3">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dynamicR!$DV$20:$DV$119</c:f>
              <c:numCache>
                <c:formatCode>0.00</c:formatCode>
                <c:ptCount val="100"/>
                <c:pt idx="0">
                  <c:v>0</c:v>
                </c:pt>
                <c:pt idx="1">
                  <c:v>1.9995437357843801E-2</c:v>
                </c:pt>
                <c:pt idx="2">
                  <c:v>3.9585856474508303E-2</c:v>
                </c:pt>
                <c:pt idx="3">
                  <c:v>5.8784659818328498E-2</c:v>
                </c:pt>
                <c:pt idx="4">
                  <c:v>7.7599681431514106E-2</c:v>
                </c:pt>
                <c:pt idx="5">
                  <c:v>9.6038589907915001E-2</c:v>
                </c:pt>
                <c:pt idx="6">
                  <c:v>0.11410890083484999</c:v>
                </c:pt>
                <c:pt idx="7">
                  <c:v>0.13181798235655201</c:v>
                </c:pt>
                <c:pt idx="8">
                  <c:v>0.14917305649656601</c:v>
                </c:pt>
                <c:pt idx="9">
                  <c:v>0.166181200560445</c:v>
                </c:pt>
                <c:pt idx="10">
                  <c:v>0.18284934978308001</c:v>
                </c:pt>
                <c:pt idx="11">
                  <c:v>0.199184300535616</c:v>
                </c:pt>
                <c:pt idx="12">
                  <c:v>0.21519271332336501</c:v>
                </c:pt>
                <c:pt idx="13">
                  <c:v>0.230881115392886</c:v>
                </c:pt>
                <c:pt idx="14">
                  <c:v>0.246255903861266</c:v>
                </c:pt>
                <c:pt idx="15">
                  <c:v>0.26132334826904902</c:v>
                </c:pt>
                <c:pt idx="16">
                  <c:v>0.27608959267491401</c:v>
                </c:pt>
                <c:pt idx="17">
                  <c:v>0.29056065801285502</c:v>
                </c:pt>
                <c:pt idx="18">
                  <c:v>0.30474244479343199</c:v>
                </c:pt>
                <c:pt idx="19">
                  <c:v>0.31864073570470602</c:v>
                </c:pt>
                <c:pt idx="20">
                  <c:v>0.33226119792905601</c:v>
                </c:pt>
                <c:pt idx="21">
                  <c:v>0.34560938533685698</c:v>
                </c:pt>
                <c:pt idx="22">
                  <c:v>0.35869074072015</c:v>
                </c:pt>
                <c:pt idx="23">
                  <c:v>0.37151059806022402</c:v>
                </c:pt>
                <c:pt idx="24">
                  <c:v>0.38407418473582</c:v>
                </c:pt>
                <c:pt idx="25">
                  <c:v>0.39638662364407501</c:v>
                </c:pt>
                <c:pt idx="26">
                  <c:v>0.40845293526795701</c:v>
                </c:pt>
                <c:pt idx="27">
                  <c:v>0.420278039721109</c:v>
                </c:pt>
                <c:pt idx="28">
                  <c:v>0.431866758763012</c:v>
                </c:pt>
                <c:pt idx="29">
                  <c:v>0.44322381776851899</c:v>
                </c:pt>
                <c:pt idx="30">
                  <c:v>0.454353847655183</c:v>
                </c:pt>
                <c:pt idx="31">
                  <c:v>0.465261386766672</c:v>
                </c:pt>
                <c:pt idx="32">
                  <c:v>0.47595088272200398</c:v>
                </c:pt>
                <c:pt idx="33">
                  <c:v>0.48642669423128598</c:v>
                </c:pt>
                <c:pt idx="34">
                  <c:v>0.49669309287612001</c:v>
                </c:pt>
                <c:pt idx="35">
                  <c:v>0.50675426484806696</c:v>
                </c:pt>
                <c:pt idx="36">
                  <c:v>0.51661431265505298</c:v>
                </c:pt>
                <c:pt idx="37">
                  <c:v>0.52627725679570203</c:v>
                </c:pt>
                <c:pt idx="38">
                  <c:v>0.53574703739819496</c:v>
                </c:pt>
                <c:pt idx="39">
                  <c:v>0.545027515827746</c:v>
                </c:pt>
                <c:pt idx="40">
                  <c:v>0.55412247626005895</c:v>
                </c:pt>
                <c:pt idx="41">
                  <c:v>0.56303562722491396</c:v>
                </c:pt>
                <c:pt idx="42">
                  <c:v>0.57177060311692696</c:v>
                </c:pt>
                <c:pt idx="43">
                  <c:v>0.58033096567984699</c:v>
                </c:pt>
                <c:pt idx="44">
                  <c:v>0.58872020545784798</c:v>
                </c:pt>
                <c:pt idx="45">
                  <c:v>0.59694174321853699</c:v>
                </c:pt>
                <c:pt idx="46">
                  <c:v>0.60499893134668503</c:v>
                </c:pt>
                <c:pt idx="47">
                  <c:v>0.612895055212622</c:v>
                </c:pt>
                <c:pt idx="48">
                  <c:v>0.62063333451309699</c:v>
                </c:pt>
                <c:pt idx="49">
                  <c:v>0.62821692458192602</c:v>
                </c:pt>
                <c:pt idx="50">
                  <c:v>0.62821692458192602</c:v>
                </c:pt>
                <c:pt idx="51">
                  <c:v>0.61565315020455302</c:v>
                </c:pt>
                <c:pt idx="52">
                  <c:v>0.60334563834539301</c:v>
                </c:pt>
                <c:pt idx="53">
                  <c:v>0.59128457589337402</c:v>
                </c:pt>
                <c:pt idx="54">
                  <c:v>0.57946487555865001</c:v>
                </c:pt>
                <c:pt idx="55">
                  <c:v>0.56788140127803799</c:v>
                </c:pt>
                <c:pt idx="56">
                  <c:v>0.55652942262171601</c:v>
                </c:pt>
                <c:pt idx="57">
                  <c:v>0.54540434976208296</c:v>
                </c:pt>
                <c:pt idx="58">
                  <c:v>0.53450166368099705</c:v>
                </c:pt>
                <c:pt idx="59">
                  <c:v>0.523816924625776</c:v>
                </c:pt>
                <c:pt idx="60">
                  <c:v>0.51334576848838998</c:v>
                </c:pt>
                <c:pt idx="61">
                  <c:v>0.50308391779010697</c:v>
                </c:pt>
                <c:pt idx="62">
                  <c:v>0.49302719609236101</c:v>
                </c:pt>
                <c:pt idx="63">
                  <c:v>0.48317151201157599</c:v>
                </c:pt>
                <c:pt idx="64">
                  <c:v>0.47351284836208801</c:v>
                </c:pt>
                <c:pt idx="65">
                  <c:v>0.46404726427085302</c:v>
                </c:pt>
                <c:pt idx="66">
                  <c:v>0.45477089813176502</c:v>
                </c:pt>
                <c:pt idx="67">
                  <c:v>0.44567996714038099</c:v>
                </c:pt>
                <c:pt idx="68">
                  <c:v>0.43677076484529198</c:v>
                </c:pt>
                <c:pt idx="69">
                  <c:v>0.42803965878299599</c:v>
                </c:pt>
                <c:pt idx="70">
                  <c:v>0.41948308881919399</c:v>
                </c:pt>
                <c:pt idx="71">
                  <c:v>0.41109756587006302</c:v>
                </c:pt>
                <c:pt idx="72">
                  <c:v>0.402879670626826</c:v>
                </c:pt>
                <c:pt idx="73">
                  <c:v>0.39482605218553701</c:v>
                </c:pt>
                <c:pt idx="74">
                  <c:v>0.38693342664793001</c:v>
                </c:pt>
                <c:pt idx="75">
                  <c:v>0.379198575815757</c:v>
                </c:pt>
                <c:pt idx="76">
                  <c:v>0.371618345870809</c:v>
                </c:pt>
                <c:pt idx="77">
                  <c:v>0.36418964586963698</c:v>
                </c:pt>
                <c:pt idx="78">
                  <c:v>0.35690944654532297</c:v>
                </c:pt>
                <c:pt idx="79">
                  <c:v>0.34977477927796002</c:v>
                </c:pt>
                <c:pt idx="80">
                  <c:v>0.34278273491512201</c:v>
                </c:pt>
                <c:pt idx="81">
                  <c:v>0.33593046247104302</c:v>
                </c:pt>
                <c:pt idx="82">
                  <c:v>0.32921516789069</c:v>
                </c:pt>
                <c:pt idx="83">
                  <c:v>0.32263411293976901</c:v>
                </c:pt>
                <c:pt idx="84">
                  <c:v>0.316184614136863</c:v>
                </c:pt>
                <c:pt idx="85">
                  <c:v>0.30986404166696901</c:v>
                </c:pt>
                <c:pt idx="86">
                  <c:v>0.30366981828603401</c:v>
                </c:pt>
                <c:pt idx="87">
                  <c:v>0.29759941825865699</c:v>
                </c:pt>
                <c:pt idx="88">
                  <c:v>0.29165036633416702</c:v>
                </c:pt>
                <c:pt idx="89">
                  <c:v>0.285820236745715</c:v>
                </c:pt>
                <c:pt idx="90">
                  <c:v>0.28010665222180398</c:v>
                </c:pt>
                <c:pt idx="91">
                  <c:v>0.27450728301296501</c:v>
                </c:pt>
                <c:pt idx="92">
                  <c:v>0.26901984593984701</c:v>
                </c:pt>
                <c:pt idx="93">
                  <c:v>0.263642103462912</c:v>
                </c:pt>
                <c:pt idx="94">
                  <c:v>0.25837186277250401</c:v>
                </c:pt>
                <c:pt idx="95">
                  <c:v>0.25320697489402499</c:v>
                </c:pt>
                <c:pt idx="96">
                  <c:v>0.24814533381096199</c:v>
                </c:pt>
                <c:pt idx="97">
                  <c:v>0.24318487560591501</c:v>
                </c:pt>
                <c:pt idx="98">
                  <c:v>0.23832357761981601</c:v>
                </c:pt>
                <c:pt idx="99">
                  <c:v>0.23355945762660199</c:v>
                </c:pt>
              </c:numCache>
            </c:numRef>
          </c:yVal>
          <c:smooth val="0"/>
          <c:extLst>
            <c:ext xmlns:c16="http://schemas.microsoft.com/office/drawing/2014/chart" uri="{C3380CC4-5D6E-409C-BE32-E72D297353CC}">
              <c16:uniqueId val="{00000074-CF86-4C2E-BF49-1F263FBF5A1F}"/>
            </c:ext>
          </c:extLst>
        </c:ser>
        <c:ser>
          <c:idx val="117"/>
          <c:order val="117"/>
          <c:tx>
            <c:strRef>
              <c:f>dynamicR!$DW$19</c:f>
              <c:strCache>
                <c:ptCount val="1"/>
                <c:pt idx="0">
                  <c:v>w2AS</c:v>
                </c:pt>
              </c:strCache>
            </c:strRef>
          </c:tx>
          <c:spPr>
            <a:ln w="19050" cap="rnd">
              <a:solidFill>
                <a:schemeClr val="accent4">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dynamicR!$DW$20:$DW$119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-2.30513829335629E-212</c:v>
                </c:pt>
                <c:pt idx="52">
                  <c:v>5.5530811576821396E-214</c:v>
                </c:pt>
                <c:pt idx="53">
                  <c:v>-1.8807497112324E-213</c:v>
                </c:pt>
                <c:pt idx="54">
                  <c:v>2.4731316226616998E-212</c:v>
                </c:pt>
                <c:pt idx="55">
                  <c:v>-1.5568991772964999E-212</c:v>
                </c:pt>
                <c:pt idx="56">
                  <c:v>5.0757554797359797E-212</c:v>
                </c:pt>
                <c:pt idx="57">
                  <c:v>-1.4791995699082099E-212</c:v>
                </c:pt>
                <c:pt idx="58">
                  <c:v>2.75390763054168E-213</c:v>
                </c:pt>
                <c:pt idx="59">
                  <c:v>1.6773969021592999E-214</c:v>
                </c:pt>
                <c:pt idx="60">
                  <c:v>-3.11256975520561E-214</c:v>
                </c:pt>
                <c:pt idx="61">
                  <c:v>1.4816369887828001E-214</c:v>
                </c:pt>
                <c:pt idx="62">
                  <c:v>3.68372615957306E-213</c:v>
                </c:pt>
                <c:pt idx="63">
                  <c:v>2.86095234399544E-213</c:v>
                </c:pt>
                <c:pt idx="64">
                  <c:v>-2.3192205230197601E-213</c:v>
                </c:pt>
                <c:pt idx="65">
                  <c:v>-5.3045295411884004E-214</c:v>
                </c:pt>
                <c:pt idx="66">
                  <c:v>3.7054796162023002E-213</c:v>
                </c:pt>
                <c:pt idx="67">
                  <c:v>-1.1977573735088499E-213</c:v>
                </c:pt>
                <c:pt idx="68">
                  <c:v>-4.06692701690834E-213</c:v>
                </c:pt>
                <c:pt idx="69">
                  <c:v>3.4836932838330603E-213</c:v>
                </c:pt>
                <c:pt idx="70">
                  <c:v>3.2462776487894499E-213</c:v>
                </c:pt>
                <c:pt idx="71">
                  <c:v>-5.9496656593440699E-213</c:v>
                </c:pt>
                <c:pt idx="72">
                  <c:v>-9.8847566159964599E-214</c:v>
                </c:pt>
                <c:pt idx="73">
                  <c:v>7.8637993737436595E-213</c:v>
                </c:pt>
                <c:pt idx="74">
                  <c:v>-2.7873895388473801E-213</c:v>
                </c:pt>
                <c:pt idx="75">
                  <c:v>-8.0442376157113402E-213</c:v>
                </c:pt>
                <c:pt idx="76">
                  <c:v>7.7714013891402806E-213</c:v>
                </c:pt>
                <c:pt idx="77">
                  <c:v>-5.57098151722018E-213</c:v>
                </c:pt>
                <c:pt idx="78">
                  <c:v>2.1781290450021801E-213</c:v>
                </c:pt>
                <c:pt idx="79">
                  <c:v>-5.0404045373702502E-214</c:v>
                </c:pt>
                <c:pt idx="80">
                  <c:v>4.7723285182330403E-215</c:v>
                </c:pt>
                <c:pt idx="81">
                  <c:v>2.8833276682810401E-220</c:v>
                </c:pt>
                <c:pt idx="82">
                  <c:v>-8.9524043648322605E-221</c:v>
                </c:pt>
                <c:pt idx="83">
                  <c:v>1.9050074692615201E-221</c:v>
                </c:pt>
                <c:pt idx="84">
                  <c:v>-2.4958423049227702E-222</c:v>
                </c:pt>
                <c:pt idx="85">
                  <c:v>1.48447902950634E-223</c:v>
                </c:pt>
                <c:pt idx="86">
                  <c:v>3.8052169318716098E-228</c:v>
                </c:pt>
                <c:pt idx="87">
                  <c:v>-7.8257807222815504E-229</c:v>
                </c:pt>
                <c:pt idx="88">
                  <c:v>1.14423997845169E-229</c:v>
                </c:pt>
                <c:pt idx="89">
                  <c:v>-1.0552383795346201E-230</c:v>
                </c:pt>
                <c:pt idx="90">
                  <c:v>4.5743792034701899E-232</c:v>
                </c:pt>
                <c:pt idx="91">
                  <c:v>3.3196600412908098E-236</c:v>
                </c:pt>
                <c:pt idx="92">
                  <c:v>-5.1542222051679796E-237</c:v>
                </c:pt>
                <c:pt idx="93">
                  <c:v>5.75056399713221E-238</c:v>
                </c:pt>
                <c:pt idx="94">
                  <c:v>-4.1020881057009102E-239</c:v>
                </c:pt>
                <c:pt idx="95">
                  <c:v>1.39828550695937E-240</c:v>
                </c:pt>
                <c:pt idx="96">
                  <c:v>2.3127450906330499E-244</c:v>
                </c:pt>
                <c:pt idx="97">
                  <c:v>-2.87721511742896E-245</c:v>
                </c:pt>
                <c:pt idx="98">
                  <c:v>2.5977276535298298E-246</c:v>
                </c:pt>
                <c:pt idx="99">
                  <c:v>-1.5121830332671201E-247</c:v>
                </c:pt>
              </c:numCache>
            </c:numRef>
          </c:yVal>
          <c:smooth val="0"/>
          <c:extLst>
            <c:ext xmlns:c16="http://schemas.microsoft.com/office/drawing/2014/chart" uri="{C3380CC4-5D6E-409C-BE32-E72D297353CC}">
              <c16:uniqueId val="{00000075-CF86-4C2E-BF49-1F263FBF5A1F}"/>
            </c:ext>
          </c:extLst>
        </c:ser>
        <c:ser>
          <c:idx val="118"/>
          <c:order val="118"/>
          <c:tx>
            <c:strRef>
              <c:f>dynamicR!$DX$19</c:f>
              <c:strCache>
                <c:ptCount val="1"/>
                <c:pt idx="0">
                  <c:v>w2AA</c:v>
                </c:pt>
              </c:strCache>
            </c:strRef>
          </c:tx>
          <c:spPr>
            <a:ln w="19050" cap="rnd">
              <a:solidFill>
                <a:schemeClr val="accent5">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dynamicR!$DX$20:$DX$119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0.999999999999999</c:v>
                </c:pt>
                <c:pt idx="15">
                  <c:v>1</c:v>
                </c:pt>
                <c:pt idx="16">
                  <c:v>1</c:v>
                </c:pt>
                <c:pt idx="17">
                  <c:v>0.999999999999998</c:v>
                </c:pt>
                <c:pt idx="18">
                  <c:v>1</c:v>
                </c:pt>
                <c:pt idx="19">
                  <c:v>1</c:v>
                </c:pt>
                <c:pt idx="20">
                  <c:v>0.999999999999997</c:v>
                </c:pt>
                <c:pt idx="21">
                  <c:v>0.999999999999998</c:v>
                </c:pt>
                <c:pt idx="22">
                  <c:v>1.00000000000001</c:v>
                </c:pt>
                <c:pt idx="23">
                  <c:v>0.999999999999996</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0.999999999999999</c:v>
                </c:pt>
                <c:pt idx="38">
                  <c:v>1</c:v>
                </c:pt>
                <c:pt idx="39">
                  <c:v>1</c:v>
                </c:pt>
                <c:pt idx="40">
                  <c:v>1</c:v>
                </c:pt>
                <c:pt idx="41">
                  <c:v>1</c:v>
                </c:pt>
                <c:pt idx="42">
                  <c:v>1</c:v>
                </c:pt>
                <c:pt idx="43">
                  <c:v>1</c:v>
                </c:pt>
                <c:pt idx="44">
                  <c:v>1</c:v>
                </c:pt>
                <c:pt idx="45">
                  <c:v>1</c:v>
                </c:pt>
                <c:pt idx="46">
                  <c:v>1</c:v>
                </c:pt>
                <c:pt idx="47">
                  <c:v>1</c:v>
                </c:pt>
                <c:pt idx="48">
                  <c:v>0.999999999999999</c:v>
                </c:pt>
                <c:pt idx="49">
                  <c:v>1</c:v>
                </c:pt>
                <c:pt idx="50">
                  <c:v>1</c:v>
                </c:pt>
                <c:pt idx="51">
                  <c:v>1.8639398495076301E-23</c:v>
                </c:pt>
                <c:pt idx="52">
                  <c:v>-3.1086626756170199E-27</c:v>
                </c:pt>
                <c:pt idx="53">
                  <c:v>-1.02755245930416E-24</c:v>
                </c:pt>
                <c:pt idx="54">
                  <c:v>-7.7042406918696798E-23</c:v>
                </c:pt>
                <c:pt idx="55">
                  <c:v>4.2090479585906901E-23</c:v>
                </c:pt>
                <c:pt idx="56">
                  <c:v>-1.4462727350715199E-22</c:v>
                </c:pt>
                <c:pt idx="57">
                  <c:v>4.2158557699161797E-23</c:v>
                </c:pt>
                <c:pt idx="58">
                  <c:v>-7.8987545015977897E-24</c:v>
                </c:pt>
                <c:pt idx="59">
                  <c:v>-4.8122333795455399E-25</c:v>
                </c:pt>
                <c:pt idx="60">
                  <c:v>8.9286181773003397E-25</c:v>
                </c:pt>
                <c:pt idx="61">
                  <c:v>-4.2482279881216804E-25</c:v>
                </c:pt>
                <c:pt idx="62">
                  <c:v>-1.05660087016222E-23</c:v>
                </c:pt>
                <c:pt idx="63">
                  <c:v>-8.2060059511487204E-24</c:v>
                </c:pt>
                <c:pt idx="64">
                  <c:v>6.6523445108248603E-24</c:v>
                </c:pt>
                <c:pt idx="65">
                  <c:v>1.5214645040220401E-24</c:v>
                </c:pt>
                <c:pt idx="66">
                  <c:v>-1.06285153866977E-23</c:v>
                </c:pt>
                <c:pt idx="67">
                  <c:v>3.4355987947491398E-24</c:v>
                </c:pt>
                <c:pt idx="68">
                  <c:v>1.16652230026364E-23</c:v>
                </c:pt>
                <c:pt idx="69">
                  <c:v>-9.9923705587446695E-24</c:v>
                </c:pt>
                <c:pt idx="70">
                  <c:v>-9.3113204515842906E-24</c:v>
                </c:pt>
                <c:pt idx="71">
                  <c:v>1.70655190689431E-23</c:v>
                </c:pt>
                <c:pt idx="72">
                  <c:v>2.83524152222902E-24</c:v>
                </c:pt>
                <c:pt idx="73">
                  <c:v>-2.2555815374671099E-23</c:v>
                </c:pt>
                <c:pt idx="74">
                  <c:v>7.9950772547184104E-24</c:v>
                </c:pt>
                <c:pt idx="75">
                  <c:v>2.3073352316370201E-23</c:v>
                </c:pt>
                <c:pt idx="76">
                  <c:v>-2.2290724434470899E-23</c:v>
                </c:pt>
                <c:pt idx="77">
                  <c:v>1.5979146506523901E-23</c:v>
                </c:pt>
                <c:pt idx="78">
                  <c:v>-6.24734237986496E-24</c:v>
                </c:pt>
                <c:pt idx="79">
                  <c:v>1.4455775871368001E-24</c:v>
                </c:pt>
                <c:pt idx="80">
                  <c:v>-1.36787958046776E-25</c:v>
                </c:pt>
                <c:pt idx="81">
                  <c:v>-4.25553057295105E-29</c:v>
                </c:pt>
                <c:pt idx="82">
                  <c:v>1.32124791380914E-29</c:v>
                </c:pt>
                <c:pt idx="83">
                  <c:v>-2.8112406213306001E-30</c:v>
                </c:pt>
                <c:pt idx="84">
                  <c:v>3.68173042489166E-31</c:v>
                </c:pt>
                <c:pt idx="85">
                  <c:v>-2.1839794407587899E-32</c:v>
                </c:pt>
                <c:pt idx="86">
                  <c:v>-1.98064057148335E-35</c:v>
                </c:pt>
                <c:pt idx="87">
                  <c:v>4.0830946231451399E-36</c:v>
                </c:pt>
                <c:pt idx="88">
                  <c:v>-5.9681136826961598E-37</c:v>
                </c:pt>
                <c:pt idx="89">
                  <c:v>5.4969222003097705E-38</c:v>
                </c:pt>
                <c:pt idx="90">
                  <c:v>-2.3620075022721799E-39</c:v>
                </c:pt>
                <c:pt idx="91">
                  <c:v>-5.25992332515473E-42</c:v>
                </c:pt>
                <c:pt idx="92">
                  <c:v>8.1520226366622796E-43</c:v>
                </c:pt>
                <c:pt idx="93">
                  <c:v>-9.0873944058898094E-44</c:v>
                </c:pt>
                <c:pt idx="94">
                  <c:v>6.4606270080048104E-45</c:v>
                </c:pt>
                <c:pt idx="95">
                  <c:v>-2.1511807658718099E-46</c:v>
                </c:pt>
                <c:pt idx="96">
                  <c:v>-1.02599570398153E-48</c:v>
                </c:pt>
                <c:pt idx="97">
                  <c:v>1.2754165866975601E-49</c:v>
                </c:pt>
                <c:pt idx="98">
                  <c:v>-1.1492860552649201E-50</c:v>
                </c:pt>
                <c:pt idx="99">
                  <c:v>6.6391881971581199E-52</c:v>
                </c:pt>
              </c:numCache>
            </c:numRef>
          </c:yVal>
          <c:smooth val="0"/>
          <c:extLst>
            <c:ext xmlns:c16="http://schemas.microsoft.com/office/drawing/2014/chart" uri="{C3380CC4-5D6E-409C-BE32-E72D297353CC}">
              <c16:uniqueId val="{00000076-CF86-4C2E-BF49-1F263FBF5A1F}"/>
            </c:ext>
          </c:extLst>
        </c:ser>
        <c:ser>
          <c:idx val="119"/>
          <c:order val="119"/>
          <c:tx>
            <c:strRef>
              <c:f>dynamicR!$DY$19</c:f>
              <c:strCache>
                <c:ptCount val="1"/>
                <c:pt idx="0">
                  <c:v>w2AP</c:v>
                </c:pt>
              </c:strCache>
            </c:strRef>
          </c:tx>
          <c:spPr>
            <a:ln w="19050" cap="rnd">
              <a:solidFill>
                <a:schemeClr val="accent6">
                  <a:lumMod val="6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dynamicR!$DY$20:$DY$119</c:f>
              <c:numCache>
                <c:formatCode>0.00</c:formatCode>
                <c:ptCount val="100"/>
                <c:pt idx="0">
                  <c:v>0</c:v>
                </c:pt>
                <c:pt idx="1">
                  <c:v>1</c:v>
                </c:pt>
                <c:pt idx="2">
                  <c:v>1</c:v>
                </c:pt>
                <c:pt idx="3">
                  <c:v>1</c:v>
                </c:pt>
                <c:pt idx="4">
                  <c:v>0.99999999999997902</c:v>
                </c:pt>
                <c:pt idx="5">
                  <c:v>1.00000000000006</c:v>
                </c:pt>
                <c:pt idx="6">
                  <c:v>1.00000000000004</c:v>
                </c:pt>
                <c:pt idx="7">
                  <c:v>1.00000000000001</c:v>
                </c:pt>
                <c:pt idx="8">
                  <c:v>1</c:v>
                </c:pt>
                <c:pt idx="9">
                  <c:v>1</c:v>
                </c:pt>
                <c:pt idx="10">
                  <c:v>1.00000000000001</c:v>
                </c:pt>
                <c:pt idx="11">
                  <c:v>1.00000000000001</c:v>
                </c:pt>
                <c:pt idx="12">
                  <c:v>1.00000000000001</c:v>
                </c:pt>
                <c:pt idx="13">
                  <c:v>1.00000000000001</c:v>
                </c:pt>
                <c:pt idx="14">
                  <c:v>0.999999999999997</c:v>
                </c:pt>
                <c:pt idx="15">
                  <c:v>0.99999999999999101</c:v>
                </c:pt>
                <c:pt idx="16">
                  <c:v>1</c:v>
                </c:pt>
                <c:pt idx="17">
                  <c:v>1</c:v>
                </c:pt>
                <c:pt idx="18">
                  <c:v>0.99999999999999101</c:v>
                </c:pt>
                <c:pt idx="19">
                  <c:v>1</c:v>
                </c:pt>
                <c:pt idx="20">
                  <c:v>1.00000000000001</c:v>
                </c:pt>
                <c:pt idx="21">
                  <c:v>0.99999999999998102</c:v>
                </c:pt>
                <c:pt idx="22">
                  <c:v>0.999999999999995</c:v>
                </c:pt>
                <c:pt idx="23">
                  <c:v>1</c:v>
                </c:pt>
                <c:pt idx="24">
                  <c:v>0.999999999999998</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-2.49300994463155E-17</c:v>
                </c:pt>
                <c:pt idx="52">
                  <c:v>3.6283576892315802E-21</c:v>
                </c:pt>
                <c:pt idx="53">
                  <c:v>1.3773717915955501E-18</c:v>
                </c:pt>
                <c:pt idx="54">
                  <c:v>1.03111555383243E-16</c:v>
                </c:pt>
                <c:pt idx="55">
                  <c:v>-5.6330828919918796E-17</c:v>
                </c:pt>
                <c:pt idx="56">
                  <c:v>1.9356122749219899E-16</c:v>
                </c:pt>
                <c:pt idx="57">
                  <c:v>-5.6422710228548405E-17</c:v>
                </c:pt>
                <c:pt idx="58">
                  <c:v>1.05712784532781E-17</c:v>
                </c:pt>
                <c:pt idx="59">
                  <c:v>6.4404398945519603E-19</c:v>
                </c:pt>
                <c:pt idx="60">
                  <c:v>-1.1949593241843099E-18</c:v>
                </c:pt>
                <c:pt idx="61">
                  <c:v>5.6856062239001996E-19</c:v>
                </c:pt>
                <c:pt idx="62">
                  <c:v>1.41409912681337E-17</c:v>
                </c:pt>
                <c:pt idx="63">
                  <c:v>1.0982487528988701E-17</c:v>
                </c:pt>
                <c:pt idx="64">
                  <c:v>-8.9031485209592703E-18</c:v>
                </c:pt>
                <c:pt idx="65">
                  <c:v>-2.0362482248524701E-18</c:v>
                </c:pt>
                <c:pt idx="66">
                  <c:v>1.4224646865398399E-17</c:v>
                </c:pt>
                <c:pt idx="67">
                  <c:v>-4.5980249893703303E-18</c:v>
                </c:pt>
                <c:pt idx="68">
                  <c:v>-1.56121219234225E-17</c:v>
                </c:pt>
                <c:pt idx="69">
                  <c:v>1.3373264026779099E-17</c:v>
                </c:pt>
                <c:pt idx="70">
                  <c:v>1.24617823668881E-17</c:v>
                </c:pt>
                <c:pt idx="71">
                  <c:v>-2.28395946011251E-17</c:v>
                </c:pt>
                <c:pt idx="72">
                  <c:v>-3.7945383847312199E-18</c:v>
                </c:pt>
                <c:pt idx="73">
                  <c:v>3.0187518904469997E-17</c:v>
                </c:pt>
                <c:pt idx="74">
                  <c:v>-1.0700191592896799E-17</c:v>
                </c:pt>
                <c:pt idx="75">
                  <c:v>-3.08801631815958E-17</c:v>
                </c:pt>
                <c:pt idx="76">
                  <c:v>2.98327351488704E-17</c:v>
                </c:pt>
                <c:pt idx="77">
                  <c:v>-2.13856507232468E-17</c:v>
                </c:pt>
                <c:pt idx="78">
                  <c:v>8.3611151228236705E-18</c:v>
                </c:pt>
                <c:pt idx="79">
                  <c:v>-1.9346852376618299E-18</c:v>
                </c:pt>
                <c:pt idx="80">
                  <c:v>1.8306987960167501E-19</c:v>
                </c:pt>
                <c:pt idx="81">
                  <c:v>5.6928369128457004E-23</c:v>
                </c:pt>
                <c:pt idx="82">
                  <c:v>-1.7674996994225999E-23</c:v>
                </c:pt>
                <c:pt idx="83">
                  <c:v>3.7607379487768903E-24</c:v>
                </c:pt>
                <c:pt idx="84">
                  <c:v>-4.9252367414189303E-25</c:v>
                </c:pt>
                <c:pt idx="85">
                  <c:v>2.9216228806819898E-26</c:v>
                </c:pt>
                <c:pt idx="86">
                  <c:v>2.6485239253063001E-29</c:v>
                </c:pt>
                <c:pt idx="87">
                  <c:v>-5.4599434086210503E-30</c:v>
                </c:pt>
                <c:pt idx="88">
                  <c:v>7.9806054027031492E-31</c:v>
                </c:pt>
                <c:pt idx="89">
                  <c:v>-7.3505280002420201E-32</c:v>
                </c:pt>
                <c:pt idx="90">
                  <c:v>3.15850494268394E-33</c:v>
                </c:pt>
                <c:pt idx="91">
                  <c:v>7.0312337231320596E-36</c:v>
                </c:pt>
                <c:pt idx="92">
                  <c:v>-1.08972736045643E-36</c:v>
                </c:pt>
                <c:pt idx="93">
                  <c:v>1.2147641518395201E-37</c:v>
                </c:pt>
                <c:pt idx="94">
                  <c:v>-8.63629902754584E-39</c:v>
                </c:pt>
                <c:pt idx="95">
                  <c:v>2.87562867562628E-40</c:v>
                </c:pt>
                <c:pt idx="96">
                  <c:v>1.37113864870342E-42</c:v>
                </c:pt>
                <c:pt idx="97">
                  <c:v>-1.70446424821327E-43</c:v>
                </c:pt>
                <c:pt idx="98">
                  <c:v>1.53590433271841E-44</c:v>
                </c:pt>
                <c:pt idx="99">
                  <c:v>-8.8726171744321702E-46</c:v>
                </c:pt>
              </c:numCache>
            </c:numRef>
          </c:yVal>
          <c:smooth val="0"/>
          <c:extLst>
            <c:ext xmlns:c16="http://schemas.microsoft.com/office/drawing/2014/chart" uri="{C3380CC4-5D6E-409C-BE32-E72D297353CC}">
              <c16:uniqueId val="{00000077-CF86-4C2E-BF49-1F263FBF5A1F}"/>
            </c:ext>
          </c:extLst>
        </c:ser>
        <c:ser>
          <c:idx val="120"/>
          <c:order val="120"/>
          <c:tx>
            <c:strRef>
              <c:f>dynamicR!$DZ$19</c:f>
              <c:strCache>
                <c:ptCount val="1"/>
                <c:pt idx="0">
                  <c:v>w3AD</c:v>
                </c:pt>
              </c:strCache>
            </c:strRef>
          </c:tx>
          <c:spPr>
            <a:ln w="19050" cap="rnd">
              <a:solidFill>
                <a:schemeClr val="accent1">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dynamicR!$DZ$20:$DZ$119</c:f>
              <c:numCache>
                <c:formatCode>0.00</c:formatCode>
                <c:ptCount val="100"/>
                <c:pt idx="0">
                  <c:v>0</c:v>
                </c:pt>
                <c:pt idx="1">
                  <c:v>1.9994762499019499E-2</c:v>
                </c:pt>
                <c:pt idx="2">
                  <c:v>3.9585195106200101E-2</c:v>
                </c:pt>
                <c:pt idx="3">
                  <c:v>5.8784011670858602E-2</c:v>
                </c:pt>
                <c:pt idx="4">
                  <c:v>7.7599046240599601E-2</c:v>
                </c:pt>
                <c:pt idx="5">
                  <c:v>9.6037967414553504E-2</c:v>
                </c:pt>
                <c:pt idx="6">
                  <c:v>0.11410829078521501</c:v>
                </c:pt>
                <c:pt idx="7">
                  <c:v>0.13181738450189101</c:v>
                </c:pt>
                <c:pt idx="8">
                  <c:v>0.14917247059309999</c:v>
                </c:pt>
                <c:pt idx="9">
                  <c:v>0.166180626369266</c:v>
                </c:pt>
                <c:pt idx="10">
                  <c:v>0.18284878707006</c:v>
                </c:pt>
                <c:pt idx="11">
                  <c:v>0.19918374907130501</c:v>
                </c:pt>
                <c:pt idx="12">
                  <c:v>0.21519217288289899</c:v>
                </c:pt>
                <c:pt idx="13">
                  <c:v>0.23088058575589701</c:v>
                </c:pt>
                <c:pt idx="14">
                  <c:v>0.24625538481179099</c:v>
                </c:pt>
                <c:pt idx="15">
                  <c:v>0.261322839595441</c:v>
                </c:pt>
                <c:pt idx="16">
                  <c:v>0.27608909416975902</c:v>
                </c:pt>
                <c:pt idx="17">
                  <c:v>0.29056016947288499</c:v>
                </c:pt>
                <c:pt idx="18">
                  <c:v>0.30474196601943998</c:v>
                </c:pt>
                <c:pt idx="19">
                  <c:v>0.31864026650146998</c:v>
                </c:pt>
                <c:pt idx="20">
                  <c:v>0.33226073810525503</c:v>
                </c:pt>
                <c:pt idx="21">
                  <c:v>0.34560893470499499</c:v>
                </c:pt>
                <c:pt idx="22">
                  <c:v>0.35869029909647898</c:v>
                </c:pt>
                <c:pt idx="23">
                  <c:v>0.37151016526466901</c:v>
                </c:pt>
                <c:pt idx="24">
                  <c:v>0.38407376059190601</c:v>
                </c:pt>
                <c:pt idx="25">
                  <c:v>0.39638620797885299</c:v>
                </c:pt>
                <c:pt idx="26">
                  <c:v>0.40845252791193898</c:v>
                </c:pt>
                <c:pt idx="27">
                  <c:v>0.420277640508192</c:v>
                </c:pt>
                <c:pt idx="28">
                  <c:v>0.43186636753041402</c:v>
                </c:pt>
                <c:pt idx="29">
                  <c:v>0.44322343435671202</c:v>
                </c:pt>
                <c:pt idx="30">
                  <c:v>0.45435347190782899</c:v>
                </c:pt>
                <c:pt idx="31">
                  <c:v>0.46526101853055801</c:v>
                </c:pt>
                <c:pt idx="32">
                  <c:v>0.475950521846979</c:v>
                </c:pt>
                <c:pt idx="33">
                  <c:v>0.48642634057020101</c:v>
                </c:pt>
                <c:pt idx="34">
                  <c:v>0.49669274628476701</c:v>
                </c:pt>
                <c:pt idx="35">
                  <c:v>0.50675392518512097</c:v>
                </c:pt>
                <c:pt idx="36">
                  <c:v>0.51661397978201395</c:v>
                </c:pt>
                <c:pt idx="37">
                  <c:v>0.52627693057684</c:v>
                </c:pt>
                <c:pt idx="38">
                  <c:v>0.53574671770049098</c:v>
                </c:pt>
                <c:pt idx="39">
                  <c:v>0.54502720252084202</c:v>
                </c:pt>
                <c:pt idx="40">
                  <c:v>0.55412216921620105</c:v>
                </c:pt>
                <c:pt idx="41">
                  <c:v>0.56303532631890296</c:v>
                </c:pt>
                <c:pt idx="42">
                  <c:v>0.571770308226068</c:v>
                </c:pt>
                <c:pt idx="43">
                  <c:v>0.58033067668389604</c:v>
                </c:pt>
                <c:pt idx="44">
                  <c:v>0.58871992223896397</c:v>
                </c:pt>
                <c:pt idx="45">
                  <c:v>0.59694146566123596</c:v>
                </c:pt>
                <c:pt idx="46">
                  <c:v>0.60499865933779096</c:v>
                </c:pt>
                <c:pt idx="47">
                  <c:v>0.61289478864122204</c:v>
                </c:pt>
                <c:pt idx="48">
                  <c:v>0.62063307327049499</c:v>
                </c:pt>
                <c:pt idx="49">
                  <c:v>0.62821666856159797</c:v>
                </c:pt>
                <c:pt idx="50">
                  <c:v>0.62821666856159797</c:v>
                </c:pt>
                <c:pt idx="51">
                  <c:v>0.61565357416070299</c:v>
                </c:pt>
                <c:pt idx="52">
                  <c:v>0.60334605382624495</c:v>
                </c:pt>
                <c:pt idx="53">
                  <c:v>0.59128498306863397</c:v>
                </c:pt>
                <c:pt idx="54">
                  <c:v>0.57946527459453401</c:v>
                </c:pt>
                <c:pt idx="55">
                  <c:v>0.56788179233720804</c:v>
                </c:pt>
                <c:pt idx="56">
                  <c:v>0.55652980586360401</c:v>
                </c:pt>
                <c:pt idx="57">
                  <c:v>0.54540472534292195</c:v>
                </c:pt>
                <c:pt idx="58">
                  <c:v>0.53450203175394195</c:v>
                </c:pt>
                <c:pt idx="59">
                  <c:v>0.52381728534090599</c:v>
                </c:pt>
                <c:pt idx="60">
                  <c:v>0.51334612199278695</c:v>
                </c:pt>
                <c:pt idx="61">
                  <c:v>0.50308426422790398</c:v>
                </c:pt>
                <c:pt idx="62">
                  <c:v>0.49302753560481499</c:v>
                </c:pt>
                <c:pt idx="63">
                  <c:v>0.48317184473712799</c:v>
                </c:pt>
                <c:pt idx="64">
                  <c:v>0.473513174436411</c:v>
                </c:pt>
                <c:pt idx="65">
                  <c:v>0.46404758382690697</c:v>
                </c:pt>
                <c:pt idx="66">
                  <c:v>0.45477121129985199</c:v>
                </c:pt>
                <c:pt idx="67">
                  <c:v>0.44568027404819499</c:v>
                </c:pt>
                <c:pt idx="68">
                  <c:v>0.43677106561797802</c:v>
                </c:pt>
                <c:pt idx="69">
                  <c:v>0.42803995354319702</c:v>
                </c:pt>
                <c:pt idx="70">
                  <c:v>0.41948337768709798</c:v>
                </c:pt>
                <c:pt idx="71">
                  <c:v>0.41109784896345902</c:v>
                </c:pt>
                <c:pt idx="72">
                  <c:v>0.40287994806114702</c:v>
                </c:pt>
                <c:pt idx="73">
                  <c:v>0.394826324073909</c:v>
                </c:pt>
                <c:pt idx="74">
                  <c:v>0.386933693101217</c:v>
                </c:pt>
                <c:pt idx="75">
                  <c:v>0.37919883694260698</c:v>
                </c:pt>
                <c:pt idx="76">
                  <c:v>0.37161860177770001</c:v>
                </c:pt>
                <c:pt idx="77">
                  <c:v>0.364189896660915</c:v>
                </c:pt>
                <c:pt idx="78">
                  <c:v>0.35690969232324898</c:v>
                </c:pt>
                <c:pt idx="79">
                  <c:v>0.34977502014275302</c:v>
                </c:pt>
                <c:pt idx="80">
                  <c:v>0.34278297096499599</c:v>
                </c:pt>
                <c:pt idx="81">
                  <c:v>0.33593069380224899</c:v>
                </c:pt>
                <c:pt idx="82">
                  <c:v>0.329215394597554</c:v>
                </c:pt>
                <c:pt idx="83">
                  <c:v>0.322634335114733</c:v>
                </c:pt>
                <c:pt idx="84">
                  <c:v>0.31618483187051999</c:v>
                </c:pt>
                <c:pt idx="85">
                  <c:v>0.3098642550481</c:v>
                </c:pt>
                <c:pt idx="86">
                  <c:v>0.303670027401648</c:v>
                </c:pt>
                <c:pt idx="87">
                  <c:v>0.297599623194023</c:v>
                </c:pt>
                <c:pt idx="88">
                  <c:v>0.29165056717284699</c:v>
                </c:pt>
                <c:pt idx="89">
                  <c:v>0.28582043356960402</c:v>
                </c:pt>
                <c:pt idx="90">
                  <c:v>0.28010684511115702</c:v>
                </c:pt>
                <c:pt idx="91">
                  <c:v>0.274507472046435</c:v>
                </c:pt>
                <c:pt idx="92">
                  <c:v>0.26902003119451101</c:v>
                </c:pt>
                <c:pt idx="93">
                  <c:v>0.26364228501431197</c:v>
                </c:pt>
                <c:pt idx="94">
                  <c:v>0.25837204069466702</c:v>
                </c:pt>
                <c:pt idx="95">
                  <c:v>0.2532071492595</c:v>
                </c:pt>
                <c:pt idx="96">
                  <c:v>0.24814550469084801</c:v>
                </c:pt>
                <c:pt idx="97">
                  <c:v>0.24318504306989</c:v>
                </c:pt>
                <c:pt idx="98">
                  <c:v>0.238323741736164</c:v>
                </c:pt>
                <c:pt idx="99">
                  <c:v>0.23355961846224199</c:v>
                </c:pt>
              </c:numCache>
            </c:numRef>
          </c:yVal>
          <c:smooth val="0"/>
          <c:extLst>
            <c:ext xmlns:c16="http://schemas.microsoft.com/office/drawing/2014/chart" uri="{C3380CC4-5D6E-409C-BE32-E72D297353CC}">
              <c16:uniqueId val="{00000078-CF86-4C2E-BF49-1F263FBF5A1F}"/>
            </c:ext>
          </c:extLst>
        </c:ser>
        <c:ser>
          <c:idx val="121"/>
          <c:order val="121"/>
          <c:tx>
            <c:strRef>
              <c:f>dynamicR!$EA$19</c:f>
              <c:strCache>
                <c:ptCount val="1"/>
                <c:pt idx="0">
                  <c:v>w3AS</c:v>
                </c:pt>
              </c:strCache>
            </c:strRef>
          </c:tx>
          <c:spPr>
            <a:ln w="19050" cap="rnd">
              <a:solidFill>
                <a:schemeClr val="accent2">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dynamicR!$EA$20:$EA$119</c:f>
              <c:numCache>
                <c:formatCode>0.00</c:formatCode>
                <c:ptCount val="100"/>
                <c:pt idx="0">
                  <c:v>0</c:v>
                </c:pt>
                <c:pt idx="1">
                  <c:v>1</c:v>
                </c:pt>
                <c:pt idx="2">
                  <c:v>0.999999999999998</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-2.3054820369942501E-212</c:v>
                </c:pt>
                <c:pt idx="52">
                  <c:v>5.5539097029042197E-214</c:v>
                </c:pt>
                <c:pt idx="53">
                  <c:v>-1.8810302841514099E-213</c:v>
                </c:pt>
                <c:pt idx="54">
                  <c:v>2.4735004547696001E-212</c:v>
                </c:pt>
                <c:pt idx="55">
                  <c:v>-1.55713135621986E-212</c:v>
                </c:pt>
                <c:pt idx="56">
                  <c:v>5.0765124483561002E-212</c:v>
                </c:pt>
                <c:pt idx="57">
                  <c:v>-1.4794201694308E-212</c:v>
                </c:pt>
                <c:pt idx="58">
                  <c:v>2.7543183338009699E-213</c:v>
                </c:pt>
                <c:pt idx="59">
                  <c:v>1.67764706029922E-214</c:v>
                </c:pt>
                <c:pt idx="60">
                  <c:v>-3.1130339474558E-214</c:v>
                </c:pt>
                <c:pt idx="61">
                  <c:v>1.4818579522928101E-214</c:v>
                </c:pt>
                <c:pt idx="62">
                  <c:v>3.6842755310676799E-213</c:v>
                </c:pt>
                <c:pt idx="63">
                  <c:v>2.86137901134126E-213</c:v>
                </c:pt>
                <c:pt idx="64">
                  <c:v>-2.31956639934055E-213</c:v>
                </c:pt>
                <c:pt idx="65">
                  <c:v>-5.3053206307489299E-214</c:v>
                </c:pt>
                <c:pt idx="66">
                  <c:v>3.7060322318939702E-213</c:v>
                </c:pt>
                <c:pt idx="67">
                  <c:v>-1.1979360007285E-213</c:v>
                </c:pt>
                <c:pt idx="68">
                  <c:v>-4.0675335369590201E-213</c:v>
                </c:pt>
                <c:pt idx="69">
                  <c:v>3.4842128234806898E-213</c:v>
                </c:pt>
                <c:pt idx="70">
                  <c:v>3.24676178152031E-213</c:v>
                </c:pt>
                <c:pt idx="71">
                  <c:v>-5.9505529611084701E-213</c:v>
                </c:pt>
                <c:pt idx="72">
                  <c:v>-9.8862307764741803E-214</c:v>
                </c:pt>
                <c:pt idx="73">
                  <c:v>7.8649721393166595E-213</c:v>
                </c:pt>
                <c:pt idx="74">
                  <c:v>-2.7878052354251699E-213</c:v>
                </c:pt>
                <c:pt idx="75">
                  <c:v>-8.0454372908920804E-213</c:v>
                </c:pt>
                <c:pt idx="76">
                  <c:v>7.7725603749643897E-213</c:v>
                </c:pt>
                <c:pt idx="77">
                  <c:v>-5.5718123440262202E-213</c:v>
                </c:pt>
                <c:pt idx="78">
                  <c:v>2.1784538796803399E-213</c:v>
                </c:pt>
                <c:pt idx="79">
                  <c:v>-5.04115623670511E-214</c:v>
                </c:pt>
                <c:pt idx="80">
                  <c:v>4.7730402380258696E-215</c:v>
                </c:pt>
                <c:pt idx="81">
                  <c:v>2.8837628026462501E-220</c:v>
                </c:pt>
                <c:pt idx="82">
                  <c:v>-8.9537559044535801E-221</c:v>
                </c:pt>
                <c:pt idx="83">
                  <c:v>1.90529513714209E-221</c:v>
                </c:pt>
                <c:pt idx="84">
                  <c:v>-2.4962190632718199E-222</c:v>
                </c:pt>
                <c:pt idx="85">
                  <c:v>1.4847030014643101E-223</c:v>
                </c:pt>
                <c:pt idx="86">
                  <c:v>3.8002164570563597E-228</c:v>
                </c:pt>
                <c:pt idx="87">
                  <c:v>-7.8269726476299604E-229</c:v>
                </c:pt>
                <c:pt idx="88">
                  <c:v>1.1444141623157901E-229</c:v>
                </c:pt>
                <c:pt idx="89">
                  <c:v>-1.0553989232252001E-230</c:v>
                </c:pt>
                <c:pt idx="90">
                  <c:v>4.5750710288756799E-232</c:v>
                </c:pt>
                <c:pt idx="91">
                  <c:v>3.3211246007152499E-236</c:v>
                </c:pt>
                <c:pt idx="92">
                  <c:v>-5.1550154554310302E-237</c:v>
                </c:pt>
                <c:pt idx="93">
                  <c:v>5.751450124278E-238</c:v>
                </c:pt>
                <c:pt idx="94">
                  <c:v>-4.1027177371172002E-239</c:v>
                </c:pt>
                <c:pt idx="95">
                  <c:v>1.39849991051474E-240</c:v>
                </c:pt>
                <c:pt idx="96">
                  <c:v>2.3116967493457599E-244</c:v>
                </c:pt>
                <c:pt idx="97">
                  <c:v>-2.8776592505882402E-245</c:v>
                </c:pt>
                <c:pt idx="98">
                  <c:v>2.5981280512318101E-246</c:v>
                </c:pt>
                <c:pt idx="99">
                  <c:v>-1.51241447280119E-247</c:v>
                </c:pt>
              </c:numCache>
            </c:numRef>
          </c:yVal>
          <c:smooth val="0"/>
          <c:extLst>
            <c:ext xmlns:c16="http://schemas.microsoft.com/office/drawing/2014/chart" uri="{C3380CC4-5D6E-409C-BE32-E72D297353CC}">
              <c16:uniqueId val="{00000079-CF86-4C2E-BF49-1F263FBF5A1F}"/>
            </c:ext>
          </c:extLst>
        </c:ser>
        <c:ser>
          <c:idx val="122"/>
          <c:order val="122"/>
          <c:tx>
            <c:strRef>
              <c:f>dynamicR!$EB$19</c:f>
              <c:strCache>
                <c:ptCount val="1"/>
                <c:pt idx="0">
                  <c:v>w3AA</c:v>
                </c:pt>
              </c:strCache>
            </c:strRef>
          </c:tx>
          <c:spPr>
            <a:ln w="19050" cap="rnd">
              <a:solidFill>
                <a:schemeClr val="accent3">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dynamicR!$EB$20:$EB$119</c:f>
              <c:numCache>
                <c:formatCode>0.00</c:formatCode>
                <c:ptCount val="100"/>
                <c:pt idx="0">
                  <c:v>0</c:v>
                </c:pt>
                <c:pt idx="1">
                  <c:v>1</c:v>
                </c:pt>
                <c:pt idx="2">
                  <c:v>0.999999999999998</c:v>
                </c:pt>
                <c:pt idx="3">
                  <c:v>0.999999999999997</c:v>
                </c:pt>
                <c:pt idx="4">
                  <c:v>1</c:v>
                </c:pt>
                <c:pt idx="5">
                  <c:v>1</c:v>
                </c:pt>
                <c:pt idx="6">
                  <c:v>1</c:v>
                </c:pt>
                <c:pt idx="7">
                  <c:v>1</c:v>
                </c:pt>
                <c:pt idx="8">
                  <c:v>1</c:v>
                </c:pt>
                <c:pt idx="9">
                  <c:v>1</c:v>
                </c:pt>
                <c:pt idx="10">
                  <c:v>1</c:v>
                </c:pt>
                <c:pt idx="11">
                  <c:v>1</c:v>
                </c:pt>
                <c:pt idx="12">
                  <c:v>1</c:v>
                </c:pt>
                <c:pt idx="13">
                  <c:v>1</c:v>
                </c:pt>
                <c:pt idx="14">
                  <c:v>0.999999999999999</c:v>
                </c:pt>
                <c:pt idx="15">
                  <c:v>1</c:v>
                </c:pt>
                <c:pt idx="16">
                  <c:v>1</c:v>
                </c:pt>
                <c:pt idx="17">
                  <c:v>0.999999999999998</c:v>
                </c:pt>
                <c:pt idx="18">
                  <c:v>1</c:v>
                </c:pt>
                <c:pt idx="19">
                  <c:v>1</c:v>
                </c:pt>
                <c:pt idx="20">
                  <c:v>0.999999999999997</c:v>
                </c:pt>
                <c:pt idx="21">
                  <c:v>0.999999999999997</c:v>
                </c:pt>
                <c:pt idx="22">
                  <c:v>1.00000000000001</c:v>
                </c:pt>
                <c:pt idx="23">
                  <c:v>0.999999999999996</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0.999999999999999</c:v>
                </c:pt>
                <c:pt idx="49">
                  <c:v>1</c:v>
                </c:pt>
                <c:pt idx="50">
                  <c:v>1</c:v>
                </c:pt>
                <c:pt idx="51">
                  <c:v>2.4537454809047501E-20</c:v>
                </c:pt>
                <c:pt idx="52">
                  <c:v>-3.9699500310472496E-24</c:v>
                </c:pt>
                <c:pt idx="53">
                  <c:v>-1.35337687217168E-21</c:v>
                </c:pt>
                <c:pt idx="54">
                  <c:v>-1.01437097513824E-19</c:v>
                </c:pt>
                <c:pt idx="55">
                  <c:v>5.5417635887120197E-20</c:v>
                </c:pt>
                <c:pt idx="56">
                  <c:v>-1.90421401781813E-19</c:v>
                </c:pt>
                <c:pt idx="57">
                  <c:v>5.5507572502300499E-20</c:v>
                </c:pt>
                <c:pt idx="58">
                  <c:v>-1.0399873791539901E-20</c:v>
                </c:pt>
                <c:pt idx="59">
                  <c:v>-6.3356416885197199E-22</c:v>
                </c:pt>
                <c:pt idx="60">
                  <c:v>1.17554607505336E-21</c:v>
                </c:pt>
                <c:pt idx="61">
                  <c:v>-5.5938815571530195E-22</c:v>
                </c:pt>
                <c:pt idx="62">
                  <c:v>-1.3911591092092901E-20</c:v>
                </c:pt>
                <c:pt idx="63">
                  <c:v>-1.08043408327176E-20</c:v>
                </c:pt>
                <c:pt idx="64">
                  <c:v>8.7586726538803095E-21</c:v>
                </c:pt>
                <c:pt idx="65">
                  <c:v>2.0032255187700399E-21</c:v>
                </c:pt>
                <c:pt idx="66">
                  <c:v>-1.3993852815772499E-20</c:v>
                </c:pt>
                <c:pt idx="67">
                  <c:v>4.5234081690389497E-21</c:v>
                </c:pt>
                <c:pt idx="68">
                  <c:v>1.5358829570136099E-20</c:v>
                </c:pt>
                <c:pt idx="69">
                  <c:v>-1.31562802458537E-20</c:v>
                </c:pt>
                <c:pt idx="70">
                  <c:v>-1.22596088535172E-20</c:v>
                </c:pt>
                <c:pt idx="71">
                  <c:v>2.2469039570275899E-20</c:v>
                </c:pt>
                <c:pt idx="72">
                  <c:v>3.7329810623260902E-21</c:v>
                </c:pt>
                <c:pt idx="73">
                  <c:v>-2.9697763719024502E-20</c:v>
                </c:pt>
                <c:pt idx="74">
                  <c:v>1.05266009327228E-20</c:v>
                </c:pt>
                <c:pt idx="75">
                  <c:v>3.0379175952897199E-20</c:v>
                </c:pt>
                <c:pt idx="76">
                  <c:v>-2.93487572967323E-20</c:v>
                </c:pt>
                <c:pt idx="77">
                  <c:v>2.10387465350618E-20</c:v>
                </c:pt>
                <c:pt idx="78">
                  <c:v>-8.2255347783657304E-21</c:v>
                </c:pt>
                <c:pt idx="79">
                  <c:v>1.9033524177059899E-21</c:v>
                </c:pt>
                <c:pt idx="80">
                  <c:v>-1.80131898840353E-22</c:v>
                </c:pt>
                <c:pt idx="81">
                  <c:v>-4.22267611487255E-26</c:v>
                </c:pt>
                <c:pt idx="82">
                  <c:v>1.3110545320521099E-26</c:v>
                </c:pt>
                <c:pt idx="83">
                  <c:v>-2.78959590623673E-27</c:v>
                </c:pt>
                <c:pt idx="84">
                  <c:v>3.65360458610446E-28</c:v>
                </c:pt>
                <c:pt idx="85">
                  <c:v>-2.1682106025839099E-29</c:v>
                </c:pt>
                <c:pt idx="86">
                  <c:v>-1.6640960735156999E-32</c:v>
                </c:pt>
                <c:pt idx="87">
                  <c:v>3.4305757247084797E-33</c:v>
                </c:pt>
                <c:pt idx="88">
                  <c:v>-5.0145181062269998E-34</c:v>
                </c:pt>
                <c:pt idx="89">
                  <c:v>4.6192161120095301E-35</c:v>
                </c:pt>
                <c:pt idx="90">
                  <c:v>-1.9866620527159698E-36</c:v>
                </c:pt>
                <c:pt idx="91">
                  <c:v>-3.9808274441715301E-39</c:v>
                </c:pt>
                <c:pt idx="92">
                  <c:v>6.1697572205222003E-40</c:v>
                </c:pt>
                <c:pt idx="93">
                  <c:v>-6.8780820703562802E-41</c:v>
                </c:pt>
                <c:pt idx="94">
                  <c:v>4.8910447326247299E-42</c:v>
                </c:pt>
                <c:pt idx="95">
                  <c:v>-1.6311870705712501E-43</c:v>
                </c:pt>
                <c:pt idx="96">
                  <c:v>-7.2583667034875902E-46</c:v>
                </c:pt>
                <c:pt idx="97">
                  <c:v>9.0231574094246508E-47</c:v>
                </c:pt>
                <c:pt idx="98">
                  <c:v>-8.1315343135349798E-48</c:v>
                </c:pt>
                <c:pt idx="99">
                  <c:v>4.6990385583128298E-49</c:v>
                </c:pt>
              </c:numCache>
            </c:numRef>
          </c:yVal>
          <c:smooth val="0"/>
          <c:extLst>
            <c:ext xmlns:c16="http://schemas.microsoft.com/office/drawing/2014/chart" uri="{C3380CC4-5D6E-409C-BE32-E72D297353CC}">
              <c16:uniqueId val="{0000007A-CF86-4C2E-BF49-1F263FBF5A1F}"/>
            </c:ext>
          </c:extLst>
        </c:ser>
        <c:ser>
          <c:idx val="123"/>
          <c:order val="123"/>
          <c:tx>
            <c:strRef>
              <c:f>dynamicR!$EC$19</c:f>
              <c:strCache>
                <c:ptCount val="1"/>
                <c:pt idx="0">
                  <c:v>w3AP</c:v>
                </c:pt>
              </c:strCache>
            </c:strRef>
          </c:tx>
          <c:spPr>
            <a:ln w="19050" cap="rnd">
              <a:solidFill>
                <a:schemeClr val="accent4">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dynamicR!$EC$20:$EC$119</c:f>
              <c:numCache>
                <c:formatCode>0.00</c:formatCode>
                <c:ptCount val="100"/>
                <c:pt idx="0">
                  <c:v>0</c:v>
                </c:pt>
                <c:pt idx="1">
                  <c:v>1.0000000000001401</c:v>
                </c:pt>
                <c:pt idx="2">
                  <c:v>1.00000000000031</c:v>
                </c:pt>
                <c:pt idx="3">
                  <c:v>1.0000000000007201</c:v>
                </c:pt>
                <c:pt idx="4">
                  <c:v>1.00000000000005</c:v>
                </c:pt>
                <c:pt idx="5">
                  <c:v>1.00000000000006</c:v>
                </c:pt>
                <c:pt idx="6">
                  <c:v>1.00000000000004</c:v>
                </c:pt>
                <c:pt idx="7">
                  <c:v>1.00000000000002</c:v>
                </c:pt>
                <c:pt idx="8">
                  <c:v>1</c:v>
                </c:pt>
                <c:pt idx="9">
                  <c:v>1</c:v>
                </c:pt>
                <c:pt idx="10">
                  <c:v>1.00000000000001</c:v>
                </c:pt>
                <c:pt idx="11">
                  <c:v>1.00000000000001</c:v>
                </c:pt>
                <c:pt idx="12">
                  <c:v>1.00000000000001</c:v>
                </c:pt>
                <c:pt idx="13">
                  <c:v>1.00000000000001</c:v>
                </c:pt>
                <c:pt idx="14">
                  <c:v>0.999999999999997</c:v>
                </c:pt>
                <c:pt idx="15">
                  <c:v>0.99999999999999101</c:v>
                </c:pt>
                <c:pt idx="16">
                  <c:v>1</c:v>
                </c:pt>
                <c:pt idx="17">
                  <c:v>1</c:v>
                </c:pt>
                <c:pt idx="18">
                  <c:v>0.99999999999999101</c:v>
                </c:pt>
                <c:pt idx="19">
                  <c:v>1.00000000000001</c:v>
                </c:pt>
                <c:pt idx="20">
                  <c:v>1.00000000000001</c:v>
                </c:pt>
                <c:pt idx="21">
                  <c:v>0.99999999999998201</c:v>
                </c:pt>
                <c:pt idx="22">
                  <c:v>0.999999999999995</c:v>
                </c:pt>
                <c:pt idx="23">
                  <c:v>1</c:v>
                </c:pt>
                <c:pt idx="24">
                  <c:v>0.999999999999998</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-3.2427471824099197E-14</c:v>
                </c:pt>
                <c:pt idx="52">
                  <c:v>4.7273599519217499E-18</c:v>
                </c:pt>
                <c:pt idx="53">
                  <c:v>1.7915217648018102E-15</c:v>
                </c:pt>
                <c:pt idx="54">
                  <c:v>1.34120600119004E-13</c:v>
                </c:pt>
                <c:pt idx="55">
                  <c:v>-7.3271518314762006E-14</c:v>
                </c:pt>
                <c:pt idx="56">
                  <c:v>2.5177198339664802E-13</c:v>
                </c:pt>
                <c:pt idx="57">
                  <c:v>-7.3391184925102704E-14</c:v>
                </c:pt>
                <c:pt idx="58">
                  <c:v>1.37505558922896E-14</c:v>
                </c:pt>
                <c:pt idx="59">
                  <c:v>8.3768896745310596E-16</c:v>
                </c:pt>
                <c:pt idx="60">
                  <c:v>-1.55428924968327E-15</c:v>
                </c:pt>
                <c:pt idx="61">
                  <c:v>7.3961455941706105E-16</c:v>
                </c:pt>
                <c:pt idx="62">
                  <c:v>1.83936954204067E-14</c:v>
                </c:pt>
                <c:pt idx="63">
                  <c:v>1.4285336103351099E-14</c:v>
                </c:pt>
                <c:pt idx="64">
                  <c:v>-1.15805845681607E-14</c:v>
                </c:pt>
                <c:pt idx="65">
                  <c:v>-2.6486344946996E-15</c:v>
                </c:pt>
                <c:pt idx="66">
                  <c:v>1.8502460629910701E-14</c:v>
                </c:pt>
                <c:pt idx="67">
                  <c:v>-5.9807818956941903E-15</c:v>
                </c:pt>
                <c:pt idx="68">
                  <c:v>-2.0307212257642399E-14</c:v>
                </c:pt>
                <c:pt idx="69">
                  <c:v>1.7395034840735699E-14</c:v>
                </c:pt>
                <c:pt idx="70">
                  <c:v>1.6209469480808701E-14</c:v>
                </c:pt>
                <c:pt idx="71">
                  <c:v>-2.9708224425332001E-14</c:v>
                </c:pt>
                <c:pt idx="72">
                  <c:v>-4.9356911239585499E-15</c:v>
                </c:pt>
                <c:pt idx="73">
                  <c:v>3.92659342077342E-14</c:v>
                </c:pt>
                <c:pt idx="74">
                  <c:v>-1.3918112607626401E-14</c:v>
                </c:pt>
                <c:pt idx="75">
                  <c:v>-4.0166887161386098E-14</c:v>
                </c:pt>
                <c:pt idx="76">
                  <c:v>3.8804483190838501E-14</c:v>
                </c:pt>
                <c:pt idx="77">
                  <c:v>-2.7817112593751901E-14</c:v>
                </c:pt>
                <c:pt idx="78">
                  <c:v>1.0875677722885199E-14</c:v>
                </c:pt>
                <c:pt idx="79">
                  <c:v>-2.51658378761521E-15</c:v>
                </c:pt>
                <c:pt idx="80">
                  <c:v>2.3816767133164198E-16</c:v>
                </c:pt>
                <c:pt idx="81">
                  <c:v>5.5832446236049805E-20</c:v>
                </c:pt>
                <c:pt idx="82">
                  <c:v>-1.7334832198719299E-20</c:v>
                </c:pt>
                <c:pt idx="83">
                  <c:v>3.6884184437029803E-21</c:v>
                </c:pt>
                <c:pt idx="84">
                  <c:v>-4.8308153187725802E-22</c:v>
                </c:pt>
                <c:pt idx="85">
                  <c:v>2.8668195964688501E-23</c:v>
                </c:pt>
                <c:pt idx="86">
                  <c:v>2.2002581755643099E-26</c:v>
                </c:pt>
                <c:pt idx="87">
                  <c:v>-4.5359016568829101E-27</c:v>
                </c:pt>
                <c:pt idx="88">
                  <c:v>6.63018778808561E-28</c:v>
                </c:pt>
                <c:pt idx="89">
                  <c:v>-6.1075202878490704E-29</c:v>
                </c:pt>
                <c:pt idx="90">
                  <c:v>2.6267616918283299E-30</c:v>
                </c:pt>
                <c:pt idx="91">
                  <c:v>5.2634036991966198E-33</c:v>
                </c:pt>
                <c:pt idx="92">
                  <c:v>-8.1575849774985704E-34</c:v>
                </c:pt>
                <c:pt idx="93">
                  <c:v>9.0941244531555002E-35</c:v>
                </c:pt>
                <c:pt idx="94">
                  <c:v>-6.4668859197723203E-36</c:v>
                </c:pt>
                <c:pt idx="95">
                  <c:v>2.1567379877357101E-37</c:v>
                </c:pt>
                <c:pt idx="96">
                  <c:v>9.5968793599914908E-40</c:v>
                </c:pt>
                <c:pt idx="97">
                  <c:v>-1.19302478108412E-40</c:v>
                </c:pt>
                <c:pt idx="98">
                  <c:v>1.0751361004338701E-41</c:v>
                </c:pt>
                <c:pt idx="99">
                  <c:v>-6.2129803325069902E-43</c:v>
                </c:pt>
              </c:numCache>
            </c:numRef>
          </c:yVal>
          <c:smooth val="0"/>
          <c:extLst>
            <c:ext xmlns:c16="http://schemas.microsoft.com/office/drawing/2014/chart" uri="{C3380CC4-5D6E-409C-BE32-E72D297353CC}">
              <c16:uniqueId val="{0000007B-CF86-4C2E-BF49-1F263FBF5A1F}"/>
            </c:ext>
          </c:extLst>
        </c:ser>
        <c:ser>
          <c:idx val="124"/>
          <c:order val="124"/>
          <c:tx>
            <c:strRef>
              <c:f>dynamicR!$ED$19</c:f>
              <c:strCache>
                <c:ptCount val="1"/>
                <c:pt idx="0">
                  <c:v>sdAD</c:v>
                </c:pt>
              </c:strCache>
            </c:strRef>
          </c:tx>
          <c:spPr>
            <a:ln w="19050" cap="rnd">
              <a:solidFill>
                <a:schemeClr val="accent5">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dynamicR!$ED$20:$ED$119</c:f>
              <c:numCache>
                <c:formatCode>0.00</c:formatCode>
                <c:ptCount val="100"/>
                <c:pt idx="0">
                  <c:v>0</c:v>
                </c:pt>
                <c:pt idx="1">
                  <c:v>1.9994596761715801E-2</c:v>
                </c:pt>
                <c:pt idx="2">
                  <c:v>3.95850326820067E-2</c:v>
                </c:pt>
                <c:pt idx="3">
                  <c:v>5.8783852493545903E-2</c:v>
                </c:pt>
                <c:pt idx="4">
                  <c:v>7.7598890245262897E-2</c:v>
                </c:pt>
                <c:pt idx="5">
                  <c:v>9.6037814537585003E-2</c:v>
                </c:pt>
                <c:pt idx="6">
                  <c:v>0.114108140964278</c:v>
                </c:pt>
                <c:pt idx="7">
                  <c:v>0.13181723767589401</c:v>
                </c:pt>
                <c:pt idx="8">
                  <c:v>0.14917232670217401</c:v>
                </c:pt>
                <c:pt idx="9">
                  <c:v>0.16618048535474</c:v>
                </c:pt>
                <c:pt idx="10">
                  <c:v>0.182848648874432</c:v>
                </c:pt>
                <c:pt idx="11">
                  <c:v>0.19918361363822601</c:v>
                </c:pt>
                <c:pt idx="12">
                  <c:v>0.21519204015714599</c:v>
                </c:pt>
                <c:pt idx="13">
                  <c:v>0.230880455683349</c:v>
                </c:pt>
                <c:pt idx="14">
                  <c:v>0.24625525733941001</c:v>
                </c:pt>
                <c:pt idx="15">
                  <c:v>0.26132271467125001</c:v>
                </c:pt>
                <c:pt idx="16">
                  <c:v>0.27608897174281899</c:v>
                </c:pt>
                <c:pt idx="17">
                  <c:v>0.29056004949327602</c:v>
                </c:pt>
                <c:pt idx="18">
                  <c:v>0.30474184843823998</c:v>
                </c:pt>
                <c:pt idx="19">
                  <c:v>0.31864015127073397</c:v>
                </c:pt>
                <c:pt idx="20">
                  <c:v>0.33226062517799698</c:v>
                </c:pt>
                <c:pt idx="21">
                  <c:v>0.34560882403516702</c:v>
                </c:pt>
                <c:pt idx="22">
                  <c:v>0.35869019063895602</c:v>
                </c:pt>
                <c:pt idx="23">
                  <c:v>0.37151005897522599</c:v>
                </c:pt>
                <c:pt idx="24">
                  <c:v>0.38407365642720298</c:v>
                </c:pt>
                <c:pt idx="25">
                  <c:v>0.39638610589641698</c:v>
                </c:pt>
                <c:pt idx="26">
                  <c:v>0.40845242787014402</c:v>
                </c:pt>
                <c:pt idx="27">
                  <c:v>0.42027754246624599</c:v>
                </c:pt>
                <c:pt idx="28">
                  <c:v>0.431866271448339</c:v>
                </c:pt>
                <c:pt idx="29">
                  <c:v>0.44322334019533099</c:v>
                </c:pt>
                <c:pt idx="30">
                  <c:v>0.454353379628747</c:v>
                </c:pt>
                <c:pt idx="31">
                  <c:v>0.465260928096147</c:v>
                </c:pt>
                <c:pt idx="32">
                  <c:v>0.47595043322036401</c:v>
                </c:pt>
                <c:pt idx="33">
                  <c:v>0.48642625371524301</c:v>
                </c:pt>
                <c:pt idx="34">
                  <c:v>0.49669266116605099</c:v>
                </c:pt>
                <c:pt idx="35">
                  <c:v>0.50675384176794003</c:v>
                </c:pt>
                <c:pt idx="36">
                  <c:v>0.51661389803235302</c:v>
                </c:pt>
                <c:pt idx="37">
                  <c:v>0.52627685046136596</c:v>
                </c:pt>
                <c:pt idx="38">
                  <c:v>0.53574663918653598</c:v>
                </c:pt>
                <c:pt idx="39">
                  <c:v>0.54502712557639099</c:v>
                </c:pt>
                <c:pt idx="40">
                  <c:v>0.55412209380987998</c:v>
                </c:pt>
                <c:pt idx="41">
                  <c:v>0.56303525241996499</c:v>
                </c:pt>
                <c:pt idx="42">
                  <c:v>0.57177023580437902</c:v>
                </c:pt>
                <c:pt idx="43">
                  <c:v>0.58033060570992601</c:v>
                </c:pt>
                <c:pt idx="44">
                  <c:v>0.58871985268377303</c:v>
                </c:pt>
                <c:pt idx="45">
                  <c:v>0.59694139749646302</c:v>
                </c:pt>
                <c:pt idx="46">
                  <c:v>0.60499859253564103</c:v>
                </c:pt>
                <c:pt idx="47">
                  <c:v>0.61289472317445604</c:v>
                </c:pt>
                <c:pt idx="48">
                  <c:v>0.62063300911241803</c:v>
                </c:pt>
                <c:pt idx="49">
                  <c:v>0.62821660568604998</c:v>
                </c:pt>
                <c:pt idx="50">
                  <c:v>0.62821660568604998</c:v>
                </c:pt>
                <c:pt idx="51">
                  <c:v>0.61565367827929096</c:v>
                </c:pt>
                <c:pt idx="52">
                  <c:v>0.60334615586338802</c:v>
                </c:pt>
                <c:pt idx="53">
                  <c:v>0.59128508306604199</c:v>
                </c:pt>
                <c:pt idx="54">
                  <c:v>0.57946537259299002</c:v>
                </c:pt>
                <c:pt idx="55">
                  <c:v>0.56788188837671705</c:v>
                </c:pt>
                <c:pt idx="56">
                  <c:v>0.55652989998320601</c:v>
                </c:pt>
                <c:pt idx="57">
                  <c:v>0.54540481758112702</c:v>
                </c:pt>
                <c:pt idx="58">
                  <c:v>0.53450212214827897</c:v>
                </c:pt>
                <c:pt idx="59">
                  <c:v>0.523817373928255</c:v>
                </c:pt>
                <c:pt idx="60">
                  <c:v>0.51334620880926496</c:v>
                </c:pt>
                <c:pt idx="61">
                  <c:v>0.503084349308908</c:v>
                </c:pt>
                <c:pt idx="62">
                  <c:v>0.493027618985033</c:v>
                </c:pt>
                <c:pt idx="63">
                  <c:v>0.483171926450565</c:v>
                </c:pt>
                <c:pt idx="64">
                  <c:v>0.47351325451638998</c:v>
                </c:pt>
                <c:pt idx="65">
                  <c:v>0.46404766230607503</c:v>
                </c:pt>
                <c:pt idx="66">
                  <c:v>0.45477128821020701</c:v>
                </c:pt>
                <c:pt idx="67">
                  <c:v>0.44568034942110701</c:v>
                </c:pt>
                <c:pt idx="68">
                  <c:v>0.43677113948417801</c:v>
                </c:pt>
                <c:pt idx="69">
                  <c:v>0.428040025932794</c:v>
                </c:pt>
                <c:pt idx="70">
                  <c:v>0.41948344862961801</c:v>
                </c:pt>
                <c:pt idx="71">
                  <c:v>0.411097918487837</c:v>
                </c:pt>
                <c:pt idx="72">
                  <c:v>0.402880016195719</c:v>
                </c:pt>
                <c:pt idx="73">
                  <c:v>0.39482639084645299</c:v>
                </c:pt>
                <c:pt idx="74">
                  <c:v>0.38693375853897899</c:v>
                </c:pt>
                <c:pt idx="75">
                  <c:v>0.379198901072265</c:v>
                </c:pt>
                <c:pt idx="76">
                  <c:v>0.37161866462538201</c:v>
                </c:pt>
                <c:pt idx="77">
                  <c:v>0.36418995825227601</c:v>
                </c:pt>
                <c:pt idx="78">
                  <c:v>0.35690975268338399</c:v>
                </c:pt>
                <c:pt idx="79">
                  <c:v>0.34977507929628299</c:v>
                </c:pt>
                <c:pt idx="80">
                  <c:v>0.34278302893603801</c:v>
                </c:pt>
                <c:pt idx="81">
                  <c:v>0.335930750614442</c:v>
                </c:pt>
                <c:pt idx="82">
                  <c:v>0.32921545027406501</c:v>
                </c:pt>
                <c:pt idx="83">
                  <c:v>0.32263438967826202</c:v>
                </c:pt>
                <c:pt idx="84">
                  <c:v>0.31618488534331701</c:v>
                </c:pt>
                <c:pt idx="85">
                  <c:v>0.30986430745196902</c:v>
                </c:pt>
                <c:pt idx="86">
                  <c:v>0.30367007875795698</c:v>
                </c:pt>
                <c:pt idx="87">
                  <c:v>0.29759967352371203</c:v>
                </c:pt>
                <c:pt idx="88">
                  <c:v>0.29165061649643897</c:v>
                </c:pt>
                <c:pt idx="89">
                  <c:v>0.28582048190721099</c:v>
                </c:pt>
                <c:pt idx="90">
                  <c:v>0.28010689248248899</c:v>
                </c:pt>
                <c:pt idx="91">
                  <c:v>0.27450751847080701</c:v>
                </c:pt>
                <c:pt idx="92">
                  <c:v>0.26902007669085498</c:v>
                </c:pt>
                <c:pt idx="93">
                  <c:v>0.26364232960117701</c:v>
                </c:pt>
                <c:pt idx="94">
                  <c:v>0.25837208439023501</c:v>
                </c:pt>
                <c:pt idx="95">
                  <c:v>0.25320719208158798</c:v>
                </c:pt>
                <c:pt idx="96">
                  <c:v>0.24814554665691699</c:v>
                </c:pt>
                <c:pt idx="97">
                  <c:v>0.24318508419705101</c:v>
                </c:pt>
                <c:pt idx="98">
                  <c:v>0.23832378204118701</c:v>
                </c:pt>
                <c:pt idx="99">
                  <c:v>0.233559657961563</c:v>
                </c:pt>
              </c:numCache>
            </c:numRef>
          </c:yVal>
          <c:smooth val="0"/>
          <c:extLst>
            <c:ext xmlns:c16="http://schemas.microsoft.com/office/drawing/2014/chart" uri="{C3380CC4-5D6E-409C-BE32-E72D297353CC}">
              <c16:uniqueId val="{0000007C-CF86-4C2E-BF49-1F263FBF5A1F}"/>
            </c:ext>
          </c:extLst>
        </c:ser>
        <c:ser>
          <c:idx val="125"/>
          <c:order val="125"/>
          <c:tx>
            <c:strRef>
              <c:f>dynamicR!$EE$19</c:f>
              <c:strCache>
                <c:ptCount val="1"/>
                <c:pt idx="0">
                  <c:v>sdAS</c:v>
                </c:pt>
              </c:strCache>
            </c:strRef>
          </c:tx>
          <c:spPr>
            <a:ln w="19050" cap="rnd">
              <a:solidFill>
                <a:schemeClr val="accent6">
                  <a:lumMod val="80000"/>
                  <a:lumOff val="2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dynamicR!$EE$20:$EE$119</c:f>
              <c:numCache>
                <c:formatCode>0.00</c:formatCode>
                <c:ptCount val="100"/>
                <c:pt idx="0">
                  <c:v>0</c:v>
                </c:pt>
                <c:pt idx="1">
                  <c:v>1</c:v>
                </c:pt>
                <c:pt idx="2">
                  <c:v>0.999999999999996</c:v>
                </c:pt>
                <c:pt idx="3">
                  <c:v>0.999999999999995</c:v>
                </c:pt>
                <c:pt idx="4">
                  <c:v>0.999999999999999</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1</c:v>
                </c:pt>
                <c:pt idx="21">
                  <c:v>1</c:v>
                </c:pt>
                <c:pt idx="22">
                  <c:v>0.999999999999998</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-2.3058645651130599E-212</c:v>
                </c:pt>
                <c:pt idx="52">
                  <c:v>5.5548312883867497E-214</c:v>
                </c:pt>
                <c:pt idx="53">
                  <c:v>-1.88134240870688E-213</c:v>
                </c:pt>
                <c:pt idx="54">
                  <c:v>2.4739108515221002E-212</c:v>
                </c:pt>
                <c:pt idx="55">
                  <c:v>-1.55738971160012E-212</c:v>
                </c:pt>
                <c:pt idx="56">
                  <c:v>5.0773547324210397E-212</c:v>
                </c:pt>
                <c:pt idx="57">
                  <c:v>-1.4796656316936701E-212</c:v>
                </c:pt>
                <c:pt idx="58">
                  <c:v>2.7547753244679801E-213</c:v>
                </c:pt>
                <c:pt idx="59">
                  <c:v>1.6779254119623399E-214</c:v>
                </c:pt>
                <c:pt idx="60">
                  <c:v>-3.1135504554728499E-214</c:v>
                </c:pt>
                <c:pt idx="61">
                  <c:v>1.48210381900874E-214</c:v>
                </c:pt>
                <c:pt idx="62">
                  <c:v>3.68488681826867E-213</c:v>
                </c:pt>
                <c:pt idx="63">
                  <c:v>2.86185376529223E-213</c:v>
                </c:pt>
                <c:pt idx="64">
                  <c:v>-2.3199512568916399E-213</c:v>
                </c:pt>
                <c:pt idx="65">
                  <c:v>-5.3062008783196397E-214</c:v>
                </c:pt>
                <c:pt idx="66">
                  <c:v>3.7066471289221997E-213</c:v>
                </c:pt>
                <c:pt idx="67">
                  <c:v>-1.19813475973614E-213</c:v>
                </c:pt>
                <c:pt idx="68">
                  <c:v>-4.0682084135185799E-213</c:v>
                </c:pt>
                <c:pt idx="69">
                  <c:v>3.4847909167019699E-213</c:v>
                </c:pt>
                <c:pt idx="70">
                  <c:v>3.2473004773662999E-213</c:v>
                </c:pt>
                <c:pt idx="71">
                  <c:v>-5.9515402642673901E-213</c:v>
                </c:pt>
                <c:pt idx="72">
                  <c:v>-9.8878710789692203E-214</c:v>
                </c:pt>
                <c:pt idx="73">
                  <c:v>7.8662770788551699E-213</c:v>
                </c:pt>
                <c:pt idx="74">
                  <c:v>-2.7882677821716399E-213</c:v>
                </c:pt>
                <c:pt idx="75">
                  <c:v>-8.0467721728266698E-213</c:v>
                </c:pt>
                <c:pt idx="76">
                  <c:v>7.7738499817372894E-213</c:v>
                </c:pt>
                <c:pt idx="77">
                  <c:v>-5.5727368073405703E-213</c:v>
                </c:pt>
                <c:pt idx="78">
                  <c:v>2.1788153241365601E-213</c:v>
                </c:pt>
                <c:pt idx="79">
                  <c:v>-5.04199265466098E-214</c:v>
                </c:pt>
                <c:pt idx="80">
                  <c:v>4.7738321706385301E-215</c:v>
                </c:pt>
                <c:pt idx="81">
                  <c:v>2.8842466992917099E-220</c:v>
                </c:pt>
                <c:pt idx="82">
                  <c:v>-8.9552584437223599E-221</c:v>
                </c:pt>
                <c:pt idx="83">
                  <c:v>1.9056150460476099E-221</c:v>
                </c:pt>
                <c:pt idx="84">
                  <c:v>-2.4966389586810801E-222</c:v>
                </c:pt>
                <c:pt idx="85">
                  <c:v>1.48495423816636E-223</c:v>
                </c:pt>
                <c:pt idx="86">
                  <c:v>3.7896230866195198E-228</c:v>
                </c:pt>
                <c:pt idx="87">
                  <c:v>-7.8282989418958602E-229</c:v>
                </c:pt>
                <c:pt idx="88">
                  <c:v>1.1446081762362801E-229</c:v>
                </c:pt>
                <c:pt idx="89">
                  <c:v>-1.05557816311216E-230</c:v>
                </c:pt>
                <c:pt idx="90">
                  <c:v>4.5758519879450001E-232</c:v>
                </c:pt>
                <c:pt idx="91">
                  <c:v>3.3224028429604798E-236</c:v>
                </c:pt>
                <c:pt idx="92">
                  <c:v>-5.1558940542828601E-237</c:v>
                </c:pt>
                <c:pt idx="93">
                  <c:v>5.7524293321440599E-238</c:v>
                </c:pt>
                <c:pt idx="94">
                  <c:v>-4.1034176584666103E-239</c:v>
                </c:pt>
                <c:pt idx="95">
                  <c:v>1.39874155106559E-240</c:v>
                </c:pt>
                <c:pt idx="96">
                  <c:v>2.31139196726687E-244</c:v>
                </c:pt>
                <c:pt idx="97">
                  <c:v>-2.8781537704321202E-245</c:v>
                </c:pt>
                <c:pt idx="98">
                  <c:v>2.59857481226612E-246</c:v>
                </c:pt>
                <c:pt idx="99">
                  <c:v>-1.5126745727605201E-247</c:v>
                </c:pt>
              </c:numCache>
            </c:numRef>
          </c:yVal>
          <c:smooth val="0"/>
          <c:extLst>
            <c:ext xmlns:c16="http://schemas.microsoft.com/office/drawing/2014/chart" uri="{C3380CC4-5D6E-409C-BE32-E72D297353CC}">
              <c16:uniqueId val="{0000007D-CF86-4C2E-BF49-1F263FBF5A1F}"/>
            </c:ext>
          </c:extLst>
        </c:ser>
        <c:ser>
          <c:idx val="126"/>
          <c:order val="126"/>
          <c:tx>
            <c:strRef>
              <c:f>dynamicR!$EF$19</c:f>
              <c:strCache>
                <c:ptCount val="1"/>
                <c:pt idx="0">
                  <c:v>sdAA</c:v>
                </c:pt>
              </c:strCache>
            </c:strRef>
          </c:tx>
          <c:spPr>
            <a:ln w="19050" cap="rnd">
              <a:solidFill>
                <a:schemeClr val="accent1">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dynamicR!$EF$20:$EF$119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0.999999999999999</c:v>
                </c:pt>
                <c:pt idx="15">
                  <c:v>1</c:v>
                </c:pt>
                <c:pt idx="16">
                  <c:v>1</c:v>
                </c:pt>
                <c:pt idx="17">
                  <c:v>0.999999999999998</c:v>
                </c:pt>
                <c:pt idx="18">
                  <c:v>1</c:v>
                </c:pt>
                <c:pt idx="19">
                  <c:v>1</c:v>
                </c:pt>
                <c:pt idx="20">
                  <c:v>0.999999999999997</c:v>
                </c:pt>
                <c:pt idx="21">
                  <c:v>0.999999999999999</c:v>
                </c:pt>
                <c:pt idx="22">
                  <c:v>1.00000000000001</c:v>
                </c:pt>
                <c:pt idx="23">
                  <c:v>0.999999999999997</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0.999999999999999</c:v>
                </c:pt>
                <c:pt idx="49">
                  <c:v>1</c:v>
                </c:pt>
                <c:pt idx="50">
                  <c:v>1</c:v>
                </c:pt>
                <c:pt idx="51">
                  <c:v>2.3035503302631301E-13</c:v>
                </c:pt>
                <c:pt idx="52">
                  <c:v>-3.5939051819634503E-17</c:v>
                </c:pt>
                <c:pt idx="53">
                  <c:v>-1.2712712761095599E-14</c:v>
                </c:pt>
                <c:pt idx="54">
                  <c:v>-9.5245682882205804E-13</c:v>
                </c:pt>
                <c:pt idx="55">
                  <c:v>5.2034715041627205E-13</c:v>
                </c:pt>
                <c:pt idx="56">
                  <c:v>-1.78797980172139E-12</c:v>
                </c:pt>
                <c:pt idx="57">
                  <c:v>5.21194907209069E-13</c:v>
                </c:pt>
                <c:pt idx="58">
                  <c:v>-9.7651614259519302E-14</c:v>
                </c:pt>
                <c:pt idx="59">
                  <c:v>-5.9485678218409496E-15</c:v>
                </c:pt>
                <c:pt idx="60">
                  <c:v>1.10376025685563E-14</c:v>
                </c:pt>
                <c:pt idx="61">
                  <c:v>-5.2529865336909997E-15</c:v>
                </c:pt>
                <c:pt idx="62">
                  <c:v>-1.3062430102741301E-13</c:v>
                </c:pt>
                <c:pt idx="63">
                  <c:v>-1.0144862288207801E-13</c:v>
                </c:pt>
                <c:pt idx="64">
                  <c:v>8.2239949633019895E-14</c:v>
                </c:pt>
                <c:pt idx="65">
                  <c:v>1.88095992397911E-14</c:v>
                </c:pt>
                <c:pt idx="66">
                  <c:v>-1.3139630535663801E-13</c:v>
                </c:pt>
                <c:pt idx="67">
                  <c:v>4.24727181695845E-14</c:v>
                </c:pt>
                <c:pt idx="68">
                  <c:v>1.4421300037548301E-13</c:v>
                </c:pt>
                <c:pt idx="69">
                  <c:v>-1.2353181973398301E-13</c:v>
                </c:pt>
                <c:pt idx="70">
                  <c:v>-1.1511269251238199E-13</c:v>
                </c:pt>
                <c:pt idx="71">
                  <c:v>2.1097486634154499E-13</c:v>
                </c:pt>
                <c:pt idx="72">
                  <c:v>3.5051195167089202E-14</c:v>
                </c:pt>
                <c:pt idx="73">
                  <c:v>-2.7884971298460698E-13</c:v>
                </c:pt>
                <c:pt idx="74">
                  <c:v>9.8840500265655104E-14</c:v>
                </c:pt>
                <c:pt idx="75">
                  <c:v>2.85247949121784E-13</c:v>
                </c:pt>
                <c:pt idx="76">
                  <c:v>-2.75572920139611E-13</c:v>
                </c:pt>
                <c:pt idx="77">
                  <c:v>1.97545685984517E-13</c:v>
                </c:pt>
                <c:pt idx="78">
                  <c:v>-7.7235112916742595E-14</c:v>
                </c:pt>
                <c:pt idx="79">
                  <c:v>1.7872291103356601E-14</c:v>
                </c:pt>
                <c:pt idx="80">
                  <c:v>-1.69171352721586E-15</c:v>
                </c:pt>
                <c:pt idx="81">
                  <c:v>-2.4647240144800601E-19</c:v>
                </c:pt>
                <c:pt idx="82">
                  <c:v>7.6525072603118504E-20</c:v>
                </c:pt>
                <c:pt idx="83">
                  <c:v>-1.6282885413168501E-20</c:v>
                </c:pt>
                <c:pt idx="84">
                  <c:v>2.13274435997148E-21</c:v>
                </c:pt>
                <c:pt idx="85">
                  <c:v>-1.2662175014835201E-22</c:v>
                </c:pt>
                <c:pt idx="86">
                  <c:v>-7.8939218046808699E-26</c:v>
                </c:pt>
                <c:pt idx="87">
                  <c:v>1.6273761879979599E-26</c:v>
                </c:pt>
                <c:pt idx="88">
                  <c:v>-2.3788315285192601E-27</c:v>
                </c:pt>
                <c:pt idx="89">
                  <c:v>2.1915701600635401E-28</c:v>
                </c:pt>
                <c:pt idx="90">
                  <c:v>-9.4335930537861495E-30</c:v>
                </c:pt>
                <c:pt idx="91">
                  <c:v>-1.6949386250666199E-32</c:v>
                </c:pt>
                <c:pt idx="92">
                  <c:v>2.6269828621188398E-33</c:v>
                </c:pt>
                <c:pt idx="93">
                  <c:v>-2.9287196915146502E-34</c:v>
                </c:pt>
                <c:pt idx="94">
                  <c:v>2.08302952069447E-35</c:v>
                </c:pt>
                <c:pt idx="95">
                  <c:v>-6.9564185233812501E-37</c:v>
                </c:pt>
                <c:pt idx="96">
                  <c:v>-2.9088003192405501E-39</c:v>
                </c:pt>
                <c:pt idx="97">
                  <c:v>3.6161267506197301E-40</c:v>
                </c:pt>
                <c:pt idx="98">
                  <c:v>-3.2590178562165998E-41</c:v>
                </c:pt>
                <c:pt idx="99">
                  <c:v>1.8838149747188501E-42</c:v>
                </c:pt>
              </c:numCache>
            </c:numRef>
          </c:yVal>
          <c:smooth val="0"/>
          <c:extLst>
            <c:ext xmlns:c16="http://schemas.microsoft.com/office/drawing/2014/chart" uri="{C3380CC4-5D6E-409C-BE32-E72D297353CC}">
              <c16:uniqueId val="{0000007E-CF86-4C2E-BF49-1F263FBF5A1F}"/>
            </c:ext>
          </c:extLst>
        </c:ser>
        <c:ser>
          <c:idx val="127"/>
          <c:order val="127"/>
          <c:tx>
            <c:strRef>
              <c:f>dynamicR!$EG$19</c:f>
              <c:strCache>
                <c:ptCount val="1"/>
                <c:pt idx="0">
                  <c:v>sdAP</c:v>
                </c:pt>
              </c:strCache>
            </c:strRef>
          </c:tx>
          <c:spPr>
            <a:ln w="19050" cap="rnd">
              <a:solidFill>
                <a:schemeClr val="accent2">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dynamicR!$EG$20:$EG$119</c:f>
              <c:numCache>
                <c:formatCode>0.00</c:formatCode>
                <c:ptCount val="100"/>
                <c:pt idx="0">
                  <c:v>0</c:v>
                </c:pt>
                <c:pt idx="1">
                  <c:v>0.99999999999969102</c:v>
                </c:pt>
                <c:pt idx="2">
                  <c:v>0.99999999999906997</c:v>
                </c:pt>
                <c:pt idx="3">
                  <c:v>0.99999999999784495</c:v>
                </c:pt>
                <c:pt idx="4">
                  <c:v>0.99999999999976896</c:v>
                </c:pt>
                <c:pt idx="5">
                  <c:v>1.00000000000006</c:v>
                </c:pt>
                <c:pt idx="6">
                  <c:v>1.00000000000004</c:v>
                </c:pt>
                <c:pt idx="7">
                  <c:v>1.00000000000002</c:v>
                </c:pt>
                <c:pt idx="8">
                  <c:v>1</c:v>
                </c:pt>
                <c:pt idx="9">
                  <c:v>1</c:v>
                </c:pt>
                <c:pt idx="10">
                  <c:v>1.00000000000001</c:v>
                </c:pt>
                <c:pt idx="11">
                  <c:v>1.00000000000001</c:v>
                </c:pt>
                <c:pt idx="12">
                  <c:v>1.00000000000001</c:v>
                </c:pt>
                <c:pt idx="13">
                  <c:v>1.00000000000001</c:v>
                </c:pt>
                <c:pt idx="14">
                  <c:v>0.999999999999996</c:v>
                </c:pt>
                <c:pt idx="15">
                  <c:v>0.99999999999999201</c:v>
                </c:pt>
                <c:pt idx="16">
                  <c:v>1</c:v>
                </c:pt>
                <c:pt idx="17">
                  <c:v>1</c:v>
                </c:pt>
                <c:pt idx="18">
                  <c:v>0.99999999999999101</c:v>
                </c:pt>
                <c:pt idx="19">
                  <c:v>1.00000000000001</c:v>
                </c:pt>
                <c:pt idx="20">
                  <c:v>1.00000000000001</c:v>
                </c:pt>
                <c:pt idx="21">
                  <c:v>0.99999999999998002</c:v>
                </c:pt>
                <c:pt idx="22">
                  <c:v>1</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-3.8061803590414397E-8</c:v>
                </c:pt>
                <c:pt idx="52">
                  <c:v>5.5593985426911903E-12</c:v>
                </c:pt>
                <c:pt idx="53">
                  <c:v>2.1026998486078998E-9</c:v>
                </c:pt>
                <c:pt idx="54">
                  <c:v>1.57423905727532E-7</c:v>
                </c:pt>
                <c:pt idx="55">
                  <c:v>-8.6002569855883003E-8</c:v>
                </c:pt>
                <c:pt idx="56">
                  <c:v>2.95517783715003E-7</c:v>
                </c:pt>
                <c:pt idx="57">
                  <c:v>-8.6143237438154598E-8</c:v>
                </c:pt>
                <c:pt idx="58">
                  <c:v>1.61398976937641E-8</c:v>
                </c:pt>
                <c:pt idx="59">
                  <c:v>9.8318165862374503E-10</c:v>
                </c:pt>
                <c:pt idx="60">
                  <c:v>-1.82429934822025E-9</c:v>
                </c:pt>
                <c:pt idx="61">
                  <c:v>8.6821570618261105E-10</c:v>
                </c:pt>
                <c:pt idx="62">
                  <c:v>2.1589636493969001E-8</c:v>
                </c:pt>
                <c:pt idx="63">
                  <c:v>1.67674687910912E-8</c:v>
                </c:pt>
                <c:pt idx="64">
                  <c:v>-1.3592651626842E-8</c:v>
                </c:pt>
                <c:pt idx="65">
                  <c:v>-3.10885805313256E-9</c:v>
                </c:pt>
                <c:pt idx="66">
                  <c:v>2.1717233676975201E-8</c:v>
                </c:pt>
                <c:pt idx="67">
                  <c:v>-7.0199077735112504E-9</c:v>
                </c:pt>
                <c:pt idx="68">
                  <c:v>-2.3835582133835102E-8</c:v>
                </c:pt>
                <c:pt idx="69">
                  <c:v>2.0417388361239099E-8</c:v>
                </c:pt>
                <c:pt idx="70">
                  <c:v>1.9025871661256099E-8</c:v>
                </c:pt>
                <c:pt idx="71">
                  <c:v>-3.4870009928053502E-8</c:v>
                </c:pt>
                <c:pt idx="72">
                  <c:v>-5.7932754961821002E-9</c:v>
                </c:pt>
                <c:pt idx="73">
                  <c:v>4.6088391611865702E-8</c:v>
                </c:pt>
                <c:pt idx="74">
                  <c:v>-1.63363972462218E-8</c:v>
                </c:pt>
                <c:pt idx="75">
                  <c:v>-4.7145894628761798E-8</c:v>
                </c:pt>
                <c:pt idx="76">
                  <c:v>4.5546801985167799E-8</c:v>
                </c:pt>
                <c:pt idx="77">
                  <c:v>-3.2650429650229599E-8</c:v>
                </c:pt>
                <c:pt idx="78">
                  <c:v>1.27654502208248E-8</c:v>
                </c:pt>
                <c:pt idx="79">
                  <c:v>-2.9539393908333901E-9</c:v>
                </c:pt>
                <c:pt idx="80">
                  <c:v>2.7960708537071802E-10</c:v>
                </c:pt>
                <c:pt idx="81">
                  <c:v>4.0737105494054802E-14</c:v>
                </c:pt>
                <c:pt idx="82">
                  <c:v>-1.2648109628477601E-14</c:v>
                </c:pt>
                <c:pt idx="83">
                  <c:v>2.6912450093291801E-15</c:v>
                </c:pt>
                <c:pt idx="84">
                  <c:v>-3.5250126102699699E-16</c:v>
                </c:pt>
                <c:pt idx="85">
                  <c:v>2.09281187998344E-17</c:v>
                </c:pt>
                <c:pt idx="86">
                  <c:v>1.30470904268857E-20</c:v>
                </c:pt>
                <c:pt idx="87">
                  <c:v>-2.6897410654372699E-21</c:v>
                </c:pt>
                <c:pt idx="88">
                  <c:v>3.9317528217276698E-22</c:v>
                </c:pt>
                <c:pt idx="89">
                  <c:v>-3.6222456728041201E-23</c:v>
                </c:pt>
                <c:pt idx="90">
                  <c:v>1.55919222400148E-24</c:v>
                </c:pt>
                <c:pt idx="91">
                  <c:v>2.80141633239137E-27</c:v>
                </c:pt>
                <c:pt idx="92">
                  <c:v>-4.3419064632611504E-28</c:v>
                </c:pt>
                <c:pt idx="93">
                  <c:v>4.8406204193869302E-29</c:v>
                </c:pt>
                <c:pt idx="94">
                  <c:v>-3.4428544982902798E-30</c:v>
                </c:pt>
                <c:pt idx="95">
                  <c:v>1.14976463426106E-31</c:v>
                </c:pt>
                <c:pt idx="96">
                  <c:v>4.8077085620730297E-34</c:v>
                </c:pt>
                <c:pt idx="97">
                  <c:v>-5.9767848509324705E-35</c:v>
                </c:pt>
                <c:pt idx="98">
                  <c:v>5.3865502601298599E-36</c:v>
                </c:pt>
                <c:pt idx="99">
                  <c:v>-3.1135957842976199E-37</c:v>
                </c:pt>
              </c:numCache>
            </c:numRef>
          </c:yVal>
          <c:smooth val="0"/>
          <c:extLst>
            <c:ext xmlns:c16="http://schemas.microsoft.com/office/drawing/2014/chart" uri="{C3380CC4-5D6E-409C-BE32-E72D297353CC}">
              <c16:uniqueId val="{0000007F-CF86-4C2E-BF49-1F263FBF5A1F}"/>
            </c:ext>
          </c:extLst>
        </c:ser>
        <c:ser>
          <c:idx val="128"/>
          <c:order val="128"/>
          <c:tx>
            <c:strRef>
              <c:f>dynamicR!$EH$19</c:f>
              <c:strCache>
                <c:ptCount val="1"/>
                <c:pt idx="0">
                  <c:v>sAD</c:v>
                </c:pt>
              </c:strCache>
            </c:strRef>
          </c:tx>
          <c:spPr>
            <a:ln w="19050" cap="rnd">
              <a:solidFill>
                <a:schemeClr val="accent3">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dynamicR!$EH$20:$EH$119</c:f>
              <c:numCache>
                <c:formatCode>0.00</c:formatCode>
                <c:ptCount val="100"/>
                <c:pt idx="0">
                  <c:v>0</c:v>
                </c:pt>
                <c:pt idx="1">
                  <c:v>0.99999999999986999</c:v>
                </c:pt>
                <c:pt idx="2">
                  <c:v>0.99999999999988198</c:v>
                </c:pt>
                <c:pt idx="3">
                  <c:v>0.99999999999988398</c:v>
                </c:pt>
                <c:pt idx="4">
                  <c:v>0.99999999999988898</c:v>
                </c:pt>
                <c:pt idx="5">
                  <c:v>0.99999999999989198</c:v>
                </c:pt>
                <c:pt idx="6">
                  <c:v>0.99999999999989397</c:v>
                </c:pt>
                <c:pt idx="7">
                  <c:v>0.99999999999989597</c:v>
                </c:pt>
                <c:pt idx="8">
                  <c:v>0.99999999999989897</c:v>
                </c:pt>
                <c:pt idx="9">
                  <c:v>0.99999999999989997</c:v>
                </c:pt>
                <c:pt idx="10">
                  <c:v>0.99999999999990197</c:v>
                </c:pt>
                <c:pt idx="11">
                  <c:v>0.99999999999990297</c:v>
                </c:pt>
                <c:pt idx="12">
                  <c:v>0.99999999999990696</c:v>
                </c:pt>
                <c:pt idx="13">
                  <c:v>0.99999999999990796</c:v>
                </c:pt>
                <c:pt idx="14">
                  <c:v>0.99999999999990796</c:v>
                </c:pt>
                <c:pt idx="15">
                  <c:v>0.99999999999991296</c:v>
                </c:pt>
                <c:pt idx="16">
                  <c:v>0.99999999999991496</c:v>
                </c:pt>
                <c:pt idx="17">
                  <c:v>0.99999999999991196</c:v>
                </c:pt>
                <c:pt idx="18">
                  <c:v>0.99999999999991596</c:v>
                </c:pt>
                <c:pt idx="19">
                  <c:v>0.99999999999992395</c:v>
                </c:pt>
                <c:pt idx="20">
                  <c:v>0.99999999999991496</c:v>
                </c:pt>
                <c:pt idx="21">
                  <c:v>0.99999999999991596</c:v>
                </c:pt>
                <c:pt idx="22">
                  <c:v>0.99999999999993505</c:v>
                </c:pt>
                <c:pt idx="23">
                  <c:v>0.99999999999991795</c:v>
                </c:pt>
                <c:pt idx="24">
                  <c:v>0.99999999999992994</c:v>
                </c:pt>
                <c:pt idx="25">
                  <c:v>0.99999999999992595</c:v>
                </c:pt>
                <c:pt idx="26">
                  <c:v>0.99999999999992895</c:v>
                </c:pt>
                <c:pt idx="27">
                  <c:v>0.99999999999993106</c:v>
                </c:pt>
                <c:pt idx="28">
                  <c:v>0.99999999999993205</c:v>
                </c:pt>
                <c:pt idx="29">
                  <c:v>0.99999999999993405</c:v>
                </c:pt>
                <c:pt idx="30">
                  <c:v>0.99999999999993505</c:v>
                </c:pt>
                <c:pt idx="31">
                  <c:v>0.99999999999993605</c:v>
                </c:pt>
                <c:pt idx="32">
                  <c:v>0.99999999999993705</c:v>
                </c:pt>
                <c:pt idx="33">
                  <c:v>0.99999999999993905</c:v>
                </c:pt>
                <c:pt idx="34">
                  <c:v>0.99999999999994005</c:v>
                </c:pt>
                <c:pt idx="35">
                  <c:v>0.99999999999994105</c:v>
                </c:pt>
                <c:pt idx="36">
                  <c:v>0.99999999999994305</c:v>
                </c:pt>
                <c:pt idx="37">
                  <c:v>0.99999999999994305</c:v>
                </c:pt>
                <c:pt idx="38">
                  <c:v>0.99999999999994504</c:v>
                </c:pt>
                <c:pt idx="39">
                  <c:v>0.99999999999994604</c:v>
                </c:pt>
                <c:pt idx="40">
                  <c:v>0.99999999999994604</c:v>
                </c:pt>
                <c:pt idx="41">
                  <c:v>0.99999999999994804</c:v>
                </c:pt>
                <c:pt idx="42">
                  <c:v>0.99999999999994904</c:v>
                </c:pt>
                <c:pt idx="43">
                  <c:v>0.99999999999995004</c:v>
                </c:pt>
                <c:pt idx="44">
                  <c:v>0.99999999999995104</c:v>
                </c:pt>
                <c:pt idx="45">
                  <c:v>0.99999999999995204</c:v>
                </c:pt>
                <c:pt idx="46">
                  <c:v>0.99999999999995304</c:v>
                </c:pt>
                <c:pt idx="47">
                  <c:v>0.99999999999995404</c:v>
                </c:pt>
                <c:pt idx="48">
                  <c:v>0.99999999999995504</c:v>
                </c:pt>
                <c:pt idx="49">
                  <c:v>0.99999999999995604</c:v>
                </c:pt>
                <c:pt idx="50">
                  <c:v>0.99999999999995604</c:v>
                </c:pt>
                <c:pt idx="51">
                  <c:v>7.3918737443165695E-14</c:v>
                </c:pt>
                <c:pt idx="52">
                  <c:v>7.2441010051829297E-14</c:v>
                </c:pt>
                <c:pt idx="53">
                  <c:v>7.0992894264993605E-14</c:v>
                </c:pt>
                <c:pt idx="54">
                  <c:v>6.9573733743514205E-14</c:v>
                </c:pt>
                <c:pt idx="55">
                  <c:v>6.8182991145246197E-14</c:v>
                </c:pt>
                <c:pt idx="56">
                  <c:v>6.6819955116769502E-14</c:v>
                </c:pt>
                <c:pt idx="57">
                  <c:v>6.5484271491625295E-14</c:v>
                </c:pt>
                <c:pt idx="58">
                  <c:v>6.4175220336249802E-14</c:v>
                </c:pt>
                <c:pt idx="59">
                  <c:v>6.2892353642512096E-14</c:v>
                </c:pt>
                <c:pt idx="60">
                  <c:v>6.1635129199072397E-14</c:v>
                </c:pt>
                <c:pt idx="61">
                  <c:v>6.0403034339327404E-14</c:v>
                </c:pt>
                <c:pt idx="62">
                  <c:v>5.9195565843768805E-14</c:v>
                </c:pt>
                <c:pt idx="63">
                  <c:v>5.8012238648156403E-14</c:v>
                </c:pt>
                <c:pt idx="64">
                  <c:v>5.6852570413828198E-14</c:v>
                </c:pt>
                <c:pt idx="65">
                  <c:v>5.5716078605390502E-14</c:v>
                </c:pt>
                <c:pt idx="66">
                  <c:v>5.4602303337218597E-14</c:v>
                </c:pt>
                <c:pt idx="67">
                  <c:v>5.35108000016151E-14</c:v>
                </c:pt>
                <c:pt idx="68">
                  <c:v>5.2441114323412697E-14</c:v>
                </c:pt>
                <c:pt idx="69">
                  <c:v>5.1392803247477602E-14</c:v>
                </c:pt>
                <c:pt idx="70">
                  <c:v>5.03654543887448E-14</c:v>
                </c:pt>
                <c:pt idx="71">
                  <c:v>4.9358649780939398E-14</c:v>
                </c:pt>
                <c:pt idx="72">
                  <c:v>4.8371959773837397E-14</c:v>
                </c:pt>
                <c:pt idx="73">
                  <c:v>4.7404990535450803E-14</c:v>
                </c:pt>
                <c:pt idx="74">
                  <c:v>4.64573671132104E-14</c:v>
                </c:pt>
                <c:pt idx="75">
                  <c:v>4.5528682537036903E-14</c:v>
                </c:pt>
                <c:pt idx="76">
                  <c:v>4.4618545186506503E-14</c:v>
                </c:pt>
                <c:pt idx="77">
                  <c:v>4.3726625435128798E-14</c:v>
                </c:pt>
                <c:pt idx="78">
                  <c:v>4.2852518109296902E-14</c:v>
                </c:pt>
                <c:pt idx="79">
                  <c:v>4.1995892728363799E-14</c:v>
                </c:pt>
                <c:pt idx="80">
                  <c:v>4.1156388820112998E-14</c:v>
                </c:pt>
                <c:pt idx="81">
                  <c:v>4.0333667163401902E-14</c:v>
                </c:pt>
                <c:pt idx="82">
                  <c:v>3.9527391801939701E-14</c:v>
                </c:pt>
                <c:pt idx="83">
                  <c:v>3.8737233986360002E-14</c:v>
                </c:pt>
                <c:pt idx="84">
                  <c:v>3.7962871530162097E-14</c:v>
                </c:pt>
                <c:pt idx="85">
                  <c:v>3.7203988681502297E-14</c:v>
                </c:pt>
                <c:pt idx="86">
                  <c:v>3.64602760024975E-14</c:v>
                </c:pt>
                <c:pt idx="87">
                  <c:v>3.5731430239383298E-14</c:v>
                </c:pt>
                <c:pt idx="88">
                  <c:v>3.5017154199886101E-14</c:v>
                </c:pt>
                <c:pt idx="89">
                  <c:v>3.4317156633038498E-14</c:v>
                </c:pt>
                <c:pt idx="90">
                  <c:v>3.3631152110491101E-14</c:v>
                </c:pt>
                <c:pt idx="91">
                  <c:v>3.2958860909651801E-14</c:v>
                </c:pt>
                <c:pt idx="92">
                  <c:v>3.2300008899394401E-14</c:v>
                </c:pt>
                <c:pt idx="93">
                  <c:v>3.1654327428361001E-14</c:v>
                </c:pt>
                <c:pt idx="94">
                  <c:v>3.1021553215709699E-14</c:v>
                </c:pt>
                <c:pt idx="95">
                  <c:v>3.0401428243678702E-14</c:v>
                </c:pt>
                <c:pt idx="96">
                  <c:v>2.9793699652290599E-14</c:v>
                </c:pt>
                <c:pt idx="97">
                  <c:v>2.9198119636220298E-14</c:v>
                </c:pt>
                <c:pt idx="98">
                  <c:v>2.8614445343845901E-14</c:v>
                </c:pt>
                <c:pt idx="99">
                  <c:v>2.8042438778155601E-14</c:v>
                </c:pt>
              </c:numCache>
            </c:numRef>
          </c:yVal>
          <c:smooth val="0"/>
          <c:extLst>
            <c:ext xmlns:c16="http://schemas.microsoft.com/office/drawing/2014/chart" uri="{C3380CC4-5D6E-409C-BE32-E72D297353CC}">
              <c16:uniqueId val="{00000080-CF86-4C2E-BF49-1F263FBF5A1F}"/>
            </c:ext>
          </c:extLst>
        </c:ser>
        <c:ser>
          <c:idx val="129"/>
          <c:order val="129"/>
          <c:tx>
            <c:strRef>
              <c:f>dynamicR!$EI$19</c:f>
              <c:strCache>
                <c:ptCount val="1"/>
                <c:pt idx="0">
                  <c:v>sAS</c:v>
                </c:pt>
              </c:strCache>
            </c:strRef>
          </c:tx>
          <c:spPr>
            <a:ln w="19050" cap="rnd">
              <a:solidFill>
                <a:schemeClr val="accent4">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dynamicR!$EI$20:$EI$119</c:f>
              <c:numCache>
                <c:formatCode>0.00</c:formatCode>
                <c:ptCount val="100"/>
                <c:pt idx="0">
                  <c:v>0</c:v>
                </c:pt>
                <c:pt idx="1">
                  <c:v>1</c:v>
                </c:pt>
                <c:pt idx="2">
                  <c:v>0.999999999999996</c:v>
                </c:pt>
                <c:pt idx="3">
                  <c:v>0.999999999999995</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-3.0961870941200002E-212</c:v>
                </c:pt>
                <c:pt idx="52">
                  <c:v>7.4587179973694395E-214</c:v>
                </c:pt>
                <c:pt idx="53">
                  <c:v>-2.5261618812886302E-213</c:v>
                </c:pt>
                <c:pt idx="54">
                  <c:v>3.3218302604488002E-212</c:v>
                </c:pt>
                <c:pt idx="55">
                  <c:v>-2.0911765385827501E-212</c:v>
                </c:pt>
                <c:pt idx="56">
                  <c:v>6.81759028926502E-212</c:v>
                </c:pt>
                <c:pt idx="57">
                  <c:v>-1.9868129273794399E-212</c:v>
                </c:pt>
                <c:pt idx="58">
                  <c:v>3.6989594651042898E-213</c:v>
                </c:pt>
                <c:pt idx="59">
                  <c:v>2.2530252581012801E-214</c:v>
                </c:pt>
                <c:pt idx="60">
                  <c:v>-4.1807029174891898E-214</c:v>
                </c:pt>
                <c:pt idx="61">
                  <c:v>1.99008664136488E-214</c:v>
                </c:pt>
                <c:pt idx="62">
                  <c:v>4.9478616086410402E-213</c:v>
                </c:pt>
                <c:pt idx="63">
                  <c:v>3.8427384765749599E-213</c:v>
                </c:pt>
                <c:pt idx="64">
                  <c:v>-3.1151018671465002E-213</c:v>
                </c:pt>
                <c:pt idx="65">
                  <c:v>-7.1248721599446704E-214</c:v>
                </c:pt>
                <c:pt idx="66">
                  <c:v>4.9770801575624402E-213</c:v>
                </c:pt>
                <c:pt idx="67">
                  <c:v>-1.6087888992221201E-213</c:v>
                </c:pt>
                <c:pt idx="68">
                  <c:v>-5.4625645908062902E-213</c:v>
                </c:pt>
                <c:pt idx="69">
                  <c:v>4.6791839431651298E-213</c:v>
                </c:pt>
                <c:pt idx="70">
                  <c:v>4.3602949483470498E-213</c:v>
                </c:pt>
                <c:pt idx="71">
                  <c:v>-7.9913981311510706E-213</c:v>
                </c:pt>
                <c:pt idx="72">
                  <c:v>-1.32768847792239E-213</c:v>
                </c:pt>
                <c:pt idx="73">
                  <c:v>1.05624005098612E-212</c:v>
                </c:pt>
                <c:pt idx="74">
                  <c:v>-3.7439313075593902E-213</c:v>
                </c:pt>
                <c:pt idx="75">
                  <c:v>-1.08047593081307E-212</c:v>
                </c:pt>
                <c:pt idx="76">
                  <c:v>1.04382945248238E-212</c:v>
                </c:pt>
                <c:pt idx="77">
                  <c:v>-7.4827618436637296E-213</c:v>
                </c:pt>
                <c:pt idx="78">
                  <c:v>2.9255923358266599E-213</c:v>
                </c:pt>
                <c:pt idx="79">
                  <c:v>-6.7701078902228397E-214</c:v>
                </c:pt>
                <c:pt idx="80">
                  <c:v>6.4100360873015105E-215</c:v>
                </c:pt>
                <c:pt idx="81">
                  <c:v>3.9132317014385498E-220</c:v>
                </c:pt>
                <c:pt idx="82">
                  <c:v>-1.21501395350064E-220</c:v>
                </c:pt>
                <c:pt idx="83">
                  <c:v>2.5854627160061102E-221</c:v>
                </c:pt>
                <c:pt idx="84">
                  <c:v>-3.3873392603347101E-222</c:v>
                </c:pt>
                <c:pt idx="85">
                  <c:v>2.0147228992167998E-223</c:v>
                </c:pt>
                <c:pt idx="86">
                  <c:v>5.1987729061539E-228</c:v>
                </c:pt>
                <c:pt idx="87">
                  <c:v>-1.0711254343546199E-228</c:v>
                </c:pt>
                <c:pt idx="88">
                  <c:v>1.5661369584590501E-229</c:v>
                </c:pt>
                <c:pt idx="89">
                  <c:v>-1.44431872878097E-230</c:v>
                </c:pt>
                <c:pt idx="90">
                  <c:v>6.2610000855949703E-232</c:v>
                </c:pt>
                <c:pt idx="91">
                  <c:v>4.5754791285559798E-236</c:v>
                </c:pt>
                <c:pt idx="92">
                  <c:v>-7.1042635092283695E-237</c:v>
                </c:pt>
                <c:pt idx="93">
                  <c:v>7.9262235648050999E-238</c:v>
                </c:pt>
                <c:pt idx="94">
                  <c:v>-5.6540579917797396E-239</c:v>
                </c:pt>
                <c:pt idx="95">
                  <c:v>1.9272945010617601E-240</c:v>
                </c:pt>
                <c:pt idx="96">
                  <c:v>3.2060248034903503E-244</c:v>
                </c:pt>
                <c:pt idx="97">
                  <c:v>-3.9892393516946503E-245</c:v>
                </c:pt>
                <c:pt idx="98">
                  <c:v>3.6017319342407902E-246</c:v>
                </c:pt>
                <c:pt idx="99">
                  <c:v>-2.0966275475788E-247</c:v>
                </c:pt>
              </c:numCache>
            </c:numRef>
          </c:yVal>
          <c:smooth val="0"/>
          <c:extLst>
            <c:ext xmlns:c16="http://schemas.microsoft.com/office/drawing/2014/chart" uri="{C3380CC4-5D6E-409C-BE32-E72D297353CC}">
              <c16:uniqueId val="{00000081-CF86-4C2E-BF49-1F263FBF5A1F}"/>
            </c:ext>
          </c:extLst>
        </c:ser>
        <c:ser>
          <c:idx val="130"/>
          <c:order val="130"/>
          <c:tx>
            <c:strRef>
              <c:f>dynamicR!$EJ$19</c:f>
              <c:strCache>
                <c:ptCount val="1"/>
                <c:pt idx="0">
                  <c:v>sAA</c:v>
                </c:pt>
              </c:strCache>
            </c:strRef>
          </c:tx>
          <c:spPr>
            <a:ln w="19050" cap="rnd">
              <a:solidFill>
                <a:schemeClr val="accent5">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dynamicR!$EJ$20:$EJ$119</c:f>
              <c:numCache>
                <c:formatCode>0.00</c:formatCode>
                <c:ptCount val="100"/>
                <c:pt idx="0">
                  <c:v>0</c:v>
                </c:pt>
                <c:pt idx="1">
                  <c:v>1</c:v>
                </c:pt>
                <c:pt idx="2">
                  <c:v>0.999999999999996</c:v>
                </c:pt>
                <c:pt idx="3">
                  <c:v>0.999999999999995</c:v>
                </c:pt>
                <c:pt idx="4">
                  <c:v>1</c:v>
                </c:pt>
                <c:pt idx="5">
                  <c:v>1</c:v>
                </c:pt>
                <c:pt idx="6">
                  <c:v>1</c:v>
                </c:pt>
                <c:pt idx="7">
                  <c:v>1</c:v>
                </c:pt>
                <c:pt idx="8">
                  <c:v>1</c:v>
                </c:pt>
                <c:pt idx="9">
                  <c:v>1</c:v>
                </c:pt>
                <c:pt idx="10">
                  <c:v>1</c:v>
                </c:pt>
                <c:pt idx="11">
                  <c:v>1</c:v>
                </c:pt>
                <c:pt idx="12">
                  <c:v>1</c:v>
                </c:pt>
                <c:pt idx="13">
                  <c:v>1</c:v>
                </c:pt>
                <c:pt idx="14">
                  <c:v>0.999999999999999</c:v>
                </c:pt>
                <c:pt idx="15">
                  <c:v>1</c:v>
                </c:pt>
                <c:pt idx="16">
                  <c:v>1</c:v>
                </c:pt>
                <c:pt idx="17">
                  <c:v>0.999999999999998</c:v>
                </c:pt>
                <c:pt idx="18">
                  <c:v>1</c:v>
                </c:pt>
                <c:pt idx="19">
                  <c:v>1</c:v>
                </c:pt>
                <c:pt idx="20">
                  <c:v>0.999999999999996</c:v>
                </c:pt>
                <c:pt idx="21">
                  <c:v>0.999999999999997</c:v>
                </c:pt>
                <c:pt idx="22">
                  <c:v>1.00000000000001</c:v>
                </c:pt>
                <c:pt idx="23">
                  <c:v>0.999999999999995</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7.8824432447788004E-89</c:v>
                </c:pt>
                <c:pt idx="52">
                  <c:v>-1.8988949665403799E-90</c:v>
                </c:pt>
                <c:pt idx="53">
                  <c:v>6.4311502210202797E-90</c:v>
                </c:pt>
                <c:pt idx="54">
                  <c:v>-8.4569027788748595E-89</c:v>
                </c:pt>
                <c:pt idx="55">
                  <c:v>5.3238195190523402E-89</c:v>
                </c:pt>
                <c:pt idx="56">
                  <c:v>-1.7356547289999401E-88</c:v>
                </c:pt>
                <c:pt idx="57">
                  <c:v>5.0581044005571297E-89</c:v>
                </c:pt>
                <c:pt idx="58">
                  <c:v>-9.41684527433526E-90</c:v>
                </c:pt>
                <c:pt idx="59">
                  <c:v>-5.7363651177299101E-91</c:v>
                </c:pt>
                <c:pt idx="60">
                  <c:v>1.06438776588421E-90</c:v>
                </c:pt>
                <c:pt idx="61">
                  <c:v>-5.0656427307479098E-91</c:v>
                </c:pt>
                <c:pt idx="62">
                  <c:v>-1.25964964756692E-89</c:v>
                </c:pt>
                <c:pt idx="63">
                  <c:v>-9.7829984275850003E-90</c:v>
                </c:pt>
                <c:pt idx="64">
                  <c:v>7.9306445827397994E-90</c:v>
                </c:pt>
                <c:pt idx="65">
                  <c:v>1.81386706834124E-90</c:v>
                </c:pt>
                <c:pt idx="66">
                  <c:v>-1.26709412093888E-89</c:v>
                </c:pt>
                <c:pt idx="67">
                  <c:v>4.09577139817001E-90</c:v>
                </c:pt>
                <c:pt idx="68">
                  <c:v>1.3906894410348201E-89</c:v>
                </c:pt>
                <c:pt idx="69">
                  <c:v>-1.1912545263611301E-89</c:v>
                </c:pt>
                <c:pt idx="70">
                  <c:v>-1.11006642671573E-89</c:v>
                </c:pt>
                <c:pt idx="71">
                  <c:v>2.0344942632523601E-89</c:v>
                </c:pt>
                <c:pt idx="72">
                  <c:v>3.3800922962063698E-90</c:v>
                </c:pt>
                <c:pt idx="73">
                  <c:v>-2.6890319465796699E-89</c:v>
                </c:pt>
                <c:pt idx="74">
                  <c:v>9.5314888928727696E-90</c:v>
                </c:pt>
                <c:pt idx="75">
                  <c:v>2.7507320485996701E-89</c:v>
                </c:pt>
                <c:pt idx="76">
                  <c:v>-2.65743310804337E-89</c:v>
                </c:pt>
                <c:pt idx="77">
                  <c:v>1.90499310598048E-89</c:v>
                </c:pt>
                <c:pt idx="78">
                  <c:v>-7.4480201897200402E-90</c:v>
                </c:pt>
                <c:pt idx="79">
                  <c:v>1.7234828735606201E-90</c:v>
                </c:pt>
                <c:pt idx="80">
                  <c:v>-1.6313923498377199E-91</c:v>
                </c:pt>
                <c:pt idx="81">
                  <c:v>-2.2838788774857502E-95</c:v>
                </c:pt>
                <c:pt idx="82">
                  <c:v>7.0910238711523199E-96</c:v>
                </c:pt>
                <c:pt idx="83">
                  <c:v>-1.50882118087482E-96</c:v>
                </c:pt>
                <c:pt idx="84">
                  <c:v>1.9762861687113801E-97</c:v>
                </c:pt>
                <c:pt idx="85">
                  <c:v>-1.1734146710820601E-98</c:v>
                </c:pt>
                <c:pt idx="86">
                  <c:v>-7.028700306064E-102</c:v>
                </c:pt>
                <c:pt idx="87">
                  <c:v>1.4490187846918001E-102</c:v>
                </c:pt>
                <c:pt idx="88">
                  <c:v>-2.1181386845203899E-103</c:v>
                </c:pt>
                <c:pt idx="89">
                  <c:v>1.9514800453354398E-104</c:v>
                </c:pt>
                <c:pt idx="90">
                  <c:v>-8.4025514784467999E-106</c:v>
                </c:pt>
                <c:pt idx="91">
                  <c:v>-1.45017134220491E-108</c:v>
                </c:pt>
                <c:pt idx="92">
                  <c:v>2.2476436113394198E-109</c:v>
                </c:pt>
                <c:pt idx="93">
                  <c:v>-2.5058862387379199E-110</c:v>
                </c:pt>
                <c:pt idx="94">
                  <c:v>1.78250663240952E-111</c:v>
                </c:pt>
                <c:pt idx="95">
                  <c:v>-5.9578438921347004E-113</c:v>
                </c:pt>
                <c:pt idx="96">
                  <c:v>-2.3914588069163698E-115</c:v>
                </c:pt>
                <c:pt idx="97">
                  <c:v>2.9730626353840899E-116</c:v>
                </c:pt>
                <c:pt idx="98">
                  <c:v>-2.67965530037021E-117</c:v>
                </c:pt>
                <c:pt idx="99">
                  <c:v>1.5493724575558399E-118</c:v>
                </c:pt>
              </c:numCache>
            </c:numRef>
          </c:yVal>
          <c:smooth val="0"/>
          <c:extLst>
            <c:ext xmlns:c16="http://schemas.microsoft.com/office/drawing/2014/chart" uri="{C3380CC4-5D6E-409C-BE32-E72D297353CC}">
              <c16:uniqueId val="{00000082-CF86-4C2E-BF49-1F263FBF5A1F}"/>
            </c:ext>
          </c:extLst>
        </c:ser>
        <c:ser>
          <c:idx val="131"/>
          <c:order val="131"/>
          <c:tx>
            <c:strRef>
              <c:f>dynamicR!$EK$19</c:f>
              <c:strCache>
                <c:ptCount val="1"/>
                <c:pt idx="0">
                  <c:v>sAP</c:v>
                </c:pt>
              </c:strCache>
            </c:strRef>
          </c:tx>
          <c:spPr>
            <a:ln w="19050" cap="rnd">
              <a:solidFill>
                <a:schemeClr val="accent6">
                  <a:lumMod val="8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dynamicR!$EK$20:$EK$119</c:f>
              <c:numCache>
                <c:formatCode>0.00</c:formatCode>
                <c:ptCount val="100"/>
                <c:pt idx="0">
                  <c:v>0</c:v>
                </c:pt>
                <c:pt idx="1">
                  <c:v>1</c:v>
                </c:pt>
                <c:pt idx="2">
                  <c:v>0.999999999999996</c:v>
                </c:pt>
                <c:pt idx="3">
                  <c:v>0.999999999999994</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0.999999999999998</c:v>
                </c:pt>
                <c:pt idx="20">
                  <c:v>1</c:v>
                </c:pt>
                <c:pt idx="21">
                  <c:v>1</c:v>
                </c:pt>
                <c:pt idx="22">
                  <c:v>0.999999999999997</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2.22057610183976E-89</c:v>
                </c:pt>
                <c:pt idx="52">
                  <c:v>-5.3494104051878297E-91</c:v>
                </c:pt>
                <c:pt idx="53">
                  <c:v>1.8117285849853501E-90</c:v>
                </c:pt>
                <c:pt idx="54">
                  <c:v>-2.38240811807078E-89</c:v>
                </c:pt>
                <c:pt idx="55">
                  <c:v>1.4997817991321999E-89</c:v>
                </c:pt>
                <c:pt idx="56">
                  <c:v>-4.8895408706615002E-89</c:v>
                </c:pt>
                <c:pt idx="57">
                  <c:v>1.42492644838471E-89</c:v>
                </c:pt>
                <c:pt idx="58">
                  <c:v>-2.65283250826982E-90</c:v>
                </c:pt>
                <c:pt idx="59">
                  <c:v>-1.6160082027868199E-91</c:v>
                </c:pt>
                <c:pt idx="60">
                  <c:v>2.99851054178576E-91</c:v>
                </c:pt>
                <c:pt idx="61">
                  <c:v>-1.4270381935153199E-91</c:v>
                </c:pt>
                <c:pt idx="62">
                  <c:v>-3.5485792031120001E-90</c:v>
                </c:pt>
                <c:pt idx="63">
                  <c:v>-2.7559838002078601E-90</c:v>
                </c:pt>
                <c:pt idx="64">
                  <c:v>2.2341556844564099E-90</c:v>
                </c:pt>
                <c:pt idx="65">
                  <c:v>5.1098715792822996E-91</c:v>
                </c:pt>
                <c:pt idx="66">
                  <c:v>-3.5695520264441198E-90</c:v>
                </c:pt>
                <c:pt idx="67">
                  <c:v>1.1538269453840199E-90</c:v>
                </c:pt>
                <c:pt idx="68">
                  <c:v>3.9177341486911402E-90</c:v>
                </c:pt>
                <c:pt idx="69">
                  <c:v>-3.3559031210014801E-90</c:v>
                </c:pt>
                <c:pt idx="70">
                  <c:v>-3.1271862490782899E-90</c:v>
                </c:pt>
                <c:pt idx="71">
                  <c:v>5.7314074167744596E-90</c:v>
                </c:pt>
                <c:pt idx="72">
                  <c:v>9.52211233186132E-91</c:v>
                </c:pt>
                <c:pt idx="73">
                  <c:v>-7.5753159998527897E-90</c:v>
                </c:pt>
                <c:pt idx="74">
                  <c:v>2.6851312191155102E-90</c:v>
                </c:pt>
                <c:pt idx="75">
                  <c:v>7.7491322368383497E-90</c:v>
                </c:pt>
                <c:pt idx="76">
                  <c:v>-7.4862979038037098E-90</c:v>
                </c:pt>
                <c:pt idx="77">
                  <c:v>5.3665861138958699E-90</c:v>
                </c:pt>
                <c:pt idx="78">
                  <c:v>-2.0981923707283501E-90</c:v>
                </c:pt>
                <c:pt idx="79">
                  <c:v>4.8552388601334402E-91</c:v>
                </c:pt>
                <c:pt idx="80">
                  <c:v>-4.5957461741022697E-92</c:v>
                </c:pt>
                <c:pt idx="81">
                  <c:v>-6.7601943147599399E-96</c:v>
                </c:pt>
                <c:pt idx="82">
                  <c:v>2.0989134820921E-96</c:v>
                </c:pt>
                <c:pt idx="83">
                  <c:v>-4.4660323805722301E-97</c:v>
                </c:pt>
                <c:pt idx="84">
                  <c:v>5.84962707987979E-98</c:v>
                </c:pt>
                <c:pt idx="85">
                  <c:v>-3.4728801253519398E-99</c:v>
                </c:pt>
                <c:pt idx="86">
                  <c:v>-2.1859680867777701E-102</c:v>
                </c:pt>
                <c:pt idx="87">
                  <c:v>4.5064917112416603E-103</c:v>
                </c:pt>
                <c:pt idx="88">
                  <c:v>-6.5873869126612003E-104</c:v>
                </c:pt>
                <c:pt idx="89">
                  <c:v>6.0687666300722296E-105</c:v>
                </c:pt>
                <c:pt idx="90">
                  <c:v>-2.6121094006387998E-106</c:v>
                </c:pt>
                <c:pt idx="91">
                  <c:v>-4.7387661433330802E-109</c:v>
                </c:pt>
                <c:pt idx="92">
                  <c:v>7.34457813745231E-110</c:v>
                </c:pt>
                <c:pt idx="93">
                  <c:v>-8.18811902354509E-111</c:v>
                </c:pt>
                <c:pt idx="94">
                  <c:v>5.8235651793900104E-112</c:v>
                </c:pt>
                <c:pt idx="95">
                  <c:v>-1.94441370525595E-113</c:v>
                </c:pt>
                <c:pt idx="96">
                  <c:v>-8.2107690027931901E-116</c:v>
                </c:pt>
                <c:pt idx="97">
                  <c:v>1.02072971852626E-116</c:v>
                </c:pt>
                <c:pt idx="98">
                  <c:v>-9.1991148766337792E-118</c:v>
                </c:pt>
                <c:pt idx="99">
                  <c:v>5.3170004170801704E-119</c:v>
                </c:pt>
              </c:numCache>
            </c:numRef>
          </c:yVal>
          <c:smooth val="0"/>
          <c:extLst>
            <c:ext xmlns:c16="http://schemas.microsoft.com/office/drawing/2014/chart" uri="{C3380CC4-5D6E-409C-BE32-E72D297353CC}">
              <c16:uniqueId val="{00000083-CF86-4C2E-BF49-1F263FBF5A1F}"/>
            </c:ext>
          </c:extLst>
        </c:ser>
        <c:ser>
          <c:idx val="132"/>
          <c:order val="132"/>
          <c:tx>
            <c:strRef>
              <c:f>dynamicR!$EL$19</c:f>
              <c:strCache>
                <c:ptCount val="1"/>
                <c:pt idx="0">
                  <c:v>aTG</c:v>
                </c:pt>
              </c:strCache>
            </c:strRef>
          </c:tx>
          <c:spPr>
            <a:ln w="19050" cap="rnd">
              <a:solidFill>
                <a:schemeClr val="accent1">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dynamicR!$EL$20:$EL$119</c:f>
              <c:numCache>
                <c:formatCode>0.00</c:formatCode>
                <c:ptCount val="100"/>
                <c:pt idx="0">
                  <c:v>0</c:v>
                </c:pt>
                <c:pt idx="1">
                  <c:v>1.9993900444637499E-2</c:v>
                </c:pt>
                <c:pt idx="2">
                  <c:v>3.9584350284397697E-2</c:v>
                </c:pt>
                <c:pt idx="3">
                  <c:v>5.8783183737153501E-2</c:v>
                </c:pt>
                <c:pt idx="4">
                  <c:v>7.7598234857398807E-2</c:v>
                </c:pt>
                <c:pt idx="5">
                  <c:v>9.6037172251019903E-2</c:v>
                </c:pt>
                <c:pt idx="6">
                  <c:v>0.114107511517107</c:v>
                </c:pt>
                <c:pt idx="7">
                  <c:v>0.13181662081145401</c:v>
                </c:pt>
                <c:pt idx="8">
                  <c:v>0.14917172216893601</c:v>
                </c:pt>
                <c:pt idx="9">
                  <c:v>0.166179892906201</c:v>
                </c:pt>
                <c:pt idx="10">
                  <c:v>0.182848068269019</c:v>
                </c:pt>
                <c:pt idx="11">
                  <c:v>0.19918304463919301</c:v>
                </c:pt>
                <c:pt idx="12">
                  <c:v>0.21519148253247999</c:v>
                </c:pt>
                <c:pt idx="13">
                  <c:v>0.230879909205674</c:v>
                </c:pt>
                <c:pt idx="14">
                  <c:v>0.246254721785896</c:v>
                </c:pt>
                <c:pt idx="15">
                  <c:v>0.26132218982352101</c:v>
                </c:pt>
                <c:pt idx="16">
                  <c:v>0.27608845738686699</c:v>
                </c:pt>
                <c:pt idx="17">
                  <c:v>0.29055954541936702</c:v>
                </c:pt>
                <c:pt idx="18">
                  <c:v>0.304741354440834</c:v>
                </c:pt>
                <c:pt idx="19">
                  <c:v>0.31863966714840303</c:v>
                </c:pt>
                <c:pt idx="20">
                  <c:v>0.33226015073333698</c:v>
                </c:pt>
                <c:pt idx="21">
                  <c:v>0.34560835907471499</c:v>
                </c:pt>
                <c:pt idx="22">
                  <c:v>0.35868973497312601</c:v>
                </c:pt>
                <c:pt idx="23">
                  <c:v>0.371509612418218</c:v>
                </c:pt>
                <c:pt idx="24">
                  <c:v>0.38407321879692902</c:v>
                </c:pt>
                <c:pt idx="25">
                  <c:v>0.39638567701442901</c:v>
                </c:pt>
                <c:pt idx="26">
                  <c:v>0.40845200756156402</c:v>
                </c:pt>
                <c:pt idx="27">
                  <c:v>0.42027713055969101</c:v>
                </c:pt>
                <c:pt idx="28">
                  <c:v>0.43186586777585001</c:v>
                </c:pt>
                <c:pt idx="29">
                  <c:v>0.44322294459230899</c:v>
                </c:pt>
                <c:pt idx="30">
                  <c:v>0.45435299193388201</c:v>
                </c:pt>
                <c:pt idx="31">
                  <c:v>0.46526054815135298</c:v>
                </c:pt>
                <c:pt idx="32">
                  <c:v>0.47595006087071801</c:v>
                </c:pt>
                <c:pt idx="33">
                  <c:v>0.48642588880891602</c:v>
                </c:pt>
                <c:pt idx="34">
                  <c:v>0.49669230355424998</c:v>
                </c:pt>
                <c:pt idx="35">
                  <c:v>0.50675349130484504</c:v>
                </c:pt>
                <c:pt idx="36">
                  <c:v>0.51661355457506297</c:v>
                </c:pt>
                <c:pt idx="37">
                  <c:v>0.52627651386983199</c:v>
                </c:pt>
                <c:pt idx="38">
                  <c:v>0.53574630932351097</c:v>
                </c:pt>
                <c:pt idx="39">
                  <c:v>0.54502680230737299</c:v>
                </c:pt>
                <c:pt idx="40">
                  <c:v>0.55412177700304999</c:v>
                </c:pt>
                <c:pt idx="41">
                  <c:v>0.563034941946148</c:v>
                </c:pt>
                <c:pt idx="42">
                  <c:v>0.57176993153733402</c:v>
                </c:pt>
                <c:pt idx="43">
                  <c:v>0.58033030753058001</c:v>
                </c:pt>
                <c:pt idx="44">
                  <c:v>0.58871956047587104</c:v>
                </c:pt>
                <c:pt idx="45">
                  <c:v>0.59694111110303705</c:v>
                </c:pt>
                <c:pt idx="46">
                  <c:v>0.60499831190683795</c:v>
                </c:pt>
                <c:pt idx="47">
                  <c:v>0.61289444810378502</c:v>
                </c:pt>
                <c:pt idx="48">
                  <c:v>0.620632739595946</c:v>
                </c:pt>
                <c:pt idx="49">
                  <c:v>0.62821634154068196</c:v>
                </c:pt>
                <c:pt idx="50">
                  <c:v>0.62821634154068196</c:v>
                </c:pt>
                <c:pt idx="51">
                  <c:v>0.61565411571583994</c:v>
                </c:pt>
                <c:pt idx="52">
                  <c:v>0.60334658455522105</c:v>
                </c:pt>
                <c:pt idx="53">
                  <c:v>0.59128550318808304</c:v>
                </c:pt>
                <c:pt idx="54">
                  <c:v>0.57946578431694895</c:v>
                </c:pt>
                <c:pt idx="55">
                  <c:v>0.56788229187010797</c:v>
                </c:pt>
                <c:pt idx="56">
                  <c:v>0.55653029541119203</c:v>
                </c:pt>
                <c:pt idx="57">
                  <c:v>0.54540520510407897</c:v>
                </c:pt>
                <c:pt idx="58">
                  <c:v>0.53450250192471904</c:v>
                </c:pt>
                <c:pt idx="59">
                  <c:v>0.52381774611291299</c:v>
                </c:pt>
                <c:pt idx="60">
                  <c:v>0.513346573553907</c:v>
                </c:pt>
                <c:pt idx="61">
                  <c:v>0.50308470676226102</c:v>
                </c:pt>
                <c:pt idx="62">
                  <c:v>0.49302796929287401</c:v>
                </c:pt>
                <c:pt idx="63">
                  <c:v>0.48317226975569799</c:v>
                </c:pt>
                <c:pt idx="64">
                  <c:v>0.473513590958764</c:v>
                </c:pt>
                <c:pt idx="65">
                  <c:v>0.46404799202293801</c:v>
                </c:pt>
                <c:pt idx="66">
                  <c:v>0.45477161133602201</c:v>
                </c:pt>
                <c:pt idx="67">
                  <c:v>0.44568066608755202</c:v>
                </c:pt>
                <c:pt idx="68">
                  <c:v>0.43677144982039501</c:v>
                </c:pt>
                <c:pt idx="69">
                  <c:v>0.42804033006541298</c:v>
                </c:pt>
                <c:pt idx="70">
                  <c:v>0.41948374668258098</c:v>
                </c:pt>
                <c:pt idx="71">
                  <c:v>0.41109821058260299</c:v>
                </c:pt>
                <c:pt idx="72">
                  <c:v>0.40288030245151701</c:v>
                </c:pt>
                <c:pt idx="73">
                  <c:v>0.39482667138003402</c:v>
                </c:pt>
                <c:pt idx="74">
                  <c:v>0.38693403346456101</c:v>
                </c:pt>
                <c:pt idx="75">
                  <c:v>0.37919917050200802</c:v>
                </c:pt>
                <c:pt idx="76">
                  <c:v>0.371618928669329</c:v>
                </c:pt>
                <c:pt idx="77">
                  <c:v>0.364190217017823</c:v>
                </c:pt>
                <c:pt idx="78">
                  <c:v>0.35691000627624703</c:v>
                </c:pt>
                <c:pt idx="79">
                  <c:v>0.349775327819766</c:v>
                </c:pt>
                <c:pt idx="80">
                  <c:v>0.34278327249150797</c:v>
                </c:pt>
                <c:pt idx="81">
                  <c:v>0.33593098930120602</c:v>
                </c:pt>
                <c:pt idx="82">
                  <c:v>0.32921568418944802</c:v>
                </c:pt>
                <c:pt idx="83">
                  <c:v>0.322634618917646</c:v>
                </c:pt>
                <c:pt idx="84">
                  <c:v>0.31618511000017502</c:v>
                </c:pt>
                <c:pt idx="85">
                  <c:v>0.309864527617907</c:v>
                </c:pt>
                <c:pt idx="86">
                  <c:v>0.30367029452274702</c:v>
                </c:pt>
                <c:pt idx="87">
                  <c:v>0.29759988497533701</c:v>
                </c:pt>
                <c:pt idx="88">
                  <c:v>0.291650823721117</c:v>
                </c:pt>
                <c:pt idx="89">
                  <c:v>0.28582068498944002</c:v>
                </c:pt>
                <c:pt idx="90">
                  <c:v>0.28010709150507801</c:v>
                </c:pt>
                <c:pt idx="91">
                  <c:v>0.27450771351490799</c:v>
                </c:pt>
                <c:pt idx="92">
                  <c:v>0.26902026783599797</c:v>
                </c:pt>
                <c:pt idx="93">
                  <c:v>0.26364251692530399</c:v>
                </c:pt>
                <c:pt idx="94">
                  <c:v>0.25837226796972601</c:v>
                </c:pt>
                <c:pt idx="95">
                  <c:v>0.253207371991301</c:v>
                </c:pt>
                <c:pt idx="96">
                  <c:v>0.24814572297021101</c:v>
                </c:pt>
                <c:pt idx="97">
                  <c:v>0.24318525698582</c:v>
                </c:pt>
                <c:pt idx="98">
                  <c:v>0.238323951375885</c:v>
                </c:pt>
                <c:pt idx="99">
                  <c:v>0.233559823911238</c:v>
                </c:pt>
              </c:numCache>
            </c:numRef>
          </c:yVal>
          <c:smooth val="0"/>
          <c:extLst>
            <c:ext xmlns:c16="http://schemas.microsoft.com/office/drawing/2014/chart" uri="{C3380CC4-5D6E-409C-BE32-E72D297353CC}">
              <c16:uniqueId val="{00000084-CF86-4C2E-BF49-1F263FBF5A1F}"/>
            </c:ext>
          </c:extLst>
        </c:ser>
        <c:ser>
          <c:idx val="133"/>
          <c:order val="133"/>
          <c:tx>
            <c:strRef>
              <c:f>dynamicR!$EM$19</c:f>
              <c:strCache>
                <c:ptCount val="1"/>
                <c:pt idx="0">
                  <c:v>aTS</c:v>
                </c:pt>
              </c:strCache>
            </c:strRef>
          </c:tx>
          <c:spPr>
            <a:ln w="19050" cap="rnd">
              <a:solidFill>
                <a:schemeClr val="accent2">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dynamicR!$EM$20:$EM$119</c:f>
              <c:numCache>
                <c:formatCode>0.00</c:formatCode>
                <c:ptCount val="100"/>
                <c:pt idx="0">
                  <c:v>0</c:v>
                </c:pt>
                <c:pt idx="1">
                  <c:v>1</c:v>
                </c:pt>
                <c:pt idx="2">
                  <c:v>0.999999999999997</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-4.2470378045417301E-213</c:v>
                </c:pt>
                <c:pt idx="52">
                  <c:v>1.02311193768088E-214</c:v>
                </c:pt>
                <c:pt idx="53">
                  <c:v>-3.4651351770254098E-214</c:v>
                </c:pt>
                <c:pt idx="54">
                  <c:v>4.5565524581135703E-213</c:v>
                </c:pt>
                <c:pt idx="55">
                  <c:v>-2.8684655524953099E-213</c:v>
                </c:pt>
                <c:pt idx="56">
                  <c:v>9.3516844325638203E-213</c:v>
                </c:pt>
                <c:pt idx="57">
                  <c:v>-2.7253101372494701E-213</c:v>
                </c:pt>
                <c:pt idx="58">
                  <c:v>5.0738608807826904E-214</c:v>
                </c:pt>
                <c:pt idx="59">
                  <c:v>3.0904718121862502E-215</c:v>
                </c:pt>
                <c:pt idx="60">
                  <c:v>-5.7346662706192501E-215</c:v>
                </c:pt>
                <c:pt idx="61">
                  <c:v>2.7298031448601501E-215</c:v>
                </c:pt>
                <c:pt idx="62">
                  <c:v>6.7869787682799799E-214</c:v>
                </c:pt>
                <c:pt idx="63">
                  <c:v>5.27108211253336E-214</c:v>
                </c:pt>
                <c:pt idx="64">
                  <c:v>-4.2729831164928897E-214</c:v>
                </c:pt>
                <c:pt idx="65">
                  <c:v>-9.7731833167574895E-215</c:v>
                </c:pt>
                <c:pt idx="66">
                  <c:v>6.82705765281425E-214</c:v>
                </c:pt>
                <c:pt idx="67">
                  <c:v>-2.2067746289033498E-214</c:v>
                </c:pt>
                <c:pt idx="68">
                  <c:v>-7.4929964038471394E-214</c:v>
                </c:pt>
                <c:pt idx="69">
                  <c:v>6.4184335896611897E-214</c:v>
                </c:pt>
                <c:pt idx="70">
                  <c:v>5.98101386770803E-214</c:v>
                </c:pt>
                <c:pt idx="71">
                  <c:v>-1.0961795757385901E-213</c:v>
                </c:pt>
                <c:pt idx="72">
                  <c:v>-1.8211894765479599E-214</c:v>
                </c:pt>
                <c:pt idx="73">
                  <c:v>1.44884381635331E-213</c:v>
                </c:pt>
                <c:pt idx="74">
                  <c:v>-5.1355482604161098E-214</c:v>
                </c:pt>
                <c:pt idx="75">
                  <c:v>-1.4820881602653701E-213</c:v>
                </c:pt>
                <c:pt idx="76">
                  <c:v>1.43182021626897E-213</c:v>
                </c:pt>
                <c:pt idx="77">
                  <c:v>-1.0264099983667099E-213</c:v>
                </c:pt>
                <c:pt idx="78">
                  <c:v>4.0130335075051198E-214</c:v>
                </c:pt>
                <c:pt idx="79">
                  <c:v>-9.2865554386207597E-215</c:v>
                </c:pt>
                <c:pt idx="80">
                  <c:v>8.7926581716476198E-216</c:v>
                </c:pt>
                <c:pt idx="81">
                  <c:v>4.6941760875598803E-221</c:v>
                </c:pt>
                <c:pt idx="82">
                  <c:v>-1.4574884356219799E-221</c:v>
                </c:pt>
                <c:pt idx="83">
                  <c:v>3.1014317848088398E-222</c:v>
                </c:pt>
                <c:pt idx="84">
                  <c:v>-4.06333921676841E-223</c:v>
                </c:pt>
                <c:pt idx="85">
                  <c:v>2.4168141019128598E-224</c:v>
                </c:pt>
                <c:pt idx="86">
                  <c:v>5.5231935227256902E-229</c:v>
                </c:pt>
                <c:pt idx="87">
                  <c:v>-1.13625410674718E-229</c:v>
                </c:pt>
                <c:pt idx="88">
                  <c:v>1.6613660424904301E-230</c:v>
                </c:pt>
                <c:pt idx="89">
                  <c:v>-1.5321471072280501E-231</c:v>
                </c:pt>
                <c:pt idx="90">
                  <c:v>6.6419335046804902E-233</c:v>
                </c:pt>
                <c:pt idx="91">
                  <c:v>4.3337735894782299E-237</c:v>
                </c:pt>
                <c:pt idx="92">
                  <c:v>-6.7253120613820806E-238</c:v>
                </c:pt>
                <c:pt idx="93">
                  <c:v>7.5034490270390003E-239</c:v>
                </c:pt>
                <c:pt idx="94">
                  <c:v>-5.3525434695888204E-240</c:v>
                </c:pt>
                <c:pt idx="95">
                  <c:v>1.82467789699912E-241</c:v>
                </c:pt>
                <c:pt idx="96">
                  <c:v>2.7293094313565E-245</c:v>
                </c:pt>
                <c:pt idx="97">
                  <c:v>-3.39559292855292E-246</c:v>
                </c:pt>
                <c:pt idx="98">
                  <c:v>3.0657723117413702E-247</c:v>
                </c:pt>
                <c:pt idx="99">
                  <c:v>-1.78468676118212E-248</c:v>
                </c:pt>
              </c:numCache>
            </c:numRef>
          </c:yVal>
          <c:smooth val="0"/>
          <c:extLst>
            <c:ext xmlns:c16="http://schemas.microsoft.com/office/drawing/2014/chart" uri="{C3380CC4-5D6E-409C-BE32-E72D297353CC}">
              <c16:uniqueId val="{00000085-CF86-4C2E-BF49-1F263FBF5A1F}"/>
            </c:ext>
          </c:extLst>
        </c:ser>
        <c:ser>
          <c:idx val="134"/>
          <c:order val="134"/>
          <c:tx>
            <c:strRef>
              <c:f>dynamicR!$EN$19</c:f>
              <c:strCache>
                <c:ptCount val="1"/>
                <c:pt idx="0">
                  <c:v>aTA</c:v>
                </c:pt>
              </c:strCache>
            </c:strRef>
          </c:tx>
          <c:spPr>
            <a:ln w="19050" cap="rnd">
              <a:solidFill>
                <a:schemeClr val="accent3">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dynamicR!$EN$20:$EN$119</c:f>
              <c:numCache>
                <c:formatCode>0.00</c:formatCode>
                <c:ptCount val="100"/>
                <c:pt idx="0">
                  <c:v>0</c:v>
                </c:pt>
                <c:pt idx="1">
                  <c:v>1</c:v>
                </c:pt>
                <c:pt idx="2">
                  <c:v>0.999999999999996</c:v>
                </c:pt>
                <c:pt idx="3">
                  <c:v>0.999999999999994</c:v>
                </c:pt>
                <c:pt idx="4">
                  <c:v>1</c:v>
                </c:pt>
                <c:pt idx="5">
                  <c:v>1</c:v>
                </c:pt>
                <c:pt idx="6">
                  <c:v>1</c:v>
                </c:pt>
                <c:pt idx="7">
                  <c:v>1</c:v>
                </c:pt>
                <c:pt idx="8">
                  <c:v>1</c:v>
                </c:pt>
                <c:pt idx="9">
                  <c:v>1</c:v>
                </c:pt>
                <c:pt idx="10">
                  <c:v>1</c:v>
                </c:pt>
                <c:pt idx="11">
                  <c:v>1</c:v>
                </c:pt>
                <c:pt idx="12">
                  <c:v>1</c:v>
                </c:pt>
                <c:pt idx="13">
                  <c:v>1</c:v>
                </c:pt>
                <c:pt idx="14">
                  <c:v>0.999999999999999</c:v>
                </c:pt>
                <c:pt idx="15">
                  <c:v>1</c:v>
                </c:pt>
                <c:pt idx="16">
                  <c:v>1</c:v>
                </c:pt>
                <c:pt idx="17">
                  <c:v>0.999999999999999</c:v>
                </c:pt>
                <c:pt idx="18">
                  <c:v>1</c:v>
                </c:pt>
                <c:pt idx="19">
                  <c:v>1</c:v>
                </c:pt>
                <c:pt idx="20">
                  <c:v>0.999999999999997</c:v>
                </c:pt>
                <c:pt idx="21">
                  <c:v>1</c:v>
                </c:pt>
                <c:pt idx="22">
                  <c:v>1</c:v>
                </c:pt>
                <c:pt idx="23">
                  <c:v>0.999999999999998</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-2.9845212462499301E-99</c:v>
                </c:pt>
                <c:pt idx="52">
                  <c:v>7.1897539831494305E-101</c:v>
                </c:pt>
                <c:pt idx="53">
                  <c:v>-2.4350280873506E-100</c:v>
                </c:pt>
                <c:pt idx="54">
                  <c:v>3.2020278311284599E-99</c:v>
                </c:pt>
                <c:pt idx="55">
                  <c:v>-2.01575337302764E-99</c:v>
                </c:pt>
                <c:pt idx="56">
                  <c:v>6.5716958158328501E-99</c:v>
                </c:pt>
                <c:pt idx="57">
                  <c:v>-1.91514780956217E-99</c:v>
                </c:pt>
                <c:pt idx="58">
                  <c:v>3.5655057153694302E-100</c:v>
                </c:pt>
                <c:pt idx="59">
                  <c:v>2.1719092433820899E-101</c:v>
                </c:pt>
                <c:pt idx="60">
                  <c:v>-4.0300424523802903E-101</c:v>
                </c:pt>
                <c:pt idx="61">
                  <c:v>1.9180747019124301E-101</c:v>
                </c:pt>
                <c:pt idx="62">
                  <c:v>4.7694020912907805E-100</c:v>
                </c:pt>
                <c:pt idx="63">
                  <c:v>3.7041316195349699E-100</c:v>
                </c:pt>
                <c:pt idx="64">
                  <c:v>-3.0027673783427398E-100</c:v>
                </c:pt>
                <c:pt idx="65">
                  <c:v>-6.8678460501154802E-101</c:v>
                </c:pt>
                <c:pt idx="66">
                  <c:v>4.7975836791906801E-100</c:v>
                </c:pt>
                <c:pt idx="67">
                  <c:v>-1.5507750712520699E-100</c:v>
                </c:pt>
                <c:pt idx="68">
                  <c:v>-5.26555315112568E-100</c:v>
                </c:pt>
                <c:pt idx="69">
                  <c:v>4.5104325939728698E-100</c:v>
                </c:pt>
                <c:pt idx="70">
                  <c:v>4.2030342142674798E-100</c:v>
                </c:pt>
                <c:pt idx="71">
                  <c:v>-7.7031841838649198E-100</c:v>
                </c:pt>
                <c:pt idx="72">
                  <c:v>-1.2798017272417299E-100</c:v>
                </c:pt>
                <c:pt idx="73">
                  <c:v>1.0181455413176701E-99</c:v>
                </c:pt>
                <c:pt idx="74">
                  <c:v>-3.6088992505533498E-100</c:v>
                </c:pt>
                <c:pt idx="75">
                  <c:v>-1.04150707161645E-99</c:v>
                </c:pt>
                <c:pt idx="76">
                  <c:v>1.0061816032040501E-99</c:v>
                </c:pt>
                <c:pt idx="77">
                  <c:v>-7.2128641916692204E-100</c:v>
                </c:pt>
                <c:pt idx="78">
                  <c:v>2.8200464688548198E-100</c:v>
                </c:pt>
                <c:pt idx="79">
                  <c:v>-6.5256858866450802E-101</c:v>
                </c:pt>
                <c:pt idx="80">
                  <c:v>6.1773891938112402E-102</c:v>
                </c:pt>
                <c:pt idx="81">
                  <c:v>6.6537496158313303E-106</c:v>
                </c:pt>
                <c:pt idx="82">
                  <c:v>-2.0658781638581599E-106</c:v>
                </c:pt>
                <c:pt idx="83">
                  <c:v>4.3958243466808801E-107</c:v>
                </c:pt>
                <c:pt idx="84">
                  <c:v>-5.7580909631160197E-108</c:v>
                </c:pt>
                <c:pt idx="85">
                  <c:v>3.4202852070549802E-109</c:v>
                </c:pt>
                <c:pt idx="86">
                  <c:v>1.5756271347119499E-112</c:v>
                </c:pt>
                <c:pt idx="87">
                  <c:v>-3.2483285053343197E-113</c:v>
                </c:pt>
                <c:pt idx="88">
                  <c:v>4.7486108562667599E-114</c:v>
                </c:pt>
                <c:pt idx="89">
                  <c:v>-4.3760107051379E-115</c:v>
                </c:pt>
                <c:pt idx="90">
                  <c:v>1.8872714796372801E-116</c:v>
                </c:pt>
                <c:pt idx="91">
                  <c:v>2.50143026513221E-119</c:v>
                </c:pt>
                <c:pt idx="92">
                  <c:v>-3.8772364132780901E-120</c:v>
                </c:pt>
                <c:pt idx="93">
                  <c:v>4.3234620278868001E-121</c:v>
                </c:pt>
                <c:pt idx="94">
                  <c:v>-3.0774906314128602E-122</c:v>
                </c:pt>
                <c:pt idx="95">
                  <c:v>1.0335455177571599E-123</c:v>
                </c:pt>
                <c:pt idx="96">
                  <c:v>3.1742424204332003E-126</c:v>
                </c:pt>
                <c:pt idx="97">
                  <c:v>-3.9467727433279902E-127</c:v>
                </c:pt>
                <c:pt idx="98">
                  <c:v>3.5587447718793598E-128</c:v>
                </c:pt>
                <c:pt idx="99">
                  <c:v>-2.06102263066181E-129</c:v>
                </c:pt>
              </c:numCache>
            </c:numRef>
          </c:yVal>
          <c:smooth val="0"/>
          <c:extLst>
            <c:ext xmlns:c16="http://schemas.microsoft.com/office/drawing/2014/chart" uri="{C3380CC4-5D6E-409C-BE32-E72D297353CC}">
              <c16:uniqueId val="{00000086-CF86-4C2E-BF49-1F263FBF5A1F}"/>
            </c:ext>
          </c:extLst>
        </c:ser>
        <c:ser>
          <c:idx val="135"/>
          <c:order val="135"/>
          <c:tx>
            <c:strRef>
              <c:f>dynamicR!$EO$19</c:f>
              <c:strCache>
                <c:ptCount val="1"/>
                <c:pt idx="0">
                  <c:v>aTP</c:v>
                </c:pt>
              </c:strCache>
            </c:strRef>
          </c:tx>
          <c:spPr>
            <a:ln w="19050" cap="rnd">
              <a:solidFill>
                <a:schemeClr val="accent4">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dynamicR!$EO$20:$EO$119</c:f>
              <c:numCache>
                <c:formatCode>0.00</c:formatCode>
                <c:ptCount val="100"/>
                <c:pt idx="0">
                  <c:v>0</c:v>
                </c:pt>
                <c:pt idx="1">
                  <c:v>1</c:v>
                </c:pt>
                <c:pt idx="2">
                  <c:v>0.999999999999998</c:v>
                </c:pt>
                <c:pt idx="3">
                  <c:v>0.999999999999996</c:v>
                </c:pt>
                <c:pt idx="4">
                  <c:v>1</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-2.85405568385377E-213</c:v>
                </c:pt>
                <c:pt idx="52">
                  <c:v>6.8754244483150698E-215</c:v>
                </c:pt>
                <c:pt idx="53">
                  <c:v>-2.3286087888478499E-214</c:v>
                </c:pt>
                <c:pt idx="54">
                  <c:v>3.0620529233239399E-213</c:v>
                </c:pt>
                <c:pt idx="55">
                  <c:v>-1.92764010924927E-213</c:v>
                </c:pt>
                <c:pt idx="56">
                  <c:v>6.2844338796945306E-213</c:v>
                </c:pt>
                <c:pt idx="57">
                  <c:v>-1.8314381207885301E-213</c:v>
                </c:pt>
                <c:pt idx="58">
                  <c:v>3.4096898229283601E-214</c:v>
                </c:pt>
                <c:pt idx="59">
                  <c:v>2.0768307482217701E-215</c:v>
                </c:pt>
                <c:pt idx="60">
                  <c:v>-3.8537582491281198E-215</c:v>
                </c:pt>
                <c:pt idx="61">
                  <c:v>1.8344574705834E-215</c:v>
                </c:pt>
                <c:pt idx="62">
                  <c:v>4.5609237185291298E-214</c:v>
                </c:pt>
                <c:pt idx="63">
                  <c:v>3.54222464074075E-214</c:v>
                </c:pt>
                <c:pt idx="64">
                  <c:v>-2.8714912350285202E-214</c:v>
                </c:pt>
                <c:pt idx="65">
                  <c:v>-6.5676857281543305E-215</c:v>
                </c:pt>
                <c:pt idx="66">
                  <c:v>4.5878571659097996E-214</c:v>
                </c:pt>
                <c:pt idx="67">
                  <c:v>-1.4829766071715199E-214</c:v>
                </c:pt>
                <c:pt idx="68">
                  <c:v>-5.0353752661211203E-214</c:v>
                </c:pt>
                <c:pt idx="69">
                  <c:v>4.3132573409787197E-214</c:v>
                </c:pt>
                <c:pt idx="70">
                  <c:v>4.01930651938134E-214</c:v>
                </c:pt>
                <c:pt idx="71">
                  <c:v>-7.36644624582008E-214</c:v>
                </c:pt>
                <c:pt idx="72">
                  <c:v>-1.2238591814008601E-214</c:v>
                </c:pt>
                <c:pt idx="73">
                  <c:v>9.7363883874010208E-214</c:v>
                </c:pt>
                <c:pt idx="74">
                  <c:v>-3.4511444146783799E-214</c:v>
                </c:pt>
                <c:pt idx="75">
                  <c:v>-9.9597940025159603E-214</c:v>
                </c:pt>
                <c:pt idx="76">
                  <c:v>9.6219879390192399E-214</c:v>
                </c:pt>
                <c:pt idx="77">
                  <c:v>-6.8975870800432201E-214</c:v>
                </c:pt>
                <c:pt idx="78">
                  <c:v>2.6968022638439701E-214</c:v>
                </c:pt>
                <c:pt idx="79">
                  <c:v>-6.2406664884722803E-215</c:v>
                </c:pt>
                <c:pt idx="80">
                  <c:v>5.9087621362832005E-216</c:v>
                </c:pt>
                <c:pt idx="81">
                  <c:v>3.1547814525032001E-221</c:v>
                </c:pt>
                <c:pt idx="82">
                  <c:v>-9.7952394811321599E-222</c:v>
                </c:pt>
                <c:pt idx="83">
                  <c:v>2.08435746027096E-222</c:v>
                </c:pt>
                <c:pt idx="84">
                  <c:v>-2.7308200906150501E-223</c:v>
                </c:pt>
                <c:pt idx="85">
                  <c:v>1.6242517836894499E-224</c:v>
                </c:pt>
                <c:pt idx="86">
                  <c:v>3.7071949843985197E-229</c:v>
                </c:pt>
                <c:pt idx="87">
                  <c:v>-7.6369215339144799E-230</c:v>
                </c:pt>
                <c:pt idx="88">
                  <c:v>1.11662723170218E-230</c:v>
                </c:pt>
                <c:pt idx="89">
                  <c:v>-1.0297771995856E-231</c:v>
                </c:pt>
                <c:pt idx="90">
                  <c:v>4.4641333624655499E-233</c:v>
                </c:pt>
                <c:pt idx="91">
                  <c:v>2.9146749444839501E-237</c:v>
                </c:pt>
                <c:pt idx="92">
                  <c:v>-4.52050854545023E-238</c:v>
                </c:pt>
                <c:pt idx="93">
                  <c:v>5.0435440390551403E-239</c:v>
                </c:pt>
                <c:pt idx="94">
                  <c:v>-3.5977845889580498E-240</c:v>
                </c:pt>
                <c:pt idx="95">
                  <c:v>1.22648097416001E-241</c:v>
                </c:pt>
                <c:pt idx="96">
                  <c:v>1.8342058316039402E-245</c:v>
                </c:pt>
                <c:pt idx="97">
                  <c:v>-2.2825600640438899E-246</c:v>
                </c:pt>
                <c:pt idx="98">
                  <c:v>2.06085008699945E-247</c:v>
                </c:pt>
                <c:pt idx="99">
                  <c:v>-1.1996883987202599E-248</c:v>
                </c:pt>
              </c:numCache>
            </c:numRef>
          </c:yVal>
          <c:smooth val="0"/>
          <c:extLst>
            <c:ext xmlns:c16="http://schemas.microsoft.com/office/drawing/2014/chart" uri="{C3380CC4-5D6E-409C-BE32-E72D297353CC}">
              <c16:uniqueId val="{00000087-CF86-4C2E-BF49-1F263FBF5A1F}"/>
            </c:ext>
          </c:extLst>
        </c:ser>
        <c:ser>
          <c:idx val="136"/>
          <c:order val="136"/>
          <c:tx>
            <c:strRef>
              <c:f>dynamicR!$EP$19</c:f>
              <c:strCache>
                <c:ptCount val="1"/>
                <c:pt idx="0">
                  <c:v>cwTS</c:v>
                </c:pt>
              </c:strCache>
            </c:strRef>
          </c:tx>
          <c:spPr>
            <a:ln w="19050" cap="rnd">
              <a:solidFill>
                <a:schemeClr val="accent5">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dynamicR!$EP$20:$EP$119</c:f>
              <c:numCache>
                <c:formatCode>0.00</c:formatCode>
                <c:ptCount val="100"/>
                <c:pt idx="0">
                  <c:v>0</c:v>
                </c:pt>
                <c:pt idx="1">
                  <c:v>1</c:v>
                </c:pt>
                <c:pt idx="2">
                  <c:v>0.999999999999996</c:v>
                </c:pt>
                <c:pt idx="3">
                  <c:v>0.999999999999994</c:v>
                </c:pt>
                <c:pt idx="4">
                  <c:v>0.999999999999999</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1</c:v>
                </c:pt>
                <c:pt idx="21">
                  <c:v>1</c:v>
                </c:pt>
                <c:pt idx="22">
                  <c:v>0.999999999999999</c:v>
                </c:pt>
                <c:pt idx="23">
                  <c:v>1</c:v>
                </c:pt>
                <c:pt idx="24">
                  <c:v>1</c:v>
                </c:pt>
                <c:pt idx="25">
                  <c:v>1</c:v>
                </c:pt>
                <c:pt idx="26">
                  <c:v>1</c:v>
                </c:pt>
                <c:pt idx="27">
                  <c:v>1</c:v>
                </c:pt>
                <c:pt idx="28">
                  <c:v>1</c:v>
                </c:pt>
                <c:pt idx="29">
                  <c:v>1</c:v>
                </c:pt>
                <c:pt idx="30">
                  <c:v>1</c:v>
                </c:pt>
                <c:pt idx="31">
                  <c:v>1</c:v>
                </c:pt>
                <c:pt idx="32">
                  <c:v>1</c:v>
                </c:pt>
                <c:pt idx="33">
                  <c:v>1</c:v>
                </c:pt>
                <c:pt idx="34">
                  <c:v>1</c:v>
                </c:pt>
                <c:pt idx="35">
                  <c:v>0.999999999999999</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-5.3118339610695299E-213</c:v>
                </c:pt>
                <c:pt idx="52">
                  <c:v>1.27962150085164E-214</c:v>
                </c:pt>
                <c:pt idx="53">
                  <c:v>-4.3338967046637801E-214</c:v>
                </c:pt>
                <c:pt idx="54">
                  <c:v>5.6989485589375398E-213</c:v>
                </c:pt>
                <c:pt idx="55">
                  <c:v>-3.58763292469892E-213</c:v>
                </c:pt>
                <c:pt idx="56">
                  <c:v>1.16962921077055E-212</c:v>
                </c:pt>
                <c:pt idx="57">
                  <c:v>-3.4085863013363997E-213</c:v>
                </c:pt>
                <c:pt idx="58">
                  <c:v>6.3459539731692104E-214</c:v>
                </c:pt>
                <c:pt idx="59">
                  <c:v>3.8652994901373098E-215</c:v>
                </c:pt>
                <c:pt idx="60">
                  <c:v>-7.1724331943495798E-215</c:v>
                </c:pt>
                <c:pt idx="61">
                  <c:v>3.4142057734978399E-215</c:v>
                </c:pt>
                <c:pt idx="62">
                  <c:v>8.4885762326494593E-214</c:v>
                </c:pt>
                <c:pt idx="63">
                  <c:v>6.5926215284349996E-214</c:v>
                </c:pt>
                <c:pt idx="64">
                  <c:v>-5.34428413047279E-214</c:v>
                </c:pt>
                <c:pt idx="65">
                  <c:v>-1.22234670907883E-214</c:v>
                </c:pt>
                <c:pt idx="66">
                  <c:v>8.5387034952068601E-214</c:v>
                </c:pt>
                <c:pt idx="67">
                  <c:v>-2.7600461568072499E-214</c:v>
                </c:pt>
                <c:pt idx="68">
                  <c:v>-9.3716030882978907E-214</c:v>
                </c:pt>
                <c:pt idx="69">
                  <c:v>8.0276312450945805E-214</c:v>
                </c:pt>
                <c:pt idx="70">
                  <c:v>7.4805438322358998E-214</c:v>
                </c:pt>
                <c:pt idx="71">
                  <c:v>-1.3710082513914599E-213</c:v>
                </c:pt>
                <c:pt idx="72">
                  <c:v>-2.2777890182929501E-214</c:v>
                </c:pt>
                <c:pt idx="73">
                  <c:v>1.81209071137772E-213</c:v>
                </c:pt>
                <c:pt idx="74">
                  <c:v>-6.4231073049373999E-214</c:v>
                </c:pt>
                <c:pt idx="75">
                  <c:v>-1.85366991137769E-213</c:v>
                </c:pt>
                <c:pt idx="76">
                  <c:v>1.7907990391913801E-213</c:v>
                </c:pt>
                <c:pt idx="77">
                  <c:v>-1.28374639358091E-213</c:v>
                </c:pt>
                <c:pt idx="78">
                  <c:v>5.01916125210868E-214</c:v>
                </c:pt>
                <c:pt idx="79">
                  <c:v>-1.16148342982726E-214</c:v>
                </c:pt>
                <c:pt idx="80">
                  <c:v>1.09971095720111E-215</c:v>
                </c:pt>
                <c:pt idx="81">
                  <c:v>5.8710765317189298E-221</c:v>
                </c:pt>
                <c:pt idx="82">
                  <c:v>-1.8229027411645699E-221</c:v>
                </c:pt>
                <c:pt idx="83">
                  <c:v>3.8790076862640499E-222</c:v>
                </c:pt>
                <c:pt idx="84">
                  <c:v>-5.08208068580266E-223</c:v>
                </c:pt>
                <c:pt idx="85">
                  <c:v>3.0227486728639799E-224</c:v>
                </c:pt>
                <c:pt idx="86">
                  <c:v>6.8873482965625805E-229</c:v>
                </c:pt>
                <c:pt idx="87">
                  <c:v>-1.4211303686532101E-229</c:v>
                </c:pt>
                <c:pt idx="88">
                  <c:v>2.0778957960014499E-230</c:v>
                </c:pt>
                <c:pt idx="89">
                  <c:v>-1.9162799082581E-231</c:v>
                </c:pt>
                <c:pt idx="90">
                  <c:v>8.3071808459887705E-233</c:v>
                </c:pt>
                <c:pt idx="91">
                  <c:v>5.41997237496021E-237</c:v>
                </c:pt>
                <c:pt idx="92">
                  <c:v>-8.4114466095965096E-238</c:v>
                </c:pt>
                <c:pt idx="93">
                  <c:v>9.3846723347121705E-239</c:v>
                </c:pt>
                <c:pt idx="94">
                  <c:v>-6.6945029273878204E-240</c:v>
                </c:pt>
                <c:pt idx="95">
                  <c:v>2.2821482856768999E-241</c:v>
                </c:pt>
                <c:pt idx="96">
                  <c:v>3.4143100511089701E-245</c:v>
                </c:pt>
                <c:pt idx="97">
                  <c:v>-4.2469216223652501E-246</c:v>
                </c:pt>
                <c:pt idx="98">
                  <c:v>3.8344093783910498E-247</c:v>
                </c:pt>
                <c:pt idx="99">
                  <c:v>-2.2321353779918301E-248</c:v>
                </c:pt>
              </c:numCache>
            </c:numRef>
          </c:yVal>
          <c:smooth val="0"/>
          <c:extLst>
            <c:ext xmlns:c16="http://schemas.microsoft.com/office/drawing/2014/chart" uri="{C3380CC4-5D6E-409C-BE32-E72D297353CC}">
              <c16:uniqueId val="{00000088-CF86-4C2E-BF49-1F263FBF5A1F}"/>
            </c:ext>
          </c:extLst>
        </c:ser>
        <c:ser>
          <c:idx val="137"/>
          <c:order val="137"/>
          <c:tx>
            <c:strRef>
              <c:f>dynamicR!$EQ$19</c:f>
              <c:strCache>
                <c:ptCount val="1"/>
                <c:pt idx="0">
                  <c:v>cwTA</c:v>
                </c:pt>
              </c:strCache>
            </c:strRef>
          </c:tx>
          <c:spPr>
            <a:ln w="19050" cap="rnd">
              <a:solidFill>
                <a:schemeClr val="accent6">
                  <a:lumMod val="60000"/>
                  <a:lumOff val="4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dynamicR!$EQ$20:$EQ$119</c:f>
              <c:numCache>
                <c:formatCode>0.00</c:formatCode>
                <c:ptCount val="100"/>
                <c:pt idx="0">
                  <c:v>0</c:v>
                </c:pt>
                <c:pt idx="1">
                  <c:v>1</c:v>
                </c:pt>
                <c:pt idx="2">
                  <c:v>0.999999999999995</c:v>
                </c:pt>
                <c:pt idx="3">
                  <c:v>0.99999999999999201</c:v>
                </c:pt>
                <c:pt idx="4">
                  <c:v>0.999999999999999</c:v>
                </c:pt>
                <c:pt idx="5">
                  <c:v>1</c:v>
                </c:pt>
                <c:pt idx="6">
                  <c:v>1</c:v>
                </c:pt>
                <c:pt idx="7">
                  <c:v>0.999999999999999</c:v>
                </c:pt>
                <c:pt idx="8">
                  <c:v>1</c:v>
                </c:pt>
                <c:pt idx="9">
                  <c:v>0.999999999999999</c:v>
                </c:pt>
                <c:pt idx="10">
                  <c:v>1</c:v>
                </c:pt>
                <c:pt idx="11">
                  <c:v>1</c:v>
                </c:pt>
                <c:pt idx="12">
                  <c:v>1</c:v>
                </c:pt>
                <c:pt idx="13">
                  <c:v>1</c:v>
                </c:pt>
                <c:pt idx="14">
                  <c:v>0.999999999999999</c:v>
                </c:pt>
                <c:pt idx="15">
                  <c:v>1</c:v>
                </c:pt>
                <c:pt idx="16">
                  <c:v>1</c:v>
                </c:pt>
                <c:pt idx="17">
                  <c:v>0.999999999999999</c:v>
                </c:pt>
                <c:pt idx="18">
                  <c:v>1</c:v>
                </c:pt>
                <c:pt idx="19">
                  <c:v>1</c:v>
                </c:pt>
                <c:pt idx="20">
                  <c:v>0.999999999999997</c:v>
                </c:pt>
                <c:pt idx="21">
                  <c:v>1</c:v>
                </c:pt>
                <c:pt idx="22">
                  <c:v>1</c:v>
                </c:pt>
                <c:pt idx="23">
                  <c:v>0.999999999999997</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0.999999999999999</c:v>
                </c:pt>
                <c:pt idx="38">
                  <c:v>1</c:v>
                </c:pt>
                <c:pt idx="39">
                  <c:v>1</c:v>
                </c:pt>
                <c:pt idx="40">
                  <c:v>1</c:v>
                </c:pt>
                <c:pt idx="41">
                  <c:v>1</c:v>
                </c:pt>
                <c:pt idx="42">
                  <c:v>1</c:v>
                </c:pt>
                <c:pt idx="43">
                  <c:v>1</c:v>
                </c:pt>
                <c:pt idx="44">
                  <c:v>1</c:v>
                </c:pt>
                <c:pt idx="45">
                  <c:v>1</c:v>
                </c:pt>
                <c:pt idx="46">
                  <c:v>1</c:v>
                </c:pt>
                <c:pt idx="47">
                  <c:v>1</c:v>
                </c:pt>
                <c:pt idx="48">
                  <c:v>1</c:v>
                </c:pt>
                <c:pt idx="49">
                  <c:v>1</c:v>
                </c:pt>
                <c:pt idx="50">
                  <c:v>1</c:v>
                </c:pt>
                <c:pt idx="51">
                  <c:v>-3.01447899536668E-99</c:v>
                </c:pt>
                <c:pt idx="52">
                  <c:v>7.2619226227036306E-101</c:v>
                </c:pt>
                <c:pt idx="53">
                  <c:v>-2.4594701848672602E-100</c:v>
                </c:pt>
                <c:pt idx="54">
                  <c:v>3.2341688462843701E-99</c:v>
                </c:pt>
                <c:pt idx="55">
                  <c:v>-2.03598691368836E-99</c:v>
                </c:pt>
                <c:pt idx="56">
                  <c:v>6.6376605690751598E-99</c:v>
                </c:pt>
                <c:pt idx="57">
                  <c:v>-1.9343715010117202E-99</c:v>
                </c:pt>
                <c:pt idx="58">
                  <c:v>3.6012952149376598E-100</c:v>
                </c:pt>
                <c:pt idx="59">
                  <c:v>2.1937102307137699E-101</c:v>
                </c:pt>
                <c:pt idx="60">
                  <c:v>-4.0704948353316101E-101</c:v>
                </c:pt>
                <c:pt idx="61">
                  <c:v>1.93732777263857E-101</c:v>
                </c:pt>
                <c:pt idx="62">
                  <c:v>4.8172759492269698E-100</c:v>
                </c:pt>
                <c:pt idx="63">
                  <c:v>3.74131260522999E-100</c:v>
                </c:pt>
                <c:pt idx="64">
                  <c:v>-3.0329082756995301E-100</c:v>
                </c:pt>
                <c:pt idx="65">
                  <c:v>-6.9367834724238805E-101</c:v>
                </c:pt>
                <c:pt idx="66">
                  <c:v>4.8457404156324197E-100</c:v>
                </c:pt>
                <c:pt idx="67">
                  <c:v>-1.5663412961230001E-100</c:v>
                </c:pt>
                <c:pt idx="68">
                  <c:v>-5.3184072277347499E-100</c:v>
                </c:pt>
                <c:pt idx="69">
                  <c:v>4.5557069921264501E-100</c:v>
                </c:pt>
                <c:pt idx="70">
                  <c:v>4.2452230377348502E-100</c:v>
                </c:pt>
                <c:pt idx="71">
                  <c:v>-7.7805064851129397E-100</c:v>
                </c:pt>
                <c:pt idx="72">
                  <c:v>-1.2926480012406E-100</c:v>
                </c:pt>
                <c:pt idx="73">
                  <c:v>1.0283653873425E-99</c:v>
                </c:pt>
                <c:pt idx="74">
                  <c:v>-3.6451243216884E-100</c:v>
                </c:pt>
                <c:pt idx="75">
                  <c:v>-1.0519614138236499E-99</c:v>
                </c:pt>
                <c:pt idx="76">
                  <c:v>1.01628135873065E-99</c:v>
                </c:pt>
                <c:pt idx="77">
                  <c:v>-7.2852648047896204E-100</c:v>
                </c:pt>
                <c:pt idx="78">
                  <c:v>2.8483532673676498E-100</c:v>
                </c:pt>
                <c:pt idx="79">
                  <c:v>-6.5911888056904998E-101</c:v>
                </c:pt>
                <c:pt idx="80">
                  <c:v>6.2393960129125201E-102</c:v>
                </c:pt>
                <c:pt idx="81">
                  <c:v>6.7205379963475402E-106</c:v>
                </c:pt>
                <c:pt idx="82">
                  <c:v>-2.08661484729306E-106</c:v>
                </c:pt>
                <c:pt idx="83">
                  <c:v>4.4399483594735201E-107</c:v>
                </c:pt>
                <c:pt idx="84">
                  <c:v>-5.8158890003057099E-108</c:v>
                </c:pt>
                <c:pt idx="85">
                  <c:v>3.45461696574369E-109</c:v>
                </c:pt>
                <c:pt idx="86">
                  <c:v>1.5914526292964401E-112</c:v>
                </c:pt>
                <c:pt idx="87">
                  <c:v>-3.2809342016349399E-113</c:v>
                </c:pt>
                <c:pt idx="88">
                  <c:v>4.7962758648301497E-114</c:v>
                </c:pt>
                <c:pt idx="89">
                  <c:v>-4.4199356195895899E-115</c:v>
                </c:pt>
                <c:pt idx="90">
                  <c:v>1.9062152389940399E-116</c:v>
                </c:pt>
                <c:pt idx="91">
                  <c:v>2.52654193394932E-119</c:v>
                </c:pt>
                <c:pt idx="92">
                  <c:v>-3.9161549289971101E-120</c:v>
                </c:pt>
                <c:pt idx="93">
                  <c:v>4.3668596245783799E-121</c:v>
                </c:pt>
                <c:pt idx="94">
                  <c:v>-3.10838143185092E-122</c:v>
                </c:pt>
                <c:pt idx="95">
                  <c:v>1.04391975332372E-123</c:v>
                </c:pt>
                <c:pt idx="96">
                  <c:v>3.20610895350521E-126</c:v>
                </c:pt>
                <c:pt idx="97">
                  <c:v>-3.9863892228207797E-127</c:v>
                </c:pt>
                <c:pt idx="98">
                  <c:v>3.5944663178166E-128</c:v>
                </c:pt>
                <c:pt idx="99">
                  <c:v>-2.0817105081391401E-129</c:v>
                </c:pt>
              </c:numCache>
            </c:numRef>
          </c:yVal>
          <c:smooth val="0"/>
          <c:extLst>
            <c:ext xmlns:c16="http://schemas.microsoft.com/office/drawing/2014/chart" uri="{C3380CC4-5D6E-409C-BE32-E72D297353CC}">
              <c16:uniqueId val="{00000089-CF86-4C2E-BF49-1F263FBF5A1F}"/>
            </c:ext>
          </c:extLst>
        </c:ser>
        <c:ser>
          <c:idx val="138"/>
          <c:order val="138"/>
          <c:tx>
            <c:strRef>
              <c:f>dynamicR!$ER$19</c:f>
              <c:strCache>
                <c:ptCount val="1"/>
                <c:pt idx="0">
                  <c:v>cwTP</c:v>
                </c:pt>
              </c:strCache>
            </c:strRef>
          </c:tx>
          <c:spPr>
            <a:ln w="19050" cap="rnd">
              <a:solidFill>
                <a:schemeClr val="accent1">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dynamicR!$ER$20:$ER$119</c:f>
              <c:numCache>
                <c:formatCode>0.00</c:formatCode>
                <c:ptCount val="100"/>
                <c:pt idx="0">
                  <c:v>0</c:v>
                </c:pt>
                <c:pt idx="1">
                  <c:v>1</c:v>
                </c:pt>
                <c:pt idx="2">
                  <c:v>0.999999999999997</c:v>
                </c:pt>
                <c:pt idx="3">
                  <c:v>0.999999999999995</c:v>
                </c:pt>
                <c:pt idx="4">
                  <c:v>0.999999999999999</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0.999999999999999</c:v>
                </c:pt>
                <c:pt idx="20">
                  <c:v>0.999999999999999</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0.999999999999999</c:v>
                </c:pt>
                <c:pt idx="36">
                  <c:v>1</c:v>
                </c:pt>
                <c:pt idx="37">
                  <c:v>1</c:v>
                </c:pt>
                <c:pt idx="38">
                  <c:v>1</c:v>
                </c:pt>
                <c:pt idx="39">
                  <c:v>1</c:v>
                </c:pt>
                <c:pt idx="40">
                  <c:v>0.999999999999999</c:v>
                </c:pt>
                <c:pt idx="41">
                  <c:v>1</c:v>
                </c:pt>
                <c:pt idx="42">
                  <c:v>1</c:v>
                </c:pt>
                <c:pt idx="43">
                  <c:v>1</c:v>
                </c:pt>
                <c:pt idx="44">
                  <c:v>1</c:v>
                </c:pt>
                <c:pt idx="45">
                  <c:v>1</c:v>
                </c:pt>
                <c:pt idx="46">
                  <c:v>1</c:v>
                </c:pt>
                <c:pt idx="47">
                  <c:v>1</c:v>
                </c:pt>
                <c:pt idx="48">
                  <c:v>1</c:v>
                </c:pt>
                <c:pt idx="49">
                  <c:v>1</c:v>
                </c:pt>
                <c:pt idx="50">
                  <c:v>1</c:v>
                </c:pt>
                <c:pt idx="51">
                  <c:v>-3.5695393852456603E-213</c:v>
                </c:pt>
                <c:pt idx="52">
                  <c:v>8.5990261933404602E-215</c:v>
                </c:pt>
                <c:pt idx="53">
                  <c:v>-2.9123682182174302E-214</c:v>
                </c:pt>
                <c:pt idx="54">
                  <c:v>3.82967954853368E-213</c:v>
                </c:pt>
                <c:pt idx="55">
                  <c:v>-2.4108805593486101E-213</c:v>
                </c:pt>
                <c:pt idx="56">
                  <c:v>7.8598797818576096E-213</c:v>
                </c:pt>
                <c:pt idx="57">
                  <c:v>-2.29056168539395E-213</c:v>
                </c:pt>
                <c:pt idx="58">
                  <c:v>4.2644656026688798E-214</c:v>
                </c:pt>
                <c:pt idx="59">
                  <c:v>2.5974718371205002E-215</c:v>
                </c:pt>
                <c:pt idx="60">
                  <c:v>-4.8198576257325698E-215</c:v>
                </c:pt>
                <c:pt idx="61">
                  <c:v>2.29433795714708E-215</c:v>
                </c:pt>
                <c:pt idx="62">
                  <c:v>5.7043025389812798E-214</c:v>
                </c:pt>
                <c:pt idx="63">
                  <c:v>4.4302255987598302E-214</c:v>
                </c:pt>
                <c:pt idx="64">
                  <c:v>-3.59134591006066E-214</c:v>
                </c:pt>
                <c:pt idx="65">
                  <c:v>-8.2141400923095203E-215</c:v>
                </c:pt>
                <c:pt idx="66">
                  <c:v>5.7379879373261397E-214</c:v>
                </c:pt>
                <c:pt idx="67">
                  <c:v>-1.8547442903228399E-214</c:v>
                </c:pt>
                <c:pt idx="68">
                  <c:v>-6.2976944338202703E-214</c:v>
                </c:pt>
                <c:pt idx="69">
                  <c:v>5.3945486308991596E-214</c:v>
                </c:pt>
                <c:pt idx="70">
                  <c:v>5.02690722283022E-214</c:v>
                </c:pt>
                <c:pt idx="71">
                  <c:v>-9.2131420336173805E-214</c:v>
                </c:pt>
                <c:pt idx="72">
                  <c:v>-1.5306686685985301E-214</c:v>
                </c:pt>
                <c:pt idx="73">
                  <c:v>1.21772054141421E-213</c:v>
                </c:pt>
                <c:pt idx="74">
                  <c:v>-4.3163124537830398E-214</c:v>
                </c:pt>
                <c:pt idx="75">
                  <c:v>-1.24566166247145E-213</c:v>
                </c:pt>
                <c:pt idx="76">
                  <c:v>1.20341258959483E-213</c:v>
                </c:pt>
                <c:pt idx="77">
                  <c:v>-8.6267444758368795E-214</c:v>
                </c:pt>
                <c:pt idx="78">
                  <c:v>3.3728641280003699E-214</c:v>
                </c:pt>
                <c:pt idx="79">
                  <c:v>-7.8051403382346401E-215</c:v>
                </c:pt>
                <c:pt idx="80">
                  <c:v>7.3900308218622496E-216</c:v>
                </c:pt>
                <c:pt idx="81">
                  <c:v>3.9456554735428199E-221</c:v>
                </c:pt>
                <c:pt idx="82">
                  <c:v>-1.2250813334282E-221</c:v>
                </c:pt>
                <c:pt idx="83">
                  <c:v>2.6068859828561099E-222</c:v>
                </c:pt>
                <c:pt idx="84">
                  <c:v>-3.41541023618831E-223</c:v>
                </c:pt>
                <c:pt idx="85">
                  <c:v>2.0314365404571599E-224</c:v>
                </c:pt>
                <c:pt idx="86">
                  <c:v>4.6243015576796297E-229</c:v>
                </c:pt>
                <c:pt idx="87">
                  <c:v>-9.5514269896664701E-230</c:v>
                </c:pt>
                <c:pt idx="88">
                  <c:v>1.39655535416086E-230</c:v>
                </c:pt>
                <c:pt idx="89">
                  <c:v>-1.2879330070741E-231</c:v>
                </c:pt>
                <c:pt idx="90">
                  <c:v>5.5832540051225499E-233</c:v>
                </c:pt>
                <c:pt idx="91">
                  <c:v>3.64382019800884E-237</c:v>
                </c:pt>
                <c:pt idx="92">
                  <c:v>-5.6537627206283598E-238</c:v>
                </c:pt>
                <c:pt idx="93">
                  <c:v>6.3079174279002096E-239</c:v>
                </c:pt>
                <c:pt idx="94">
                  <c:v>-4.4997170763809597E-240</c:v>
                </c:pt>
                <c:pt idx="95">
                  <c:v>1.5339502192981401E-241</c:v>
                </c:pt>
                <c:pt idx="96">
                  <c:v>2.2939795913654198E-245</c:v>
                </c:pt>
                <c:pt idx="97">
                  <c:v>-2.8547799048702402E-246</c:v>
                </c:pt>
                <c:pt idx="98">
                  <c:v>2.5774891057471501E-247</c:v>
                </c:pt>
                <c:pt idx="99">
                  <c:v>-1.5004409465856299E-248</c:v>
                </c:pt>
              </c:numCache>
            </c:numRef>
          </c:yVal>
          <c:smooth val="0"/>
          <c:extLst>
            <c:ext xmlns:c16="http://schemas.microsoft.com/office/drawing/2014/chart" uri="{C3380CC4-5D6E-409C-BE32-E72D297353CC}">
              <c16:uniqueId val="{0000008A-CF86-4C2E-BF49-1F263FBF5A1F}"/>
            </c:ext>
          </c:extLst>
        </c:ser>
        <c:ser>
          <c:idx val="139"/>
          <c:order val="139"/>
          <c:tx>
            <c:strRef>
              <c:f>dynamicR!$ES$19</c:f>
              <c:strCache>
                <c:ptCount val="1"/>
                <c:pt idx="0">
                  <c:v>w2TD</c:v>
                </c:pt>
              </c:strCache>
            </c:strRef>
          </c:tx>
          <c:spPr>
            <a:ln w="19050" cap="rnd">
              <a:solidFill>
                <a:schemeClr val="accent2">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dynamicR!$ES$20:$ES$119</c:f>
              <c:numCache>
                <c:formatCode>0.00</c:formatCode>
                <c:ptCount val="100"/>
                <c:pt idx="0">
                  <c:v>0</c:v>
                </c:pt>
                <c:pt idx="1">
                  <c:v>1.99833879703161E-2</c:v>
                </c:pt>
                <c:pt idx="2">
                  <c:v>3.9574047955810002E-2</c:v>
                </c:pt>
                <c:pt idx="3">
                  <c:v>5.87730873534512E-2</c:v>
                </c:pt>
                <c:pt idx="4">
                  <c:v>7.7588340301768602E-2</c:v>
                </c:pt>
                <c:pt idx="5">
                  <c:v>9.6027475488909303E-2</c:v>
                </c:pt>
                <c:pt idx="6">
                  <c:v>0.11409800859458299</c:v>
                </c:pt>
                <c:pt idx="7">
                  <c:v>0.13180730785362199</c:v>
                </c:pt>
                <c:pt idx="8">
                  <c:v>0.14916259537837101</c:v>
                </c:pt>
                <c:pt idx="9">
                  <c:v>0.166170948561397</c:v>
                </c:pt>
                <c:pt idx="10">
                  <c:v>0.182839302722863</c:v>
                </c:pt>
                <c:pt idx="11">
                  <c:v>0.19917445431747699</c:v>
                </c:pt>
                <c:pt idx="12">
                  <c:v>0.21518306393244199</c:v>
                </c:pt>
                <c:pt idx="13">
                  <c:v>0.23087165889457101</c:v>
                </c:pt>
                <c:pt idx="14">
                  <c:v>0.24624663639960501</c:v>
                </c:pt>
                <c:pt idx="15">
                  <c:v>0.26131426606517399</c:v>
                </c:pt>
                <c:pt idx="16">
                  <c:v>0.27608069202550201</c:v>
                </c:pt>
                <c:pt idx="17">
                  <c:v>0.29055193528860901</c:v>
                </c:pt>
                <c:pt idx="18">
                  <c:v>0.30473389643760201</c:v>
                </c:pt>
                <c:pt idx="19">
                  <c:v>0.31863235823164698</c:v>
                </c:pt>
                <c:pt idx="20">
                  <c:v>0.332252987922798</c:v>
                </c:pt>
                <c:pt idx="21">
                  <c:v>0.345601339449711</c:v>
                </c:pt>
                <c:pt idx="22">
                  <c:v>0.35868285567135799</c:v>
                </c:pt>
                <c:pt idx="23">
                  <c:v>0.37150287063460702</c:v>
                </c:pt>
                <c:pt idx="24">
                  <c:v>0.38406661178246798</c:v>
                </c:pt>
                <c:pt idx="25">
                  <c:v>0.396379202075066</c:v>
                </c:pt>
                <c:pt idx="26">
                  <c:v>0.40844566205709898</c:v>
                </c:pt>
                <c:pt idx="27">
                  <c:v>0.42027091190270399</c:v>
                </c:pt>
                <c:pt idx="28">
                  <c:v>0.43185977343064302</c:v>
                </c:pt>
                <c:pt idx="29">
                  <c:v>0.44321697207387301</c:v>
                </c:pt>
                <c:pt idx="30">
                  <c:v>0.45434713880688299</c:v>
                </c:pt>
                <c:pt idx="31">
                  <c:v>0.46525481202913999</c:v>
                </c:pt>
                <c:pt idx="32">
                  <c:v>0.47594443941435</c:v>
                </c:pt>
                <c:pt idx="33">
                  <c:v>0.486420379726209</c:v>
                </c:pt>
                <c:pt idx="34">
                  <c:v>0.49668690459883902</c:v>
                </c:pt>
                <c:pt idx="35">
                  <c:v>0.50674820027527001</c:v>
                </c:pt>
                <c:pt idx="36">
                  <c:v>0.516608369313872</c:v>
                </c:pt>
                <c:pt idx="37">
                  <c:v>0.52627143226270101</c:v>
                </c:pt>
                <c:pt idx="38">
                  <c:v>0.53574132929838303</c:v>
                </c:pt>
                <c:pt idx="39">
                  <c:v>0.54502192183360898</c:v>
                </c:pt>
                <c:pt idx="40">
                  <c:v>0.554116994090606</c:v>
                </c:pt>
                <c:pt idx="41">
                  <c:v>0.56303025464475798</c:v>
                </c:pt>
                <c:pt idx="42">
                  <c:v>0.57176533793536299</c:v>
                </c:pt>
                <c:pt idx="43">
                  <c:v>0.58032580574996095</c:v>
                </c:pt>
                <c:pt idx="44">
                  <c:v>0.588715148675648</c:v>
                </c:pt>
                <c:pt idx="45">
                  <c:v>0.59693678752208401</c:v>
                </c:pt>
                <c:pt idx="46">
                  <c:v>0.60499407471526501</c:v>
                </c:pt>
                <c:pt idx="47">
                  <c:v>0.61289029566590603</c:v>
                </c:pt>
                <c:pt idx="48">
                  <c:v>0.62062867011035605</c:v>
                </c:pt>
                <c:pt idx="49">
                  <c:v>0.62821235342121295</c:v>
                </c:pt>
                <c:pt idx="50">
                  <c:v>0.62821235342121295</c:v>
                </c:pt>
                <c:pt idx="51">
                  <c:v>0.61566071980543002</c:v>
                </c:pt>
                <c:pt idx="52">
                  <c:v>0.603353056622559</c:v>
                </c:pt>
                <c:pt idx="53">
                  <c:v>0.59129184587684303</c:v>
                </c:pt>
                <c:pt idx="54">
                  <c:v>0.57947200021619005</c:v>
                </c:pt>
                <c:pt idx="55">
                  <c:v>0.56788838351385496</c:v>
                </c:pt>
                <c:pt idx="56">
                  <c:v>0.55653626528261302</c:v>
                </c:pt>
                <c:pt idx="57">
                  <c:v>0.54541105563728198</c:v>
                </c:pt>
                <c:pt idx="58">
                  <c:v>0.53450823550518101</c:v>
                </c:pt>
                <c:pt idx="59">
                  <c:v>0.52382336507855798</c:v>
                </c:pt>
                <c:pt idx="60">
                  <c:v>0.51335208019583101</c:v>
                </c:pt>
                <c:pt idx="61">
                  <c:v>0.50309010332567405</c:v>
                </c:pt>
                <c:pt idx="62">
                  <c:v>0.49303325797818598</c:v>
                </c:pt>
                <c:pt idx="63">
                  <c:v>0.48317745271943502</c:v>
                </c:pt>
                <c:pt idx="64">
                  <c:v>0.47351867031436201</c:v>
                </c:pt>
                <c:pt idx="65">
                  <c:v>0.46405296984154798</c:v>
                </c:pt>
                <c:pt idx="66">
                  <c:v>0.45477648964737699</c:v>
                </c:pt>
                <c:pt idx="67">
                  <c:v>0.44568544688081502</c:v>
                </c:pt>
                <c:pt idx="68">
                  <c:v>0.43677613504496199</c:v>
                </c:pt>
                <c:pt idx="69">
                  <c:v>0.42804492163170799</c:v>
                </c:pt>
                <c:pt idx="70">
                  <c:v>0.41948824646285199</c:v>
                </c:pt>
                <c:pt idx="71">
                  <c:v>0.411102620411673</c:v>
                </c:pt>
                <c:pt idx="72">
                  <c:v>0.40288462412751203</c:v>
                </c:pt>
                <c:pt idx="73">
                  <c:v>0.39483090666513998</c:v>
                </c:pt>
                <c:pt idx="74">
                  <c:v>0.38693818408576103</c:v>
                </c:pt>
                <c:pt idx="75">
                  <c:v>0.37920323815174101</c:v>
                </c:pt>
                <c:pt idx="76">
                  <c:v>0.37162291500619099</c:v>
                </c:pt>
                <c:pt idx="77">
                  <c:v>0.36419412366729198</c:v>
                </c:pt>
                <c:pt idx="78">
                  <c:v>0.35691383483126998</c:v>
                </c:pt>
                <c:pt idx="79">
                  <c:v>0.349779079841466</c:v>
                </c:pt>
                <c:pt idx="80">
                  <c:v>0.34278694950979599</c:v>
                </c:pt>
                <c:pt idx="81">
                  <c:v>0.33593459281540899</c:v>
                </c:pt>
                <c:pt idx="82">
                  <c:v>0.32921921566892298</c:v>
                </c:pt>
                <c:pt idx="83">
                  <c:v>0.32263807980237702</c:v>
                </c:pt>
                <c:pt idx="84">
                  <c:v>0.31618850170135998</c:v>
                </c:pt>
                <c:pt idx="85">
                  <c:v>0.30986785151853502</c:v>
                </c:pt>
                <c:pt idx="86">
                  <c:v>0.30367355197815898</c:v>
                </c:pt>
                <c:pt idx="87">
                  <c:v>0.29760307731378299</c:v>
                </c:pt>
                <c:pt idx="88">
                  <c:v>0.29165395224429302</c:v>
                </c:pt>
                <c:pt idx="89">
                  <c:v>0.28582375097302198</c:v>
                </c:pt>
                <c:pt idx="90">
                  <c:v>0.28011009619923999</c:v>
                </c:pt>
                <c:pt idx="91">
                  <c:v>0.274510658144835</c:v>
                </c:pt>
                <c:pt idx="92">
                  <c:v>0.26902315360238099</c:v>
                </c:pt>
                <c:pt idx="93">
                  <c:v>0.263645345004834</c:v>
                </c:pt>
                <c:pt idx="94">
                  <c:v>0.258375039515571</c:v>
                </c:pt>
                <c:pt idx="95">
                  <c:v>0.25321008813357598</c:v>
                </c:pt>
                <c:pt idx="96">
                  <c:v>0.24814838481644</c:v>
                </c:pt>
                <c:pt idx="97">
                  <c:v>0.243187865621389</c:v>
                </c:pt>
                <c:pt idx="98">
                  <c:v>0.23832650786448301</c:v>
                </c:pt>
                <c:pt idx="99">
                  <c:v>0.233562329295289</c:v>
                </c:pt>
              </c:numCache>
            </c:numRef>
          </c:yVal>
          <c:smooth val="0"/>
          <c:extLst>
            <c:ext xmlns:c16="http://schemas.microsoft.com/office/drawing/2014/chart" uri="{C3380CC4-5D6E-409C-BE32-E72D297353CC}">
              <c16:uniqueId val="{0000008B-CF86-4C2E-BF49-1F263FBF5A1F}"/>
            </c:ext>
          </c:extLst>
        </c:ser>
        <c:ser>
          <c:idx val="140"/>
          <c:order val="140"/>
          <c:tx>
            <c:strRef>
              <c:f>dynamicR!$ET$19</c:f>
              <c:strCache>
                <c:ptCount val="1"/>
                <c:pt idx="0">
                  <c:v>w2TS</c:v>
                </c:pt>
              </c:strCache>
            </c:strRef>
          </c:tx>
          <c:spPr>
            <a:ln w="19050" cap="rnd">
              <a:solidFill>
                <a:schemeClr val="accent3">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dynamicR!$ET$20:$ET$119</c:f>
              <c:numCache>
                <c:formatCode>0.00</c:formatCode>
                <c:ptCount val="100"/>
                <c:pt idx="0">
                  <c:v>0</c:v>
                </c:pt>
                <c:pt idx="1">
                  <c:v>0.999999999999999</c:v>
                </c:pt>
                <c:pt idx="2">
                  <c:v>0.999999999999996</c:v>
                </c:pt>
                <c:pt idx="3">
                  <c:v>0.999999999999994</c:v>
                </c:pt>
                <c:pt idx="4">
                  <c:v>0.999999999999999</c:v>
                </c:pt>
                <c:pt idx="5">
                  <c:v>1</c:v>
                </c:pt>
                <c:pt idx="6">
                  <c:v>1</c:v>
                </c:pt>
                <c:pt idx="7">
                  <c:v>0.999999999999999</c:v>
                </c:pt>
                <c:pt idx="8">
                  <c:v>1</c:v>
                </c:pt>
                <c:pt idx="9">
                  <c:v>1</c:v>
                </c:pt>
                <c:pt idx="10">
                  <c:v>0.999999999999999</c:v>
                </c:pt>
                <c:pt idx="11">
                  <c:v>1</c:v>
                </c:pt>
                <c:pt idx="12">
                  <c:v>1</c:v>
                </c:pt>
                <c:pt idx="13">
                  <c:v>1</c:v>
                </c:pt>
                <c:pt idx="14">
                  <c:v>1</c:v>
                </c:pt>
                <c:pt idx="15">
                  <c:v>1</c:v>
                </c:pt>
                <c:pt idx="16">
                  <c:v>0.999999999999999</c:v>
                </c:pt>
                <c:pt idx="17">
                  <c:v>0.999999999999999</c:v>
                </c:pt>
                <c:pt idx="18">
                  <c:v>1</c:v>
                </c:pt>
                <c:pt idx="19">
                  <c:v>0.999999999999999</c:v>
                </c:pt>
                <c:pt idx="20">
                  <c:v>0.999999999999998</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0.999999999999999</c:v>
                </c:pt>
                <c:pt idx="39">
                  <c:v>1</c:v>
                </c:pt>
                <c:pt idx="40">
                  <c:v>1</c:v>
                </c:pt>
                <c:pt idx="41">
                  <c:v>1</c:v>
                </c:pt>
                <c:pt idx="42">
                  <c:v>1</c:v>
                </c:pt>
                <c:pt idx="43">
                  <c:v>1</c:v>
                </c:pt>
                <c:pt idx="44">
                  <c:v>1</c:v>
                </c:pt>
                <c:pt idx="45">
                  <c:v>1</c:v>
                </c:pt>
                <c:pt idx="46">
                  <c:v>1</c:v>
                </c:pt>
                <c:pt idx="47">
                  <c:v>1</c:v>
                </c:pt>
                <c:pt idx="48">
                  <c:v>1</c:v>
                </c:pt>
                <c:pt idx="49">
                  <c:v>0.999999999999999</c:v>
                </c:pt>
                <c:pt idx="50">
                  <c:v>0.999999999999999</c:v>
                </c:pt>
                <c:pt idx="51">
                  <c:v>-4.8360429759033902E-213</c:v>
                </c:pt>
                <c:pt idx="52">
                  <c:v>1.1650034246482601E-214</c:v>
                </c:pt>
                <c:pt idx="53">
                  <c:v>-3.9457014789757197E-214</c:v>
                </c:pt>
                <c:pt idx="54">
                  <c:v>5.1884830591751701E-213</c:v>
                </c:pt>
                <c:pt idx="55">
                  <c:v>-3.2662819091775799E-213</c:v>
                </c:pt>
                <c:pt idx="56">
                  <c:v>1.0648633294384E-212</c:v>
                </c:pt>
                <c:pt idx="57">
                  <c:v>-3.1032728358698201E-213</c:v>
                </c:pt>
                <c:pt idx="58">
                  <c:v>5.77753497943315E-214</c:v>
                </c:pt>
                <c:pt idx="59">
                  <c:v>3.5190773687724299E-215</c:v>
                </c:pt>
                <c:pt idx="60">
                  <c:v>-6.5299849074244996E-215</c:v>
                </c:pt>
                <c:pt idx="61">
                  <c:v>3.1083889619695498E-215</c:v>
                </c:pt>
                <c:pt idx="62">
                  <c:v>7.7282385464931301E-214</c:v>
                </c:pt>
                <c:pt idx="63">
                  <c:v>6.0021080593616799E-214</c:v>
                </c:pt>
                <c:pt idx="64">
                  <c:v>-4.8655865823143203E-214</c:v>
                </c:pt>
                <c:pt idx="65">
                  <c:v>-1.1128588228903899E-214</c:v>
                </c:pt>
                <c:pt idx="66">
                  <c:v>7.7738758161728202E-214</c:v>
                </c:pt>
                <c:pt idx="67">
                  <c:v>-2.5128236484578002E-214</c:v>
                </c:pt>
                <c:pt idx="68">
                  <c:v>-8.5321710313264E-214</c:v>
                </c:pt>
                <c:pt idx="69">
                  <c:v>7.3085812655780497E-214</c:v>
                </c:pt>
                <c:pt idx="70">
                  <c:v>6.8104974978792503E-214</c:v>
                </c:pt>
                <c:pt idx="71">
                  <c:v>-1.24820447217172E-213</c:v>
                </c:pt>
                <c:pt idx="72">
                  <c:v>-2.07376318589712E-214</c:v>
                </c:pt>
                <c:pt idx="73">
                  <c:v>1.64977834934757E-213</c:v>
                </c:pt>
                <c:pt idx="74">
                  <c:v>-5.8477775426405197E-214</c:v>
                </c:pt>
                <c:pt idx="75">
                  <c:v>-1.6876332224576299E-213</c:v>
                </c:pt>
                <c:pt idx="76">
                  <c:v>1.6303938121531399E-213</c:v>
                </c:pt>
                <c:pt idx="77">
                  <c:v>-1.16875882254956E-213</c:v>
                </c:pt>
                <c:pt idx="78">
                  <c:v>4.5695855696524701E-214</c:v>
                </c:pt>
                <c:pt idx="79">
                  <c:v>-1.0574471816578001E-214</c:v>
                </c:pt>
                <c:pt idx="80">
                  <c:v>1.0012077852042E-215</c:v>
                </c:pt>
                <c:pt idx="81">
                  <c:v>5.3451941578766099E-221</c:v>
                </c:pt>
                <c:pt idx="82">
                  <c:v>-1.6596223711169E-221</c:v>
                </c:pt>
                <c:pt idx="83">
                  <c:v>3.5315590820993397E-222</c:v>
                </c:pt>
                <c:pt idx="84">
                  <c:v>-4.6268721525890004E-223</c:v>
                </c:pt>
                <c:pt idx="85">
                  <c:v>2.7519990061572002E-224</c:v>
                </c:pt>
                <c:pt idx="86">
                  <c:v>6.2456987184211E-229</c:v>
                </c:pt>
                <c:pt idx="87">
                  <c:v>-1.2938376778304599E-229</c:v>
                </c:pt>
                <c:pt idx="88">
                  <c:v>1.89177602071861E-230</c:v>
                </c:pt>
                <c:pt idx="89">
                  <c:v>-1.7446373042671399E-231</c:v>
                </c:pt>
                <c:pt idx="90">
                  <c:v>7.5631073088650201E-233</c:v>
                </c:pt>
                <c:pt idx="91">
                  <c:v>4.9243314672302601E-237</c:v>
                </c:pt>
                <c:pt idx="92">
                  <c:v>-7.6580241814727497E-238</c:v>
                </c:pt>
                <c:pt idx="93">
                  <c:v>8.5440795921220298E-239</c:v>
                </c:pt>
                <c:pt idx="94">
                  <c:v>-6.0948745807780496E-240</c:v>
                </c:pt>
                <c:pt idx="95">
                  <c:v>2.0777377829600499E-241</c:v>
                </c:pt>
                <c:pt idx="96">
                  <c:v>3.1064424351294302E-245</c:v>
                </c:pt>
                <c:pt idx="97">
                  <c:v>-3.8665190327474702E-246</c:v>
                </c:pt>
                <c:pt idx="98">
                  <c:v>3.49095820938116E-247</c:v>
                </c:pt>
                <c:pt idx="99">
                  <c:v>-2.0322030330455702E-248</c:v>
                </c:pt>
              </c:numCache>
            </c:numRef>
          </c:yVal>
          <c:smooth val="0"/>
          <c:extLst>
            <c:ext xmlns:c16="http://schemas.microsoft.com/office/drawing/2014/chart" uri="{C3380CC4-5D6E-409C-BE32-E72D297353CC}">
              <c16:uniqueId val="{0000008C-CF86-4C2E-BF49-1F263FBF5A1F}"/>
            </c:ext>
          </c:extLst>
        </c:ser>
        <c:ser>
          <c:idx val="141"/>
          <c:order val="141"/>
          <c:tx>
            <c:strRef>
              <c:f>dynamicR!$EU$19</c:f>
              <c:strCache>
                <c:ptCount val="1"/>
                <c:pt idx="0">
                  <c:v>w2TA</c:v>
                </c:pt>
              </c:strCache>
            </c:strRef>
          </c:tx>
          <c:spPr>
            <a:ln w="19050" cap="rnd">
              <a:solidFill>
                <a:schemeClr val="accent4">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dynamicR!$EU$20:$EU$119</c:f>
              <c:numCache>
                <c:formatCode>0.00</c:formatCode>
                <c:ptCount val="100"/>
                <c:pt idx="0">
                  <c:v>0</c:v>
                </c:pt>
                <c:pt idx="1">
                  <c:v>0.999999999999999</c:v>
                </c:pt>
                <c:pt idx="2">
                  <c:v>0.999999999999995</c:v>
                </c:pt>
                <c:pt idx="3">
                  <c:v>0.99999999999999301</c:v>
                </c:pt>
                <c:pt idx="4">
                  <c:v>0.999999999999999</c:v>
                </c:pt>
                <c:pt idx="5">
                  <c:v>1</c:v>
                </c:pt>
                <c:pt idx="6">
                  <c:v>1</c:v>
                </c:pt>
                <c:pt idx="7">
                  <c:v>0.999999999999999</c:v>
                </c:pt>
                <c:pt idx="8">
                  <c:v>1</c:v>
                </c:pt>
                <c:pt idx="9">
                  <c:v>0.999999999999999</c:v>
                </c:pt>
                <c:pt idx="10">
                  <c:v>1</c:v>
                </c:pt>
                <c:pt idx="11">
                  <c:v>0.999999999999999</c:v>
                </c:pt>
                <c:pt idx="12">
                  <c:v>1</c:v>
                </c:pt>
                <c:pt idx="13">
                  <c:v>1</c:v>
                </c:pt>
                <c:pt idx="14">
                  <c:v>0.999999999999999</c:v>
                </c:pt>
                <c:pt idx="15">
                  <c:v>1</c:v>
                </c:pt>
                <c:pt idx="16">
                  <c:v>1</c:v>
                </c:pt>
                <c:pt idx="17">
                  <c:v>0.999999999999998</c:v>
                </c:pt>
                <c:pt idx="18">
                  <c:v>1</c:v>
                </c:pt>
                <c:pt idx="19">
                  <c:v>1</c:v>
                </c:pt>
                <c:pt idx="20">
                  <c:v>0.999999999999997</c:v>
                </c:pt>
                <c:pt idx="21">
                  <c:v>1</c:v>
                </c:pt>
                <c:pt idx="22">
                  <c:v>1</c:v>
                </c:pt>
                <c:pt idx="23">
                  <c:v>0.999999999999997</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0.999999999999999</c:v>
                </c:pt>
                <c:pt idx="38">
                  <c:v>1</c:v>
                </c:pt>
                <c:pt idx="39">
                  <c:v>1</c:v>
                </c:pt>
                <c:pt idx="40">
                  <c:v>1</c:v>
                </c:pt>
                <c:pt idx="41">
                  <c:v>1</c:v>
                </c:pt>
                <c:pt idx="42">
                  <c:v>1</c:v>
                </c:pt>
                <c:pt idx="43">
                  <c:v>1</c:v>
                </c:pt>
                <c:pt idx="44">
                  <c:v>1</c:v>
                </c:pt>
                <c:pt idx="45">
                  <c:v>1</c:v>
                </c:pt>
                <c:pt idx="46">
                  <c:v>1</c:v>
                </c:pt>
                <c:pt idx="47">
                  <c:v>1</c:v>
                </c:pt>
                <c:pt idx="48">
                  <c:v>0.999999999999999</c:v>
                </c:pt>
                <c:pt idx="49">
                  <c:v>1</c:v>
                </c:pt>
                <c:pt idx="50">
                  <c:v>1</c:v>
                </c:pt>
                <c:pt idx="51">
                  <c:v>-4.3284135333344901E-32</c:v>
                </c:pt>
                <c:pt idx="52">
                  <c:v>-1.2401374733121199E-34</c:v>
                </c:pt>
                <c:pt idx="53">
                  <c:v>3.1116311680752002E-33</c:v>
                </c:pt>
                <c:pt idx="54">
                  <c:v>1.9627211787737299E-31</c:v>
                </c:pt>
                <c:pt idx="55">
                  <c:v>-1.06838566308377E-31</c:v>
                </c:pt>
                <c:pt idx="56">
                  <c:v>3.6778451349484198E-31</c:v>
                </c:pt>
                <c:pt idx="57">
                  <c:v>-1.07335527086963E-31</c:v>
                </c:pt>
                <c:pt idx="58">
                  <c:v>2.0185961909853099E-32</c:v>
                </c:pt>
                <c:pt idx="59">
                  <c:v>1.1900517136134901E-33</c:v>
                </c:pt>
                <c:pt idx="60">
                  <c:v>-2.2411899372376801E-33</c:v>
                </c:pt>
                <c:pt idx="61">
                  <c:v>1.13517010980382E-33</c:v>
                </c:pt>
                <c:pt idx="62">
                  <c:v>2.6878800600019602E-32</c:v>
                </c:pt>
                <c:pt idx="63">
                  <c:v>2.0891367367936501E-32</c:v>
                </c:pt>
                <c:pt idx="64">
                  <c:v>-1.68738351638264E-32</c:v>
                </c:pt>
                <c:pt idx="65">
                  <c:v>-3.8811760336829897E-33</c:v>
                </c:pt>
                <c:pt idx="66">
                  <c:v>2.6998470611037401E-32</c:v>
                </c:pt>
                <c:pt idx="67">
                  <c:v>-8.7119597546388606E-33</c:v>
                </c:pt>
                <c:pt idx="68">
                  <c:v>-2.9646235087801103E-32</c:v>
                </c:pt>
                <c:pt idx="69">
                  <c:v>2.5378939366842999E-32</c:v>
                </c:pt>
                <c:pt idx="70">
                  <c:v>2.3671969783080699E-32</c:v>
                </c:pt>
                <c:pt idx="71">
                  <c:v>-4.3366844806677799E-32</c:v>
                </c:pt>
                <c:pt idx="72">
                  <c:v>-7.2115094705850996E-33</c:v>
                </c:pt>
                <c:pt idx="73">
                  <c:v>5.7334086610836205E-32</c:v>
                </c:pt>
                <c:pt idx="74">
                  <c:v>-2.0329687184744001E-32</c:v>
                </c:pt>
                <c:pt idx="75">
                  <c:v>-5.8655220475805505E-32</c:v>
                </c:pt>
                <c:pt idx="76">
                  <c:v>5.66831525034178E-32</c:v>
                </c:pt>
                <c:pt idx="77">
                  <c:v>-4.0672159331650002E-32</c:v>
                </c:pt>
                <c:pt idx="78">
                  <c:v>1.59531416011813E-32</c:v>
                </c:pt>
                <c:pt idx="79">
                  <c:v>-3.7333638208695103E-33</c:v>
                </c:pt>
                <c:pt idx="80">
                  <c:v>3.8203156626891898E-34</c:v>
                </c:pt>
                <c:pt idx="81">
                  <c:v>-1.4627625174569901E-35</c:v>
                </c:pt>
                <c:pt idx="82">
                  <c:v>4.5414191956233697E-36</c:v>
                </c:pt>
                <c:pt idx="83">
                  <c:v>-9.6620330806743501E-37</c:v>
                </c:pt>
                <c:pt idx="84">
                  <c:v>1.2649725068769101E-37</c:v>
                </c:pt>
                <c:pt idx="85">
                  <c:v>-7.4866851293748801E-39</c:v>
                </c:pt>
                <c:pt idx="86">
                  <c:v>-1.24210884968668E-41</c:v>
                </c:pt>
                <c:pt idx="87">
                  <c:v>2.5604904301849101E-42</c:v>
                </c:pt>
                <c:pt idx="88">
                  <c:v>-3.7420601920583301E-43</c:v>
                </c:pt>
                <c:pt idx="89">
                  <c:v>3.44476629510896E-44</c:v>
                </c:pt>
                <c:pt idx="90">
                  <c:v>-1.4746561216347501E-45</c:v>
                </c:pt>
                <c:pt idx="91">
                  <c:v>-4.6485996734228599E-48</c:v>
                </c:pt>
                <c:pt idx="92">
                  <c:v>7.2039827284702194E-49</c:v>
                </c:pt>
                <c:pt idx="93">
                  <c:v>-8.0286725261648698E-50</c:v>
                </c:pt>
                <c:pt idx="94">
                  <c:v>5.70263608568952E-51</c:v>
                </c:pt>
                <c:pt idx="95">
                  <c:v>-1.8863085617916099E-52</c:v>
                </c:pt>
                <c:pt idx="96">
                  <c:v>-1.14755051756922E-54</c:v>
                </c:pt>
                <c:pt idx="97">
                  <c:v>1.4263352444380299E-55</c:v>
                </c:pt>
                <c:pt idx="98">
                  <c:v>-1.28478939403577E-56</c:v>
                </c:pt>
                <c:pt idx="99">
                  <c:v>7.4107701663857804E-58</c:v>
                </c:pt>
              </c:numCache>
            </c:numRef>
          </c:yVal>
          <c:smooth val="0"/>
          <c:extLst>
            <c:ext xmlns:c16="http://schemas.microsoft.com/office/drawing/2014/chart" uri="{C3380CC4-5D6E-409C-BE32-E72D297353CC}">
              <c16:uniqueId val="{0000008D-CF86-4C2E-BF49-1F263FBF5A1F}"/>
            </c:ext>
          </c:extLst>
        </c:ser>
        <c:ser>
          <c:idx val="142"/>
          <c:order val="142"/>
          <c:tx>
            <c:strRef>
              <c:f>dynamicR!$EV$19</c:f>
              <c:strCache>
                <c:ptCount val="1"/>
                <c:pt idx="0">
                  <c:v>w2TP</c:v>
                </c:pt>
              </c:strCache>
            </c:strRef>
          </c:tx>
          <c:spPr>
            <a:ln w="19050" cap="rnd">
              <a:solidFill>
                <a:schemeClr val="accent5">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dynamicR!$EV$20:$EV$119</c:f>
              <c:numCache>
                <c:formatCode>0.00</c:formatCode>
                <c:ptCount val="100"/>
                <c:pt idx="0">
                  <c:v>0</c:v>
                </c:pt>
                <c:pt idx="1">
                  <c:v>0.999999999999999</c:v>
                </c:pt>
                <c:pt idx="2">
                  <c:v>0.999999999999996</c:v>
                </c:pt>
                <c:pt idx="3">
                  <c:v>0.999999999999994</c:v>
                </c:pt>
                <c:pt idx="4">
                  <c:v>0.999999999999999</c:v>
                </c:pt>
                <c:pt idx="5">
                  <c:v>1</c:v>
                </c:pt>
                <c:pt idx="6">
                  <c:v>1</c:v>
                </c:pt>
                <c:pt idx="7">
                  <c:v>1</c:v>
                </c:pt>
                <c:pt idx="8">
                  <c:v>1</c:v>
                </c:pt>
                <c:pt idx="9">
                  <c:v>1</c:v>
                </c:pt>
                <c:pt idx="10">
                  <c:v>0.999999999999999</c:v>
                </c:pt>
                <c:pt idx="11">
                  <c:v>1</c:v>
                </c:pt>
                <c:pt idx="12">
                  <c:v>1</c:v>
                </c:pt>
                <c:pt idx="13">
                  <c:v>0.999999999999999</c:v>
                </c:pt>
                <c:pt idx="14">
                  <c:v>1</c:v>
                </c:pt>
                <c:pt idx="15">
                  <c:v>1</c:v>
                </c:pt>
                <c:pt idx="16">
                  <c:v>0.999999999999999</c:v>
                </c:pt>
                <c:pt idx="17">
                  <c:v>1</c:v>
                </c:pt>
                <c:pt idx="18">
                  <c:v>1</c:v>
                </c:pt>
                <c:pt idx="19">
                  <c:v>0.999999999999998</c:v>
                </c:pt>
                <c:pt idx="20">
                  <c:v>0.999999999999999</c:v>
                </c:pt>
                <c:pt idx="21">
                  <c:v>1</c:v>
                </c:pt>
                <c:pt idx="22">
                  <c:v>0.999999999999998</c:v>
                </c:pt>
                <c:pt idx="23">
                  <c:v>1</c:v>
                </c:pt>
                <c:pt idx="24">
                  <c:v>0.999999999999999</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0.999999999999999</c:v>
                </c:pt>
                <c:pt idx="41">
                  <c:v>1</c:v>
                </c:pt>
                <c:pt idx="42">
                  <c:v>1</c:v>
                </c:pt>
                <c:pt idx="43">
                  <c:v>1</c:v>
                </c:pt>
                <c:pt idx="44">
                  <c:v>1</c:v>
                </c:pt>
                <c:pt idx="45">
                  <c:v>1</c:v>
                </c:pt>
                <c:pt idx="46">
                  <c:v>1</c:v>
                </c:pt>
                <c:pt idx="47">
                  <c:v>1</c:v>
                </c:pt>
                <c:pt idx="48">
                  <c:v>1</c:v>
                </c:pt>
                <c:pt idx="49">
                  <c:v>1</c:v>
                </c:pt>
                <c:pt idx="50">
                  <c:v>1</c:v>
                </c:pt>
                <c:pt idx="51">
                  <c:v>-6.3139639509820798E-23</c:v>
                </c:pt>
                <c:pt idx="52">
                  <c:v>9.1135863960376196E-27</c:v>
                </c:pt>
                <c:pt idx="53">
                  <c:v>3.4889032075877599E-24</c:v>
                </c:pt>
                <c:pt idx="54">
                  <c:v>2.6115585194956599E-22</c:v>
                </c:pt>
                <c:pt idx="55">
                  <c:v>-1.4267147166222899E-22</c:v>
                </c:pt>
                <c:pt idx="56">
                  <c:v>4.9024103436861402E-22</c:v>
                </c:pt>
                <c:pt idx="57">
                  <c:v>-1.4290404440005799E-22</c:v>
                </c:pt>
                <c:pt idx="58">
                  <c:v>2.67741663052223E-23</c:v>
                </c:pt>
                <c:pt idx="59">
                  <c:v>1.63126220498955E-24</c:v>
                </c:pt>
                <c:pt idx="60">
                  <c:v>-3.02658212466701E-24</c:v>
                </c:pt>
                <c:pt idx="61">
                  <c:v>1.4399164672210399E-24</c:v>
                </c:pt>
                <c:pt idx="62">
                  <c:v>3.5815506786251698E-23</c:v>
                </c:pt>
                <c:pt idx="63">
                  <c:v>2.78157960554863E-23</c:v>
                </c:pt>
                <c:pt idx="64">
                  <c:v>-2.2549485168739701E-23</c:v>
                </c:pt>
                <c:pt idx="65">
                  <c:v>-5.1572748240096998E-24</c:v>
                </c:pt>
                <c:pt idx="66">
                  <c:v>3.6027458559256602E-23</c:v>
                </c:pt>
                <c:pt idx="67">
                  <c:v>-1.16456709703262E-23</c:v>
                </c:pt>
                <c:pt idx="68">
                  <c:v>-3.9541557672994699E-23</c:v>
                </c:pt>
                <c:pt idx="69">
                  <c:v>3.3871126354233898E-23</c:v>
                </c:pt>
                <c:pt idx="70">
                  <c:v>3.1562529120806198E-23</c:v>
                </c:pt>
                <c:pt idx="71">
                  <c:v>-5.7846925797796202E-23</c:v>
                </c:pt>
                <c:pt idx="72">
                  <c:v>-9.6105952061047904E-24</c:v>
                </c:pt>
                <c:pt idx="73">
                  <c:v>7.6457333951499104E-23</c:v>
                </c:pt>
                <c:pt idx="74">
                  <c:v>-2.7100859741450998E-23</c:v>
                </c:pt>
                <c:pt idx="75">
                  <c:v>-7.82116158377313E-23</c:v>
                </c:pt>
                <c:pt idx="76">
                  <c:v>7.5558713794314802E-23</c:v>
                </c:pt>
                <c:pt idx="77">
                  <c:v>-5.4164329640253805E-23</c:v>
                </c:pt>
                <c:pt idx="78">
                  <c:v>2.1176448500568399E-23</c:v>
                </c:pt>
                <c:pt idx="79">
                  <c:v>-4.8999571919988603E-24</c:v>
                </c:pt>
                <c:pt idx="80">
                  <c:v>4.6360538402660498E-25</c:v>
                </c:pt>
                <c:pt idx="81">
                  <c:v>1.7174742250016399E-28</c:v>
                </c:pt>
                <c:pt idx="82">
                  <c:v>-5.3323257654144399E-29</c:v>
                </c:pt>
                <c:pt idx="83">
                  <c:v>1.1345365006355999E-29</c:v>
                </c:pt>
                <c:pt idx="84">
                  <c:v>-1.4856847509439901E-30</c:v>
                </c:pt>
                <c:pt idx="85">
                  <c:v>8.8065062581867002E-32</c:v>
                </c:pt>
                <c:pt idx="86">
                  <c:v>1.0127394514504301E-34</c:v>
                </c:pt>
                <c:pt idx="87">
                  <c:v>-2.0877064521109001E-35</c:v>
                </c:pt>
                <c:pt idx="88">
                  <c:v>3.0512762337089799E-36</c:v>
                </c:pt>
                <c:pt idx="89">
                  <c:v>-2.8094788092344298E-37</c:v>
                </c:pt>
                <c:pt idx="90">
                  <c:v>1.20454402225443E-38</c:v>
                </c:pt>
                <c:pt idx="91">
                  <c:v>3.3413753470097699E-41</c:v>
                </c:pt>
                <c:pt idx="92">
                  <c:v>-5.1782722809995403E-42</c:v>
                </c:pt>
                <c:pt idx="93">
                  <c:v>5.7714082902693997E-43</c:v>
                </c:pt>
                <c:pt idx="94">
                  <c:v>-4.1002940717620198E-44</c:v>
                </c:pt>
                <c:pt idx="95">
                  <c:v>1.3585434144268999E-45</c:v>
                </c:pt>
                <c:pt idx="96">
                  <c:v>7.8141369816513999E-48</c:v>
                </c:pt>
                <c:pt idx="97">
                  <c:v>-9.7126998128273793E-49</c:v>
                </c:pt>
                <c:pt idx="98">
                  <c:v>8.7493790179321308E-50</c:v>
                </c:pt>
                <c:pt idx="99">
                  <c:v>-5.0479519511957097E-51</c:v>
                </c:pt>
              </c:numCache>
            </c:numRef>
          </c:yVal>
          <c:smooth val="0"/>
          <c:extLst>
            <c:ext xmlns:c16="http://schemas.microsoft.com/office/drawing/2014/chart" uri="{C3380CC4-5D6E-409C-BE32-E72D297353CC}">
              <c16:uniqueId val="{0000008E-CF86-4C2E-BF49-1F263FBF5A1F}"/>
            </c:ext>
          </c:extLst>
        </c:ser>
        <c:ser>
          <c:idx val="143"/>
          <c:order val="143"/>
          <c:tx>
            <c:strRef>
              <c:f>dynamicR!$EW$19</c:f>
              <c:strCache>
                <c:ptCount val="1"/>
                <c:pt idx="0">
                  <c:v>w3TD</c:v>
                </c:pt>
              </c:strCache>
            </c:strRef>
          </c:tx>
          <c:spPr>
            <a:ln w="19050" cap="rnd">
              <a:solidFill>
                <a:schemeClr val="accent6">
                  <a:lumMod val="5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dynamicR!$EW$20:$EW$119</c:f>
              <c:numCache>
                <c:formatCode>0.00</c:formatCode>
                <c:ptCount val="100"/>
                <c:pt idx="0">
                  <c:v>0</c:v>
                </c:pt>
                <c:pt idx="1">
                  <c:v>1.9983341366846499E-2</c:v>
                </c:pt>
                <c:pt idx="2">
                  <c:v>3.9574002283949902E-2</c:v>
                </c:pt>
                <c:pt idx="3">
                  <c:v>5.8773042594577399E-2</c:v>
                </c:pt>
                <c:pt idx="4">
                  <c:v>7.7588296437630794E-2</c:v>
                </c:pt>
                <c:pt idx="5">
                  <c:v>9.6027432501621504E-2</c:v>
                </c:pt>
                <c:pt idx="6">
                  <c:v>0.114097966466617</c:v>
                </c:pt>
                <c:pt idx="7">
                  <c:v>0.13180726656780001</c:v>
                </c:pt>
                <c:pt idx="8">
                  <c:v>0.14916255491785799</c:v>
                </c:pt>
                <c:pt idx="9">
                  <c:v>0.16617090890969499</c:v>
                </c:pt>
                <c:pt idx="10">
                  <c:v>0.182839263863804</c:v>
                </c:pt>
                <c:pt idx="11">
                  <c:v>0.19917441623521501</c:v>
                </c:pt>
                <c:pt idx="12">
                  <c:v>0.21518302661145</c:v>
                </c:pt>
                <c:pt idx="13">
                  <c:v>0.23087162231962999</c:v>
                </c:pt>
                <c:pt idx="14">
                  <c:v>0.246246600555803</c:v>
                </c:pt>
                <c:pt idx="15">
                  <c:v>0.26131423093789402</c:v>
                </c:pt>
                <c:pt idx="16">
                  <c:v>0.276080657600421</c:v>
                </c:pt>
                <c:pt idx="17">
                  <c:v>0.29055190155168997</c:v>
                </c:pt>
                <c:pt idx="18">
                  <c:v>0.30473386337508801</c:v>
                </c:pt>
                <c:pt idx="19">
                  <c:v>0.31863232583005702</c:v>
                </c:pt>
                <c:pt idx="20">
                  <c:v>0.33225295616891998</c:v>
                </c:pt>
                <c:pt idx="21">
                  <c:v>0.34560130833059699</c:v>
                </c:pt>
                <c:pt idx="22">
                  <c:v>0.35868282517431999</c:v>
                </c:pt>
                <c:pt idx="23">
                  <c:v>0.37150284074720902</c:v>
                </c:pt>
                <c:pt idx="24">
                  <c:v>0.38406658249252301</c:v>
                </c:pt>
                <c:pt idx="25">
                  <c:v>0.396379173370631</c:v>
                </c:pt>
                <c:pt idx="26">
                  <c:v>0.40844563392646899</c:v>
                </c:pt>
                <c:pt idx="27">
                  <c:v>0.42027088433440901</c:v>
                </c:pt>
                <c:pt idx="28">
                  <c:v>0.43185974641344199</c:v>
                </c:pt>
                <c:pt idx="29">
                  <c:v>0.44321694559674901</c:v>
                </c:pt>
                <c:pt idx="30">
                  <c:v>0.45434711285904</c:v>
                </c:pt>
                <c:pt idx="31">
                  <c:v>0.46525478659999903</c:v>
                </c:pt>
                <c:pt idx="32">
                  <c:v>0.47594441449354102</c:v>
                </c:pt>
                <c:pt idx="33">
                  <c:v>0.48642035530356997</c:v>
                </c:pt>
                <c:pt idx="34">
                  <c:v>0.49668688066441102</c:v>
                </c:pt>
                <c:pt idx="35">
                  <c:v>0.50674817681929396</c:v>
                </c:pt>
                <c:pt idx="36">
                  <c:v>0.51660834632678498</c:v>
                </c:pt>
                <c:pt idx="37">
                  <c:v>0.52627140973512898</c:v>
                </c:pt>
                <c:pt idx="38">
                  <c:v>0.53574130722114</c:v>
                </c:pt>
                <c:pt idx="39">
                  <c:v>0.54502190019769303</c:v>
                </c:pt>
                <c:pt idx="40">
                  <c:v>0.55411697288719497</c:v>
                </c:pt>
                <c:pt idx="41">
                  <c:v>0.56303023386520601</c:v>
                </c:pt>
                <c:pt idx="42">
                  <c:v>0.57176531757119697</c:v>
                </c:pt>
                <c:pt idx="43">
                  <c:v>0.58032578579287797</c:v>
                </c:pt>
                <c:pt idx="44">
                  <c:v>0.58871512911750901</c:v>
                </c:pt>
                <c:pt idx="45">
                  <c:v>0.59693676835491505</c:v>
                </c:pt>
                <c:pt idx="46">
                  <c:v>0.604994055931249</c:v>
                </c:pt>
                <c:pt idx="47">
                  <c:v>0.61289027725738598</c:v>
                </c:pt>
                <c:pt idx="48">
                  <c:v>0.62062865206982498</c:v>
                </c:pt>
                <c:pt idx="49">
                  <c:v>0.62821233574131397</c:v>
                </c:pt>
                <c:pt idx="50">
                  <c:v>0.62821233574131397</c:v>
                </c:pt>
                <c:pt idx="51">
                  <c:v>0.61566074908240997</c:v>
                </c:pt>
                <c:pt idx="52">
                  <c:v>0.60335308531426601</c:v>
                </c:pt>
                <c:pt idx="53">
                  <c:v>0.59129187399498995</c:v>
                </c:pt>
                <c:pt idx="54">
                  <c:v>0.57947202777226203</c:v>
                </c:pt>
                <c:pt idx="55">
                  <c:v>0.56788841051907302</c:v>
                </c:pt>
                <c:pt idx="56">
                  <c:v>0.556536291748015</c:v>
                </c:pt>
                <c:pt idx="57">
                  <c:v>0.54541108157362295</c:v>
                </c:pt>
                <c:pt idx="58">
                  <c:v>0.53450826092305503</c:v>
                </c:pt>
                <c:pt idx="59">
                  <c:v>0.523823389988327</c:v>
                </c:pt>
                <c:pt idx="60">
                  <c:v>0.51335210460765002</c:v>
                </c:pt>
                <c:pt idx="61">
                  <c:v>0.50309012724949798</c:v>
                </c:pt>
                <c:pt idx="62">
                  <c:v>0.49303328142376901</c:v>
                </c:pt>
                <c:pt idx="63">
                  <c:v>0.48317747569633701</c:v>
                </c:pt>
                <c:pt idx="64">
                  <c:v>0.47351869283195303</c:v>
                </c:pt>
                <c:pt idx="65">
                  <c:v>0.46405299190901</c:v>
                </c:pt>
                <c:pt idx="66">
                  <c:v>0.454776511273707</c:v>
                </c:pt>
                <c:pt idx="67">
                  <c:v>0.445685468074831</c:v>
                </c:pt>
                <c:pt idx="68">
                  <c:v>0.43677615581530799</c:v>
                </c:pt>
                <c:pt idx="69">
                  <c:v>0.428044941986852</c:v>
                </c:pt>
                <c:pt idx="70">
                  <c:v>0.41948826641109399</c:v>
                </c:pt>
                <c:pt idx="71">
                  <c:v>0.41110263996114599</c:v>
                </c:pt>
                <c:pt idx="72">
                  <c:v>0.402884643286188</c:v>
                </c:pt>
                <c:pt idx="73">
                  <c:v>0.39483092544083298</c:v>
                </c:pt>
                <c:pt idx="74">
                  <c:v>0.38693820248612398</c:v>
                </c:pt>
                <c:pt idx="75">
                  <c:v>0.37920325618427903</c:v>
                </c:pt>
                <c:pt idx="76">
                  <c:v>0.37162293267825702</c:v>
                </c:pt>
                <c:pt idx="77">
                  <c:v>0.36419414098608999</c:v>
                </c:pt>
                <c:pt idx="78">
                  <c:v>0.35691385180386298</c:v>
                </c:pt>
                <c:pt idx="79">
                  <c:v>0.34977909647477501</c:v>
                </c:pt>
                <c:pt idx="80">
                  <c:v>0.34278696581060197</c:v>
                </c:pt>
                <c:pt idx="81">
                  <c:v>0.33593460879036002</c:v>
                </c:pt>
                <c:pt idx="82">
                  <c:v>0.32921923132453301</c:v>
                </c:pt>
                <c:pt idx="83">
                  <c:v>0.322638095145029</c:v>
                </c:pt>
                <c:pt idx="84">
                  <c:v>0.31618851673731102</c:v>
                </c:pt>
                <c:pt idx="85">
                  <c:v>0.30986786625391499</c:v>
                </c:pt>
                <c:pt idx="86">
                  <c:v>0.30367356641897703</c:v>
                </c:pt>
                <c:pt idx="87">
                  <c:v>0.29760309146592701</c:v>
                </c:pt>
                <c:pt idx="88">
                  <c:v>0.291653966113534</c:v>
                </c:pt>
                <c:pt idx="89">
                  <c:v>0.28582376456501402</c:v>
                </c:pt>
                <c:pt idx="90">
                  <c:v>0.28011010951952697</c:v>
                </c:pt>
                <c:pt idx="91">
                  <c:v>0.27451067119884698</c:v>
                </c:pt>
                <c:pt idx="92">
                  <c:v>0.26902316639544199</c:v>
                </c:pt>
                <c:pt idx="93">
                  <c:v>0.26364535754216001</c:v>
                </c:pt>
                <c:pt idx="94">
                  <c:v>0.25837505180227399</c:v>
                </c:pt>
                <c:pt idx="95">
                  <c:v>0.253210100174666</c:v>
                </c:pt>
                <c:pt idx="96">
                  <c:v>0.248148396616828</c:v>
                </c:pt>
                <c:pt idx="97">
                  <c:v>0.243187877185885</c:v>
                </c:pt>
                <c:pt idx="98">
                  <c:v>0.23832651919780301</c:v>
                </c:pt>
                <c:pt idx="99">
                  <c:v>0.23356234040205501</c:v>
                </c:pt>
              </c:numCache>
            </c:numRef>
          </c:yVal>
          <c:smooth val="0"/>
          <c:extLst>
            <c:ext xmlns:c16="http://schemas.microsoft.com/office/drawing/2014/chart" uri="{C3380CC4-5D6E-409C-BE32-E72D297353CC}">
              <c16:uniqueId val="{0000008F-CF86-4C2E-BF49-1F263FBF5A1F}"/>
            </c:ext>
          </c:extLst>
        </c:ser>
        <c:ser>
          <c:idx val="144"/>
          <c:order val="144"/>
          <c:tx>
            <c:strRef>
              <c:f>dynamicR!$EX$19</c:f>
              <c:strCache>
                <c:ptCount val="1"/>
                <c:pt idx="0">
                  <c:v>w3TS</c:v>
                </c:pt>
              </c:strCache>
            </c:strRef>
          </c:tx>
          <c:spPr>
            <a:ln w="19050" cap="rnd">
              <a:solidFill>
                <a:schemeClr val="accent1">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dynamicR!$EX$20:$EX$119</c:f>
              <c:numCache>
                <c:formatCode>0.00</c:formatCode>
                <c:ptCount val="100"/>
                <c:pt idx="0">
                  <c:v>0</c:v>
                </c:pt>
                <c:pt idx="1">
                  <c:v>1</c:v>
                </c:pt>
                <c:pt idx="2">
                  <c:v>0.999999999999997</c:v>
                </c:pt>
                <c:pt idx="3">
                  <c:v>0.999999999999995</c:v>
                </c:pt>
                <c:pt idx="4">
                  <c:v>0.999999999999999</c:v>
                </c:pt>
                <c:pt idx="5">
                  <c:v>1</c:v>
                </c:pt>
                <c:pt idx="6">
                  <c:v>1</c:v>
                </c:pt>
                <c:pt idx="7">
                  <c:v>1</c:v>
                </c:pt>
                <c:pt idx="8">
                  <c:v>1</c:v>
                </c:pt>
                <c:pt idx="9">
                  <c:v>1</c:v>
                </c:pt>
                <c:pt idx="10">
                  <c:v>1</c:v>
                </c:pt>
                <c:pt idx="11">
                  <c:v>1</c:v>
                </c:pt>
                <c:pt idx="12">
                  <c:v>1</c:v>
                </c:pt>
                <c:pt idx="13">
                  <c:v>1</c:v>
                </c:pt>
                <c:pt idx="14">
                  <c:v>1</c:v>
                </c:pt>
                <c:pt idx="15">
                  <c:v>1</c:v>
                </c:pt>
                <c:pt idx="16">
                  <c:v>1</c:v>
                </c:pt>
                <c:pt idx="17">
                  <c:v>0.999999999999999</c:v>
                </c:pt>
                <c:pt idx="18">
                  <c:v>1</c:v>
                </c:pt>
                <c:pt idx="19">
                  <c:v>1</c:v>
                </c:pt>
                <c:pt idx="20">
                  <c:v>0.999999999999998</c:v>
                </c:pt>
                <c:pt idx="21">
                  <c:v>1</c:v>
                </c:pt>
                <c:pt idx="22">
                  <c:v>1</c:v>
                </c:pt>
                <c:pt idx="23">
                  <c:v>0.999999999999999</c:v>
                </c:pt>
                <c:pt idx="24">
                  <c:v>1</c:v>
                </c:pt>
                <c:pt idx="25">
                  <c:v>0.999999999999999</c:v>
                </c:pt>
                <c:pt idx="26">
                  <c:v>1</c:v>
                </c:pt>
                <c:pt idx="27">
                  <c:v>0.999999999999999</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-4.83677072774219E-213</c:v>
                </c:pt>
                <c:pt idx="52">
                  <c:v>1.1651786865046301E-214</c:v>
                </c:pt>
                <c:pt idx="53">
                  <c:v>-3.9462951390182803E-214</c:v>
                </c:pt>
                <c:pt idx="54">
                  <c:v>5.1892637100218299E-213</c:v>
                </c:pt>
                <c:pt idx="55">
                  <c:v>-3.2667733721222E-213</c:v>
                </c:pt>
                <c:pt idx="56">
                  <c:v>1.0650235501621301E-212</c:v>
                </c:pt>
                <c:pt idx="57">
                  <c:v>-3.1037397579210102E-213</c:v>
                </c:pt>
                <c:pt idx="58">
                  <c:v>5.7784042720872402E-214</c:v>
                </c:pt>
                <c:pt idx="59">
                  <c:v>3.5196068520428298E-215</c:v>
                </c:pt>
                <c:pt idx="60">
                  <c:v>-6.5309674143141003E-215</c:v>
                </c:pt>
                <c:pt idx="61">
                  <c:v>3.10885665272198E-215</c:v>
                </c:pt>
                <c:pt idx="62">
                  <c:v>7.7294013436072E-214</c:v>
                </c:pt>
                <c:pt idx="63">
                  <c:v>6.0030111414658901E-214</c:v>
                </c:pt>
                <c:pt idx="64">
                  <c:v>-4.8663186624647804E-214</c:v>
                </c:pt>
                <c:pt idx="65">
                  <c:v>-1.1130262645419999E-214</c:v>
                </c:pt>
                <c:pt idx="66">
                  <c:v>7.7750454799080901E-214</c:v>
                </c:pt>
                <c:pt idx="67">
                  <c:v>-2.5132017299664398E-214</c:v>
                </c:pt>
                <c:pt idx="68">
                  <c:v>-8.5334547887819308E-214</c:v>
                </c:pt>
                <c:pt idx="69">
                  <c:v>7.3096809207136104E-214</c:v>
                </c:pt>
                <c:pt idx="70">
                  <c:v>6.8115222109218503E-214</c:v>
                </c:pt>
                <c:pt idx="71">
                  <c:v>-1.2483922780410099E-213</c:v>
                </c:pt>
                <c:pt idx="72">
                  <c:v>-2.07407520600762E-214</c:v>
                </c:pt>
                <c:pt idx="73">
                  <c:v>1.6500265763519699E-213</c:v>
                </c:pt>
                <c:pt idx="74">
                  <c:v>-5.8486574040492103E-214</c:v>
                </c:pt>
                <c:pt idx="75">
                  <c:v>-1.6878871451372799E-213</c:v>
                </c:pt>
                <c:pt idx="76">
                  <c:v>1.6306391225442401E-213</c:v>
                </c:pt>
                <c:pt idx="77">
                  <c:v>-1.16893467496125E-213</c:v>
                </c:pt>
                <c:pt idx="78">
                  <c:v>4.5702731132479303E-214</c:v>
                </c:pt>
                <c:pt idx="79">
                  <c:v>-1.0576062860288999E-214</c:v>
                </c:pt>
                <c:pt idx="80">
                  <c:v>1.00135842775143E-215</c:v>
                </c:pt>
                <c:pt idx="81">
                  <c:v>5.3459971233133402E-221</c:v>
                </c:pt>
                <c:pt idx="82">
                  <c:v>-1.6598714754036899E-221</c:v>
                </c:pt>
                <c:pt idx="83">
                  <c:v>3.5320884246042199E-222</c:v>
                </c:pt>
                <c:pt idx="84">
                  <c:v>-4.6275637560271801E-223</c:v>
                </c:pt>
                <c:pt idx="85">
                  <c:v>2.7524072987436098E-224</c:v>
                </c:pt>
                <c:pt idx="86">
                  <c:v>6.2810789470815001E-229</c:v>
                </c:pt>
                <c:pt idx="87">
                  <c:v>-1.2940315781785E-229</c:v>
                </c:pt>
                <c:pt idx="88">
                  <c:v>1.8920593350830101E-230</c:v>
                </c:pt>
                <c:pt idx="89">
                  <c:v>-1.74489756863487E-231</c:v>
                </c:pt>
                <c:pt idx="90">
                  <c:v>7.5642102380250398E-233</c:v>
                </c:pt>
                <c:pt idx="91">
                  <c:v>4.93979139781694E-237</c:v>
                </c:pt>
                <c:pt idx="92">
                  <c:v>-7.6591698347407699E-238</c:v>
                </c:pt>
                <c:pt idx="93">
                  <c:v>8.5453525064772492E-239</c:v>
                </c:pt>
                <c:pt idx="94">
                  <c:v>-6.0957782336061404E-240</c:v>
                </c:pt>
                <c:pt idx="95">
                  <c:v>2.0780418907328201E-241</c:v>
                </c:pt>
                <c:pt idx="96">
                  <c:v>3.1098454553570199E-245</c:v>
                </c:pt>
                <c:pt idx="97">
                  <c:v>-3.8670961275729301E-246</c:v>
                </c:pt>
                <c:pt idx="98">
                  <c:v>3.4914771244480101E-247</c:v>
                </c:pt>
                <c:pt idx="99">
                  <c:v>-2.03250436239963E-248</c:v>
                </c:pt>
              </c:numCache>
            </c:numRef>
          </c:yVal>
          <c:smooth val="0"/>
          <c:extLst>
            <c:ext xmlns:c16="http://schemas.microsoft.com/office/drawing/2014/chart" uri="{C3380CC4-5D6E-409C-BE32-E72D297353CC}">
              <c16:uniqueId val="{00000090-CF86-4C2E-BF49-1F263FBF5A1F}"/>
            </c:ext>
          </c:extLst>
        </c:ser>
        <c:ser>
          <c:idx val="145"/>
          <c:order val="145"/>
          <c:tx>
            <c:strRef>
              <c:f>dynamicR!$EY$19</c:f>
              <c:strCache>
                <c:ptCount val="1"/>
                <c:pt idx="0">
                  <c:v>w3TA</c:v>
                </c:pt>
              </c:strCache>
            </c:strRef>
          </c:tx>
          <c:spPr>
            <a:ln w="19050" cap="rnd">
              <a:solidFill>
                <a:schemeClr val="accent2">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dynamicR!$EY$20:$EY$119</c:f>
              <c:numCache>
                <c:formatCode>0.00</c:formatCode>
                <c:ptCount val="100"/>
                <c:pt idx="0">
                  <c:v>0</c:v>
                </c:pt>
                <c:pt idx="1">
                  <c:v>1</c:v>
                </c:pt>
                <c:pt idx="2">
                  <c:v>0.999999999999994</c:v>
                </c:pt>
                <c:pt idx="3">
                  <c:v>0.99999999999999201</c:v>
                </c:pt>
                <c:pt idx="4">
                  <c:v>0.999999999999999</c:v>
                </c:pt>
                <c:pt idx="5">
                  <c:v>1</c:v>
                </c:pt>
                <c:pt idx="6">
                  <c:v>1</c:v>
                </c:pt>
                <c:pt idx="7">
                  <c:v>0.999999999999999</c:v>
                </c:pt>
                <c:pt idx="8">
                  <c:v>1</c:v>
                </c:pt>
                <c:pt idx="9">
                  <c:v>0.999999999999999</c:v>
                </c:pt>
                <c:pt idx="10">
                  <c:v>1</c:v>
                </c:pt>
                <c:pt idx="11">
                  <c:v>0.999999999999999</c:v>
                </c:pt>
                <c:pt idx="12">
                  <c:v>1</c:v>
                </c:pt>
                <c:pt idx="13">
                  <c:v>1</c:v>
                </c:pt>
                <c:pt idx="14">
                  <c:v>0.999999999999999</c:v>
                </c:pt>
                <c:pt idx="15">
                  <c:v>1</c:v>
                </c:pt>
                <c:pt idx="16">
                  <c:v>1</c:v>
                </c:pt>
                <c:pt idx="17">
                  <c:v>0.999999999999998</c:v>
                </c:pt>
                <c:pt idx="18">
                  <c:v>1</c:v>
                </c:pt>
                <c:pt idx="19">
                  <c:v>1</c:v>
                </c:pt>
                <c:pt idx="20">
                  <c:v>0.999999999999997</c:v>
                </c:pt>
                <c:pt idx="21">
                  <c:v>0.999999999999998</c:v>
                </c:pt>
                <c:pt idx="22">
                  <c:v>1.00000000000001</c:v>
                </c:pt>
                <c:pt idx="23">
                  <c:v>0.999999999999996</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0.999999999999999</c:v>
                </c:pt>
                <c:pt idx="38">
                  <c:v>1</c:v>
                </c:pt>
                <c:pt idx="39">
                  <c:v>1</c:v>
                </c:pt>
                <c:pt idx="40">
                  <c:v>1</c:v>
                </c:pt>
                <c:pt idx="41">
                  <c:v>1</c:v>
                </c:pt>
                <c:pt idx="42">
                  <c:v>1</c:v>
                </c:pt>
                <c:pt idx="43">
                  <c:v>1</c:v>
                </c:pt>
                <c:pt idx="44">
                  <c:v>1</c:v>
                </c:pt>
                <c:pt idx="45">
                  <c:v>1</c:v>
                </c:pt>
                <c:pt idx="46">
                  <c:v>1</c:v>
                </c:pt>
                <c:pt idx="47">
                  <c:v>1</c:v>
                </c:pt>
                <c:pt idx="48">
                  <c:v>1</c:v>
                </c:pt>
                <c:pt idx="49">
                  <c:v>1</c:v>
                </c:pt>
                <c:pt idx="50">
                  <c:v>1</c:v>
                </c:pt>
                <c:pt idx="51">
                  <c:v>-7.8641130281401996E-29</c:v>
                </c:pt>
                <c:pt idx="52">
                  <c:v>-2.2526591670131401E-31</c:v>
                </c:pt>
                <c:pt idx="53">
                  <c:v>5.6530384401258697E-30</c:v>
                </c:pt>
                <c:pt idx="54">
                  <c:v>3.5659434608409101E-28</c:v>
                </c:pt>
                <c:pt idx="55">
                  <c:v>-1.94108704847412E-28</c:v>
                </c:pt>
                <c:pt idx="56">
                  <c:v>6.6820589208832996E-28</c:v>
                </c:pt>
                <c:pt idx="57">
                  <c:v>-1.95011977935056E-28</c:v>
                </c:pt>
                <c:pt idx="58">
                  <c:v>3.6674992714631203E-29</c:v>
                </c:pt>
                <c:pt idx="59">
                  <c:v>2.1620215327998698E-30</c:v>
                </c:pt>
                <c:pt idx="60">
                  <c:v>-4.0717858375771103E-30</c:v>
                </c:pt>
                <c:pt idx="61">
                  <c:v>2.06260458644618E-30</c:v>
                </c:pt>
                <c:pt idx="62">
                  <c:v>4.88345106213066E-29</c:v>
                </c:pt>
                <c:pt idx="63">
                  <c:v>3.7956349578766002E-29</c:v>
                </c:pt>
                <c:pt idx="64">
                  <c:v>-3.0656914996657301E-29</c:v>
                </c:pt>
                <c:pt idx="65">
                  <c:v>-7.0515162548123094E-30</c:v>
                </c:pt>
                <c:pt idx="66">
                  <c:v>4.9051801456369901E-29</c:v>
                </c:pt>
                <c:pt idx="67">
                  <c:v>-1.58281539798187E-29</c:v>
                </c:pt>
                <c:pt idx="68">
                  <c:v>-5.38624039437599E-29</c:v>
                </c:pt>
                <c:pt idx="69">
                  <c:v>4.61093657981468E-29</c:v>
                </c:pt>
                <c:pt idx="70">
                  <c:v>4.30081591611052E-29</c:v>
                </c:pt>
                <c:pt idx="71">
                  <c:v>-7.8790514455295297E-29</c:v>
                </c:pt>
                <c:pt idx="72">
                  <c:v>-1.3102164567826699E-29</c:v>
                </c:pt>
                <c:pt idx="73">
                  <c:v>1.04166775980314E-28</c:v>
                </c:pt>
                <c:pt idx="74">
                  <c:v>-3.69357810296649E-29</c:v>
                </c:pt>
                <c:pt idx="75">
                  <c:v>-1.0656708250918499E-28</c:v>
                </c:pt>
                <c:pt idx="76">
                  <c:v>1.02984207621577E-28</c:v>
                </c:pt>
                <c:pt idx="77">
                  <c:v>-7.3894926527620599E-29</c:v>
                </c:pt>
                <c:pt idx="78">
                  <c:v>2.89845238949071E-29</c:v>
                </c:pt>
                <c:pt idx="79">
                  <c:v>-6.7831144664272901E-30</c:v>
                </c:pt>
                <c:pt idx="80">
                  <c:v>6.9420386329230498E-31</c:v>
                </c:pt>
                <c:pt idx="81">
                  <c:v>-2.6625219703256298E-32</c:v>
                </c:pt>
                <c:pt idx="82">
                  <c:v>8.2664057210063202E-33</c:v>
                </c:pt>
                <c:pt idx="83">
                  <c:v>-1.7587743494489199E-33</c:v>
                </c:pt>
                <c:pt idx="84">
                  <c:v>2.3029581781518602E-34</c:v>
                </c:pt>
                <c:pt idx="85">
                  <c:v>-1.3643871099026099E-35</c:v>
                </c:pt>
                <c:pt idx="86">
                  <c:v>-1.80315284976358E-38</c:v>
                </c:pt>
                <c:pt idx="87">
                  <c:v>3.7171118747528298E-39</c:v>
                </c:pt>
                <c:pt idx="88">
                  <c:v>-5.4327577737812702E-40</c:v>
                </c:pt>
                <c:pt idx="89">
                  <c:v>5.0023578446980699E-41</c:v>
                </c:pt>
                <c:pt idx="90">
                  <c:v>-2.14507654865204E-42</c:v>
                </c:pt>
                <c:pt idx="91">
                  <c:v>-5.8638231515553694E-45</c:v>
                </c:pt>
                <c:pt idx="92">
                  <c:v>9.0875572926646704E-46</c:v>
                </c:pt>
                <c:pt idx="93">
                  <c:v>-1.0128939400249899E-46</c:v>
                </c:pt>
                <c:pt idx="94">
                  <c:v>7.1973922491786901E-48</c:v>
                </c:pt>
                <c:pt idx="95">
                  <c:v>-2.38774715182511E-49</c:v>
                </c:pt>
                <c:pt idx="96">
                  <c:v>-1.31260337469228E-51</c:v>
                </c:pt>
                <c:pt idx="97">
                  <c:v>1.6315790508273801E-52</c:v>
                </c:pt>
                <c:pt idx="98">
                  <c:v>-1.46991170800619E-53</c:v>
                </c:pt>
                <c:pt idx="99">
                  <c:v>8.4841955016518398E-55</c:v>
                </c:pt>
              </c:numCache>
            </c:numRef>
          </c:yVal>
          <c:smooth val="0"/>
          <c:extLst>
            <c:ext xmlns:c16="http://schemas.microsoft.com/office/drawing/2014/chart" uri="{C3380CC4-5D6E-409C-BE32-E72D297353CC}">
              <c16:uniqueId val="{00000091-CF86-4C2E-BF49-1F263FBF5A1F}"/>
            </c:ext>
          </c:extLst>
        </c:ser>
        <c:ser>
          <c:idx val="146"/>
          <c:order val="146"/>
          <c:tx>
            <c:strRef>
              <c:f>dynamicR!$EZ$19</c:f>
              <c:strCache>
                <c:ptCount val="1"/>
                <c:pt idx="0">
                  <c:v>w3TP</c:v>
                </c:pt>
              </c:strCache>
            </c:strRef>
          </c:tx>
          <c:spPr>
            <a:ln w="19050" cap="rnd">
              <a:solidFill>
                <a:schemeClr val="accent3">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dynamicR!$EZ$20:$EZ$119</c:f>
              <c:numCache>
                <c:formatCode>0.00</c:formatCode>
                <c:ptCount val="100"/>
                <c:pt idx="0">
                  <c:v>0</c:v>
                </c:pt>
                <c:pt idx="1">
                  <c:v>1</c:v>
                </c:pt>
                <c:pt idx="2">
                  <c:v>0.999999999999995</c:v>
                </c:pt>
                <c:pt idx="3">
                  <c:v>0.99999999999999301</c:v>
                </c:pt>
                <c:pt idx="4">
                  <c:v>0.999999999999997</c:v>
                </c:pt>
                <c:pt idx="5">
                  <c:v>1</c:v>
                </c:pt>
                <c:pt idx="6">
                  <c:v>1</c:v>
                </c:pt>
                <c:pt idx="7">
                  <c:v>1</c:v>
                </c:pt>
                <c:pt idx="8">
                  <c:v>1</c:v>
                </c:pt>
                <c:pt idx="9">
                  <c:v>1</c:v>
                </c:pt>
                <c:pt idx="10">
                  <c:v>1</c:v>
                </c:pt>
                <c:pt idx="11">
                  <c:v>1</c:v>
                </c:pt>
                <c:pt idx="12">
                  <c:v>1</c:v>
                </c:pt>
                <c:pt idx="13">
                  <c:v>1</c:v>
                </c:pt>
                <c:pt idx="14">
                  <c:v>0.999999999999999</c:v>
                </c:pt>
                <c:pt idx="15">
                  <c:v>0.999999999999999</c:v>
                </c:pt>
                <c:pt idx="16">
                  <c:v>0.999999999999999</c:v>
                </c:pt>
                <c:pt idx="17">
                  <c:v>0.999999999999999</c:v>
                </c:pt>
                <c:pt idx="18">
                  <c:v>1</c:v>
                </c:pt>
                <c:pt idx="19">
                  <c:v>1</c:v>
                </c:pt>
                <c:pt idx="20">
                  <c:v>0.999999999999999</c:v>
                </c:pt>
                <c:pt idx="21">
                  <c:v>1</c:v>
                </c:pt>
                <c:pt idx="22">
                  <c:v>1</c:v>
                </c:pt>
                <c:pt idx="23">
                  <c:v>0.999999999999999</c:v>
                </c:pt>
                <c:pt idx="24">
                  <c:v>1</c:v>
                </c:pt>
                <c:pt idx="25">
                  <c:v>1</c:v>
                </c:pt>
                <c:pt idx="26">
                  <c:v>1</c:v>
                </c:pt>
                <c:pt idx="27">
                  <c:v>1</c:v>
                </c:pt>
                <c:pt idx="28">
                  <c:v>1</c:v>
                </c:pt>
                <c:pt idx="29">
                  <c:v>1</c:v>
                </c:pt>
                <c:pt idx="30">
                  <c:v>1</c:v>
                </c:pt>
                <c:pt idx="31">
                  <c:v>1</c:v>
                </c:pt>
                <c:pt idx="32">
                  <c:v>1</c:v>
                </c:pt>
                <c:pt idx="33">
                  <c:v>1</c:v>
                </c:pt>
                <c:pt idx="34">
                  <c:v>1</c:v>
                </c:pt>
                <c:pt idx="35">
                  <c:v>0.999999999999999</c:v>
                </c:pt>
                <c:pt idx="36">
                  <c:v>1</c:v>
                </c:pt>
                <c:pt idx="37">
                  <c:v>1</c:v>
                </c:pt>
                <c:pt idx="38">
                  <c:v>1</c:v>
                </c:pt>
                <c:pt idx="39">
                  <c:v>1</c:v>
                </c:pt>
                <c:pt idx="40">
                  <c:v>1</c:v>
                </c:pt>
                <c:pt idx="41">
                  <c:v>1</c:v>
                </c:pt>
                <c:pt idx="42">
                  <c:v>1</c:v>
                </c:pt>
                <c:pt idx="43">
                  <c:v>1</c:v>
                </c:pt>
                <c:pt idx="44">
                  <c:v>1</c:v>
                </c:pt>
                <c:pt idx="45">
                  <c:v>0.999999999999999</c:v>
                </c:pt>
                <c:pt idx="46">
                  <c:v>1</c:v>
                </c:pt>
                <c:pt idx="47">
                  <c:v>1</c:v>
                </c:pt>
                <c:pt idx="48">
                  <c:v>1</c:v>
                </c:pt>
                <c:pt idx="49">
                  <c:v>1</c:v>
                </c:pt>
                <c:pt idx="50">
                  <c:v>1</c:v>
                </c:pt>
                <c:pt idx="51">
                  <c:v>-1.06104545396653E-19</c:v>
                </c:pt>
                <c:pt idx="52">
                  <c:v>1.5391195884887299E-23</c:v>
                </c:pt>
                <c:pt idx="53">
                  <c:v>5.8624774789497203E-21</c:v>
                </c:pt>
                <c:pt idx="54">
                  <c:v>4.38858352189467E-19</c:v>
                </c:pt>
                <c:pt idx="55">
                  <c:v>-2.39752418325526E-19</c:v>
                </c:pt>
                <c:pt idx="56">
                  <c:v>8.2382576199784304E-19</c:v>
                </c:pt>
                <c:pt idx="57">
                  <c:v>-2.4014368088737599E-19</c:v>
                </c:pt>
                <c:pt idx="58">
                  <c:v>4.4993047300658601E-20</c:v>
                </c:pt>
                <c:pt idx="59">
                  <c:v>2.7411159688682502E-21</c:v>
                </c:pt>
                <c:pt idx="60">
                  <c:v>-5.0858987060506301E-21</c:v>
                </c:pt>
                <c:pt idx="61">
                  <c:v>2.4199319848840198E-21</c:v>
                </c:pt>
                <c:pt idx="62">
                  <c:v>6.01861963960408E-20</c:v>
                </c:pt>
                <c:pt idx="63">
                  <c:v>4.6743142482710703E-20</c:v>
                </c:pt>
                <c:pt idx="64">
                  <c:v>-3.7893099078919999E-20</c:v>
                </c:pt>
                <c:pt idx="65">
                  <c:v>-8.6665904995340093E-21</c:v>
                </c:pt>
                <c:pt idx="66">
                  <c:v>6.0542209681386401E-20</c:v>
                </c:pt>
                <c:pt idx="67">
                  <c:v>-1.9569862798773001E-20</c:v>
                </c:pt>
                <c:pt idx="68">
                  <c:v>-6.6447523282677895E-20</c:v>
                </c:pt>
                <c:pt idx="69">
                  <c:v>5.6918594431535797E-20</c:v>
                </c:pt>
                <c:pt idx="70">
                  <c:v>5.3039215119506801E-20</c:v>
                </c:pt>
                <c:pt idx="71">
                  <c:v>-9.7208723103268004E-20</c:v>
                </c:pt>
                <c:pt idx="72">
                  <c:v>-1.6150127957640101E-20</c:v>
                </c:pt>
                <c:pt idx="73">
                  <c:v>1.28482600145475E-19</c:v>
                </c:pt>
                <c:pt idx="74">
                  <c:v>-4.55416243213674E-20</c:v>
                </c:pt>
                <c:pt idx="75">
                  <c:v>-1.31430603264355E-19</c:v>
                </c:pt>
                <c:pt idx="76">
                  <c:v>1.2697260922402899E-19</c:v>
                </c:pt>
                <c:pt idx="77">
                  <c:v>-9.1020584024078297E-20</c:v>
                </c:pt>
                <c:pt idx="78">
                  <c:v>3.5586227689013502E-20</c:v>
                </c:pt>
                <c:pt idx="79">
                  <c:v>-8.2343662850981702E-21</c:v>
                </c:pt>
                <c:pt idx="80">
                  <c:v>7.7920561655776697E-22</c:v>
                </c:pt>
                <c:pt idx="81">
                  <c:v>2.28217435718669E-25</c:v>
                </c:pt>
                <c:pt idx="82">
                  <c:v>-7.0856100932657901E-26</c:v>
                </c:pt>
                <c:pt idx="83">
                  <c:v>1.50759516381147E-26</c:v>
                </c:pt>
                <c:pt idx="84">
                  <c:v>-1.9743074894092401E-27</c:v>
                </c:pt>
                <c:pt idx="85">
                  <c:v>1.17069688730706E-28</c:v>
                </c:pt>
                <c:pt idx="86">
                  <c:v>1.21028526808631E-31</c:v>
                </c:pt>
                <c:pt idx="87">
                  <c:v>-2.4949619047826801E-32</c:v>
                </c:pt>
                <c:pt idx="88">
                  <c:v>3.6466213950761003E-33</c:v>
                </c:pt>
                <c:pt idx="89">
                  <c:v>-3.3580870363065601E-34</c:v>
                </c:pt>
                <c:pt idx="90">
                  <c:v>1.4410768682444201E-35</c:v>
                </c:pt>
                <c:pt idx="91">
                  <c:v>3.6718234094154397E-38</c:v>
                </c:pt>
                <c:pt idx="92">
                  <c:v>-5.6905147719164003E-39</c:v>
                </c:pt>
                <c:pt idx="93">
                  <c:v>6.3427829529670001E-40</c:v>
                </c:pt>
                <c:pt idx="94">
                  <c:v>-4.5075032884172598E-41</c:v>
                </c:pt>
                <c:pt idx="95">
                  <c:v>1.49647282164808E-42</c:v>
                </c:pt>
                <c:pt idx="96">
                  <c:v>8.0070584875614904E-45</c:v>
                </c:pt>
                <c:pt idx="97">
                  <c:v>-9.95293760575559E-46</c:v>
                </c:pt>
                <c:pt idx="98">
                  <c:v>8.9669659745988291E-47</c:v>
                </c:pt>
                <c:pt idx="99">
                  <c:v>-5.1761742124460301E-48</c:v>
                </c:pt>
              </c:numCache>
            </c:numRef>
          </c:yVal>
          <c:smooth val="0"/>
          <c:extLst>
            <c:ext xmlns:c16="http://schemas.microsoft.com/office/drawing/2014/chart" uri="{C3380CC4-5D6E-409C-BE32-E72D297353CC}">
              <c16:uniqueId val="{00000092-CF86-4C2E-BF49-1F263FBF5A1F}"/>
            </c:ext>
          </c:extLst>
        </c:ser>
        <c:ser>
          <c:idx val="147"/>
          <c:order val="147"/>
          <c:tx>
            <c:strRef>
              <c:f>dynamicR!$FA$19</c:f>
              <c:strCache>
                <c:ptCount val="1"/>
                <c:pt idx="0">
                  <c:v>sdTD</c:v>
                </c:pt>
              </c:strCache>
            </c:strRef>
          </c:tx>
          <c:spPr>
            <a:ln w="19050" cap="rnd">
              <a:solidFill>
                <a:schemeClr val="accent4">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dynamicR!$FA$20:$FA$119</c:f>
              <c:numCache>
                <c:formatCode>0.00</c:formatCode>
                <c:ptCount val="100"/>
                <c:pt idx="0">
                  <c:v>0</c:v>
                </c:pt>
                <c:pt idx="1">
                  <c:v>1.9983175590936899E-2</c:v>
                </c:pt>
                <c:pt idx="2">
                  <c:v>3.9573839821922398E-2</c:v>
                </c:pt>
                <c:pt idx="3">
                  <c:v>5.8772883380186998E-2</c:v>
                </c:pt>
                <c:pt idx="4">
                  <c:v>7.7588140405957601E-2</c:v>
                </c:pt>
                <c:pt idx="5">
                  <c:v>9.60272795890426E-2</c:v>
                </c:pt>
                <c:pt idx="6">
                  <c:v>0.114097816610781</c:v>
                </c:pt>
                <c:pt idx="7">
                  <c:v>0.131807119707603</c:v>
                </c:pt>
                <c:pt idx="8">
                  <c:v>0.14916241099341601</c:v>
                </c:pt>
                <c:pt idx="9">
                  <c:v>0.16617076786232099</c:v>
                </c:pt>
                <c:pt idx="10">
                  <c:v>0.18283912563598601</c:v>
                </c:pt>
                <c:pt idx="11">
                  <c:v>0.19917428077058999</c:v>
                </c:pt>
                <c:pt idx="12">
                  <c:v>0.21518289385478001</c:v>
                </c:pt>
                <c:pt idx="13">
                  <c:v>0.23087149221678499</c:v>
                </c:pt>
                <c:pt idx="14">
                  <c:v>0.24624647305372999</c:v>
                </c:pt>
                <c:pt idx="15">
                  <c:v>0.26131410598460397</c:v>
                </c:pt>
                <c:pt idx="16">
                  <c:v>0.276080535144965</c:v>
                </c:pt>
                <c:pt idx="17">
                  <c:v>0.29055178154413402</c:v>
                </c:pt>
                <c:pt idx="18">
                  <c:v>0.30473374576649898</c:v>
                </c:pt>
                <c:pt idx="19">
                  <c:v>0.31863221057247998</c:v>
                </c:pt>
                <c:pt idx="20">
                  <c:v>0.33225284321535697</c:v>
                </c:pt>
                <c:pt idx="21">
                  <c:v>0.34560119763499098</c:v>
                </c:pt>
                <c:pt idx="22">
                  <c:v>0.35868271669153401</c:v>
                </c:pt>
                <c:pt idx="23">
                  <c:v>0.37150273443300802</c:v>
                </c:pt>
                <c:pt idx="24">
                  <c:v>0.384066478303557</c:v>
                </c:pt>
                <c:pt idx="25">
                  <c:v>0.39637907126441602</c:v>
                </c:pt>
                <c:pt idx="26">
                  <c:v>0.408445533861371</c:v>
                </c:pt>
                <c:pt idx="27">
                  <c:v>0.420270786269625</c:v>
                </c:pt>
                <c:pt idx="28">
                  <c:v>0.43185965030898599</c:v>
                </c:pt>
                <c:pt idx="29">
                  <c:v>0.44321685141343498</c:v>
                </c:pt>
                <c:pt idx="30">
                  <c:v>0.45434702055846299</c:v>
                </c:pt>
                <c:pt idx="31">
                  <c:v>0.46525469614452197</c:v>
                </c:pt>
                <c:pt idx="32">
                  <c:v>0.47594432584628099</c:v>
                </c:pt>
                <c:pt idx="33">
                  <c:v>0.48642026842838099</c:v>
                </c:pt>
                <c:pt idx="34">
                  <c:v>0.49668679552586897</c:v>
                </c:pt>
                <c:pt idx="35">
                  <c:v>0.50674809338268301</c:v>
                </c:pt>
                <c:pt idx="36">
                  <c:v>0.51660826455808195</c:v>
                </c:pt>
                <c:pt idx="37">
                  <c:v>0.52627132960099399</c:v>
                </c:pt>
                <c:pt idx="38">
                  <c:v>0.53574122868889695</c:v>
                </c:pt>
                <c:pt idx="39">
                  <c:v>0.545021823235319</c:v>
                </c:pt>
                <c:pt idx="40">
                  <c:v>0.55411689746330905</c:v>
                </c:pt>
                <c:pt idx="41">
                  <c:v>0.56303015994905403</c:v>
                </c:pt>
                <c:pt idx="42">
                  <c:v>0.57176524513263904</c:v>
                </c:pt>
                <c:pt idx="43">
                  <c:v>0.58032571480237605</c:v>
                </c:pt>
                <c:pt idx="44">
                  <c:v>0.58871505954611603</c:v>
                </c:pt>
                <c:pt idx="45">
                  <c:v>0.59693670017426403</c:v>
                </c:pt>
                <c:pt idx="46">
                  <c:v>0.60499398911353897</c:v>
                </c:pt>
                <c:pt idx="47">
                  <c:v>0.61289021177536995</c:v>
                </c:pt>
                <c:pt idx="48">
                  <c:v>0.62062858789680297</c:v>
                </c:pt>
                <c:pt idx="49">
                  <c:v>0.62821227285112002</c:v>
                </c:pt>
                <c:pt idx="50">
                  <c:v>0.62821227285112002</c:v>
                </c:pt>
                <c:pt idx="51">
                  <c:v>0.61566085322525399</c:v>
                </c:pt>
                <c:pt idx="52">
                  <c:v>0.60335318737520005</c:v>
                </c:pt>
                <c:pt idx="53">
                  <c:v>0.59129197401568201</c:v>
                </c:pt>
                <c:pt idx="54">
                  <c:v>0.579472125793566</c:v>
                </c:pt>
                <c:pt idx="55">
                  <c:v>0.56788850658091095</c:v>
                </c:pt>
                <c:pt idx="56">
                  <c:v>0.55653638588962195</c:v>
                </c:pt>
                <c:pt idx="57">
                  <c:v>0.54541117383328797</c:v>
                </c:pt>
                <c:pt idx="58">
                  <c:v>0.53450835133845198</c:v>
                </c:pt>
                <c:pt idx="59">
                  <c:v>0.52382347859630896</c:v>
                </c:pt>
                <c:pt idx="60">
                  <c:v>0.51335219144434896</c:v>
                </c:pt>
                <c:pt idx="61">
                  <c:v>0.50309021235032003</c:v>
                </c:pt>
                <c:pt idx="62">
                  <c:v>0.49303336482341598</c:v>
                </c:pt>
                <c:pt idx="63">
                  <c:v>0.48317755742881302</c:v>
                </c:pt>
                <c:pt idx="64">
                  <c:v>0.47351877293058198</c:v>
                </c:pt>
                <c:pt idx="65">
                  <c:v>0.46405307040645699</c:v>
                </c:pt>
                <c:pt idx="66">
                  <c:v>0.45477658820198402</c:v>
                </c:pt>
                <c:pt idx="67">
                  <c:v>0.44568554346529798</c:v>
                </c:pt>
                <c:pt idx="68">
                  <c:v>0.436776229698706</c:v>
                </c:pt>
                <c:pt idx="69">
                  <c:v>0.42804501439331699</c:v>
                </c:pt>
                <c:pt idx="70">
                  <c:v>0.41948833737014402</c:v>
                </c:pt>
                <c:pt idx="71">
                  <c:v>0.41110270950170902</c:v>
                </c:pt>
                <c:pt idx="72">
                  <c:v>0.40288471143662902</c:v>
                </c:pt>
                <c:pt idx="73">
                  <c:v>0.39483099222894402</c:v>
                </c:pt>
                <c:pt idx="74">
                  <c:v>0.386938267939125</c:v>
                </c:pt>
                <c:pt idx="75">
                  <c:v>0.379203320328861</c:v>
                </c:pt>
                <c:pt idx="76">
                  <c:v>0.37162299554059097</c:v>
                </c:pt>
                <c:pt idx="77">
                  <c:v>0.36419420259178897</c:v>
                </c:pt>
                <c:pt idx="78">
                  <c:v>0.35691391217806101</c:v>
                </c:pt>
                <c:pt idx="79">
                  <c:v>0.34977915564208301</c:v>
                </c:pt>
                <c:pt idx="80">
                  <c:v>0.34278702379514903</c:v>
                </c:pt>
                <c:pt idx="81">
                  <c:v>0.335934665615788</c:v>
                </c:pt>
                <c:pt idx="82">
                  <c:v>0.32921928701401199</c:v>
                </c:pt>
                <c:pt idx="83">
                  <c:v>0.32263814972126897</c:v>
                </c:pt>
                <c:pt idx="84">
                  <c:v>0.31618857022256402</c:v>
                </c:pt>
                <c:pt idx="85">
                  <c:v>0.30986791866999103</c:v>
                </c:pt>
                <c:pt idx="86">
                  <c:v>0.303673617787249</c:v>
                </c:pt>
                <c:pt idx="87">
                  <c:v>0.29760314180733999</c:v>
                </c:pt>
                <c:pt idx="88">
                  <c:v>0.29165401544861502</c:v>
                </c:pt>
                <c:pt idx="89">
                  <c:v>0.28582381291388098</c:v>
                </c:pt>
                <c:pt idx="90">
                  <c:v>0.280110156901894</c:v>
                </c:pt>
                <c:pt idx="91">
                  <c:v>0.27451071763403401</c:v>
                </c:pt>
                <c:pt idx="92">
                  <c:v>0.26902321190238299</c:v>
                </c:pt>
                <c:pt idx="93">
                  <c:v>0.26364540213941101</c:v>
                </c:pt>
                <c:pt idx="94">
                  <c:v>0.25837509550802001</c:v>
                </c:pt>
                <c:pt idx="95">
                  <c:v>0.253210143006729</c:v>
                </c:pt>
                <c:pt idx="96">
                  <c:v>0.24814843859267199</c:v>
                </c:pt>
                <c:pt idx="97">
                  <c:v>0.24318791832262601</c:v>
                </c:pt>
                <c:pt idx="98">
                  <c:v>0.23832655951221501</c:v>
                </c:pt>
                <c:pt idx="99">
                  <c:v>0.23356237991057699</c:v>
                </c:pt>
              </c:numCache>
            </c:numRef>
          </c:yVal>
          <c:smooth val="0"/>
          <c:extLst>
            <c:ext xmlns:c16="http://schemas.microsoft.com/office/drawing/2014/chart" uri="{C3380CC4-5D6E-409C-BE32-E72D297353CC}">
              <c16:uniqueId val="{00000093-CF86-4C2E-BF49-1F263FBF5A1F}"/>
            </c:ext>
          </c:extLst>
        </c:ser>
        <c:ser>
          <c:idx val="148"/>
          <c:order val="148"/>
          <c:tx>
            <c:strRef>
              <c:f>dynamicR!$FB$19</c:f>
              <c:strCache>
                <c:ptCount val="1"/>
                <c:pt idx="0">
                  <c:v>sdTS</c:v>
                </c:pt>
              </c:strCache>
            </c:strRef>
          </c:tx>
          <c:spPr>
            <a:ln w="19050" cap="rnd">
              <a:solidFill>
                <a:schemeClr val="accent5">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dynamicR!$FB$20:$FB$119</c:f>
              <c:numCache>
                <c:formatCode>0.00</c:formatCode>
                <c:ptCount val="100"/>
                <c:pt idx="0">
                  <c:v>0</c:v>
                </c:pt>
                <c:pt idx="1">
                  <c:v>1</c:v>
                </c:pt>
                <c:pt idx="2">
                  <c:v>0.999999999999996</c:v>
                </c:pt>
                <c:pt idx="3">
                  <c:v>0.999999999999995</c:v>
                </c:pt>
                <c:pt idx="4">
                  <c:v>0.999999999999999</c:v>
                </c:pt>
                <c:pt idx="5">
                  <c:v>1</c:v>
                </c:pt>
                <c:pt idx="6">
                  <c:v>1</c:v>
                </c:pt>
                <c:pt idx="7">
                  <c:v>1</c:v>
                </c:pt>
                <c:pt idx="8">
                  <c:v>1</c:v>
                </c:pt>
                <c:pt idx="9">
                  <c:v>1</c:v>
                </c:pt>
                <c:pt idx="10">
                  <c:v>1</c:v>
                </c:pt>
                <c:pt idx="11">
                  <c:v>1</c:v>
                </c:pt>
                <c:pt idx="12">
                  <c:v>1</c:v>
                </c:pt>
                <c:pt idx="13">
                  <c:v>1</c:v>
                </c:pt>
                <c:pt idx="14">
                  <c:v>1</c:v>
                </c:pt>
                <c:pt idx="15">
                  <c:v>1</c:v>
                </c:pt>
                <c:pt idx="16">
                  <c:v>0.999999999999999</c:v>
                </c:pt>
                <c:pt idx="17">
                  <c:v>1</c:v>
                </c:pt>
                <c:pt idx="18">
                  <c:v>1</c:v>
                </c:pt>
                <c:pt idx="19">
                  <c:v>0.999999999999999</c:v>
                </c:pt>
                <c:pt idx="20">
                  <c:v>1</c:v>
                </c:pt>
                <c:pt idx="21">
                  <c:v>1</c:v>
                </c:pt>
                <c:pt idx="22">
                  <c:v>0.999999999999998</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-4.8375847479872598E-213</c:v>
                </c:pt>
                <c:pt idx="52">
                  <c:v>1.1653747739756E-214</c:v>
                </c:pt>
                <c:pt idx="53">
                  <c:v>-3.9469592431827202E-214</c:v>
                </c:pt>
                <c:pt idx="54">
                  <c:v>5.1901371535146403E-213</c:v>
                </c:pt>
                <c:pt idx="55">
                  <c:v>-3.2673232161296599E-213</c:v>
                </c:pt>
                <c:pt idx="56">
                  <c:v>1.0652028098270699E-212</c:v>
                </c:pt>
                <c:pt idx="57">
                  <c:v>-3.1042621645419499E-213</c:v>
                </c:pt>
                <c:pt idx="58">
                  <c:v>5.7793768662799197E-214</c:v>
                </c:pt>
                <c:pt idx="59">
                  <c:v>3.5201992559362601E-215</c:v>
                </c:pt>
                <c:pt idx="60">
                  <c:v>-6.5320666764439295E-215</c:v>
                </c:pt>
                <c:pt idx="61">
                  <c:v>3.10937992104612E-215</c:v>
                </c:pt>
                <c:pt idx="62">
                  <c:v>7.7307023205740803E-214</c:v>
                </c:pt>
                <c:pt idx="63">
                  <c:v>6.0040215404449699E-214</c:v>
                </c:pt>
                <c:pt idx="64">
                  <c:v>-4.8671377386406802E-214</c:v>
                </c:pt>
                <c:pt idx="65">
                  <c:v>-1.11321360395794E-214</c:v>
                </c:pt>
                <c:pt idx="66">
                  <c:v>7.7763541394843197E-214</c:v>
                </c:pt>
                <c:pt idx="67">
                  <c:v>-2.5136247404195899E-214</c:v>
                </c:pt>
                <c:pt idx="68">
                  <c:v>-8.5348911002937005E-214</c:v>
                </c:pt>
                <c:pt idx="69">
                  <c:v>7.3109112522867999E-214</c:v>
                </c:pt>
                <c:pt idx="70">
                  <c:v>6.8126686947324401E-214</c:v>
                </c:pt>
                <c:pt idx="71">
                  <c:v>-1.24860240163628E-213</c:v>
                </c:pt>
                <c:pt idx="72">
                  <c:v>-2.0744243047216898E-214</c:v>
                </c:pt>
                <c:pt idx="73">
                  <c:v>1.6503043011686099E-213</c:v>
                </c:pt>
                <c:pt idx="74">
                  <c:v>-5.8496418229238803E-214</c:v>
                </c:pt>
                <c:pt idx="75">
                  <c:v>-1.6881712424691499E-213</c:v>
                </c:pt>
                <c:pt idx="76">
                  <c:v>1.63091358415465E-213</c:v>
                </c:pt>
                <c:pt idx="77">
                  <c:v>-1.16913142462151E-213</c:v>
                </c:pt>
                <c:pt idx="78">
                  <c:v>4.5710423604108798E-214</c:v>
                </c:pt>
                <c:pt idx="79">
                  <c:v>-1.0577842974114199E-214</c:v>
                </c:pt>
                <c:pt idx="80">
                  <c:v>1.0015269717553099E-215</c:v>
                </c:pt>
                <c:pt idx="81">
                  <c:v>5.3468971107532897E-221</c:v>
                </c:pt>
                <c:pt idx="82">
                  <c:v>-1.6601510253373999E-221</c:v>
                </c:pt>
                <c:pt idx="83">
                  <c:v>3.5326837502163701E-222</c:v>
                </c:pt>
                <c:pt idx="84">
                  <c:v>-4.6283445274476399E-223</c:v>
                </c:pt>
                <c:pt idx="85">
                  <c:v>2.7528719850617598E-224</c:v>
                </c:pt>
                <c:pt idx="86">
                  <c:v>6.2760333381127998E-229</c:v>
                </c:pt>
                <c:pt idx="87">
                  <c:v>-1.2942492006259701E-229</c:v>
                </c:pt>
                <c:pt idx="88">
                  <c:v>1.8923776478376799E-230</c:v>
                </c:pt>
                <c:pt idx="89">
                  <c:v>-1.7451916720765199E-231</c:v>
                </c:pt>
                <c:pt idx="90">
                  <c:v>7.56548996772744E-233</c:v>
                </c:pt>
                <c:pt idx="91">
                  <c:v>4.9354716024217796E-237</c:v>
                </c:pt>
                <c:pt idx="92">
                  <c:v>-7.6604612827724394E-238</c:v>
                </c:pt>
                <c:pt idx="93">
                  <c:v>8.5467953893413107E-239</c:v>
                </c:pt>
                <c:pt idx="94">
                  <c:v>-6.0968083959007396E-240</c:v>
                </c:pt>
                <c:pt idx="95">
                  <c:v>2.0783957885022601E-241</c:v>
                </c:pt>
                <c:pt idx="96">
                  <c:v>3.1092783632673201E-245</c:v>
                </c:pt>
                <c:pt idx="97">
                  <c:v>-3.8677479130812E-246</c:v>
                </c:pt>
                <c:pt idx="98">
                  <c:v>3.4920667903246902E-247</c:v>
                </c:pt>
                <c:pt idx="99">
                  <c:v>-2.0328468326340699E-248</c:v>
                </c:pt>
              </c:numCache>
            </c:numRef>
          </c:yVal>
          <c:smooth val="0"/>
          <c:extLst>
            <c:ext xmlns:c16="http://schemas.microsoft.com/office/drawing/2014/chart" uri="{C3380CC4-5D6E-409C-BE32-E72D297353CC}">
              <c16:uniqueId val="{00000094-CF86-4C2E-BF49-1F263FBF5A1F}"/>
            </c:ext>
          </c:extLst>
        </c:ser>
        <c:ser>
          <c:idx val="149"/>
          <c:order val="149"/>
          <c:tx>
            <c:strRef>
              <c:f>dynamicR!$FC$19</c:f>
              <c:strCache>
                <c:ptCount val="1"/>
                <c:pt idx="0">
                  <c:v>sdTA</c:v>
                </c:pt>
              </c:strCache>
            </c:strRef>
          </c:tx>
          <c:spPr>
            <a:ln w="19050" cap="rnd">
              <a:solidFill>
                <a:schemeClr val="accent6">
                  <a:lumMod val="70000"/>
                  <a:lumOff val="3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dynamicR!$FC$20:$FC$119</c:f>
              <c:numCache>
                <c:formatCode>0.00</c:formatCode>
                <c:ptCount val="100"/>
                <c:pt idx="0">
                  <c:v>0</c:v>
                </c:pt>
                <c:pt idx="1">
                  <c:v>1</c:v>
                </c:pt>
                <c:pt idx="2">
                  <c:v>0.999999999999995</c:v>
                </c:pt>
                <c:pt idx="3">
                  <c:v>0.99999999999999201</c:v>
                </c:pt>
                <c:pt idx="4">
                  <c:v>0.999999999999999</c:v>
                </c:pt>
                <c:pt idx="5">
                  <c:v>1</c:v>
                </c:pt>
                <c:pt idx="6">
                  <c:v>1</c:v>
                </c:pt>
                <c:pt idx="7">
                  <c:v>0.999999999999999</c:v>
                </c:pt>
                <c:pt idx="8">
                  <c:v>1</c:v>
                </c:pt>
                <c:pt idx="9">
                  <c:v>0.999999999999999</c:v>
                </c:pt>
                <c:pt idx="10">
                  <c:v>1</c:v>
                </c:pt>
                <c:pt idx="11">
                  <c:v>1</c:v>
                </c:pt>
                <c:pt idx="12">
                  <c:v>1</c:v>
                </c:pt>
                <c:pt idx="13">
                  <c:v>1</c:v>
                </c:pt>
                <c:pt idx="14">
                  <c:v>0.999999999999999</c:v>
                </c:pt>
                <c:pt idx="15">
                  <c:v>1</c:v>
                </c:pt>
                <c:pt idx="16">
                  <c:v>1</c:v>
                </c:pt>
                <c:pt idx="17">
                  <c:v>0.999999999999999</c:v>
                </c:pt>
                <c:pt idx="18">
                  <c:v>1</c:v>
                </c:pt>
                <c:pt idx="19">
                  <c:v>1</c:v>
                </c:pt>
                <c:pt idx="20">
                  <c:v>0.999999999999997</c:v>
                </c:pt>
                <c:pt idx="21">
                  <c:v>0.999999999999999</c:v>
                </c:pt>
                <c:pt idx="22">
                  <c:v>1.00000000000001</c:v>
                </c:pt>
                <c:pt idx="23">
                  <c:v>0.999999999999997</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0.999999999999999</c:v>
                </c:pt>
                <c:pt idx="38">
                  <c:v>1</c:v>
                </c:pt>
                <c:pt idx="39">
                  <c:v>1</c:v>
                </c:pt>
                <c:pt idx="40">
                  <c:v>1</c:v>
                </c:pt>
                <c:pt idx="41">
                  <c:v>1</c:v>
                </c:pt>
                <c:pt idx="42">
                  <c:v>1</c:v>
                </c:pt>
                <c:pt idx="43">
                  <c:v>1</c:v>
                </c:pt>
                <c:pt idx="44">
                  <c:v>1</c:v>
                </c:pt>
                <c:pt idx="45">
                  <c:v>1</c:v>
                </c:pt>
                <c:pt idx="46">
                  <c:v>1</c:v>
                </c:pt>
                <c:pt idx="47">
                  <c:v>1</c:v>
                </c:pt>
                <c:pt idx="48">
                  <c:v>1</c:v>
                </c:pt>
                <c:pt idx="49">
                  <c:v>1</c:v>
                </c:pt>
                <c:pt idx="50">
                  <c:v>1</c:v>
                </c:pt>
                <c:pt idx="51">
                  <c:v>-7.8638576965762895E-29</c:v>
                </c:pt>
                <c:pt idx="52">
                  <c:v>-2.25351417247286E-31</c:v>
                </c:pt>
                <c:pt idx="53">
                  <c:v>5.6535186943641697E-30</c:v>
                </c:pt>
                <c:pt idx="54">
                  <c:v>3.5659071332748599E-28</c:v>
                </c:pt>
                <c:pt idx="55">
                  <c:v>-1.94105791299213E-28</c:v>
                </c:pt>
                <c:pt idx="56">
                  <c:v>6.6819614463082103E-28</c:v>
                </c:pt>
                <c:pt idx="57">
                  <c:v>-1.9500834848763701E-28</c:v>
                </c:pt>
                <c:pt idx="58">
                  <c:v>3.6673867569878897E-29</c:v>
                </c:pt>
                <c:pt idx="59">
                  <c:v>2.1622018813752898E-30</c:v>
                </c:pt>
                <c:pt idx="60">
                  <c:v>-4.0719129121231901E-30</c:v>
                </c:pt>
                <c:pt idx="61">
                  <c:v>2.0622343481380699E-30</c:v>
                </c:pt>
                <c:pt idx="62">
                  <c:v>4.88337788721296E-29</c:v>
                </c:pt>
                <c:pt idx="63">
                  <c:v>3.7955679588897401E-29</c:v>
                </c:pt>
                <c:pt idx="64">
                  <c:v>-3.0656761217148002E-29</c:v>
                </c:pt>
                <c:pt idx="65">
                  <c:v>-7.0513430783105296E-30</c:v>
                </c:pt>
                <c:pt idx="66">
                  <c:v>4.90513114512838E-29</c:v>
                </c:pt>
                <c:pt idx="67">
                  <c:v>-1.5828091090844099E-29</c:v>
                </c:pt>
                <c:pt idx="68">
                  <c:v>-5.3861776053446299E-29</c:v>
                </c:pt>
                <c:pt idx="69">
                  <c:v>4.6108928649362103E-29</c:v>
                </c:pt>
                <c:pt idx="70">
                  <c:v>4.3007607256269401E-29</c:v>
                </c:pt>
                <c:pt idx="71">
                  <c:v>-7.8789621192248697E-29</c:v>
                </c:pt>
                <c:pt idx="72">
                  <c:v>-1.31019729212738E-29</c:v>
                </c:pt>
                <c:pt idx="73">
                  <c:v>1.0416549861523499E-28</c:v>
                </c:pt>
                <c:pt idx="74">
                  <c:v>-3.6935285615756199E-29</c:v>
                </c:pt>
                <c:pt idx="75">
                  <c:v>-1.0656573882534301E-28</c:v>
                </c:pt>
                <c:pt idx="76">
                  <c:v>1.0298280628660299E-28</c:v>
                </c:pt>
                <c:pt idx="77">
                  <c:v>-7.3893679732506099E-29</c:v>
                </c:pt>
                <c:pt idx="78">
                  <c:v>2.89837143166677E-29</c:v>
                </c:pt>
                <c:pt idx="79">
                  <c:v>-6.7826647380385596E-30</c:v>
                </c:pt>
                <c:pt idx="80">
                  <c:v>6.9398104721213904E-31</c:v>
                </c:pt>
                <c:pt idx="81">
                  <c:v>-2.6532595200268398E-32</c:v>
                </c:pt>
                <c:pt idx="82">
                  <c:v>8.2374437150479605E-33</c:v>
                </c:pt>
                <c:pt idx="83">
                  <c:v>-1.75248756518552E-33</c:v>
                </c:pt>
                <c:pt idx="84">
                  <c:v>2.2940979703464002E-34</c:v>
                </c:pt>
                <c:pt idx="85">
                  <c:v>-1.3565367622591699E-35</c:v>
                </c:pt>
                <c:pt idx="86">
                  <c:v>-2.6528211261490198E-38</c:v>
                </c:pt>
                <c:pt idx="87">
                  <c:v>5.4683914137393201E-39</c:v>
                </c:pt>
                <c:pt idx="88">
                  <c:v>-7.9912227946407395E-40</c:v>
                </c:pt>
                <c:pt idx="89">
                  <c:v>7.3541087866229001E-41</c:v>
                </c:pt>
                <c:pt idx="90">
                  <c:v>-3.1414841605844199E-42</c:v>
                </c:pt>
                <c:pt idx="91">
                  <c:v>-1.1558932814923899E-44</c:v>
                </c:pt>
                <c:pt idx="92">
                  <c:v>1.7911914215925601E-45</c:v>
                </c:pt>
                <c:pt idx="93">
                  <c:v>-1.9958917394671998E-46</c:v>
                </c:pt>
                <c:pt idx="94">
                  <c:v>1.4166753333565E-47</c:v>
                </c:pt>
                <c:pt idx="95">
                  <c:v>-4.6630806586148201E-49</c:v>
                </c:pt>
                <c:pt idx="96">
                  <c:v>-3.2958951221496603E-51</c:v>
                </c:pt>
                <c:pt idx="97">
                  <c:v>4.0960978908642099E-52</c:v>
                </c:pt>
                <c:pt idx="98">
                  <c:v>-3.6882974200606602E-53</c:v>
                </c:pt>
                <c:pt idx="99">
                  <c:v>2.1244396759534201E-54</c:v>
                </c:pt>
              </c:numCache>
            </c:numRef>
          </c:yVal>
          <c:smooth val="0"/>
          <c:extLst>
            <c:ext xmlns:c16="http://schemas.microsoft.com/office/drawing/2014/chart" uri="{C3380CC4-5D6E-409C-BE32-E72D297353CC}">
              <c16:uniqueId val="{00000095-CF86-4C2E-BF49-1F263FBF5A1F}"/>
            </c:ext>
          </c:extLst>
        </c:ser>
        <c:ser>
          <c:idx val="150"/>
          <c:order val="150"/>
          <c:tx>
            <c:strRef>
              <c:f>dynamicR!$FD$19</c:f>
              <c:strCache>
                <c:ptCount val="1"/>
                <c:pt idx="0">
                  <c:v>sdTP</c:v>
                </c:pt>
              </c:strCache>
            </c:strRef>
          </c:tx>
          <c:spPr>
            <a:ln w="19050" cap="rnd">
              <a:solidFill>
                <a:schemeClr val="accent1">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dynamicR!$FD$20:$FD$119</c:f>
              <c:numCache>
                <c:formatCode>0.00</c:formatCode>
                <c:ptCount val="100"/>
                <c:pt idx="0">
                  <c:v>0</c:v>
                </c:pt>
                <c:pt idx="1">
                  <c:v>1</c:v>
                </c:pt>
                <c:pt idx="2">
                  <c:v>0.999999999999996</c:v>
                </c:pt>
                <c:pt idx="3">
                  <c:v>0.999999999999994</c:v>
                </c:pt>
                <c:pt idx="4">
                  <c:v>0.999999999999997</c:v>
                </c:pt>
                <c:pt idx="5">
                  <c:v>1</c:v>
                </c:pt>
                <c:pt idx="6">
                  <c:v>1</c:v>
                </c:pt>
                <c:pt idx="7">
                  <c:v>1</c:v>
                </c:pt>
                <c:pt idx="8">
                  <c:v>1</c:v>
                </c:pt>
                <c:pt idx="9">
                  <c:v>1</c:v>
                </c:pt>
                <c:pt idx="10">
                  <c:v>1</c:v>
                </c:pt>
                <c:pt idx="11">
                  <c:v>1</c:v>
                </c:pt>
                <c:pt idx="12">
                  <c:v>1</c:v>
                </c:pt>
                <c:pt idx="13">
                  <c:v>1</c:v>
                </c:pt>
                <c:pt idx="14">
                  <c:v>0.999999999999999</c:v>
                </c:pt>
                <c:pt idx="15">
                  <c:v>0.999999999999999</c:v>
                </c:pt>
                <c:pt idx="16">
                  <c:v>0.999999999999999</c:v>
                </c:pt>
                <c:pt idx="17">
                  <c:v>1</c:v>
                </c:pt>
                <c:pt idx="18">
                  <c:v>1</c:v>
                </c:pt>
                <c:pt idx="19">
                  <c:v>0.999999999999999</c:v>
                </c:pt>
                <c:pt idx="20">
                  <c:v>0.999999999999999</c:v>
                </c:pt>
                <c:pt idx="21">
                  <c:v>1</c:v>
                </c:pt>
                <c:pt idx="22">
                  <c:v>1</c:v>
                </c:pt>
                <c:pt idx="23">
                  <c:v>0.999999999999999</c:v>
                </c:pt>
                <c:pt idx="24">
                  <c:v>1</c:v>
                </c:pt>
                <c:pt idx="25">
                  <c:v>0.999999999999999</c:v>
                </c:pt>
                <c:pt idx="26">
                  <c:v>1</c:v>
                </c:pt>
                <c:pt idx="27">
                  <c:v>0.999999999999999</c:v>
                </c:pt>
                <c:pt idx="28">
                  <c:v>0.999999999999999</c:v>
                </c:pt>
                <c:pt idx="29">
                  <c:v>1</c:v>
                </c:pt>
                <c:pt idx="30">
                  <c:v>1</c:v>
                </c:pt>
                <c:pt idx="31">
                  <c:v>1</c:v>
                </c:pt>
                <c:pt idx="32">
                  <c:v>1</c:v>
                </c:pt>
                <c:pt idx="33">
                  <c:v>1</c:v>
                </c:pt>
                <c:pt idx="34">
                  <c:v>1</c:v>
                </c:pt>
                <c:pt idx="35">
                  <c:v>0.999999999999999</c:v>
                </c:pt>
                <c:pt idx="36">
                  <c:v>1</c:v>
                </c:pt>
                <c:pt idx="37">
                  <c:v>0.999999999999999</c:v>
                </c:pt>
                <c:pt idx="38">
                  <c:v>1</c:v>
                </c:pt>
                <c:pt idx="39">
                  <c:v>0.999999999999999</c:v>
                </c:pt>
                <c:pt idx="40">
                  <c:v>0.999999999999999</c:v>
                </c:pt>
                <c:pt idx="41">
                  <c:v>1</c:v>
                </c:pt>
                <c:pt idx="42">
                  <c:v>0.999999999999999</c:v>
                </c:pt>
                <c:pt idx="43">
                  <c:v>0.999999999999999</c:v>
                </c:pt>
                <c:pt idx="44">
                  <c:v>1</c:v>
                </c:pt>
                <c:pt idx="45">
                  <c:v>0.999999999999999</c:v>
                </c:pt>
                <c:pt idx="46">
                  <c:v>1</c:v>
                </c:pt>
                <c:pt idx="47">
                  <c:v>1</c:v>
                </c:pt>
                <c:pt idx="48">
                  <c:v>1</c:v>
                </c:pt>
                <c:pt idx="49">
                  <c:v>0.999999999999999</c:v>
                </c:pt>
                <c:pt idx="50">
                  <c:v>0.999999999999999</c:v>
                </c:pt>
                <c:pt idx="51">
                  <c:v>-1.06099689698067E-19</c:v>
                </c:pt>
                <c:pt idx="52">
                  <c:v>1.5247497704357401E-23</c:v>
                </c:pt>
                <c:pt idx="53">
                  <c:v>5.8632149899616502E-21</c:v>
                </c:pt>
                <c:pt idx="54">
                  <c:v>4.3885211028270203E-19</c:v>
                </c:pt>
                <c:pt idx="55">
                  <c:v>-2.3974771153641502E-19</c:v>
                </c:pt>
                <c:pt idx="56">
                  <c:v>8.2381011191615705E-19</c:v>
                </c:pt>
                <c:pt idx="57">
                  <c:v>-2.40138147595642E-19</c:v>
                </c:pt>
                <c:pt idx="58">
                  <c:v>4.4991463485278098E-20</c:v>
                </c:pt>
                <c:pt idx="59">
                  <c:v>2.7413258651252499E-21</c:v>
                </c:pt>
                <c:pt idx="60">
                  <c:v>-5.0860325369924001E-21</c:v>
                </c:pt>
                <c:pt idx="61">
                  <c:v>2.41946534171541E-21</c:v>
                </c:pt>
                <c:pt idx="62">
                  <c:v>6.0185030010429299E-20</c:v>
                </c:pt>
                <c:pt idx="63">
                  <c:v>4.6742112063271498E-20</c:v>
                </c:pt>
                <c:pt idx="64">
                  <c:v>-3.7892742504247501E-20</c:v>
                </c:pt>
                <c:pt idx="65">
                  <c:v>-8.6663398356523903E-21</c:v>
                </c:pt>
                <c:pt idx="66">
                  <c:v>6.0541339574303105E-20</c:v>
                </c:pt>
                <c:pt idx="67">
                  <c:v>-1.9569698072283E-20</c:v>
                </c:pt>
                <c:pt idx="68">
                  <c:v>-6.6446457886292701E-20</c:v>
                </c:pt>
                <c:pt idx="69">
                  <c:v>5.6917804153428297E-20</c:v>
                </c:pt>
                <c:pt idx="70">
                  <c:v>5.3038303129228597E-20</c:v>
                </c:pt>
                <c:pt idx="71">
                  <c:v>-9.7207193871381695E-20</c:v>
                </c:pt>
                <c:pt idx="72">
                  <c:v>-1.61498230153687E-20</c:v>
                </c:pt>
                <c:pt idx="73">
                  <c:v>1.28480460886396E-19</c:v>
                </c:pt>
                <c:pt idx="74">
                  <c:v>-4.55408106152137E-20</c:v>
                </c:pt>
                <c:pt idx="75">
                  <c:v>-1.31428371620317E-19</c:v>
                </c:pt>
                <c:pt idx="76">
                  <c:v>1.2697031866211301E-19</c:v>
                </c:pt>
                <c:pt idx="77">
                  <c:v>-9.1018643493104105E-20</c:v>
                </c:pt>
                <c:pt idx="78">
                  <c:v>3.5585071265135803E-20</c:v>
                </c:pt>
                <c:pt idx="79">
                  <c:v>-8.23377538071274E-21</c:v>
                </c:pt>
                <c:pt idx="80">
                  <c:v>7.7892804939253199E-22</c:v>
                </c:pt>
                <c:pt idx="81">
                  <c:v>3.41775326741333E-25</c:v>
                </c:pt>
                <c:pt idx="82">
                  <c:v>-1.0611195579525099E-25</c:v>
                </c:pt>
                <c:pt idx="83">
                  <c:v>2.2576571940833101E-26</c:v>
                </c:pt>
                <c:pt idx="84">
                  <c:v>-2.9562079229953298E-27</c:v>
                </c:pt>
                <c:pt idx="85">
                  <c:v>1.7514344197170401E-28</c:v>
                </c:pt>
                <c:pt idx="86">
                  <c:v>2.30484190216531E-31</c:v>
                </c:pt>
                <c:pt idx="87">
                  <c:v>-4.7512030160662102E-32</c:v>
                </c:pt>
                <c:pt idx="88">
                  <c:v>6.94370615182577E-33</c:v>
                </c:pt>
                <c:pt idx="89">
                  <c:v>-6.3920601521822696E-34</c:v>
                </c:pt>
                <c:pt idx="90">
                  <c:v>2.73637453674486E-35</c:v>
                </c:pt>
                <c:pt idx="91">
                  <c:v>8.62009910146547E-38</c:v>
                </c:pt>
                <c:pt idx="92">
                  <c:v>-1.33582632338031E-38</c:v>
                </c:pt>
                <c:pt idx="93">
                  <c:v>1.4886275367613001E-39</c:v>
                </c:pt>
                <c:pt idx="94">
                  <c:v>-1.05701359281482E-40</c:v>
                </c:pt>
                <c:pt idx="95">
                  <c:v>3.4884859108069603E-42</c:v>
                </c:pt>
                <c:pt idx="96">
                  <c:v>2.2798050717102499E-44</c:v>
                </c:pt>
                <c:pt idx="97">
                  <c:v>-2.83342246853525E-45</c:v>
                </c:pt>
                <c:pt idx="98">
                  <c:v>2.5516237383481801E-46</c:v>
                </c:pt>
                <c:pt idx="99">
                  <c:v>-1.4703885572719801E-47</c:v>
                </c:pt>
              </c:numCache>
            </c:numRef>
          </c:yVal>
          <c:smooth val="0"/>
          <c:extLst>
            <c:ext xmlns:c16="http://schemas.microsoft.com/office/drawing/2014/chart" uri="{C3380CC4-5D6E-409C-BE32-E72D297353CC}">
              <c16:uniqueId val="{00000096-CF86-4C2E-BF49-1F263FBF5A1F}"/>
            </c:ext>
          </c:extLst>
        </c:ser>
        <c:ser>
          <c:idx val="151"/>
          <c:order val="151"/>
          <c:tx>
            <c:strRef>
              <c:f>dynamicR!$FE$19</c:f>
              <c:strCache>
                <c:ptCount val="1"/>
                <c:pt idx="0">
                  <c:v>sTD</c:v>
                </c:pt>
              </c:strCache>
            </c:strRef>
          </c:tx>
          <c:spPr>
            <a:ln w="19050" cap="rnd">
              <a:solidFill>
                <a:schemeClr val="accent2">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dynamicR!$FE$20:$FE$119</c:f>
              <c:numCache>
                <c:formatCode>0.00</c:formatCode>
                <c:ptCount val="100"/>
                <c:pt idx="0">
                  <c:v>0</c:v>
                </c:pt>
                <c:pt idx="1">
                  <c:v>0.99999999997358402</c:v>
                </c:pt>
                <c:pt idx="2">
                  <c:v>0.99999999997410804</c:v>
                </c:pt>
                <c:pt idx="3">
                  <c:v>0.99999999997462397</c:v>
                </c:pt>
                <c:pt idx="4">
                  <c:v>0.999999999975136</c:v>
                </c:pt>
                <c:pt idx="5">
                  <c:v>0.99999999997563405</c:v>
                </c:pt>
                <c:pt idx="6">
                  <c:v>0.99999999997612099</c:v>
                </c:pt>
                <c:pt idx="7">
                  <c:v>0.99999999997659805</c:v>
                </c:pt>
                <c:pt idx="8">
                  <c:v>0.99999999997706701</c:v>
                </c:pt>
                <c:pt idx="9">
                  <c:v>0.99999999997752398</c:v>
                </c:pt>
                <c:pt idx="10">
                  <c:v>0.99999999997797395</c:v>
                </c:pt>
                <c:pt idx="11">
                  <c:v>0.99999999997841404</c:v>
                </c:pt>
                <c:pt idx="12">
                  <c:v>0.99999999997884603</c:v>
                </c:pt>
                <c:pt idx="13">
                  <c:v>0.99999999997926803</c:v>
                </c:pt>
                <c:pt idx="14">
                  <c:v>0.99999999997968303</c:v>
                </c:pt>
                <c:pt idx="15">
                  <c:v>0.99999999998009004</c:v>
                </c:pt>
                <c:pt idx="16">
                  <c:v>0.99999999998048705</c:v>
                </c:pt>
                <c:pt idx="17">
                  <c:v>0.99999999998087596</c:v>
                </c:pt>
                <c:pt idx="18">
                  <c:v>0.99999999998126099</c:v>
                </c:pt>
                <c:pt idx="19">
                  <c:v>0.99999999998163502</c:v>
                </c:pt>
                <c:pt idx="20">
                  <c:v>0.99999999998199895</c:v>
                </c:pt>
                <c:pt idx="21">
                  <c:v>0.999999999982362</c:v>
                </c:pt>
                <c:pt idx="22">
                  <c:v>0.99999999998271805</c:v>
                </c:pt>
                <c:pt idx="23">
                  <c:v>0.999999999983057</c:v>
                </c:pt>
                <c:pt idx="24">
                  <c:v>0.99999999998339895</c:v>
                </c:pt>
                <c:pt idx="25">
                  <c:v>0.99999999998372902</c:v>
                </c:pt>
                <c:pt idx="26">
                  <c:v>0.99999999998405498</c:v>
                </c:pt>
                <c:pt idx="27">
                  <c:v>0.99999999998437406</c:v>
                </c:pt>
                <c:pt idx="28">
                  <c:v>0.99999999998468603</c:v>
                </c:pt>
                <c:pt idx="29">
                  <c:v>0.99999999998499201</c:v>
                </c:pt>
                <c:pt idx="30">
                  <c:v>0.99999999998529199</c:v>
                </c:pt>
                <c:pt idx="31">
                  <c:v>0.99999999998558597</c:v>
                </c:pt>
                <c:pt idx="32">
                  <c:v>0.99999999998587497</c:v>
                </c:pt>
                <c:pt idx="33">
                  <c:v>0.99999999998615696</c:v>
                </c:pt>
                <c:pt idx="34">
                  <c:v>0.99999999998643296</c:v>
                </c:pt>
                <c:pt idx="35">
                  <c:v>0.99999999998670497</c:v>
                </c:pt>
                <c:pt idx="36">
                  <c:v>0.99999999998697098</c:v>
                </c:pt>
                <c:pt idx="37">
                  <c:v>0.99999999998723099</c:v>
                </c:pt>
                <c:pt idx="38">
                  <c:v>0.99999999998748601</c:v>
                </c:pt>
                <c:pt idx="39">
                  <c:v>0.99999999998773703</c:v>
                </c:pt>
                <c:pt idx="40">
                  <c:v>0.99999999998798195</c:v>
                </c:pt>
                <c:pt idx="41">
                  <c:v>0.99999999998822198</c:v>
                </c:pt>
                <c:pt idx="42">
                  <c:v>0.99999999998845701</c:v>
                </c:pt>
                <c:pt idx="43">
                  <c:v>0.99999999998868805</c:v>
                </c:pt>
                <c:pt idx="44">
                  <c:v>0.99999999998891398</c:v>
                </c:pt>
                <c:pt idx="45">
                  <c:v>0.99999999998913602</c:v>
                </c:pt>
                <c:pt idx="46">
                  <c:v>0.99999999998935296</c:v>
                </c:pt>
                <c:pt idx="47">
                  <c:v>0.99999999998956601</c:v>
                </c:pt>
                <c:pt idx="48">
                  <c:v>0.99999999998977396</c:v>
                </c:pt>
                <c:pt idx="49">
                  <c:v>0.99999999998997902</c:v>
                </c:pt>
                <c:pt idx="50">
                  <c:v>0.99999999998997902</c:v>
                </c:pt>
                <c:pt idx="51">
                  <c:v>1.65945539370611E-11</c:v>
                </c:pt>
                <c:pt idx="52">
                  <c:v>1.6262812486036398E-11</c:v>
                </c:pt>
                <c:pt idx="53">
                  <c:v>1.59377139279709E-11</c:v>
                </c:pt>
                <c:pt idx="54">
                  <c:v>1.5619121138089499E-11</c:v>
                </c:pt>
                <c:pt idx="55">
                  <c:v>1.53068956769387E-11</c:v>
                </c:pt>
                <c:pt idx="56">
                  <c:v>1.5000910038701602E-11</c:v>
                </c:pt>
                <c:pt idx="57">
                  <c:v>1.4701040507347E-11</c:v>
                </c:pt>
                <c:pt idx="58">
                  <c:v>1.44071652755389E-11</c:v>
                </c:pt>
                <c:pt idx="59">
                  <c:v>1.41191646724451E-11</c:v>
                </c:pt>
                <c:pt idx="60">
                  <c:v>1.3836921066207399E-11</c:v>
                </c:pt>
                <c:pt idx="61">
                  <c:v>1.35603191600041E-11</c:v>
                </c:pt>
                <c:pt idx="62">
                  <c:v>1.3289246380489699E-11</c:v>
                </c:pt>
                <c:pt idx="63">
                  <c:v>1.3023592446921899E-11</c:v>
                </c:pt>
                <c:pt idx="64">
                  <c:v>1.27632490785191E-11</c:v>
                </c:pt>
                <c:pt idx="65">
                  <c:v>1.2508110051462501E-11</c:v>
                </c:pt>
                <c:pt idx="66">
                  <c:v>1.22580712785214E-11</c:v>
                </c:pt>
                <c:pt idx="67">
                  <c:v>1.20130307965144E-11</c:v>
                </c:pt>
                <c:pt idx="68">
                  <c:v>1.17728887003142E-11</c:v>
                </c:pt>
                <c:pt idx="69">
                  <c:v>1.15375470790915E-11</c:v>
                </c:pt>
                <c:pt idx="70">
                  <c:v>1.13069099716009E-11</c:v>
                </c:pt>
                <c:pt idx="71">
                  <c:v>1.1080883331723E-11</c:v>
                </c:pt>
                <c:pt idx="72">
                  <c:v>1.08593749940868E-11</c:v>
                </c:pt>
                <c:pt idx="73">
                  <c:v>1.0642294637124501E-11</c:v>
                </c:pt>
                <c:pt idx="74">
                  <c:v>1.0429553745363001E-11</c:v>
                </c:pt>
                <c:pt idx="75">
                  <c:v>1.0221065574243299E-11</c:v>
                </c:pt>
                <c:pt idx="76">
                  <c:v>1.00167451145286E-11</c:v>
                </c:pt>
                <c:pt idx="77">
                  <c:v>9.8165090517184201E-12</c:v>
                </c:pt>
                <c:pt idx="78">
                  <c:v>9.6202757337883302E-12</c:v>
                </c:pt>
                <c:pt idx="79">
                  <c:v>9.4279651433977997E-12</c:v>
                </c:pt>
                <c:pt idx="80">
                  <c:v>9.2394988661265598E-12</c:v>
                </c:pt>
                <c:pt idx="81">
                  <c:v>9.0548000553969793E-12</c:v>
                </c:pt>
                <c:pt idx="82">
                  <c:v>8.8737933991654602E-12</c:v>
                </c:pt>
                <c:pt idx="83">
                  <c:v>8.6964050900021996E-12</c:v>
                </c:pt>
                <c:pt idx="84">
                  <c:v>8.5225627963076398E-12</c:v>
                </c:pt>
                <c:pt idx="85">
                  <c:v>8.3521956330276204E-12</c:v>
                </c:pt>
                <c:pt idx="86">
                  <c:v>8.1852341321256995E-12</c:v>
                </c:pt>
                <c:pt idx="87">
                  <c:v>8.0216102139498007E-12</c:v>
                </c:pt>
                <c:pt idx="88">
                  <c:v>7.8612571596325404E-12</c:v>
                </c:pt>
                <c:pt idx="89">
                  <c:v>7.7041095841129904E-12</c:v>
                </c:pt>
                <c:pt idx="90">
                  <c:v>7.5501034094926204E-12</c:v>
                </c:pt>
                <c:pt idx="91">
                  <c:v>7.3991758388000496E-12</c:v>
                </c:pt>
                <c:pt idx="92">
                  <c:v>7.2512653303330097E-12</c:v>
                </c:pt>
                <c:pt idx="93">
                  <c:v>7.1063115725824697E-12</c:v>
                </c:pt>
                <c:pt idx="94">
                  <c:v>6.9642554597058799E-12</c:v>
                </c:pt>
                <c:pt idx="95">
                  <c:v>6.8250390674080302E-12</c:v>
                </c:pt>
                <c:pt idx="96">
                  <c:v>6.68860562930246E-12</c:v>
                </c:pt>
                <c:pt idx="97">
                  <c:v>6.5548995137586199E-12</c:v>
                </c:pt>
                <c:pt idx="98">
                  <c:v>6.4238662012389796E-12</c:v>
                </c:pt>
                <c:pt idx="99">
                  <c:v>6.2954522620530299E-12</c:v>
                </c:pt>
              </c:numCache>
            </c:numRef>
          </c:yVal>
          <c:smooth val="0"/>
          <c:extLst>
            <c:ext xmlns:c16="http://schemas.microsoft.com/office/drawing/2014/chart" uri="{C3380CC4-5D6E-409C-BE32-E72D297353CC}">
              <c16:uniqueId val="{00000097-CF86-4C2E-BF49-1F263FBF5A1F}"/>
            </c:ext>
          </c:extLst>
        </c:ser>
        <c:ser>
          <c:idx val="152"/>
          <c:order val="152"/>
          <c:tx>
            <c:strRef>
              <c:f>dynamicR!$FF$19</c:f>
              <c:strCache>
                <c:ptCount val="1"/>
                <c:pt idx="0">
                  <c:v>sTS</c:v>
                </c:pt>
              </c:strCache>
            </c:strRef>
          </c:tx>
          <c:spPr>
            <a:ln w="19050" cap="rnd">
              <a:solidFill>
                <a:schemeClr val="accent3">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dynamicR!$FF$20:$FF$119</c:f>
              <c:numCache>
                <c:formatCode>0.00</c:formatCode>
                <c:ptCount val="100"/>
                <c:pt idx="0">
                  <c:v>0</c:v>
                </c:pt>
                <c:pt idx="1">
                  <c:v>1</c:v>
                </c:pt>
                <c:pt idx="2">
                  <c:v>0.999999999999997</c:v>
                </c:pt>
                <c:pt idx="3">
                  <c:v>0.999999999999995</c:v>
                </c:pt>
                <c:pt idx="4">
                  <c:v>1</c:v>
                </c:pt>
                <c:pt idx="5">
                  <c:v>1</c:v>
                </c:pt>
                <c:pt idx="6">
                  <c:v>1</c:v>
                </c:pt>
                <c:pt idx="7">
                  <c:v>1</c:v>
                </c:pt>
                <c:pt idx="8">
                  <c:v>1</c:v>
                </c:pt>
                <c:pt idx="9">
                  <c:v>1</c:v>
                </c:pt>
                <c:pt idx="10">
                  <c:v>1</c:v>
                </c:pt>
                <c:pt idx="11">
                  <c:v>1</c:v>
                </c:pt>
                <c:pt idx="12">
                  <c:v>1</c:v>
                </c:pt>
                <c:pt idx="13">
                  <c:v>1</c:v>
                </c:pt>
                <c:pt idx="14">
                  <c:v>1</c:v>
                </c:pt>
                <c:pt idx="15">
                  <c:v>1</c:v>
                </c:pt>
                <c:pt idx="16">
                  <c:v>0.999999999999999</c:v>
                </c:pt>
                <c:pt idx="17">
                  <c:v>0.999999999999999</c:v>
                </c:pt>
                <c:pt idx="18">
                  <c:v>1</c:v>
                </c:pt>
                <c:pt idx="19">
                  <c:v>0.999999999999999</c:v>
                </c:pt>
                <c:pt idx="20">
                  <c:v>0.999999999999998</c:v>
                </c:pt>
                <c:pt idx="21">
                  <c:v>1</c:v>
                </c:pt>
                <c:pt idx="22">
                  <c:v>1</c:v>
                </c:pt>
                <c:pt idx="23">
                  <c:v>0.999999999999999</c:v>
                </c:pt>
                <c:pt idx="24">
                  <c:v>1</c:v>
                </c:pt>
                <c:pt idx="25">
                  <c:v>0.999999999999999</c:v>
                </c:pt>
                <c:pt idx="26">
                  <c:v>1</c:v>
                </c:pt>
                <c:pt idx="27">
                  <c:v>0.999999999999999</c:v>
                </c:pt>
                <c:pt idx="28">
                  <c:v>1</c:v>
                </c:pt>
                <c:pt idx="29">
                  <c:v>0.999999999999999</c:v>
                </c:pt>
                <c:pt idx="30">
                  <c:v>1</c:v>
                </c:pt>
                <c:pt idx="31">
                  <c:v>1</c:v>
                </c:pt>
                <c:pt idx="32">
                  <c:v>1</c:v>
                </c:pt>
                <c:pt idx="33">
                  <c:v>1</c:v>
                </c:pt>
                <c:pt idx="34">
                  <c:v>1</c:v>
                </c:pt>
                <c:pt idx="35">
                  <c:v>0.999999999999999</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-4.8942159799520698E-213</c:v>
                </c:pt>
                <c:pt idx="52">
                  <c:v>1.17901727387843E-214</c:v>
                </c:pt>
                <c:pt idx="53">
                  <c:v>-3.9931644474372202E-214</c:v>
                </c:pt>
                <c:pt idx="54">
                  <c:v>5.2508954953742E-213</c:v>
                </c:pt>
                <c:pt idx="55">
                  <c:v>-3.3055721384802298E-213</c:v>
                </c:pt>
                <c:pt idx="56">
                  <c:v>1.07767260798716E-212</c:v>
                </c:pt>
                <c:pt idx="57">
                  <c:v>-3.1406022139916099E-213</c:v>
                </c:pt>
                <c:pt idx="58">
                  <c:v>5.8470331496807902E-214</c:v>
                </c:pt>
                <c:pt idx="59">
                  <c:v>3.5614084734676299E-215</c:v>
                </c:pt>
                <c:pt idx="60">
                  <c:v>-6.6085343241618903E-215</c:v>
                </c:pt>
                <c:pt idx="61">
                  <c:v>3.1457798814600202E-215</c:v>
                </c:pt>
                <c:pt idx="62">
                  <c:v>7.8212017981451298E-214</c:v>
                </c:pt>
                <c:pt idx="63">
                  <c:v>6.0743076270391198E-214</c:v>
                </c:pt>
                <c:pt idx="64">
                  <c:v>-4.9241148934121201E-214</c:v>
                </c:pt>
                <c:pt idx="65">
                  <c:v>-1.12624544057606E-214</c:v>
                </c:pt>
                <c:pt idx="66">
                  <c:v>7.8673880401373798E-214</c:v>
                </c:pt>
                <c:pt idx="67">
                  <c:v>-2.54305049197251E-214</c:v>
                </c:pt>
                <c:pt idx="68">
                  <c:v>-8.6348048149437192E-214</c:v>
                </c:pt>
                <c:pt idx="69">
                  <c:v>7.3964964451269899E-214</c:v>
                </c:pt>
                <c:pt idx="70">
                  <c:v>6.8924212103736699E-214</c:v>
                </c:pt>
                <c:pt idx="71">
                  <c:v>-1.26321916740424E-213</c:v>
                </c:pt>
                <c:pt idx="72">
                  <c:v>-2.0987085557582E-214</c:v>
                </c:pt>
                <c:pt idx="73">
                  <c:v>1.6696235907875101E-213</c:v>
                </c:pt>
                <c:pt idx="74">
                  <c:v>-5.9181206631371198E-214</c:v>
                </c:pt>
                <c:pt idx="75">
                  <c:v>-1.7079338214895901E-213</c:v>
                </c:pt>
                <c:pt idx="76">
                  <c:v>1.6500058763174999E-213</c:v>
                </c:pt>
                <c:pt idx="77">
                  <c:v>-1.18281786328539E-213</c:v>
                </c:pt>
                <c:pt idx="78">
                  <c:v>4.6245532742208298E-214</c:v>
                </c:pt>
                <c:pt idx="79">
                  <c:v>-1.0701672507740401E-214</c:v>
                </c:pt>
                <c:pt idx="80">
                  <c:v>1.0132513486553E-215</c:v>
                </c:pt>
                <c:pt idx="81">
                  <c:v>5.40949096929698E-221</c:v>
                </c:pt>
                <c:pt idx="82">
                  <c:v>-1.67958562648024E-221</c:v>
                </c:pt>
                <c:pt idx="83">
                  <c:v>3.5740391511673998E-222</c:v>
                </c:pt>
                <c:pt idx="84">
                  <c:v>-4.6825273776004502E-223</c:v>
                </c:pt>
                <c:pt idx="85">
                  <c:v>2.7851012028885999E-224</c:v>
                </c:pt>
                <c:pt idx="86">
                  <c:v>6.3320908967741597E-229</c:v>
                </c:pt>
                <c:pt idx="87">
                  <c:v>-1.3094010712835099E-229</c:v>
                </c:pt>
                <c:pt idx="88">
                  <c:v>1.9145319396880201E-230</c:v>
                </c:pt>
                <c:pt idx="89">
                  <c:v>-1.7656229589515199E-231</c:v>
                </c:pt>
                <c:pt idx="90">
                  <c:v>7.6540764971248496E-233</c:v>
                </c:pt>
                <c:pt idx="91">
                  <c:v>4.9861395292006995E-237</c:v>
                </c:pt>
                <c:pt idx="92">
                  <c:v>-7.7501387533456201E-238</c:v>
                </c:pt>
                <c:pt idx="93">
                  <c:v>8.6468509029995994E-239</c:v>
                </c:pt>
                <c:pt idx="94">
                  <c:v>-6.1681855724116703E-240</c:v>
                </c:pt>
                <c:pt idx="95">
                  <c:v>2.1027297880913099E-241</c:v>
                </c:pt>
                <c:pt idx="96">
                  <c:v>3.1434006780669398E-245</c:v>
                </c:pt>
                <c:pt idx="97">
                  <c:v>-3.91302875692525E-246</c:v>
                </c:pt>
                <c:pt idx="98">
                  <c:v>3.5329500194068699E-247</c:v>
                </c:pt>
                <c:pt idx="99">
                  <c:v>-2.0566461248071601E-248</c:v>
                </c:pt>
              </c:numCache>
            </c:numRef>
          </c:yVal>
          <c:smooth val="0"/>
          <c:extLst>
            <c:ext xmlns:c16="http://schemas.microsoft.com/office/drawing/2014/chart" uri="{C3380CC4-5D6E-409C-BE32-E72D297353CC}">
              <c16:uniqueId val="{00000098-CF86-4C2E-BF49-1F263FBF5A1F}"/>
            </c:ext>
          </c:extLst>
        </c:ser>
        <c:ser>
          <c:idx val="153"/>
          <c:order val="153"/>
          <c:tx>
            <c:strRef>
              <c:f>dynamicR!$FG$19</c:f>
              <c:strCache>
                <c:ptCount val="1"/>
                <c:pt idx="0">
                  <c:v>sTA</c:v>
                </c:pt>
              </c:strCache>
            </c:strRef>
          </c:tx>
          <c:spPr>
            <a:ln w="19050" cap="rnd">
              <a:solidFill>
                <a:schemeClr val="accent4">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dynamicR!$FG$20:$FG$119</c:f>
              <c:numCache>
                <c:formatCode>0.00</c:formatCode>
                <c:ptCount val="100"/>
                <c:pt idx="0">
                  <c:v>0</c:v>
                </c:pt>
                <c:pt idx="1">
                  <c:v>1</c:v>
                </c:pt>
                <c:pt idx="2">
                  <c:v>0.999999999999995</c:v>
                </c:pt>
                <c:pt idx="3">
                  <c:v>0.99999999999999301</c:v>
                </c:pt>
                <c:pt idx="4">
                  <c:v>0.999999999999999</c:v>
                </c:pt>
                <c:pt idx="5">
                  <c:v>1</c:v>
                </c:pt>
                <c:pt idx="6">
                  <c:v>1</c:v>
                </c:pt>
                <c:pt idx="7">
                  <c:v>0.999999999999999</c:v>
                </c:pt>
                <c:pt idx="8">
                  <c:v>1</c:v>
                </c:pt>
                <c:pt idx="9">
                  <c:v>0.999999999999999</c:v>
                </c:pt>
                <c:pt idx="10">
                  <c:v>1</c:v>
                </c:pt>
                <c:pt idx="11">
                  <c:v>1</c:v>
                </c:pt>
                <c:pt idx="12">
                  <c:v>1</c:v>
                </c:pt>
                <c:pt idx="13">
                  <c:v>1</c:v>
                </c:pt>
                <c:pt idx="14">
                  <c:v>0.999999999999999</c:v>
                </c:pt>
                <c:pt idx="15">
                  <c:v>1</c:v>
                </c:pt>
                <c:pt idx="16">
                  <c:v>1</c:v>
                </c:pt>
                <c:pt idx="17">
                  <c:v>0.999999999999998</c:v>
                </c:pt>
                <c:pt idx="18">
                  <c:v>1</c:v>
                </c:pt>
                <c:pt idx="19">
                  <c:v>1</c:v>
                </c:pt>
                <c:pt idx="20">
                  <c:v>0.999999999999997</c:v>
                </c:pt>
                <c:pt idx="21">
                  <c:v>0.999999999999999</c:v>
                </c:pt>
                <c:pt idx="22">
                  <c:v>1</c:v>
                </c:pt>
                <c:pt idx="23">
                  <c:v>0.999999999999997</c:v>
                </c:pt>
                <c:pt idx="24">
                  <c:v>1</c:v>
                </c:pt>
                <c:pt idx="25">
                  <c:v>0.999999999999999</c:v>
                </c:pt>
                <c:pt idx="26">
                  <c:v>1</c:v>
                </c:pt>
                <c:pt idx="27">
                  <c:v>1</c:v>
                </c:pt>
                <c:pt idx="28">
                  <c:v>1</c:v>
                </c:pt>
                <c:pt idx="29">
                  <c:v>1</c:v>
                </c:pt>
                <c:pt idx="30">
                  <c:v>1</c:v>
                </c:pt>
                <c:pt idx="31">
                  <c:v>1</c:v>
                </c:pt>
                <c:pt idx="32">
                  <c:v>1</c:v>
                </c:pt>
                <c:pt idx="33">
                  <c:v>1</c:v>
                </c:pt>
                <c:pt idx="34">
                  <c:v>1</c:v>
                </c:pt>
                <c:pt idx="35">
                  <c:v>1</c:v>
                </c:pt>
                <c:pt idx="36">
                  <c:v>1</c:v>
                </c:pt>
                <c:pt idx="37">
                  <c:v>0.999999999999999</c:v>
                </c:pt>
                <c:pt idx="38">
                  <c:v>1</c:v>
                </c:pt>
                <c:pt idx="39">
                  <c:v>1</c:v>
                </c:pt>
                <c:pt idx="40">
                  <c:v>1</c:v>
                </c:pt>
                <c:pt idx="41">
                  <c:v>1</c:v>
                </c:pt>
                <c:pt idx="42">
                  <c:v>1</c:v>
                </c:pt>
                <c:pt idx="43">
                  <c:v>1</c:v>
                </c:pt>
                <c:pt idx="44">
                  <c:v>1</c:v>
                </c:pt>
                <c:pt idx="45">
                  <c:v>1</c:v>
                </c:pt>
                <c:pt idx="46">
                  <c:v>1</c:v>
                </c:pt>
                <c:pt idx="47">
                  <c:v>1</c:v>
                </c:pt>
                <c:pt idx="48">
                  <c:v>0.999999999999999</c:v>
                </c:pt>
                <c:pt idx="49">
                  <c:v>1</c:v>
                </c:pt>
                <c:pt idx="50">
                  <c:v>1</c:v>
                </c:pt>
                <c:pt idx="51">
                  <c:v>-1.2300968606238599E-93</c:v>
                </c:pt>
                <c:pt idx="52">
                  <c:v>2.96332212586473E-95</c:v>
                </c:pt>
                <c:pt idx="53">
                  <c:v>-1.0036174584591401E-94</c:v>
                </c:pt>
                <c:pt idx="54">
                  <c:v>1.3197441735803301E-93</c:v>
                </c:pt>
                <c:pt idx="55">
                  <c:v>-8.3081047517548204E-94</c:v>
                </c:pt>
                <c:pt idx="56">
                  <c:v>2.70858213164844E-93</c:v>
                </c:pt>
                <c:pt idx="57">
                  <c:v>-7.8934479355239396E-94</c:v>
                </c:pt>
                <c:pt idx="58">
                  <c:v>1.4695530436780901E-94</c:v>
                </c:pt>
                <c:pt idx="59">
                  <c:v>8.9517658263077697E-96</c:v>
                </c:pt>
                <c:pt idx="60">
                  <c:v>-1.6610218781429701E-95</c:v>
                </c:pt>
                <c:pt idx="61">
                  <c:v>7.9054308134763605E-96</c:v>
                </c:pt>
                <c:pt idx="62">
                  <c:v>1.96575088615588E-94</c:v>
                </c:pt>
                <c:pt idx="63">
                  <c:v>1.5266900776943099E-94</c:v>
                </c:pt>
                <c:pt idx="64">
                  <c:v>-1.2376176416133099E-94</c:v>
                </c:pt>
                <c:pt idx="65">
                  <c:v>-2.83064133562853E-95</c:v>
                </c:pt>
                <c:pt idx="66">
                  <c:v>1.97736676969327E-94</c:v>
                </c:pt>
                <c:pt idx="67">
                  <c:v>-6.3916596364783996E-95</c:v>
                </c:pt>
                <c:pt idx="68">
                  <c:v>-2.1702443316827599E-94</c:v>
                </c:pt>
                <c:pt idx="69">
                  <c:v>1.8590149537448101E-94</c:v>
                </c:pt>
                <c:pt idx="70">
                  <c:v>1.73231762644003E-94</c:v>
                </c:pt>
                <c:pt idx="71">
                  <c:v>-3.1749355965515502E-94</c:v>
                </c:pt>
                <c:pt idx="72">
                  <c:v>-5.2748151375373597E-95</c:v>
                </c:pt>
                <c:pt idx="73">
                  <c:v>4.1963768037015899E-94</c:v>
                </c:pt>
                <c:pt idx="74">
                  <c:v>-1.48743961008613E-94</c:v>
                </c:pt>
                <c:pt idx="75">
                  <c:v>-4.2926633251682402E-94</c:v>
                </c:pt>
                <c:pt idx="76">
                  <c:v>4.1470660438930398E-94</c:v>
                </c:pt>
                <c:pt idx="77">
                  <c:v>-2.9728448844823298E-94</c:v>
                </c:pt>
                <c:pt idx="78">
                  <c:v>1.16230597519032E-94</c:v>
                </c:pt>
                <c:pt idx="79">
                  <c:v>-2.6896102784371699E-95</c:v>
                </c:pt>
                <c:pt idx="80">
                  <c:v>2.54601405709868E-96</c:v>
                </c:pt>
                <c:pt idx="81">
                  <c:v>2.9634617419603402E-100</c:v>
                </c:pt>
                <c:pt idx="82">
                  <c:v>-9.2010403409951406E-101</c:v>
                </c:pt>
                <c:pt idx="83">
                  <c:v>1.9578108223446101E-101</c:v>
                </c:pt>
                <c:pt idx="84">
                  <c:v>-2.56449512927377E-102</c:v>
                </c:pt>
                <c:pt idx="85">
                  <c:v>1.52312898658472E-103</c:v>
                </c:pt>
                <c:pt idx="86">
                  <c:v>7.5832394760688602E-107</c:v>
                </c:pt>
                <c:pt idx="87">
                  <c:v>-1.5633545339409499E-107</c:v>
                </c:pt>
                <c:pt idx="88">
                  <c:v>2.2853727430166199E-108</c:v>
                </c:pt>
                <c:pt idx="89">
                  <c:v>-2.10591757386279E-109</c:v>
                </c:pt>
                <c:pt idx="90">
                  <c:v>9.0783469019068805E-111</c:v>
                </c:pt>
                <c:pt idx="91">
                  <c:v>1.3009293920083501E-113</c:v>
                </c:pt>
                <c:pt idx="92">
                  <c:v>-2.01641547968789E-114</c:v>
                </c:pt>
                <c:pt idx="93">
                  <c:v>2.2483767194973E-115</c:v>
                </c:pt>
                <c:pt idx="94">
                  <c:v>-1.60012807935636E-116</c:v>
                </c:pt>
                <c:pt idx="95">
                  <c:v>5.3669893060946097E-118</c:v>
                </c:pt>
                <c:pt idx="96">
                  <c:v>1.7838801526454E-120</c:v>
                </c:pt>
                <c:pt idx="97">
                  <c:v>-2.2179449870081399E-121</c:v>
                </c:pt>
                <c:pt idx="98">
                  <c:v>1.99966439968668E-122</c:v>
                </c:pt>
                <c:pt idx="99">
                  <c:v>-1.15758386393814E-123</c:v>
                </c:pt>
              </c:numCache>
            </c:numRef>
          </c:yVal>
          <c:smooth val="0"/>
          <c:extLst>
            <c:ext xmlns:c16="http://schemas.microsoft.com/office/drawing/2014/chart" uri="{C3380CC4-5D6E-409C-BE32-E72D297353CC}">
              <c16:uniqueId val="{00000099-CF86-4C2E-BF49-1F263FBF5A1F}"/>
            </c:ext>
          </c:extLst>
        </c:ser>
        <c:ser>
          <c:idx val="154"/>
          <c:order val="154"/>
          <c:tx>
            <c:strRef>
              <c:f>dynamicR!$FH$19</c:f>
              <c:strCache>
                <c:ptCount val="1"/>
                <c:pt idx="0">
                  <c:v>sTP</c:v>
                </c:pt>
              </c:strCache>
            </c:strRef>
          </c:tx>
          <c:spPr>
            <a:ln w="19050" cap="rnd">
              <a:solidFill>
                <a:schemeClr val="accent5">
                  <a:lumMod val="70000"/>
                </a:schemeClr>
              </a:solidFill>
              <a:round/>
            </a:ln>
            <a:effectLst/>
          </c:spPr>
          <c:marker>
            <c:symbol val="none"/>
          </c:marker>
          <c:xVal>
            <c:numRef>
              <c:f>dynamicR!$I$20:$I$119</c:f>
              <c:numCache>
                <c:formatCode>0.00</c:formatCode>
                <c:ptCount val="100"/>
                <c:pt idx="0">
                  <c:v>0</c:v>
                </c:pt>
                <c:pt idx="1">
                  <c:v>83758.906624272204</c:v>
                </c:pt>
                <c:pt idx="2">
                  <c:v>167517.813248544</c:v>
                </c:pt>
                <c:pt idx="3">
                  <c:v>251276.71987281699</c:v>
                </c:pt>
                <c:pt idx="4">
                  <c:v>335035.62649708899</c:v>
                </c:pt>
                <c:pt idx="5">
                  <c:v>418794.53312136099</c:v>
                </c:pt>
                <c:pt idx="6">
                  <c:v>502553.43974563299</c:v>
                </c:pt>
                <c:pt idx="7">
                  <c:v>586312.34636990598</c:v>
                </c:pt>
                <c:pt idx="8">
                  <c:v>670071.25299417798</c:v>
                </c:pt>
                <c:pt idx="9">
                  <c:v>753830.15961844998</c:v>
                </c:pt>
                <c:pt idx="10">
                  <c:v>837589.06624272198</c:v>
                </c:pt>
                <c:pt idx="11">
                  <c:v>921347.97286699503</c:v>
                </c:pt>
                <c:pt idx="12">
                  <c:v>1005106.8794912701</c:v>
                </c:pt>
                <c:pt idx="13">
                  <c:v>1088865.78611554</c:v>
                </c:pt>
                <c:pt idx="14">
                  <c:v>1172624.6927398101</c:v>
                </c:pt>
                <c:pt idx="15">
                  <c:v>1256383.59936408</c:v>
                </c:pt>
                <c:pt idx="16">
                  <c:v>1340142.5059883599</c:v>
                </c:pt>
                <c:pt idx="17">
                  <c:v>1423901.4126126301</c:v>
                </c:pt>
                <c:pt idx="18">
                  <c:v>1507660.3192369</c:v>
                </c:pt>
                <c:pt idx="19">
                  <c:v>1591419.2258611701</c:v>
                </c:pt>
                <c:pt idx="20">
                  <c:v>1675178.13248544</c:v>
                </c:pt>
                <c:pt idx="21">
                  <c:v>1758937.0391097199</c:v>
                </c:pt>
                <c:pt idx="22">
                  <c:v>1842695.9457339901</c:v>
                </c:pt>
                <c:pt idx="23">
                  <c:v>1926454.85235826</c:v>
                </c:pt>
                <c:pt idx="24">
                  <c:v>2010213.7589825301</c:v>
                </c:pt>
                <c:pt idx="25">
                  <c:v>2093972.66560681</c:v>
                </c:pt>
                <c:pt idx="26">
                  <c:v>2177731.5722310799</c:v>
                </c:pt>
                <c:pt idx="27">
                  <c:v>2261490.4788553501</c:v>
                </c:pt>
                <c:pt idx="28">
                  <c:v>2345249.3854796202</c:v>
                </c:pt>
                <c:pt idx="29">
                  <c:v>2429008.2921038899</c:v>
                </c:pt>
                <c:pt idx="30">
                  <c:v>2512767.1987281698</c:v>
                </c:pt>
                <c:pt idx="31">
                  <c:v>2596526.1053524399</c:v>
                </c:pt>
                <c:pt idx="32">
                  <c:v>2680285.0119767101</c:v>
                </c:pt>
                <c:pt idx="33">
                  <c:v>2764043.9186009802</c:v>
                </c:pt>
                <c:pt idx="34">
                  <c:v>2847802.8252252601</c:v>
                </c:pt>
                <c:pt idx="35">
                  <c:v>2931561.7318495298</c:v>
                </c:pt>
                <c:pt idx="36">
                  <c:v>3015320.6384737999</c:v>
                </c:pt>
                <c:pt idx="37">
                  <c:v>3099079.5450980701</c:v>
                </c:pt>
                <c:pt idx="38">
                  <c:v>3182838.4517223402</c:v>
                </c:pt>
                <c:pt idx="39">
                  <c:v>3266597.3583466201</c:v>
                </c:pt>
                <c:pt idx="40">
                  <c:v>3350356.2649708898</c:v>
                </c:pt>
                <c:pt idx="41">
                  <c:v>3434115.1715951599</c:v>
                </c:pt>
                <c:pt idx="42">
                  <c:v>3517874.0782194301</c:v>
                </c:pt>
                <c:pt idx="43">
                  <c:v>3601632.98484371</c:v>
                </c:pt>
                <c:pt idx="44">
                  <c:v>3685391.8914679801</c:v>
                </c:pt>
                <c:pt idx="45">
                  <c:v>3769150.7980922498</c:v>
                </c:pt>
                <c:pt idx="46">
                  <c:v>3852909.7047165199</c:v>
                </c:pt>
                <c:pt idx="47">
                  <c:v>3936668.6113407901</c:v>
                </c:pt>
                <c:pt idx="48">
                  <c:v>4020427.51796507</c:v>
                </c:pt>
                <c:pt idx="49">
                  <c:v>4104186.4245893401</c:v>
                </c:pt>
                <c:pt idx="50">
                  <c:v>4104186.4245893401</c:v>
                </c:pt>
                <c:pt idx="51">
                  <c:v>4187945.3312136098</c:v>
                </c:pt>
                <c:pt idx="52">
                  <c:v>4271704.2378378799</c:v>
                </c:pt>
                <c:pt idx="53">
                  <c:v>4355463.1444621598</c:v>
                </c:pt>
                <c:pt idx="54">
                  <c:v>4439222.0510864304</c:v>
                </c:pt>
                <c:pt idx="55">
                  <c:v>4522980.9577107001</c:v>
                </c:pt>
                <c:pt idx="56">
                  <c:v>4606739.8643349698</c:v>
                </c:pt>
                <c:pt idx="57">
                  <c:v>4690498.7709592497</c:v>
                </c:pt>
                <c:pt idx="58">
                  <c:v>4774257.6775835203</c:v>
                </c:pt>
                <c:pt idx="59">
                  <c:v>4858016.58420779</c:v>
                </c:pt>
                <c:pt idx="60">
                  <c:v>4941775.4908320596</c:v>
                </c:pt>
                <c:pt idx="61">
                  <c:v>5025534.3974563302</c:v>
                </c:pt>
                <c:pt idx="62">
                  <c:v>5109293.3040806102</c:v>
                </c:pt>
                <c:pt idx="63">
                  <c:v>5193052.2107048798</c:v>
                </c:pt>
                <c:pt idx="64">
                  <c:v>5276811.1173291504</c:v>
                </c:pt>
                <c:pt idx="65">
                  <c:v>5360570.0239534201</c:v>
                </c:pt>
                <c:pt idx="66">
                  <c:v>5444328.9305777</c:v>
                </c:pt>
                <c:pt idx="67">
                  <c:v>5528087.8372019697</c:v>
                </c:pt>
                <c:pt idx="68">
                  <c:v>5611846.7438262403</c:v>
                </c:pt>
                <c:pt idx="69">
                  <c:v>5695605.65045051</c:v>
                </c:pt>
                <c:pt idx="70">
                  <c:v>5779364.5570747796</c:v>
                </c:pt>
                <c:pt idx="71">
                  <c:v>5863123.4636990502</c:v>
                </c:pt>
                <c:pt idx="72">
                  <c:v>5946882.3703233302</c:v>
                </c:pt>
                <c:pt idx="73">
                  <c:v>6030641.2769475998</c:v>
                </c:pt>
                <c:pt idx="74">
                  <c:v>6114400.1835718704</c:v>
                </c:pt>
                <c:pt idx="75">
                  <c:v>6198159.0901961401</c:v>
                </c:pt>
                <c:pt idx="76">
                  <c:v>6281917.99682042</c:v>
                </c:pt>
                <c:pt idx="77">
                  <c:v>6365676.9034446897</c:v>
                </c:pt>
                <c:pt idx="78">
                  <c:v>6449435.8100689603</c:v>
                </c:pt>
                <c:pt idx="79">
                  <c:v>6533194.71669323</c:v>
                </c:pt>
                <c:pt idx="80">
                  <c:v>6616953.6233175099</c:v>
                </c:pt>
                <c:pt idx="81">
                  <c:v>6700712.5299417796</c:v>
                </c:pt>
                <c:pt idx="82">
                  <c:v>6784471.4365660502</c:v>
                </c:pt>
                <c:pt idx="83">
                  <c:v>6868230.3431903198</c:v>
                </c:pt>
                <c:pt idx="84">
                  <c:v>6951989.2498145998</c:v>
                </c:pt>
                <c:pt idx="85">
                  <c:v>7035748.1564388704</c:v>
                </c:pt>
                <c:pt idx="86">
                  <c:v>7119507.06306314</c:v>
                </c:pt>
                <c:pt idx="87">
                  <c:v>7203265.9696874097</c:v>
                </c:pt>
                <c:pt idx="88">
                  <c:v>7287024.8763116803</c:v>
                </c:pt>
                <c:pt idx="89">
                  <c:v>7370783.7829359602</c:v>
                </c:pt>
                <c:pt idx="90">
                  <c:v>7454542.6895602299</c:v>
                </c:pt>
                <c:pt idx="91">
                  <c:v>7538301.5961844996</c:v>
                </c:pt>
                <c:pt idx="92">
                  <c:v>7622060.5028087702</c:v>
                </c:pt>
                <c:pt idx="93">
                  <c:v>7705819.4094330398</c:v>
                </c:pt>
                <c:pt idx="94">
                  <c:v>7789578.3160573198</c:v>
                </c:pt>
                <c:pt idx="95">
                  <c:v>7873337.2226815904</c:v>
                </c:pt>
                <c:pt idx="96">
                  <c:v>7957096.12930586</c:v>
                </c:pt>
                <c:pt idx="97">
                  <c:v>8040855.0359301297</c:v>
                </c:pt>
                <c:pt idx="98">
                  <c:v>8124613.9425544096</c:v>
                </c:pt>
                <c:pt idx="99">
                  <c:v>8208372.8491786802</c:v>
                </c:pt>
              </c:numCache>
            </c:numRef>
          </c:xVal>
          <c:yVal>
            <c:numRef>
              <c:f>dynamicR!$FH$20:$FH$119</c:f>
              <c:numCache>
                <c:formatCode>0.00</c:formatCode>
                <c:ptCount val="100"/>
                <c:pt idx="0">
                  <c:v>0</c:v>
                </c:pt>
                <c:pt idx="1">
                  <c:v>0.999999999999999</c:v>
                </c:pt>
                <c:pt idx="2">
                  <c:v>0.999999999999996</c:v>
                </c:pt>
                <c:pt idx="3">
                  <c:v>0.999999999999994</c:v>
                </c:pt>
                <c:pt idx="4">
                  <c:v>0.999999999999999</c:v>
                </c:pt>
                <c:pt idx="5">
                  <c:v>1</c:v>
                </c:pt>
                <c:pt idx="6">
                  <c:v>1</c:v>
                </c:pt>
                <c:pt idx="7">
                  <c:v>1</c:v>
                </c:pt>
                <c:pt idx="8">
                  <c:v>1</c:v>
                </c:pt>
                <c:pt idx="9">
                  <c:v>1</c:v>
                </c:pt>
                <c:pt idx="10">
                  <c:v>0.999999999999999</c:v>
                </c:pt>
                <c:pt idx="11">
                  <c:v>1</c:v>
                </c:pt>
                <c:pt idx="12">
                  <c:v>1</c:v>
                </c:pt>
                <c:pt idx="13">
                  <c:v>0.999999999999999</c:v>
                </c:pt>
                <c:pt idx="14">
                  <c:v>1</c:v>
                </c:pt>
                <c:pt idx="15">
                  <c:v>1</c:v>
                </c:pt>
                <c:pt idx="16">
                  <c:v>0.999999999999999</c:v>
                </c:pt>
                <c:pt idx="17">
                  <c:v>0.999999999999999</c:v>
                </c:pt>
                <c:pt idx="18">
                  <c:v>1</c:v>
                </c:pt>
                <c:pt idx="19">
                  <c:v>1</c:v>
                </c:pt>
                <c:pt idx="20">
                  <c:v>0.999999999999997</c:v>
                </c:pt>
                <c:pt idx="21">
                  <c:v>1</c:v>
                </c:pt>
                <c:pt idx="22">
                  <c:v>1</c:v>
                </c:pt>
                <c:pt idx="23">
                  <c:v>0.999999999999998</c:v>
                </c:pt>
                <c:pt idx="24">
                  <c:v>1</c:v>
                </c:pt>
                <c:pt idx="25">
                  <c:v>0.999999999999999</c:v>
                </c:pt>
                <c:pt idx="26">
                  <c:v>1</c:v>
                </c:pt>
                <c:pt idx="27">
                  <c:v>1</c:v>
                </c:pt>
                <c:pt idx="28">
                  <c:v>1</c:v>
                </c:pt>
                <c:pt idx="29">
                  <c:v>0.999999999999999</c:v>
                </c:pt>
                <c:pt idx="30">
                  <c:v>1</c:v>
                </c:pt>
                <c:pt idx="31">
                  <c:v>1</c:v>
                </c:pt>
                <c:pt idx="32">
                  <c:v>1</c:v>
                </c:pt>
                <c:pt idx="33">
                  <c:v>1</c:v>
                </c:pt>
                <c:pt idx="34">
                  <c:v>0.999999999999999</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2.1729140676634901E-89</c:v>
                </c:pt>
                <c:pt idx="52">
                  <c:v>-5.2345916359628998E-91</c:v>
                </c:pt>
                <c:pt idx="53">
                  <c:v>1.7728419742275001E-90</c:v>
                </c:pt>
                <c:pt idx="54">
                  <c:v>-2.33127255138957E-89</c:v>
                </c:pt>
                <c:pt idx="55">
                  <c:v>1.4675907605139899E-89</c:v>
                </c:pt>
                <c:pt idx="56">
                  <c:v>-4.7845926708195698E-89</c:v>
                </c:pt>
                <c:pt idx="57">
                  <c:v>1.3943420909437201E-89</c:v>
                </c:pt>
                <c:pt idx="58">
                  <c:v>-2.5958926025059399E-90</c:v>
                </c:pt>
                <c:pt idx="59">
                  <c:v>-1.5813225019390799E-91</c:v>
                </c:pt>
                <c:pt idx="60">
                  <c:v>2.9341510667156303E-91</c:v>
                </c:pt>
                <c:pt idx="61">
                  <c:v>-1.3964085099574401E-91</c:v>
                </c:pt>
                <c:pt idx="62">
                  <c:v>-3.4724131561449601E-90</c:v>
                </c:pt>
                <c:pt idx="63">
                  <c:v>-2.6968298742132402E-90</c:v>
                </c:pt>
                <c:pt idx="64">
                  <c:v>2.1862021805174901E-90</c:v>
                </c:pt>
                <c:pt idx="65">
                  <c:v>5.0001942418395302E-91</c:v>
                </c:pt>
                <c:pt idx="66">
                  <c:v>-3.4929358226803899E-90</c:v>
                </c:pt>
                <c:pt idx="67">
                  <c:v>1.1290614174687999E-90</c:v>
                </c:pt>
                <c:pt idx="68">
                  <c:v>3.8336446283242799E-90</c:v>
                </c:pt>
                <c:pt idx="69">
                  <c:v>-3.28387263778529E-90</c:v>
                </c:pt>
                <c:pt idx="70">
                  <c:v>-3.06006490245232E-90</c:v>
                </c:pt>
                <c:pt idx="71">
                  <c:v>5.6083895491979197E-90</c:v>
                </c:pt>
                <c:pt idx="72">
                  <c:v>9.3177314758679697E-91</c:v>
                </c:pt>
                <c:pt idx="73">
                  <c:v>-7.4127208198638996E-90</c:v>
                </c:pt>
                <c:pt idx="74">
                  <c:v>2.6274980598024399E-90</c:v>
                </c:pt>
                <c:pt idx="75">
                  <c:v>7.5828062973223498E-90</c:v>
                </c:pt>
                <c:pt idx="76">
                  <c:v>-7.3256133917458602E-90</c:v>
                </c:pt>
                <c:pt idx="77">
                  <c:v>5.2513987032146003E-90</c:v>
                </c:pt>
                <c:pt idx="78">
                  <c:v>-2.05315715818051E-90</c:v>
                </c:pt>
                <c:pt idx="79">
                  <c:v>4.7510269122271701E-91</c:v>
                </c:pt>
                <c:pt idx="80">
                  <c:v>-4.4971039291640901E-92</c:v>
                </c:pt>
                <c:pt idx="81">
                  <c:v>-6.6150947309576703E-96</c:v>
                </c:pt>
                <c:pt idx="82">
                  <c:v>2.0538627813549302E-96</c:v>
                </c:pt>
                <c:pt idx="83">
                  <c:v>-4.3701742633166398E-97</c:v>
                </c:pt>
                <c:pt idx="84">
                  <c:v>5.7240717388004698E-98</c:v>
                </c:pt>
                <c:pt idx="85">
                  <c:v>-3.39833883735012E-99</c:v>
                </c:pt>
                <c:pt idx="86">
                  <c:v>-2.1390458595336999E-102</c:v>
                </c:pt>
                <c:pt idx="87">
                  <c:v>4.40976515286717E-103</c:v>
                </c:pt>
                <c:pt idx="88">
                  <c:v>-6.44599638651841E-104</c:v>
                </c:pt>
                <c:pt idx="89">
                  <c:v>5.9385076878170001E-105</c:v>
                </c:pt>
                <c:pt idx="90">
                  <c:v>-2.5560434230006498E-106</c:v>
                </c:pt>
                <c:pt idx="91">
                  <c:v>-4.6370565165483E-109</c:v>
                </c:pt>
                <c:pt idx="92">
                  <c:v>7.1869354120462001E-110</c:v>
                </c:pt>
                <c:pt idx="93">
                  <c:v>-8.0123707133525907E-111</c:v>
                </c:pt>
                <c:pt idx="94">
                  <c:v>5.69856920290821E-112</c:v>
                </c:pt>
                <c:pt idx="95">
                  <c:v>-1.90267910875653E-113</c:v>
                </c:pt>
                <c:pt idx="96">
                  <c:v>-8.0345360021229899E-116</c:v>
                </c:pt>
                <c:pt idx="97">
                  <c:v>9.9882095780826096E-117</c:v>
                </c:pt>
                <c:pt idx="98">
                  <c:v>-9.0016668582029007E-118</c:v>
                </c:pt>
                <c:pt idx="99">
                  <c:v>5.20287742757321E-119</c:v>
                </c:pt>
              </c:numCache>
            </c:numRef>
          </c:yVal>
          <c:smooth val="0"/>
          <c:extLst>
            <c:ext xmlns:c16="http://schemas.microsoft.com/office/drawing/2014/chart" uri="{C3380CC4-5D6E-409C-BE32-E72D297353CC}">
              <c16:uniqueId val="{0000009A-CF86-4C2E-BF49-1F263FBF5A1F}"/>
            </c:ext>
          </c:extLst>
        </c:ser>
        <c:dLbls>
          <c:showLegendKey val="0"/>
          <c:showVal val="0"/>
          <c:showCatName val="0"/>
          <c:showSerName val="0"/>
          <c:showPercent val="0"/>
          <c:showBubbleSize val="0"/>
        </c:dLbls>
        <c:axId val="167921152"/>
        <c:axId val="167923072"/>
      </c:scatterChart>
      <c:valAx>
        <c:axId val="167921152"/>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23072"/>
        <c:crosses val="autoZero"/>
        <c:crossBetween val="midCat"/>
      </c:valAx>
      <c:valAx>
        <c:axId val="167923072"/>
        <c:scaling>
          <c:orientation val="minMax"/>
          <c:max val="1.0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steady state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211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57195975503061"/>
          <c:y val="0.15776647710702829"/>
          <c:w val="0.69912357830271221"/>
          <c:h val="0.68921660834062404"/>
        </c:manualLayout>
      </c:layout>
      <c:barChart>
        <c:barDir val="col"/>
        <c:grouping val="clustered"/>
        <c:varyColors val="0"/>
        <c:ser>
          <c:idx val="0"/>
          <c:order val="0"/>
          <c:tx>
            <c:strRef>
              <c:f>extra_ENP_mass_output!$P$21</c:f>
              <c:strCache>
                <c:ptCount val="1"/>
                <c:pt idx="0">
                  <c:v>Total </c:v>
                </c:pt>
              </c:strCache>
            </c:strRef>
          </c:tx>
          <c:invertIfNegative val="0"/>
          <c:dPt>
            <c:idx val="0"/>
            <c:invertIfNegative val="0"/>
            <c:bubble3D val="0"/>
            <c:spPr>
              <a:solidFill>
                <a:schemeClr val="bg1"/>
              </a:solidFill>
              <a:ln>
                <a:solidFill>
                  <a:schemeClr val="tx1"/>
                </a:solidFill>
              </a:ln>
            </c:spPr>
            <c:extLst>
              <c:ext xmlns:c16="http://schemas.microsoft.com/office/drawing/2014/chart" uri="{C3380CC4-5D6E-409C-BE32-E72D297353CC}">
                <c16:uniqueId val="{00000001-E27E-4857-AC50-C05410618FBB}"/>
              </c:ext>
            </c:extLst>
          </c:dPt>
          <c:dPt>
            <c:idx val="1"/>
            <c:invertIfNegative val="0"/>
            <c:bubble3D val="0"/>
            <c:spPr>
              <a:solidFill>
                <a:schemeClr val="bg1">
                  <a:lumMod val="65000"/>
                </a:schemeClr>
              </a:solidFill>
              <a:ln>
                <a:solidFill>
                  <a:schemeClr val="tx1"/>
                </a:solidFill>
              </a:ln>
            </c:spPr>
            <c:extLst>
              <c:ext xmlns:c16="http://schemas.microsoft.com/office/drawing/2014/chart" uri="{C3380CC4-5D6E-409C-BE32-E72D297353CC}">
                <c16:uniqueId val="{00000003-E27E-4857-AC50-C05410618FBB}"/>
              </c:ext>
            </c:extLst>
          </c:dPt>
          <c:dPt>
            <c:idx val="2"/>
            <c:invertIfNegative val="0"/>
            <c:bubble3D val="0"/>
            <c:spPr>
              <a:solidFill>
                <a:schemeClr val="tx1"/>
              </a:solidFill>
              <a:ln>
                <a:solidFill>
                  <a:schemeClr val="tx1"/>
                </a:solidFill>
              </a:ln>
            </c:spPr>
            <c:extLst>
              <c:ext xmlns:c16="http://schemas.microsoft.com/office/drawing/2014/chart" uri="{C3380CC4-5D6E-409C-BE32-E72D297353CC}">
                <c16:uniqueId val="{00000005-E27E-4857-AC50-C05410618FBB}"/>
              </c:ext>
            </c:extLst>
          </c:dPt>
          <c:cat>
            <c:strRef>
              <c:f>extra_ENP_mass_output!$Q$20:$S$20</c:f>
              <c:strCache>
                <c:ptCount val="3"/>
                <c:pt idx="0">
                  <c:v>Regional</c:v>
                </c:pt>
                <c:pt idx="1">
                  <c:v>Continental</c:v>
                </c:pt>
                <c:pt idx="2">
                  <c:v>Global</c:v>
                </c:pt>
              </c:strCache>
            </c:strRef>
          </c:cat>
          <c:val>
            <c:numRef>
              <c:f>extra_ENP_mass_output!$Q$21:$S$21</c:f>
              <c:numCache>
                <c:formatCode>0.00E+00</c:formatCode>
                <c:ptCount val="3"/>
                <c:pt idx="0">
                  <c:v>16545535252.153032</c:v>
                </c:pt>
                <c:pt idx="1">
                  <c:v>32791996291.117546</c:v>
                </c:pt>
                <c:pt idx="2">
                  <c:v>21372307839554.586</c:v>
                </c:pt>
              </c:numCache>
            </c:numRef>
          </c:val>
          <c:extLst>
            <c:ext xmlns:c16="http://schemas.microsoft.com/office/drawing/2014/chart" uri="{C3380CC4-5D6E-409C-BE32-E72D297353CC}">
              <c16:uniqueId val="{00000006-E27E-4857-AC50-C05410618FBB}"/>
            </c:ext>
          </c:extLst>
        </c:ser>
        <c:dLbls>
          <c:showLegendKey val="0"/>
          <c:showVal val="0"/>
          <c:showCatName val="0"/>
          <c:showSerName val="0"/>
          <c:showPercent val="0"/>
          <c:showBubbleSize val="0"/>
        </c:dLbls>
        <c:gapWidth val="218"/>
        <c:axId val="167676160"/>
        <c:axId val="167677952"/>
      </c:barChart>
      <c:catAx>
        <c:axId val="167676160"/>
        <c:scaling>
          <c:orientation val="minMax"/>
        </c:scaling>
        <c:delete val="0"/>
        <c:axPos val="b"/>
        <c:numFmt formatCode="General" sourceLinked="1"/>
        <c:majorTickMark val="out"/>
        <c:minorTickMark val="none"/>
        <c:tickLblPos val="nextTo"/>
        <c:crossAx val="167677952"/>
        <c:crosses val="autoZero"/>
        <c:auto val="1"/>
        <c:lblAlgn val="ctr"/>
        <c:lblOffset val="100"/>
        <c:noMultiLvlLbl val="0"/>
      </c:catAx>
      <c:valAx>
        <c:axId val="167677952"/>
        <c:scaling>
          <c:logBase val="10"/>
          <c:orientation val="minMax"/>
          <c:max val="1000000000000"/>
        </c:scaling>
        <c:delete val="0"/>
        <c:axPos val="l"/>
        <c:majorGridlines/>
        <c:title>
          <c:tx>
            <c:rich>
              <a:bodyPr rot="-5400000" vert="horz"/>
              <a:lstStyle/>
              <a:p>
                <a:pPr>
                  <a:defRPr/>
                </a:pPr>
                <a:r>
                  <a:rPr lang="en-US"/>
                  <a:t>Total</a:t>
                </a:r>
                <a:r>
                  <a:rPr lang="en-US" baseline="0"/>
                  <a:t> m</a:t>
                </a:r>
                <a:r>
                  <a:rPr lang="en-US"/>
                  <a:t>ass, (kg)</a:t>
                </a:r>
              </a:p>
            </c:rich>
          </c:tx>
          <c:layout>
            <c:manualLayout>
              <c:xMode val="edge"/>
              <c:yMode val="edge"/>
              <c:x val="2.2082239720034994E-3"/>
              <c:y val="0.29187700495771363"/>
            </c:manualLayout>
          </c:layout>
          <c:overlay val="0"/>
        </c:title>
        <c:numFmt formatCode="0.00E+00" sourceLinked="0"/>
        <c:majorTickMark val="out"/>
        <c:minorTickMark val="none"/>
        <c:tickLblPos val="nextTo"/>
        <c:crossAx val="167676160"/>
        <c:crosses val="autoZero"/>
        <c:crossBetween val="between"/>
        <c:majorUnit val="100"/>
      </c:valAx>
    </c:plotArea>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strRef>
              <c:f>extra_ENP_mass_output!$AF$3</c:f>
              <c:strCache>
                <c:ptCount val="1"/>
                <c:pt idx="0">
                  <c:v>G/D</c:v>
                </c:pt>
              </c:strCache>
            </c:strRef>
          </c:tx>
          <c:spPr>
            <a:solidFill>
              <a:srgbClr val="FEF0D9"/>
            </a:solidFill>
            <a:ln>
              <a:solidFill>
                <a:schemeClr val="tx1"/>
              </a:solidFill>
            </a:ln>
          </c:spPr>
          <c:invertIfNegative val="0"/>
          <c:cat>
            <c:strRef>
              <c:f>extra_ENP_mass_output!$AG$2:$AJ$2</c:f>
              <c:strCache>
                <c:ptCount val="4"/>
                <c:pt idx="0">
                  <c:v>Air</c:v>
                </c:pt>
                <c:pt idx="1">
                  <c:v>Water</c:v>
                </c:pt>
                <c:pt idx="2">
                  <c:v>Sediment</c:v>
                </c:pt>
                <c:pt idx="3">
                  <c:v>Soil</c:v>
                </c:pt>
              </c:strCache>
            </c:strRef>
          </c:cat>
          <c:val>
            <c:numRef>
              <c:f>extra_ENP_mass_output!$AG$3:$AJ$3</c:f>
              <c:numCache>
                <c:formatCode>0.00E+00</c:formatCode>
                <c:ptCount val="4"/>
                <c:pt idx="0">
                  <c:v>0</c:v>
                </c:pt>
                <c:pt idx="1">
                  <c:v>0</c:v>
                </c:pt>
                <c:pt idx="2">
                  <c:v>0</c:v>
                </c:pt>
                <c:pt idx="3">
                  <c:v>0</c:v>
                </c:pt>
              </c:numCache>
            </c:numRef>
          </c:val>
          <c:extLst>
            <c:ext xmlns:c16="http://schemas.microsoft.com/office/drawing/2014/chart" uri="{C3380CC4-5D6E-409C-BE32-E72D297353CC}">
              <c16:uniqueId val="{00000000-1CF6-4086-A8A6-82AD3F1C73B7}"/>
            </c:ext>
          </c:extLst>
        </c:ser>
        <c:ser>
          <c:idx val="1"/>
          <c:order val="1"/>
          <c:tx>
            <c:strRef>
              <c:f>extra_ENP_mass_output!$AF$4</c:f>
              <c:strCache>
                <c:ptCount val="1"/>
                <c:pt idx="0">
                  <c:v>S</c:v>
                </c:pt>
              </c:strCache>
            </c:strRef>
          </c:tx>
          <c:spPr>
            <a:solidFill>
              <a:srgbClr val="FDCC8A"/>
            </a:solidFill>
            <a:ln>
              <a:solidFill>
                <a:schemeClr val="tx1"/>
              </a:solidFill>
            </a:ln>
          </c:spPr>
          <c:invertIfNegative val="0"/>
          <c:cat>
            <c:strRef>
              <c:f>extra_ENP_mass_output!$AG$2:$AJ$2</c:f>
              <c:strCache>
                <c:ptCount val="4"/>
                <c:pt idx="0">
                  <c:v>Air</c:v>
                </c:pt>
                <c:pt idx="1">
                  <c:v>Water</c:v>
                </c:pt>
                <c:pt idx="2">
                  <c:v>Sediment</c:v>
                </c:pt>
                <c:pt idx="3">
                  <c:v>Soil</c:v>
                </c:pt>
              </c:strCache>
            </c:strRef>
          </c:cat>
          <c:val>
            <c:numRef>
              <c:f>extra_ENP_mass_output!$AG$4:$AJ$4</c:f>
              <c:numCache>
                <c:formatCode>0.00E+00</c:formatCode>
                <c:ptCount val="4"/>
                <c:pt idx="0">
                  <c:v>9690.1971073752156</c:v>
                </c:pt>
                <c:pt idx="1">
                  <c:v>1694.115722694346</c:v>
                </c:pt>
                <c:pt idx="2">
                  <c:v>7.3329381595783525E-4</c:v>
                </c:pt>
                <c:pt idx="3">
                  <c:v>16.237202955990579</c:v>
                </c:pt>
              </c:numCache>
            </c:numRef>
          </c:val>
          <c:extLst>
            <c:ext xmlns:c16="http://schemas.microsoft.com/office/drawing/2014/chart" uri="{C3380CC4-5D6E-409C-BE32-E72D297353CC}">
              <c16:uniqueId val="{00000001-1CF6-4086-A8A6-82AD3F1C73B7}"/>
            </c:ext>
          </c:extLst>
        </c:ser>
        <c:ser>
          <c:idx val="2"/>
          <c:order val="2"/>
          <c:tx>
            <c:strRef>
              <c:f>extra_ENP_mass_output!$AF$5</c:f>
              <c:strCache>
                <c:ptCount val="1"/>
                <c:pt idx="0">
                  <c:v>A</c:v>
                </c:pt>
              </c:strCache>
            </c:strRef>
          </c:tx>
          <c:spPr>
            <a:solidFill>
              <a:srgbClr val="FC8D59"/>
            </a:solidFill>
            <a:ln>
              <a:solidFill>
                <a:schemeClr val="tx1"/>
              </a:solidFill>
            </a:ln>
          </c:spPr>
          <c:invertIfNegative val="0"/>
          <c:cat>
            <c:strRef>
              <c:f>extra_ENP_mass_output!$AG$2:$AJ$2</c:f>
              <c:strCache>
                <c:ptCount val="4"/>
                <c:pt idx="0">
                  <c:v>Air</c:v>
                </c:pt>
                <c:pt idx="1">
                  <c:v>Water</c:v>
                </c:pt>
                <c:pt idx="2">
                  <c:v>Sediment</c:v>
                </c:pt>
                <c:pt idx="3">
                  <c:v>Soil</c:v>
                </c:pt>
              </c:strCache>
            </c:strRef>
          </c:cat>
          <c:val>
            <c:numRef>
              <c:f>extra_ENP_mass_output!$AG$5:$AJ$5</c:f>
              <c:numCache>
                <c:formatCode>0.00E+00</c:formatCode>
                <c:ptCount val="4"/>
                <c:pt idx="0">
                  <c:v>24606.827009700963</c:v>
                </c:pt>
                <c:pt idx="1">
                  <c:v>15679728.718862168</c:v>
                </c:pt>
                <c:pt idx="2">
                  <c:v>5692832.5186264506</c:v>
                </c:pt>
                <c:pt idx="3">
                  <c:v>4054972.7086551082</c:v>
                </c:pt>
              </c:numCache>
            </c:numRef>
          </c:val>
          <c:extLst>
            <c:ext xmlns:c16="http://schemas.microsoft.com/office/drawing/2014/chart" uri="{C3380CC4-5D6E-409C-BE32-E72D297353CC}">
              <c16:uniqueId val="{00000002-1CF6-4086-A8A6-82AD3F1C73B7}"/>
            </c:ext>
          </c:extLst>
        </c:ser>
        <c:ser>
          <c:idx val="3"/>
          <c:order val="3"/>
          <c:tx>
            <c:strRef>
              <c:f>extra_ENP_mass_output!$AF$6</c:f>
              <c:strCache>
                <c:ptCount val="1"/>
                <c:pt idx="0">
                  <c:v>P</c:v>
                </c:pt>
              </c:strCache>
            </c:strRef>
          </c:tx>
          <c:spPr>
            <a:solidFill>
              <a:srgbClr val="D7301F"/>
            </a:solidFill>
            <a:ln>
              <a:solidFill>
                <a:schemeClr val="tx1"/>
              </a:solidFill>
            </a:ln>
          </c:spPr>
          <c:invertIfNegative val="0"/>
          <c:cat>
            <c:strRef>
              <c:f>extra_ENP_mass_output!$AG$2:$AJ$2</c:f>
              <c:strCache>
                <c:ptCount val="4"/>
                <c:pt idx="0">
                  <c:v>Air</c:v>
                </c:pt>
                <c:pt idx="1">
                  <c:v>Water</c:v>
                </c:pt>
                <c:pt idx="2">
                  <c:v>Sediment</c:v>
                </c:pt>
                <c:pt idx="3">
                  <c:v>Soil</c:v>
                </c:pt>
              </c:strCache>
            </c:strRef>
          </c:cat>
          <c:val>
            <c:numRef>
              <c:f>extra_ENP_mass_output!$AG$6:$AJ$6</c:f>
              <c:numCache>
                <c:formatCode>0.00E+00</c:formatCode>
                <c:ptCount val="4"/>
                <c:pt idx="0">
                  <c:v>9.8207059229520564</c:v>
                </c:pt>
                <c:pt idx="1">
                  <c:v>143630.88850939719</c:v>
                </c:pt>
                <c:pt idx="2">
                  <c:v>42509932.450035483</c:v>
                </c:pt>
                <c:pt idx="3">
                  <c:v>16477418137.669863</c:v>
                </c:pt>
              </c:numCache>
            </c:numRef>
          </c:val>
          <c:extLst>
            <c:ext xmlns:c16="http://schemas.microsoft.com/office/drawing/2014/chart" uri="{C3380CC4-5D6E-409C-BE32-E72D297353CC}">
              <c16:uniqueId val="{00000003-1CF6-4086-A8A6-82AD3F1C73B7}"/>
            </c:ext>
          </c:extLst>
        </c:ser>
        <c:dLbls>
          <c:showLegendKey val="0"/>
          <c:showVal val="0"/>
          <c:showCatName val="0"/>
          <c:showSerName val="0"/>
          <c:showPercent val="0"/>
          <c:showBubbleSize val="0"/>
        </c:dLbls>
        <c:gapWidth val="150"/>
        <c:overlap val="100"/>
        <c:axId val="174005632"/>
        <c:axId val="174007424"/>
      </c:barChart>
      <c:catAx>
        <c:axId val="174005632"/>
        <c:scaling>
          <c:orientation val="minMax"/>
        </c:scaling>
        <c:delete val="0"/>
        <c:axPos val="b"/>
        <c:numFmt formatCode="General" sourceLinked="1"/>
        <c:majorTickMark val="out"/>
        <c:minorTickMark val="none"/>
        <c:tickLblPos val="nextTo"/>
        <c:crossAx val="174007424"/>
        <c:crosses val="autoZero"/>
        <c:auto val="1"/>
        <c:lblAlgn val="ctr"/>
        <c:lblOffset val="100"/>
        <c:noMultiLvlLbl val="0"/>
      </c:catAx>
      <c:valAx>
        <c:axId val="174007424"/>
        <c:scaling>
          <c:orientation val="minMax"/>
          <c:min val="0"/>
        </c:scaling>
        <c:delete val="0"/>
        <c:axPos val="l"/>
        <c:majorGridlines/>
        <c:title>
          <c:tx>
            <c:rich>
              <a:bodyPr rot="-5400000" vert="horz"/>
              <a:lstStyle/>
              <a:p>
                <a:pPr>
                  <a:defRPr/>
                </a:pPr>
                <a:r>
                  <a:rPr lang="en-US"/>
                  <a:t>Mass fraction species</a:t>
                </a:r>
              </a:p>
            </c:rich>
          </c:tx>
          <c:layout>
            <c:manualLayout>
              <c:xMode val="edge"/>
              <c:yMode val="edge"/>
              <c:x val="6.6006600660066007E-3"/>
              <c:y val="0.14872742010189902"/>
            </c:manualLayout>
          </c:layout>
          <c:overlay val="0"/>
        </c:title>
        <c:numFmt formatCode="0%" sourceLinked="1"/>
        <c:majorTickMark val="out"/>
        <c:minorTickMark val="none"/>
        <c:tickLblPos val="nextTo"/>
        <c:crossAx val="17400563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371062992125984"/>
          <c:y val="5.1400554097404488E-2"/>
          <c:w val="0.75581846019247589"/>
          <c:h val="0.8326195683872849"/>
        </c:manualLayout>
      </c:layout>
      <c:barChart>
        <c:barDir val="col"/>
        <c:grouping val="percentStacked"/>
        <c:varyColors val="0"/>
        <c:ser>
          <c:idx val="0"/>
          <c:order val="0"/>
          <c:tx>
            <c:strRef>
              <c:f>extra_ENP_mass_output!$AF$35</c:f>
              <c:strCache>
                <c:ptCount val="1"/>
                <c:pt idx="0">
                  <c:v>S</c:v>
                </c:pt>
              </c:strCache>
            </c:strRef>
          </c:tx>
          <c:spPr>
            <a:solidFill>
              <a:srgbClr val="FDCC8A"/>
            </a:solidFill>
            <a:ln>
              <a:solidFill>
                <a:schemeClr val="tx1"/>
              </a:solidFill>
            </a:ln>
          </c:spPr>
          <c:invertIfNegative val="0"/>
          <c:cat>
            <c:strRef>
              <c:f>extra_ENP_mass_output!$AG$34:$AJ$34</c:f>
              <c:strCache>
                <c:ptCount val="4"/>
                <c:pt idx="0">
                  <c:v>Air</c:v>
                </c:pt>
                <c:pt idx="1">
                  <c:v>Water</c:v>
                </c:pt>
                <c:pt idx="2">
                  <c:v>Sediment</c:v>
                </c:pt>
                <c:pt idx="3">
                  <c:v>Soil</c:v>
                </c:pt>
              </c:strCache>
            </c:strRef>
          </c:cat>
          <c:val>
            <c:numRef>
              <c:f>extra_ENP_mass_output!$AG$35:$AJ$35</c:f>
              <c:numCache>
                <c:formatCode>0.00E+00</c:formatCode>
                <c:ptCount val="4"/>
                <c:pt idx="0">
                  <c:v>9690.1971073752156</c:v>
                </c:pt>
                <c:pt idx="1">
                  <c:v>1694.115722694346</c:v>
                </c:pt>
                <c:pt idx="2">
                  <c:v>7.3329381595783525E-4</c:v>
                </c:pt>
                <c:pt idx="3">
                  <c:v>16.237202955990579</c:v>
                </c:pt>
              </c:numCache>
            </c:numRef>
          </c:val>
          <c:extLst>
            <c:ext xmlns:c16="http://schemas.microsoft.com/office/drawing/2014/chart" uri="{C3380CC4-5D6E-409C-BE32-E72D297353CC}">
              <c16:uniqueId val="{00000000-0CAF-438F-BEBE-02E62AED3F05}"/>
            </c:ext>
          </c:extLst>
        </c:ser>
        <c:ser>
          <c:idx val="1"/>
          <c:order val="1"/>
          <c:tx>
            <c:strRef>
              <c:f>extra_ENP_mass_output!$AF$36</c:f>
              <c:strCache>
                <c:ptCount val="1"/>
                <c:pt idx="0">
                  <c:v>A</c:v>
                </c:pt>
              </c:strCache>
            </c:strRef>
          </c:tx>
          <c:spPr>
            <a:solidFill>
              <a:srgbClr val="FC8D59"/>
            </a:solidFill>
            <a:ln>
              <a:solidFill>
                <a:schemeClr val="tx1"/>
              </a:solidFill>
            </a:ln>
          </c:spPr>
          <c:invertIfNegative val="0"/>
          <c:cat>
            <c:strRef>
              <c:f>extra_ENP_mass_output!$AG$34:$AJ$34</c:f>
              <c:strCache>
                <c:ptCount val="4"/>
                <c:pt idx="0">
                  <c:v>Air</c:v>
                </c:pt>
                <c:pt idx="1">
                  <c:v>Water</c:v>
                </c:pt>
                <c:pt idx="2">
                  <c:v>Sediment</c:v>
                </c:pt>
                <c:pt idx="3">
                  <c:v>Soil</c:v>
                </c:pt>
              </c:strCache>
            </c:strRef>
          </c:cat>
          <c:val>
            <c:numRef>
              <c:f>extra_ENP_mass_output!$AG$36:$AJ$36</c:f>
              <c:numCache>
                <c:formatCode>0.00E+00</c:formatCode>
                <c:ptCount val="4"/>
                <c:pt idx="0">
                  <c:v>24606.827009700963</c:v>
                </c:pt>
                <c:pt idx="1">
                  <c:v>15679728.718862168</c:v>
                </c:pt>
                <c:pt idx="2">
                  <c:v>5692832.5186264506</c:v>
                </c:pt>
                <c:pt idx="3">
                  <c:v>4054972.7086551082</c:v>
                </c:pt>
              </c:numCache>
            </c:numRef>
          </c:val>
          <c:extLst>
            <c:ext xmlns:c16="http://schemas.microsoft.com/office/drawing/2014/chart" uri="{C3380CC4-5D6E-409C-BE32-E72D297353CC}">
              <c16:uniqueId val="{00000001-0CAF-438F-BEBE-02E62AED3F05}"/>
            </c:ext>
          </c:extLst>
        </c:ser>
        <c:ser>
          <c:idx val="2"/>
          <c:order val="2"/>
          <c:tx>
            <c:strRef>
              <c:f>extra_ENP_mass_output!$AF$37</c:f>
              <c:strCache>
                <c:ptCount val="1"/>
                <c:pt idx="0">
                  <c:v>P</c:v>
                </c:pt>
              </c:strCache>
            </c:strRef>
          </c:tx>
          <c:spPr>
            <a:solidFill>
              <a:srgbClr val="D7301F"/>
            </a:solidFill>
            <a:ln>
              <a:solidFill>
                <a:schemeClr val="tx1"/>
              </a:solidFill>
            </a:ln>
          </c:spPr>
          <c:invertIfNegative val="0"/>
          <c:cat>
            <c:strRef>
              <c:f>extra_ENP_mass_output!$AG$34:$AJ$34</c:f>
              <c:strCache>
                <c:ptCount val="4"/>
                <c:pt idx="0">
                  <c:v>Air</c:v>
                </c:pt>
                <c:pt idx="1">
                  <c:v>Water</c:v>
                </c:pt>
                <c:pt idx="2">
                  <c:v>Sediment</c:v>
                </c:pt>
                <c:pt idx="3">
                  <c:v>Soil</c:v>
                </c:pt>
              </c:strCache>
            </c:strRef>
          </c:cat>
          <c:val>
            <c:numRef>
              <c:f>extra_ENP_mass_output!$AG$37:$AJ$37</c:f>
              <c:numCache>
                <c:formatCode>0.00E+00</c:formatCode>
                <c:ptCount val="4"/>
                <c:pt idx="0">
                  <c:v>9.8207059229520564</c:v>
                </c:pt>
                <c:pt idx="1">
                  <c:v>143630.88850939719</c:v>
                </c:pt>
                <c:pt idx="2">
                  <c:v>42509932.450035483</c:v>
                </c:pt>
                <c:pt idx="3">
                  <c:v>16477418137.669863</c:v>
                </c:pt>
              </c:numCache>
            </c:numRef>
          </c:val>
          <c:extLst>
            <c:ext xmlns:c16="http://schemas.microsoft.com/office/drawing/2014/chart" uri="{C3380CC4-5D6E-409C-BE32-E72D297353CC}">
              <c16:uniqueId val="{00000002-0CAF-438F-BEBE-02E62AED3F05}"/>
            </c:ext>
          </c:extLst>
        </c:ser>
        <c:dLbls>
          <c:showLegendKey val="0"/>
          <c:showVal val="0"/>
          <c:showCatName val="0"/>
          <c:showSerName val="0"/>
          <c:showPercent val="0"/>
          <c:showBubbleSize val="0"/>
        </c:dLbls>
        <c:gapWidth val="150"/>
        <c:overlap val="100"/>
        <c:axId val="174051328"/>
        <c:axId val="174052864"/>
      </c:barChart>
      <c:catAx>
        <c:axId val="174051328"/>
        <c:scaling>
          <c:orientation val="minMax"/>
        </c:scaling>
        <c:delete val="0"/>
        <c:axPos val="b"/>
        <c:numFmt formatCode="General" sourceLinked="1"/>
        <c:majorTickMark val="out"/>
        <c:minorTickMark val="none"/>
        <c:tickLblPos val="nextTo"/>
        <c:crossAx val="174052864"/>
        <c:crosses val="autoZero"/>
        <c:auto val="1"/>
        <c:lblAlgn val="ctr"/>
        <c:lblOffset val="100"/>
        <c:noMultiLvlLbl val="0"/>
      </c:catAx>
      <c:valAx>
        <c:axId val="174052864"/>
        <c:scaling>
          <c:orientation val="minMax"/>
        </c:scaling>
        <c:delete val="0"/>
        <c:axPos val="l"/>
        <c:majorGridlines/>
        <c:title>
          <c:tx>
            <c:rich>
              <a:bodyPr rot="-5400000" vert="horz"/>
              <a:lstStyle/>
              <a:p>
                <a:pPr>
                  <a:defRPr/>
                </a:pPr>
                <a:r>
                  <a:rPr lang="en-US"/>
                  <a:t>Mass fraction species</a:t>
                </a:r>
              </a:p>
            </c:rich>
          </c:tx>
          <c:overlay val="0"/>
        </c:title>
        <c:numFmt formatCode="0%" sourceLinked="1"/>
        <c:majorTickMark val="out"/>
        <c:minorTickMark val="none"/>
        <c:tickLblPos val="nextTo"/>
        <c:crossAx val="17405132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749859625755734"/>
          <c:y val="9.0319242009642406E-2"/>
          <c:w val="0.6621880100808295"/>
          <c:h val="0.79123322350663616"/>
        </c:manualLayout>
      </c:layout>
      <c:barChart>
        <c:barDir val="col"/>
        <c:grouping val="percentStacked"/>
        <c:varyColors val="0"/>
        <c:ser>
          <c:idx val="0"/>
          <c:order val="0"/>
          <c:tx>
            <c:strRef>
              <c:f>extra_ENP_mass_output!$AF$8</c:f>
              <c:strCache>
                <c:ptCount val="1"/>
                <c:pt idx="0">
                  <c:v>G/D</c:v>
                </c:pt>
              </c:strCache>
            </c:strRef>
          </c:tx>
          <c:spPr>
            <a:solidFill>
              <a:srgbClr val="FEF0D9"/>
            </a:solidFill>
            <a:ln>
              <a:solidFill>
                <a:schemeClr val="tx1"/>
              </a:solidFill>
            </a:ln>
          </c:spPr>
          <c:invertIfNegative val="0"/>
          <c:cat>
            <c:strRef>
              <c:f>extra_ENP_mass_output!$AG$2:$AJ$2</c:f>
              <c:strCache>
                <c:ptCount val="4"/>
                <c:pt idx="0">
                  <c:v>Air</c:v>
                </c:pt>
                <c:pt idx="1">
                  <c:v>Water</c:v>
                </c:pt>
                <c:pt idx="2">
                  <c:v>Sediment</c:v>
                </c:pt>
                <c:pt idx="3">
                  <c:v>Soil</c:v>
                </c:pt>
              </c:strCache>
            </c:strRef>
          </c:cat>
          <c:val>
            <c:numRef>
              <c:f>extra_ENP_mass_output!$AG$8:$AJ$8</c:f>
              <c:numCache>
                <c:formatCode>0.00E+00</c:formatCode>
                <c:ptCount val="4"/>
                <c:pt idx="0">
                  <c:v>0</c:v>
                </c:pt>
                <c:pt idx="1">
                  <c:v>0</c:v>
                </c:pt>
                <c:pt idx="2">
                  <c:v>0</c:v>
                </c:pt>
                <c:pt idx="3">
                  <c:v>0</c:v>
                </c:pt>
              </c:numCache>
            </c:numRef>
          </c:val>
          <c:extLst>
            <c:ext xmlns:c16="http://schemas.microsoft.com/office/drawing/2014/chart" uri="{C3380CC4-5D6E-409C-BE32-E72D297353CC}">
              <c16:uniqueId val="{00000000-4A19-45AA-898F-D3E3C0315801}"/>
            </c:ext>
          </c:extLst>
        </c:ser>
        <c:ser>
          <c:idx val="1"/>
          <c:order val="1"/>
          <c:tx>
            <c:strRef>
              <c:f>extra_ENP_mass_output!$AF$9</c:f>
              <c:strCache>
                <c:ptCount val="1"/>
                <c:pt idx="0">
                  <c:v>S</c:v>
                </c:pt>
              </c:strCache>
            </c:strRef>
          </c:tx>
          <c:spPr>
            <a:solidFill>
              <a:srgbClr val="FDCC8A"/>
            </a:solidFill>
            <a:ln>
              <a:solidFill>
                <a:schemeClr val="tx1"/>
              </a:solidFill>
            </a:ln>
          </c:spPr>
          <c:invertIfNegative val="0"/>
          <c:cat>
            <c:strRef>
              <c:f>extra_ENP_mass_output!$AG$2:$AJ$2</c:f>
              <c:strCache>
                <c:ptCount val="4"/>
                <c:pt idx="0">
                  <c:v>Air</c:v>
                </c:pt>
                <c:pt idx="1">
                  <c:v>Water</c:v>
                </c:pt>
                <c:pt idx="2">
                  <c:v>Sediment</c:v>
                </c:pt>
                <c:pt idx="3">
                  <c:v>Soil</c:v>
                </c:pt>
              </c:strCache>
            </c:strRef>
          </c:cat>
          <c:val>
            <c:numRef>
              <c:f>extra_ENP_mass_output!$AG$9:$AJ$9</c:f>
              <c:numCache>
                <c:formatCode>0.00E+00</c:formatCode>
                <c:ptCount val="4"/>
                <c:pt idx="0">
                  <c:v>3498.1130415501457</c:v>
                </c:pt>
                <c:pt idx="1">
                  <c:v>5.3106040419321792</c:v>
                </c:pt>
                <c:pt idx="2">
                  <c:v>1.7638332302643699E-7</c:v>
                </c:pt>
                <c:pt idx="3">
                  <c:v>0.16044513298432969</c:v>
                </c:pt>
              </c:numCache>
            </c:numRef>
          </c:val>
          <c:extLst>
            <c:ext xmlns:c16="http://schemas.microsoft.com/office/drawing/2014/chart" uri="{C3380CC4-5D6E-409C-BE32-E72D297353CC}">
              <c16:uniqueId val="{00000001-4A19-45AA-898F-D3E3C0315801}"/>
            </c:ext>
          </c:extLst>
        </c:ser>
        <c:ser>
          <c:idx val="2"/>
          <c:order val="2"/>
          <c:tx>
            <c:strRef>
              <c:f>extra_ENP_mass_output!$AF$10</c:f>
              <c:strCache>
                <c:ptCount val="1"/>
                <c:pt idx="0">
                  <c:v>A</c:v>
                </c:pt>
              </c:strCache>
            </c:strRef>
          </c:tx>
          <c:spPr>
            <a:solidFill>
              <a:srgbClr val="FC8D59"/>
            </a:solidFill>
            <a:ln>
              <a:solidFill>
                <a:schemeClr val="tx1"/>
              </a:solidFill>
            </a:ln>
          </c:spPr>
          <c:invertIfNegative val="0"/>
          <c:cat>
            <c:strRef>
              <c:f>extra_ENP_mass_output!$AG$2:$AJ$2</c:f>
              <c:strCache>
                <c:ptCount val="4"/>
                <c:pt idx="0">
                  <c:v>Air</c:v>
                </c:pt>
                <c:pt idx="1">
                  <c:v>Water</c:v>
                </c:pt>
                <c:pt idx="2">
                  <c:v>Sediment</c:v>
                </c:pt>
                <c:pt idx="3">
                  <c:v>Soil</c:v>
                </c:pt>
              </c:strCache>
            </c:strRef>
          </c:cat>
          <c:val>
            <c:numRef>
              <c:f>extra_ENP_mass_output!$AG$10:$AJ$10</c:f>
              <c:numCache>
                <c:formatCode>0.00E+00</c:formatCode>
                <c:ptCount val="4"/>
                <c:pt idx="0">
                  <c:v>121528.11244655181</c:v>
                </c:pt>
                <c:pt idx="1">
                  <c:v>31842194409.873188</c:v>
                </c:pt>
                <c:pt idx="2">
                  <c:v>810709650.29964113</c:v>
                </c:pt>
                <c:pt idx="3">
                  <c:v>344250.84619184205</c:v>
                </c:pt>
              </c:numCache>
            </c:numRef>
          </c:val>
          <c:extLst>
            <c:ext xmlns:c16="http://schemas.microsoft.com/office/drawing/2014/chart" uri="{C3380CC4-5D6E-409C-BE32-E72D297353CC}">
              <c16:uniqueId val="{00000002-4A19-45AA-898F-D3E3C0315801}"/>
            </c:ext>
          </c:extLst>
        </c:ser>
        <c:ser>
          <c:idx val="3"/>
          <c:order val="3"/>
          <c:tx>
            <c:strRef>
              <c:f>extra_ENP_mass_output!$AF$11</c:f>
              <c:strCache>
                <c:ptCount val="1"/>
                <c:pt idx="0">
                  <c:v>P</c:v>
                </c:pt>
              </c:strCache>
            </c:strRef>
          </c:tx>
          <c:spPr>
            <a:solidFill>
              <a:srgbClr val="D7301F"/>
            </a:solidFill>
            <a:ln>
              <a:solidFill>
                <a:schemeClr val="tx1"/>
              </a:solidFill>
            </a:ln>
          </c:spPr>
          <c:invertIfNegative val="0"/>
          <c:cat>
            <c:strRef>
              <c:f>extra_ENP_mass_output!$AG$2:$AJ$2</c:f>
              <c:strCache>
                <c:ptCount val="4"/>
                <c:pt idx="0">
                  <c:v>Air</c:v>
                </c:pt>
                <c:pt idx="1">
                  <c:v>Water</c:v>
                </c:pt>
                <c:pt idx="2">
                  <c:v>Sediment</c:v>
                </c:pt>
                <c:pt idx="3">
                  <c:v>Soil</c:v>
                </c:pt>
              </c:strCache>
            </c:strRef>
          </c:cat>
          <c:val>
            <c:numRef>
              <c:f>extra_ENP_mass_output!$AG$11:$AJ$11</c:f>
              <c:numCache>
                <c:formatCode>0.00E+00</c:formatCode>
                <c:ptCount val="4"/>
                <c:pt idx="0">
                  <c:v>5.1029017265960102</c:v>
                </c:pt>
                <c:pt idx="1">
                  <c:v>436794.69384860701</c:v>
                </c:pt>
                <c:pt idx="2">
                  <c:v>6939352.2930355333</c:v>
                </c:pt>
                <c:pt idx="3">
                  <c:v>131246796.31219669</c:v>
                </c:pt>
              </c:numCache>
            </c:numRef>
          </c:val>
          <c:extLst>
            <c:ext xmlns:c16="http://schemas.microsoft.com/office/drawing/2014/chart" uri="{C3380CC4-5D6E-409C-BE32-E72D297353CC}">
              <c16:uniqueId val="{00000003-4A19-45AA-898F-D3E3C0315801}"/>
            </c:ext>
          </c:extLst>
        </c:ser>
        <c:dLbls>
          <c:showLegendKey val="0"/>
          <c:showVal val="0"/>
          <c:showCatName val="0"/>
          <c:showSerName val="0"/>
          <c:showPercent val="0"/>
          <c:showBubbleSize val="0"/>
        </c:dLbls>
        <c:gapWidth val="150"/>
        <c:overlap val="100"/>
        <c:axId val="174802432"/>
        <c:axId val="174803968"/>
      </c:barChart>
      <c:catAx>
        <c:axId val="174802432"/>
        <c:scaling>
          <c:orientation val="minMax"/>
        </c:scaling>
        <c:delete val="0"/>
        <c:axPos val="b"/>
        <c:numFmt formatCode="General" sourceLinked="1"/>
        <c:majorTickMark val="out"/>
        <c:minorTickMark val="none"/>
        <c:tickLblPos val="nextTo"/>
        <c:crossAx val="174803968"/>
        <c:crosses val="autoZero"/>
        <c:auto val="1"/>
        <c:lblAlgn val="ctr"/>
        <c:lblOffset val="100"/>
        <c:noMultiLvlLbl val="0"/>
      </c:catAx>
      <c:valAx>
        <c:axId val="174803968"/>
        <c:scaling>
          <c:orientation val="minMax"/>
          <c:min val="0"/>
        </c:scaling>
        <c:delete val="0"/>
        <c:axPos val="l"/>
        <c:majorGridlines/>
        <c:title>
          <c:tx>
            <c:rich>
              <a:bodyPr rot="-5400000" vert="horz"/>
              <a:lstStyle/>
              <a:p>
                <a:pPr>
                  <a:defRPr/>
                </a:pPr>
                <a:r>
                  <a:rPr lang="en-US"/>
                  <a:t>Mass fraction species</a:t>
                </a:r>
              </a:p>
            </c:rich>
          </c:tx>
          <c:layout>
            <c:manualLayout>
              <c:xMode val="edge"/>
              <c:yMode val="edge"/>
              <c:x val="0"/>
              <c:y val="0.19900895366802554"/>
            </c:manualLayout>
          </c:layout>
          <c:overlay val="0"/>
        </c:title>
        <c:numFmt formatCode="0%" sourceLinked="1"/>
        <c:majorTickMark val="out"/>
        <c:minorTickMark val="none"/>
        <c:tickLblPos val="nextTo"/>
        <c:crossAx val="17480243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0693408361175694"/>
          <c:y val="8.9056035827689367E-2"/>
          <c:w val="0.6630262532319936"/>
          <c:h val="0.79415303856248742"/>
        </c:manualLayout>
      </c:layout>
      <c:barChart>
        <c:barDir val="col"/>
        <c:grouping val="percentStacked"/>
        <c:varyColors val="0"/>
        <c:ser>
          <c:idx val="0"/>
          <c:order val="0"/>
          <c:tx>
            <c:strRef>
              <c:f>extra_ENP_mass_output!$AF$13</c:f>
              <c:strCache>
                <c:ptCount val="1"/>
                <c:pt idx="0">
                  <c:v>G/D</c:v>
                </c:pt>
              </c:strCache>
            </c:strRef>
          </c:tx>
          <c:spPr>
            <a:solidFill>
              <a:srgbClr val="FEF0D9"/>
            </a:solidFill>
            <a:ln>
              <a:solidFill>
                <a:schemeClr val="tx1"/>
              </a:solidFill>
            </a:ln>
          </c:spPr>
          <c:invertIfNegative val="0"/>
          <c:cat>
            <c:strRef>
              <c:f>extra_ENP_mass_output!$AG$2:$AJ$2</c:f>
              <c:strCache>
                <c:ptCount val="4"/>
                <c:pt idx="0">
                  <c:v>Air</c:v>
                </c:pt>
                <c:pt idx="1">
                  <c:v>Water</c:v>
                </c:pt>
                <c:pt idx="2">
                  <c:v>Sediment</c:v>
                </c:pt>
                <c:pt idx="3">
                  <c:v>Soil</c:v>
                </c:pt>
              </c:strCache>
            </c:strRef>
          </c:cat>
          <c:val>
            <c:numRef>
              <c:f>extra_ENP_mass_output!$AG$13:$AJ$13</c:f>
              <c:numCache>
                <c:formatCode>0.00E+00</c:formatCode>
                <c:ptCount val="4"/>
                <c:pt idx="0">
                  <c:v>0</c:v>
                </c:pt>
                <c:pt idx="1">
                  <c:v>0</c:v>
                </c:pt>
                <c:pt idx="2">
                  <c:v>0</c:v>
                </c:pt>
                <c:pt idx="3">
                  <c:v>0</c:v>
                </c:pt>
              </c:numCache>
            </c:numRef>
          </c:val>
          <c:extLst>
            <c:ext xmlns:c16="http://schemas.microsoft.com/office/drawing/2014/chart" uri="{C3380CC4-5D6E-409C-BE32-E72D297353CC}">
              <c16:uniqueId val="{00000000-A209-4FD8-A5E7-564796F3945F}"/>
            </c:ext>
          </c:extLst>
        </c:ser>
        <c:ser>
          <c:idx val="1"/>
          <c:order val="1"/>
          <c:tx>
            <c:strRef>
              <c:f>extra_ENP_mass_output!$AF$14</c:f>
              <c:strCache>
                <c:ptCount val="1"/>
                <c:pt idx="0">
                  <c:v>S</c:v>
                </c:pt>
              </c:strCache>
            </c:strRef>
          </c:tx>
          <c:spPr>
            <a:solidFill>
              <a:srgbClr val="FDCC8A"/>
            </a:solidFill>
            <a:ln>
              <a:solidFill>
                <a:schemeClr val="tx1"/>
              </a:solidFill>
            </a:ln>
          </c:spPr>
          <c:invertIfNegative val="0"/>
          <c:cat>
            <c:strRef>
              <c:f>extra_ENP_mass_output!$AG$2:$AJ$2</c:f>
              <c:strCache>
                <c:ptCount val="4"/>
                <c:pt idx="0">
                  <c:v>Air</c:v>
                </c:pt>
                <c:pt idx="1">
                  <c:v>Water</c:v>
                </c:pt>
                <c:pt idx="2">
                  <c:v>Sediment</c:v>
                </c:pt>
                <c:pt idx="3">
                  <c:v>Soil</c:v>
                </c:pt>
              </c:strCache>
            </c:strRef>
          </c:cat>
          <c:val>
            <c:numRef>
              <c:f>extra_ENP_mass_output!$AG$14:$AJ$14</c:f>
              <c:numCache>
                <c:formatCode>0.00E+00</c:formatCode>
                <c:ptCount val="4"/>
                <c:pt idx="0">
                  <c:v>192.89031712374671</c:v>
                </c:pt>
                <c:pt idx="1">
                  <c:v>0.13635664210474127</c:v>
                </c:pt>
                <c:pt idx="2">
                  <c:v>1.6788430805028288E-16</c:v>
                </c:pt>
                <c:pt idx="3">
                  <c:v>1.3075645677518824E-2</c:v>
                </c:pt>
              </c:numCache>
            </c:numRef>
          </c:val>
          <c:extLst>
            <c:ext xmlns:c16="http://schemas.microsoft.com/office/drawing/2014/chart" uri="{C3380CC4-5D6E-409C-BE32-E72D297353CC}">
              <c16:uniqueId val="{00000001-A209-4FD8-A5E7-564796F3945F}"/>
            </c:ext>
          </c:extLst>
        </c:ser>
        <c:ser>
          <c:idx val="2"/>
          <c:order val="2"/>
          <c:tx>
            <c:strRef>
              <c:f>extra_ENP_mass_output!$AF$15</c:f>
              <c:strCache>
                <c:ptCount val="1"/>
                <c:pt idx="0">
                  <c:v>A</c:v>
                </c:pt>
              </c:strCache>
            </c:strRef>
          </c:tx>
          <c:spPr>
            <a:solidFill>
              <a:srgbClr val="FC8D59"/>
            </a:solidFill>
            <a:ln>
              <a:solidFill>
                <a:schemeClr val="tx1"/>
              </a:solidFill>
            </a:ln>
          </c:spPr>
          <c:invertIfNegative val="0"/>
          <c:cat>
            <c:strRef>
              <c:f>extra_ENP_mass_output!$AG$2:$AJ$2</c:f>
              <c:strCache>
                <c:ptCount val="4"/>
                <c:pt idx="0">
                  <c:v>Air</c:v>
                </c:pt>
                <c:pt idx="1">
                  <c:v>Water</c:v>
                </c:pt>
                <c:pt idx="2">
                  <c:v>Sediment</c:v>
                </c:pt>
                <c:pt idx="3">
                  <c:v>Soil</c:v>
                </c:pt>
              </c:strCache>
            </c:strRef>
          </c:cat>
          <c:val>
            <c:numRef>
              <c:f>extra_ENP_mass_output!$AG$15:$AJ$15</c:f>
              <c:numCache>
                <c:formatCode>0.00E+00</c:formatCode>
                <c:ptCount val="4"/>
                <c:pt idx="0">
                  <c:v>117224.44448227852</c:v>
                </c:pt>
                <c:pt idx="1">
                  <c:v>21335544225036.133</c:v>
                </c:pt>
                <c:pt idx="2">
                  <c:v>35042029592.80027</c:v>
                </c:pt>
                <c:pt idx="3">
                  <c:v>353194.19907863764</c:v>
                </c:pt>
              </c:numCache>
            </c:numRef>
          </c:val>
          <c:extLst>
            <c:ext xmlns:c16="http://schemas.microsoft.com/office/drawing/2014/chart" uri="{C3380CC4-5D6E-409C-BE32-E72D297353CC}">
              <c16:uniqueId val="{00000002-A209-4FD8-A5E7-564796F3945F}"/>
            </c:ext>
          </c:extLst>
        </c:ser>
        <c:ser>
          <c:idx val="3"/>
          <c:order val="3"/>
          <c:tx>
            <c:strRef>
              <c:f>extra_ENP_mass_output!$AF$16</c:f>
              <c:strCache>
                <c:ptCount val="1"/>
                <c:pt idx="0">
                  <c:v>P</c:v>
                </c:pt>
              </c:strCache>
            </c:strRef>
          </c:tx>
          <c:spPr>
            <a:solidFill>
              <a:srgbClr val="D7301F"/>
            </a:solidFill>
            <a:ln>
              <a:solidFill>
                <a:schemeClr val="tx1"/>
              </a:solidFill>
            </a:ln>
          </c:spPr>
          <c:invertIfNegative val="0"/>
          <c:cat>
            <c:strRef>
              <c:f>extra_ENP_mass_output!$AG$2:$AJ$2</c:f>
              <c:strCache>
                <c:ptCount val="4"/>
                <c:pt idx="0">
                  <c:v>Air</c:v>
                </c:pt>
                <c:pt idx="1">
                  <c:v>Water</c:v>
                </c:pt>
                <c:pt idx="2">
                  <c:v>Sediment</c:v>
                </c:pt>
                <c:pt idx="3">
                  <c:v>Soil</c:v>
                </c:pt>
              </c:strCache>
            </c:strRef>
          </c:cat>
          <c:val>
            <c:numRef>
              <c:f>extra_ENP_mass_output!$AG$16:$AJ$16</c:f>
              <c:numCache>
                <c:formatCode>0.00E+00</c:formatCode>
                <c:ptCount val="4"/>
                <c:pt idx="0">
                  <c:v>0.31458360850569006</c:v>
                </c:pt>
                <c:pt idx="1">
                  <c:v>857962810.58997583</c:v>
                </c:pt>
                <c:pt idx="2">
                  <c:v>859488746.95336831</c:v>
                </c:pt>
                <c:pt idx="3">
                  <c:v>3662756.1146227294</c:v>
                </c:pt>
              </c:numCache>
            </c:numRef>
          </c:val>
          <c:extLst>
            <c:ext xmlns:c16="http://schemas.microsoft.com/office/drawing/2014/chart" uri="{C3380CC4-5D6E-409C-BE32-E72D297353CC}">
              <c16:uniqueId val="{00000003-A209-4FD8-A5E7-564796F3945F}"/>
            </c:ext>
          </c:extLst>
        </c:ser>
        <c:dLbls>
          <c:showLegendKey val="0"/>
          <c:showVal val="0"/>
          <c:showCatName val="0"/>
          <c:showSerName val="0"/>
          <c:showPercent val="0"/>
          <c:showBubbleSize val="0"/>
        </c:dLbls>
        <c:gapWidth val="150"/>
        <c:overlap val="100"/>
        <c:axId val="174844928"/>
        <c:axId val="174846720"/>
      </c:barChart>
      <c:catAx>
        <c:axId val="174844928"/>
        <c:scaling>
          <c:orientation val="minMax"/>
        </c:scaling>
        <c:delete val="0"/>
        <c:axPos val="b"/>
        <c:numFmt formatCode="General" sourceLinked="1"/>
        <c:majorTickMark val="out"/>
        <c:minorTickMark val="none"/>
        <c:tickLblPos val="nextTo"/>
        <c:crossAx val="174846720"/>
        <c:crosses val="autoZero"/>
        <c:auto val="1"/>
        <c:lblAlgn val="ctr"/>
        <c:lblOffset val="100"/>
        <c:noMultiLvlLbl val="0"/>
      </c:catAx>
      <c:valAx>
        <c:axId val="174846720"/>
        <c:scaling>
          <c:orientation val="minMax"/>
          <c:min val="0"/>
        </c:scaling>
        <c:delete val="0"/>
        <c:axPos val="l"/>
        <c:majorGridlines/>
        <c:title>
          <c:tx>
            <c:rich>
              <a:bodyPr rot="-5400000" vert="horz"/>
              <a:lstStyle/>
              <a:p>
                <a:pPr>
                  <a:defRPr/>
                </a:pPr>
                <a:r>
                  <a:rPr lang="en-US"/>
                  <a:t>Mass fraction species</a:t>
                </a:r>
              </a:p>
            </c:rich>
          </c:tx>
          <c:layout>
            <c:manualLayout>
              <c:xMode val="edge"/>
              <c:yMode val="edge"/>
              <c:x val="6.6170388751033912E-3"/>
              <c:y val="0.20788062331369417"/>
            </c:manualLayout>
          </c:layout>
          <c:overlay val="0"/>
        </c:title>
        <c:numFmt formatCode="0%" sourceLinked="1"/>
        <c:majorTickMark val="out"/>
        <c:minorTickMark val="none"/>
        <c:tickLblPos val="nextTo"/>
        <c:crossAx val="17484492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776121069972635"/>
          <c:y val="7.6678665166854135E-2"/>
          <c:w val="0.75345998771430156"/>
          <c:h val="0.82783727034120735"/>
        </c:manualLayout>
      </c:layout>
      <c:barChart>
        <c:barDir val="col"/>
        <c:grouping val="percentStacked"/>
        <c:varyColors val="0"/>
        <c:ser>
          <c:idx val="0"/>
          <c:order val="0"/>
          <c:tx>
            <c:strRef>
              <c:f>extra_ENP_mass_output!$AF$39</c:f>
              <c:strCache>
                <c:ptCount val="1"/>
                <c:pt idx="0">
                  <c:v>S</c:v>
                </c:pt>
              </c:strCache>
            </c:strRef>
          </c:tx>
          <c:spPr>
            <a:solidFill>
              <a:srgbClr val="FDCC8A"/>
            </a:solidFill>
            <a:ln>
              <a:solidFill>
                <a:schemeClr val="tx1"/>
              </a:solidFill>
            </a:ln>
          </c:spPr>
          <c:invertIfNegative val="0"/>
          <c:cat>
            <c:strRef>
              <c:f>extra_ENP_mass_output!$AG$34:$AJ$34</c:f>
              <c:strCache>
                <c:ptCount val="4"/>
                <c:pt idx="0">
                  <c:v>Air</c:v>
                </c:pt>
                <c:pt idx="1">
                  <c:v>Water</c:v>
                </c:pt>
                <c:pt idx="2">
                  <c:v>Sediment</c:v>
                </c:pt>
                <c:pt idx="3">
                  <c:v>Soil</c:v>
                </c:pt>
              </c:strCache>
            </c:strRef>
          </c:cat>
          <c:val>
            <c:numRef>
              <c:f>extra_ENP_mass_output!$AG$39:$AJ$39</c:f>
              <c:numCache>
                <c:formatCode>0.00E+00</c:formatCode>
                <c:ptCount val="4"/>
                <c:pt idx="0">
                  <c:v>3498.1130415501457</c:v>
                </c:pt>
                <c:pt idx="1">
                  <c:v>5.3106040419321792</c:v>
                </c:pt>
                <c:pt idx="2">
                  <c:v>1.7638332302643699E-7</c:v>
                </c:pt>
                <c:pt idx="3">
                  <c:v>0.16044513298432969</c:v>
                </c:pt>
              </c:numCache>
            </c:numRef>
          </c:val>
          <c:extLst>
            <c:ext xmlns:c16="http://schemas.microsoft.com/office/drawing/2014/chart" uri="{C3380CC4-5D6E-409C-BE32-E72D297353CC}">
              <c16:uniqueId val="{00000000-8B70-41EF-82BD-ADB1B5A4F502}"/>
            </c:ext>
          </c:extLst>
        </c:ser>
        <c:ser>
          <c:idx val="1"/>
          <c:order val="1"/>
          <c:tx>
            <c:strRef>
              <c:f>extra_ENP_mass_output!$AF$40</c:f>
              <c:strCache>
                <c:ptCount val="1"/>
                <c:pt idx="0">
                  <c:v>A</c:v>
                </c:pt>
              </c:strCache>
            </c:strRef>
          </c:tx>
          <c:spPr>
            <a:solidFill>
              <a:srgbClr val="FC8D59"/>
            </a:solidFill>
            <a:ln>
              <a:solidFill>
                <a:schemeClr val="tx1"/>
              </a:solidFill>
            </a:ln>
          </c:spPr>
          <c:invertIfNegative val="0"/>
          <c:cat>
            <c:strRef>
              <c:f>extra_ENP_mass_output!$AG$34:$AJ$34</c:f>
              <c:strCache>
                <c:ptCount val="4"/>
                <c:pt idx="0">
                  <c:v>Air</c:v>
                </c:pt>
                <c:pt idx="1">
                  <c:v>Water</c:v>
                </c:pt>
                <c:pt idx="2">
                  <c:v>Sediment</c:v>
                </c:pt>
                <c:pt idx="3">
                  <c:v>Soil</c:v>
                </c:pt>
              </c:strCache>
            </c:strRef>
          </c:cat>
          <c:val>
            <c:numRef>
              <c:f>extra_ENP_mass_output!$AG$40:$AJ$40</c:f>
              <c:numCache>
                <c:formatCode>0.00E+00</c:formatCode>
                <c:ptCount val="4"/>
                <c:pt idx="0">
                  <c:v>121528.11244655181</c:v>
                </c:pt>
                <c:pt idx="1">
                  <c:v>31842194409.873188</c:v>
                </c:pt>
                <c:pt idx="2">
                  <c:v>810709650.29964113</c:v>
                </c:pt>
                <c:pt idx="3">
                  <c:v>344250.84619184205</c:v>
                </c:pt>
              </c:numCache>
            </c:numRef>
          </c:val>
          <c:extLst>
            <c:ext xmlns:c16="http://schemas.microsoft.com/office/drawing/2014/chart" uri="{C3380CC4-5D6E-409C-BE32-E72D297353CC}">
              <c16:uniqueId val="{00000001-8B70-41EF-82BD-ADB1B5A4F502}"/>
            </c:ext>
          </c:extLst>
        </c:ser>
        <c:ser>
          <c:idx val="2"/>
          <c:order val="2"/>
          <c:tx>
            <c:strRef>
              <c:f>extra_ENP_mass_output!$AF$41</c:f>
              <c:strCache>
                <c:ptCount val="1"/>
                <c:pt idx="0">
                  <c:v>P</c:v>
                </c:pt>
              </c:strCache>
            </c:strRef>
          </c:tx>
          <c:spPr>
            <a:solidFill>
              <a:srgbClr val="D7301F"/>
            </a:solidFill>
            <a:ln>
              <a:solidFill>
                <a:schemeClr val="tx1"/>
              </a:solidFill>
            </a:ln>
          </c:spPr>
          <c:invertIfNegative val="0"/>
          <c:cat>
            <c:strRef>
              <c:f>extra_ENP_mass_output!$AG$34:$AJ$34</c:f>
              <c:strCache>
                <c:ptCount val="4"/>
                <c:pt idx="0">
                  <c:v>Air</c:v>
                </c:pt>
                <c:pt idx="1">
                  <c:v>Water</c:v>
                </c:pt>
                <c:pt idx="2">
                  <c:v>Sediment</c:v>
                </c:pt>
                <c:pt idx="3">
                  <c:v>Soil</c:v>
                </c:pt>
              </c:strCache>
            </c:strRef>
          </c:cat>
          <c:val>
            <c:numRef>
              <c:f>extra_ENP_mass_output!$AG$41:$AJ$41</c:f>
              <c:numCache>
                <c:formatCode>0.00E+00</c:formatCode>
                <c:ptCount val="4"/>
                <c:pt idx="0">
                  <c:v>5.1029017265960102</c:v>
                </c:pt>
                <c:pt idx="1">
                  <c:v>436794.69384860701</c:v>
                </c:pt>
                <c:pt idx="2">
                  <c:v>6939352.2930355333</c:v>
                </c:pt>
                <c:pt idx="3">
                  <c:v>131246796.31219669</c:v>
                </c:pt>
              </c:numCache>
            </c:numRef>
          </c:val>
          <c:extLst>
            <c:ext xmlns:c16="http://schemas.microsoft.com/office/drawing/2014/chart" uri="{C3380CC4-5D6E-409C-BE32-E72D297353CC}">
              <c16:uniqueId val="{00000002-8B70-41EF-82BD-ADB1B5A4F502}"/>
            </c:ext>
          </c:extLst>
        </c:ser>
        <c:dLbls>
          <c:showLegendKey val="0"/>
          <c:showVal val="0"/>
          <c:showCatName val="0"/>
          <c:showSerName val="0"/>
          <c:showPercent val="0"/>
          <c:showBubbleSize val="0"/>
        </c:dLbls>
        <c:gapWidth val="150"/>
        <c:overlap val="100"/>
        <c:axId val="174873984"/>
        <c:axId val="174879872"/>
      </c:barChart>
      <c:catAx>
        <c:axId val="174873984"/>
        <c:scaling>
          <c:orientation val="minMax"/>
        </c:scaling>
        <c:delete val="0"/>
        <c:axPos val="b"/>
        <c:numFmt formatCode="General" sourceLinked="1"/>
        <c:majorTickMark val="out"/>
        <c:minorTickMark val="none"/>
        <c:tickLblPos val="nextTo"/>
        <c:crossAx val="174879872"/>
        <c:crosses val="autoZero"/>
        <c:auto val="1"/>
        <c:lblAlgn val="ctr"/>
        <c:lblOffset val="100"/>
        <c:noMultiLvlLbl val="0"/>
      </c:catAx>
      <c:valAx>
        <c:axId val="174879872"/>
        <c:scaling>
          <c:orientation val="minMax"/>
        </c:scaling>
        <c:delete val="0"/>
        <c:axPos val="l"/>
        <c:majorGridlines/>
        <c:title>
          <c:tx>
            <c:rich>
              <a:bodyPr rot="-5400000" vert="horz"/>
              <a:lstStyle/>
              <a:p>
                <a:pPr>
                  <a:defRPr/>
                </a:pPr>
                <a:r>
                  <a:rPr lang="en-US"/>
                  <a:t>Mass fraction species</a:t>
                </a:r>
              </a:p>
            </c:rich>
          </c:tx>
          <c:layout>
            <c:manualLayout>
              <c:xMode val="edge"/>
              <c:yMode val="edge"/>
              <c:x val="2.2552074607695314E-3"/>
              <c:y val="0.20560892388451443"/>
            </c:manualLayout>
          </c:layout>
          <c:overlay val="0"/>
        </c:title>
        <c:numFmt formatCode="0%" sourceLinked="1"/>
        <c:majorTickMark val="out"/>
        <c:minorTickMark val="none"/>
        <c:tickLblPos val="nextTo"/>
        <c:crossAx val="17487398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strRef>
              <c:f>extra_ENP_mass_output!$AF$43</c:f>
              <c:strCache>
                <c:ptCount val="1"/>
                <c:pt idx="0">
                  <c:v>S</c:v>
                </c:pt>
              </c:strCache>
            </c:strRef>
          </c:tx>
          <c:spPr>
            <a:solidFill>
              <a:srgbClr val="FDCC8A"/>
            </a:solidFill>
            <a:ln>
              <a:solidFill>
                <a:schemeClr val="tx1"/>
              </a:solidFill>
            </a:ln>
          </c:spPr>
          <c:invertIfNegative val="0"/>
          <c:cat>
            <c:strRef>
              <c:f>extra_ENP_mass_output!$AG$34:$AJ$34</c:f>
              <c:strCache>
                <c:ptCount val="4"/>
                <c:pt idx="0">
                  <c:v>Air</c:v>
                </c:pt>
                <c:pt idx="1">
                  <c:v>Water</c:v>
                </c:pt>
                <c:pt idx="2">
                  <c:v>Sediment</c:v>
                </c:pt>
                <c:pt idx="3">
                  <c:v>Soil</c:v>
                </c:pt>
              </c:strCache>
            </c:strRef>
          </c:cat>
          <c:val>
            <c:numRef>
              <c:f>extra_ENP_mass_output!$AG$43:$AJ$43</c:f>
              <c:numCache>
                <c:formatCode>0.00E+00</c:formatCode>
                <c:ptCount val="4"/>
                <c:pt idx="0">
                  <c:v>192.89031712374671</c:v>
                </c:pt>
                <c:pt idx="1">
                  <c:v>0.13635664210474127</c:v>
                </c:pt>
                <c:pt idx="2">
                  <c:v>1.6788430805028288E-16</c:v>
                </c:pt>
                <c:pt idx="3">
                  <c:v>1.3075645677518824E-2</c:v>
                </c:pt>
              </c:numCache>
            </c:numRef>
          </c:val>
          <c:extLst>
            <c:ext xmlns:c16="http://schemas.microsoft.com/office/drawing/2014/chart" uri="{C3380CC4-5D6E-409C-BE32-E72D297353CC}">
              <c16:uniqueId val="{00000000-47D7-4AD4-A93B-4DD2261A56DE}"/>
            </c:ext>
          </c:extLst>
        </c:ser>
        <c:ser>
          <c:idx val="1"/>
          <c:order val="1"/>
          <c:tx>
            <c:strRef>
              <c:f>extra_ENP_mass_output!$AF$44</c:f>
              <c:strCache>
                <c:ptCount val="1"/>
                <c:pt idx="0">
                  <c:v>A</c:v>
                </c:pt>
              </c:strCache>
            </c:strRef>
          </c:tx>
          <c:spPr>
            <a:solidFill>
              <a:srgbClr val="FC8D59"/>
            </a:solidFill>
            <a:ln>
              <a:solidFill>
                <a:schemeClr val="tx1"/>
              </a:solidFill>
            </a:ln>
          </c:spPr>
          <c:invertIfNegative val="0"/>
          <c:cat>
            <c:strRef>
              <c:f>extra_ENP_mass_output!$AG$34:$AJ$34</c:f>
              <c:strCache>
                <c:ptCount val="4"/>
                <c:pt idx="0">
                  <c:v>Air</c:v>
                </c:pt>
                <c:pt idx="1">
                  <c:v>Water</c:v>
                </c:pt>
                <c:pt idx="2">
                  <c:v>Sediment</c:v>
                </c:pt>
                <c:pt idx="3">
                  <c:v>Soil</c:v>
                </c:pt>
              </c:strCache>
            </c:strRef>
          </c:cat>
          <c:val>
            <c:numRef>
              <c:f>extra_ENP_mass_output!$AG$44:$AJ$44</c:f>
              <c:numCache>
                <c:formatCode>0.00E+00</c:formatCode>
                <c:ptCount val="4"/>
                <c:pt idx="0">
                  <c:v>117224.44448227852</c:v>
                </c:pt>
                <c:pt idx="1">
                  <c:v>21335544225036.133</c:v>
                </c:pt>
                <c:pt idx="2">
                  <c:v>35042029592.80027</c:v>
                </c:pt>
                <c:pt idx="3">
                  <c:v>353194.19907863764</c:v>
                </c:pt>
              </c:numCache>
            </c:numRef>
          </c:val>
          <c:extLst>
            <c:ext xmlns:c16="http://schemas.microsoft.com/office/drawing/2014/chart" uri="{C3380CC4-5D6E-409C-BE32-E72D297353CC}">
              <c16:uniqueId val="{00000001-47D7-4AD4-A93B-4DD2261A56DE}"/>
            </c:ext>
          </c:extLst>
        </c:ser>
        <c:ser>
          <c:idx val="2"/>
          <c:order val="2"/>
          <c:tx>
            <c:strRef>
              <c:f>extra_ENP_mass_output!$AF$45</c:f>
              <c:strCache>
                <c:ptCount val="1"/>
                <c:pt idx="0">
                  <c:v>P</c:v>
                </c:pt>
              </c:strCache>
            </c:strRef>
          </c:tx>
          <c:spPr>
            <a:solidFill>
              <a:srgbClr val="D7301F"/>
            </a:solidFill>
            <a:ln>
              <a:solidFill>
                <a:schemeClr val="tx1"/>
              </a:solidFill>
            </a:ln>
          </c:spPr>
          <c:invertIfNegative val="0"/>
          <c:cat>
            <c:strRef>
              <c:f>extra_ENP_mass_output!$AG$34:$AJ$34</c:f>
              <c:strCache>
                <c:ptCount val="4"/>
                <c:pt idx="0">
                  <c:v>Air</c:v>
                </c:pt>
                <c:pt idx="1">
                  <c:v>Water</c:v>
                </c:pt>
                <c:pt idx="2">
                  <c:v>Sediment</c:v>
                </c:pt>
                <c:pt idx="3">
                  <c:v>Soil</c:v>
                </c:pt>
              </c:strCache>
            </c:strRef>
          </c:cat>
          <c:val>
            <c:numRef>
              <c:f>extra_ENP_mass_output!$AG$45:$AJ$45</c:f>
              <c:numCache>
                <c:formatCode>0.00E+00</c:formatCode>
                <c:ptCount val="4"/>
                <c:pt idx="0">
                  <c:v>0.31458360850569006</c:v>
                </c:pt>
                <c:pt idx="1">
                  <c:v>857962810.58997583</c:v>
                </c:pt>
                <c:pt idx="2">
                  <c:v>859488746.95336831</c:v>
                </c:pt>
                <c:pt idx="3">
                  <c:v>3662756.1146227294</c:v>
                </c:pt>
              </c:numCache>
            </c:numRef>
          </c:val>
          <c:extLst>
            <c:ext xmlns:c16="http://schemas.microsoft.com/office/drawing/2014/chart" uri="{C3380CC4-5D6E-409C-BE32-E72D297353CC}">
              <c16:uniqueId val="{00000002-47D7-4AD4-A93B-4DD2261A56DE}"/>
            </c:ext>
          </c:extLst>
        </c:ser>
        <c:dLbls>
          <c:showLegendKey val="0"/>
          <c:showVal val="0"/>
          <c:showCatName val="0"/>
          <c:showSerName val="0"/>
          <c:showPercent val="0"/>
          <c:showBubbleSize val="0"/>
        </c:dLbls>
        <c:gapWidth val="132"/>
        <c:overlap val="100"/>
        <c:axId val="174927872"/>
        <c:axId val="174929408"/>
      </c:barChart>
      <c:catAx>
        <c:axId val="174927872"/>
        <c:scaling>
          <c:orientation val="minMax"/>
        </c:scaling>
        <c:delete val="0"/>
        <c:axPos val="b"/>
        <c:numFmt formatCode="General" sourceLinked="1"/>
        <c:majorTickMark val="out"/>
        <c:minorTickMark val="none"/>
        <c:tickLblPos val="nextTo"/>
        <c:crossAx val="174929408"/>
        <c:crosses val="autoZero"/>
        <c:auto val="1"/>
        <c:lblAlgn val="ctr"/>
        <c:lblOffset val="100"/>
        <c:noMultiLvlLbl val="0"/>
      </c:catAx>
      <c:valAx>
        <c:axId val="174929408"/>
        <c:scaling>
          <c:orientation val="minMax"/>
        </c:scaling>
        <c:delete val="0"/>
        <c:axPos val="l"/>
        <c:majorGridlines/>
        <c:title>
          <c:tx>
            <c:rich>
              <a:bodyPr rot="-5400000" vert="horz"/>
              <a:lstStyle/>
              <a:p>
                <a:pPr>
                  <a:defRPr/>
                </a:pPr>
                <a:r>
                  <a:rPr lang="en-US"/>
                  <a:t>Mass fraction species</a:t>
                </a:r>
              </a:p>
            </c:rich>
          </c:tx>
          <c:layout>
            <c:manualLayout>
              <c:xMode val="edge"/>
              <c:yMode val="edge"/>
              <c:x val="5.5555555555555558E-3"/>
              <c:y val="0.15435367454068241"/>
            </c:manualLayout>
          </c:layout>
          <c:overlay val="0"/>
        </c:title>
        <c:numFmt formatCode="0%" sourceLinked="1"/>
        <c:majorTickMark val="out"/>
        <c:minorTickMark val="none"/>
        <c:tickLblPos val="nextTo"/>
        <c:crossAx val="17492787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strRef>
              <c:f>extra_ENP_mass_output!$P$4</c:f>
              <c:strCache>
                <c:ptCount val="1"/>
                <c:pt idx="0">
                  <c:v>Air</c:v>
                </c:pt>
              </c:strCache>
            </c:strRef>
          </c:tx>
          <c:spPr>
            <a:solidFill>
              <a:schemeClr val="bg1"/>
            </a:solidFill>
            <a:ln>
              <a:solidFill>
                <a:schemeClr val="tx1"/>
              </a:solidFill>
            </a:ln>
          </c:spPr>
          <c:invertIfNegative val="0"/>
          <c:cat>
            <c:strRef>
              <c:f>extra_ENP_mass_output!$Q$3:$S$3</c:f>
              <c:strCache>
                <c:ptCount val="3"/>
                <c:pt idx="0">
                  <c:v>Regional</c:v>
                </c:pt>
                <c:pt idx="1">
                  <c:v>Continental</c:v>
                </c:pt>
                <c:pt idx="2">
                  <c:v>Global</c:v>
                </c:pt>
              </c:strCache>
            </c:strRef>
          </c:cat>
          <c:val>
            <c:numRef>
              <c:f>extra_ENP_mass_output!$Q$4:$S$4</c:f>
              <c:numCache>
                <c:formatCode>General_)</c:formatCode>
                <c:ptCount val="3"/>
                <c:pt idx="0" formatCode="0.00E+00">
                  <c:v>34306.844822999134</c:v>
                </c:pt>
                <c:pt idx="1">
                  <c:v>125031.32838982854</c:v>
                </c:pt>
                <c:pt idx="2" formatCode="0.00E+00">
                  <c:v>117417.64938301076</c:v>
                </c:pt>
              </c:numCache>
            </c:numRef>
          </c:val>
          <c:extLst>
            <c:ext xmlns:c16="http://schemas.microsoft.com/office/drawing/2014/chart" uri="{C3380CC4-5D6E-409C-BE32-E72D297353CC}">
              <c16:uniqueId val="{00000000-0510-42BD-AFB7-BBA2B522BD02}"/>
            </c:ext>
          </c:extLst>
        </c:ser>
        <c:ser>
          <c:idx val="1"/>
          <c:order val="1"/>
          <c:tx>
            <c:strRef>
              <c:f>extra_ENP_mass_output!$P$5</c:f>
              <c:strCache>
                <c:ptCount val="1"/>
                <c:pt idx="0">
                  <c:v>Water</c:v>
                </c:pt>
              </c:strCache>
            </c:strRef>
          </c:tx>
          <c:spPr>
            <a:solidFill>
              <a:schemeClr val="bg1">
                <a:lumMod val="75000"/>
              </a:schemeClr>
            </a:solidFill>
            <a:ln>
              <a:solidFill>
                <a:schemeClr val="tx1"/>
              </a:solidFill>
            </a:ln>
          </c:spPr>
          <c:invertIfNegative val="0"/>
          <c:cat>
            <c:strRef>
              <c:f>extra_ENP_mass_output!$Q$3:$S$3</c:f>
              <c:strCache>
                <c:ptCount val="3"/>
                <c:pt idx="0">
                  <c:v>Regional</c:v>
                </c:pt>
                <c:pt idx="1">
                  <c:v>Continental</c:v>
                </c:pt>
                <c:pt idx="2">
                  <c:v>Global</c:v>
                </c:pt>
              </c:strCache>
            </c:strRef>
          </c:cat>
          <c:val>
            <c:numRef>
              <c:f>extra_ENP_mass_output!$Q$5:$S$5</c:f>
              <c:numCache>
                <c:formatCode>0.00E+00</c:formatCode>
                <c:ptCount val="3"/>
                <c:pt idx="0">
                  <c:v>15825053.72309426</c:v>
                </c:pt>
                <c:pt idx="1">
                  <c:v>31842631209.877644</c:v>
                </c:pt>
                <c:pt idx="2">
                  <c:v>21336402187846.859</c:v>
                </c:pt>
              </c:numCache>
            </c:numRef>
          </c:val>
          <c:extLst>
            <c:ext xmlns:c16="http://schemas.microsoft.com/office/drawing/2014/chart" uri="{C3380CC4-5D6E-409C-BE32-E72D297353CC}">
              <c16:uniqueId val="{00000001-0510-42BD-AFB7-BBA2B522BD02}"/>
            </c:ext>
          </c:extLst>
        </c:ser>
        <c:ser>
          <c:idx val="2"/>
          <c:order val="2"/>
          <c:tx>
            <c:strRef>
              <c:f>extra_ENP_mass_output!$P$6</c:f>
              <c:strCache>
                <c:ptCount val="1"/>
                <c:pt idx="0">
                  <c:v>Sediment</c:v>
                </c:pt>
              </c:strCache>
            </c:strRef>
          </c:tx>
          <c:spPr>
            <a:solidFill>
              <a:schemeClr val="bg1">
                <a:lumMod val="50000"/>
              </a:schemeClr>
            </a:solidFill>
            <a:ln>
              <a:solidFill>
                <a:schemeClr val="tx1"/>
              </a:solidFill>
            </a:ln>
          </c:spPr>
          <c:invertIfNegative val="0"/>
          <c:cat>
            <c:strRef>
              <c:f>extra_ENP_mass_output!$Q$3:$S$3</c:f>
              <c:strCache>
                <c:ptCount val="3"/>
                <c:pt idx="0">
                  <c:v>Regional</c:v>
                </c:pt>
                <c:pt idx="1">
                  <c:v>Continental</c:v>
                </c:pt>
                <c:pt idx="2">
                  <c:v>Global</c:v>
                </c:pt>
              </c:strCache>
            </c:strRef>
          </c:cat>
          <c:val>
            <c:numRef>
              <c:f>extra_ENP_mass_output!$Q$6:$S$6</c:f>
              <c:numCache>
                <c:formatCode>0.00E+00</c:formatCode>
                <c:ptCount val="3"/>
                <c:pt idx="0">
                  <c:v>48202764.96939522</c:v>
                </c:pt>
                <c:pt idx="1">
                  <c:v>817649002.59267676</c:v>
                </c:pt>
                <c:pt idx="2">
                  <c:v>35901518339.753647</c:v>
                </c:pt>
              </c:numCache>
            </c:numRef>
          </c:val>
          <c:extLst>
            <c:ext xmlns:c16="http://schemas.microsoft.com/office/drawing/2014/chart" uri="{C3380CC4-5D6E-409C-BE32-E72D297353CC}">
              <c16:uniqueId val="{00000002-0510-42BD-AFB7-BBA2B522BD02}"/>
            </c:ext>
          </c:extLst>
        </c:ser>
        <c:ser>
          <c:idx val="3"/>
          <c:order val="3"/>
          <c:tx>
            <c:strRef>
              <c:f>extra_ENP_mass_output!$P$7</c:f>
              <c:strCache>
                <c:ptCount val="1"/>
                <c:pt idx="0">
                  <c:v>Soil</c:v>
                </c:pt>
              </c:strCache>
            </c:strRef>
          </c:tx>
          <c:spPr>
            <a:solidFill>
              <a:schemeClr val="tx1"/>
            </a:solidFill>
            <a:ln>
              <a:solidFill>
                <a:schemeClr val="tx1"/>
              </a:solidFill>
            </a:ln>
          </c:spPr>
          <c:invertIfNegative val="0"/>
          <c:cat>
            <c:strRef>
              <c:f>extra_ENP_mass_output!$Q$3:$S$3</c:f>
              <c:strCache>
                <c:ptCount val="3"/>
                <c:pt idx="0">
                  <c:v>Regional</c:v>
                </c:pt>
                <c:pt idx="1">
                  <c:v>Continental</c:v>
                </c:pt>
                <c:pt idx="2">
                  <c:v>Global</c:v>
                </c:pt>
              </c:strCache>
            </c:strRef>
          </c:cat>
          <c:val>
            <c:numRef>
              <c:f>extra_ENP_mass_output!$Q$7:$S$7</c:f>
              <c:numCache>
                <c:formatCode>0.00E+00</c:formatCode>
                <c:ptCount val="3"/>
                <c:pt idx="0">
                  <c:v>16481473126.615721</c:v>
                </c:pt>
                <c:pt idx="1">
                  <c:v>131591047.31883366</c:v>
                </c:pt>
                <c:pt idx="2">
                  <c:v>4015950.326777013</c:v>
                </c:pt>
              </c:numCache>
            </c:numRef>
          </c:val>
          <c:extLst>
            <c:ext xmlns:c16="http://schemas.microsoft.com/office/drawing/2014/chart" uri="{C3380CC4-5D6E-409C-BE32-E72D297353CC}">
              <c16:uniqueId val="{00000003-0510-42BD-AFB7-BBA2B522BD02}"/>
            </c:ext>
          </c:extLst>
        </c:ser>
        <c:dLbls>
          <c:showLegendKey val="0"/>
          <c:showVal val="0"/>
          <c:showCatName val="0"/>
          <c:showSerName val="0"/>
          <c:showPercent val="0"/>
          <c:showBubbleSize val="0"/>
        </c:dLbls>
        <c:gapWidth val="150"/>
        <c:overlap val="100"/>
        <c:axId val="174962176"/>
        <c:axId val="174963712"/>
      </c:barChart>
      <c:catAx>
        <c:axId val="174962176"/>
        <c:scaling>
          <c:orientation val="minMax"/>
        </c:scaling>
        <c:delete val="0"/>
        <c:axPos val="b"/>
        <c:numFmt formatCode="General" sourceLinked="1"/>
        <c:majorTickMark val="out"/>
        <c:minorTickMark val="none"/>
        <c:tickLblPos val="nextTo"/>
        <c:crossAx val="174963712"/>
        <c:crosses val="autoZero"/>
        <c:auto val="1"/>
        <c:lblAlgn val="ctr"/>
        <c:lblOffset val="100"/>
        <c:noMultiLvlLbl val="0"/>
      </c:catAx>
      <c:valAx>
        <c:axId val="174963712"/>
        <c:scaling>
          <c:orientation val="minMax"/>
        </c:scaling>
        <c:delete val="0"/>
        <c:axPos val="l"/>
        <c:majorGridlines/>
        <c:title>
          <c:tx>
            <c:rich>
              <a:bodyPr rot="-5400000" vert="horz"/>
              <a:lstStyle/>
              <a:p>
                <a:pPr>
                  <a:defRPr/>
                </a:pPr>
                <a:r>
                  <a:rPr lang="en-US"/>
                  <a:t>Mass fraction in compartment </a:t>
                </a:r>
              </a:p>
            </c:rich>
          </c:tx>
          <c:layout>
            <c:manualLayout>
              <c:xMode val="edge"/>
              <c:yMode val="edge"/>
              <c:x val="8.4210526315789472E-3"/>
              <c:y val="0.18394913632185869"/>
            </c:manualLayout>
          </c:layout>
          <c:overlay val="0"/>
        </c:title>
        <c:numFmt formatCode="0%" sourceLinked="1"/>
        <c:majorTickMark val="out"/>
        <c:minorTickMark val="none"/>
        <c:tickLblPos val="nextTo"/>
        <c:crossAx val="17496217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626150442985017"/>
          <c:y val="5.1759998531652078E-2"/>
          <c:w val="0.66368141755206367"/>
          <c:h val="0.83144907585852468"/>
        </c:manualLayout>
      </c:layout>
      <c:barChart>
        <c:barDir val="col"/>
        <c:grouping val="percentStacked"/>
        <c:varyColors val="0"/>
        <c:ser>
          <c:idx val="0"/>
          <c:order val="0"/>
          <c:tx>
            <c:strRef>
              <c:f>extra_ENP_mass_output!$P$10</c:f>
              <c:strCache>
                <c:ptCount val="1"/>
                <c:pt idx="0">
                  <c:v>Total D</c:v>
                </c:pt>
              </c:strCache>
            </c:strRef>
          </c:tx>
          <c:spPr>
            <a:solidFill>
              <a:srgbClr val="FEF0D9"/>
            </a:solidFill>
            <a:ln>
              <a:solidFill>
                <a:schemeClr val="tx1"/>
              </a:solidFill>
            </a:ln>
          </c:spPr>
          <c:invertIfNegative val="0"/>
          <c:cat>
            <c:strRef>
              <c:f>extra_ENP_mass_output!$Q$9:$S$9</c:f>
              <c:strCache>
                <c:ptCount val="3"/>
                <c:pt idx="0">
                  <c:v>Regional</c:v>
                </c:pt>
                <c:pt idx="1">
                  <c:v>Continental</c:v>
                </c:pt>
                <c:pt idx="2">
                  <c:v>Global</c:v>
                </c:pt>
              </c:strCache>
            </c:strRef>
          </c:cat>
          <c:val>
            <c:numRef>
              <c:f>extra_ENP_mass_output!$Q$10:$S$10</c:f>
              <c:numCache>
                <c:formatCode>0.00E+00</c:formatCode>
                <c:ptCount val="3"/>
                <c:pt idx="0">
                  <c:v>0</c:v>
                </c:pt>
                <c:pt idx="1">
                  <c:v>0</c:v>
                </c:pt>
                <c:pt idx="2">
                  <c:v>0</c:v>
                </c:pt>
              </c:numCache>
            </c:numRef>
          </c:val>
          <c:extLst>
            <c:ext xmlns:c16="http://schemas.microsoft.com/office/drawing/2014/chart" uri="{C3380CC4-5D6E-409C-BE32-E72D297353CC}">
              <c16:uniqueId val="{00000000-6FD8-481B-A30D-CB9F8475A9D5}"/>
            </c:ext>
          </c:extLst>
        </c:ser>
        <c:ser>
          <c:idx val="1"/>
          <c:order val="1"/>
          <c:tx>
            <c:strRef>
              <c:f>extra_ENP_mass_output!$P$11</c:f>
              <c:strCache>
                <c:ptCount val="1"/>
                <c:pt idx="0">
                  <c:v>Total S</c:v>
                </c:pt>
              </c:strCache>
            </c:strRef>
          </c:tx>
          <c:spPr>
            <a:solidFill>
              <a:srgbClr val="FDCC8A"/>
            </a:solidFill>
            <a:ln>
              <a:solidFill>
                <a:schemeClr val="tx1"/>
              </a:solidFill>
            </a:ln>
          </c:spPr>
          <c:invertIfNegative val="0"/>
          <c:cat>
            <c:strRef>
              <c:f>extra_ENP_mass_output!$Q$9:$S$9</c:f>
              <c:strCache>
                <c:ptCount val="3"/>
                <c:pt idx="0">
                  <c:v>Regional</c:v>
                </c:pt>
                <c:pt idx="1">
                  <c:v>Continental</c:v>
                </c:pt>
                <c:pt idx="2">
                  <c:v>Global</c:v>
                </c:pt>
              </c:strCache>
            </c:strRef>
          </c:cat>
          <c:val>
            <c:numRef>
              <c:f>extra_ENP_mass_output!$Q$11:$S$11</c:f>
              <c:numCache>
                <c:formatCode>0.00E+00</c:formatCode>
                <c:ptCount val="3"/>
                <c:pt idx="0">
                  <c:v>11400.550766319368</c:v>
                </c:pt>
                <c:pt idx="1">
                  <c:v>3503.584090901446</c:v>
                </c:pt>
                <c:pt idx="2">
                  <c:v>193.03974941152899</c:v>
                </c:pt>
              </c:numCache>
            </c:numRef>
          </c:val>
          <c:extLst>
            <c:ext xmlns:c16="http://schemas.microsoft.com/office/drawing/2014/chart" uri="{C3380CC4-5D6E-409C-BE32-E72D297353CC}">
              <c16:uniqueId val="{00000001-6FD8-481B-A30D-CB9F8475A9D5}"/>
            </c:ext>
          </c:extLst>
        </c:ser>
        <c:ser>
          <c:idx val="2"/>
          <c:order val="2"/>
          <c:tx>
            <c:strRef>
              <c:f>extra_ENP_mass_output!$P$12</c:f>
              <c:strCache>
                <c:ptCount val="1"/>
                <c:pt idx="0">
                  <c:v>Total A</c:v>
                </c:pt>
              </c:strCache>
            </c:strRef>
          </c:tx>
          <c:spPr>
            <a:solidFill>
              <a:srgbClr val="FC8D59"/>
            </a:solidFill>
            <a:ln>
              <a:solidFill>
                <a:schemeClr val="tx1"/>
              </a:solidFill>
            </a:ln>
          </c:spPr>
          <c:invertIfNegative val="0"/>
          <c:cat>
            <c:strRef>
              <c:f>extra_ENP_mass_output!$Q$9:$S$9</c:f>
              <c:strCache>
                <c:ptCount val="3"/>
                <c:pt idx="0">
                  <c:v>Regional</c:v>
                </c:pt>
                <c:pt idx="1">
                  <c:v>Continental</c:v>
                </c:pt>
                <c:pt idx="2">
                  <c:v>Global</c:v>
                </c:pt>
              </c:strCache>
            </c:strRef>
          </c:cat>
          <c:val>
            <c:numRef>
              <c:f>extra_ENP_mass_output!$Q$12:$S$12</c:f>
              <c:numCache>
                <c:formatCode>0.00E+00</c:formatCode>
                <c:ptCount val="3"/>
                <c:pt idx="0">
                  <c:v>25452140.773153428</c:v>
                </c:pt>
                <c:pt idx="1">
                  <c:v>32653369839.131474</c:v>
                </c:pt>
                <c:pt idx="2">
                  <c:v>21370586725047.578</c:v>
                </c:pt>
              </c:numCache>
            </c:numRef>
          </c:val>
          <c:extLst>
            <c:ext xmlns:c16="http://schemas.microsoft.com/office/drawing/2014/chart" uri="{C3380CC4-5D6E-409C-BE32-E72D297353CC}">
              <c16:uniqueId val="{00000002-6FD8-481B-A30D-CB9F8475A9D5}"/>
            </c:ext>
          </c:extLst>
        </c:ser>
        <c:ser>
          <c:idx val="3"/>
          <c:order val="3"/>
          <c:tx>
            <c:strRef>
              <c:f>extra_ENP_mass_output!$P$13</c:f>
              <c:strCache>
                <c:ptCount val="1"/>
                <c:pt idx="0">
                  <c:v>Total P</c:v>
                </c:pt>
              </c:strCache>
            </c:strRef>
          </c:tx>
          <c:spPr>
            <a:solidFill>
              <a:srgbClr val="D7301F"/>
            </a:solidFill>
            <a:ln>
              <a:solidFill>
                <a:schemeClr val="tx1"/>
              </a:solidFill>
            </a:ln>
          </c:spPr>
          <c:invertIfNegative val="0"/>
          <c:cat>
            <c:strRef>
              <c:f>extra_ENP_mass_output!$Q$9:$S$9</c:f>
              <c:strCache>
                <c:ptCount val="3"/>
                <c:pt idx="0">
                  <c:v>Regional</c:v>
                </c:pt>
                <c:pt idx="1">
                  <c:v>Continental</c:v>
                </c:pt>
                <c:pt idx="2">
                  <c:v>Global</c:v>
                </c:pt>
              </c:strCache>
            </c:strRef>
          </c:cat>
          <c:val>
            <c:numRef>
              <c:f>extra_ENP_mass_output!$Q$13:$S$13</c:f>
              <c:numCache>
                <c:formatCode>0.00E+00</c:formatCode>
                <c:ptCount val="3"/>
                <c:pt idx="0">
                  <c:v>16520071710.829113</c:v>
                </c:pt>
                <c:pt idx="1">
                  <c:v>138622948.40198255</c:v>
                </c:pt>
                <c:pt idx="2">
                  <c:v>1721114313.9725506</c:v>
                </c:pt>
              </c:numCache>
            </c:numRef>
          </c:val>
          <c:extLst>
            <c:ext xmlns:c16="http://schemas.microsoft.com/office/drawing/2014/chart" uri="{C3380CC4-5D6E-409C-BE32-E72D297353CC}">
              <c16:uniqueId val="{00000003-6FD8-481B-A30D-CB9F8475A9D5}"/>
            </c:ext>
          </c:extLst>
        </c:ser>
        <c:dLbls>
          <c:showLegendKey val="0"/>
          <c:showVal val="0"/>
          <c:showCatName val="0"/>
          <c:showSerName val="0"/>
          <c:showPercent val="0"/>
          <c:showBubbleSize val="0"/>
        </c:dLbls>
        <c:gapWidth val="150"/>
        <c:overlap val="100"/>
        <c:axId val="176040960"/>
        <c:axId val="176050944"/>
      </c:barChart>
      <c:catAx>
        <c:axId val="176040960"/>
        <c:scaling>
          <c:orientation val="minMax"/>
        </c:scaling>
        <c:delete val="0"/>
        <c:axPos val="b"/>
        <c:numFmt formatCode="General" sourceLinked="1"/>
        <c:majorTickMark val="out"/>
        <c:minorTickMark val="none"/>
        <c:tickLblPos val="nextTo"/>
        <c:crossAx val="176050944"/>
        <c:crosses val="autoZero"/>
        <c:auto val="1"/>
        <c:lblAlgn val="ctr"/>
        <c:lblOffset val="100"/>
        <c:noMultiLvlLbl val="0"/>
      </c:catAx>
      <c:valAx>
        <c:axId val="176050944"/>
        <c:scaling>
          <c:orientation val="minMax"/>
          <c:min val="0"/>
        </c:scaling>
        <c:delete val="0"/>
        <c:axPos val="l"/>
        <c:majorGridlines/>
        <c:title>
          <c:tx>
            <c:rich>
              <a:bodyPr rot="-5400000" vert="horz"/>
              <a:lstStyle/>
              <a:p>
                <a:pPr>
                  <a:defRPr/>
                </a:pPr>
                <a:r>
                  <a:rPr lang="en-US"/>
                  <a:t>Mass fraction species</a:t>
                </a:r>
              </a:p>
            </c:rich>
          </c:tx>
          <c:layout>
            <c:manualLayout>
              <c:xMode val="edge"/>
              <c:yMode val="edge"/>
              <c:x val="2.7777968801934692E-3"/>
              <c:y val="0.19602041003615805"/>
            </c:manualLayout>
          </c:layout>
          <c:overlay val="0"/>
        </c:title>
        <c:numFmt formatCode="0%" sourceLinked="1"/>
        <c:majorTickMark val="out"/>
        <c:minorTickMark val="none"/>
        <c:tickLblPos val="nextTo"/>
        <c:crossAx val="17604096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16907261592299"/>
          <c:y val="6.9919072615923006E-2"/>
          <c:w val="0.64256802274715663"/>
          <c:h val="0.8326195683872849"/>
        </c:manualLayout>
      </c:layout>
      <c:barChart>
        <c:barDir val="col"/>
        <c:grouping val="percentStacked"/>
        <c:varyColors val="0"/>
        <c:ser>
          <c:idx val="0"/>
          <c:order val="0"/>
          <c:tx>
            <c:strRef>
              <c:f>extra_ENP_mass_output!$P$16</c:f>
              <c:strCache>
                <c:ptCount val="1"/>
                <c:pt idx="0">
                  <c:v>Total S</c:v>
                </c:pt>
              </c:strCache>
            </c:strRef>
          </c:tx>
          <c:spPr>
            <a:solidFill>
              <a:srgbClr val="FDCC8A"/>
            </a:solidFill>
            <a:ln>
              <a:solidFill>
                <a:schemeClr val="tx1"/>
              </a:solidFill>
            </a:ln>
          </c:spPr>
          <c:invertIfNegative val="0"/>
          <c:cat>
            <c:strRef>
              <c:f>extra_ENP_mass_output!$Q$15:$S$15</c:f>
              <c:strCache>
                <c:ptCount val="3"/>
                <c:pt idx="0">
                  <c:v>Regional</c:v>
                </c:pt>
                <c:pt idx="1">
                  <c:v>Continental</c:v>
                </c:pt>
                <c:pt idx="2">
                  <c:v>Global</c:v>
                </c:pt>
              </c:strCache>
            </c:strRef>
          </c:cat>
          <c:val>
            <c:numRef>
              <c:f>extra_ENP_mass_output!$Q$16:$S$16</c:f>
              <c:numCache>
                <c:formatCode>0.00E+00</c:formatCode>
                <c:ptCount val="3"/>
                <c:pt idx="0">
                  <c:v>11400.550766319368</c:v>
                </c:pt>
                <c:pt idx="1">
                  <c:v>3503.584090901446</c:v>
                </c:pt>
                <c:pt idx="2">
                  <c:v>193.03974941152899</c:v>
                </c:pt>
              </c:numCache>
            </c:numRef>
          </c:val>
          <c:extLst>
            <c:ext xmlns:c16="http://schemas.microsoft.com/office/drawing/2014/chart" uri="{C3380CC4-5D6E-409C-BE32-E72D297353CC}">
              <c16:uniqueId val="{00000000-D992-436E-BDE0-955D190A6910}"/>
            </c:ext>
          </c:extLst>
        </c:ser>
        <c:ser>
          <c:idx val="1"/>
          <c:order val="1"/>
          <c:tx>
            <c:strRef>
              <c:f>extra_ENP_mass_output!$P$17</c:f>
              <c:strCache>
                <c:ptCount val="1"/>
                <c:pt idx="0">
                  <c:v>Total A</c:v>
                </c:pt>
              </c:strCache>
            </c:strRef>
          </c:tx>
          <c:spPr>
            <a:solidFill>
              <a:srgbClr val="FC8D59"/>
            </a:solidFill>
            <a:ln>
              <a:solidFill>
                <a:schemeClr val="tx1"/>
              </a:solidFill>
            </a:ln>
          </c:spPr>
          <c:invertIfNegative val="0"/>
          <c:cat>
            <c:strRef>
              <c:f>extra_ENP_mass_output!$Q$15:$S$15</c:f>
              <c:strCache>
                <c:ptCount val="3"/>
                <c:pt idx="0">
                  <c:v>Regional</c:v>
                </c:pt>
                <c:pt idx="1">
                  <c:v>Continental</c:v>
                </c:pt>
                <c:pt idx="2">
                  <c:v>Global</c:v>
                </c:pt>
              </c:strCache>
            </c:strRef>
          </c:cat>
          <c:val>
            <c:numRef>
              <c:f>extra_ENP_mass_output!$Q$17:$S$17</c:f>
              <c:numCache>
                <c:formatCode>0.00E+00</c:formatCode>
                <c:ptCount val="3"/>
                <c:pt idx="0">
                  <c:v>25452140.773153428</c:v>
                </c:pt>
                <c:pt idx="1">
                  <c:v>32653369839.131474</c:v>
                </c:pt>
                <c:pt idx="2">
                  <c:v>21370586725047.578</c:v>
                </c:pt>
              </c:numCache>
            </c:numRef>
          </c:val>
          <c:extLst>
            <c:ext xmlns:c16="http://schemas.microsoft.com/office/drawing/2014/chart" uri="{C3380CC4-5D6E-409C-BE32-E72D297353CC}">
              <c16:uniqueId val="{00000001-D992-436E-BDE0-955D190A6910}"/>
            </c:ext>
          </c:extLst>
        </c:ser>
        <c:ser>
          <c:idx val="2"/>
          <c:order val="2"/>
          <c:tx>
            <c:strRef>
              <c:f>extra_ENP_mass_output!$P$18</c:f>
              <c:strCache>
                <c:ptCount val="1"/>
                <c:pt idx="0">
                  <c:v>Total P</c:v>
                </c:pt>
              </c:strCache>
            </c:strRef>
          </c:tx>
          <c:spPr>
            <a:solidFill>
              <a:srgbClr val="D7301F"/>
            </a:solidFill>
            <a:ln>
              <a:solidFill>
                <a:schemeClr val="tx1"/>
              </a:solidFill>
            </a:ln>
          </c:spPr>
          <c:invertIfNegative val="0"/>
          <c:cat>
            <c:strRef>
              <c:f>extra_ENP_mass_output!$Q$15:$S$15</c:f>
              <c:strCache>
                <c:ptCount val="3"/>
                <c:pt idx="0">
                  <c:v>Regional</c:v>
                </c:pt>
                <c:pt idx="1">
                  <c:v>Continental</c:v>
                </c:pt>
                <c:pt idx="2">
                  <c:v>Global</c:v>
                </c:pt>
              </c:strCache>
            </c:strRef>
          </c:cat>
          <c:val>
            <c:numRef>
              <c:f>extra_ENP_mass_output!$Q$18:$S$18</c:f>
              <c:numCache>
                <c:formatCode>0.00E+00</c:formatCode>
                <c:ptCount val="3"/>
                <c:pt idx="0">
                  <c:v>16520071710.829113</c:v>
                </c:pt>
                <c:pt idx="1">
                  <c:v>138622948.40198255</c:v>
                </c:pt>
                <c:pt idx="2">
                  <c:v>1721114313.9725506</c:v>
                </c:pt>
              </c:numCache>
            </c:numRef>
          </c:val>
          <c:extLst>
            <c:ext xmlns:c16="http://schemas.microsoft.com/office/drawing/2014/chart" uri="{C3380CC4-5D6E-409C-BE32-E72D297353CC}">
              <c16:uniqueId val="{00000002-D992-436E-BDE0-955D190A6910}"/>
            </c:ext>
          </c:extLst>
        </c:ser>
        <c:dLbls>
          <c:showLegendKey val="0"/>
          <c:showVal val="0"/>
          <c:showCatName val="0"/>
          <c:showSerName val="0"/>
          <c:showPercent val="0"/>
          <c:showBubbleSize val="0"/>
        </c:dLbls>
        <c:gapWidth val="150"/>
        <c:overlap val="100"/>
        <c:axId val="176082304"/>
        <c:axId val="176088192"/>
      </c:barChart>
      <c:catAx>
        <c:axId val="176082304"/>
        <c:scaling>
          <c:orientation val="minMax"/>
        </c:scaling>
        <c:delete val="0"/>
        <c:axPos val="b"/>
        <c:numFmt formatCode="General" sourceLinked="1"/>
        <c:majorTickMark val="out"/>
        <c:minorTickMark val="none"/>
        <c:tickLblPos val="nextTo"/>
        <c:crossAx val="176088192"/>
        <c:crosses val="autoZero"/>
        <c:auto val="1"/>
        <c:lblAlgn val="ctr"/>
        <c:lblOffset val="100"/>
        <c:noMultiLvlLbl val="0"/>
      </c:catAx>
      <c:valAx>
        <c:axId val="176088192"/>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300" b="1" i="0" u="none" strike="noStrike" kern="1200" baseline="0">
                    <a:solidFill>
                      <a:sysClr val="windowText" lastClr="000000"/>
                    </a:solidFill>
                    <a:latin typeface="+mn-lt"/>
                    <a:ea typeface="+mn-ea"/>
                    <a:cs typeface="+mn-cs"/>
                  </a:defRPr>
                </a:pPr>
                <a:r>
                  <a:rPr lang="en-US" sz="900" b="1" i="0" baseline="0">
                    <a:effectLst/>
                  </a:rPr>
                  <a:t>Mass fraction species</a:t>
                </a:r>
                <a:endParaRPr lang="nl-NL" sz="300">
                  <a:effectLst/>
                </a:endParaRPr>
              </a:p>
              <a:p>
                <a:pPr marL="0" marR="0" indent="0" algn="ctr" defTabSz="914400" rtl="0" eaLnBrk="1" fontAlgn="auto" latinLnBrk="0" hangingPunct="1">
                  <a:lnSpc>
                    <a:spcPct val="100000"/>
                  </a:lnSpc>
                  <a:spcBef>
                    <a:spcPts val="0"/>
                  </a:spcBef>
                  <a:spcAft>
                    <a:spcPts val="0"/>
                  </a:spcAft>
                  <a:buClrTx/>
                  <a:buSzTx/>
                  <a:buFontTx/>
                  <a:buNone/>
                  <a:tabLst/>
                  <a:defRPr sz="300" b="1" i="0" u="none" strike="noStrike" kern="1200" baseline="0">
                    <a:solidFill>
                      <a:sysClr val="windowText" lastClr="000000"/>
                    </a:solidFill>
                    <a:latin typeface="+mn-lt"/>
                    <a:ea typeface="+mn-ea"/>
                    <a:cs typeface="+mn-cs"/>
                  </a:defRPr>
                </a:pPr>
                <a:endParaRPr lang="nl-NL" sz="300"/>
              </a:p>
            </c:rich>
          </c:tx>
          <c:layout>
            <c:manualLayout>
              <c:xMode val="edge"/>
              <c:yMode val="edge"/>
              <c:x val="2.7777777777777779E-3"/>
              <c:y val="0.19882144940215807"/>
            </c:manualLayout>
          </c:layout>
          <c:overlay val="0"/>
        </c:title>
        <c:numFmt formatCode="0%" sourceLinked="1"/>
        <c:majorTickMark val="out"/>
        <c:minorTickMark val="none"/>
        <c:tickLblPos val="nextTo"/>
        <c:crossAx val="17608230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1.6742866819066966E-2"/>
          <c:y val="0.41944510862843715"/>
          <c:w val="0.76948507335863592"/>
          <c:h val="0.42944031996000498"/>
        </c:manualLayout>
      </c:layout>
      <c:pie3DChart>
        <c:varyColors val="1"/>
        <c:ser>
          <c:idx val="0"/>
          <c:order val="0"/>
          <c:tx>
            <c:strRef>
              <c:f>extra_ENP_mass_output!$Q$3</c:f>
              <c:strCache>
                <c:ptCount val="1"/>
                <c:pt idx="0">
                  <c:v>Regional</c:v>
                </c:pt>
              </c:strCache>
            </c:strRef>
          </c:tx>
          <c:explosion val="16"/>
          <c:dPt>
            <c:idx val="0"/>
            <c:bubble3D val="0"/>
            <c:extLst>
              <c:ext xmlns:c16="http://schemas.microsoft.com/office/drawing/2014/chart" uri="{C3380CC4-5D6E-409C-BE32-E72D297353CC}">
                <c16:uniqueId val="{00000000-0A5F-451B-8927-C89891599074}"/>
              </c:ext>
            </c:extLst>
          </c:dPt>
          <c:dPt>
            <c:idx val="1"/>
            <c:bubble3D val="0"/>
            <c:explosion val="11"/>
            <c:extLst>
              <c:ext xmlns:c16="http://schemas.microsoft.com/office/drawing/2014/chart" uri="{C3380CC4-5D6E-409C-BE32-E72D297353CC}">
                <c16:uniqueId val="{00000001-0A5F-451B-8927-C89891599074}"/>
              </c:ext>
            </c:extLst>
          </c:dPt>
          <c:dPt>
            <c:idx val="2"/>
            <c:bubble3D val="0"/>
            <c:extLst>
              <c:ext xmlns:c16="http://schemas.microsoft.com/office/drawing/2014/chart" uri="{C3380CC4-5D6E-409C-BE32-E72D297353CC}">
                <c16:uniqueId val="{00000002-0A5F-451B-8927-C89891599074}"/>
              </c:ext>
            </c:extLst>
          </c:dPt>
          <c:dPt>
            <c:idx val="3"/>
            <c:bubble3D val="0"/>
            <c:explosion val="5"/>
            <c:extLst>
              <c:ext xmlns:c16="http://schemas.microsoft.com/office/drawing/2014/chart" uri="{C3380CC4-5D6E-409C-BE32-E72D297353CC}">
                <c16:uniqueId val="{00000003-0A5F-451B-8927-C89891599074}"/>
              </c:ext>
            </c:extLst>
          </c:dPt>
          <c:dLbls>
            <c:dLbl>
              <c:idx val="2"/>
              <c:layout>
                <c:manualLayout>
                  <c:x val="2.7233087799507947E-3"/>
                  <c:y val="-5.0580588421211747E-3"/>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A5F-451B-8927-C89891599074}"/>
                </c:ext>
              </c:extLst>
            </c:dLbl>
            <c:dLbl>
              <c:idx val="3"/>
              <c:layout>
                <c:manualLayout>
                  <c:x val="5.1643383286766598E-2"/>
                  <c:y val="1.1015377004575999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A5F-451B-8927-C89891599074}"/>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extra_ENP_mass_output!$P$4:$P$7</c:f>
              <c:strCache>
                <c:ptCount val="4"/>
                <c:pt idx="0">
                  <c:v>Air</c:v>
                </c:pt>
                <c:pt idx="1">
                  <c:v>Water</c:v>
                </c:pt>
                <c:pt idx="2">
                  <c:v>Sediment</c:v>
                </c:pt>
                <c:pt idx="3">
                  <c:v>Soil</c:v>
                </c:pt>
              </c:strCache>
            </c:strRef>
          </c:cat>
          <c:val>
            <c:numRef>
              <c:f>extra_ENP_mass_output!$Q$4:$Q$7</c:f>
              <c:numCache>
                <c:formatCode>0.00E+00</c:formatCode>
                <c:ptCount val="4"/>
                <c:pt idx="0">
                  <c:v>34306.844822999134</c:v>
                </c:pt>
                <c:pt idx="1">
                  <c:v>15825053.72309426</c:v>
                </c:pt>
                <c:pt idx="2">
                  <c:v>48202764.96939522</c:v>
                </c:pt>
                <c:pt idx="3">
                  <c:v>16481473126.615721</c:v>
                </c:pt>
              </c:numCache>
            </c:numRef>
          </c:val>
          <c:extLst>
            <c:ext xmlns:c16="http://schemas.microsoft.com/office/drawing/2014/chart" uri="{C3380CC4-5D6E-409C-BE32-E72D297353CC}">
              <c16:uniqueId val="{00000004-0A5F-451B-8927-C89891599074}"/>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70604986876640419"/>
          <c:y val="0.35564881614929023"/>
          <c:w val="0.29395013123359581"/>
          <c:h val="0.50493300902832172"/>
        </c:manualLayout>
      </c:layout>
      <c:overlay val="1"/>
    </c:legend>
    <c:plotVisOnly val="1"/>
    <c:dispBlanksAs val="gap"/>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5.8715633518783197E-3"/>
          <c:y val="0.42009846066538975"/>
          <c:w val="0.76174464678401688"/>
          <c:h val="0.36922976519826911"/>
        </c:manualLayout>
      </c:layout>
      <c:pie3DChart>
        <c:varyColors val="1"/>
        <c:ser>
          <c:idx val="0"/>
          <c:order val="0"/>
          <c:tx>
            <c:strRef>
              <c:f>extra_ENP_mass_output!$S$68</c:f>
              <c:strCache>
                <c:ptCount val="1"/>
                <c:pt idx="0">
                  <c:v>Continental</c:v>
                </c:pt>
              </c:strCache>
            </c:strRef>
          </c:tx>
          <c:dPt>
            <c:idx val="0"/>
            <c:bubble3D val="0"/>
            <c:extLst>
              <c:ext xmlns:c16="http://schemas.microsoft.com/office/drawing/2014/chart" uri="{C3380CC4-5D6E-409C-BE32-E72D297353CC}">
                <c16:uniqueId val="{00000000-C447-4FCC-80E1-040758499C57}"/>
              </c:ext>
            </c:extLst>
          </c:dPt>
          <c:dPt>
            <c:idx val="1"/>
            <c:bubble3D val="0"/>
            <c:extLst>
              <c:ext xmlns:c16="http://schemas.microsoft.com/office/drawing/2014/chart" uri="{C3380CC4-5D6E-409C-BE32-E72D297353CC}">
                <c16:uniqueId val="{00000001-C447-4FCC-80E1-040758499C57}"/>
              </c:ext>
            </c:extLst>
          </c:dPt>
          <c:dPt>
            <c:idx val="2"/>
            <c:bubble3D val="0"/>
            <c:extLst>
              <c:ext xmlns:c16="http://schemas.microsoft.com/office/drawing/2014/chart" uri="{C3380CC4-5D6E-409C-BE32-E72D297353CC}">
                <c16:uniqueId val="{00000002-C447-4FCC-80E1-040758499C57}"/>
              </c:ext>
            </c:extLst>
          </c:dPt>
          <c:dPt>
            <c:idx val="3"/>
            <c:bubble3D val="0"/>
            <c:extLst>
              <c:ext xmlns:c16="http://schemas.microsoft.com/office/drawing/2014/chart" uri="{C3380CC4-5D6E-409C-BE32-E72D297353CC}">
                <c16:uniqueId val="{00000003-C447-4FCC-80E1-040758499C57}"/>
              </c:ext>
            </c:extLst>
          </c:dPt>
          <c:dLbls>
            <c:dLbl>
              <c:idx val="0"/>
              <c:layout>
                <c:manualLayout>
                  <c:x val="1.1625979185034304E-2"/>
                  <c:y val="-4.0649216145279138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C447-4FCC-80E1-040758499C57}"/>
                </c:ext>
              </c:extLst>
            </c:dLbl>
            <c:dLbl>
              <c:idx val="1"/>
              <c:layout>
                <c:manualLayout>
                  <c:x val="-6.5662602985437635E-2"/>
                  <c:y val="1.6477264666241043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447-4FCC-80E1-040758499C57}"/>
                </c:ext>
              </c:extLst>
            </c:dLbl>
            <c:dLbl>
              <c:idx val="2"/>
              <c:layout>
                <c:manualLayout>
                  <c:x val="6.4480993929812824E-2"/>
                  <c:y val="1.9160388735191883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447-4FCC-80E1-040758499C57}"/>
                </c:ext>
              </c:extLst>
            </c:dLbl>
            <c:dLbl>
              <c:idx val="3"/>
              <c:layout>
                <c:manualLayout>
                  <c:x val="-5.0709472126794962E-2"/>
                  <c:y val="-2.4612328864297367E-3"/>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447-4FCC-80E1-040758499C57}"/>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extra_ENP_mass_output!$R$69:$R$72</c:f>
              <c:strCache>
                <c:ptCount val="4"/>
                <c:pt idx="0">
                  <c:v>Air</c:v>
                </c:pt>
                <c:pt idx="1">
                  <c:v>Water</c:v>
                </c:pt>
                <c:pt idx="2">
                  <c:v>Sediment</c:v>
                </c:pt>
                <c:pt idx="3">
                  <c:v>Soil</c:v>
                </c:pt>
              </c:strCache>
            </c:strRef>
          </c:cat>
          <c:val>
            <c:numRef>
              <c:f>extra_ENP_mass_output!$S$69:$S$72</c:f>
              <c:numCache>
                <c:formatCode>0.00E+00</c:formatCode>
                <c:ptCount val="4"/>
                <c:pt idx="0" formatCode="General_)">
                  <c:v>125031.32838982854</c:v>
                </c:pt>
                <c:pt idx="1">
                  <c:v>31842631209.877644</c:v>
                </c:pt>
                <c:pt idx="2">
                  <c:v>817649002.59267676</c:v>
                </c:pt>
                <c:pt idx="3">
                  <c:v>131591047.31883366</c:v>
                </c:pt>
              </c:numCache>
            </c:numRef>
          </c:val>
          <c:extLst>
            <c:ext xmlns:c16="http://schemas.microsoft.com/office/drawing/2014/chart" uri="{C3380CC4-5D6E-409C-BE32-E72D297353CC}">
              <c16:uniqueId val="{00000004-C447-4FCC-80E1-040758499C57}"/>
            </c:ext>
          </c:extLst>
        </c:ser>
        <c:dLbls>
          <c:showLegendKey val="0"/>
          <c:showVal val="0"/>
          <c:showCatName val="0"/>
          <c:showSerName val="0"/>
          <c:showPercent val="0"/>
          <c:showBubbleSize val="0"/>
          <c:showLeaderLines val="1"/>
        </c:dLbls>
      </c:pie3DChart>
      <c:spPr>
        <a:noFill/>
        <a:ln w="25400">
          <a:noFill/>
        </a:ln>
      </c:spPr>
    </c:plotArea>
    <c:legend>
      <c:legendPos val="r"/>
      <c:overlay val="1"/>
    </c:legend>
    <c:plotVisOnly val="1"/>
    <c:dispBlanksAs val="gap"/>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4.0668820779872624E-3"/>
          <c:y val="0.36150919409136489"/>
          <c:w val="0.69438947621587144"/>
          <c:h val="0.47352094802521522"/>
        </c:manualLayout>
      </c:layout>
      <c:pie3DChart>
        <c:varyColors val="1"/>
        <c:ser>
          <c:idx val="0"/>
          <c:order val="0"/>
          <c:tx>
            <c:strRef>
              <c:f>extra_ENP_mass_output!$U$68</c:f>
              <c:strCache>
                <c:ptCount val="1"/>
                <c:pt idx="0">
                  <c:v>Global</c:v>
                </c:pt>
              </c:strCache>
            </c:strRef>
          </c:tx>
          <c:dPt>
            <c:idx val="0"/>
            <c:bubble3D val="0"/>
            <c:extLst>
              <c:ext xmlns:c16="http://schemas.microsoft.com/office/drawing/2014/chart" uri="{C3380CC4-5D6E-409C-BE32-E72D297353CC}">
                <c16:uniqueId val="{00000000-EF68-4F20-85DC-47BD9914D88D}"/>
              </c:ext>
            </c:extLst>
          </c:dPt>
          <c:dPt>
            <c:idx val="1"/>
            <c:bubble3D val="0"/>
            <c:extLst>
              <c:ext xmlns:c16="http://schemas.microsoft.com/office/drawing/2014/chart" uri="{C3380CC4-5D6E-409C-BE32-E72D297353CC}">
                <c16:uniqueId val="{00000001-EF68-4F20-85DC-47BD9914D88D}"/>
              </c:ext>
            </c:extLst>
          </c:dPt>
          <c:dPt>
            <c:idx val="2"/>
            <c:bubble3D val="0"/>
            <c:extLst>
              <c:ext xmlns:c16="http://schemas.microsoft.com/office/drawing/2014/chart" uri="{C3380CC4-5D6E-409C-BE32-E72D297353CC}">
                <c16:uniqueId val="{00000002-EF68-4F20-85DC-47BD9914D88D}"/>
              </c:ext>
            </c:extLst>
          </c:dPt>
          <c:dPt>
            <c:idx val="3"/>
            <c:bubble3D val="0"/>
            <c:extLst>
              <c:ext xmlns:c16="http://schemas.microsoft.com/office/drawing/2014/chart" uri="{C3380CC4-5D6E-409C-BE32-E72D297353CC}">
                <c16:uniqueId val="{00000003-EF68-4F20-85DC-47BD9914D88D}"/>
              </c:ext>
            </c:extLst>
          </c:dPt>
          <c:dLbls>
            <c:dLbl>
              <c:idx val="0"/>
              <c:layout>
                <c:manualLayout>
                  <c:x val="1.7925986343340548E-2"/>
                  <c:y val="-3.5802819729501029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EF68-4F20-85DC-47BD9914D88D}"/>
                </c:ext>
              </c:extLst>
            </c:dLbl>
            <c:dLbl>
              <c:idx val="1"/>
              <c:layout>
                <c:manualLayout>
                  <c:x val="-0.20202219040801717"/>
                  <c:y val="-5.011007131961908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F68-4F20-85DC-47BD9914D88D}"/>
                </c:ext>
              </c:extLst>
            </c:dLbl>
            <c:dLbl>
              <c:idx val="2"/>
              <c:layout>
                <c:manualLayout>
                  <c:x val="-5.8857483452018695E-2"/>
                  <c:y val="1.9641725112229825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F68-4F20-85DC-47BD9914D88D}"/>
                </c:ext>
              </c:extLst>
            </c:dLbl>
            <c:dLbl>
              <c:idx val="3"/>
              <c:layout>
                <c:manualLayout>
                  <c:x val="5.3006242745553218E-2"/>
                  <c:y val="2.6927699611319078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F68-4F20-85DC-47BD9914D88D}"/>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extra_ENP_mass_output!$T$69:$T$72</c:f>
              <c:strCache>
                <c:ptCount val="4"/>
                <c:pt idx="0">
                  <c:v>Air</c:v>
                </c:pt>
                <c:pt idx="1">
                  <c:v>Water</c:v>
                </c:pt>
                <c:pt idx="2">
                  <c:v>Sediment</c:v>
                </c:pt>
                <c:pt idx="3">
                  <c:v>Soil</c:v>
                </c:pt>
              </c:strCache>
            </c:strRef>
          </c:cat>
          <c:val>
            <c:numRef>
              <c:f>extra_ENP_mass_output!$U$69:$U$72</c:f>
              <c:numCache>
                <c:formatCode>0.00E+00</c:formatCode>
                <c:ptCount val="4"/>
                <c:pt idx="0">
                  <c:v>117417.64938301076</c:v>
                </c:pt>
                <c:pt idx="1">
                  <c:v>21336402187846.859</c:v>
                </c:pt>
                <c:pt idx="2">
                  <c:v>35901518339.753647</c:v>
                </c:pt>
                <c:pt idx="3">
                  <c:v>4015950.326777013</c:v>
                </c:pt>
              </c:numCache>
            </c:numRef>
          </c:val>
          <c:extLst>
            <c:ext xmlns:c16="http://schemas.microsoft.com/office/drawing/2014/chart" uri="{C3380CC4-5D6E-409C-BE32-E72D297353CC}">
              <c16:uniqueId val="{00000004-EF68-4F20-85DC-47BD9914D88D}"/>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65113028202152023"/>
          <c:y val="0.24004876439625372"/>
          <c:w val="0.31699720801832043"/>
          <c:h val="0.72372732097012471"/>
        </c:manualLayout>
      </c:layout>
      <c:overlay val="1"/>
    </c:legend>
    <c:plotVisOnly val="1"/>
    <c:dispBlanksAs val="gap"/>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4.2992724768719506E-3"/>
          <c:y val="0.41429295647856412"/>
          <c:w val="0.82452501422113111"/>
          <c:h val="0.41870356793176894"/>
        </c:manualLayout>
      </c:layout>
      <c:pie3DChart>
        <c:varyColors val="1"/>
        <c:ser>
          <c:idx val="0"/>
          <c:order val="0"/>
          <c:tx>
            <c:strRef>
              <c:f>extra_ENP_mass_output!$Q$15</c:f>
              <c:strCache>
                <c:ptCount val="1"/>
                <c:pt idx="0">
                  <c:v>Regional</c:v>
                </c:pt>
              </c:strCache>
            </c:strRef>
          </c:tx>
          <c:explosion val="11"/>
          <c:dPt>
            <c:idx val="0"/>
            <c:bubble3D val="0"/>
            <c:extLst>
              <c:ext xmlns:c16="http://schemas.microsoft.com/office/drawing/2014/chart" uri="{C3380CC4-5D6E-409C-BE32-E72D297353CC}">
                <c16:uniqueId val="{00000000-D665-4E8D-B406-227C7ABB9FB1}"/>
              </c:ext>
            </c:extLst>
          </c:dPt>
          <c:dPt>
            <c:idx val="1"/>
            <c:bubble3D val="0"/>
            <c:extLst>
              <c:ext xmlns:c16="http://schemas.microsoft.com/office/drawing/2014/chart" uri="{C3380CC4-5D6E-409C-BE32-E72D297353CC}">
                <c16:uniqueId val="{00000001-D665-4E8D-B406-227C7ABB9FB1}"/>
              </c:ext>
            </c:extLst>
          </c:dPt>
          <c:dPt>
            <c:idx val="2"/>
            <c:bubble3D val="0"/>
            <c:extLst>
              <c:ext xmlns:c16="http://schemas.microsoft.com/office/drawing/2014/chart" uri="{C3380CC4-5D6E-409C-BE32-E72D297353CC}">
                <c16:uniqueId val="{00000002-D665-4E8D-B406-227C7ABB9FB1}"/>
              </c:ext>
            </c:extLst>
          </c:dPt>
          <c:dLbls>
            <c:dLbl>
              <c:idx val="0"/>
              <c:layout>
                <c:manualLayout>
                  <c:x val="4.5578276099517978E-2"/>
                  <c:y val="5.333684449868447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D665-4E8D-B406-227C7ABB9FB1}"/>
                </c:ext>
              </c:extLst>
            </c:dLbl>
            <c:dLbl>
              <c:idx val="1"/>
              <c:layout>
                <c:manualLayout>
                  <c:x val="-2.1373012784048382E-2"/>
                  <c:y val="-4.533173552108323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665-4E8D-B406-227C7ABB9FB1}"/>
                </c:ext>
              </c:extLst>
            </c:dLbl>
            <c:dLbl>
              <c:idx val="2"/>
              <c:layout>
                <c:manualLayout>
                  <c:x val="-5.2906200413161283E-2"/>
                  <c:y val="1.8215523681804895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665-4E8D-B406-227C7ABB9FB1}"/>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extra_ENP_mass_output!$P$16:$P$18</c:f>
              <c:strCache>
                <c:ptCount val="3"/>
                <c:pt idx="0">
                  <c:v>Total S</c:v>
                </c:pt>
                <c:pt idx="1">
                  <c:v>Total A</c:v>
                </c:pt>
                <c:pt idx="2">
                  <c:v>Total P</c:v>
                </c:pt>
              </c:strCache>
            </c:strRef>
          </c:cat>
          <c:val>
            <c:numRef>
              <c:f>extra_ENP_mass_output!$Q$16:$Q$18</c:f>
              <c:numCache>
                <c:formatCode>0.00E+00</c:formatCode>
                <c:ptCount val="3"/>
                <c:pt idx="0">
                  <c:v>11400.550766319368</c:v>
                </c:pt>
                <c:pt idx="1">
                  <c:v>25452140.773153428</c:v>
                </c:pt>
                <c:pt idx="2">
                  <c:v>16520071710.829113</c:v>
                </c:pt>
              </c:numCache>
            </c:numRef>
          </c:val>
          <c:extLst>
            <c:ext xmlns:c16="http://schemas.microsoft.com/office/drawing/2014/chart" uri="{C3380CC4-5D6E-409C-BE32-E72D297353CC}">
              <c16:uniqueId val="{00000003-D665-4E8D-B406-227C7ABB9FB1}"/>
            </c:ext>
          </c:extLst>
        </c:ser>
        <c:dLbls>
          <c:showLegendKey val="0"/>
          <c:showVal val="0"/>
          <c:showCatName val="0"/>
          <c:showSerName val="0"/>
          <c:showPercent val="0"/>
          <c:showBubbleSize val="0"/>
          <c:showLeaderLines val="1"/>
        </c:dLbls>
      </c:pie3DChart>
      <c:spPr>
        <a:noFill/>
        <a:ln w="25400">
          <a:noFill/>
        </a:ln>
      </c:spPr>
    </c:plotArea>
    <c:legend>
      <c:legendPos val="r"/>
      <c:overlay val="1"/>
    </c:legend>
    <c:plotVisOnly val="1"/>
    <c:dispBlanksAs val="gap"/>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4.637075607484549E-2"/>
          <c:y val="0.35908544765237677"/>
          <c:w val="0.75672085344170692"/>
          <c:h val="0.51127384076990379"/>
        </c:manualLayout>
      </c:layout>
      <c:pie3DChart>
        <c:varyColors val="1"/>
        <c:ser>
          <c:idx val="0"/>
          <c:order val="0"/>
          <c:tx>
            <c:strRef>
              <c:f>extra_ENP_mass_output!$Z$68</c:f>
              <c:strCache>
                <c:ptCount val="1"/>
                <c:pt idx="0">
                  <c:v>Continental</c:v>
                </c:pt>
              </c:strCache>
            </c:strRef>
          </c:tx>
          <c:explosion val="19"/>
          <c:dPt>
            <c:idx val="0"/>
            <c:bubble3D val="0"/>
            <c:extLst>
              <c:ext xmlns:c16="http://schemas.microsoft.com/office/drawing/2014/chart" uri="{C3380CC4-5D6E-409C-BE32-E72D297353CC}">
                <c16:uniqueId val="{00000000-A92F-4B86-99E3-5C4C7389ADDD}"/>
              </c:ext>
            </c:extLst>
          </c:dPt>
          <c:dPt>
            <c:idx val="1"/>
            <c:bubble3D val="0"/>
            <c:extLst>
              <c:ext xmlns:c16="http://schemas.microsoft.com/office/drawing/2014/chart" uri="{C3380CC4-5D6E-409C-BE32-E72D297353CC}">
                <c16:uniqueId val="{00000001-A92F-4B86-99E3-5C4C7389ADDD}"/>
              </c:ext>
            </c:extLst>
          </c:dPt>
          <c:dPt>
            <c:idx val="2"/>
            <c:bubble3D val="0"/>
            <c:extLst>
              <c:ext xmlns:c16="http://schemas.microsoft.com/office/drawing/2014/chart" uri="{C3380CC4-5D6E-409C-BE32-E72D297353CC}">
                <c16:uniqueId val="{00000002-A92F-4B86-99E3-5C4C7389ADDD}"/>
              </c:ext>
            </c:extLst>
          </c:dPt>
          <c:dLbls>
            <c:dLbl>
              <c:idx val="0"/>
              <c:layout>
                <c:manualLayout>
                  <c:x val="-2.3495046990093979E-4"/>
                  <c:y val="9.9475065616797895E-3"/>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A92F-4B86-99E3-5C4C7389ADDD}"/>
                </c:ext>
              </c:extLst>
            </c:dLbl>
            <c:dLbl>
              <c:idx val="1"/>
              <c:layout>
                <c:manualLayout>
                  <c:x val="2.0314960629921261E-2"/>
                  <c:y val="-3.0852726742490521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92F-4B86-99E3-5C4C7389ADDD}"/>
                </c:ext>
              </c:extLst>
            </c:dLbl>
            <c:dLbl>
              <c:idx val="2"/>
              <c:layout>
                <c:manualLayout>
                  <c:x val="-3.1488866311065906E-2"/>
                  <c:y val="-1.6185476815398076E-3"/>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92F-4B86-99E3-5C4C7389ADDD}"/>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extra_ENP_mass_output!$Y$69:$Y$71</c:f>
              <c:strCache>
                <c:ptCount val="3"/>
                <c:pt idx="0">
                  <c:v>Total S</c:v>
                </c:pt>
                <c:pt idx="1">
                  <c:v>Total A</c:v>
                </c:pt>
                <c:pt idx="2">
                  <c:v>Total P</c:v>
                </c:pt>
              </c:strCache>
            </c:strRef>
          </c:cat>
          <c:val>
            <c:numRef>
              <c:f>extra_ENP_mass_output!$Z$69:$Z$71</c:f>
              <c:numCache>
                <c:formatCode>0.00E+00</c:formatCode>
                <c:ptCount val="3"/>
                <c:pt idx="0">
                  <c:v>3503.584090901446</c:v>
                </c:pt>
                <c:pt idx="1">
                  <c:v>32653369839.131474</c:v>
                </c:pt>
                <c:pt idx="2">
                  <c:v>138622948.40198255</c:v>
                </c:pt>
              </c:numCache>
            </c:numRef>
          </c:val>
          <c:extLst>
            <c:ext xmlns:c16="http://schemas.microsoft.com/office/drawing/2014/chart" uri="{C3380CC4-5D6E-409C-BE32-E72D297353CC}">
              <c16:uniqueId val="{00000003-A92F-4B86-99E3-5C4C7389ADDD}"/>
            </c:ext>
          </c:extLst>
        </c:ser>
        <c:dLbls>
          <c:showLegendKey val="0"/>
          <c:showVal val="0"/>
          <c:showCatName val="0"/>
          <c:showSerName val="0"/>
          <c:showPercent val="0"/>
          <c:showBubbleSize val="0"/>
          <c:showLeaderLines val="1"/>
        </c:dLbls>
      </c:pie3DChart>
      <c:spPr>
        <a:noFill/>
        <a:ln w="25400">
          <a:noFill/>
        </a:ln>
      </c:spPr>
    </c:plotArea>
    <c:legend>
      <c:legendPos val="r"/>
      <c:overlay val="1"/>
    </c:legend>
    <c:plotVisOnly val="1"/>
    <c:dispBlanksAs val="gap"/>
    <c:showDLblsOverMax val="0"/>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0"/>
          <c:y val="0.43331881387167032"/>
          <c:w val="0.89908096715183328"/>
          <c:h val="0.45085608979728597"/>
        </c:manualLayout>
      </c:layout>
      <c:pie3DChart>
        <c:varyColors val="1"/>
        <c:ser>
          <c:idx val="0"/>
          <c:order val="0"/>
          <c:tx>
            <c:strRef>
              <c:f>extra_ENP_mass_output!$AB$68</c:f>
              <c:strCache>
                <c:ptCount val="1"/>
                <c:pt idx="0">
                  <c:v>Global</c:v>
                </c:pt>
              </c:strCache>
            </c:strRef>
          </c:tx>
          <c:explosion val="25"/>
          <c:dPt>
            <c:idx val="0"/>
            <c:bubble3D val="0"/>
            <c:extLst>
              <c:ext xmlns:c16="http://schemas.microsoft.com/office/drawing/2014/chart" uri="{C3380CC4-5D6E-409C-BE32-E72D297353CC}">
                <c16:uniqueId val="{00000000-B918-40A6-8F39-0B6451AA3790}"/>
              </c:ext>
            </c:extLst>
          </c:dPt>
          <c:dPt>
            <c:idx val="1"/>
            <c:bubble3D val="0"/>
            <c:extLst>
              <c:ext xmlns:c16="http://schemas.microsoft.com/office/drawing/2014/chart" uri="{C3380CC4-5D6E-409C-BE32-E72D297353CC}">
                <c16:uniqueId val="{00000001-B918-40A6-8F39-0B6451AA3790}"/>
              </c:ext>
            </c:extLst>
          </c:dPt>
          <c:dPt>
            <c:idx val="2"/>
            <c:bubble3D val="0"/>
            <c:explosion val="10"/>
            <c:extLst>
              <c:ext xmlns:c16="http://schemas.microsoft.com/office/drawing/2014/chart" uri="{C3380CC4-5D6E-409C-BE32-E72D297353CC}">
                <c16:uniqueId val="{00000002-B918-40A6-8F39-0B6451AA3790}"/>
              </c:ext>
            </c:extLst>
          </c:dPt>
          <c:dLbls>
            <c:dLbl>
              <c:idx val="0"/>
              <c:layout>
                <c:manualLayout>
                  <c:x val="4.5997900262467188E-2"/>
                  <c:y val="-1.162076962601897E-3"/>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918-40A6-8F39-0B6451AA3790}"/>
                </c:ext>
              </c:extLst>
            </c:dLbl>
            <c:dLbl>
              <c:idx val="1"/>
              <c:layout>
                <c:manualLayout>
                  <c:x val="-3.6412948381452322E-2"/>
                  <c:y val="1.302228178924443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918-40A6-8F39-0B6451AA3790}"/>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extra_ENP_mass_output!$AA$69:$AA$71</c:f>
              <c:strCache>
                <c:ptCount val="3"/>
                <c:pt idx="0">
                  <c:v>Total S</c:v>
                </c:pt>
                <c:pt idx="1">
                  <c:v>Total A</c:v>
                </c:pt>
                <c:pt idx="2">
                  <c:v>Total P</c:v>
                </c:pt>
              </c:strCache>
            </c:strRef>
          </c:cat>
          <c:val>
            <c:numRef>
              <c:f>extra_ENP_mass_output!$AB$69:$AB$71</c:f>
              <c:numCache>
                <c:formatCode>0.00E+00</c:formatCode>
                <c:ptCount val="3"/>
                <c:pt idx="0">
                  <c:v>193.03974941152899</c:v>
                </c:pt>
                <c:pt idx="1">
                  <c:v>21370586725047.578</c:v>
                </c:pt>
                <c:pt idx="2">
                  <c:v>1721114313.9725506</c:v>
                </c:pt>
              </c:numCache>
            </c:numRef>
          </c:val>
          <c:extLst>
            <c:ext xmlns:c16="http://schemas.microsoft.com/office/drawing/2014/chart" uri="{C3380CC4-5D6E-409C-BE32-E72D297353CC}">
              <c16:uniqueId val="{00000003-B918-40A6-8F39-0B6451AA3790}"/>
            </c:ext>
          </c:extLst>
        </c:ser>
        <c:dLbls>
          <c:showLegendKey val="0"/>
          <c:showVal val="0"/>
          <c:showCatName val="0"/>
          <c:showSerName val="0"/>
          <c:showPercent val="0"/>
          <c:showBubbleSize val="0"/>
          <c:showLeaderLines val="1"/>
        </c:dLbls>
      </c:pie3DChart>
      <c:spPr>
        <a:noFill/>
        <a:ln w="25400">
          <a:noFill/>
        </a:ln>
      </c:spPr>
    </c:plotArea>
    <c:legend>
      <c:legendPos val="r"/>
      <c:overlay val="1"/>
    </c:legend>
    <c:plotVisOnly val="1"/>
    <c:dispBlanksAs val="gap"/>
    <c:showDLblsOverMax val="0"/>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en-US" sz="1200"/>
              <a:t>Air (R)</a:t>
            </a:r>
          </a:p>
        </c:rich>
      </c:tx>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1.5303236511108901E-2"/>
          <c:y val="0.40341929133858268"/>
          <c:w val="0.80781822607240927"/>
          <c:h val="0.40664435695538059"/>
        </c:manualLayout>
      </c:layout>
      <c:pie3DChart>
        <c:varyColors val="1"/>
        <c:ser>
          <c:idx val="0"/>
          <c:order val="0"/>
          <c:tx>
            <c:strRef>
              <c:f>extra_ENP_mass_output!$AG$34</c:f>
              <c:strCache>
                <c:ptCount val="1"/>
                <c:pt idx="0">
                  <c:v>Air</c:v>
                </c:pt>
              </c:strCache>
            </c:strRef>
          </c:tx>
          <c:dPt>
            <c:idx val="0"/>
            <c:bubble3D val="0"/>
            <c:spPr>
              <a:solidFill>
                <a:schemeClr val="accent1"/>
              </a:solidFill>
            </c:spPr>
            <c:extLst>
              <c:ext xmlns:c16="http://schemas.microsoft.com/office/drawing/2014/chart" uri="{C3380CC4-5D6E-409C-BE32-E72D297353CC}">
                <c16:uniqueId val="{00000001-4BF9-4BC6-8CAC-1C72FE616936}"/>
              </c:ext>
            </c:extLst>
          </c:dPt>
          <c:dPt>
            <c:idx val="1"/>
            <c:bubble3D val="0"/>
            <c:explosion val="27"/>
            <c:extLst>
              <c:ext xmlns:c16="http://schemas.microsoft.com/office/drawing/2014/chart" uri="{C3380CC4-5D6E-409C-BE32-E72D297353CC}">
                <c16:uniqueId val="{00000002-4BF9-4BC6-8CAC-1C72FE616936}"/>
              </c:ext>
            </c:extLst>
          </c:dPt>
          <c:dPt>
            <c:idx val="2"/>
            <c:bubble3D val="0"/>
            <c:extLst>
              <c:ext xmlns:c16="http://schemas.microsoft.com/office/drawing/2014/chart" uri="{C3380CC4-5D6E-409C-BE32-E72D297353CC}">
                <c16:uniqueId val="{00000003-4BF9-4BC6-8CAC-1C72FE616936}"/>
              </c:ext>
            </c:extLst>
          </c:dPt>
          <c:dLbls>
            <c:dLbl>
              <c:idx val="1"/>
              <c:layout>
                <c:manualLayout>
                  <c:x val="3.7699850966285359E-5"/>
                  <c:y val="-1.1291041450007428E-4"/>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BF9-4BC6-8CAC-1C72FE616936}"/>
                </c:ext>
              </c:extLst>
            </c:dLbl>
            <c:dLbl>
              <c:idx val="2"/>
              <c:layout>
                <c:manualLayout>
                  <c:x val="-4.5683152318373811E-2"/>
                  <c:y val="1.2243186582809224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BF9-4BC6-8CAC-1C72FE616936}"/>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extra_ENP_mass_output!$AF$35:$AF$37</c:f>
              <c:strCache>
                <c:ptCount val="3"/>
                <c:pt idx="0">
                  <c:v>S</c:v>
                </c:pt>
                <c:pt idx="1">
                  <c:v>A</c:v>
                </c:pt>
                <c:pt idx="2">
                  <c:v>P</c:v>
                </c:pt>
              </c:strCache>
            </c:strRef>
          </c:cat>
          <c:val>
            <c:numRef>
              <c:f>extra_ENP_mass_output!$AG$35:$AG$37</c:f>
              <c:numCache>
                <c:formatCode>0.00E+00</c:formatCode>
                <c:ptCount val="3"/>
                <c:pt idx="0">
                  <c:v>9690.1971073752156</c:v>
                </c:pt>
                <c:pt idx="1">
                  <c:v>24606.827009700963</c:v>
                </c:pt>
                <c:pt idx="2">
                  <c:v>9.8207059229520564</c:v>
                </c:pt>
              </c:numCache>
            </c:numRef>
          </c:val>
          <c:extLst>
            <c:ext xmlns:c16="http://schemas.microsoft.com/office/drawing/2014/chart" uri="{C3380CC4-5D6E-409C-BE32-E72D297353CC}">
              <c16:uniqueId val="{00000004-4BF9-4BC6-8CAC-1C72FE616936}"/>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75635600095442612"/>
          <c:y val="0.37250532362699945"/>
          <c:w val="0.13799713672154612"/>
          <c:h val="0.45491606002079926"/>
        </c:manualLayout>
      </c:layout>
      <c:overlay val="1"/>
    </c:legend>
    <c:plotVisOnly val="1"/>
    <c:dispBlanksAs val="gap"/>
    <c:showDLblsOverMax val="0"/>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Water (R)</a:t>
            </a:r>
          </a:p>
        </c:rich>
      </c:tx>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0"/>
          <c:y val="0.37556909159939911"/>
          <c:w val="0.92781231729920011"/>
          <c:h val="0.45580679773518878"/>
        </c:manualLayout>
      </c:layout>
      <c:pie3DChart>
        <c:varyColors val="1"/>
        <c:ser>
          <c:idx val="0"/>
          <c:order val="0"/>
          <c:tx>
            <c:strRef>
              <c:f>extra_ENP_mass_output!$AJ$64</c:f>
              <c:strCache>
                <c:ptCount val="1"/>
                <c:pt idx="0">
                  <c:v>Water</c:v>
                </c:pt>
              </c:strCache>
            </c:strRef>
          </c:tx>
          <c:explosion val="15"/>
          <c:dPt>
            <c:idx val="0"/>
            <c:bubble3D val="0"/>
            <c:extLst>
              <c:ext xmlns:c16="http://schemas.microsoft.com/office/drawing/2014/chart" uri="{C3380CC4-5D6E-409C-BE32-E72D297353CC}">
                <c16:uniqueId val="{00000000-9460-4BB9-955E-D9BB51C84CFF}"/>
              </c:ext>
            </c:extLst>
          </c:dPt>
          <c:dPt>
            <c:idx val="1"/>
            <c:bubble3D val="0"/>
            <c:extLst>
              <c:ext xmlns:c16="http://schemas.microsoft.com/office/drawing/2014/chart" uri="{C3380CC4-5D6E-409C-BE32-E72D297353CC}">
                <c16:uniqueId val="{00000001-9460-4BB9-955E-D9BB51C84CFF}"/>
              </c:ext>
            </c:extLst>
          </c:dPt>
          <c:dPt>
            <c:idx val="2"/>
            <c:bubble3D val="0"/>
            <c:extLst>
              <c:ext xmlns:c16="http://schemas.microsoft.com/office/drawing/2014/chart" uri="{C3380CC4-5D6E-409C-BE32-E72D297353CC}">
                <c16:uniqueId val="{00000002-9460-4BB9-955E-D9BB51C84CFF}"/>
              </c:ext>
            </c:extLst>
          </c:dPt>
          <c:dLbls>
            <c:dLbl>
              <c:idx val="0"/>
              <c:layout>
                <c:manualLayout>
                  <c:x val="-5.5557874542790583E-2"/>
                  <c:y val="-1.3546693760054188E-4"/>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9460-4BB9-955E-D9BB51C84CFF}"/>
                </c:ext>
              </c:extLst>
            </c:dLbl>
            <c:dLbl>
              <c:idx val="1"/>
              <c:layout>
                <c:manualLayout>
                  <c:x val="-0.11974076700128124"/>
                  <c:y val="-2.6281054490830156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460-4BB9-955E-D9BB51C84CFF}"/>
                </c:ext>
              </c:extLst>
            </c:dLbl>
            <c:dLbl>
              <c:idx val="2"/>
              <c:layout>
                <c:manualLayout>
                  <c:x val="8.8032242415195736E-2"/>
                  <c:y val="-1.3536043843576158E-4"/>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460-4BB9-955E-D9BB51C84CFF}"/>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extra_ENP_mass_output!$AI$65:$AI$67</c:f>
              <c:strCache>
                <c:ptCount val="3"/>
                <c:pt idx="0">
                  <c:v>S</c:v>
                </c:pt>
                <c:pt idx="1">
                  <c:v>A</c:v>
                </c:pt>
                <c:pt idx="2">
                  <c:v>P</c:v>
                </c:pt>
              </c:strCache>
            </c:strRef>
          </c:cat>
          <c:val>
            <c:numRef>
              <c:f>extra_ENP_mass_output!$AJ$65:$AJ$67</c:f>
              <c:numCache>
                <c:formatCode>0.00E+00</c:formatCode>
                <c:ptCount val="3"/>
                <c:pt idx="0">
                  <c:v>1694.115722694346</c:v>
                </c:pt>
                <c:pt idx="1">
                  <c:v>15679728.718862168</c:v>
                </c:pt>
                <c:pt idx="2">
                  <c:v>143630.88850939719</c:v>
                </c:pt>
              </c:numCache>
            </c:numRef>
          </c:val>
          <c:extLst>
            <c:ext xmlns:c16="http://schemas.microsoft.com/office/drawing/2014/chart" uri="{C3380CC4-5D6E-409C-BE32-E72D297353CC}">
              <c16:uniqueId val="{00000003-9460-4BB9-955E-D9BB51C84CFF}"/>
            </c:ext>
          </c:extLst>
        </c:ser>
        <c:dLbls>
          <c:showLegendKey val="0"/>
          <c:showVal val="0"/>
          <c:showCatName val="0"/>
          <c:showSerName val="0"/>
          <c:showPercent val="0"/>
          <c:showBubbleSize val="0"/>
          <c:showLeaderLines val="1"/>
        </c:dLbls>
      </c:pie3DChart>
      <c:spPr>
        <a:noFill/>
        <a:ln w="25400">
          <a:noFill/>
        </a:ln>
      </c:spPr>
    </c:plotArea>
    <c:legend>
      <c:legendPos val="r"/>
      <c:overlay val="1"/>
    </c:legend>
    <c:plotVisOnly val="1"/>
    <c:dispBlanksAs val="gap"/>
    <c:showDLblsOverMax val="0"/>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Sediment (R)</a:t>
            </a:r>
          </a:p>
        </c:rich>
      </c:tx>
      <c:overlay val="0"/>
    </c:title>
    <c:autoTitleDeleted val="0"/>
    <c:view3D>
      <c:rotX val="30"/>
      <c:rotY val="0"/>
      <c:rAngAx val="0"/>
    </c:view3D>
    <c:floor>
      <c:thickness val="0"/>
    </c:floor>
    <c:sideWall>
      <c:thickness val="0"/>
    </c:sideWall>
    <c:backWall>
      <c:thickness val="0"/>
    </c:backWall>
    <c:plotArea>
      <c:layout/>
      <c:pie3DChart>
        <c:varyColors val="1"/>
        <c:ser>
          <c:idx val="0"/>
          <c:order val="0"/>
          <c:tx>
            <c:strRef>
              <c:f>extra_ENP_mass_output!$AL$64</c:f>
              <c:strCache>
                <c:ptCount val="1"/>
                <c:pt idx="0">
                  <c:v>Sediment</c:v>
                </c:pt>
              </c:strCache>
            </c:strRef>
          </c:tx>
          <c:explosion val="2"/>
          <c:dPt>
            <c:idx val="0"/>
            <c:bubble3D val="0"/>
            <c:extLst>
              <c:ext xmlns:c16="http://schemas.microsoft.com/office/drawing/2014/chart" uri="{C3380CC4-5D6E-409C-BE32-E72D297353CC}">
                <c16:uniqueId val="{00000000-B0DC-4ADC-8EB0-678129941E93}"/>
              </c:ext>
            </c:extLst>
          </c:dPt>
          <c:dPt>
            <c:idx val="1"/>
            <c:bubble3D val="0"/>
            <c:extLst>
              <c:ext xmlns:c16="http://schemas.microsoft.com/office/drawing/2014/chart" uri="{C3380CC4-5D6E-409C-BE32-E72D297353CC}">
                <c16:uniqueId val="{00000001-B0DC-4ADC-8EB0-678129941E93}"/>
              </c:ext>
            </c:extLst>
          </c:dPt>
          <c:dPt>
            <c:idx val="2"/>
            <c:bubble3D val="0"/>
            <c:explosion val="28"/>
            <c:extLst>
              <c:ext xmlns:c16="http://schemas.microsoft.com/office/drawing/2014/chart" uri="{C3380CC4-5D6E-409C-BE32-E72D297353CC}">
                <c16:uniqueId val="{00000002-B0DC-4ADC-8EB0-678129941E93}"/>
              </c:ext>
            </c:extLst>
          </c:dPt>
          <c:dLbls>
            <c:dLbl>
              <c:idx val="0"/>
              <c:layout>
                <c:manualLayout>
                  <c:x val="-5.1461954352480133E-2"/>
                  <c:y val="2.5052737972970768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0DC-4ADC-8EB0-678129941E93}"/>
                </c:ext>
              </c:extLst>
            </c:dLbl>
            <c:dLbl>
              <c:idx val="1"/>
              <c:layout>
                <c:manualLayout>
                  <c:x val="-4.5303530607061215E-2"/>
                  <c:y val="-1.1104481505029263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0DC-4ADC-8EB0-678129941E93}"/>
                </c:ext>
              </c:extLst>
            </c:dLbl>
            <c:dLbl>
              <c:idx val="2"/>
              <c:layout>
                <c:manualLayout>
                  <c:x val="-2.1553757393229073E-3"/>
                  <c:y val="-7.9561793906196502E-3"/>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0DC-4ADC-8EB0-678129941E93}"/>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extra_ENP_mass_output!$AK$65:$AK$67</c:f>
              <c:strCache>
                <c:ptCount val="3"/>
                <c:pt idx="0">
                  <c:v>S</c:v>
                </c:pt>
                <c:pt idx="1">
                  <c:v>A</c:v>
                </c:pt>
                <c:pt idx="2">
                  <c:v>P</c:v>
                </c:pt>
              </c:strCache>
            </c:strRef>
          </c:cat>
          <c:val>
            <c:numRef>
              <c:f>extra_ENP_mass_output!$AL$65:$AL$67</c:f>
              <c:numCache>
                <c:formatCode>0.00E+00</c:formatCode>
                <c:ptCount val="3"/>
                <c:pt idx="0">
                  <c:v>7.3329381595783525E-4</c:v>
                </c:pt>
                <c:pt idx="1">
                  <c:v>5692832.5186264506</c:v>
                </c:pt>
                <c:pt idx="2">
                  <c:v>42509932.450035483</c:v>
                </c:pt>
              </c:numCache>
            </c:numRef>
          </c:val>
          <c:extLst>
            <c:ext xmlns:c16="http://schemas.microsoft.com/office/drawing/2014/chart" uri="{C3380CC4-5D6E-409C-BE32-E72D297353CC}">
              <c16:uniqueId val="{00000003-B0DC-4ADC-8EB0-678129941E93}"/>
            </c:ext>
          </c:extLst>
        </c:ser>
        <c:dLbls>
          <c:showLegendKey val="0"/>
          <c:showVal val="0"/>
          <c:showCatName val="0"/>
          <c:showSerName val="0"/>
          <c:showPercent val="0"/>
          <c:showBubbleSize val="0"/>
          <c:showLeaderLines val="1"/>
        </c:dLbls>
      </c:pie3DChart>
      <c:spPr>
        <a:noFill/>
        <a:ln w="25400">
          <a:noFill/>
        </a:ln>
      </c:spPr>
    </c:plotArea>
    <c:legend>
      <c:legendPos val="r"/>
      <c:overlay val="1"/>
    </c:legend>
    <c:plotVisOnly val="1"/>
    <c:dispBlanksAs val="gap"/>
    <c:showDLblsOverMax val="0"/>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Soil (R)</a:t>
            </a:r>
          </a:p>
        </c:rich>
      </c:tx>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4.4800594615938487E-2"/>
          <c:y val="0.33624447389159839"/>
          <c:w val="0.74520707035514366"/>
          <c:h val="0.51922032490724479"/>
        </c:manualLayout>
      </c:layout>
      <c:pie3DChart>
        <c:varyColors val="1"/>
        <c:ser>
          <c:idx val="0"/>
          <c:order val="0"/>
          <c:tx>
            <c:strRef>
              <c:f>extra_ENP_mass_output!$AN$64</c:f>
              <c:strCache>
                <c:ptCount val="1"/>
                <c:pt idx="0">
                  <c:v>Soil</c:v>
                </c:pt>
              </c:strCache>
            </c:strRef>
          </c:tx>
          <c:dPt>
            <c:idx val="0"/>
            <c:bubble3D val="0"/>
            <c:extLst>
              <c:ext xmlns:c16="http://schemas.microsoft.com/office/drawing/2014/chart" uri="{C3380CC4-5D6E-409C-BE32-E72D297353CC}">
                <c16:uniqueId val="{00000000-0B89-438E-AFC0-4C69D5E1CEB2}"/>
              </c:ext>
            </c:extLst>
          </c:dPt>
          <c:dPt>
            <c:idx val="1"/>
            <c:bubble3D val="0"/>
            <c:extLst>
              <c:ext xmlns:c16="http://schemas.microsoft.com/office/drawing/2014/chart" uri="{C3380CC4-5D6E-409C-BE32-E72D297353CC}">
                <c16:uniqueId val="{00000001-0B89-438E-AFC0-4C69D5E1CEB2}"/>
              </c:ext>
            </c:extLst>
          </c:dPt>
          <c:dPt>
            <c:idx val="2"/>
            <c:bubble3D val="0"/>
            <c:extLst>
              <c:ext xmlns:c16="http://schemas.microsoft.com/office/drawing/2014/chart" uri="{C3380CC4-5D6E-409C-BE32-E72D297353CC}">
                <c16:uniqueId val="{00000002-0B89-438E-AFC0-4C69D5E1CEB2}"/>
              </c:ext>
            </c:extLst>
          </c:dPt>
          <c:dLbls>
            <c:dLbl>
              <c:idx val="0"/>
              <c:layout>
                <c:manualLayout>
                  <c:x val="-6.1949225373377E-2"/>
                  <c:y val="1.4550094521775005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0B89-438E-AFC0-4C69D5E1CEB2}"/>
                </c:ext>
              </c:extLst>
            </c:dLbl>
            <c:dLbl>
              <c:idx val="1"/>
              <c:layout>
                <c:manualLayout>
                  <c:x val="-0.15963631128387432"/>
                  <c:y val="-3.6148465734976848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B89-438E-AFC0-4C69D5E1CEB2}"/>
                </c:ext>
              </c:extLst>
            </c:dLbl>
            <c:dLbl>
              <c:idx val="2"/>
              <c:layout>
                <c:manualLayout>
                  <c:x val="5.4818944092165471E-2"/>
                  <c:y val="2.050001985327421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B89-438E-AFC0-4C69D5E1CEB2}"/>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extra_ENP_mass_output!$AM$65:$AM$67</c:f>
              <c:strCache>
                <c:ptCount val="3"/>
                <c:pt idx="0">
                  <c:v>S</c:v>
                </c:pt>
                <c:pt idx="1">
                  <c:v>A</c:v>
                </c:pt>
                <c:pt idx="2">
                  <c:v>P</c:v>
                </c:pt>
              </c:strCache>
            </c:strRef>
          </c:cat>
          <c:val>
            <c:numRef>
              <c:f>extra_ENP_mass_output!$AN$65:$AN$67</c:f>
              <c:numCache>
                <c:formatCode>0.00E+00</c:formatCode>
                <c:ptCount val="3"/>
                <c:pt idx="0">
                  <c:v>16.237202955990579</c:v>
                </c:pt>
                <c:pt idx="1">
                  <c:v>4054972.7086551082</c:v>
                </c:pt>
                <c:pt idx="2">
                  <c:v>16477418137.669863</c:v>
                </c:pt>
              </c:numCache>
            </c:numRef>
          </c:val>
          <c:extLst>
            <c:ext xmlns:c16="http://schemas.microsoft.com/office/drawing/2014/chart" uri="{C3380CC4-5D6E-409C-BE32-E72D297353CC}">
              <c16:uniqueId val="{00000003-0B89-438E-AFC0-4C69D5E1CEB2}"/>
            </c:ext>
          </c:extLst>
        </c:ser>
        <c:dLbls>
          <c:showLegendKey val="0"/>
          <c:showVal val="0"/>
          <c:showCatName val="0"/>
          <c:showSerName val="0"/>
          <c:showPercent val="0"/>
          <c:showBubbleSize val="0"/>
          <c:showLeaderLines val="1"/>
        </c:dLbls>
      </c:pie3DChart>
      <c:spPr>
        <a:noFill/>
        <a:ln w="25400">
          <a:noFill/>
        </a:ln>
      </c:spPr>
    </c:plotArea>
    <c:legend>
      <c:legendPos val="r"/>
      <c:overlay val="1"/>
    </c:legend>
    <c:plotVisOnly val="1"/>
    <c:dispBlanksAs val="gap"/>
    <c:showDLblsOverMax val="0"/>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a:pPr>
            <a:r>
              <a:rPr lang="nl-NL" sz="1050"/>
              <a:t>Air (G)  </a:t>
            </a:r>
          </a:p>
        </c:rich>
      </c:tx>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1.8784045436943335E-2"/>
          <c:y val="0.3443505144679001"/>
          <c:w val="0.75478163590206959"/>
          <c:h val="0.53886543323188896"/>
        </c:manualLayout>
      </c:layout>
      <c:pie3DChart>
        <c:varyColors val="1"/>
        <c:ser>
          <c:idx val="0"/>
          <c:order val="0"/>
          <c:tx>
            <c:strRef>
              <c:f>extra_ENP_mass_output!$AS$66</c:f>
              <c:strCache>
                <c:ptCount val="1"/>
                <c:pt idx="0">
                  <c:v>Air</c:v>
                </c:pt>
              </c:strCache>
            </c:strRef>
          </c:tx>
          <c:explosion val="25"/>
          <c:dPt>
            <c:idx val="0"/>
            <c:bubble3D val="0"/>
            <c:extLst>
              <c:ext xmlns:c16="http://schemas.microsoft.com/office/drawing/2014/chart" uri="{C3380CC4-5D6E-409C-BE32-E72D297353CC}">
                <c16:uniqueId val="{00000000-057E-4105-90FB-42AB2D2C88E8}"/>
              </c:ext>
            </c:extLst>
          </c:dPt>
          <c:dPt>
            <c:idx val="1"/>
            <c:bubble3D val="0"/>
            <c:extLst>
              <c:ext xmlns:c16="http://schemas.microsoft.com/office/drawing/2014/chart" uri="{C3380CC4-5D6E-409C-BE32-E72D297353CC}">
                <c16:uniqueId val="{00000001-057E-4105-90FB-42AB2D2C88E8}"/>
              </c:ext>
            </c:extLst>
          </c:dPt>
          <c:dPt>
            <c:idx val="2"/>
            <c:bubble3D val="0"/>
            <c:extLst>
              <c:ext xmlns:c16="http://schemas.microsoft.com/office/drawing/2014/chart" uri="{C3380CC4-5D6E-409C-BE32-E72D297353CC}">
                <c16:uniqueId val="{00000002-057E-4105-90FB-42AB2D2C88E8}"/>
              </c:ext>
            </c:extLst>
          </c:dPt>
          <c:dLbls>
            <c:dLbl>
              <c:idx val="0"/>
              <c:layout>
                <c:manualLayout>
                  <c:x val="-4.6450238802116947E-2"/>
                  <c:y val="2.2296507415100721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057E-4105-90FB-42AB2D2C88E8}"/>
                </c:ext>
              </c:extLst>
            </c:dLbl>
            <c:dLbl>
              <c:idx val="1"/>
              <c:layout>
                <c:manualLayout>
                  <c:x val="4.8495331526182177E-2"/>
                  <c:y val="2.2296507415100721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57E-4105-90FB-42AB2D2C88E8}"/>
                </c:ext>
              </c:extLst>
            </c:dLbl>
            <c:dLbl>
              <c:idx val="2"/>
              <c:layout>
                <c:manualLayout>
                  <c:x val="-0.17418247923927541"/>
                  <c:y val="-3.7177592064795581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57E-4105-90FB-42AB2D2C88E8}"/>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extra_ENP_mass_output!$AR$67:$AR$69</c:f>
              <c:strCache>
                <c:ptCount val="3"/>
                <c:pt idx="0">
                  <c:v>S</c:v>
                </c:pt>
                <c:pt idx="1">
                  <c:v>A</c:v>
                </c:pt>
                <c:pt idx="2">
                  <c:v>P</c:v>
                </c:pt>
              </c:strCache>
            </c:strRef>
          </c:cat>
          <c:val>
            <c:numRef>
              <c:f>extra_ENP_mass_output!$AS$67:$AS$69</c:f>
              <c:numCache>
                <c:formatCode>0.00E+00</c:formatCode>
                <c:ptCount val="3"/>
                <c:pt idx="0">
                  <c:v>192.89031712374671</c:v>
                </c:pt>
                <c:pt idx="1">
                  <c:v>117224.44448227852</c:v>
                </c:pt>
                <c:pt idx="2">
                  <c:v>0.31458360850569006</c:v>
                </c:pt>
              </c:numCache>
            </c:numRef>
          </c:val>
          <c:extLst>
            <c:ext xmlns:c16="http://schemas.microsoft.com/office/drawing/2014/chart" uri="{C3380CC4-5D6E-409C-BE32-E72D297353CC}">
              <c16:uniqueId val="{00000003-057E-4105-90FB-42AB2D2C88E8}"/>
            </c:ext>
          </c:extLst>
        </c:ser>
        <c:dLbls>
          <c:showLegendKey val="0"/>
          <c:showVal val="0"/>
          <c:showCatName val="0"/>
          <c:showSerName val="0"/>
          <c:showPercent val="0"/>
          <c:showBubbleSize val="0"/>
          <c:showLeaderLines val="1"/>
        </c:dLbls>
      </c:pie3DChart>
      <c:spPr>
        <a:noFill/>
        <a:ln w="25400">
          <a:noFill/>
        </a:ln>
      </c:spPr>
    </c:plotArea>
    <c:legend>
      <c:legendPos val="r"/>
      <c:overlay val="1"/>
    </c:legend>
    <c:plotVisOnly val="1"/>
    <c:dispBlanksAs val="gap"/>
    <c:showDLblsOverMax val="0"/>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Water (G)</a:t>
            </a:r>
          </a:p>
        </c:rich>
      </c:tx>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6.2499907145994731E-2"/>
          <c:y val="0.33450089439457009"/>
          <c:w val="0.73034602602190168"/>
          <c:h val="0.52148653392848188"/>
        </c:manualLayout>
      </c:layout>
      <c:pie3DChart>
        <c:varyColors val="1"/>
        <c:ser>
          <c:idx val="0"/>
          <c:order val="0"/>
          <c:tx>
            <c:strRef>
              <c:f>extra_ENP_mass_output!$AU$66</c:f>
              <c:strCache>
                <c:ptCount val="1"/>
                <c:pt idx="0">
                  <c:v>Water</c:v>
                </c:pt>
              </c:strCache>
            </c:strRef>
          </c:tx>
          <c:explosion val="2"/>
          <c:dPt>
            <c:idx val="0"/>
            <c:bubble3D val="0"/>
            <c:extLst>
              <c:ext xmlns:c16="http://schemas.microsoft.com/office/drawing/2014/chart" uri="{C3380CC4-5D6E-409C-BE32-E72D297353CC}">
                <c16:uniqueId val="{00000000-C510-4C83-A9A3-EB4A491D56AC}"/>
              </c:ext>
            </c:extLst>
          </c:dPt>
          <c:dPt>
            <c:idx val="1"/>
            <c:bubble3D val="0"/>
            <c:extLst>
              <c:ext xmlns:c16="http://schemas.microsoft.com/office/drawing/2014/chart" uri="{C3380CC4-5D6E-409C-BE32-E72D297353CC}">
                <c16:uniqueId val="{00000001-C510-4C83-A9A3-EB4A491D56AC}"/>
              </c:ext>
            </c:extLst>
          </c:dPt>
          <c:dPt>
            <c:idx val="2"/>
            <c:bubble3D val="0"/>
            <c:extLst>
              <c:ext xmlns:c16="http://schemas.microsoft.com/office/drawing/2014/chart" uri="{C3380CC4-5D6E-409C-BE32-E72D297353CC}">
                <c16:uniqueId val="{00000002-C510-4C83-A9A3-EB4A491D56AC}"/>
              </c:ext>
            </c:extLst>
          </c:dPt>
          <c:dLbls>
            <c:dLbl>
              <c:idx val="0"/>
              <c:layout>
                <c:manualLayout>
                  <c:x val="-3.6799036484075856E-2"/>
                  <c:y val="2.1769685039370077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C510-4C83-A9A3-EB4A491D56AC}"/>
                </c:ext>
              </c:extLst>
            </c:dLbl>
            <c:dLbl>
              <c:idx val="1"/>
              <c:layout>
                <c:manualLayout>
                  <c:x val="-7.0111236095488111E-2"/>
                  <c:y val="-2.6045275590551181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510-4C83-A9A3-EB4A491D56AC}"/>
                </c:ext>
              </c:extLst>
            </c:dLbl>
            <c:dLbl>
              <c:idx val="2"/>
              <c:layout>
                <c:manualLayout>
                  <c:x val="7.2835895513060869E-2"/>
                  <c:y val="-1.9422572178477691E-3"/>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510-4C83-A9A3-EB4A491D56AC}"/>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extra_ENP_mass_output!$AT$67:$AT$69</c:f>
              <c:strCache>
                <c:ptCount val="3"/>
                <c:pt idx="0">
                  <c:v>S</c:v>
                </c:pt>
                <c:pt idx="1">
                  <c:v>A</c:v>
                </c:pt>
                <c:pt idx="2">
                  <c:v>P</c:v>
                </c:pt>
              </c:strCache>
            </c:strRef>
          </c:cat>
          <c:val>
            <c:numRef>
              <c:f>extra_ENP_mass_output!$AU$67:$AU$69</c:f>
              <c:numCache>
                <c:formatCode>0.00E+00</c:formatCode>
                <c:ptCount val="3"/>
                <c:pt idx="0">
                  <c:v>0.13635664210474127</c:v>
                </c:pt>
                <c:pt idx="1">
                  <c:v>21335544225036.133</c:v>
                </c:pt>
                <c:pt idx="2">
                  <c:v>857962810.58997583</c:v>
                </c:pt>
              </c:numCache>
            </c:numRef>
          </c:val>
          <c:extLst>
            <c:ext xmlns:c16="http://schemas.microsoft.com/office/drawing/2014/chart" uri="{C3380CC4-5D6E-409C-BE32-E72D297353CC}">
              <c16:uniqueId val="{00000003-C510-4C83-A9A3-EB4A491D56AC}"/>
            </c:ext>
          </c:extLst>
        </c:ser>
        <c:dLbls>
          <c:showLegendKey val="0"/>
          <c:showVal val="0"/>
          <c:showCatName val="0"/>
          <c:showSerName val="0"/>
          <c:showPercent val="0"/>
          <c:showBubbleSize val="0"/>
          <c:showLeaderLines val="1"/>
        </c:dLbls>
      </c:pie3DChart>
      <c:spPr>
        <a:noFill/>
        <a:ln w="25400">
          <a:noFill/>
        </a:ln>
      </c:spPr>
    </c:plotArea>
    <c:legend>
      <c:legendPos val="r"/>
      <c:overlay val="1"/>
    </c:legend>
    <c:plotVisOnly val="1"/>
    <c:dispBlanksAs val="gap"/>
    <c:showDLblsOverMax val="0"/>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en-US" sz="1200"/>
              <a:t>Sediment (G)</a:t>
            </a:r>
          </a:p>
        </c:rich>
      </c:tx>
      <c:overlay val="0"/>
    </c:title>
    <c:autoTitleDeleted val="0"/>
    <c:view3D>
      <c:rotX val="30"/>
      <c:rotY val="0"/>
      <c:rAngAx val="0"/>
    </c:view3D>
    <c:floor>
      <c:thickness val="0"/>
    </c:floor>
    <c:sideWall>
      <c:thickness val="0"/>
    </c:sideWall>
    <c:backWall>
      <c:thickness val="0"/>
    </c:backWall>
    <c:plotArea>
      <c:layout/>
      <c:pie3DChart>
        <c:varyColors val="1"/>
        <c:ser>
          <c:idx val="0"/>
          <c:order val="0"/>
          <c:tx>
            <c:strRef>
              <c:f>extra_ENP_mass_output!$AW$66</c:f>
              <c:strCache>
                <c:ptCount val="1"/>
                <c:pt idx="0">
                  <c:v>Sediment</c:v>
                </c:pt>
              </c:strCache>
            </c:strRef>
          </c:tx>
          <c:explosion val="8"/>
          <c:dPt>
            <c:idx val="0"/>
            <c:bubble3D val="0"/>
            <c:extLst>
              <c:ext xmlns:c16="http://schemas.microsoft.com/office/drawing/2014/chart" uri="{C3380CC4-5D6E-409C-BE32-E72D297353CC}">
                <c16:uniqueId val="{00000000-D2BD-4242-80F0-AE2C2D82B37B}"/>
              </c:ext>
            </c:extLst>
          </c:dPt>
          <c:dPt>
            <c:idx val="1"/>
            <c:bubble3D val="0"/>
            <c:extLst>
              <c:ext xmlns:c16="http://schemas.microsoft.com/office/drawing/2014/chart" uri="{C3380CC4-5D6E-409C-BE32-E72D297353CC}">
                <c16:uniqueId val="{00000001-D2BD-4242-80F0-AE2C2D82B37B}"/>
              </c:ext>
            </c:extLst>
          </c:dPt>
          <c:dPt>
            <c:idx val="2"/>
            <c:bubble3D val="0"/>
            <c:extLst>
              <c:ext xmlns:c16="http://schemas.microsoft.com/office/drawing/2014/chart" uri="{C3380CC4-5D6E-409C-BE32-E72D297353CC}">
                <c16:uniqueId val="{00000002-D2BD-4242-80F0-AE2C2D82B37B}"/>
              </c:ext>
            </c:extLst>
          </c:dPt>
          <c:dLbls>
            <c:dLbl>
              <c:idx val="1"/>
              <c:layout>
                <c:manualLayout>
                  <c:x val="1.2121212121212121E-2"/>
                  <c:y val="3.1163826040732248E-4"/>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2BD-4242-80F0-AE2C2D82B37B}"/>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extra_ENP_mass_output!$AV$67:$AV$69</c:f>
              <c:strCache>
                <c:ptCount val="3"/>
                <c:pt idx="0">
                  <c:v>S</c:v>
                </c:pt>
                <c:pt idx="1">
                  <c:v>A</c:v>
                </c:pt>
                <c:pt idx="2">
                  <c:v>P</c:v>
                </c:pt>
              </c:strCache>
            </c:strRef>
          </c:cat>
          <c:val>
            <c:numRef>
              <c:f>extra_ENP_mass_output!$AW$67:$AW$69</c:f>
              <c:numCache>
                <c:formatCode>0.00E+00</c:formatCode>
                <c:ptCount val="3"/>
                <c:pt idx="0">
                  <c:v>1.6788430805028288E-16</c:v>
                </c:pt>
                <c:pt idx="1">
                  <c:v>35042029592.80027</c:v>
                </c:pt>
                <c:pt idx="2">
                  <c:v>859488746.95336831</c:v>
                </c:pt>
              </c:numCache>
            </c:numRef>
          </c:val>
          <c:extLst>
            <c:ext xmlns:c16="http://schemas.microsoft.com/office/drawing/2014/chart" uri="{C3380CC4-5D6E-409C-BE32-E72D297353CC}">
              <c16:uniqueId val="{00000003-D2BD-4242-80F0-AE2C2D82B37B}"/>
            </c:ext>
          </c:extLst>
        </c:ser>
        <c:dLbls>
          <c:showLegendKey val="0"/>
          <c:showVal val="0"/>
          <c:showCatName val="0"/>
          <c:showSerName val="0"/>
          <c:showPercent val="0"/>
          <c:showBubbleSize val="0"/>
          <c:showLeaderLines val="1"/>
        </c:dLbls>
      </c:pie3DChart>
      <c:spPr>
        <a:noFill/>
        <a:ln w="25400">
          <a:noFill/>
        </a:ln>
      </c:spPr>
    </c:plotArea>
    <c:legend>
      <c:legendPos val="r"/>
      <c:overlay val="1"/>
    </c:legend>
    <c:plotVisOnly val="1"/>
    <c:dispBlanksAs val="gap"/>
    <c:showDLblsOverMax val="0"/>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en-US" sz="1200"/>
              <a:t>Soil (G)</a:t>
            </a:r>
          </a:p>
        </c:rich>
      </c:tx>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3.7693706891289744E-2"/>
          <c:y val="0.32011461367308947"/>
          <c:w val="0.73856607458951351"/>
          <c:h val="0.4921296728340791"/>
        </c:manualLayout>
      </c:layout>
      <c:pie3DChart>
        <c:varyColors val="1"/>
        <c:ser>
          <c:idx val="0"/>
          <c:order val="0"/>
          <c:tx>
            <c:strRef>
              <c:f>extra_ENP_mass_output!$AY$66</c:f>
              <c:strCache>
                <c:ptCount val="1"/>
                <c:pt idx="0">
                  <c:v>Soil</c:v>
                </c:pt>
              </c:strCache>
            </c:strRef>
          </c:tx>
          <c:explosion val="15"/>
          <c:dPt>
            <c:idx val="0"/>
            <c:bubble3D val="0"/>
            <c:extLst>
              <c:ext xmlns:c16="http://schemas.microsoft.com/office/drawing/2014/chart" uri="{C3380CC4-5D6E-409C-BE32-E72D297353CC}">
                <c16:uniqueId val="{00000000-E6F1-46F2-A050-AC9F6E830DB0}"/>
              </c:ext>
            </c:extLst>
          </c:dPt>
          <c:dPt>
            <c:idx val="1"/>
            <c:bubble3D val="0"/>
            <c:extLst>
              <c:ext xmlns:c16="http://schemas.microsoft.com/office/drawing/2014/chart" uri="{C3380CC4-5D6E-409C-BE32-E72D297353CC}">
                <c16:uniqueId val="{00000001-E6F1-46F2-A050-AC9F6E830DB0}"/>
              </c:ext>
            </c:extLst>
          </c:dPt>
          <c:dPt>
            <c:idx val="2"/>
            <c:bubble3D val="0"/>
            <c:extLst>
              <c:ext xmlns:c16="http://schemas.microsoft.com/office/drawing/2014/chart" uri="{C3380CC4-5D6E-409C-BE32-E72D297353CC}">
                <c16:uniqueId val="{00000002-E6F1-46F2-A050-AC9F6E830DB0}"/>
              </c:ext>
            </c:extLst>
          </c:dPt>
          <c:dLbls>
            <c:dLbl>
              <c:idx val="0"/>
              <c:layout>
                <c:manualLayout>
                  <c:x val="-3.6436305926875419E-2"/>
                  <c:y val="1.1579247238417069E-3"/>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E6F1-46F2-A050-AC9F6E830DB0}"/>
                </c:ext>
              </c:extLst>
            </c:dLbl>
            <c:dLbl>
              <c:idx val="1"/>
              <c:layout>
                <c:manualLayout>
                  <c:x val="7.2090825856070323E-2"/>
                  <c:y val="-1.405963742098361E-4"/>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6F1-46F2-A050-AC9F6E830DB0}"/>
                </c:ext>
              </c:extLst>
            </c:dLbl>
            <c:dLbl>
              <c:idx val="2"/>
              <c:layout>
                <c:manualLayout>
                  <c:x val="-6.0467069523286336E-2"/>
                  <c:y val="6.4778704990741511E-3"/>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6F1-46F2-A050-AC9F6E830DB0}"/>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extra_ENP_mass_output!$AX$67:$AX$69</c:f>
              <c:strCache>
                <c:ptCount val="3"/>
                <c:pt idx="0">
                  <c:v>S</c:v>
                </c:pt>
                <c:pt idx="1">
                  <c:v>A</c:v>
                </c:pt>
                <c:pt idx="2">
                  <c:v>P</c:v>
                </c:pt>
              </c:strCache>
            </c:strRef>
          </c:cat>
          <c:val>
            <c:numRef>
              <c:f>extra_ENP_mass_output!$AY$67:$AY$69</c:f>
              <c:numCache>
                <c:formatCode>0.00E+00</c:formatCode>
                <c:ptCount val="3"/>
                <c:pt idx="0">
                  <c:v>1.3075645677518824E-2</c:v>
                </c:pt>
                <c:pt idx="1">
                  <c:v>353194.19907863764</c:v>
                </c:pt>
                <c:pt idx="2">
                  <c:v>3662756.1146227294</c:v>
                </c:pt>
              </c:numCache>
            </c:numRef>
          </c:val>
          <c:extLst>
            <c:ext xmlns:c16="http://schemas.microsoft.com/office/drawing/2014/chart" uri="{C3380CC4-5D6E-409C-BE32-E72D297353CC}">
              <c16:uniqueId val="{00000003-E6F1-46F2-A050-AC9F6E830DB0}"/>
            </c:ext>
          </c:extLst>
        </c:ser>
        <c:dLbls>
          <c:showLegendKey val="0"/>
          <c:showVal val="0"/>
          <c:showCatName val="0"/>
          <c:showSerName val="0"/>
          <c:showPercent val="0"/>
          <c:showBubbleSize val="0"/>
          <c:showLeaderLines val="1"/>
        </c:dLbls>
      </c:pie3DChart>
      <c:spPr>
        <a:noFill/>
        <a:ln w="25400">
          <a:noFill/>
        </a:ln>
      </c:spPr>
    </c:plotArea>
    <c:legend>
      <c:legendPos val="r"/>
      <c:overlay val="1"/>
    </c:legend>
    <c:plotVisOnly val="1"/>
    <c:dispBlanksAs val="gap"/>
    <c:showDLblsOverMax val="0"/>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Air (C)</a:t>
            </a:r>
          </a:p>
        </c:rich>
      </c:tx>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2.8311909729232566E-2"/>
          <c:y val="0.31422632170978626"/>
          <c:w val="0.74964398680934119"/>
          <c:h val="0.5008809898762655"/>
        </c:manualLayout>
      </c:layout>
      <c:pie3DChart>
        <c:varyColors val="1"/>
        <c:ser>
          <c:idx val="0"/>
          <c:order val="0"/>
          <c:tx>
            <c:strRef>
              <c:f>extra_ENP_mass_output!$AH$89</c:f>
              <c:strCache>
                <c:ptCount val="1"/>
                <c:pt idx="0">
                  <c:v>Air</c:v>
                </c:pt>
              </c:strCache>
            </c:strRef>
          </c:tx>
          <c:explosion val="21"/>
          <c:dPt>
            <c:idx val="0"/>
            <c:bubble3D val="0"/>
            <c:extLst>
              <c:ext xmlns:c16="http://schemas.microsoft.com/office/drawing/2014/chart" uri="{C3380CC4-5D6E-409C-BE32-E72D297353CC}">
                <c16:uniqueId val="{00000000-08EC-4544-A551-89B82627ACEC}"/>
              </c:ext>
            </c:extLst>
          </c:dPt>
          <c:dPt>
            <c:idx val="1"/>
            <c:bubble3D val="0"/>
            <c:extLst>
              <c:ext xmlns:c16="http://schemas.microsoft.com/office/drawing/2014/chart" uri="{C3380CC4-5D6E-409C-BE32-E72D297353CC}">
                <c16:uniqueId val="{00000001-08EC-4544-A551-89B82627ACEC}"/>
              </c:ext>
            </c:extLst>
          </c:dPt>
          <c:dPt>
            <c:idx val="2"/>
            <c:bubble3D val="0"/>
            <c:extLst>
              <c:ext xmlns:c16="http://schemas.microsoft.com/office/drawing/2014/chart" uri="{C3380CC4-5D6E-409C-BE32-E72D297353CC}">
                <c16:uniqueId val="{00000002-08EC-4544-A551-89B82627ACEC}"/>
              </c:ext>
            </c:extLst>
          </c:dPt>
          <c:dLbls>
            <c:dLbl>
              <c:idx val="1"/>
              <c:layout>
                <c:manualLayout>
                  <c:x val="1.6415191690782243E-2"/>
                  <c:y val="-2.7661342332208474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8EC-4544-A551-89B82627ACEC}"/>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extra_ENP_mass_output!$AG$90:$AG$92</c:f>
              <c:strCache>
                <c:ptCount val="3"/>
                <c:pt idx="0">
                  <c:v>S</c:v>
                </c:pt>
                <c:pt idx="1">
                  <c:v>A</c:v>
                </c:pt>
                <c:pt idx="2">
                  <c:v>P</c:v>
                </c:pt>
              </c:strCache>
            </c:strRef>
          </c:cat>
          <c:val>
            <c:numRef>
              <c:f>extra_ENP_mass_output!$AH$90:$AH$92</c:f>
              <c:numCache>
                <c:formatCode>0.00E+00</c:formatCode>
                <c:ptCount val="3"/>
                <c:pt idx="0">
                  <c:v>3498.1130415501457</c:v>
                </c:pt>
                <c:pt idx="1">
                  <c:v>121528.11244655181</c:v>
                </c:pt>
                <c:pt idx="2">
                  <c:v>5.1029017265960102</c:v>
                </c:pt>
              </c:numCache>
            </c:numRef>
          </c:val>
          <c:extLst>
            <c:ext xmlns:c16="http://schemas.microsoft.com/office/drawing/2014/chart" uri="{C3380CC4-5D6E-409C-BE32-E72D297353CC}">
              <c16:uniqueId val="{00000003-08EC-4544-A551-89B82627ACEC}"/>
            </c:ext>
          </c:extLst>
        </c:ser>
        <c:dLbls>
          <c:showLegendKey val="0"/>
          <c:showVal val="0"/>
          <c:showCatName val="0"/>
          <c:showSerName val="0"/>
          <c:showPercent val="0"/>
          <c:showBubbleSize val="0"/>
          <c:showLeaderLines val="1"/>
        </c:dLbls>
      </c:pie3DChart>
      <c:spPr>
        <a:noFill/>
        <a:ln w="25400">
          <a:noFill/>
        </a:ln>
      </c:spPr>
    </c:plotArea>
    <c:legend>
      <c:legendPos val="r"/>
      <c:overlay val="1"/>
    </c:legend>
    <c:plotVisOnly val="1"/>
    <c:dispBlanksAs val="gap"/>
    <c:showDLblsOverMax val="0"/>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Water (C)</a:t>
            </a:r>
          </a:p>
        </c:rich>
      </c:tx>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5.7651575445713053E-2"/>
          <c:y val="0.30218662322382117"/>
          <c:w val="0.75226699173063616"/>
          <c:h val="0.51527039889244619"/>
        </c:manualLayout>
      </c:layout>
      <c:pie3DChart>
        <c:varyColors val="1"/>
        <c:ser>
          <c:idx val="0"/>
          <c:order val="0"/>
          <c:tx>
            <c:strRef>
              <c:f>extra_ENP_mass_output!$AJ$89</c:f>
              <c:strCache>
                <c:ptCount val="1"/>
                <c:pt idx="0">
                  <c:v>Water</c:v>
                </c:pt>
              </c:strCache>
            </c:strRef>
          </c:tx>
          <c:explosion val="2"/>
          <c:dPt>
            <c:idx val="0"/>
            <c:bubble3D val="0"/>
            <c:extLst>
              <c:ext xmlns:c16="http://schemas.microsoft.com/office/drawing/2014/chart" uri="{C3380CC4-5D6E-409C-BE32-E72D297353CC}">
                <c16:uniqueId val="{00000000-592D-47A6-9DFB-6DAF97EF3C61}"/>
              </c:ext>
            </c:extLst>
          </c:dPt>
          <c:dPt>
            <c:idx val="1"/>
            <c:bubble3D val="0"/>
            <c:explosion val="19"/>
            <c:extLst>
              <c:ext xmlns:c16="http://schemas.microsoft.com/office/drawing/2014/chart" uri="{C3380CC4-5D6E-409C-BE32-E72D297353CC}">
                <c16:uniqueId val="{00000001-592D-47A6-9DFB-6DAF97EF3C61}"/>
              </c:ext>
            </c:extLst>
          </c:dPt>
          <c:dPt>
            <c:idx val="2"/>
            <c:bubble3D val="0"/>
            <c:extLst>
              <c:ext xmlns:c16="http://schemas.microsoft.com/office/drawing/2014/chart" uri="{C3380CC4-5D6E-409C-BE32-E72D297353CC}">
                <c16:uniqueId val="{00000002-592D-47A6-9DFB-6DAF97EF3C61}"/>
              </c:ext>
            </c:extLst>
          </c:dPt>
          <c:dLbls>
            <c:dLbl>
              <c:idx val="0"/>
              <c:layout>
                <c:manualLayout>
                  <c:x val="-2.9988029738960455E-2"/>
                  <c:y val="-9.5451530097199391E-3"/>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592D-47A6-9DFB-6DAF97EF3C61}"/>
                </c:ext>
              </c:extLst>
            </c:dLbl>
            <c:dLbl>
              <c:idx val="1"/>
              <c:layout>
                <c:manualLayout>
                  <c:x val="-5.0210962123458366E-2"/>
                  <c:y val="-1.889071558362897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2D-47A6-9DFB-6DAF97EF3C61}"/>
                </c:ext>
              </c:extLst>
            </c:dLbl>
            <c:dLbl>
              <c:idx val="2"/>
              <c:layout>
                <c:manualLayout>
                  <c:x val="5.9272779187120442E-2"/>
                  <c:y val="-4.0506475152144441E-3"/>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92D-47A6-9DFB-6DAF97EF3C61}"/>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extra_ENP_mass_output!$AI$90:$AI$92</c:f>
              <c:strCache>
                <c:ptCount val="3"/>
                <c:pt idx="0">
                  <c:v>S</c:v>
                </c:pt>
                <c:pt idx="1">
                  <c:v>A</c:v>
                </c:pt>
                <c:pt idx="2">
                  <c:v>P</c:v>
                </c:pt>
              </c:strCache>
            </c:strRef>
          </c:cat>
          <c:val>
            <c:numRef>
              <c:f>extra_ENP_mass_output!$AJ$90:$AJ$92</c:f>
              <c:numCache>
                <c:formatCode>0.00E+00</c:formatCode>
                <c:ptCount val="3"/>
                <c:pt idx="0">
                  <c:v>5.3106040419321792</c:v>
                </c:pt>
                <c:pt idx="1">
                  <c:v>31842194409.873188</c:v>
                </c:pt>
                <c:pt idx="2">
                  <c:v>436794.69384860701</c:v>
                </c:pt>
              </c:numCache>
            </c:numRef>
          </c:val>
          <c:extLst>
            <c:ext xmlns:c16="http://schemas.microsoft.com/office/drawing/2014/chart" uri="{C3380CC4-5D6E-409C-BE32-E72D297353CC}">
              <c16:uniqueId val="{00000003-592D-47A6-9DFB-6DAF97EF3C61}"/>
            </c:ext>
          </c:extLst>
        </c:ser>
        <c:dLbls>
          <c:showLegendKey val="0"/>
          <c:showVal val="0"/>
          <c:showCatName val="0"/>
          <c:showSerName val="0"/>
          <c:showPercent val="0"/>
          <c:showBubbleSize val="0"/>
          <c:showLeaderLines val="1"/>
        </c:dLbls>
      </c:pie3DChart>
      <c:spPr>
        <a:noFill/>
        <a:ln w="25400">
          <a:noFill/>
        </a:ln>
      </c:spPr>
    </c:plotArea>
    <c:legend>
      <c:legendPos val="r"/>
      <c:overlay val="1"/>
    </c:legend>
    <c:plotVisOnly val="1"/>
    <c:dispBlanksAs val="gap"/>
    <c:showDLblsOverMax val="0"/>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Sediment</a:t>
            </a:r>
            <a:r>
              <a:rPr lang="en-US" sz="1100" baseline="0"/>
              <a:t> (C)</a:t>
            </a:r>
            <a:endParaRPr lang="en-US" sz="1100"/>
          </a:p>
        </c:rich>
      </c:tx>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4.7672479782265104E-2"/>
          <c:y val="0.293894566370693"/>
          <c:w val="0.75766677165354335"/>
          <c:h val="0.42730814150623514"/>
        </c:manualLayout>
      </c:layout>
      <c:pie3DChart>
        <c:varyColors val="1"/>
        <c:ser>
          <c:idx val="0"/>
          <c:order val="0"/>
          <c:tx>
            <c:strRef>
              <c:f>extra_ENP_mass_output!$AL$89</c:f>
              <c:strCache>
                <c:ptCount val="1"/>
                <c:pt idx="0">
                  <c:v>Sediment</c:v>
                </c:pt>
              </c:strCache>
            </c:strRef>
          </c:tx>
          <c:dPt>
            <c:idx val="0"/>
            <c:bubble3D val="0"/>
            <c:extLst>
              <c:ext xmlns:c16="http://schemas.microsoft.com/office/drawing/2014/chart" uri="{C3380CC4-5D6E-409C-BE32-E72D297353CC}">
                <c16:uniqueId val="{00000000-0743-4E5E-82D4-C9E2186C9C3B}"/>
              </c:ext>
            </c:extLst>
          </c:dPt>
          <c:dPt>
            <c:idx val="1"/>
            <c:bubble3D val="0"/>
            <c:explosion val="21"/>
            <c:extLst>
              <c:ext xmlns:c16="http://schemas.microsoft.com/office/drawing/2014/chart" uri="{C3380CC4-5D6E-409C-BE32-E72D297353CC}">
                <c16:uniqueId val="{00000001-0743-4E5E-82D4-C9E2186C9C3B}"/>
              </c:ext>
            </c:extLst>
          </c:dPt>
          <c:dPt>
            <c:idx val="2"/>
            <c:bubble3D val="0"/>
            <c:extLst>
              <c:ext xmlns:c16="http://schemas.microsoft.com/office/drawing/2014/chart" uri="{C3380CC4-5D6E-409C-BE32-E72D297353CC}">
                <c16:uniqueId val="{00000002-0743-4E5E-82D4-C9E2186C9C3B}"/>
              </c:ext>
            </c:extLst>
          </c:dPt>
          <c:dLbls>
            <c:dLbl>
              <c:idx val="1"/>
              <c:layout>
                <c:manualLayout>
                  <c:x val="-0.30616175096756976"/>
                  <c:y val="9.1901290116513212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743-4E5E-82D4-C9E2186C9C3B}"/>
                </c:ext>
              </c:extLst>
            </c:dLbl>
            <c:dLbl>
              <c:idx val="2"/>
              <c:layout>
                <c:manualLayout>
                  <c:x val="2.7328172961430669E-2"/>
                  <c:y val="-3.0760599369523255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743-4E5E-82D4-C9E2186C9C3B}"/>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extra_ENP_mass_output!$AK$90:$AK$92</c:f>
              <c:strCache>
                <c:ptCount val="3"/>
                <c:pt idx="0">
                  <c:v>S</c:v>
                </c:pt>
                <c:pt idx="1">
                  <c:v>A</c:v>
                </c:pt>
                <c:pt idx="2">
                  <c:v>P</c:v>
                </c:pt>
              </c:strCache>
            </c:strRef>
          </c:cat>
          <c:val>
            <c:numRef>
              <c:f>extra_ENP_mass_output!$AL$90:$AL$92</c:f>
              <c:numCache>
                <c:formatCode>0.00E+00</c:formatCode>
                <c:ptCount val="3"/>
                <c:pt idx="0">
                  <c:v>1.7638332302643699E-7</c:v>
                </c:pt>
                <c:pt idx="1">
                  <c:v>810709650.29964113</c:v>
                </c:pt>
                <c:pt idx="2">
                  <c:v>6939352.2930355333</c:v>
                </c:pt>
              </c:numCache>
            </c:numRef>
          </c:val>
          <c:extLst>
            <c:ext xmlns:c16="http://schemas.microsoft.com/office/drawing/2014/chart" uri="{C3380CC4-5D6E-409C-BE32-E72D297353CC}">
              <c16:uniqueId val="{00000003-0743-4E5E-82D4-C9E2186C9C3B}"/>
            </c:ext>
          </c:extLst>
        </c:ser>
        <c:dLbls>
          <c:showLegendKey val="0"/>
          <c:showVal val="0"/>
          <c:showCatName val="0"/>
          <c:showSerName val="0"/>
          <c:showPercent val="0"/>
          <c:showBubbleSize val="0"/>
          <c:showLeaderLines val="1"/>
        </c:dLbls>
      </c:pie3DChart>
      <c:spPr>
        <a:noFill/>
        <a:ln w="25400">
          <a:noFill/>
        </a:ln>
      </c:spPr>
    </c:plotArea>
    <c:legend>
      <c:legendPos val="r"/>
      <c:overlay val="1"/>
    </c:legend>
    <c:plotVisOnly val="1"/>
    <c:dispBlanksAs val="gap"/>
    <c:showDLblsOverMax val="0"/>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Soil (C)</a:t>
            </a:r>
          </a:p>
        </c:rich>
      </c:tx>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5.802099359909909E-2"/>
          <c:y val="0.23619008150297005"/>
          <c:w val="0.736004621043991"/>
          <c:h val="0.53939214119974133"/>
        </c:manualLayout>
      </c:layout>
      <c:pie3DChart>
        <c:varyColors val="1"/>
        <c:ser>
          <c:idx val="0"/>
          <c:order val="0"/>
          <c:tx>
            <c:strRef>
              <c:f>extra_ENP_mass_output!$AN$89</c:f>
              <c:strCache>
                <c:ptCount val="1"/>
                <c:pt idx="0">
                  <c:v>Soil</c:v>
                </c:pt>
              </c:strCache>
            </c:strRef>
          </c:tx>
          <c:explosion val="1"/>
          <c:dPt>
            <c:idx val="0"/>
            <c:bubble3D val="0"/>
            <c:extLst>
              <c:ext xmlns:c16="http://schemas.microsoft.com/office/drawing/2014/chart" uri="{C3380CC4-5D6E-409C-BE32-E72D297353CC}">
                <c16:uniqueId val="{00000000-098D-4F43-A147-43A91970F4DD}"/>
              </c:ext>
            </c:extLst>
          </c:dPt>
          <c:dPt>
            <c:idx val="1"/>
            <c:bubble3D val="0"/>
            <c:explosion val="24"/>
            <c:extLst>
              <c:ext xmlns:c16="http://schemas.microsoft.com/office/drawing/2014/chart" uri="{C3380CC4-5D6E-409C-BE32-E72D297353CC}">
                <c16:uniqueId val="{00000001-098D-4F43-A147-43A91970F4DD}"/>
              </c:ext>
            </c:extLst>
          </c:dPt>
          <c:dPt>
            <c:idx val="2"/>
            <c:bubble3D val="0"/>
            <c:extLst>
              <c:ext xmlns:c16="http://schemas.microsoft.com/office/drawing/2014/chart" uri="{C3380CC4-5D6E-409C-BE32-E72D297353CC}">
                <c16:uniqueId val="{00000002-098D-4F43-A147-43A91970F4DD}"/>
              </c:ext>
            </c:extLst>
          </c:dPt>
          <c:dLbls>
            <c:dLbl>
              <c:idx val="0"/>
              <c:layout>
                <c:manualLayout>
                  <c:x val="-6.2333214619777977E-2"/>
                  <c:y val="-1.0421728203966853E-3"/>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098D-4F43-A147-43A91970F4DD}"/>
                </c:ext>
              </c:extLst>
            </c:dLbl>
            <c:dLbl>
              <c:idx val="1"/>
              <c:layout>
                <c:manualLayout>
                  <c:x val="-1.7793004890485613E-2"/>
                  <c:y val="1.2271365092487342E-2"/>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98D-4F43-A147-43A91970F4DD}"/>
                </c:ext>
              </c:extLst>
            </c:dLbl>
            <c:dLbl>
              <c:idx val="2"/>
              <c:layout>
                <c:manualLayout>
                  <c:x val="6.4103509773051959E-2"/>
                  <c:y val="-2.4410809574797886E-3"/>
                </c:manualLayout>
              </c:layout>
              <c:spPr/>
              <c:txPr>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98D-4F43-A147-43A91970F4DD}"/>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extra_ENP_mass_output!$AM$90:$AM$92</c:f>
              <c:strCache>
                <c:ptCount val="3"/>
                <c:pt idx="0">
                  <c:v>S</c:v>
                </c:pt>
                <c:pt idx="1">
                  <c:v>A</c:v>
                </c:pt>
                <c:pt idx="2">
                  <c:v>P</c:v>
                </c:pt>
              </c:strCache>
            </c:strRef>
          </c:cat>
          <c:val>
            <c:numRef>
              <c:f>extra_ENP_mass_output!$AN$90:$AN$92</c:f>
              <c:numCache>
                <c:formatCode>0.00E+00</c:formatCode>
                <c:ptCount val="3"/>
                <c:pt idx="0">
                  <c:v>0.16044513298432969</c:v>
                </c:pt>
                <c:pt idx="1">
                  <c:v>344250.84619184205</c:v>
                </c:pt>
                <c:pt idx="2">
                  <c:v>131246796.31219669</c:v>
                </c:pt>
              </c:numCache>
            </c:numRef>
          </c:val>
          <c:extLst>
            <c:ext xmlns:c16="http://schemas.microsoft.com/office/drawing/2014/chart" uri="{C3380CC4-5D6E-409C-BE32-E72D297353CC}">
              <c16:uniqueId val="{00000003-098D-4F43-A147-43A91970F4DD}"/>
            </c:ext>
          </c:extLst>
        </c:ser>
        <c:dLbls>
          <c:showLegendKey val="0"/>
          <c:showVal val="0"/>
          <c:showCatName val="0"/>
          <c:showSerName val="0"/>
          <c:showPercent val="0"/>
          <c:showBubbleSize val="0"/>
          <c:showLeaderLines val="1"/>
        </c:dLbls>
      </c:pie3DChart>
      <c:spPr>
        <a:noFill/>
        <a:ln w="25400">
          <a:noFill/>
        </a:ln>
      </c:spPr>
    </c:plotArea>
    <c:legend>
      <c:legendPos val="r"/>
      <c:overlay val="1"/>
    </c:legend>
    <c:plotVisOnly val="1"/>
    <c:dispBlanksAs val="gap"/>
    <c:showDLblsOverMax val="0"/>
  </c:chart>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0747484689413823"/>
          <c:y val="0.10232648002333042"/>
          <c:w val="0.75919181977252848"/>
          <c:h val="0.78169364246135897"/>
        </c:manualLayout>
      </c:layout>
      <c:barChart>
        <c:barDir val="col"/>
        <c:grouping val="clustered"/>
        <c:varyColors val="0"/>
        <c:ser>
          <c:idx val="0"/>
          <c:order val="0"/>
          <c:invertIfNegative val="0"/>
          <c:dPt>
            <c:idx val="0"/>
            <c:invertIfNegative val="0"/>
            <c:bubble3D val="0"/>
            <c:spPr>
              <a:solidFill>
                <a:schemeClr val="bg1"/>
              </a:solidFill>
              <a:ln>
                <a:solidFill>
                  <a:schemeClr val="tx1"/>
                </a:solidFill>
              </a:ln>
            </c:spPr>
            <c:extLst>
              <c:ext xmlns:c16="http://schemas.microsoft.com/office/drawing/2014/chart" uri="{C3380CC4-5D6E-409C-BE32-E72D297353CC}">
                <c16:uniqueId val="{00000001-BD56-4C48-974F-E91A2DF6DBD3}"/>
              </c:ext>
            </c:extLst>
          </c:dPt>
          <c:dPt>
            <c:idx val="1"/>
            <c:invertIfNegative val="0"/>
            <c:bubble3D val="0"/>
            <c:spPr>
              <a:solidFill>
                <a:schemeClr val="bg1">
                  <a:lumMod val="65000"/>
                </a:schemeClr>
              </a:solidFill>
              <a:ln>
                <a:solidFill>
                  <a:schemeClr val="tx1"/>
                </a:solidFill>
              </a:ln>
            </c:spPr>
            <c:extLst>
              <c:ext xmlns:c16="http://schemas.microsoft.com/office/drawing/2014/chart" uri="{C3380CC4-5D6E-409C-BE32-E72D297353CC}">
                <c16:uniqueId val="{00000003-BD56-4C48-974F-E91A2DF6DBD3}"/>
              </c:ext>
            </c:extLst>
          </c:dPt>
          <c:dPt>
            <c:idx val="2"/>
            <c:invertIfNegative val="0"/>
            <c:bubble3D val="0"/>
            <c:spPr>
              <a:solidFill>
                <a:schemeClr val="tx1"/>
              </a:solidFill>
              <a:ln>
                <a:solidFill>
                  <a:schemeClr val="tx1"/>
                </a:solidFill>
              </a:ln>
            </c:spPr>
            <c:extLst>
              <c:ext xmlns:c16="http://schemas.microsoft.com/office/drawing/2014/chart" uri="{C3380CC4-5D6E-409C-BE32-E72D297353CC}">
                <c16:uniqueId val="{00000005-BD56-4C48-974F-E91A2DF6DBD3}"/>
              </c:ext>
            </c:extLst>
          </c:dPt>
          <c:cat>
            <c:strRef>
              <c:f>extra_ENP_mass_output!$T$20:$V$20</c:f>
              <c:strCache>
                <c:ptCount val="3"/>
                <c:pt idx="0">
                  <c:v>Moderate</c:v>
                </c:pt>
                <c:pt idx="1">
                  <c:v>Arctic</c:v>
                </c:pt>
                <c:pt idx="2">
                  <c:v>Tropic</c:v>
                </c:pt>
              </c:strCache>
            </c:strRef>
          </c:cat>
          <c:val>
            <c:numRef>
              <c:f>extra_ENP_mass_output!$T$21:$V$21</c:f>
              <c:numCache>
                <c:formatCode>0.00E+00</c:formatCode>
                <c:ptCount val="3"/>
                <c:pt idx="0">
                  <c:v>5172581524115.8643</c:v>
                </c:pt>
                <c:pt idx="1">
                  <c:v>3418725284810.5215</c:v>
                </c:pt>
                <c:pt idx="2">
                  <c:v>12781001030628.201</c:v>
                </c:pt>
              </c:numCache>
            </c:numRef>
          </c:val>
          <c:extLst>
            <c:ext xmlns:c16="http://schemas.microsoft.com/office/drawing/2014/chart" uri="{C3380CC4-5D6E-409C-BE32-E72D297353CC}">
              <c16:uniqueId val="{00000006-BD56-4C48-974F-E91A2DF6DBD3}"/>
            </c:ext>
          </c:extLst>
        </c:ser>
        <c:dLbls>
          <c:showLegendKey val="0"/>
          <c:showVal val="0"/>
          <c:showCatName val="0"/>
          <c:showSerName val="0"/>
          <c:showPercent val="0"/>
          <c:showBubbleSize val="0"/>
        </c:dLbls>
        <c:gapWidth val="246"/>
        <c:axId val="177937792"/>
        <c:axId val="177939584"/>
      </c:barChart>
      <c:catAx>
        <c:axId val="177937792"/>
        <c:scaling>
          <c:orientation val="minMax"/>
        </c:scaling>
        <c:delete val="0"/>
        <c:axPos val="b"/>
        <c:numFmt formatCode="General" sourceLinked="1"/>
        <c:majorTickMark val="none"/>
        <c:minorTickMark val="none"/>
        <c:tickLblPos val="nextTo"/>
        <c:crossAx val="177939584"/>
        <c:crosses val="autoZero"/>
        <c:auto val="1"/>
        <c:lblAlgn val="ctr"/>
        <c:lblOffset val="100"/>
        <c:noMultiLvlLbl val="0"/>
      </c:catAx>
      <c:valAx>
        <c:axId val="177939584"/>
        <c:scaling>
          <c:orientation val="minMax"/>
        </c:scaling>
        <c:delete val="0"/>
        <c:axPos val="l"/>
        <c:majorGridlines/>
        <c:title>
          <c:tx>
            <c:rich>
              <a:bodyPr/>
              <a:lstStyle/>
              <a:p>
                <a:pPr>
                  <a:defRPr/>
                </a:pPr>
                <a:r>
                  <a:rPr lang="en-US"/>
                  <a:t>Total mass</a:t>
                </a:r>
                <a:r>
                  <a:rPr lang="en-US" baseline="0"/>
                  <a:t>, </a:t>
                </a:r>
                <a:r>
                  <a:rPr lang="en-US"/>
                  <a:t>(kg)</a:t>
                </a:r>
              </a:p>
            </c:rich>
          </c:tx>
          <c:layout>
            <c:manualLayout>
              <c:xMode val="edge"/>
              <c:yMode val="edge"/>
              <c:x val="0"/>
              <c:y val="0.26102070574511521"/>
            </c:manualLayout>
          </c:layout>
          <c:overlay val="0"/>
        </c:title>
        <c:numFmt formatCode="0.00E+00" sourceLinked="0"/>
        <c:majorTickMark val="none"/>
        <c:minorTickMark val="none"/>
        <c:tickLblPos val="nextTo"/>
        <c:crossAx val="177937792"/>
        <c:crosses val="autoZero"/>
        <c:crossBetween val="between"/>
      </c:valAx>
      <c:spPr>
        <a:solidFill>
          <a:schemeClr val="bg1"/>
        </a:solidFill>
      </c:spPr>
    </c:plotArea>
    <c:plotVisOnly val="1"/>
    <c:dispBlanksAs val="gap"/>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chart" Target="../charts/chart23.xml"/><Relationship Id="rId18" Type="http://schemas.openxmlformats.org/officeDocument/2006/relationships/chart" Target="../charts/chart28.xml"/><Relationship Id="rId26" Type="http://schemas.openxmlformats.org/officeDocument/2006/relationships/chart" Target="../charts/chart36.xml"/><Relationship Id="rId3" Type="http://schemas.openxmlformats.org/officeDocument/2006/relationships/chart" Target="../charts/chart13.xml"/><Relationship Id="rId21" Type="http://schemas.openxmlformats.org/officeDocument/2006/relationships/chart" Target="../charts/chart31.xml"/><Relationship Id="rId7" Type="http://schemas.openxmlformats.org/officeDocument/2006/relationships/chart" Target="../charts/chart17.xml"/><Relationship Id="rId12" Type="http://schemas.openxmlformats.org/officeDocument/2006/relationships/chart" Target="../charts/chart22.xml"/><Relationship Id="rId17" Type="http://schemas.openxmlformats.org/officeDocument/2006/relationships/chart" Target="../charts/chart27.xml"/><Relationship Id="rId25" Type="http://schemas.openxmlformats.org/officeDocument/2006/relationships/chart" Target="../charts/chart35.xml"/><Relationship Id="rId2" Type="http://schemas.openxmlformats.org/officeDocument/2006/relationships/chart" Target="../charts/chart12.xml"/><Relationship Id="rId16" Type="http://schemas.openxmlformats.org/officeDocument/2006/relationships/chart" Target="../charts/chart26.xml"/><Relationship Id="rId20" Type="http://schemas.openxmlformats.org/officeDocument/2006/relationships/chart" Target="../charts/chart30.xml"/><Relationship Id="rId29" Type="http://schemas.openxmlformats.org/officeDocument/2006/relationships/chart" Target="../charts/chart39.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24" Type="http://schemas.openxmlformats.org/officeDocument/2006/relationships/chart" Target="../charts/chart34.xml"/><Relationship Id="rId5" Type="http://schemas.openxmlformats.org/officeDocument/2006/relationships/chart" Target="../charts/chart15.xml"/><Relationship Id="rId15" Type="http://schemas.openxmlformats.org/officeDocument/2006/relationships/chart" Target="../charts/chart25.xml"/><Relationship Id="rId23" Type="http://schemas.openxmlformats.org/officeDocument/2006/relationships/chart" Target="../charts/chart33.xml"/><Relationship Id="rId28" Type="http://schemas.openxmlformats.org/officeDocument/2006/relationships/chart" Target="../charts/chart38.xml"/><Relationship Id="rId10" Type="http://schemas.openxmlformats.org/officeDocument/2006/relationships/chart" Target="../charts/chart20.xml"/><Relationship Id="rId19" Type="http://schemas.openxmlformats.org/officeDocument/2006/relationships/chart" Target="../charts/chart29.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4.xml"/><Relationship Id="rId22" Type="http://schemas.openxmlformats.org/officeDocument/2006/relationships/chart" Target="../charts/chart32.xml"/><Relationship Id="rId27" Type="http://schemas.openxmlformats.org/officeDocument/2006/relationships/chart" Target="../charts/chart37.xml"/></Relationships>
</file>

<file path=xl/drawings/drawing1.xml><?xml version="1.0" encoding="utf-8"?>
<xdr:wsDr xmlns:xdr="http://schemas.openxmlformats.org/drawingml/2006/spreadsheetDrawing" xmlns:a="http://schemas.openxmlformats.org/drawingml/2006/main">
  <xdr:twoCellAnchor>
    <xdr:from>
      <xdr:col>5</xdr:col>
      <xdr:colOff>437029</xdr:colOff>
      <xdr:row>1</xdr:row>
      <xdr:rowOff>33618</xdr:rowOff>
    </xdr:from>
    <xdr:to>
      <xdr:col>9</xdr:col>
      <xdr:colOff>14568</xdr:colOff>
      <xdr:row>6</xdr:row>
      <xdr:rowOff>10085</xdr:rowOff>
    </xdr:to>
    <xdr:grpSp>
      <xdr:nvGrpSpPr>
        <xdr:cNvPr id="7" name="Group 1">
          <a:extLst>
            <a:ext uri="{FF2B5EF4-FFF2-40B4-BE49-F238E27FC236}">
              <a16:creationId xmlns:a16="http://schemas.microsoft.com/office/drawing/2014/main" id="{00000000-0008-0000-0000-000007000000}"/>
            </a:ext>
          </a:extLst>
        </xdr:cNvPr>
        <xdr:cNvGrpSpPr>
          <a:grpSpLocks/>
        </xdr:cNvGrpSpPr>
      </xdr:nvGrpSpPr>
      <xdr:grpSpPr bwMode="auto">
        <a:xfrm>
          <a:off x="4107964" y="193638"/>
          <a:ext cx="2777939" cy="789902"/>
          <a:chOff x="4505325" y="771525"/>
          <a:chExt cx="3362325" cy="882186"/>
        </a:xfrm>
      </xdr:grpSpPr>
      <xdr:pic>
        <xdr:nvPicPr>
          <xdr:cNvPr id="8" name="Picture 9" descr="RIVM logo.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05325" y="771525"/>
            <a:ext cx="3362325" cy="8821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 name="Picture 17" descr="SimpleBox.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58000" y="781049"/>
            <a:ext cx="854756" cy="600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oneCellAnchor>
    <xdr:from>
      <xdr:col>9</xdr:col>
      <xdr:colOff>44824</xdr:colOff>
      <xdr:row>0</xdr:row>
      <xdr:rowOff>112059</xdr:rowOff>
    </xdr:from>
    <xdr:ext cx="5412441" cy="1470146"/>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768353" y="112059"/>
          <a:ext cx="5412441" cy="1470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nl-NL" sz="1100" b="0" i="1" u="none" strike="noStrike" baseline="0">
              <a:solidFill>
                <a:schemeClr val="tx1"/>
              </a:solidFill>
              <a:latin typeface="+mn-lt"/>
              <a:ea typeface="+mn-ea"/>
              <a:cs typeface="+mn-cs"/>
            </a:rPr>
            <a:t>SimpleBox is maintained by the National Institute for Public Health and the Environment (RIVM). All rights reserved. This spreadsheet is provided free of charge. Changes or additions to the model are striclty prohibited (requests can be submitted). RIVM is commited to ensuring a flawless and reliable operation of the SimpleBox model, however errors in the spreadsheet, R script and the model algorithms can never be excluded completely. Reporting of such error is greatly appreciated. Use of the model and application of its outcome are the responsibility of the user. RIVM accepts no liability for any consequences arising from the use of SimpleBox.</a:t>
          </a:r>
          <a:endParaRPr lang="nl-NL"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75</xdr:col>
      <xdr:colOff>657225</xdr:colOff>
      <xdr:row>22</xdr:row>
      <xdr:rowOff>28575</xdr:rowOff>
    </xdr:from>
    <xdr:to>
      <xdr:col>75</xdr:col>
      <xdr:colOff>657225</xdr:colOff>
      <xdr:row>41</xdr:row>
      <xdr:rowOff>38100</xdr:rowOff>
    </xdr:to>
    <xdr:sp macro="" textlink="">
      <xdr:nvSpPr>
        <xdr:cNvPr id="44340867" name="Line 1117">
          <a:extLst>
            <a:ext uri="{FF2B5EF4-FFF2-40B4-BE49-F238E27FC236}">
              <a16:creationId xmlns:a16="http://schemas.microsoft.com/office/drawing/2014/main" id="{00000000-0008-0000-0100-00008396A402}"/>
            </a:ext>
          </a:extLst>
        </xdr:cNvPr>
        <xdr:cNvSpPr>
          <a:spLocks noChangeShapeType="1"/>
        </xdr:cNvSpPr>
      </xdr:nvSpPr>
      <xdr:spPr bwMode="auto">
        <a:xfrm>
          <a:off x="35766375" y="3590925"/>
          <a:ext cx="0" cy="308610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1">
              <a:solidFill>
                <a:srgbClr val="000000"/>
              </a:solidFill>
              <a:round/>
              <a:headEnd/>
              <a:tailEnd/>
            </a14:hiddenLine>
          </a:ext>
        </a:extLst>
      </xdr:spPr>
    </xdr:sp>
    <xdr:clientData/>
  </xdr:twoCellAnchor>
  <xdr:twoCellAnchor>
    <xdr:from>
      <xdr:col>75</xdr:col>
      <xdr:colOff>666750</xdr:colOff>
      <xdr:row>22</xdr:row>
      <xdr:rowOff>28575</xdr:rowOff>
    </xdr:from>
    <xdr:to>
      <xdr:col>75</xdr:col>
      <xdr:colOff>666750</xdr:colOff>
      <xdr:row>41</xdr:row>
      <xdr:rowOff>95250</xdr:rowOff>
    </xdr:to>
    <xdr:sp macro="" textlink="">
      <xdr:nvSpPr>
        <xdr:cNvPr id="44340868" name="Line 1118">
          <a:extLst>
            <a:ext uri="{FF2B5EF4-FFF2-40B4-BE49-F238E27FC236}">
              <a16:creationId xmlns:a16="http://schemas.microsoft.com/office/drawing/2014/main" id="{00000000-0008-0000-0100-00008496A402}"/>
            </a:ext>
          </a:extLst>
        </xdr:cNvPr>
        <xdr:cNvSpPr>
          <a:spLocks noChangeShapeType="1"/>
        </xdr:cNvSpPr>
      </xdr:nvSpPr>
      <xdr:spPr bwMode="auto">
        <a:xfrm>
          <a:off x="35775900" y="3590925"/>
          <a:ext cx="0" cy="314325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1">
              <a:solidFill>
                <a:srgbClr val="000000"/>
              </a:solidFill>
              <a:round/>
              <a:headEnd/>
              <a:tailEnd/>
            </a14:hiddenLine>
          </a:ext>
        </a:extLst>
      </xdr:spPr>
    </xdr:sp>
    <xdr:clientData/>
  </xdr:twoCellAnchor>
  <xdr:twoCellAnchor>
    <xdr:from>
      <xdr:col>65</xdr:col>
      <xdr:colOff>371475</xdr:colOff>
      <xdr:row>44</xdr:row>
      <xdr:rowOff>123825</xdr:rowOff>
    </xdr:from>
    <xdr:to>
      <xdr:col>65</xdr:col>
      <xdr:colOff>685800</xdr:colOff>
      <xdr:row>55</xdr:row>
      <xdr:rowOff>123825</xdr:rowOff>
    </xdr:to>
    <xdr:grpSp>
      <xdr:nvGrpSpPr>
        <xdr:cNvPr id="44340869" name="Group 2603">
          <a:extLst>
            <a:ext uri="{FF2B5EF4-FFF2-40B4-BE49-F238E27FC236}">
              <a16:creationId xmlns:a16="http://schemas.microsoft.com/office/drawing/2014/main" id="{00000000-0008-0000-0100-00008596A402}"/>
            </a:ext>
          </a:extLst>
        </xdr:cNvPr>
        <xdr:cNvGrpSpPr>
          <a:grpSpLocks/>
        </xdr:cNvGrpSpPr>
      </xdr:nvGrpSpPr>
      <xdr:grpSpPr bwMode="auto">
        <a:xfrm>
          <a:off x="30516195" y="7250430"/>
          <a:ext cx="316230" cy="1781175"/>
          <a:chOff x="4416" y="1692"/>
          <a:chExt cx="33" cy="187"/>
        </a:xfrm>
      </xdr:grpSpPr>
      <xdr:grpSp>
        <xdr:nvGrpSpPr>
          <xdr:cNvPr id="44484764" name="Group 1717">
            <a:extLst>
              <a:ext uri="{FF2B5EF4-FFF2-40B4-BE49-F238E27FC236}">
                <a16:creationId xmlns:a16="http://schemas.microsoft.com/office/drawing/2014/main" id="{00000000-0008-0000-0100-00009CC8A602}"/>
              </a:ext>
            </a:extLst>
          </xdr:cNvPr>
          <xdr:cNvGrpSpPr>
            <a:grpSpLocks/>
          </xdr:cNvGrpSpPr>
        </xdr:nvGrpSpPr>
        <xdr:grpSpPr bwMode="auto">
          <a:xfrm>
            <a:off x="4439" y="1692"/>
            <a:ext cx="0" cy="34"/>
            <a:chOff x="4439" y="1692"/>
            <a:chExt cx="0" cy="34"/>
          </a:xfrm>
        </xdr:grpSpPr>
        <xdr:sp macro="" textlink="">
          <xdr:nvSpPr>
            <xdr:cNvPr id="44484775" name="Line 1718">
              <a:extLst>
                <a:ext uri="{FF2B5EF4-FFF2-40B4-BE49-F238E27FC236}">
                  <a16:creationId xmlns:a16="http://schemas.microsoft.com/office/drawing/2014/main" id="{00000000-0008-0000-0100-0000A7C8A602}"/>
                </a:ext>
              </a:extLst>
            </xdr:cNvPr>
            <xdr:cNvSpPr>
              <a:spLocks noChangeShapeType="1"/>
            </xdr:cNvSpPr>
          </xdr:nvSpPr>
          <xdr:spPr bwMode="auto">
            <a:xfrm flipV="1">
              <a:off x="4439" y="1692"/>
              <a:ext cx="0" cy="20"/>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484776" name="Line 1719">
              <a:extLst>
                <a:ext uri="{FF2B5EF4-FFF2-40B4-BE49-F238E27FC236}">
                  <a16:creationId xmlns:a16="http://schemas.microsoft.com/office/drawing/2014/main" id="{00000000-0008-0000-0100-0000A8C8A602}"/>
                </a:ext>
              </a:extLst>
            </xdr:cNvPr>
            <xdr:cNvSpPr>
              <a:spLocks noChangeShapeType="1"/>
            </xdr:cNvSpPr>
          </xdr:nvSpPr>
          <xdr:spPr bwMode="auto">
            <a:xfrm>
              <a:off x="4439" y="1712"/>
              <a:ext cx="0" cy="14"/>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sp macro="" textlink="">
        <xdr:nvSpPr>
          <xdr:cNvPr id="44484765" name="Line 1720">
            <a:extLst>
              <a:ext uri="{FF2B5EF4-FFF2-40B4-BE49-F238E27FC236}">
                <a16:creationId xmlns:a16="http://schemas.microsoft.com/office/drawing/2014/main" id="{00000000-0008-0000-0100-00009DC8A602}"/>
              </a:ext>
            </a:extLst>
          </xdr:cNvPr>
          <xdr:cNvSpPr>
            <a:spLocks noChangeShapeType="1"/>
          </xdr:cNvSpPr>
        </xdr:nvSpPr>
        <xdr:spPr bwMode="auto">
          <a:xfrm>
            <a:off x="4439" y="1728"/>
            <a:ext cx="0" cy="31"/>
          </a:xfrm>
          <a:prstGeom prst="line">
            <a:avLst/>
          </a:prstGeom>
          <a:noFill/>
          <a:ln w="9525">
            <a:solidFill>
              <a:srgbClr val="FF6600"/>
            </a:solidFill>
            <a:round/>
            <a:headEnd type="triangle" w="med" len="med"/>
            <a:tailEnd type="triangle" w="med" len="med"/>
          </a:ln>
          <a:extLst>
            <a:ext uri="{909E8E84-426E-40DD-AFC4-6F175D3DCCD1}">
              <a14:hiddenFill xmlns:a14="http://schemas.microsoft.com/office/drawing/2010/main">
                <a:noFill/>
              </a14:hiddenFill>
            </a:ext>
          </a:extLst>
        </xdr:spPr>
      </xdr:sp>
      <xdr:sp macro="" textlink="">
        <xdr:nvSpPr>
          <xdr:cNvPr id="44484766" name="Line 1721">
            <a:extLst>
              <a:ext uri="{FF2B5EF4-FFF2-40B4-BE49-F238E27FC236}">
                <a16:creationId xmlns:a16="http://schemas.microsoft.com/office/drawing/2014/main" id="{00000000-0008-0000-0100-00009EC8A602}"/>
              </a:ext>
            </a:extLst>
          </xdr:cNvPr>
          <xdr:cNvSpPr>
            <a:spLocks noChangeShapeType="1"/>
          </xdr:cNvSpPr>
        </xdr:nvSpPr>
        <xdr:spPr bwMode="auto">
          <a:xfrm>
            <a:off x="4418" y="1777"/>
            <a:ext cx="31" cy="0"/>
          </a:xfrm>
          <a:prstGeom prst="line">
            <a:avLst/>
          </a:prstGeom>
          <a:noFill/>
          <a:ln w="1">
            <a:solidFill>
              <a:srgbClr val="0000FF"/>
            </a:solidFill>
            <a:round/>
            <a:headEnd/>
            <a:tailEnd type="triangle" w="med" len="med"/>
          </a:ln>
          <a:extLst>
            <a:ext uri="{909E8E84-426E-40DD-AFC4-6F175D3DCCD1}">
              <a14:hiddenFill xmlns:a14="http://schemas.microsoft.com/office/drawing/2010/main">
                <a:noFill/>
              </a14:hiddenFill>
            </a:ext>
          </a:extLst>
        </xdr:spPr>
      </xdr:sp>
      <xdr:sp macro="" textlink="">
        <xdr:nvSpPr>
          <xdr:cNvPr id="44484767" name="Line 1722">
            <a:extLst>
              <a:ext uri="{FF2B5EF4-FFF2-40B4-BE49-F238E27FC236}">
                <a16:creationId xmlns:a16="http://schemas.microsoft.com/office/drawing/2014/main" id="{00000000-0008-0000-0100-00009FC8A602}"/>
              </a:ext>
            </a:extLst>
          </xdr:cNvPr>
          <xdr:cNvSpPr>
            <a:spLocks noChangeShapeType="1"/>
          </xdr:cNvSpPr>
        </xdr:nvSpPr>
        <xdr:spPr bwMode="auto">
          <a:xfrm flipH="1">
            <a:off x="4416" y="1811"/>
            <a:ext cx="30" cy="0"/>
          </a:xfrm>
          <a:prstGeom prst="line">
            <a:avLst/>
          </a:prstGeom>
          <a:noFill/>
          <a:ln w="0">
            <a:solidFill>
              <a:srgbClr val="0000FF"/>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484768" name="Line 1723">
            <a:extLst>
              <a:ext uri="{FF2B5EF4-FFF2-40B4-BE49-F238E27FC236}">
                <a16:creationId xmlns:a16="http://schemas.microsoft.com/office/drawing/2014/main" id="{00000000-0008-0000-0100-0000A0C8A602}"/>
              </a:ext>
            </a:extLst>
          </xdr:cNvPr>
          <xdr:cNvSpPr>
            <a:spLocks noChangeShapeType="1"/>
          </xdr:cNvSpPr>
        </xdr:nvSpPr>
        <xdr:spPr bwMode="auto">
          <a:xfrm>
            <a:off x="4417" y="1879"/>
            <a:ext cx="31" cy="0"/>
          </a:xfrm>
          <a:prstGeom prst="line">
            <a:avLst/>
          </a:prstGeom>
          <a:noFill/>
          <a:ln w="17145">
            <a:solidFill>
              <a:srgbClr val="008000"/>
            </a:solidFill>
            <a:round/>
            <a:headEnd/>
            <a:tailEnd type="triangle" w="med" len="med"/>
          </a:ln>
          <a:extLst>
            <a:ext uri="{909E8E84-426E-40DD-AFC4-6F175D3DCCD1}">
              <a14:hiddenFill xmlns:a14="http://schemas.microsoft.com/office/drawing/2010/main">
                <a:noFill/>
              </a14:hiddenFill>
            </a:ext>
          </a:extLst>
        </xdr:spPr>
      </xdr:sp>
      <xdr:sp macro="" textlink="">
        <xdr:nvSpPr>
          <xdr:cNvPr id="44484769" name="Line 1724">
            <a:extLst>
              <a:ext uri="{FF2B5EF4-FFF2-40B4-BE49-F238E27FC236}">
                <a16:creationId xmlns:a16="http://schemas.microsoft.com/office/drawing/2014/main" id="{00000000-0008-0000-0100-0000A1C8A602}"/>
              </a:ext>
            </a:extLst>
          </xdr:cNvPr>
          <xdr:cNvSpPr>
            <a:spLocks noChangeShapeType="1"/>
          </xdr:cNvSpPr>
        </xdr:nvSpPr>
        <xdr:spPr bwMode="auto">
          <a:xfrm>
            <a:off x="4418" y="1835"/>
            <a:ext cx="31" cy="0"/>
          </a:xfrm>
          <a:prstGeom prst="line">
            <a:avLst/>
          </a:prstGeom>
          <a:noFill/>
          <a:ln w="0">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grpSp>
        <xdr:nvGrpSpPr>
          <xdr:cNvPr id="44484770" name="Group 1725">
            <a:extLst>
              <a:ext uri="{FF2B5EF4-FFF2-40B4-BE49-F238E27FC236}">
                <a16:creationId xmlns:a16="http://schemas.microsoft.com/office/drawing/2014/main" id="{00000000-0008-0000-0100-0000A2C8A602}"/>
              </a:ext>
            </a:extLst>
          </xdr:cNvPr>
          <xdr:cNvGrpSpPr>
            <a:grpSpLocks/>
          </xdr:cNvGrpSpPr>
        </xdr:nvGrpSpPr>
        <xdr:grpSpPr bwMode="auto">
          <a:xfrm>
            <a:off x="4426" y="1842"/>
            <a:ext cx="20" cy="19"/>
            <a:chOff x="4426" y="1842"/>
            <a:chExt cx="20" cy="19"/>
          </a:xfrm>
        </xdr:grpSpPr>
        <xdr:sp macro="" textlink="">
          <xdr:nvSpPr>
            <xdr:cNvPr id="44484771" name="Oval 1726">
              <a:extLst>
                <a:ext uri="{FF2B5EF4-FFF2-40B4-BE49-F238E27FC236}">
                  <a16:creationId xmlns:a16="http://schemas.microsoft.com/office/drawing/2014/main" id="{00000000-0008-0000-0100-0000A3C8A602}"/>
                </a:ext>
              </a:extLst>
            </xdr:cNvPr>
            <xdr:cNvSpPr>
              <a:spLocks noChangeArrowheads="1"/>
            </xdr:cNvSpPr>
          </xdr:nvSpPr>
          <xdr:spPr bwMode="auto">
            <a:xfrm>
              <a:off x="4426" y="1842"/>
              <a:ext cx="20" cy="19"/>
            </a:xfrm>
            <a:prstGeom prst="ellipse">
              <a:avLst/>
            </a:prstGeom>
            <a:solidFill>
              <a:srgbClr val="EAEAEA"/>
            </a:solidFill>
            <a:ln w="1">
              <a:solidFill>
                <a:srgbClr val="333333"/>
              </a:solidFill>
              <a:round/>
              <a:headEnd/>
              <a:tailEnd/>
            </a:ln>
          </xdr:spPr>
        </xdr:sp>
        <xdr:sp macro="" textlink="">
          <xdr:nvSpPr>
            <xdr:cNvPr id="44484772" name="Line 1727">
              <a:extLst>
                <a:ext uri="{FF2B5EF4-FFF2-40B4-BE49-F238E27FC236}">
                  <a16:creationId xmlns:a16="http://schemas.microsoft.com/office/drawing/2014/main" id="{00000000-0008-0000-0100-0000A4C8A602}"/>
                </a:ext>
              </a:extLst>
            </xdr:cNvPr>
            <xdr:cNvSpPr>
              <a:spLocks noChangeShapeType="1"/>
            </xdr:cNvSpPr>
          </xdr:nvSpPr>
          <xdr:spPr bwMode="auto">
            <a:xfrm flipH="1" flipV="1">
              <a:off x="4428" y="1846"/>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773" name="Line 1728">
              <a:extLst>
                <a:ext uri="{FF2B5EF4-FFF2-40B4-BE49-F238E27FC236}">
                  <a16:creationId xmlns:a16="http://schemas.microsoft.com/office/drawing/2014/main" id="{00000000-0008-0000-0100-0000A5C8A602}"/>
                </a:ext>
              </a:extLst>
            </xdr:cNvPr>
            <xdr:cNvSpPr>
              <a:spLocks noChangeShapeType="1"/>
            </xdr:cNvSpPr>
          </xdr:nvSpPr>
          <xdr:spPr bwMode="auto">
            <a:xfrm flipH="1">
              <a:off x="4428" y="1852"/>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774" name="Oval 1729">
              <a:extLst>
                <a:ext uri="{FF2B5EF4-FFF2-40B4-BE49-F238E27FC236}">
                  <a16:creationId xmlns:a16="http://schemas.microsoft.com/office/drawing/2014/main" id="{00000000-0008-0000-0100-0000A6C8A602}"/>
                </a:ext>
              </a:extLst>
            </xdr:cNvPr>
            <xdr:cNvSpPr>
              <a:spLocks noChangeArrowheads="1"/>
            </xdr:cNvSpPr>
          </xdr:nvSpPr>
          <xdr:spPr bwMode="auto">
            <a:xfrm>
              <a:off x="4433" y="1845"/>
              <a:ext cx="2" cy="1"/>
            </a:xfrm>
            <a:prstGeom prst="ellipse">
              <a:avLst/>
            </a:prstGeom>
            <a:solidFill>
              <a:srgbClr val="EAEAEA"/>
            </a:solidFill>
            <a:ln w="9525">
              <a:solidFill>
                <a:srgbClr val="333333"/>
              </a:solidFill>
              <a:round/>
              <a:headEnd/>
              <a:tailEnd/>
            </a:ln>
          </xdr:spPr>
        </xdr:sp>
      </xdr:grpSp>
    </xdr:grpSp>
    <xdr:clientData/>
  </xdr:twoCellAnchor>
  <xdr:twoCellAnchor>
    <xdr:from>
      <xdr:col>65</xdr:col>
      <xdr:colOff>342900</xdr:colOff>
      <xdr:row>105</xdr:row>
      <xdr:rowOff>104775</xdr:rowOff>
    </xdr:from>
    <xdr:to>
      <xdr:col>65</xdr:col>
      <xdr:colOff>657225</xdr:colOff>
      <xdr:row>116</xdr:row>
      <xdr:rowOff>104775</xdr:rowOff>
    </xdr:to>
    <xdr:grpSp>
      <xdr:nvGrpSpPr>
        <xdr:cNvPr id="44340870" name="Group 2601">
          <a:extLst>
            <a:ext uri="{FF2B5EF4-FFF2-40B4-BE49-F238E27FC236}">
              <a16:creationId xmlns:a16="http://schemas.microsoft.com/office/drawing/2014/main" id="{00000000-0008-0000-0100-00008696A402}"/>
            </a:ext>
          </a:extLst>
        </xdr:cNvPr>
        <xdr:cNvGrpSpPr>
          <a:grpSpLocks/>
        </xdr:cNvGrpSpPr>
      </xdr:nvGrpSpPr>
      <xdr:grpSpPr bwMode="auto">
        <a:xfrm>
          <a:off x="30489525" y="17104995"/>
          <a:ext cx="316230" cy="1781175"/>
          <a:chOff x="4416" y="2678"/>
          <a:chExt cx="33" cy="187"/>
        </a:xfrm>
      </xdr:grpSpPr>
      <xdr:grpSp>
        <xdr:nvGrpSpPr>
          <xdr:cNvPr id="44484751" name="Group 1951">
            <a:extLst>
              <a:ext uri="{FF2B5EF4-FFF2-40B4-BE49-F238E27FC236}">
                <a16:creationId xmlns:a16="http://schemas.microsoft.com/office/drawing/2014/main" id="{00000000-0008-0000-0100-00008FC8A602}"/>
              </a:ext>
            </a:extLst>
          </xdr:cNvPr>
          <xdr:cNvGrpSpPr>
            <a:grpSpLocks/>
          </xdr:cNvGrpSpPr>
        </xdr:nvGrpSpPr>
        <xdr:grpSpPr bwMode="auto">
          <a:xfrm>
            <a:off x="4439" y="2678"/>
            <a:ext cx="0" cy="34"/>
            <a:chOff x="4439" y="2678"/>
            <a:chExt cx="0" cy="34"/>
          </a:xfrm>
        </xdr:grpSpPr>
        <xdr:sp macro="" textlink="">
          <xdr:nvSpPr>
            <xdr:cNvPr id="44484762" name="Line 1952">
              <a:extLst>
                <a:ext uri="{FF2B5EF4-FFF2-40B4-BE49-F238E27FC236}">
                  <a16:creationId xmlns:a16="http://schemas.microsoft.com/office/drawing/2014/main" id="{00000000-0008-0000-0100-00009AC8A602}"/>
                </a:ext>
              </a:extLst>
            </xdr:cNvPr>
            <xdr:cNvSpPr>
              <a:spLocks noChangeShapeType="1"/>
            </xdr:cNvSpPr>
          </xdr:nvSpPr>
          <xdr:spPr bwMode="auto">
            <a:xfrm flipV="1">
              <a:off x="4439" y="2678"/>
              <a:ext cx="0" cy="20"/>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484763" name="Line 1953">
              <a:extLst>
                <a:ext uri="{FF2B5EF4-FFF2-40B4-BE49-F238E27FC236}">
                  <a16:creationId xmlns:a16="http://schemas.microsoft.com/office/drawing/2014/main" id="{00000000-0008-0000-0100-00009BC8A602}"/>
                </a:ext>
              </a:extLst>
            </xdr:cNvPr>
            <xdr:cNvSpPr>
              <a:spLocks noChangeShapeType="1"/>
            </xdr:cNvSpPr>
          </xdr:nvSpPr>
          <xdr:spPr bwMode="auto">
            <a:xfrm>
              <a:off x="4439" y="2698"/>
              <a:ext cx="0" cy="14"/>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sp macro="" textlink="">
        <xdr:nvSpPr>
          <xdr:cNvPr id="44484752" name="Line 1954">
            <a:extLst>
              <a:ext uri="{FF2B5EF4-FFF2-40B4-BE49-F238E27FC236}">
                <a16:creationId xmlns:a16="http://schemas.microsoft.com/office/drawing/2014/main" id="{00000000-0008-0000-0100-000090C8A602}"/>
              </a:ext>
            </a:extLst>
          </xdr:cNvPr>
          <xdr:cNvSpPr>
            <a:spLocks noChangeShapeType="1"/>
          </xdr:cNvSpPr>
        </xdr:nvSpPr>
        <xdr:spPr bwMode="auto">
          <a:xfrm>
            <a:off x="4439" y="2714"/>
            <a:ext cx="0" cy="31"/>
          </a:xfrm>
          <a:prstGeom prst="line">
            <a:avLst/>
          </a:prstGeom>
          <a:noFill/>
          <a:ln w="9525">
            <a:solidFill>
              <a:srgbClr val="FF6600"/>
            </a:solidFill>
            <a:round/>
            <a:headEnd type="triangle" w="med" len="med"/>
            <a:tailEnd type="triangle" w="med" len="med"/>
          </a:ln>
          <a:extLst>
            <a:ext uri="{909E8E84-426E-40DD-AFC4-6F175D3DCCD1}">
              <a14:hiddenFill xmlns:a14="http://schemas.microsoft.com/office/drawing/2010/main">
                <a:noFill/>
              </a14:hiddenFill>
            </a:ext>
          </a:extLst>
        </xdr:spPr>
      </xdr:sp>
      <xdr:sp macro="" textlink="">
        <xdr:nvSpPr>
          <xdr:cNvPr id="44484753" name="Line 1955">
            <a:extLst>
              <a:ext uri="{FF2B5EF4-FFF2-40B4-BE49-F238E27FC236}">
                <a16:creationId xmlns:a16="http://schemas.microsoft.com/office/drawing/2014/main" id="{00000000-0008-0000-0100-000091C8A602}"/>
              </a:ext>
            </a:extLst>
          </xdr:cNvPr>
          <xdr:cNvSpPr>
            <a:spLocks noChangeShapeType="1"/>
          </xdr:cNvSpPr>
        </xdr:nvSpPr>
        <xdr:spPr bwMode="auto">
          <a:xfrm>
            <a:off x="4418" y="2763"/>
            <a:ext cx="31" cy="0"/>
          </a:xfrm>
          <a:prstGeom prst="line">
            <a:avLst/>
          </a:prstGeom>
          <a:noFill/>
          <a:ln w="1">
            <a:solidFill>
              <a:srgbClr val="0000FF"/>
            </a:solidFill>
            <a:round/>
            <a:headEnd/>
            <a:tailEnd type="triangle" w="med" len="med"/>
          </a:ln>
          <a:extLst>
            <a:ext uri="{909E8E84-426E-40DD-AFC4-6F175D3DCCD1}">
              <a14:hiddenFill xmlns:a14="http://schemas.microsoft.com/office/drawing/2010/main">
                <a:noFill/>
              </a14:hiddenFill>
            </a:ext>
          </a:extLst>
        </xdr:spPr>
      </xdr:sp>
      <xdr:sp macro="" textlink="">
        <xdr:nvSpPr>
          <xdr:cNvPr id="44484754" name="Line 1956">
            <a:extLst>
              <a:ext uri="{FF2B5EF4-FFF2-40B4-BE49-F238E27FC236}">
                <a16:creationId xmlns:a16="http://schemas.microsoft.com/office/drawing/2014/main" id="{00000000-0008-0000-0100-000092C8A602}"/>
              </a:ext>
            </a:extLst>
          </xdr:cNvPr>
          <xdr:cNvSpPr>
            <a:spLocks noChangeShapeType="1"/>
          </xdr:cNvSpPr>
        </xdr:nvSpPr>
        <xdr:spPr bwMode="auto">
          <a:xfrm flipH="1">
            <a:off x="4416" y="2797"/>
            <a:ext cx="30" cy="0"/>
          </a:xfrm>
          <a:prstGeom prst="line">
            <a:avLst/>
          </a:prstGeom>
          <a:noFill/>
          <a:ln w="0">
            <a:solidFill>
              <a:srgbClr val="0000FF"/>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484755" name="Line 1957">
            <a:extLst>
              <a:ext uri="{FF2B5EF4-FFF2-40B4-BE49-F238E27FC236}">
                <a16:creationId xmlns:a16="http://schemas.microsoft.com/office/drawing/2014/main" id="{00000000-0008-0000-0100-000093C8A602}"/>
              </a:ext>
            </a:extLst>
          </xdr:cNvPr>
          <xdr:cNvSpPr>
            <a:spLocks noChangeShapeType="1"/>
          </xdr:cNvSpPr>
        </xdr:nvSpPr>
        <xdr:spPr bwMode="auto">
          <a:xfrm>
            <a:off x="4417" y="2865"/>
            <a:ext cx="31" cy="0"/>
          </a:xfrm>
          <a:prstGeom prst="line">
            <a:avLst/>
          </a:prstGeom>
          <a:noFill/>
          <a:ln w="17145">
            <a:solidFill>
              <a:srgbClr val="008000"/>
            </a:solidFill>
            <a:round/>
            <a:headEnd/>
            <a:tailEnd type="triangle" w="med" len="med"/>
          </a:ln>
          <a:extLst>
            <a:ext uri="{909E8E84-426E-40DD-AFC4-6F175D3DCCD1}">
              <a14:hiddenFill xmlns:a14="http://schemas.microsoft.com/office/drawing/2010/main">
                <a:noFill/>
              </a14:hiddenFill>
            </a:ext>
          </a:extLst>
        </xdr:spPr>
      </xdr:sp>
      <xdr:sp macro="" textlink="">
        <xdr:nvSpPr>
          <xdr:cNvPr id="44484756" name="Line 1958">
            <a:extLst>
              <a:ext uri="{FF2B5EF4-FFF2-40B4-BE49-F238E27FC236}">
                <a16:creationId xmlns:a16="http://schemas.microsoft.com/office/drawing/2014/main" id="{00000000-0008-0000-0100-000094C8A602}"/>
              </a:ext>
            </a:extLst>
          </xdr:cNvPr>
          <xdr:cNvSpPr>
            <a:spLocks noChangeShapeType="1"/>
          </xdr:cNvSpPr>
        </xdr:nvSpPr>
        <xdr:spPr bwMode="auto">
          <a:xfrm>
            <a:off x="4418" y="2821"/>
            <a:ext cx="31" cy="0"/>
          </a:xfrm>
          <a:prstGeom prst="line">
            <a:avLst/>
          </a:prstGeom>
          <a:noFill/>
          <a:ln w="0">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grpSp>
        <xdr:nvGrpSpPr>
          <xdr:cNvPr id="44484757" name="Group 1959">
            <a:extLst>
              <a:ext uri="{FF2B5EF4-FFF2-40B4-BE49-F238E27FC236}">
                <a16:creationId xmlns:a16="http://schemas.microsoft.com/office/drawing/2014/main" id="{00000000-0008-0000-0100-000095C8A602}"/>
              </a:ext>
            </a:extLst>
          </xdr:cNvPr>
          <xdr:cNvGrpSpPr>
            <a:grpSpLocks/>
          </xdr:cNvGrpSpPr>
        </xdr:nvGrpSpPr>
        <xdr:grpSpPr bwMode="auto">
          <a:xfrm>
            <a:off x="4426" y="2828"/>
            <a:ext cx="20" cy="19"/>
            <a:chOff x="4426" y="2828"/>
            <a:chExt cx="20" cy="19"/>
          </a:xfrm>
        </xdr:grpSpPr>
        <xdr:sp macro="" textlink="">
          <xdr:nvSpPr>
            <xdr:cNvPr id="44484758" name="Oval 1960">
              <a:extLst>
                <a:ext uri="{FF2B5EF4-FFF2-40B4-BE49-F238E27FC236}">
                  <a16:creationId xmlns:a16="http://schemas.microsoft.com/office/drawing/2014/main" id="{00000000-0008-0000-0100-000096C8A602}"/>
                </a:ext>
              </a:extLst>
            </xdr:cNvPr>
            <xdr:cNvSpPr>
              <a:spLocks noChangeArrowheads="1"/>
            </xdr:cNvSpPr>
          </xdr:nvSpPr>
          <xdr:spPr bwMode="auto">
            <a:xfrm>
              <a:off x="4426" y="2828"/>
              <a:ext cx="20" cy="19"/>
            </a:xfrm>
            <a:prstGeom prst="ellipse">
              <a:avLst/>
            </a:prstGeom>
            <a:solidFill>
              <a:srgbClr val="EAEAEA"/>
            </a:solidFill>
            <a:ln w="1">
              <a:solidFill>
                <a:srgbClr val="333333"/>
              </a:solidFill>
              <a:round/>
              <a:headEnd/>
              <a:tailEnd/>
            </a:ln>
          </xdr:spPr>
        </xdr:sp>
        <xdr:sp macro="" textlink="">
          <xdr:nvSpPr>
            <xdr:cNvPr id="44484759" name="Line 1961">
              <a:extLst>
                <a:ext uri="{FF2B5EF4-FFF2-40B4-BE49-F238E27FC236}">
                  <a16:creationId xmlns:a16="http://schemas.microsoft.com/office/drawing/2014/main" id="{00000000-0008-0000-0100-000097C8A602}"/>
                </a:ext>
              </a:extLst>
            </xdr:cNvPr>
            <xdr:cNvSpPr>
              <a:spLocks noChangeShapeType="1"/>
            </xdr:cNvSpPr>
          </xdr:nvSpPr>
          <xdr:spPr bwMode="auto">
            <a:xfrm flipH="1" flipV="1">
              <a:off x="4428" y="2832"/>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760" name="Line 1962">
              <a:extLst>
                <a:ext uri="{FF2B5EF4-FFF2-40B4-BE49-F238E27FC236}">
                  <a16:creationId xmlns:a16="http://schemas.microsoft.com/office/drawing/2014/main" id="{00000000-0008-0000-0100-000098C8A602}"/>
                </a:ext>
              </a:extLst>
            </xdr:cNvPr>
            <xdr:cNvSpPr>
              <a:spLocks noChangeShapeType="1"/>
            </xdr:cNvSpPr>
          </xdr:nvSpPr>
          <xdr:spPr bwMode="auto">
            <a:xfrm flipH="1">
              <a:off x="4428" y="2838"/>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761" name="Oval 1963">
              <a:extLst>
                <a:ext uri="{FF2B5EF4-FFF2-40B4-BE49-F238E27FC236}">
                  <a16:creationId xmlns:a16="http://schemas.microsoft.com/office/drawing/2014/main" id="{00000000-0008-0000-0100-000099C8A602}"/>
                </a:ext>
              </a:extLst>
            </xdr:cNvPr>
            <xdr:cNvSpPr>
              <a:spLocks noChangeArrowheads="1"/>
            </xdr:cNvSpPr>
          </xdr:nvSpPr>
          <xdr:spPr bwMode="auto">
            <a:xfrm>
              <a:off x="4433" y="2831"/>
              <a:ext cx="2" cy="1"/>
            </a:xfrm>
            <a:prstGeom prst="ellipse">
              <a:avLst/>
            </a:prstGeom>
            <a:solidFill>
              <a:srgbClr val="EAEAEA"/>
            </a:solidFill>
            <a:ln w="9525">
              <a:solidFill>
                <a:srgbClr val="333333"/>
              </a:solidFill>
              <a:round/>
              <a:headEnd/>
              <a:tailEnd/>
            </a:ln>
          </xdr:spPr>
        </xdr:sp>
      </xdr:grpSp>
    </xdr:grpSp>
    <xdr:clientData/>
  </xdr:twoCellAnchor>
  <xdr:twoCellAnchor>
    <xdr:from>
      <xdr:col>65</xdr:col>
      <xdr:colOff>314325</xdr:colOff>
      <xdr:row>161</xdr:row>
      <xdr:rowOff>114300</xdr:rowOff>
    </xdr:from>
    <xdr:to>
      <xdr:col>65</xdr:col>
      <xdr:colOff>628650</xdr:colOff>
      <xdr:row>172</xdr:row>
      <xdr:rowOff>85725</xdr:rowOff>
    </xdr:to>
    <xdr:grpSp>
      <xdr:nvGrpSpPr>
        <xdr:cNvPr id="44340871" name="Group 2602">
          <a:extLst>
            <a:ext uri="{FF2B5EF4-FFF2-40B4-BE49-F238E27FC236}">
              <a16:creationId xmlns:a16="http://schemas.microsoft.com/office/drawing/2014/main" id="{00000000-0008-0000-0100-00008796A402}"/>
            </a:ext>
          </a:extLst>
        </xdr:cNvPr>
        <xdr:cNvGrpSpPr>
          <a:grpSpLocks/>
        </xdr:cNvGrpSpPr>
      </xdr:nvGrpSpPr>
      <xdr:grpSpPr bwMode="auto">
        <a:xfrm>
          <a:off x="30462855" y="26184225"/>
          <a:ext cx="308610" cy="1754505"/>
          <a:chOff x="4416" y="3613"/>
          <a:chExt cx="33" cy="187"/>
        </a:xfrm>
      </xdr:grpSpPr>
      <xdr:grpSp>
        <xdr:nvGrpSpPr>
          <xdr:cNvPr id="44484738" name="Group 2390">
            <a:extLst>
              <a:ext uri="{FF2B5EF4-FFF2-40B4-BE49-F238E27FC236}">
                <a16:creationId xmlns:a16="http://schemas.microsoft.com/office/drawing/2014/main" id="{00000000-0008-0000-0100-000082C8A602}"/>
              </a:ext>
            </a:extLst>
          </xdr:cNvPr>
          <xdr:cNvGrpSpPr>
            <a:grpSpLocks/>
          </xdr:cNvGrpSpPr>
        </xdr:nvGrpSpPr>
        <xdr:grpSpPr bwMode="auto">
          <a:xfrm>
            <a:off x="4439" y="3613"/>
            <a:ext cx="0" cy="34"/>
            <a:chOff x="4439" y="3613"/>
            <a:chExt cx="0" cy="34"/>
          </a:xfrm>
        </xdr:grpSpPr>
        <xdr:sp macro="" textlink="">
          <xdr:nvSpPr>
            <xdr:cNvPr id="44484749" name="Line 2391">
              <a:extLst>
                <a:ext uri="{FF2B5EF4-FFF2-40B4-BE49-F238E27FC236}">
                  <a16:creationId xmlns:a16="http://schemas.microsoft.com/office/drawing/2014/main" id="{00000000-0008-0000-0100-00008DC8A602}"/>
                </a:ext>
              </a:extLst>
            </xdr:cNvPr>
            <xdr:cNvSpPr>
              <a:spLocks noChangeShapeType="1"/>
            </xdr:cNvSpPr>
          </xdr:nvSpPr>
          <xdr:spPr bwMode="auto">
            <a:xfrm flipV="1">
              <a:off x="4439" y="3613"/>
              <a:ext cx="0" cy="20"/>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484750" name="Line 2392">
              <a:extLst>
                <a:ext uri="{FF2B5EF4-FFF2-40B4-BE49-F238E27FC236}">
                  <a16:creationId xmlns:a16="http://schemas.microsoft.com/office/drawing/2014/main" id="{00000000-0008-0000-0100-00008EC8A602}"/>
                </a:ext>
              </a:extLst>
            </xdr:cNvPr>
            <xdr:cNvSpPr>
              <a:spLocks noChangeShapeType="1"/>
            </xdr:cNvSpPr>
          </xdr:nvSpPr>
          <xdr:spPr bwMode="auto">
            <a:xfrm>
              <a:off x="4439" y="3633"/>
              <a:ext cx="0" cy="14"/>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sp macro="" textlink="">
        <xdr:nvSpPr>
          <xdr:cNvPr id="44484739" name="Line 2393">
            <a:extLst>
              <a:ext uri="{FF2B5EF4-FFF2-40B4-BE49-F238E27FC236}">
                <a16:creationId xmlns:a16="http://schemas.microsoft.com/office/drawing/2014/main" id="{00000000-0008-0000-0100-000083C8A602}"/>
              </a:ext>
            </a:extLst>
          </xdr:cNvPr>
          <xdr:cNvSpPr>
            <a:spLocks noChangeShapeType="1"/>
          </xdr:cNvSpPr>
        </xdr:nvSpPr>
        <xdr:spPr bwMode="auto">
          <a:xfrm>
            <a:off x="4439" y="3649"/>
            <a:ext cx="0" cy="31"/>
          </a:xfrm>
          <a:prstGeom prst="line">
            <a:avLst/>
          </a:prstGeom>
          <a:noFill/>
          <a:ln w="9525">
            <a:solidFill>
              <a:srgbClr val="FF6600"/>
            </a:solidFill>
            <a:round/>
            <a:headEnd type="triangle" w="med" len="med"/>
            <a:tailEnd type="triangle" w="med" len="med"/>
          </a:ln>
          <a:extLst>
            <a:ext uri="{909E8E84-426E-40DD-AFC4-6F175D3DCCD1}">
              <a14:hiddenFill xmlns:a14="http://schemas.microsoft.com/office/drawing/2010/main">
                <a:noFill/>
              </a14:hiddenFill>
            </a:ext>
          </a:extLst>
        </xdr:spPr>
      </xdr:sp>
      <xdr:sp macro="" textlink="">
        <xdr:nvSpPr>
          <xdr:cNvPr id="44484740" name="Line 2394">
            <a:extLst>
              <a:ext uri="{FF2B5EF4-FFF2-40B4-BE49-F238E27FC236}">
                <a16:creationId xmlns:a16="http://schemas.microsoft.com/office/drawing/2014/main" id="{00000000-0008-0000-0100-000084C8A602}"/>
              </a:ext>
            </a:extLst>
          </xdr:cNvPr>
          <xdr:cNvSpPr>
            <a:spLocks noChangeShapeType="1"/>
          </xdr:cNvSpPr>
        </xdr:nvSpPr>
        <xdr:spPr bwMode="auto">
          <a:xfrm>
            <a:off x="4418" y="3698"/>
            <a:ext cx="31" cy="0"/>
          </a:xfrm>
          <a:prstGeom prst="line">
            <a:avLst/>
          </a:prstGeom>
          <a:noFill/>
          <a:ln w="1">
            <a:solidFill>
              <a:srgbClr val="0000FF"/>
            </a:solidFill>
            <a:round/>
            <a:headEnd/>
            <a:tailEnd type="triangle" w="med" len="med"/>
          </a:ln>
          <a:extLst>
            <a:ext uri="{909E8E84-426E-40DD-AFC4-6F175D3DCCD1}">
              <a14:hiddenFill xmlns:a14="http://schemas.microsoft.com/office/drawing/2010/main">
                <a:noFill/>
              </a14:hiddenFill>
            </a:ext>
          </a:extLst>
        </xdr:spPr>
      </xdr:sp>
      <xdr:sp macro="" textlink="">
        <xdr:nvSpPr>
          <xdr:cNvPr id="44484741" name="Line 2395">
            <a:extLst>
              <a:ext uri="{FF2B5EF4-FFF2-40B4-BE49-F238E27FC236}">
                <a16:creationId xmlns:a16="http://schemas.microsoft.com/office/drawing/2014/main" id="{00000000-0008-0000-0100-000085C8A602}"/>
              </a:ext>
            </a:extLst>
          </xdr:cNvPr>
          <xdr:cNvSpPr>
            <a:spLocks noChangeShapeType="1"/>
          </xdr:cNvSpPr>
        </xdr:nvSpPr>
        <xdr:spPr bwMode="auto">
          <a:xfrm flipH="1">
            <a:off x="4416" y="3732"/>
            <a:ext cx="30" cy="0"/>
          </a:xfrm>
          <a:prstGeom prst="line">
            <a:avLst/>
          </a:prstGeom>
          <a:noFill/>
          <a:ln w="0">
            <a:solidFill>
              <a:srgbClr val="0000FF"/>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484742" name="Line 2396">
            <a:extLst>
              <a:ext uri="{FF2B5EF4-FFF2-40B4-BE49-F238E27FC236}">
                <a16:creationId xmlns:a16="http://schemas.microsoft.com/office/drawing/2014/main" id="{00000000-0008-0000-0100-000086C8A602}"/>
              </a:ext>
            </a:extLst>
          </xdr:cNvPr>
          <xdr:cNvSpPr>
            <a:spLocks noChangeShapeType="1"/>
          </xdr:cNvSpPr>
        </xdr:nvSpPr>
        <xdr:spPr bwMode="auto">
          <a:xfrm>
            <a:off x="4417" y="3800"/>
            <a:ext cx="31" cy="0"/>
          </a:xfrm>
          <a:prstGeom prst="line">
            <a:avLst/>
          </a:prstGeom>
          <a:noFill/>
          <a:ln w="17145">
            <a:solidFill>
              <a:srgbClr val="008000"/>
            </a:solidFill>
            <a:round/>
            <a:headEnd/>
            <a:tailEnd type="triangle" w="med" len="med"/>
          </a:ln>
          <a:extLst>
            <a:ext uri="{909E8E84-426E-40DD-AFC4-6F175D3DCCD1}">
              <a14:hiddenFill xmlns:a14="http://schemas.microsoft.com/office/drawing/2010/main">
                <a:noFill/>
              </a14:hiddenFill>
            </a:ext>
          </a:extLst>
        </xdr:spPr>
      </xdr:sp>
      <xdr:sp macro="" textlink="">
        <xdr:nvSpPr>
          <xdr:cNvPr id="44484743" name="Line 2397">
            <a:extLst>
              <a:ext uri="{FF2B5EF4-FFF2-40B4-BE49-F238E27FC236}">
                <a16:creationId xmlns:a16="http://schemas.microsoft.com/office/drawing/2014/main" id="{00000000-0008-0000-0100-000087C8A602}"/>
              </a:ext>
            </a:extLst>
          </xdr:cNvPr>
          <xdr:cNvSpPr>
            <a:spLocks noChangeShapeType="1"/>
          </xdr:cNvSpPr>
        </xdr:nvSpPr>
        <xdr:spPr bwMode="auto">
          <a:xfrm>
            <a:off x="4418" y="3756"/>
            <a:ext cx="31" cy="0"/>
          </a:xfrm>
          <a:prstGeom prst="line">
            <a:avLst/>
          </a:prstGeom>
          <a:noFill/>
          <a:ln w="0">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grpSp>
        <xdr:nvGrpSpPr>
          <xdr:cNvPr id="44484744" name="Group 2398">
            <a:extLst>
              <a:ext uri="{FF2B5EF4-FFF2-40B4-BE49-F238E27FC236}">
                <a16:creationId xmlns:a16="http://schemas.microsoft.com/office/drawing/2014/main" id="{00000000-0008-0000-0100-000088C8A602}"/>
              </a:ext>
            </a:extLst>
          </xdr:cNvPr>
          <xdr:cNvGrpSpPr>
            <a:grpSpLocks/>
          </xdr:cNvGrpSpPr>
        </xdr:nvGrpSpPr>
        <xdr:grpSpPr bwMode="auto">
          <a:xfrm>
            <a:off x="4426" y="3763"/>
            <a:ext cx="20" cy="19"/>
            <a:chOff x="4426" y="3763"/>
            <a:chExt cx="20" cy="19"/>
          </a:xfrm>
        </xdr:grpSpPr>
        <xdr:sp macro="" textlink="">
          <xdr:nvSpPr>
            <xdr:cNvPr id="44484745" name="Oval 2399">
              <a:extLst>
                <a:ext uri="{FF2B5EF4-FFF2-40B4-BE49-F238E27FC236}">
                  <a16:creationId xmlns:a16="http://schemas.microsoft.com/office/drawing/2014/main" id="{00000000-0008-0000-0100-000089C8A602}"/>
                </a:ext>
              </a:extLst>
            </xdr:cNvPr>
            <xdr:cNvSpPr>
              <a:spLocks noChangeArrowheads="1"/>
            </xdr:cNvSpPr>
          </xdr:nvSpPr>
          <xdr:spPr bwMode="auto">
            <a:xfrm>
              <a:off x="4426" y="3763"/>
              <a:ext cx="20" cy="19"/>
            </a:xfrm>
            <a:prstGeom prst="ellipse">
              <a:avLst/>
            </a:prstGeom>
            <a:solidFill>
              <a:srgbClr val="EAEAEA"/>
            </a:solidFill>
            <a:ln w="1">
              <a:solidFill>
                <a:srgbClr val="333333"/>
              </a:solidFill>
              <a:round/>
              <a:headEnd/>
              <a:tailEnd/>
            </a:ln>
          </xdr:spPr>
        </xdr:sp>
        <xdr:sp macro="" textlink="">
          <xdr:nvSpPr>
            <xdr:cNvPr id="44484746" name="Line 2400">
              <a:extLst>
                <a:ext uri="{FF2B5EF4-FFF2-40B4-BE49-F238E27FC236}">
                  <a16:creationId xmlns:a16="http://schemas.microsoft.com/office/drawing/2014/main" id="{00000000-0008-0000-0100-00008AC8A602}"/>
                </a:ext>
              </a:extLst>
            </xdr:cNvPr>
            <xdr:cNvSpPr>
              <a:spLocks noChangeShapeType="1"/>
            </xdr:cNvSpPr>
          </xdr:nvSpPr>
          <xdr:spPr bwMode="auto">
            <a:xfrm flipH="1" flipV="1">
              <a:off x="4428" y="3767"/>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747" name="Line 2401">
              <a:extLst>
                <a:ext uri="{FF2B5EF4-FFF2-40B4-BE49-F238E27FC236}">
                  <a16:creationId xmlns:a16="http://schemas.microsoft.com/office/drawing/2014/main" id="{00000000-0008-0000-0100-00008BC8A602}"/>
                </a:ext>
              </a:extLst>
            </xdr:cNvPr>
            <xdr:cNvSpPr>
              <a:spLocks noChangeShapeType="1"/>
            </xdr:cNvSpPr>
          </xdr:nvSpPr>
          <xdr:spPr bwMode="auto">
            <a:xfrm flipH="1">
              <a:off x="4428" y="3773"/>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748" name="Oval 2402">
              <a:extLst>
                <a:ext uri="{FF2B5EF4-FFF2-40B4-BE49-F238E27FC236}">
                  <a16:creationId xmlns:a16="http://schemas.microsoft.com/office/drawing/2014/main" id="{00000000-0008-0000-0100-00008CC8A602}"/>
                </a:ext>
              </a:extLst>
            </xdr:cNvPr>
            <xdr:cNvSpPr>
              <a:spLocks noChangeArrowheads="1"/>
            </xdr:cNvSpPr>
          </xdr:nvSpPr>
          <xdr:spPr bwMode="auto">
            <a:xfrm>
              <a:off x="4433" y="3766"/>
              <a:ext cx="2" cy="1"/>
            </a:xfrm>
            <a:prstGeom prst="ellipse">
              <a:avLst/>
            </a:prstGeom>
            <a:solidFill>
              <a:srgbClr val="EAEAEA"/>
            </a:solidFill>
            <a:ln w="9525">
              <a:solidFill>
                <a:srgbClr val="333333"/>
              </a:solidFill>
              <a:round/>
              <a:headEnd/>
              <a:tailEnd/>
            </a:ln>
          </xdr:spPr>
        </xdr:sp>
      </xdr:grpSp>
    </xdr:grpSp>
    <xdr:clientData/>
  </xdr:twoCellAnchor>
  <xdr:twoCellAnchor>
    <xdr:from>
      <xdr:col>66</xdr:col>
      <xdr:colOff>19050</xdr:colOff>
      <xdr:row>4</xdr:row>
      <xdr:rowOff>152400</xdr:rowOff>
    </xdr:from>
    <xdr:to>
      <xdr:col>81</xdr:col>
      <xdr:colOff>314325</xdr:colOff>
      <xdr:row>42</xdr:row>
      <xdr:rowOff>0</xdr:rowOff>
    </xdr:to>
    <xdr:grpSp>
      <xdr:nvGrpSpPr>
        <xdr:cNvPr id="44340872" name="Group 9">
          <a:extLst>
            <a:ext uri="{FF2B5EF4-FFF2-40B4-BE49-F238E27FC236}">
              <a16:creationId xmlns:a16="http://schemas.microsoft.com/office/drawing/2014/main" id="{00000000-0008-0000-0100-00008896A402}"/>
            </a:ext>
          </a:extLst>
        </xdr:cNvPr>
        <xdr:cNvGrpSpPr>
          <a:grpSpLocks/>
        </xdr:cNvGrpSpPr>
      </xdr:nvGrpSpPr>
      <xdr:grpSpPr bwMode="auto">
        <a:xfrm>
          <a:off x="30895290" y="800100"/>
          <a:ext cx="11302365" cy="6000750"/>
          <a:chOff x="27778793" y="787400"/>
          <a:chExt cx="11090615" cy="5880100"/>
        </a:xfrm>
      </xdr:grpSpPr>
      <xdr:sp macro="" textlink="">
        <xdr:nvSpPr>
          <xdr:cNvPr id="44341239" name="Line 35">
            <a:extLst>
              <a:ext uri="{FF2B5EF4-FFF2-40B4-BE49-F238E27FC236}">
                <a16:creationId xmlns:a16="http://schemas.microsoft.com/office/drawing/2014/main" id="{00000000-0008-0000-0100-0000F797A402}"/>
              </a:ext>
            </a:extLst>
          </xdr:cNvPr>
          <xdr:cNvSpPr>
            <a:spLocks noChangeShapeType="1"/>
          </xdr:cNvSpPr>
        </xdr:nvSpPr>
        <xdr:spPr bwMode="auto">
          <a:xfrm flipH="1">
            <a:off x="33772962" y="6330960"/>
            <a:ext cx="0" cy="327192"/>
          </a:xfrm>
          <a:prstGeom prst="line">
            <a:avLst/>
          </a:prstGeom>
          <a:noFill/>
          <a:ln w="1">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341240" name="Line 36">
            <a:extLst>
              <a:ext uri="{FF2B5EF4-FFF2-40B4-BE49-F238E27FC236}">
                <a16:creationId xmlns:a16="http://schemas.microsoft.com/office/drawing/2014/main" id="{00000000-0008-0000-0100-0000F897A402}"/>
              </a:ext>
            </a:extLst>
          </xdr:cNvPr>
          <xdr:cNvSpPr>
            <a:spLocks noChangeShapeType="1"/>
          </xdr:cNvSpPr>
        </xdr:nvSpPr>
        <xdr:spPr bwMode="auto">
          <a:xfrm>
            <a:off x="35905053" y="6321612"/>
            <a:ext cx="0" cy="336540"/>
          </a:xfrm>
          <a:prstGeom prst="line">
            <a:avLst/>
          </a:prstGeom>
          <a:noFill/>
          <a:ln w="1">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341241" name="Line 37">
            <a:extLst>
              <a:ext uri="{FF2B5EF4-FFF2-40B4-BE49-F238E27FC236}">
                <a16:creationId xmlns:a16="http://schemas.microsoft.com/office/drawing/2014/main" id="{00000000-0008-0000-0100-0000F997A402}"/>
              </a:ext>
            </a:extLst>
          </xdr:cNvPr>
          <xdr:cNvSpPr>
            <a:spLocks noChangeShapeType="1"/>
          </xdr:cNvSpPr>
        </xdr:nvSpPr>
        <xdr:spPr bwMode="auto">
          <a:xfrm>
            <a:off x="37532175" y="6321612"/>
            <a:ext cx="0" cy="336540"/>
          </a:xfrm>
          <a:prstGeom prst="line">
            <a:avLst/>
          </a:prstGeom>
          <a:noFill/>
          <a:ln w="1">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grpSp>
        <xdr:nvGrpSpPr>
          <xdr:cNvPr id="44341242" name="Group 54">
            <a:extLst>
              <a:ext uri="{FF2B5EF4-FFF2-40B4-BE49-F238E27FC236}">
                <a16:creationId xmlns:a16="http://schemas.microsoft.com/office/drawing/2014/main" id="{00000000-0008-0000-0100-0000FA97A402}"/>
              </a:ext>
            </a:extLst>
          </xdr:cNvPr>
          <xdr:cNvGrpSpPr>
            <a:grpSpLocks/>
          </xdr:cNvGrpSpPr>
        </xdr:nvGrpSpPr>
        <xdr:grpSpPr bwMode="auto">
          <a:xfrm>
            <a:off x="29428647" y="2506788"/>
            <a:ext cx="0" cy="532855"/>
            <a:chOff x="4639" y="1255"/>
            <a:chExt cx="0" cy="57"/>
          </a:xfrm>
        </xdr:grpSpPr>
        <xdr:sp macro="" textlink="">
          <xdr:nvSpPr>
            <xdr:cNvPr id="44484736" name="Line 55">
              <a:extLst>
                <a:ext uri="{FF2B5EF4-FFF2-40B4-BE49-F238E27FC236}">
                  <a16:creationId xmlns:a16="http://schemas.microsoft.com/office/drawing/2014/main" id="{00000000-0008-0000-0100-000080C8A602}"/>
                </a:ext>
              </a:extLst>
            </xdr:cNvPr>
            <xdr:cNvSpPr>
              <a:spLocks noChangeShapeType="1"/>
            </xdr:cNvSpPr>
          </xdr:nvSpPr>
          <xdr:spPr bwMode="auto">
            <a:xfrm flipV="1">
              <a:off x="4639" y="1255"/>
              <a:ext cx="0" cy="28"/>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484737" name="Line 56">
              <a:extLst>
                <a:ext uri="{FF2B5EF4-FFF2-40B4-BE49-F238E27FC236}">
                  <a16:creationId xmlns:a16="http://schemas.microsoft.com/office/drawing/2014/main" id="{00000000-0008-0000-0100-000081C8A602}"/>
                </a:ext>
              </a:extLst>
            </xdr:cNvPr>
            <xdr:cNvSpPr>
              <a:spLocks noChangeShapeType="1"/>
            </xdr:cNvSpPr>
          </xdr:nvSpPr>
          <xdr:spPr bwMode="auto">
            <a:xfrm>
              <a:off x="4639" y="1283"/>
              <a:ext cx="0" cy="29"/>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grpSp>
        <xdr:nvGrpSpPr>
          <xdr:cNvPr id="44341243" name="Group 64">
            <a:extLst>
              <a:ext uri="{FF2B5EF4-FFF2-40B4-BE49-F238E27FC236}">
                <a16:creationId xmlns:a16="http://schemas.microsoft.com/office/drawing/2014/main" id="{00000000-0008-0000-0100-0000FB97A402}"/>
              </a:ext>
            </a:extLst>
          </xdr:cNvPr>
          <xdr:cNvGrpSpPr>
            <a:grpSpLocks/>
          </xdr:cNvGrpSpPr>
        </xdr:nvGrpSpPr>
        <xdr:grpSpPr bwMode="auto">
          <a:xfrm>
            <a:off x="30782940" y="3956484"/>
            <a:ext cx="12" cy="373933"/>
            <a:chOff x="-264002" y="1358"/>
            <a:chExt cx="12" cy="40"/>
          </a:xfrm>
        </xdr:grpSpPr>
        <xdr:sp macro="" textlink="">
          <xdr:nvSpPr>
            <xdr:cNvPr id="44484734" name="Line 65">
              <a:extLst>
                <a:ext uri="{FF2B5EF4-FFF2-40B4-BE49-F238E27FC236}">
                  <a16:creationId xmlns:a16="http://schemas.microsoft.com/office/drawing/2014/main" id="{00000000-0008-0000-0100-00007EC8A602}"/>
                </a:ext>
              </a:extLst>
            </xdr:cNvPr>
            <xdr:cNvSpPr>
              <a:spLocks noChangeShapeType="1"/>
            </xdr:cNvSpPr>
          </xdr:nvSpPr>
          <xdr:spPr bwMode="auto">
            <a:xfrm flipV="1">
              <a:off x="-264002" y="1358"/>
              <a:ext cx="0" cy="22"/>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484735" name="Line 66">
              <a:extLst>
                <a:ext uri="{FF2B5EF4-FFF2-40B4-BE49-F238E27FC236}">
                  <a16:creationId xmlns:a16="http://schemas.microsoft.com/office/drawing/2014/main" id="{00000000-0008-0000-0100-00007FC8A602}"/>
                </a:ext>
              </a:extLst>
            </xdr:cNvPr>
            <xdr:cNvSpPr>
              <a:spLocks noChangeShapeType="1"/>
            </xdr:cNvSpPr>
          </xdr:nvSpPr>
          <xdr:spPr bwMode="auto">
            <a:xfrm>
              <a:off x="-263990" y="1380"/>
              <a:ext cx="0" cy="18"/>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sp macro="" textlink="">
        <xdr:nvSpPr>
          <xdr:cNvPr id="44341244" name="Line 72">
            <a:extLst>
              <a:ext uri="{FF2B5EF4-FFF2-40B4-BE49-F238E27FC236}">
                <a16:creationId xmlns:a16="http://schemas.microsoft.com/office/drawing/2014/main" id="{00000000-0008-0000-0100-0000FC97A402}"/>
              </a:ext>
            </a:extLst>
          </xdr:cNvPr>
          <xdr:cNvSpPr>
            <a:spLocks noChangeShapeType="1"/>
          </xdr:cNvSpPr>
        </xdr:nvSpPr>
        <xdr:spPr bwMode="auto">
          <a:xfrm>
            <a:off x="28957055" y="6349657"/>
            <a:ext cx="0" cy="317843"/>
          </a:xfrm>
          <a:prstGeom prst="line">
            <a:avLst/>
          </a:prstGeom>
          <a:noFill/>
          <a:ln w="1">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grpSp>
        <xdr:nvGrpSpPr>
          <xdr:cNvPr id="44341245" name="Group 102">
            <a:extLst>
              <a:ext uri="{FF2B5EF4-FFF2-40B4-BE49-F238E27FC236}">
                <a16:creationId xmlns:a16="http://schemas.microsoft.com/office/drawing/2014/main" id="{00000000-0008-0000-0100-0000FD97A402}"/>
              </a:ext>
            </a:extLst>
          </xdr:cNvPr>
          <xdr:cNvGrpSpPr>
            <a:grpSpLocks/>
          </xdr:cNvGrpSpPr>
        </xdr:nvGrpSpPr>
        <xdr:grpSpPr bwMode="auto">
          <a:xfrm>
            <a:off x="28798083" y="5377430"/>
            <a:ext cx="0" cy="364585"/>
            <a:chOff x="4558" y="1510"/>
            <a:chExt cx="0" cy="39"/>
          </a:xfrm>
        </xdr:grpSpPr>
        <xdr:sp macro="" textlink="">
          <xdr:nvSpPr>
            <xdr:cNvPr id="44484732" name="Line 103">
              <a:extLst>
                <a:ext uri="{FF2B5EF4-FFF2-40B4-BE49-F238E27FC236}">
                  <a16:creationId xmlns:a16="http://schemas.microsoft.com/office/drawing/2014/main" id="{00000000-0008-0000-0100-00007CC8A602}"/>
                </a:ext>
              </a:extLst>
            </xdr:cNvPr>
            <xdr:cNvSpPr>
              <a:spLocks noChangeShapeType="1"/>
            </xdr:cNvSpPr>
          </xdr:nvSpPr>
          <xdr:spPr bwMode="auto">
            <a:xfrm flipH="1" flipV="1">
              <a:off x="4558" y="1510"/>
              <a:ext cx="0" cy="20"/>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484733" name="Line 104">
              <a:extLst>
                <a:ext uri="{FF2B5EF4-FFF2-40B4-BE49-F238E27FC236}">
                  <a16:creationId xmlns:a16="http://schemas.microsoft.com/office/drawing/2014/main" id="{00000000-0008-0000-0100-00007DC8A602}"/>
                </a:ext>
              </a:extLst>
            </xdr:cNvPr>
            <xdr:cNvSpPr>
              <a:spLocks noChangeShapeType="1"/>
            </xdr:cNvSpPr>
          </xdr:nvSpPr>
          <xdr:spPr bwMode="auto">
            <a:xfrm flipH="1">
              <a:off x="4558" y="1530"/>
              <a:ext cx="0" cy="19"/>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grpSp>
        <xdr:nvGrpSpPr>
          <xdr:cNvPr id="44341246" name="Group 1504">
            <a:extLst>
              <a:ext uri="{FF2B5EF4-FFF2-40B4-BE49-F238E27FC236}">
                <a16:creationId xmlns:a16="http://schemas.microsoft.com/office/drawing/2014/main" id="{00000000-0008-0000-0100-0000FE97A402}"/>
              </a:ext>
            </a:extLst>
          </xdr:cNvPr>
          <xdr:cNvGrpSpPr>
            <a:grpSpLocks/>
          </xdr:cNvGrpSpPr>
        </xdr:nvGrpSpPr>
        <xdr:grpSpPr bwMode="auto">
          <a:xfrm>
            <a:off x="36446084" y="4442597"/>
            <a:ext cx="187024" cy="177618"/>
            <a:chOff x="5282" y="1410"/>
            <a:chExt cx="20" cy="19"/>
          </a:xfrm>
        </xdr:grpSpPr>
        <xdr:sp macro="" textlink="">
          <xdr:nvSpPr>
            <xdr:cNvPr id="44484728" name="Oval 1505">
              <a:extLst>
                <a:ext uri="{FF2B5EF4-FFF2-40B4-BE49-F238E27FC236}">
                  <a16:creationId xmlns:a16="http://schemas.microsoft.com/office/drawing/2014/main" id="{00000000-0008-0000-0100-000078C8A602}"/>
                </a:ext>
              </a:extLst>
            </xdr:cNvPr>
            <xdr:cNvSpPr>
              <a:spLocks noChangeArrowheads="1"/>
            </xdr:cNvSpPr>
          </xdr:nvSpPr>
          <xdr:spPr bwMode="auto">
            <a:xfrm>
              <a:off x="5282" y="1410"/>
              <a:ext cx="20" cy="19"/>
            </a:xfrm>
            <a:prstGeom prst="ellipse">
              <a:avLst/>
            </a:prstGeom>
            <a:solidFill>
              <a:srgbClr val="EAEAEA"/>
            </a:solidFill>
            <a:ln w="1">
              <a:solidFill>
                <a:srgbClr val="333333"/>
              </a:solidFill>
              <a:round/>
              <a:headEnd/>
              <a:tailEnd/>
            </a:ln>
          </xdr:spPr>
        </xdr:sp>
        <xdr:sp macro="" textlink="">
          <xdr:nvSpPr>
            <xdr:cNvPr id="44484729" name="Line 1506">
              <a:extLst>
                <a:ext uri="{FF2B5EF4-FFF2-40B4-BE49-F238E27FC236}">
                  <a16:creationId xmlns:a16="http://schemas.microsoft.com/office/drawing/2014/main" id="{00000000-0008-0000-0100-000079C8A602}"/>
                </a:ext>
              </a:extLst>
            </xdr:cNvPr>
            <xdr:cNvSpPr>
              <a:spLocks noChangeShapeType="1"/>
            </xdr:cNvSpPr>
          </xdr:nvSpPr>
          <xdr:spPr bwMode="auto">
            <a:xfrm flipH="1" flipV="1">
              <a:off x="5284" y="1414"/>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730" name="Line 1507">
              <a:extLst>
                <a:ext uri="{FF2B5EF4-FFF2-40B4-BE49-F238E27FC236}">
                  <a16:creationId xmlns:a16="http://schemas.microsoft.com/office/drawing/2014/main" id="{00000000-0008-0000-0100-00007AC8A602}"/>
                </a:ext>
              </a:extLst>
            </xdr:cNvPr>
            <xdr:cNvSpPr>
              <a:spLocks noChangeShapeType="1"/>
            </xdr:cNvSpPr>
          </xdr:nvSpPr>
          <xdr:spPr bwMode="auto">
            <a:xfrm flipH="1">
              <a:off x="5284" y="1420"/>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731" name="Oval 1508">
              <a:extLst>
                <a:ext uri="{FF2B5EF4-FFF2-40B4-BE49-F238E27FC236}">
                  <a16:creationId xmlns:a16="http://schemas.microsoft.com/office/drawing/2014/main" id="{00000000-0008-0000-0100-00007BC8A602}"/>
                </a:ext>
              </a:extLst>
            </xdr:cNvPr>
            <xdr:cNvSpPr>
              <a:spLocks noChangeArrowheads="1"/>
            </xdr:cNvSpPr>
          </xdr:nvSpPr>
          <xdr:spPr bwMode="auto">
            <a:xfrm>
              <a:off x="5289" y="1413"/>
              <a:ext cx="2" cy="1"/>
            </a:xfrm>
            <a:prstGeom prst="ellipse">
              <a:avLst/>
            </a:prstGeom>
            <a:solidFill>
              <a:srgbClr val="EAEAEA"/>
            </a:solidFill>
            <a:ln w="9525">
              <a:solidFill>
                <a:srgbClr val="333333"/>
              </a:solidFill>
              <a:round/>
              <a:headEnd/>
              <a:tailEnd/>
            </a:ln>
          </xdr:spPr>
        </xdr:sp>
      </xdr:grpSp>
      <xdr:grpSp>
        <xdr:nvGrpSpPr>
          <xdr:cNvPr id="44341247" name="Group 1514">
            <a:extLst>
              <a:ext uri="{FF2B5EF4-FFF2-40B4-BE49-F238E27FC236}">
                <a16:creationId xmlns:a16="http://schemas.microsoft.com/office/drawing/2014/main" id="{00000000-0008-0000-0100-0000FF97A402}"/>
              </a:ext>
            </a:extLst>
          </xdr:cNvPr>
          <xdr:cNvGrpSpPr>
            <a:grpSpLocks/>
          </xdr:cNvGrpSpPr>
        </xdr:nvGrpSpPr>
        <xdr:grpSpPr bwMode="auto">
          <a:xfrm>
            <a:off x="34898230" y="4432014"/>
            <a:ext cx="187026" cy="177618"/>
            <a:chOff x="5121" y="1410"/>
            <a:chExt cx="20" cy="19"/>
          </a:xfrm>
        </xdr:grpSpPr>
        <xdr:sp macro="" textlink="">
          <xdr:nvSpPr>
            <xdr:cNvPr id="44484724" name="Oval 1515">
              <a:extLst>
                <a:ext uri="{FF2B5EF4-FFF2-40B4-BE49-F238E27FC236}">
                  <a16:creationId xmlns:a16="http://schemas.microsoft.com/office/drawing/2014/main" id="{00000000-0008-0000-0100-000074C8A602}"/>
                </a:ext>
              </a:extLst>
            </xdr:cNvPr>
            <xdr:cNvSpPr>
              <a:spLocks noChangeArrowheads="1"/>
            </xdr:cNvSpPr>
          </xdr:nvSpPr>
          <xdr:spPr bwMode="auto">
            <a:xfrm>
              <a:off x="5121" y="1410"/>
              <a:ext cx="20" cy="19"/>
            </a:xfrm>
            <a:prstGeom prst="ellipse">
              <a:avLst/>
            </a:prstGeom>
            <a:solidFill>
              <a:srgbClr val="EAEAEA"/>
            </a:solidFill>
            <a:ln w="1">
              <a:solidFill>
                <a:srgbClr val="333333"/>
              </a:solidFill>
              <a:round/>
              <a:headEnd/>
              <a:tailEnd/>
            </a:ln>
          </xdr:spPr>
        </xdr:sp>
        <xdr:sp macro="" textlink="">
          <xdr:nvSpPr>
            <xdr:cNvPr id="44484725" name="Line 1516">
              <a:extLst>
                <a:ext uri="{FF2B5EF4-FFF2-40B4-BE49-F238E27FC236}">
                  <a16:creationId xmlns:a16="http://schemas.microsoft.com/office/drawing/2014/main" id="{00000000-0008-0000-0100-000075C8A602}"/>
                </a:ext>
              </a:extLst>
            </xdr:cNvPr>
            <xdr:cNvSpPr>
              <a:spLocks noChangeShapeType="1"/>
            </xdr:cNvSpPr>
          </xdr:nvSpPr>
          <xdr:spPr bwMode="auto">
            <a:xfrm flipH="1" flipV="1">
              <a:off x="5123" y="1414"/>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726" name="Line 1517">
              <a:extLst>
                <a:ext uri="{FF2B5EF4-FFF2-40B4-BE49-F238E27FC236}">
                  <a16:creationId xmlns:a16="http://schemas.microsoft.com/office/drawing/2014/main" id="{00000000-0008-0000-0100-000076C8A602}"/>
                </a:ext>
              </a:extLst>
            </xdr:cNvPr>
            <xdr:cNvSpPr>
              <a:spLocks noChangeShapeType="1"/>
            </xdr:cNvSpPr>
          </xdr:nvSpPr>
          <xdr:spPr bwMode="auto">
            <a:xfrm flipH="1">
              <a:off x="5123" y="1420"/>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727" name="Oval 1518">
              <a:extLst>
                <a:ext uri="{FF2B5EF4-FFF2-40B4-BE49-F238E27FC236}">
                  <a16:creationId xmlns:a16="http://schemas.microsoft.com/office/drawing/2014/main" id="{00000000-0008-0000-0100-000077C8A602}"/>
                </a:ext>
              </a:extLst>
            </xdr:cNvPr>
            <xdr:cNvSpPr>
              <a:spLocks noChangeArrowheads="1"/>
            </xdr:cNvSpPr>
          </xdr:nvSpPr>
          <xdr:spPr bwMode="auto">
            <a:xfrm>
              <a:off x="5128" y="1413"/>
              <a:ext cx="2" cy="1"/>
            </a:xfrm>
            <a:prstGeom prst="ellipse">
              <a:avLst/>
            </a:prstGeom>
            <a:solidFill>
              <a:srgbClr val="EAEAEA"/>
            </a:solidFill>
            <a:ln w="9525">
              <a:solidFill>
                <a:srgbClr val="333333"/>
              </a:solidFill>
              <a:round/>
              <a:headEnd/>
              <a:tailEnd/>
            </a:ln>
          </xdr:spPr>
        </xdr:sp>
      </xdr:grpSp>
      <xdr:grpSp>
        <xdr:nvGrpSpPr>
          <xdr:cNvPr id="44484608" name="Group 1529">
            <a:extLst>
              <a:ext uri="{FF2B5EF4-FFF2-40B4-BE49-F238E27FC236}">
                <a16:creationId xmlns:a16="http://schemas.microsoft.com/office/drawing/2014/main" id="{00000000-0008-0000-0100-000000C8A602}"/>
              </a:ext>
            </a:extLst>
          </xdr:cNvPr>
          <xdr:cNvGrpSpPr>
            <a:grpSpLocks/>
          </xdr:cNvGrpSpPr>
        </xdr:nvGrpSpPr>
        <xdr:grpSpPr bwMode="auto">
          <a:xfrm>
            <a:off x="32099536" y="3458720"/>
            <a:ext cx="187026" cy="177618"/>
            <a:chOff x="4902" y="1324"/>
            <a:chExt cx="20" cy="19"/>
          </a:xfrm>
        </xdr:grpSpPr>
        <xdr:sp macro="" textlink="">
          <xdr:nvSpPr>
            <xdr:cNvPr id="44484720" name="Oval 1530">
              <a:extLst>
                <a:ext uri="{FF2B5EF4-FFF2-40B4-BE49-F238E27FC236}">
                  <a16:creationId xmlns:a16="http://schemas.microsoft.com/office/drawing/2014/main" id="{00000000-0008-0000-0100-000070C8A602}"/>
                </a:ext>
              </a:extLst>
            </xdr:cNvPr>
            <xdr:cNvSpPr>
              <a:spLocks noChangeArrowheads="1"/>
            </xdr:cNvSpPr>
          </xdr:nvSpPr>
          <xdr:spPr bwMode="auto">
            <a:xfrm>
              <a:off x="4902" y="1324"/>
              <a:ext cx="20" cy="19"/>
            </a:xfrm>
            <a:prstGeom prst="ellipse">
              <a:avLst/>
            </a:prstGeom>
            <a:solidFill>
              <a:srgbClr val="EAEAEA"/>
            </a:solidFill>
            <a:ln w="1">
              <a:solidFill>
                <a:srgbClr val="333333"/>
              </a:solidFill>
              <a:round/>
              <a:headEnd/>
              <a:tailEnd/>
            </a:ln>
          </xdr:spPr>
        </xdr:sp>
        <xdr:sp macro="" textlink="">
          <xdr:nvSpPr>
            <xdr:cNvPr id="44484721" name="Line 1531">
              <a:extLst>
                <a:ext uri="{FF2B5EF4-FFF2-40B4-BE49-F238E27FC236}">
                  <a16:creationId xmlns:a16="http://schemas.microsoft.com/office/drawing/2014/main" id="{00000000-0008-0000-0100-000071C8A602}"/>
                </a:ext>
              </a:extLst>
            </xdr:cNvPr>
            <xdr:cNvSpPr>
              <a:spLocks noChangeShapeType="1"/>
            </xdr:cNvSpPr>
          </xdr:nvSpPr>
          <xdr:spPr bwMode="auto">
            <a:xfrm flipH="1" flipV="1">
              <a:off x="4904" y="1328"/>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722" name="Line 1532">
              <a:extLst>
                <a:ext uri="{FF2B5EF4-FFF2-40B4-BE49-F238E27FC236}">
                  <a16:creationId xmlns:a16="http://schemas.microsoft.com/office/drawing/2014/main" id="{00000000-0008-0000-0100-000072C8A602}"/>
                </a:ext>
              </a:extLst>
            </xdr:cNvPr>
            <xdr:cNvSpPr>
              <a:spLocks noChangeShapeType="1"/>
            </xdr:cNvSpPr>
          </xdr:nvSpPr>
          <xdr:spPr bwMode="auto">
            <a:xfrm flipH="1">
              <a:off x="4904" y="1334"/>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723" name="Oval 1533">
              <a:extLst>
                <a:ext uri="{FF2B5EF4-FFF2-40B4-BE49-F238E27FC236}">
                  <a16:creationId xmlns:a16="http://schemas.microsoft.com/office/drawing/2014/main" id="{00000000-0008-0000-0100-000073C8A602}"/>
                </a:ext>
              </a:extLst>
            </xdr:cNvPr>
            <xdr:cNvSpPr>
              <a:spLocks noChangeArrowheads="1"/>
            </xdr:cNvSpPr>
          </xdr:nvSpPr>
          <xdr:spPr bwMode="auto">
            <a:xfrm>
              <a:off x="4909" y="1327"/>
              <a:ext cx="2" cy="1"/>
            </a:xfrm>
            <a:prstGeom prst="ellipse">
              <a:avLst/>
            </a:prstGeom>
            <a:solidFill>
              <a:srgbClr val="EAEAEA"/>
            </a:solidFill>
            <a:ln w="9525">
              <a:solidFill>
                <a:srgbClr val="333333"/>
              </a:solidFill>
              <a:round/>
              <a:headEnd/>
              <a:tailEnd/>
            </a:ln>
          </xdr:spPr>
        </xdr:sp>
      </xdr:grpSp>
      <xdr:grpSp>
        <xdr:nvGrpSpPr>
          <xdr:cNvPr id="44484609" name="Group 1534">
            <a:extLst>
              <a:ext uri="{FF2B5EF4-FFF2-40B4-BE49-F238E27FC236}">
                <a16:creationId xmlns:a16="http://schemas.microsoft.com/office/drawing/2014/main" id="{00000000-0008-0000-0100-000001C8A602}"/>
              </a:ext>
            </a:extLst>
          </xdr:cNvPr>
          <xdr:cNvGrpSpPr>
            <a:grpSpLocks/>
          </xdr:cNvGrpSpPr>
        </xdr:nvGrpSpPr>
        <xdr:grpSpPr bwMode="auto">
          <a:xfrm>
            <a:off x="31958814" y="4283676"/>
            <a:ext cx="187025" cy="177618"/>
            <a:chOff x="4896" y="1393"/>
            <a:chExt cx="20" cy="19"/>
          </a:xfrm>
        </xdr:grpSpPr>
        <xdr:sp macro="" textlink="">
          <xdr:nvSpPr>
            <xdr:cNvPr id="44484716" name="Oval 1535">
              <a:extLst>
                <a:ext uri="{FF2B5EF4-FFF2-40B4-BE49-F238E27FC236}">
                  <a16:creationId xmlns:a16="http://schemas.microsoft.com/office/drawing/2014/main" id="{00000000-0008-0000-0100-00006CC8A602}"/>
                </a:ext>
              </a:extLst>
            </xdr:cNvPr>
            <xdr:cNvSpPr>
              <a:spLocks noChangeArrowheads="1"/>
            </xdr:cNvSpPr>
          </xdr:nvSpPr>
          <xdr:spPr bwMode="auto">
            <a:xfrm>
              <a:off x="4896" y="1393"/>
              <a:ext cx="20" cy="19"/>
            </a:xfrm>
            <a:prstGeom prst="ellipse">
              <a:avLst/>
            </a:prstGeom>
            <a:solidFill>
              <a:srgbClr val="EAEAEA"/>
            </a:solidFill>
            <a:ln w="1">
              <a:solidFill>
                <a:srgbClr val="333333"/>
              </a:solidFill>
              <a:round/>
              <a:headEnd/>
              <a:tailEnd/>
            </a:ln>
          </xdr:spPr>
        </xdr:sp>
        <xdr:sp macro="" textlink="">
          <xdr:nvSpPr>
            <xdr:cNvPr id="44484717" name="Line 1536">
              <a:extLst>
                <a:ext uri="{FF2B5EF4-FFF2-40B4-BE49-F238E27FC236}">
                  <a16:creationId xmlns:a16="http://schemas.microsoft.com/office/drawing/2014/main" id="{00000000-0008-0000-0100-00006DC8A602}"/>
                </a:ext>
              </a:extLst>
            </xdr:cNvPr>
            <xdr:cNvSpPr>
              <a:spLocks noChangeShapeType="1"/>
            </xdr:cNvSpPr>
          </xdr:nvSpPr>
          <xdr:spPr bwMode="auto">
            <a:xfrm flipH="1" flipV="1">
              <a:off x="4898" y="1397"/>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718" name="Line 1537">
              <a:extLst>
                <a:ext uri="{FF2B5EF4-FFF2-40B4-BE49-F238E27FC236}">
                  <a16:creationId xmlns:a16="http://schemas.microsoft.com/office/drawing/2014/main" id="{00000000-0008-0000-0100-00006EC8A602}"/>
                </a:ext>
              </a:extLst>
            </xdr:cNvPr>
            <xdr:cNvSpPr>
              <a:spLocks noChangeShapeType="1"/>
            </xdr:cNvSpPr>
          </xdr:nvSpPr>
          <xdr:spPr bwMode="auto">
            <a:xfrm flipH="1">
              <a:off x="4898" y="1403"/>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719" name="Oval 1538">
              <a:extLst>
                <a:ext uri="{FF2B5EF4-FFF2-40B4-BE49-F238E27FC236}">
                  <a16:creationId xmlns:a16="http://schemas.microsoft.com/office/drawing/2014/main" id="{00000000-0008-0000-0100-00006FC8A602}"/>
                </a:ext>
              </a:extLst>
            </xdr:cNvPr>
            <xdr:cNvSpPr>
              <a:spLocks noChangeArrowheads="1"/>
            </xdr:cNvSpPr>
          </xdr:nvSpPr>
          <xdr:spPr bwMode="auto">
            <a:xfrm>
              <a:off x="4903" y="1396"/>
              <a:ext cx="2" cy="1"/>
            </a:xfrm>
            <a:prstGeom prst="ellipse">
              <a:avLst/>
            </a:prstGeom>
            <a:solidFill>
              <a:srgbClr val="EAEAEA"/>
            </a:solidFill>
            <a:ln w="9525">
              <a:solidFill>
                <a:srgbClr val="333333"/>
              </a:solidFill>
              <a:round/>
              <a:headEnd/>
              <a:tailEnd/>
            </a:ln>
          </xdr:spPr>
        </xdr:sp>
      </xdr:grpSp>
      <xdr:grpSp>
        <xdr:nvGrpSpPr>
          <xdr:cNvPr id="44484610" name="Group 5">
            <a:extLst>
              <a:ext uri="{FF2B5EF4-FFF2-40B4-BE49-F238E27FC236}">
                <a16:creationId xmlns:a16="http://schemas.microsoft.com/office/drawing/2014/main" id="{00000000-0008-0000-0100-000002C8A602}"/>
              </a:ext>
            </a:extLst>
          </xdr:cNvPr>
          <xdr:cNvGrpSpPr>
            <a:grpSpLocks/>
          </xdr:cNvGrpSpPr>
        </xdr:nvGrpSpPr>
        <xdr:grpSpPr bwMode="auto">
          <a:xfrm>
            <a:off x="27806847" y="3498228"/>
            <a:ext cx="702570" cy="63671"/>
            <a:chOff x="27806847" y="3498228"/>
            <a:chExt cx="702570" cy="63671"/>
          </a:xfrm>
        </xdr:grpSpPr>
        <xdr:sp macro="" textlink="">
          <xdr:nvSpPr>
            <xdr:cNvPr id="44484714" name="Line 1548">
              <a:extLst>
                <a:ext uri="{FF2B5EF4-FFF2-40B4-BE49-F238E27FC236}">
                  <a16:creationId xmlns:a16="http://schemas.microsoft.com/office/drawing/2014/main" id="{00000000-0008-0000-0100-00006AC8A602}"/>
                </a:ext>
              </a:extLst>
            </xdr:cNvPr>
            <xdr:cNvSpPr>
              <a:spLocks noChangeShapeType="1"/>
            </xdr:cNvSpPr>
          </xdr:nvSpPr>
          <xdr:spPr bwMode="auto">
            <a:xfrm>
              <a:off x="27817422" y="3498228"/>
              <a:ext cx="691995" cy="0"/>
            </a:xfrm>
            <a:prstGeom prst="line">
              <a:avLst/>
            </a:prstGeom>
            <a:noFill/>
            <a:ln w="1">
              <a:solidFill>
                <a:srgbClr val="0000FF"/>
              </a:solidFill>
              <a:round/>
              <a:headEnd/>
              <a:tailEnd type="triangle" w="med" len="med"/>
            </a:ln>
            <a:extLst>
              <a:ext uri="{909E8E84-426E-40DD-AFC4-6F175D3DCCD1}">
                <a14:hiddenFill xmlns:a14="http://schemas.microsoft.com/office/drawing/2010/main">
                  <a:noFill/>
                </a14:hiddenFill>
              </a:ext>
            </a:extLst>
          </xdr:spPr>
        </xdr:sp>
        <xdr:sp macro="" textlink="">
          <xdr:nvSpPr>
            <xdr:cNvPr id="44484715" name="Line 1549">
              <a:extLst>
                <a:ext uri="{FF2B5EF4-FFF2-40B4-BE49-F238E27FC236}">
                  <a16:creationId xmlns:a16="http://schemas.microsoft.com/office/drawing/2014/main" id="{00000000-0008-0000-0100-00006BC8A602}"/>
                </a:ext>
              </a:extLst>
            </xdr:cNvPr>
            <xdr:cNvSpPr>
              <a:spLocks noChangeShapeType="1"/>
            </xdr:cNvSpPr>
          </xdr:nvSpPr>
          <xdr:spPr bwMode="auto">
            <a:xfrm flipH="1">
              <a:off x="27806847" y="3561899"/>
              <a:ext cx="682643" cy="0"/>
            </a:xfrm>
            <a:prstGeom prst="line">
              <a:avLst/>
            </a:prstGeom>
            <a:noFill/>
            <a:ln w="0">
              <a:solidFill>
                <a:srgbClr val="0000FF"/>
              </a:solidFill>
              <a:prstDash val="dash"/>
              <a:round/>
              <a:headEnd/>
              <a:tailEnd type="triangle" w="med" len="med"/>
            </a:ln>
            <a:extLst>
              <a:ext uri="{909E8E84-426E-40DD-AFC4-6F175D3DCCD1}">
                <a14:hiddenFill xmlns:a14="http://schemas.microsoft.com/office/drawing/2010/main">
                  <a:noFill/>
                </a14:hiddenFill>
              </a:ext>
            </a:extLst>
          </xdr:spPr>
        </xdr:sp>
      </xdr:grpSp>
      <xdr:grpSp>
        <xdr:nvGrpSpPr>
          <xdr:cNvPr id="44484611" name="Group 1553">
            <a:extLst>
              <a:ext uri="{FF2B5EF4-FFF2-40B4-BE49-F238E27FC236}">
                <a16:creationId xmlns:a16="http://schemas.microsoft.com/office/drawing/2014/main" id="{00000000-0008-0000-0100-000003C8A602}"/>
              </a:ext>
            </a:extLst>
          </xdr:cNvPr>
          <xdr:cNvGrpSpPr>
            <a:grpSpLocks/>
          </xdr:cNvGrpSpPr>
        </xdr:nvGrpSpPr>
        <xdr:grpSpPr bwMode="auto">
          <a:xfrm>
            <a:off x="29851343" y="4896617"/>
            <a:ext cx="187025" cy="177618"/>
            <a:chOff x="4596" y="1428"/>
            <a:chExt cx="20" cy="19"/>
          </a:xfrm>
        </xdr:grpSpPr>
        <xdr:sp macro="" textlink="">
          <xdr:nvSpPr>
            <xdr:cNvPr id="44484710" name="Oval 1554">
              <a:extLst>
                <a:ext uri="{FF2B5EF4-FFF2-40B4-BE49-F238E27FC236}">
                  <a16:creationId xmlns:a16="http://schemas.microsoft.com/office/drawing/2014/main" id="{00000000-0008-0000-0100-000066C8A602}"/>
                </a:ext>
              </a:extLst>
            </xdr:cNvPr>
            <xdr:cNvSpPr>
              <a:spLocks noChangeArrowheads="1"/>
            </xdr:cNvSpPr>
          </xdr:nvSpPr>
          <xdr:spPr bwMode="auto">
            <a:xfrm>
              <a:off x="4596" y="1428"/>
              <a:ext cx="20" cy="19"/>
            </a:xfrm>
            <a:prstGeom prst="ellipse">
              <a:avLst/>
            </a:prstGeom>
            <a:solidFill>
              <a:srgbClr val="EAEAEA"/>
            </a:solidFill>
            <a:ln w="1">
              <a:solidFill>
                <a:srgbClr val="333333"/>
              </a:solidFill>
              <a:round/>
              <a:headEnd/>
              <a:tailEnd/>
            </a:ln>
          </xdr:spPr>
        </xdr:sp>
        <xdr:sp macro="" textlink="">
          <xdr:nvSpPr>
            <xdr:cNvPr id="44484711" name="Line 1555">
              <a:extLst>
                <a:ext uri="{FF2B5EF4-FFF2-40B4-BE49-F238E27FC236}">
                  <a16:creationId xmlns:a16="http://schemas.microsoft.com/office/drawing/2014/main" id="{00000000-0008-0000-0100-000067C8A602}"/>
                </a:ext>
              </a:extLst>
            </xdr:cNvPr>
            <xdr:cNvSpPr>
              <a:spLocks noChangeShapeType="1"/>
            </xdr:cNvSpPr>
          </xdr:nvSpPr>
          <xdr:spPr bwMode="auto">
            <a:xfrm flipH="1" flipV="1">
              <a:off x="4598" y="1432"/>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712" name="Line 1556">
              <a:extLst>
                <a:ext uri="{FF2B5EF4-FFF2-40B4-BE49-F238E27FC236}">
                  <a16:creationId xmlns:a16="http://schemas.microsoft.com/office/drawing/2014/main" id="{00000000-0008-0000-0100-000068C8A602}"/>
                </a:ext>
              </a:extLst>
            </xdr:cNvPr>
            <xdr:cNvSpPr>
              <a:spLocks noChangeShapeType="1"/>
            </xdr:cNvSpPr>
          </xdr:nvSpPr>
          <xdr:spPr bwMode="auto">
            <a:xfrm flipH="1">
              <a:off x="4598" y="1438"/>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713" name="Oval 1557">
              <a:extLst>
                <a:ext uri="{FF2B5EF4-FFF2-40B4-BE49-F238E27FC236}">
                  <a16:creationId xmlns:a16="http://schemas.microsoft.com/office/drawing/2014/main" id="{00000000-0008-0000-0100-000069C8A602}"/>
                </a:ext>
              </a:extLst>
            </xdr:cNvPr>
            <xdr:cNvSpPr>
              <a:spLocks noChangeArrowheads="1"/>
            </xdr:cNvSpPr>
          </xdr:nvSpPr>
          <xdr:spPr bwMode="auto">
            <a:xfrm>
              <a:off x="4603" y="1431"/>
              <a:ext cx="2" cy="1"/>
            </a:xfrm>
            <a:prstGeom prst="ellipse">
              <a:avLst/>
            </a:prstGeom>
            <a:solidFill>
              <a:srgbClr val="EAEAEA"/>
            </a:solidFill>
            <a:ln w="9525">
              <a:solidFill>
                <a:srgbClr val="333333"/>
              </a:solidFill>
              <a:round/>
              <a:headEnd/>
              <a:tailEnd/>
            </a:ln>
          </xdr:spPr>
        </xdr:sp>
      </xdr:grpSp>
      <xdr:grpSp>
        <xdr:nvGrpSpPr>
          <xdr:cNvPr id="44484612" name="Group 1558">
            <a:extLst>
              <a:ext uri="{FF2B5EF4-FFF2-40B4-BE49-F238E27FC236}">
                <a16:creationId xmlns:a16="http://schemas.microsoft.com/office/drawing/2014/main" id="{00000000-0008-0000-0100-000004C8A602}"/>
              </a:ext>
            </a:extLst>
          </xdr:cNvPr>
          <xdr:cNvGrpSpPr>
            <a:grpSpLocks/>
          </xdr:cNvGrpSpPr>
        </xdr:nvGrpSpPr>
        <xdr:grpSpPr bwMode="auto">
          <a:xfrm>
            <a:off x="29901533" y="5713970"/>
            <a:ext cx="187025" cy="177618"/>
            <a:chOff x="4676" y="1546"/>
            <a:chExt cx="20" cy="19"/>
          </a:xfrm>
        </xdr:grpSpPr>
        <xdr:sp macro="" textlink="">
          <xdr:nvSpPr>
            <xdr:cNvPr id="44484706" name="Oval 1559">
              <a:extLst>
                <a:ext uri="{FF2B5EF4-FFF2-40B4-BE49-F238E27FC236}">
                  <a16:creationId xmlns:a16="http://schemas.microsoft.com/office/drawing/2014/main" id="{00000000-0008-0000-0100-000062C8A602}"/>
                </a:ext>
              </a:extLst>
            </xdr:cNvPr>
            <xdr:cNvSpPr>
              <a:spLocks noChangeArrowheads="1"/>
            </xdr:cNvSpPr>
          </xdr:nvSpPr>
          <xdr:spPr bwMode="auto">
            <a:xfrm>
              <a:off x="4676" y="1546"/>
              <a:ext cx="20" cy="19"/>
            </a:xfrm>
            <a:prstGeom prst="ellipse">
              <a:avLst/>
            </a:prstGeom>
            <a:solidFill>
              <a:srgbClr val="EAEAEA"/>
            </a:solidFill>
            <a:ln w="1">
              <a:solidFill>
                <a:srgbClr val="333333"/>
              </a:solidFill>
              <a:round/>
              <a:headEnd/>
              <a:tailEnd/>
            </a:ln>
          </xdr:spPr>
        </xdr:sp>
        <xdr:sp macro="" textlink="">
          <xdr:nvSpPr>
            <xdr:cNvPr id="44484707" name="Line 1560">
              <a:extLst>
                <a:ext uri="{FF2B5EF4-FFF2-40B4-BE49-F238E27FC236}">
                  <a16:creationId xmlns:a16="http://schemas.microsoft.com/office/drawing/2014/main" id="{00000000-0008-0000-0100-000063C8A602}"/>
                </a:ext>
              </a:extLst>
            </xdr:cNvPr>
            <xdr:cNvSpPr>
              <a:spLocks noChangeShapeType="1"/>
            </xdr:cNvSpPr>
          </xdr:nvSpPr>
          <xdr:spPr bwMode="auto">
            <a:xfrm flipH="1" flipV="1">
              <a:off x="4678" y="1550"/>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708" name="Line 1561">
              <a:extLst>
                <a:ext uri="{FF2B5EF4-FFF2-40B4-BE49-F238E27FC236}">
                  <a16:creationId xmlns:a16="http://schemas.microsoft.com/office/drawing/2014/main" id="{00000000-0008-0000-0100-000064C8A602}"/>
                </a:ext>
              </a:extLst>
            </xdr:cNvPr>
            <xdr:cNvSpPr>
              <a:spLocks noChangeShapeType="1"/>
            </xdr:cNvSpPr>
          </xdr:nvSpPr>
          <xdr:spPr bwMode="auto">
            <a:xfrm flipH="1">
              <a:off x="4678" y="1556"/>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709" name="Oval 1562">
              <a:extLst>
                <a:ext uri="{FF2B5EF4-FFF2-40B4-BE49-F238E27FC236}">
                  <a16:creationId xmlns:a16="http://schemas.microsoft.com/office/drawing/2014/main" id="{00000000-0008-0000-0100-000065C8A602}"/>
                </a:ext>
              </a:extLst>
            </xdr:cNvPr>
            <xdr:cNvSpPr>
              <a:spLocks noChangeArrowheads="1"/>
            </xdr:cNvSpPr>
          </xdr:nvSpPr>
          <xdr:spPr bwMode="auto">
            <a:xfrm>
              <a:off x="4683" y="1549"/>
              <a:ext cx="2" cy="1"/>
            </a:xfrm>
            <a:prstGeom prst="ellipse">
              <a:avLst/>
            </a:prstGeom>
            <a:solidFill>
              <a:srgbClr val="EAEAEA"/>
            </a:solidFill>
            <a:ln w="9525">
              <a:solidFill>
                <a:srgbClr val="333333"/>
              </a:solidFill>
              <a:round/>
              <a:headEnd/>
              <a:tailEnd/>
            </a:ln>
          </xdr:spPr>
        </xdr:sp>
      </xdr:grpSp>
      <xdr:grpSp>
        <xdr:nvGrpSpPr>
          <xdr:cNvPr id="44484613" name="Group 1564">
            <a:extLst>
              <a:ext uri="{FF2B5EF4-FFF2-40B4-BE49-F238E27FC236}">
                <a16:creationId xmlns:a16="http://schemas.microsoft.com/office/drawing/2014/main" id="{00000000-0008-0000-0100-000005C8A602}"/>
              </a:ext>
            </a:extLst>
          </xdr:cNvPr>
          <xdr:cNvGrpSpPr>
            <a:grpSpLocks/>
          </xdr:cNvGrpSpPr>
        </xdr:nvGrpSpPr>
        <xdr:grpSpPr bwMode="auto">
          <a:xfrm>
            <a:off x="31468017" y="2496205"/>
            <a:ext cx="0" cy="532855"/>
            <a:chOff x="4865" y="1255"/>
            <a:chExt cx="0" cy="57"/>
          </a:xfrm>
        </xdr:grpSpPr>
        <xdr:sp macro="" textlink="">
          <xdr:nvSpPr>
            <xdr:cNvPr id="44484704" name="Line 1565">
              <a:extLst>
                <a:ext uri="{FF2B5EF4-FFF2-40B4-BE49-F238E27FC236}">
                  <a16:creationId xmlns:a16="http://schemas.microsoft.com/office/drawing/2014/main" id="{00000000-0008-0000-0100-000060C8A602}"/>
                </a:ext>
              </a:extLst>
            </xdr:cNvPr>
            <xdr:cNvSpPr>
              <a:spLocks noChangeShapeType="1"/>
            </xdr:cNvSpPr>
          </xdr:nvSpPr>
          <xdr:spPr bwMode="auto">
            <a:xfrm flipV="1">
              <a:off x="4865" y="1255"/>
              <a:ext cx="0" cy="28"/>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484705" name="Line 1566">
              <a:extLst>
                <a:ext uri="{FF2B5EF4-FFF2-40B4-BE49-F238E27FC236}">
                  <a16:creationId xmlns:a16="http://schemas.microsoft.com/office/drawing/2014/main" id="{00000000-0008-0000-0100-000061C8A602}"/>
                </a:ext>
              </a:extLst>
            </xdr:cNvPr>
            <xdr:cNvSpPr>
              <a:spLocks noChangeShapeType="1"/>
            </xdr:cNvSpPr>
          </xdr:nvSpPr>
          <xdr:spPr bwMode="auto">
            <a:xfrm>
              <a:off x="4865" y="1283"/>
              <a:ext cx="0" cy="29"/>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grpSp>
        <xdr:nvGrpSpPr>
          <xdr:cNvPr id="44484614" name="Group 1576">
            <a:extLst>
              <a:ext uri="{FF2B5EF4-FFF2-40B4-BE49-F238E27FC236}">
                <a16:creationId xmlns:a16="http://schemas.microsoft.com/office/drawing/2014/main" id="{00000000-0008-0000-0100-000006C8A602}"/>
              </a:ext>
            </a:extLst>
          </xdr:cNvPr>
          <xdr:cNvGrpSpPr>
            <a:grpSpLocks/>
          </xdr:cNvGrpSpPr>
        </xdr:nvGrpSpPr>
        <xdr:grpSpPr bwMode="auto">
          <a:xfrm>
            <a:off x="35786724" y="2197058"/>
            <a:ext cx="0" cy="832001"/>
            <a:chOff x="5311" y="1223"/>
            <a:chExt cx="0" cy="89"/>
          </a:xfrm>
        </xdr:grpSpPr>
        <xdr:sp macro="" textlink="">
          <xdr:nvSpPr>
            <xdr:cNvPr id="44484702" name="Line 1577">
              <a:extLst>
                <a:ext uri="{FF2B5EF4-FFF2-40B4-BE49-F238E27FC236}">
                  <a16:creationId xmlns:a16="http://schemas.microsoft.com/office/drawing/2014/main" id="{00000000-0008-0000-0100-00005EC8A602}"/>
                </a:ext>
              </a:extLst>
            </xdr:cNvPr>
            <xdr:cNvSpPr>
              <a:spLocks noChangeShapeType="1"/>
            </xdr:cNvSpPr>
          </xdr:nvSpPr>
          <xdr:spPr bwMode="auto">
            <a:xfrm flipV="1">
              <a:off x="5311" y="1223"/>
              <a:ext cx="0" cy="49"/>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484703" name="Line 1578">
              <a:extLst>
                <a:ext uri="{FF2B5EF4-FFF2-40B4-BE49-F238E27FC236}">
                  <a16:creationId xmlns:a16="http://schemas.microsoft.com/office/drawing/2014/main" id="{00000000-0008-0000-0100-00005FC8A602}"/>
                </a:ext>
              </a:extLst>
            </xdr:cNvPr>
            <xdr:cNvSpPr>
              <a:spLocks noChangeShapeType="1"/>
            </xdr:cNvSpPr>
          </xdr:nvSpPr>
          <xdr:spPr bwMode="auto">
            <a:xfrm>
              <a:off x="5311" y="1272"/>
              <a:ext cx="0" cy="40"/>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grpSp>
        <xdr:nvGrpSpPr>
          <xdr:cNvPr id="44484615" name="Group 1579">
            <a:extLst>
              <a:ext uri="{FF2B5EF4-FFF2-40B4-BE49-F238E27FC236}">
                <a16:creationId xmlns:a16="http://schemas.microsoft.com/office/drawing/2014/main" id="{00000000-0008-0000-0100-000007C8A602}"/>
              </a:ext>
            </a:extLst>
          </xdr:cNvPr>
          <xdr:cNvGrpSpPr>
            <a:grpSpLocks/>
          </xdr:cNvGrpSpPr>
        </xdr:nvGrpSpPr>
        <xdr:grpSpPr bwMode="auto">
          <a:xfrm>
            <a:off x="34560572" y="2210110"/>
            <a:ext cx="0" cy="832001"/>
            <a:chOff x="5008" y="1221"/>
            <a:chExt cx="0" cy="89"/>
          </a:xfrm>
        </xdr:grpSpPr>
        <xdr:sp macro="" textlink="">
          <xdr:nvSpPr>
            <xdr:cNvPr id="44484700" name="Line 1580">
              <a:extLst>
                <a:ext uri="{FF2B5EF4-FFF2-40B4-BE49-F238E27FC236}">
                  <a16:creationId xmlns:a16="http://schemas.microsoft.com/office/drawing/2014/main" id="{00000000-0008-0000-0100-00005CC8A602}"/>
                </a:ext>
              </a:extLst>
            </xdr:cNvPr>
            <xdr:cNvSpPr>
              <a:spLocks noChangeShapeType="1"/>
            </xdr:cNvSpPr>
          </xdr:nvSpPr>
          <xdr:spPr bwMode="auto">
            <a:xfrm flipV="1">
              <a:off x="5008" y="1221"/>
              <a:ext cx="0" cy="49"/>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484701" name="Line 1581">
              <a:extLst>
                <a:ext uri="{FF2B5EF4-FFF2-40B4-BE49-F238E27FC236}">
                  <a16:creationId xmlns:a16="http://schemas.microsoft.com/office/drawing/2014/main" id="{00000000-0008-0000-0100-00005DC8A602}"/>
                </a:ext>
              </a:extLst>
            </xdr:cNvPr>
            <xdr:cNvSpPr>
              <a:spLocks noChangeShapeType="1"/>
            </xdr:cNvSpPr>
          </xdr:nvSpPr>
          <xdr:spPr bwMode="auto">
            <a:xfrm>
              <a:off x="5008" y="1270"/>
              <a:ext cx="0" cy="40"/>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grpSp>
        <xdr:nvGrpSpPr>
          <xdr:cNvPr id="44484616" name="Group 1584">
            <a:extLst>
              <a:ext uri="{FF2B5EF4-FFF2-40B4-BE49-F238E27FC236}">
                <a16:creationId xmlns:a16="http://schemas.microsoft.com/office/drawing/2014/main" id="{00000000-0008-0000-0100-000008C8A602}"/>
              </a:ext>
            </a:extLst>
          </xdr:cNvPr>
          <xdr:cNvGrpSpPr>
            <a:grpSpLocks/>
          </xdr:cNvGrpSpPr>
        </xdr:nvGrpSpPr>
        <xdr:grpSpPr bwMode="auto">
          <a:xfrm>
            <a:off x="37319157" y="2207641"/>
            <a:ext cx="0" cy="832001"/>
            <a:chOff x="5399" y="1223"/>
            <a:chExt cx="0" cy="89"/>
          </a:xfrm>
        </xdr:grpSpPr>
        <xdr:sp macro="" textlink="">
          <xdr:nvSpPr>
            <xdr:cNvPr id="44484698" name="Line 1585">
              <a:extLst>
                <a:ext uri="{FF2B5EF4-FFF2-40B4-BE49-F238E27FC236}">
                  <a16:creationId xmlns:a16="http://schemas.microsoft.com/office/drawing/2014/main" id="{00000000-0008-0000-0100-00005AC8A602}"/>
                </a:ext>
              </a:extLst>
            </xdr:cNvPr>
            <xdr:cNvSpPr>
              <a:spLocks noChangeShapeType="1"/>
            </xdr:cNvSpPr>
          </xdr:nvSpPr>
          <xdr:spPr bwMode="auto">
            <a:xfrm flipV="1">
              <a:off x="5399" y="1223"/>
              <a:ext cx="0" cy="49"/>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484699" name="Line 1586">
              <a:extLst>
                <a:ext uri="{FF2B5EF4-FFF2-40B4-BE49-F238E27FC236}">
                  <a16:creationId xmlns:a16="http://schemas.microsoft.com/office/drawing/2014/main" id="{00000000-0008-0000-0100-00005BC8A602}"/>
                </a:ext>
              </a:extLst>
            </xdr:cNvPr>
            <xdr:cNvSpPr>
              <a:spLocks noChangeShapeType="1"/>
            </xdr:cNvSpPr>
          </xdr:nvSpPr>
          <xdr:spPr bwMode="auto">
            <a:xfrm>
              <a:off x="5399" y="1272"/>
              <a:ext cx="0" cy="40"/>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sp macro="" textlink="">
        <xdr:nvSpPr>
          <xdr:cNvPr id="44484617" name="Line 1622">
            <a:extLst>
              <a:ext uri="{FF2B5EF4-FFF2-40B4-BE49-F238E27FC236}">
                <a16:creationId xmlns:a16="http://schemas.microsoft.com/office/drawing/2014/main" id="{00000000-0008-0000-0100-000009C8A602}"/>
              </a:ext>
            </a:extLst>
          </xdr:cNvPr>
          <xdr:cNvSpPr>
            <a:spLocks noChangeShapeType="1"/>
          </xdr:cNvSpPr>
        </xdr:nvSpPr>
        <xdr:spPr bwMode="auto">
          <a:xfrm flipH="1">
            <a:off x="30976930" y="4779137"/>
            <a:ext cx="0" cy="1888363"/>
          </a:xfrm>
          <a:prstGeom prst="line">
            <a:avLst/>
          </a:prstGeom>
          <a:noFill/>
          <a:ln w="1">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484618" name="Line 1493">
            <a:extLst>
              <a:ext uri="{FF2B5EF4-FFF2-40B4-BE49-F238E27FC236}">
                <a16:creationId xmlns:a16="http://schemas.microsoft.com/office/drawing/2014/main" id="{00000000-0008-0000-0100-00000AC8A602}"/>
              </a:ext>
            </a:extLst>
          </xdr:cNvPr>
          <xdr:cNvSpPr>
            <a:spLocks noChangeShapeType="1"/>
          </xdr:cNvSpPr>
        </xdr:nvSpPr>
        <xdr:spPr bwMode="auto">
          <a:xfrm flipV="1">
            <a:off x="27788144" y="1993335"/>
            <a:ext cx="710697" cy="0"/>
          </a:xfrm>
          <a:prstGeom prst="line">
            <a:avLst/>
          </a:prstGeom>
          <a:noFill/>
          <a:ln w="17145">
            <a:solidFill>
              <a:srgbClr val="008000"/>
            </a:solidFill>
            <a:round/>
            <a:headEnd/>
            <a:tailEnd type="triangle" w="med" len="med"/>
          </a:ln>
          <a:extLst>
            <a:ext uri="{909E8E84-426E-40DD-AFC4-6F175D3DCCD1}">
              <a14:hiddenFill xmlns:a14="http://schemas.microsoft.com/office/drawing/2010/main">
                <a:noFill/>
              </a14:hiddenFill>
            </a:ext>
          </a:extLst>
        </xdr:spPr>
      </xdr:sp>
      <xdr:sp macro="" textlink="">
        <xdr:nvSpPr>
          <xdr:cNvPr id="44484619" name="Line 1552">
            <a:extLst>
              <a:ext uri="{FF2B5EF4-FFF2-40B4-BE49-F238E27FC236}">
                <a16:creationId xmlns:a16="http://schemas.microsoft.com/office/drawing/2014/main" id="{00000000-0008-0000-0100-00000BC8A602}"/>
              </a:ext>
            </a:extLst>
          </xdr:cNvPr>
          <xdr:cNvSpPr>
            <a:spLocks noChangeShapeType="1"/>
          </xdr:cNvSpPr>
        </xdr:nvSpPr>
        <xdr:spPr bwMode="auto">
          <a:xfrm flipV="1">
            <a:off x="27790592" y="4050139"/>
            <a:ext cx="708251" cy="3278"/>
          </a:xfrm>
          <a:prstGeom prst="line">
            <a:avLst/>
          </a:prstGeom>
          <a:noFill/>
          <a:ln w="17145">
            <a:solidFill>
              <a:srgbClr val="008000"/>
            </a:solidFill>
            <a:round/>
            <a:headEnd/>
            <a:tailEnd type="triangle" w="med" len="med"/>
          </a:ln>
          <a:extLst>
            <a:ext uri="{909E8E84-426E-40DD-AFC4-6F175D3DCCD1}">
              <a14:hiddenFill xmlns:a14="http://schemas.microsoft.com/office/drawing/2010/main">
                <a:noFill/>
              </a14:hiddenFill>
            </a:ext>
          </a:extLst>
        </xdr:spPr>
      </xdr:sp>
      <xdr:sp macro="" textlink="">
        <xdr:nvSpPr>
          <xdr:cNvPr id="44484620" name="Line 1633">
            <a:extLst>
              <a:ext uri="{FF2B5EF4-FFF2-40B4-BE49-F238E27FC236}">
                <a16:creationId xmlns:a16="http://schemas.microsoft.com/office/drawing/2014/main" id="{00000000-0008-0000-0100-00000CC8A602}"/>
              </a:ext>
            </a:extLst>
          </xdr:cNvPr>
          <xdr:cNvSpPr>
            <a:spLocks noChangeShapeType="1"/>
          </xdr:cNvSpPr>
        </xdr:nvSpPr>
        <xdr:spPr bwMode="auto">
          <a:xfrm>
            <a:off x="27805623" y="3889277"/>
            <a:ext cx="2796032" cy="0"/>
          </a:xfrm>
          <a:prstGeom prst="line">
            <a:avLst/>
          </a:prstGeom>
          <a:noFill/>
          <a:ln w="19050">
            <a:solidFill>
              <a:srgbClr val="008000"/>
            </a:solidFill>
            <a:round/>
            <a:headEnd/>
            <a:tailEnd type="triangle" w="med" len="med"/>
          </a:ln>
          <a:extLst>
            <a:ext uri="{909E8E84-426E-40DD-AFC4-6F175D3DCCD1}">
              <a14:hiddenFill xmlns:a14="http://schemas.microsoft.com/office/drawing/2010/main">
                <a:noFill/>
              </a14:hiddenFill>
            </a:ext>
          </a:extLst>
        </xdr:spPr>
      </xdr:sp>
      <xdr:grpSp>
        <xdr:nvGrpSpPr>
          <xdr:cNvPr id="44484621" name="Group 6">
            <a:extLst>
              <a:ext uri="{FF2B5EF4-FFF2-40B4-BE49-F238E27FC236}">
                <a16:creationId xmlns:a16="http://schemas.microsoft.com/office/drawing/2014/main" id="{00000000-0008-0000-0100-00000DC8A602}"/>
              </a:ext>
            </a:extLst>
          </xdr:cNvPr>
          <xdr:cNvGrpSpPr>
            <a:grpSpLocks/>
          </xdr:cNvGrpSpPr>
        </xdr:nvGrpSpPr>
        <xdr:grpSpPr bwMode="auto">
          <a:xfrm>
            <a:off x="27778793" y="1357648"/>
            <a:ext cx="710697" cy="158922"/>
            <a:chOff x="27778793" y="1357648"/>
            <a:chExt cx="710697" cy="158922"/>
          </a:xfrm>
        </xdr:grpSpPr>
        <xdr:sp macro="" textlink="">
          <xdr:nvSpPr>
            <xdr:cNvPr id="44484696" name="Line 1658">
              <a:extLst>
                <a:ext uri="{FF2B5EF4-FFF2-40B4-BE49-F238E27FC236}">
                  <a16:creationId xmlns:a16="http://schemas.microsoft.com/office/drawing/2014/main" id="{00000000-0008-0000-0100-000058C8A602}"/>
                </a:ext>
              </a:extLst>
            </xdr:cNvPr>
            <xdr:cNvSpPr>
              <a:spLocks noChangeShapeType="1"/>
            </xdr:cNvSpPr>
          </xdr:nvSpPr>
          <xdr:spPr bwMode="auto">
            <a:xfrm>
              <a:off x="27797495" y="1357648"/>
              <a:ext cx="691995" cy="0"/>
            </a:xfrm>
            <a:prstGeom prst="line">
              <a:avLst/>
            </a:prstGeom>
            <a:noFill/>
            <a:ln w="1">
              <a:solidFill>
                <a:srgbClr val="0000FF"/>
              </a:solidFill>
              <a:round/>
              <a:headEnd/>
              <a:tailEnd type="triangle" w="med" len="med"/>
            </a:ln>
            <a:extLst>
              <a:ext uri="{909E8E84-426E-40DD-AFC4-6F175D3DCCD1}">
                <a14:hiddenFill xmlns:a14="http://schemas.microsoft.com/office/drawing/2010/main">
                  <a:noFill/>
                </a14:hiddenFill>
              </a:ext>
            </a:extLst>
          </xdr:spPr>
        </xdr:sp>
        <xdr:sp macro="" textlink="">
          <xdr:nvSpPr>
            <xdr:cNvPr id="44484697" name="Line 1659">
              <a:extLst>
                <a:ext uri="{FF2B5EF4-FFF2-40B4-BE49-F238E27FC236}">
                  <a16:creationId xmlns:a16="http://schemas.microsoft.com/office/drawing/2014/main" id="{00000000-0008-0000-0100-000059C8A602}"/>
                </a:ext>
              </a:extLst>
            </xdr:cNvPr>
            <xdr:cNvSpPr>
              <a:spLocks noChangeShapeType="1"/>
            </xdr:cNvSpPr>
          </xdr:nvSpPr>
          <xdr:spPr bwMode="auto">
            <a:xfrm flipH="1">
              <a:off x="27778793" y="1516570"/>
              <a:ext cx="691995" cy="0"/>
            </a:xfrm>
            <a:prstGeom prst="line">
              <a:avLst/>
            </a:prstGeom>
            <a:noFill/>
            <a:ln w="0">
              <a:solidFill>
                <a:srgbClr val="0000FF"/>
              </a:solidFill>
              <a:prstDash val="dash"/>
              <a:round/>
              <a:headEnd/>
              <a:tailEnd type="triangle" w="med" len="med"/>
            </a:ln>
            <a:extLst>
              <a:ext uri="{909E8E84-426E-40DD-AFC4-6F175D3DCCD1}">
                <a14:hiddenFill xmlns:a14="http://schemas.microsoft.com/office/drawing/2010/main">
                  <a:noFill/>
                </a14:hiddenFill>
              </a:ext>
            </a:extLst>
          </xdr:spPr>
        </xdr:sp>
      </xdr:grpSp>
      <xdr:grpSp>
        <xdr:nvGrpSpPr>
          <xdr:cNvPr id="44484622" name="Group 1760">
            <a:extLst>
              <a:ext uri="{FF2B5EF4-FFF2-40B4-BE49-F238E27FC236}">
                <a16:creationId xmlns:a16="http://schemas.microsoft.com/office/drawing/2014/main" id="{00000000-0008-0000-0100-00000EC8A602}"/>
              </a:ext>
            </a:extLst>
          </xdr:cNvPr>
          <xdr:cNvGrpSpPr>
            <a:grpSpLocks/>
          </xdr:cNvGrpSpPr>
        </xdr:nvGrpSpPr>
        <xdr:grpSpPr bwMode="auto">
          <a:xfrm>
            <a:off x="33417614" y="5470914"/>
            <a:ext cx="5451794" cy="317843"/>
            <a:chOff x="5052" y="1520"/>
            <a:chExt cx="583" cy="34"/>
          </a:xfrm>
        </xdr:grpSpPr>
        <xdr:sp macro="" textlink="">
          <xdr:nvSpPr>
            <xdr:cNvPr id="44484693" name="Line 1757">
              <a:extLst>
                <a:ext uri="{FF2B5EF4-FFF2-40B4-BE49-F238E27FC236}">
                  <a16:creationId xmlns:a16="http://schemas.microsoft.com/office/drawing/2014/main" id="{00000000-0008-0000-0100-000055C8A602}"/>
                </a:ext>
              </a:extLst>
            </xdr:cNvPr>
            <xdr:cNvSpPr>
              <a:spLocks noChangeShapeType="1"/>
            </xdr:cNvSpPr>
          </xdr:nvSpPr>
          <xdr:spPr bwMode="auto">
            <a:xfrm flipH="1">
              <a:off x="5518" y="1520"/>
              <a:ext cx="116" cy="0"/>
            </a:xfrm>
            <a:prstGeom prst="line">
              <a:avLst/>
            </a:prstGeom>
            <a:noFill/>
            <a:ln w="17145">
              <a:solidFill>
                <a:srgbClr val="008000"/>
              </a:solidFill>
              <a:round/>
              <a:headEnd/>
              <a:tailEnd type="triangle" w="med" len="med"/>
            </a:ln>
            <a:extLst>
              <a:ext uri="{909E8E84-426E-40DD-AFC4-6F175D3DCCD1}">
                <a14:hiddenFill xmlns:a14="http://schemas.microsoft.com/office/drawing/2010/main">
                  <a:noFill/>
                </a14:hiddenFill>
              </a:ext>
            </a:extLst>
          </xdr:spPr>
        </xdr:sp>
        <xdr:sp macro="" textlink="">
          <xdr:nvSpPr>
            <xdr:cNvPr id="44484694" name="Line 1758">
              <a:extLst>
                <a:ext uri="{FF2B5EF4-FFF2-40B4-BE49-F238E27FC236}">
                  <a16:creationId xmlns:a16="http://schemas.microsoft.com/office/drawing/2014/main" id="{00000000-0008-0000-0100-000056C8A602}"/>
                </a:ext>
              </a:extLst>
            </xdr:cNvPr>
            <xdr:cNvSpPr>
              <a:spLocks noChangeShapeType="1"/>
            </xdr:cNvSpPr>
          </xdr:nvSpPr>
          <xdr:spPr bwMode="auto">
            <a:xfrm flipH="1" flipV="1">
              <a:off x="5352" y="1537"/>
              <a:ext cx="282" cy="0"/>
            </a:xfrm>
            <a:prstGeom prst="line">
              <a:avLst/>
            </a:prstGeom>
            <a:noFill/>
            <a:ln w="17145">
              <a:solidFill>
                <a:srgbClr val="008000"/>
              </a:solidFill>
              <a:round/>
              <a:headEnd/>
              <a:tailEnd type="triangle" w="med" len="med"/>
            </a:ln>
            <a:extLst>
              <a:ext uri="{909E8E84-426E-40DD-AFC4-6F175D3DCCD1}">
                <a14:hiddenFill xmlns:a14="http://schemas.microsoft.com/office/drawing/2010/main">
                  <a:noFill/>
                </a14:hiddenFill>
              </a:ext>
            </a:extLst>
          </xdr:spPr>
        </xdr:sp>
        <xdr:sp macro="" textlink="">
          <xdr:nvSpPr>
            <xdr:cNvPr id="44484695" name="Line 1759">
              <a:extLst>
                <a:ext uri="{FF2B5EF4-FFF2-40B4-BE49-F238E27FC236}">
                  <a16:creationId xmlns:a16="http://schemas.microsoft.com/office/drawing/2014/main" id="{00000000-0008-0000-0100-000057C8A602}"/>
                </a:ext>
              </a:extLst>
            </xdr:cNvPr>
            <xdr:cNvSpPr>
              <a:spLocks noChangeShapeType="1"/>
            </xdr:cNvSpPr>
          </xdr:nvSpPr>
          <xdr:spPr bwMode="auto">
            <a:xfrm flipH="1">
              <a:off x="5052" y="1554"/>
              <a:ext cx="583" cy="0"/>
            </a:xfrm>
            <a:prstGeom prst="line">
              <a:avLst/>
            </a:prstGeom>
            <a:noFill/>
            <a:ln w="17145">
              <a:solidFill>
                <a:srgbClr val="008000"/>
              </a:solidFill>
              <a:round/>
              <a:headEnd/>
              <a:tailEnd type="triangle" w="med" len="med"/>
            </a:ln>
            <a:extLst>
              <a:ext uri="{909E8E84-426E-40DD-AFC4-6F175D3DCCD1}">
                <a14:hiddenFill xmlns:a14="http://schemas.microsoft.com/office/drawing/2010/main">
                  <a:noFill/>
                </a14:hiddenFill>
              </a:ext>
            </a:extLst>
          </xdr:spPr>
        </xdr:sp>
      </xdr:grpSp>
      <xdr:grpSp>
        <xdr:nvGrpSpPr>
          <xdr:cNvPr id="44484623" name="Group 2497">
            <a:extLst>
              <a:ext uri="{FF2B5EF4-FFF2-40B4-BE49-F238E27FC236}">
                <a16:creationId xmlns:a16="http://schemas.microsoft.com/office/drawing/2014/main" id="{00000000-0008-0000-0100-00000FC8A602}"/>
              </a:ext>
            </a:extLst>
          </xdr:cNvPr>
          <xdr:cNvGrpSpPr>
            <a:grpSpLocks/>
          </xdr:cNvGrpSpPr>
        </xdr:nvGrpSpPr>
        <xdr:grpSpPr bwMode="auto">
          <a:xfrm>
            <a:off x="38438262" y="4442597"/>
            <a:ext cx="187024" cy="177618"/>
            <a:chOff x="5512" y="1410"/>
            <a:chExt cx="20" cy="19"/>
          </a:xfrm>
        </xdr:grpSpPr>
        <xdr:sp macro="" textlink="">
          <xdr:nvSpPr>
            <xdr:cNvPr id="44484689" name="Oval 2498">
              <a:extLst>
                <a:ext uri="{FF2B5EF4-FFF2-40B4-BE49-F238E27FC236}">
                  <a16:creationId xmlns:a16="http://schemas.microsoft.com/office/drawing/2014/main" id="{00000000-0008-0000-0100-000051C8A602}"/>
                </a:ext>
              </a:extLst>
            </xdr:cNvPr>
            <xdr:cNvSpPr>
              <a:spLocks noChangeArrowheads="1"/>
            </xdr:cNvSpPr>
          </xdr:nvSpPr>
          <xdr:spPr bwMode="auto">
            <a:xfrm>
              <a:off x="5512" y="1410"/>
              <a:ext cx="20" cy="19"/>
            </a:xfrm>
            <a:prstGeom prst="ellipse">
              <a:avLst/>
            </a:prstGeom>
            <a:solidFill>
              <a:srgbClr val="EAEAEA"/>
            </a:solidFill>
            <a:ln w="1">
              <a:solidFill>
                <a:srgbClr val="333333"/>
              </a:solidFill>
              <a:round/>
              <a:headEnd/>
              <a:tailEnd/>
            </a:ln>
          </xdr:spPr>
        </xdr:sp>
        <xdr:sp macro="" textlink="">
          <xdr:nvSpPr>
            <xdr:cNvPr id="44484690" name="Line 2499">
              <a:extLst>
                <a:ext uri="{FF2B5EF4-FFF2-40B4-BE49-F238E27FC236}">
                  <a16:creationId xmlns:a16="http://schemas.microsoft.com/office/drawing/2014/main" id="{00000000-0008-0000-0100-000052C8A602}"/>
                </a:ext>
              </a:extLst>
            </xdr:cNvPr>
            <xdr:cNvSpPr>
              <a:spLocks noChangeShapeType="1"/>
            </xdr:cNvSpPr>
          </xdr:nvSpPr>
          <xdr:spPr bwMode="auto">
            <a:xfrm flipH="1" flipV="1">
              <a:off x="5514" y="1414"/>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691" name="Line 2500">
              <a:extLst>
                <a:ext uri="{FF2B5EF4-FFF2-40B4-BE49-F238E27FC236}">
                  <a16:creationId xmlns:a16="http://schemas.microsoft.com/office/drawing/2014/main" id="{00000000-0008-0000-0100-000053C8A602}"/>
                </a:ext>
              </a:extLst>
            </xdr:cNvPr>
            <xdr:cNvSpPr>
              <a:spLocks noChangeShapeType="1"/>
            </xdr:cNvSpPr>
          </xdr:nvSpPr>
          <xdr:spPr bwMode="auto">
            <a:xfrm flipH="1">
              <a:off x="5514" y="1420"/>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692" name="Oval 2501">
              <a:extLst>
                <a:ext uri="{FF2B5EF4-FFF2-40B4-BE49-F238E27FC236}">
                  <a16:creationId xmlns:a16="http://schemas.microsoft.com/office/drawing/2014/main" id="{00000000-0008-0000-0100-000054C8A602}"/>
                </a:ext>
              </a:extLst>
            </xdr:cNvPr>
            <xdr:cNvSpPr>
              <a:spLocks noChangeArrowheads="1"/>
            </xdr:cNvSpPr>
          </xdr:nvSpPr>
          <xdr:spPr bwMode="auto">
            <a:xfrm>
              <a:off x="5519" y="1413"/>
              <a:ext cx="2" cy="1"/>
            </a:xfrm>
            <a:prstGeom prst="ellipse">
              <a:avLst/>
            </a:prstGeom>
            <a:solidFill>
              <a:srgbClr val="EAEAEA"/>
            </a:solidFill>
            <a:ln w="9525">
              <a:solidFill>
                <a:srgbClr val="333333"/>
              </a:solidFill>
              <a:round/>
              <a:headEnd/>
              <a:tailEnd/>
            </a:ln>
          </xdr:spPr>
        </xdr:sp>
      </xdr:grpSp>
      <xdr:sp macro="" textlink="">
        <xdr:nvSpPr>
          <xdr:cNvPr id="44484624" name="Line 2552">
            <a:extLst>
              <a:ext uri="{FF2B5EF4-FFF2-40B4-BE49-F238E27FC236}">
                <a16:creationId xmlns:a16="http://schemas.microsoft.com/office/drawing/2014/main" id="{00000000-0008-0000-0100-000010C8A602}"/>
              </a:ext>
            </a:extLst>
          </xdr:cNvPr>
          <xdr:cNvSpPr>
            <a:spLocks noChangeShapeType="1"/>
          </xdr:cNvSpPr>
        </xdr:nvSpPr>
        <xdr:spPr bwMode="auto">
          <a:xfrm rot="18953249" flipV="1">
            <a:off x="38411195" y="796748"/>
            <a:ext cx="374051" cy="9348"/>
          </a:xfrm>
          <a:prstGeom prst="line">
            <a:avLst/>
          </a:prstGeom>
          <a:noFill/>
          <a:ln w="9525">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grpSp>
        <xdr:nvGrpSpPr>
          <xdr:cNvPr id="44484625" name="Group 8">
            <a:extLst>
              <a:ext uri="{FF2B5EF4-FFF2-40B4-BE49-F238E27FC236}">
                <a16:creationId xmlns:a16="http://schemas.microsoft.com/office/drawing/2014/main" id="{00000000-0008-0000-0100-000011C8A602}"/>
              </a:ext>
            </a:extLst>
          </xdr:cNvPr>
          <xdr:cNvGrpSpPr>
            <a:grpSpLocks/>
          </xdr:cNvGrpSpPr>
        </xdr:nvGrpSpPr>
        <xdr:grpSpPr bwMode="auto">
          <a:xfrm>
            <a:off x="28255708" y="787400"/>
            <a:ext cx="10353151" cy="5758572"/>
            <a:chOff x="28255708" y="787400"/>
            <a:chExt cx="10353151" cy="5758572"/>
          </a:xfrm>
        </xdr:grpSpPr>
        <xdr:grpSp>
          <xdr:nvGrpSpPr>
            <xdr:cNvPr id="44484645" name="Group 1464">
              <a:extLst>
                <a:ext uri="{FF2B5EF4-FFF2-40B4-BE49-F238E27FC236}">
                  <a16:creationId xmlns:a16="http://schemas.microsoft.com/office/drawing/2014/main" id="{00000000-0008-0000-0100-000025C8A602}"/>
                </a:ext>
              </a:extLst>
            </xdr:cNvPr>
            <xdr:cNvGrpSpPr>
              <a:grpSpLocks/>
            </xdr:cNvGrpSpPr>
          </xdr:nvGrpSpPr>
          <xdr:grpSpPr bwMode="auto">
            <a:xfrm>
              <a:off x="34614576" y="834142"/>
              <a:ext cx="2291063" cy="1047013"/>
              <a:chOff x="5180" y="1024"/>
              <a:chExt cx="245" cy="112"/>
            </a:xfrm>
          </xdr:grpSpPr>
          <xdr:sp macro="" textlink="">
            <xdr:nvSpPr>
              <xdr:cNvPr id="44484672" name="Line 1465">
                <a:extLst>
                  <a:ext uri="{FF2B5EF4-FFF2-40B4-BE49-F238E27FC236}">
                    <a16:creationId xmlns:a16="http://schemas.microsoft.com/office/drawing/2014/main" id="{00000000-0008-0000-0100-000040C8A602}"/>
                  </a:ext>
                </a:extLst>
              </xdr:cNvPr>
              <xdr:cNvSpPr>
                <a:spLocks noChangeShapeType="1"/>
              </xdr:cNvSpPr>
            </xdr:nvSpPr>
            <xdr:spPr bwMode="auto">
              <a:xfrm>
                <a:off x="5335" y="1077"/>
                <a:ext cx="4" cy="59"/>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sp macro="" textlink="">
            <xdr:nvSpPr>
              <xdr:cNvPr id="44484673" name="Line 1466">
                <a:extLst>
                  <a:ext uri="{FF2B5EF4-FFF2-40B4-BE49-F238E27FC236}">
                    <a16:creationId xmlns:a16="http://schemas.microsoft.com/office/drawing/2014/main" id="{00000000-0008-0000-0100-000041C8A602}"/>
                  </a:ext>
                </a:extLst>
              </xdr:cNvPr>
              <xdr:cNvSpPr>
                <a:spLocks noChangeShapeType="1"/>
              </xdr:cNvSpPr>
            </xdr:nvSpPr>
            <xdr:spPr bwMode="auto">
              <a:xfrm>
                <a:off x="5348" y="1072"/>
                <a:ext cx="36" cy="49"/>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sp macro="" textlink="">
            <xdr:nvSpPr>
              <xdr:cNvPr id="44484674" name="Line 1467">
                <a:extLst>
                  <a:ext uri="{FF2B5EF4-FFF2-40B4-BE49-F238E27FC236}">
                    <a16:creationId xmlns:a16="http://schemas.microsoft.com/office/drawing/2014/main" id="{00000000-0008-0000-0100-000042C8A602}"/>
                  </a:ext>
                </a:extLst>
              </xdr:cNvPr>
              <xdr:cNvSpPr>
                <a:spLocks noChangeShapeType="1"/>
              </xdr:cNvSpPr>
            </xdr:nvSpPr>
            <xdr:spPr bwMode="auto">
              <a:xfrm>
                <a:off x="5353" y="1060"/>
                <a:ext cx="63" cy="49"/>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sp macro="" textlink="">
            <xdr:nvSpPr>
              <xdr:cNvPr id="44484675" name="Line 1468">
                <a:extLst>
                  <a:ext uri="{FF2B5EF4-FFF2-40B4-BE49-F238E27FC236}">
                    <a16:creationId xmlns:a16="http://schemas.microsoft.com/office/drawing/2014/main" id="{00000000-0008-0000-0100-000043C8A602}"/>
                  </a:ext>
                </a:extLst>
              </xdr:cNvPr>
              <xdr:cNvSpPr>
                <a:spLocks noChangeShapeType="1"/>
              </xdr:cNvSpPr>
            </xdr:nvSpPr>
            <xdr:spPr bwMode="auto">
              <a:xfrm>
                <a:off x="5357" y="1049"/>
                <a:ext cx="68" cy="21"/>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sp macro="" textlink="">
            <xdr:nvSpPr>
              <xdr:cNvPr id="44484676" name="Line 1469">
                <a:extLst>
                  <a:ext uri="{FF2B5EF4-FFF2-40B4-BE49-F238E27FC236}">
                    <a16:creationId xmlns:a16="http://schemas.microsoft.com/office/drawing/2014/main" id="{00000000-0008-0000-0100-000044C8A602}"/>
                  </a:ext>
                </a:extLst>
              </xdr:cNvPr>
              <xdr:cNvSpPr>
                <a:spLocks noChangeShapeType="1"/>
              </xdr:cNvSpPr>
            </xdr:nvSpPr>
            <xdr:spPr bwMode="auto">
              <a:xfrm flipV="1">
                <a:off x="5353" y="1024"/>
                <a:ext cx="47" cy="15"/>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grpSp>
            <xdr:nvGrpSpPr>
              <xdr:cNvPr id="44484677" name="Group 1470">
                <a:extLst>
                  <a:ext uri="{FF2B5EF4-FFF2-40B4-BE49-F238E27FC236}">
                    <a16:creationId xmlns:a16="http://schemas.microsoft.com/office/drawing/2014/main" id="{00000000-0008-0000-0100-000045C8A602}"/>
                  </a:ext>
                </a:extLst>
              </xdr:cNvPr>
              <xdr:cNvGrpSpPr>
                <a:grpSpLocks/>
              </xdr:cNvGrpSpPr>
            </xdr:nvGrpSpPr>
            <xdr:grpSpPr bwMode="auto">
              <a:xfrm>
                <a:off x="5180" y="1028"/>
                <a:ext cx="175" cy="63"/>
                <a:chOff x="5180" y="1028"/>
                <a:chExt cx="175" cy="63"/>
              </a:xfrm>
            </xdr:grpSpPr>
            <xdr:sp macro="" textlink="">
              <xdr:nvSpPr>
                <xdr:cNvPr id="44484678" name="Oval 1471">
                  <a:extLst>
                    <a:ext uri="{FF2B5EF4-FFF2-40B4-BE49-F238E27FC236}">
                      <a16:creationId xmlns:a16="http://schemas.microsoft.com/office/drawing/2014/main" id="{00000000-0008-0000-0100-000046C8A602}"/>
                    </a:ext>
                  </a:extLst>
                </xdr:cNvPr>
                <xdr:cNvSpPr>
                  <a:spLocks noChangeArrowheads="1"/>
                </xdr:cNvSpPr>
              </xdr:nvSpPr>
              <xdr:spPr bwMode="auto">
                <a:xfrm>
                  <a:off x="5307" y="1028"/>
                  <a:ext cx="48" cy="47"/>
                </a:xfrm>
                <a:prstGeom prst="ellipse">
                  <a:avLst/>
                </a:prstGeom>
                <a:solidFill>
                  <a:srgbClr val="FFFF00"/>
                </a:solidFill>
                <a:ln w="9525">
                  <a:solidFill>
                    <a:srgbClr val="FFCC00"/>
                  </a:solidFill>
                  <a:round/>
                  <a:headEnd/>
                  <a:tailEnd/>
                </a:ln>
              </xdr:spPr>
            </xdr:sp>
            <xdr:grpSp>
              <xdr:nvGrpSpPr>
                <xdr:cNvPr id="44484679" name="Group 1472">
                  <a:extLst>
                    <a:ext uri="{FF2B5EF4-FFF2-40B4-BE49-F238E27FC236}">
                      <a16:creationId xmlns:a16="http://schemas.microsoft.com/office/drawing/2014/main" id="{00000000-0008-0000-0100-000047C8A602}"/>
                    </a:ext>
                  </a:extLst>
                </xdr:cNvPr>
                <xdr:cNvGrpSpPr>
                  <a:grpSpLocks/>
                </xdr:cNvGrpSpPr>
              </xdr:nvGrpSpPr>
              <xdr:grpSpPr bwMode="auto">
                <a:xfrm>
                  <a:off x="5180" y="1033"/>
                  <a:ext cx="148" cy="58"/>
                  <a:chOff x="5180" y="1033"/>
                  <a:chExt cx="148" cy="58"/>
                </a:xfrm>
              </xdr:grpSpPr>
              <xdr:sp macro="" textlink="">
                <xdr:nvSpPr>
                  <xdr:cNvPr id="44484680" name="Arc 1473">
                    <a:extLst>
                      <a:ext uri="{FF2B5EF4-FFF2-40B4-BE49-F238E27FC236}">
                        <a16:creationId xmlns:a16="http://schemas.microsoft.com/office/drawing/2014/main" id="{00000000-0008-0000-0100-000048C8A602}"/>
                      </a:ext>
                    </a:extLst>
                  </xdr:cNvPr>
                  <xdr:cNvSpPr>
                    <a:spLocks/>
                  </xdr:cNvSpPr>
                </xdr:nvSpPr>
                <xdr:spPr bwMode="auto">
                  <a:xfrm>
                    <a:off x="5289" y="1041"/>
                    <a:ext cx="39" cy="27"/>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484681" name="Arc 1474">
                    <a:extLst>
                      <a:ext uri="{FF2B5EF4-FFF2-40B4-BE49-F238E27FC236}">
                        <a16:creationId xmlns:a16="http://schemas.microsoft.com/office/drawing/2014/main" id="{00000000-0008-0000-0100-000049C8A602}"/>
                      </a:ext>
                    </a:extLst>
                  </xdr:cNvPr>
                  <xdr:cNvSpPr>
                    <a:spLocks/>
                  </xdr:cNvSpPr>
                </xdr:nvSpPr>
                <xdr:spPr bwMode="auto">
                  <a:xfrm>
                    <a:off x="5264" y="1033"/>
                    <a:ext cx="32" cy="11"/>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484682" name="Arc 1475">
                    <a:extLst>
                      <a:ext uri="{FF2B5EF4-FFF2-40B4-BE49-F238E27FC236}">
                        <a16:creationId xmlns:a16="http://schemas.microsoft.com/office/drawing/2014/main" id="{00000000-0008-0000-0100-00004AC8A602}"/>
                      </a:ext>
                    </a:extLst>
                  </xdr:cNvPr>
                  <xdr:cNvSpPr>
                    <a:spLocks/>
                  </xdr:cNvSpPr>
                </xdr:nvSpPr>
                <xdr:spPr bwMode="auto">
                  <a:xfrm flipH="1">
                    <a:off x="5220" y="1033"/>
                    <a:ext cx="40" cy="11"/>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484683" name="Arc 1476">
                    <a:extLst>
                      <a:ext uri="{FF2B5EF4-FFF2-40B4-BE49-F238E27FC236}">
                        <a16:creationId xmlns:a16="http://schemas.microsoft.com/office/drawing/2014/main" id="{00000000-0008-0000-0100-00004BC8A602}"/>
                      </a:ext>
                    </a:extLst>
                  </xdr:cNvPr>
                  <xdr:cNvSpPr>
                    <a:spLocks/>
                  </xdr:cNvSpPr>
                </xdr:nvSpPr>
                <xdr:spPr bwMode="auto">
                  <a:xfrm flipH="1">
                    <a:off x="5180" y="1044"/>
                    <a:ext cx="35" cy="2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484684" name="Arc 1477">
                    <a:extLst>
                      <a:ext uri="{FF2B5EF4-FFF2-40B4-BE49-F238E27FC236}">
                        <a16:creationId xmlns:a16="http://schemas.microsoft.com/office/drawing/2014/main" id="{00000000-0008-0000-0100-00004CC8A602}"/>
                      </a:ext>
                    </a:extLst>
                  </xdr:cNvPr>
                  <xdr:cNvSpPr>
                    <a:spLocks/>
                  </xdr:cNvSpPr>
                </xdr:nvSpPr>
                <xdr:spPr bwMode="auto">
                  <a:xfrm flipH="1" flipV="1">
                    <a:off x="5180" y="1068"/>
                    <a:ext cx="19" cy="2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484685" name="Arc 1478">
                    <a:extLst>
                      <a:ext uri="{FF2B5EF4-FFF2-40B4-BE49-F238E27FC236}">
                        <a16:creationId xmlns:a16="http://schemas.microsoft.com/office/drawing/2014/main" id="{00000000-0008-0000-0100-00004DC8A602}"/>
                      </a:ext>
                    </a:extLst>
                  </xdr:cNvPr>
                  <xdr:cNvSpPr>
                    <a:spLocks/>
                  </xdr:cNvSpPr>
                </xdr:nvSpPr>
                <xdr:spPr bwMode="auto">
                  <a:xfrm flipV="1">
                    <a:off x="5199" y="1068"/>
                    <a:ext cx="28" cy="2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484686" name="Arc 1479">
                    <a:extLst>
                      <a:ext uri="{FF2B5EF4-FFF2-40B4-BE49-F238E27FC236}">
                        <a16:creationId xmlns:a16="http://schemas.microsoft.com/office/drawing/2014/main" id="{00000000-0008-0000-0100-00004EC8A602}"/>
                      </a:ext>
                    </a:extLst>
                  </xdr:cNvPr>
                  <xdr:cNvSpPr>
                    <a:spLocks/>
                  </xdr:cNvSpPr>
                </xdr:nvSpPr>
                <xdr:spPr bwMode="auto">
                  <a:xfrm flipH="1" flipV="1">
                    <a:off x="5223" y="1078"/>
                    <a:ext cx="28" cy="1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484687" name="Arc 1480">
                    <a:extLst>
                      <a:ext uri="{FF2B5EF4-FFF2-40B4-BE49-F238E27FC236}">
                        <a16:creationId xmlns:a16="http://schemas.microsoft.com/office/drawing/2014/main" id="{00000000-0008-0000-0100-00004FC8A602}"/>
                      </a:ext>
                    </a:extLst>
                  </xdr:cNvPr>
                  <xdr:cNvSpPr>
                    <a:spLocks/>
                  </xdr:cNvSpPr>
                </xdr:nvSpPr>
                <xdr:spPr bwMode="auto">
                  <a:xfrm flipV="1">
                    <a:off x="5255" y="1074"/>
                    <a:ext cx="28" cy="17"/>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484688" name="Arc 1481">
                    <a:extLst>
                      <a:ext uri="{FF2B5EF4-FFF2-40B4-BE49-F238E27FC236}">
                        <a16:creationId xmlns:a16="http://schemas.microsoft.com/office/drawing/2014/main" id="{00000000-0008-0000-0100-000050C8A602}"/>
                      </a:ext>
                    </a:extLst>
                  </xdr:cNvPr>
                  <xdr:cNvSpPr>
                    <a:spLocks/>
                  </xdr:cNvSpPr>
                </xdr:nvSpPr>
                <xdr:spPr bwMode="auto">
                  <a:xfrm flipV="1">
                    <a:off x="5276" y="1065"/>
                    <a:ext cx="52" cy="2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grpSp>
          </xdr:grpSp>
        </xdr:grpSp>
        <xdr:grpSp>
          <xdr:nvGrpSpPr>
            <xdr:cNvPr id="44484646" name="Group 1539">
              <a:extLst>
                <a:ext uri="{FF2B5EF4-FFF2-40B4-BE49-F238E27FC236}">
                  <a16:creationId xmlns:a16="http://schemas.microsoft.com/office/drawing/2014/main" id="{00000000-0008-0000-0100-000026C8A602}"/>
                </a:ext>
              </a:extLst>
            </xdr:cNvPr>
            <xdr:cNvGrpSpPr>
              <a:grpSpLocks/>
            </xdr:cNvGrpSpPr>
          </xdr:nvGrpSpPr>
          <xdr:grpSpPr bwMode="auto">
            <a:xfrm>
              <a:off x="30565474" y="1750278"/>
              <a:ext cx="187025" cy="177618"/>
              <a:chOff x="4747" y="1122"/>
              <a:chExt cx="20" cy="19"/>
            </a:xfrm>
          </xdr:grpSpPr>
          <xdr:sp macro="" textlink="">
            <xdr:nvSpPr>
              <xdr:cNvPr id="44484668" name="Oval 1540">
                <a:extLst>
                  <a:ext uri="{FF2B5EF4-FFF2-40B4-BE49-F238E27FC236}">
                    <a16:creationId xmlns:a16="http://schemas.microsoft.com/office/drawing/2014/main" id="{00000000-0008-0000-0100-00003CC8A602}"/>
                  </a:ext>
                </a:extLst>
              </xdr:cNvPr>
              <xdr:cNvSpPr>
                <a:spLocks noChangeArrowheads="1"/>
              </xdr:cNvSpPr>
            </xdr:nvSpPr>
            <xdr:spPr bwMode="auto">
              <a:xfrm>
                <a:off x="4747" y="1122"/>
                <a:ext cx="20" cy="19"/>
              </a:xfrm>
              <a:prstGeom prst="ellipse">
                <a:avLst/>
              </a:prstGeom>
              <a:solidFill>
                <a:srgbClr val="EAEAEA"/>
              </a:solidFill>
              <a:ln w="1">
                <a:solidFill>
                  <a:srgbClr val="333333"/>
                </a:solidFill>
                <a:round/>
                <a:headEnd/>
                <a:tailEnd/>
              </a:ln>
            </xdr:spPr>
          </xdr:sp>
          <xdr:sp macro="" textlink="">
            <xdr:nvSpPr>
              <xdr:cNvPr id="44484669" name="Line 1541">
                <a:extLst>
                  <a:ext uri="{FF2B5EF4-FFF2-40B4-BE49-F238E27FC236}">
                    <a16:creationId xmlns:a16="http://schemas.microsoft.com/office/drawing/2014/main" id="{00000000-0008-0000-0100-00003DC8A602}"/>
                  </a:ext>
                </a:extLst>
              </xdr:cNvPr>
              <xdr:cNvSpPr>
                <a:spLocks noChangeShapeType="1"/>
              </xdr:cNvSpPr>
            </xdr:nvSpPr>
            <xdr:spPr bwMode="auto">
              <a:xfrm flipH="1" flipV="1">
                <a:off x="4749" y="1126"/>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670" name="Line 1542">
                <a:extLst>
                  <a:ext uri="{FF2B5EF4-FFF2-40B4-BE49-F238E27FC236}">
                    <a16:creationId xmlns:a16="http://schemas.microsoft.com/office/drawing/2014/main" id="{00000000-0008-0000-0100-00003EC8A602}"/>
                  </a:ext>
                </a:extLst>
              </xdr:cNvPr>
              <xdr:cNvSpPr>
                <a:spLocks noChangeShapeType="1"/>
              </xdr:cNvSpPr>
            </xdr:nvSpPr>
            <xdr:spPr bwMode="auto">
              <a:xfrm flipH="1">
                <a:off x="4749" y="1132"/>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671" name="Oval 1543">
                <a:extLst>
                  <a:ext uri="{FF2B5EF4-FFF2-40B4-BE49-F238E27FC236}">
                    <a16:creationId xmlns:a16="http://schemas.microsoft.com/office/drawing/2014/main" id="{00000000-0008-0000-0100-00003FC8A602}"/>
                  </a:ext>
                </a:extLst>
              </xdr:cNvPr>
              <xdr:cNvSpPr>
                <a:spLocks noChangeArrowheads="1"/>
              </xdr:cNvSpPr>
            </xdr:nvSpPr>
            <xdr:spPr bwMode="auto">
              <a:xfrm>
                <a:off x="4754" y="1125"/>
                <a:ext cx="2" cy="1"/>
              </a:xfrm>
              <a:prstGeom prst="ellipse">
                <a:avLst/>
              </a:prstGeom>
              <a:solidFill>
                <a:srgbClr val="EAEAEA"/>
              </a:solidFill>
              <a:ln w="9525">
                <a:solidFill>
                  <a:srgbClr val="333333"/>
                </a:solidFill>
                <a:round/>
                <a:headEnd/>
                <a:tailEnd/>
              </a:ln>
            </xdr:spPr>
          </xdr:sp>
        </xdr:grpSp>
        <xdr:grpSp>
          <xdr:nvGrpSpPr>
            <xdr:cNvPr id="44484647" name="Group 7">
              <a:extLst>
                <a:ext uri="{FF2B5EF4-FFF2-40B4-BE49-F238E27FC236}">
                  <a16:creationId xmlns:a16="http://schemas.microsoft.com/office/drawing/2014/main" id="{00000000-0008-0000-0100-000027C8A602}"/>
                </a:ext>
              </a:extLst>
            </xdr:cNvPr>
            <xdr:cNvGrpSpPr>
              <a:grpSpLocks/>
            </xdr:cNvGrpSpPr>
          </xdr:nvGrpSpPr>
          <xdr:grpSpPr bwMode="auto">
            <a:xfrm>
              <a:off x="28255708" y="787400"/>
              <a:ext cx="10353151" cy="5758572"/>
              <a:chOff x="28255708" y="787400"/>
              <a:chExt cx="10353151" cy="5758572"/>
            </a:xfrm>
          </xdr:grpSpPr>
          <xdr:sp macro="" textlink="">
            <xdr:nvSpPr>
              <xdr:cNvPr id="44484648" name="Line 16">
                <a:extLst>
                  <a:ext uri="{FF2B5EF4-FFF2-40B4-BE49-F238E27FC236}">
                    <a16:creationId xmlns:a16="http://schemas.microsoft.com/office/drawing/2014/main" id="{00000000-0008-0000-0100-000028C8A602}"/>
                  </a:ext>
                </a:extLst>
              </xdr:cNvPr>
              <xdr:cNvSpPr>
                <a:spLocks noChangeShapeType="1"/>
              </xdr:cNvSpPr>
            </xdr:nvSpPr>
            <xdr:spPr bwMode="auto">
              <a:xfrm flipH="1">
                <a:off x="33500776" y="2656433"/>
                <a:ext cx="359529" cy="152398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484649" name="Rectangle 19">
                <a:extLst>
                  <a:ext uri="{FF2B5EF4-FFF2-40B4-BE49-F238E27FC236}">
                    <a16:creationId xmlns:a16="http://schemas.microsoft.com/office/drawing/2014/main" id="{00000000-0008-0000-0100-000029C8A602}"/>
                  </a:ext>
                </a:extLst>
              </xdr:cNvPr>
              <xdr:cNvSpPr>
                <a:spLocks noChangeArrowheads="1"/>
              </xdr:cNvSpPr>
            </xdr:nvSpPr>
            <xdr:spPr bwMode="auto">
              <a:xfrm>
                <a:off x="28265060" y="787400"/>
                <a:ext cx="10342513" cy="5758572"/>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44484650" name="Line 20">
                <a:extLst>
                  <a:ext uri="{FF2B5EF4-FFF2-40B4-BE49-F238E27FC236}">
                    <a16:creationId xmlns:a16="http://schemas.microsoft.com/office/drawing/2014/main" id="{00000000-0008-0000-0100-00002AC8A602}"/>
                  </a:ext>
                </a:extLst>
              </xdr:cNvPr>
              <xdr:cNvSpPr>
                <a:spLocks noChangeShapeType="1"/>
              </xdr:cNvSpPr>
            </xdr:nvSpPr>
            <xdr:spPr bwMode="auto">
              <a:xfrm flipH="1">
                <a:off x="37085498" y="2640840"/>
                <a:ext cx="169247" cy="3225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484651" name="Line 21">
                <a:extLst>
                  <a:ext uri="{FF2B5EF4-FFF2-40B4-BE49-F238E27FC236}">
                    <a16:creationId xmlns:a16="http://schemas.microsoft.com/office/drawing/2014/main" id="{00000000-0008-0000-0100-00002BC8A602}"/>
                  </a:ext>
                </a:extLst>
              </xdr:cNvPr>
              <xdr:cNvSpPr>
                <a:spLocks noChangeShapeType="1"/>
              </xdr:cNvSpPr>
            </xdr:nvSpPr>
            <xdr:spPr bwMode="auto">
              <a:xfrm flipH="1" flipV="1">
                <a:off x="36905733" y="2656433"/>
                <a:ext cx="180256" cy="3022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484652" name="Line 27">
                <a:extLst>
                  <a:ext uri="{FF2B5EF4-FFF2-40B4-BE49-F238E27FC236}">
                    <a16:creationId xmlns:a16="http://schemas.microsoft.com/office/drawing/2014/main" id="{00000000-0008-0000-0100-00002CC8A602}"/>
                  </a:ext>
                </a:extLst>
              </xdr:cNvPr>
              <xdr:cNvSpPr>
                <a:spLocks noChangeShapeType="1"/>
              </xdr:cNvSpPr>
            </xdr:nvSpPr>
            <xdr:spPr bwMode="auto">
              <a:xfrm flipV="1">
                <a:off x="37265270" y="2640840"/>
                <a:ext cx="1343589" cy="50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484653" name="Line 51">
                <a:extLst>
                  <a:ext uri="{FF2B5EF4-FFF2-40B4-BE49-F238E27FC236}">
                    <a16:creationId xmlns:a16="http://schemas.microsoft.com/office/drawing/2014/main" id="{00000000-0008-0000-0100-00002DC8A602}"/>
                  </a:ext>
                </a:extLst>
              </xdr:cNvPr>
              <xdr:cNvSpPr>
                <a:spLocks noChangeShapeType="1"/>
              </xdr:cNvSpPr>
            </xdr:nvSpPr>
            <xdr:spPr bwMode="auto">
              <a:xfrm flipH="1">
                <a:off x="30341041" y="4169833"/>
                <a:ext cx="3159735" cy="166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484654" name="Line 52">
                <a:extLst>
                  <a:ext uri="{FF2B5EF4-FFF2-40B4-BE49-F238E27FC236}">
                    <a16:creationId xmlns:a16="http://schemas.microsoft.com/office/drawing/2014/main" id="{00000000-0008-0000-0100-00002EC8A602}"/>
                  </a:ext>
                </a:extLst>
              </xdr:cNvPr>
              <xdr:cNvSpPr>
                <a:spLocks noChangeShapeType="1"/>
              </xdr:cNvSpPr>
            </xdr:nvSpPr>
            <xdr:spPr bwMode="auto">
              <a:xfrm flipH="1">
                <a:off x="28255708" y="2762266"/>
                <a:ext cx="5572875" cy="504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484655" name="Line 60">
                <a:extLst>
                  <a:ext uri="{FF2B5EF4-FFF2-40B4-BE49-F238E27FC236}">
                    <a16:creationId xmlns:a16="http://schemas.microsoft.com/office/drawing/2014/main" id="{00000000-0008-0000-0100-00002FC8A602}"/>
                  </a:ext>
                </a:extLst>
              </xdr:cNvPr>
              <xdr:cNvSpPr>
                <a:spLocks noChangeShapeType="1"/>
              </xdr:cNvSpPr>
            </xdr:nvSpPr>
            <xdr:spPr bwMode="auto">
              <a:xfrm flipH="1" flipV="1">
                <a:off x="30339025" y="2772833"/>
                <a:ext cx="2017" cy="228675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484656" name="Line 61">
                <a:extLst>
                  <a:ext uri="{FF2B5EF4-FFF2-40B4-BE49-F238E27FC236}">
                    <a16:creationId xmlns:a16="http://schemas.microsoft.com/office/drawing/2014/main" id="{00000000-0008-0000-0100-000030C8A602}"/>
                  </a:ext>
                </a:extLst>
              </xdr:cNvPr>
              <xdr:cNvSpPr>
                <a:spLocks noChangeShapeType="1"/>
              </xdr:cNvSpPr>
            </xdr:nvSpPr>
            <xdr:spPr bwMode="auto">
              <a:xfrm flipH="1">
                <a:off x="30341043" y="5051473"/>
                <a:ext cx="166452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484657" name="Line 63">
                <a:extLst>
                  <a:ext uri="{FF2B5EF4-FFF2-40B4-BE49-F238E27FC236}">
                    <a16:creationId xmlns:a16="http://schemas.microsoft.com/office/drawing/2014/main" id="{00000000-0008-0000-0100-000031C8A602}"/>
                  </a:ext>
                </a:extLst>
              </xdr:cNvPr>
              <xdr:cNvSpPr>
                <a:spLocks noChangeShapeType="1"/>
              </xdr:cNvSpPr>
            </xdr:nvSpPr>
            <xdr:spPr bwMode="auto">
              <a:xfrm flipH="1">
                <a:off x="28274411" y="5536352"/>
                <a:ext cx="196376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484658" name="Line 71">
                <a:extLst>
                  <a:ext uri="{FF2B5EF4-FFF2-40B4-BE49-F238E27FC236}">
                    <a16:creationId xmlns:a16="http://schemas.microsoft.com/office/drawing/2014/main" id="{00000000-0008-0000-0100-000032C8A602}"/>
                  </a:ext>
                </a:extLst>
              </xdr:cNvPr>
              <xdr:cNvSpPr>
                <a:spLocks noChangeShapeType="1"/>
              </xdr:cNvSpPr>
            </xdr:nvSpPr>
            <xdr:spPr bwMode="auto">
              <a:xfrm flipH="1" flipV="1">
                <a:off x="30233282" y="5228166"/>
                <a:ext cx="4898" cy="128975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484659" name="Line 1119">
                <a:extLst>
                  <a:ext uri="{FF2B5EF4-FFF2-40B4-BE49-F238E27FC236}">
                    <a16:creationId xmlns:a16="http://schemas.microsoft.com/office/drawing/2014/main" id="{00000000-0008-0000-0100-000033C8A602}"/>
                  </a:ext>
                </a:extLst>
              </xdr:cNvPr>
              <xdr:cNvSpPr>
                <a:spLocks noChangeShapeType="1"/>
              </xdr:cNvSpPr>
            </xdr:nvSpPr>
            <xdr:spPr bwMode="auto">
              <a:xfrm>
                <a:off x="35393598" y="2963334"/>
                <a:ext cx="3391" cy="357329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484660" name="Line 1123">
                <a:extLst>
                  <a:ext uri="{FF2B5EF4-FFF2-40B4-BE49-F238E27FC236}">
                    <a16:creationId xmlns:a16="http://schemas.microsoft.com/office/drawing/2014/main" id="{00000000-0008-0000-0100-000034C8A602}"/>
                  </a:ext>
                </a:extLst>
              </xdr:cNvPr>
              <xdr:cNvSpPr>
                <a:spLocks noChangeShapeType="1"/>
              </xdr:cNvSpPr>
            </xdr:nvSpPr>
            <xdr:spPr bwMode="auto">
              <a:xfrm>
                <a:off x="37085504" y="2963334"/>
                <a:ext cx="468" cy="357329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484661" name="Line 2542">
                <a:extLst>
                  <a:ext uri="{FF2B5EF4-FFF2-40B4-BE49-F238E27FC236}">
                    <a16:creationId xmlns:a16="http://schemas.microsoft.com/office/drawing/2014/main" id="{00000000-0008-0000-0100-000035C8A602}"/>
                  </a:ext>
                </a:extLst>
              </xdr:cNvPr>
              <xdr:cNvSpPr>
                <a:spLocks noChangeShapeType="1"/>
              </xdr:cNvSpPr>
            </xdr:nvSpPr>
            <xdr:spPr bwMode="auto">
              <a:xfrm flipV="1">
                <a:off x="30227583" y="5050244"/>
                <a:ext cx="112215" cy="177618"/>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484662" name="Line 16">
                <a:extLst>
                  <a:ext uri="{FF2B5EF4-FFF2-40B4-BE49-F238E27FC236}">
                    <a16:creationId xmlns:a16="http://schemas.microsoft.com/office/drawing/2014/main" id="{00000000-0008-0000-0100-000036C8A602}"/>
                  </a:ext>
                </a:extLst>
              </xdr:cNvPr>
              <xdr:cNvSpPr>
                <a:spLocks noChangeShapeType="1"/>
              </xdr:cNvSpPr>
            </xdr:nvSpPr>
            <xdr:spPr bwMode="auto">
              <a:xfrm flipH="1">
                <a:off x="32008232" y="4180417"/>
                <a:ext cx="313267" cy="86148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484663" name="Line 16">
                <a:extLst>
                  <a:ext uri="{FF2B5EF4-FFF2-40B4-BE49-F238E27FC236}">
                    <a16:creationId xmlns:a16="http://schemas.microsoft.com/office/drawing/2014/main" id="{00000000-0008-0000-0100-000037C8A602}"/>
                  </a:ext>
                </a:extLst>
              </xdr:cNvPr>
              <xdr:cNvSpPr>
                <a:spLocks noChangeShapeType="1"/>
              </xdr:cNvSpPr>
            </xdr:nvSpPr>
            <xdr:spPr bwMode="auto">
              <a:xfrm flipH="1">
                <a:off x="32308796" y="2762250"/>
                <a:ext cx="2120" cy="142663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484664" name="Line 27">
                <a:extLst>
                  <a:ext uri="{FF2B5EF4-FFF2-40B4-BE49-F238E27FC236}">
                    <a16:creationId xmlns:a16="http://schemas.microsoft.com/office/drawing/2014/main" id="{00000000-0008-0000-0100-000038C8A602}"/>
                  </a:ext>
                </a:extLst>
              </xdr:cNvPr>
              <xdr:cNvSpPr>
                <a:spLocks noChangeShapeType="1"/>
              </xdr:cNvSpPr>
            </xdr:nvSpPr>
            <xdr:spPr bwMode="auto">
              <a:xfrm flipV="1">
                <a:off x="35564292" y="2645078"/>
                <a:ext cx="1344722" cy="50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484665" name="Line 20">
                <a:extLst>
                  <a:ext uri="{FF2B5EF4-FFF2-40B4-BE49-F238E27FC236}">
                    <a16:creationId xmlns:a16="http://schemas.microsoft.com/office/drawing/2014/main" id="{00000000-0008-0000-0100-000039C8A602}"/>
                  </a:ext>
                </a:extLst>
              </xdr:cNvPr>
              <xdr:cNvSpPr>
                <a:spLocks noChangeShapeType="1"/>
              </xdr:cNvSpPr>
            </xdr:nvSpPr>
            <xdr:spPr bwMode="auto">
              <a:xfrm flipH="1">
                <a:off x="35394952" y="2645078"/>
                <a:ext cx="169390" cy="3225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484666" name="Line 21">
                <a:extLst>
                  <a:ext uri="{FF2B5EF4-FFF2-40B4-BE49-F238E27FC236}">
                    <a16:creationId xmlns:a16="http://schemas.microsoft.com/office/drawing/2014/main" id="{00000000-0008-0000-0100-00003AC8A602}"/>
                  </a:ext>
                </a:extLst>
              </xdr:cNvPr>
              <xdr:cNvSpPr>
                <a:spLocks noChangeShapeType="1"/>
              </xdr:cNvSpPr>
            </xdr:nvSpPr>
            <xdr:spPr bwMode="auto">
              <a:xfrm flipH="1" flipV="1">
                <a:off x="35214977" y="2660666"/>
                <a:ext cx="180408" cy="3022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484667" name="Line 27">
                <a:extLst>
                  <a:ext uri="{FF2B5EF4-FFF2-40B4-BE49-F238E27FC236}">
                    <a16:creationId xmlns:a16="http://schemas.microsoft.com/office/drawing/2014/main" id="{00000000-0008-0000-0100-00003BC8A602}"/>
                  </a:ext>
                </a:extLst>
              </xdr:cNvPr>
              <xdr:cNvSpPr>
                <a:spLocks noChangeShapeType="1"/>
              </xdr:cNvSpPr>
            </xdr:nvSpPr>
            <xdr:spPr bwMode="auto">
              <a:xfrm>
                <a:off x="33866667" y="2645850"/>
                <a:ext cx="1342720" cy="346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4484626" name="Group 1529">
            <a:extLst>
              <a:ext uri="{FF2B5EF4-FFF2-40B4-BE49-F238E27FC236}">
                <a16:creationId xmlns:a16="http://schemas.microsoft.com/office/drawing/2014/main" id="{00000000-0008-0000-0100-000012C8A602}"/>
              </a:ext>
            </a:extLst>
          </xdr:cNvPr>
          <xdr:cNvGrpSpPr>
            <a:grpSpLocks/>
          </xdr:cNvGrpSpPr>
        </xdr:nvGrpSpPr>
        <xdr:grpSpPr bwMode="auto">
          <a:xfrm>
            <a:off x="33399775" y="3473547"/>
            <a:ext cx="187183" cy="177618"/>
            <a:chOff x="4902" y="1324"/>
            <a:chExt cx="20" cy="19"/>
          </a:xfrm>
        </xdr:grpSpPr>
        <xdr:sp macro="" textlink="">
          <xdr:nvSpPr>
            <xdr:cNvPr id="44484641" name="Oval 1530">
              <a:extLst>
                <a:ext uri="{FF2B5EF4-FFF2-40B4-BE49-F238E27FC236}">
                  <a16:creationId xmlns:a16="http://schemas.microsoft.com/office/drawing/2014/main" id="{00000000-0008-0000-0100-000021C8A602}"/>
                </a:ext>
              </a:extLst>
            </xdr:cNvPr>
            <xdr:cNvSpPr>
              <a:spLocks noChangeArrowheads="1"/>
            </xdr:cNvSpPr>
          </xdr:nvSpPr>
          <xdr:spPr bwMode="auto">
            <a:xfrm>
              <a:off x="4902" y="1324"/>
              <a:ext cx="20" cy="19"/>
            </a:xfrm>
            <a:prstGeom prst="ellipse">
              <a:avLst/>
            </a:prstGeom>
            <a:solidFill>
              <a:srgbClr val="EAEAEA"/>
            </a:solidFill>
            <a:ln w="1">
              <a:solidFill>
                <a:srgbClr val="333333"/>
              </a:solidFill>
              <a:round/>
              <a:headEnd/>
              <a:tailEnd/>
            </a:ln>
          </xdr:spPr>
        </xdr:sp>
        <xdr:sp macro="" textlink="">
          <xdr:nvSpPr>
            <xdr:cNvPr id="44484642" name="Line 1531">
              <a:extLst>
                <a:ext uri="{FF2B5EF4-FFF2-40B4-BE49-F238E27FC236}">
                  <a16:creationId xmlns:a16="http://schemas.microsoft.com/office/drawing/2014/main" id="{00000000-0008-0000-0100-000022C8A602}"/>
                </a:ext>
              </a:extLst>
            </xdr:cNvPr>
            <xdr:cNvSpPr>
              <a:spLocks noChangeShapeType="1"/>
            </xdr:cNvSpPr>
          </xdr:nvSpPr>
          <xdr:spPr bwMode="auto">
            <a:xfrm flipH="1" flipV="1">
              <a:off x="4904" y="1328"/>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643" name="Line 1532">
              <a:extLst>
                <a:ext uri="{FF2B5EF4-FFF2-40B4-BE49-F238E27FC236}">
                  <a16:creationId xmlns:a16="http://schemas.microsoft.com/office/drawing/2014/main" id="{00000000-0008-0000-0100-000023C8A602}"/>
                </a:ext>
              </a:extLst>
            </xdr:cNvPr>
            <xdr:cNvSpPr>
              <a:spLocks noChangeShapeType="1"/>
            </xdr:cNvSpPr>
          </xdr:nvSpPr>
          <xdr:spPr bwMode="auto">
            <a:xfrm flipH="1">
              <a:off x="4904" y="1334"/>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484644" name="Oval 1533">
              <a:extLst>
                <a:ext uri="{FF2B5EF4-FFF2-40B4-BE49-F238E27FC236}">
                  <a16:creationId xmlns:a16="http://schemas.microsoft.com/office/drawing/2014/main" id="{00000000-0008-0000-0100-000024C8A602}"/>
                </a:ext>
              </a:extLst>
            </xdr:cNvPr>
            <xdr:cNvSpPr>
              <a:spLocks noChangeArrowheads="1"/>
            </xdr:cNvSpPr>
          </xdr:nvSpPr>
          <xdr:spPr bwMode="auto">
            <a:xfrm>
              <a:off x="4909" y="1327"/>
              <a:ext cx="2" cy="1"/>
            </a:xfrm>
            <a:prstGeom prst="ellipse">
              <a:avLst/>
            </a:prstGeom>
            <a:solidFill>
              <a:srgbClr val="EAEAEA"/>
            </a:solidFill>
            <a:ln w="9525">
              <a:solidFill>
                <a:srgbClr val="333333"/>
              </a:solidFill>
              <a:round/>
              <a:headEnd/>
              <a:tailEnd/>
            </a:ln>
          </xdr:spPr>
        </xdr:sp>
      </xdr:grpSp>
      <xdr:grpSp>
        <xdr:nvGrpSpPr>
          <xdr:cNvPr id="44484627" name="Group 1564">
            <a:extLst>
              <a:ext uri="{FF2B5EF4-FFF2-40B4-BE49-F238E27FC236}">
                <a16:creationId xmlns:a16="http://schemas.microsoft.com/office/drawing/2014/main" id="{00000000-0008-0000-0100-000013C8A602}"/>
              </a:ext>
            </a:extLst>
          </xdr:cNvPr>
          <xdr:cNvGrpSpPr>
            <a:grpSpLocks/>
          </xdr:cNvGrpSpPr>
        </xdr:nvGrpSpPr>
        <xdr:grpSpPr bwMode="auto">
          <a:xfrm>
            <a:off x="33011132" y="2500438"/>
            <a:ext cx="0" cy="532855"/>
            <a:chOff x="4865" y="1255"/>
            <a:chExt cx="0" cy="57"/>
          </a:xfrm>
        </xdr:grpSpPr>
        <xdr:sp macro="" textlink="">
          <xdr:nvSpPr>
            <xdr:cNvPr id="44484639" name="Line 1565">
              <a:extLst>
                <a:ext uri="{FF2B5EF4-FFF2-40B4-BE49-F238E27FC236}">
                  <a16:creationId xmlns:a16="http://schemas.microsoft.com/office/drawing/2014/main" id="{00000000-0008-0000-0100-00001FC8A602}"/>
                </a:ext>
              </a:extLst>
            </xdr:cNvPr>
            <xdr:cNvSpPr>
              <a:spLocks noChangeShapeType="1"/>
            </xdr:cNvSpPr>
          </xdr:nvSpPr>
          <xdr:spPr bwMode="auto">
            <a:xfrm flipV="1">
              <a:off x="4865" y="1255"/>
              <a:ext cx="0" cy="28"/>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484640" name="Line 1566">
              <a:extLst>
                <a:ext uri="{FF2B5EF4-FFF2-40B4-BE49-F238E27FC236}">
                  <a16:creationId xmlns:a16="http://schemas.microsoft.com/office/drawing/2014/main" id="{00000000-0008-0000-0100-000020C8A602}"/>
                </a:ext>
              </a:extLst>
            </xdr:cNvPr>
            <xdr:cNvSpPr>
              <a:spLocks noChangeShapeType="1"/>
            </xdr:cNvSpPr>
          </xdr:nvSpPr>
          <xdr:spPr bwMode="auto">
            <a:xfrm>
              <a:off x="4865" y="1283"/>
              <a:ext cx="0" cy="29"/>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grpSp>
        <xdr:nvGrpSpPr>
          <xdr:cNvPr id="44484628" name="Group 2">
            <a:extLst>
              <a:ext uri="{FF2B5EF4-FFF2-40B4-BE49-F238E27FC236}">
                <a16:creationId xmlns:a16="http://schemas.microsoft.com/office/drawing/2014/main" id="{00000000-0008-0000-0100-000014C8A602}"/>
              </a:ext>
            </a:extLst>
          </xdr:cNvPr>
          <xdr:cNvGrpSpPr>
            <a:grpSpLocks/>
          </xdr:cNvGrpSpPr>
        </xdr:nvGrpSpPr>
        <xdr:grpSpPr bwMode="auto">
          <a:xfrm>
            <a:off x="32062656" y="2463221"/>
            <a:ext cx="5978023" cy="394279"/>
            <a:chOff x="32062656" y="2463221"/>
            <a:chExt cx="5978023" cy="394279"/>
          </a:xfrm>
        </xdr:grpSpPr>
        <xdr:sp macro="" textlink="">
          <xdr:nvSpPr>
            <xdr:cNvPr id="44484634" name="Line 26">
              <a:extLst>
                <a:ext uri="{FF2B5EF4-FFF2-40B4-BE49-F238E27FC236}">
                  <a16:creationId xmlns:a16="http://schemas.microsoft.com/office/drawing/2014/main" id="{00000000-0008-0000-0100-00001AC8A602}"/>
                </a:ext>
              </a:extLst>
            </xdr:cNvPr>
            <xdr:cNvSpPr>
              <a:spLocks noChangeShapeType="1"/>
            </xdr:cNvSpPr>
          </xdr:nvSpPr>
          <xdr:spPr bwMode="auto">
            <a:xfrm flipH="1">
              <a:off x="32062656" y="2472570"/>
              <a:ext cx="167275" cy="384930"/>
            </a:xfrm>
            <a:prstGeom prst="line">
              <a:avLst/>
            </a:prstGeom>
            <a:noFill/>
            <a:ln w="9525">
              <a:solidFill>
                <a:srgbClr val="FF6600"/>
              </a:solidFill>
              <a:round/>
              <a:headEnd/>
              <a:tailEnd type="triangle" w="med" len="med"/>
            </a:ln>
            <a:extLst>
              <a:ext uri="{909E8E84-426E-40DD-AFC4-6F175D3DCCD1}">
                <a14:hiddenFill xmlns:a14="http://schemas.microsoft.com/office/drawing/2010/main">
                  <a:noFill/>
                </a14:hiddenFill>
              </a:ext>
            </a:extLst>
          </xdr:spPr>
        </xdr:sp>
        <xdr:sp macro="" textlink="">
          <xdr:nvSpPr>
            <xdr:cNvPr id="44484635" name="Arc 39">
              <a:extLst>
                <a:ext uri="{FF2B5EF4-FFF2-40B4-BE49-F238E27FC236}">
                  <a16:creationId xmlns:a16="http://schemas.microsoft.com/office/drawing/2014/main" id="{00000000-0008-0000-0100-00001BC8A602}"/>
                </a:ext>
              </a:extLst>
            </xdr:cNvPr>
            <xdr:cNvSpPr>
              <a:spLocks/>
            </xdr:cNvSpPr>
          </xdr:nvSpPr>
          <xdr:spPr bwMode="auto">
            <a:xfrm>
              <a:off x="34377191" y="2463221"/>
              <a:ext cx="159879" cy="19321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FF66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44484636" name="Arc 41">
              <a:extLst>
                <a:ext uri="{FF2B5EF4-FFF2-40B4-BE49-F238E27FC236}">
                  <a16:creationId xmlns:a16="http://schemas.microsoft.com/office/drawing/2014/main" id="{00000000-0008-0000-0100-00001CC8A602}"/>
                </a:ext>
              </a:extLst>
            </xdr:cNvPr>
            <xdr:cNvSpPr>
              <a:spLocks/>
            </xdr:cNvSpPr>
          </xdr:nvSpPr>
          <xdr:spPr bwMode="auto">
            <a:xfrm>
              <a:off x="36041937" y="2465933"/>
              <a:ext cx="134167" cy="16432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FF66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44484637" name="Line 74">
              <a:extLst>
                <a:ext uri="{FF2B5EF4-FFF2-40B4-BE49-F238E27FC236}">
                  <a16:creationId xmlns:a16="http://schemas.microsoft.com/office/drawing/2014/main" id="{00000000-0008-0000-0100-00001DC8A602}"/>
                </a:ext>
              </a:extLst>
            </xdr:cNvPr>
            <xdr:cNvSpPr>
              <a:spLocks noChangeShapeType="1"/>
            </xdr:cNvSpPr>
          </xdr:nvSpPr>
          <xdr:spPr bwMode="auto">
            <a:xfrm>
              <a:off x="32231846" y="2465932"/>
              <a:ext cx="5667888" cy="1"/>
            </a:xfrm>
            <a:prstGeom prst="line">
              <a:avLst/>
            </a:prstGeom>
            <a:noFill/>
            <a:ln w="9525">
              <a:solidFill>
                <a:srgbClr val="FF6600"/>
              </a:solidFill>
              <a:round/>
              <a:headEnd/>
              <a:tailEnd/>
            </a:ln>
            <a:extLst>
              <a:ext uri="{909E8E84-426E-40DD-AFC4-6F175D3DCCD1}">
                <a14:hiddenFill xmlns:a14="http://schemas.microsoft.com/office/drawing/2010/main">
                  <a:noFill/>
                </a14:hiddenFill>
              </a:ext>
            </a:extLst>
          </xdr:spPr>
        </xdr:sp>
        <xdr:sp macro="" textlink="">
          <xdr:nvSpPr>
            <xdr:cNvPr id="44484638" name="Arc 41">
              <a:extLst>
                <a:ext uri="{FF2B5EF4-FFF2-40B4-BE49-F238E27FC236}">
                  <a16:creationId xmlns:a16="http://schemas.microsoft.com/office/drawing/2014/main" id="{00000000-0008-0000-0100-00001EC8A602}"/>
                </a:ext>
              </a:extLst>
            </xdr:cNvPr>
            <xdr:cNvSpPr>
              <a:spLocks/>
            </xdr:cNvSpPr>
          </xdr:nvSpPr>
          <xdr:spPr bwMode="auto">
            <a:xfrm>
              <a:off x="37906399" y="2470171"/>
              <a:ext cx="134280" cy="16432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FF6600"/>
              </a:solidFill>
              <a:round/>
              <a:headEnd/>
              <a:tailEnd/>
            </a:ln>
            <a:extLst>
              <a:ext uri="{909E8E84-426E-40DD-AFC4-6F175D3DCCD1}">
                <a14:hiddenFill xmlns:a14="http://schemas.microsoft.com/office/drawing/2010/main">
                  <a:solidFill>
                    <a:srgbClr val="FFFFFF"/>
                  </a:solidFill>
                </a14:hiddenFill>
              </a:ext>
            </a:extLst>
          </xdr:spPr>
        </xdr:sp>
      </xdr:grpSp>
      <xdr:grpSp>
        <xdr:nvGrpSpPr>
          <xdr:cNvPr id="44484629" name="Group 4">
            <a:extLst>
              <a:ext uri="{FF2B5EF4-FFF2-40B4-BE49-F238E27FC236}">
                <a16:creationId xmlns:a16="http://schemas.microsoft.com/office/drawing/2014/main" id="{00000000-0008-0000-0100-000015C8A602}"/>
              </a:ext>
            </a:extLst>
          </xdr:cNvPr>
          <xdr:cNvGrpSpPr>
            <a:grpSpLocks/>
          </xdr:cNvGrpSpPr>
        </xdr:nvGrpSpPr>
        <xdr:grpSpPr bwMode="auto">
          <a:xfrm>
            <a:off x="27801757" y="3308804"/>
            <a:ext cx="2810473" cy="77865"/>
            <a:chOff x="27801757" y="3308804"/>
            <a:chExt cx="2810473" cy="77865"/>
          </a:xfrm>
        </xdr:grpSpPr>
        <xdr:sp macro="" textlink="">
          <xdr:nvSpPr>
            <xdr:cNvPr id="44484632" name="Line 1636">
              <a:extLst>
                <a:ext uri="{FF2B5EF4-FFF2-40B4-BE49-F238E27FC236}">
                  <a16:creationId xmlns:a16="http://schemas.microsoft.com/office/drawing/2014/main" id="{00000000-0008-0000-0100-000018C8A602}"/>
                </a:ext>
              </a:extLst>
            </xdr:cNvPr>
            <xdr:cNvSpPr>
              <a:spLocks noChangeShapeType="1"/>
            </xdr:cNvSpPr>
          </xdr:nvSpPr>
          <xdr:spPr bwMode="auto">
            <a:xfrm flipV="1">
              <a:off x="27834901" y="3308804"/>
              <a:ext cx="2777329" cy="0"/>
            </a:xfrm>
            <a:prstGeom prst="line">
              <a:avLst/>
            </a:prstGeom>
            <a:noFill/>
            <a:ln w="0">
              <a:solidFill>
                <a:srgbClr val="0000FF"/>
              </a:solidFill>
              <a:round/>
              <a:headEnd/>
              <a:tailEnd type="triangle" w="med" len="med"/>
            </a:ln>
            <a:extLst>
              <a:ext uri="{909E8E84-426E-40DD-AFC4-6F175D3DCCD1}">
                <a14:hiddenFill xmlns:a14="http://schemas.microsoft.com/office/drawing/2010/main">
                  <a:noFill/>
                </a14:hiddenFill>
              </a:ext>
            </a:extLst>
          </xdr:spPr>
        </xdr:sp>
        <xdr:sp macro="" textlink="">
          <xdr:nvSpPr>
            <xdr:cNvPr id="44484633" name="Line 1549">
              <a:extLst>
                <a:ext uri="{FF2B5EF4-FFF2-40B4-BE49-F238E27FC236}">
                  <a16:creationId xmlns:a16="http://schemas.microsoft.com/office/drawing/2014/main" id="{00000000-0008-0000-0100-000019C8A602}"/>
                </a:ext>
              </a:extLst>
            </xdr:cNvPr>
            <xdr:cNvSpPr>
              <a:spLocks noChangeShapeType="1"/>
            </xdr:cNvSpPr>
          </xdr:nvSpPr>
          <xdr:spPr bwMode="auto">
            <a:xfrm flipH="1" flipV="1">
              <a:off x="27801757" y="3375658"/>
              <a:ext cx="2784075" cy="11011"/>
            </a:xfrm>
            <a:prstGeom prst="line">
              <a:avLst/>
            </a:prstGeom>
            <a:noFill/>
            <a:ln w="0">
              <a:solidFill>
                <a:srgbClr val="0000FF"/>
              </a:solidFill>
              <a:prstDash val="dash"/>
              <a:round/>
              <a:headEnd/>
              <a:tailEnd type="triangle" w="med" len="med"/>
            </a:ln>
            <a:extLst>
              <a:ext uri="{909E8E84-426E-40DD-AFC4-6F175D3DCCD1}">
                <a14:hiddenFill xmlns:a14="http://schemas.microsoft.com/office/drawing/2010/main">
                  <a:noFill/>
                </a14:hiddenFill>
              </a:ext>
            </a:extLst>
          </xdr:spPr>
        </xdr:sp>
      </xdr:grpSp>
      <xdr:sp macro="" textlink="">
        <xdr:nvSpPr>
          <xdr:cNvPr id="44484630" name="Line 1549">
            <a:extLst>
              <a:ext uri="{FF2B5EF4-FFF2-40B4-BE49-F238E27FC236}">
                <a16:creationId xmlns:a16="http://schemas.microsoft.com/office/drawing/2014/main" id="{00000000-0008-0000-0100-000016C8A602}"/>
              </a:ext>
            </a:extLst>
          </xdr:cNvPr>
          <xdr:cNvSpPr>
            <a:spLocks noChangeShapeType="1"/>
          </xdr:cNvSpPr>
        </xdr:nvSpPr>
        <xdr:spPr bwMode="auto">
          <a:xfrm flipH="1">
            <a:off x="27805994" y="3238499"/>
            <a:ext cx="4589588" cy="3817"/>
          </a:xfrm>
          <a:prstGeom prst="line">
            <a:avLst/>
          </a:prstGeom>
          <a:noFill/>
          <a:ln w="0">
            <a:solidFill>
              <a:srgbClr val="0000FF"/>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484631" name="Line 1633">
            <a:extLst>
              <a:ext uri="{FF2B5EF4-FFF2-40B4-BE49-F238E27FC236}">
                <a16:creationId xmlns:a16="http://schemas.microsoft.com/office/drawing/2014/main" id="{00000000-0008-0000-0100-000017C8A602}"/>
              </a:ext>
            </a:extLst>
          </xdr:cNvPr>
          <xdr:cNvSpPr>
            <a:spLocks noChangeShapeType="1"/>
          </xdr:cNvSpPr>
        </xdr:nvSpPr>
        <xdr:spPr bwMode="auto">
          <a:xfrm>
            <a:off x="27800533" y="3734769"/>
            <a:ext cx="4944300" cy="1147"/>
          </a:xfrm>
          <a:prstGeom prst="line">
            <a:avLst/>
          </a:prstGeom>
          <a:noFill/>
          <a:ln w="19050">
            <a:solidFill>
              <a:srgbClr val="008000"/>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editAs="oneCell">
    <xdr:from>
      <xdr:col>71</xdr:col>
      <xdr:colOff>0</xdr:colOff>
      <xdr:row>21</xdr:row>
      <xdr:rowOff>0</xdr:rowOff>
    </xdr:from>
    <xdr:to>
      <xdr:col>72</xdr:col>
      <xdr:colOff>9524</xdr:colOff>
      <xdr:row>22</xdr:row>
      <xdr:rowOff>9525</xdr:rowOff>
    </xdr:to>
    <xdr:pic>
      <xdr:nvPicPr>
        <xdr:cNvPr id="44340873" name="Picture 582">
          <a:extLst>
            <a:ext uri="{FF2B5EF4-FFF2-40B4-BE49-F238E27FC236}">
              <a16:creationId xmlns:a16="http://schemas.microsoft.com/office/drawing/2014/main" id="{00000000-0008-0000-0100-00008996A4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251650" y="3400425"/>
          <a:ext cx="72390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75</xdr:col>
      <xdr:colOff>657225</xdr:colOff>
      <xdr:row>82</xdr:row>
      <xdr:rowOff>28575</xdr:rowOff>
    </xdr:from>
    <xdr:to>
      <xdr:col>75</xdr:col>
      <xdr:colOff>657225</xdr:colOff>
      <xdr:row>101</xdr:row>
      <xdr:rowOff>38100</xdr:rowOff>
    </xdr:to>
    <xdr:sp macro="" textlink="">
      <xdr:nvSpPr>
        <xdr:cNvPr id="44340874" name="Line 1117">
          <a:extLst>
            <a:ext uri="{FF2B5EF4-FFF2-40B4-BE49-F238E27FC236}">
              <a16:creationId xmlns:a16="http://schemas.microsoft.com/office/drawing/2014/main" id="{00000000-0008-0000-0100-00008A96A402}"/>
            </a:ext>
          </a:extLst>
        </xdr:cNvPr>
        <xdr:cNvSpPr>
          <a:spLocks noChangeShapeType="1"/>
        </xdr:cNvSpPr>
      </xdr:nvSpPr>
      <xdr:spPr bwMode="auto">
        <a:xfrm>
          <a:off x="35766375" y="13306425"/>
          <a:ext cx="0" cy="308610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1">
              <a:solidFill>
                <a:srgbClr val="000000"/>
              </a:solidFill>
              <a:round/>
              <a:headEnd/>
              <a:tailEnd/>
            </a14:hiddenLine>
          </a:ext>
        </a:extLst>
      </xdr:spPr>
    </xdr:sp>
    <xdr:clientData/>
  </xdr:twoCellAnchor>
  <xdr:twoCellAnchor>
    <xdr:from>
      <xdr:col>75</xdr:col>
      <xdr:colOff>666750</xdr:colOff>
      <xdr:row>82</xdr:row>
      <xdr:rowOff>28575</xdr:rowOff>
    </xdr:from>
    <xdr:to>
      <xdr:col>75</xdr:col>
      <xdr:colOff>666750</xdr:colOff>
      <xdr:row>101</xdr:row>
      <xdr:rowOff>95250</xdr:rowOff>
    </xdr:to>
    <xdr:sp macro="" textlink="">
      <xdr:nvSpPr>
        <xdr:cNvPr id="44340875" name="Line 1118">
          <a:extLst>
            <a:ext uri="{FF2B5EF4-FFF2-40B4-BE49-F238E27FC236}">
              <a16:creationId xmlns:a16="http://schemas.microsoft.com/office/drawing/2014/main" id="{00000000-0008-0000-0100-00008B96A402}"/>
            </a:ext>
          </a:extLst>
        </xdr:cNvPr>
        <xdr:cNvSpPr>
          <a:spLocks noChangeShapeType="1"/>
        </xdr:cNvSpPr>
      </xdr:nvSpPr>
      <xdr:spPr bwMode="auto">
        <a:xfrm>
          <a:off x="35775900" y="13306425"/>
          <a:ext cx="0" cy="3143250"/>
        </a:xfrm>
        <a:prstGeom prst="line">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1">
              <a:solidFill>
                <a:srgbClr val="000000"/>
              </a:solidFill>
              <a:round/>
              <a:headEnd/>
              <a:tailEnd/>
            </a14:hiddenLine>
          </a:ext>
        </a:extLst>
      </xdr:spPr>
    </xdr:sp>
    <xdr:clientData/>
  </xdr:twoCellAnchor>
  <xdr:twoCellAnchor>
    <xdr:from>
      <xdr:col>66</xdr:col>
      <xdr:colOff>19050</xdr:colOff>
      <xdr:row>64</xdr:row>
      <xdr:rowOff>152400</xdr:rowOff>
    </xdr:from>
    <xdr:to>
      <xdr:col>81</xdr:col>
      <xdr:colOff>314325</xdr:colOff>
      <xdr:row>102</xdr:row>
      <xdr:rowOff>0</xdr:rowOff>
    </xdr:to>
    <xdr:grpSp>
      <xdr:nvGrpSpPr>
        <xdr:cNvPr id="44340876" name="Group 782">
          <a:extLst>
            <a:ext uri="{FF2B5EF4-FFF2-40B4-BE49-F238E27FC236}">
              <a16:creationId xmlns:a16="http://schemas.microsoft.com/office/drawing/2014/main" id="{00000000-0008-0000-0100-00008C96A402}"/>
            </a:ext>
          </a:extLst>
        </xdr:cNvPr>
        <xdr:cNvGrpSpPr>
          <a:grpSpLocks/>
        </xdr:cNvGrpSpPr>
      </xdr:nvGrpSpPr>
      <xdr:grpSpPr bwMode="auto">
        <a:xfrm>
          <a:off x="30895290" y="10515600"/>
          <a:ext cx="11302365" cy="6000750"/>
          <a:chOff x="27778793" y="787400"/>
          <a:chExt cx="11090615" cy="5880100"/>
        </a:xfrm>
      </xdr:grpSpPr>
      <xdr:sp macro="" textlink="">
        <xdr:nvSpPr>
          <xdr:cNvPr id="44341100" name="Line 35">
            <a:extLst>
              <a:ext uri="{FF2B5EF4-FFF2-40B4-BE49-F238E27FC236}">
                <a16:creationId xmlns:a16="http://schemas.microsoft.com/office/drawing/2014/main" id="{00000000-0008-0000-0100-00006C97A402}"/>
              </a:ext>
            </a:extLst>
          </xdr:cNvPr>
          <xdr:cNvSpPr>
            <a:spLocks noChangeShapeType="1"/>
          </xdr:cNvSpPr>
        </xdr:nvSpPr>
        <xdr:spPr bwMode="auto">
          <a:xfrm flipH="1">
            <a:off x="33772962" y="6330960"/>
            <a:ext cx="0" cy="327192"/>
          </a:xfrm>
          <a:prstGeom prst="line">
            <a:avLst/>
          </a:prstGeom>
          <a:noFill/>
          <a:ln w="1">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341101" name="Line 36">
            <a:extLst>
              <a:ext uri="{FF2B5EF4-FFF2-40B4-BE49-F238E27FC236}">
                <a16:creationId xmlns:a16="http://schemas.microsoft.com/office/drawing/2014/main" id="{00000000-0008-0000-0100-00006D97A402}"/>
              </a:ext>
            </a:extLst>
          </xdr:cNvPr>
          <xdr:cNvSpPr>
            <a:spLocks noChangeShapeType="1"/>
          </xdr:cNvSpPr>
        </xdr:nvSpPr>
        <xdr:spPr bwMode="auto">
          <a:xfrm>
            <a:off x="35905053" y="6321612"/>
            <a:ext cx="0" cy="336540"/>
          </a:xfrm>
          <a:prstGeom prst="line">
            <a:avLst/>
          </a:prstGeom>
          <a:noFill/>
          <a:ln w="1">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341102" name="Line 37">
            <a:extLst>
              <a:ext uri="{FF2B5EF4-FFF2-40B4-BE49-F238E27FC236}">
                <a16:creationId xmlns:a16="http://schemas.microsoft.com/office/drawing/2014/main" id="{00000000-0008-0000-0100-00006E97A402}"/>
              </a:ext>
            </a:extLst>
          </xdr:cNvPr>
          <xdr:cNvSpPr>
            <a:spLocks noChangeShapeType="1"/>
          </xdr:cNvSpPr>
        </xdr:nvSpPr>
        <xdr:spPr bwMode="auto">
          <a:xfrm>
            <a:off x="37532175" y="6321612"/>
            <a:ext cx="0" cy="336540"/>
          </a:xfrm>
          <a:prstGeom prst="line">
            <a:avLst/>
          </a:prstGeom>
          <a:noFill/>
          <a:ln w="1">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grpSp>
        <xdr:nvGrpSpPr>
          <xdr:cNvPr id="44341103" name="Group 54">
            <a:extLst>
              <a:ext uri="{FF2B5EF4-FFF2-40B4-BE49-F238E27FC236}">
                <a16:creationId xmlns:a16="http://schemas.microsoft.com/office/drawing/2014/main" id="{00000000-0008-0000-0100-00006F97A402}"/>
              </a:ext>
            </a:extLst>
          </xdr:cNvPr>
          <xdr:cNvGrpSpPr>
            <a:grpSpLocks/>
          </xdr:cNvGrpSpPr>
        </xdr:nvGrpSpPr>
        <xdr:grpSpPr bwMode="auto">
          <a:xfrm>
            <a:off x="29428647" y="2506788"/>
            <a:ext cx="0" cy="532855"/>
            <a:chOff x="4639" y="1255"/>
            <a:chExt cx="0" cy="57"/>
          </a:xfrm>
        </xdr:grpSpPr>
        <xdr:sp macro="" textlink="">
          <xdr:nvSpPr>
            <xdr:cNvPr id="44341237" name="Line 55">
              <a:extLst>
                <a:ext uri="{FF2B5EF4-FFF2-40B4-BE49-F238E27FC236}">
                  <a16:creationId xmlns:a16="http://schemas.microsoft.com/office/drawing/2014/main" id="{00000000-0008-0000-0100-0000F597A402}"/>
                </a:ext>
              </a:extLst>
            </xdr:cNvPr>
            <xdr:cNvSpPr>
              <a:spLocks noChangeShapeType="1"/>
            </xdr:cNvSpPr>
          </xdr:nvSpPr>
          <xdr:spPr bwMode="auto">
            <a:xfrm flipV="1">
              <a:off x="4639" y="1255"/>
              <a:ext cx="0" cy="28"/>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1238" name="Line 56">
              <a:extLst>
                <a:ext uri="{FF2B5EF4-FFF2-40B4-BE49-F238E27FC236}">
                  <a16:creationId xmlns:a16="http://schemas.microsoft.com/office/drawing/2014/main" id="{00000000-0008-0000-0100-0000F697A402}"/>
                </a:ext>
              </a:extLst>
            </xdr:cNvPr>
            <xdr:cNvSpPr>
              <a:spLocks noChangeShapeType="1"/>
            </xdr:cNvSpPr>
          </xdr:nvSpPr>
          <xdr:spPr bwMode="auto">
            <a:xfrm>
              <a:off x="4639" y="1283"/>
              <a:ext cx="0" cy="29"/>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grpSp>
        <xdr:nvGrpSpPr>
          <xdr:cNvPr id="44341104" name="Group 64">
            <a:extLst>
              <a:ext uri="{FF2B5EF4-FFF2-40B4-BE49-F238E27FC236}">
                <a16:creationId xmlns:a16="http://schemas.microsoft.com/office/drawing/2014/main" id="{00000000-0008-0000-0100-00007097A402}"/>
              </a:ext>
            </a:extLst>
          </xdr:cNvPr>
          <xdr:cNvGrpSpPr>
            <a:grpSpLocks/>
          </xdr:cNvGrpSpPr>
        </xdr:nvGrpSpPr>
        <xdr:grpSpPr bwMode="auto">
          <a:xfrm>
            <a:off x="30808953" y="3956484"/>
            <a:ext cx="12" cy="373933"/>
            <a:chOff x="-237989" y="1358"/>
            <a:chExt cx="12" cy="40"/>
          </a:xfrm>
        </xdr:grpSpPr>
        <xdr:sp macro="" textlink="">
          <xdr:nvSpPr>
            <xdr:cNvPr id="44341235" name="Line 65">
              <a:extLst>
                <a:ext uri="{FF2B5EF4-FFF2-40B4-BE49-F238E27FC236}">
                  <a16:creationId xmlns:a16="http://schemas.microsoft.com/office/drawing/2014/main" id="{00000000-0008-0000-0100-0000F397A402}"/>
                </a:ext>
              </a:extLst>
            </xdr:cNvPr>
            <xdr:cNvSpPr>
              <a:spLocks noChangeShapeType="1"/>
            </xdr:cNvSpPr>
          </xdr:nvSpPr>
          <xdr:spPr bwMode="auto">
            <a:xfrm flipV="1">
              <a:off x="-237989" y="1358"/>
              <a:ext cx="0" cy="22"/>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1236" name="Line 66">
              <a:extLst>
                <a:ext uri="{FF2B5EF4-FFF2-40B4-BE49-F238E27FC236}">
                  <a16:creationId xmlns:a16="http://schemas.microsoft.com/office/drawing/2014/main" id="{00000000-0008-0000-0100-0000F497A402}"/>
                </a:ext>
              </a:extLst>
            </xdr:cNvPr>
            <xdr:cNvSpPr>
              <a:spLocks noChangeShapeType="1"/>
            </xdr:cNvSpPr>
          </xdr:nvSpPr>
          <xdr:spPr bwMode="auto">
            <a:xfrm>
              <a:off x="-237977" y="1380"/>
              <a:ext cx="0" cy="18"/>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sp macro="" textlink="">
        <xdr:nvSpPr>
          <xdr:cNvPr id="44341105" name="Line 72">
            <a:extLst>
              <a:ext uri="{FF2B5EF4-FFF2-40B4-BE49-F238E27FC236}">
                <a16:creationId xmlns:a16="http://schemas.microsoft.com/office/drawing/2014/main" id="{00000000-0008-0000-0100-00007197A402}"/>
              </a:ext>
            </a:extLst>
          </xdr:cNvPr>
          <xdr:cNvSpPr>
            <a:spLocks noChangeShapeType="1"/>
          </xdr:cNvSpPr>
        </xdr:nvSpPr>
        <xdr:spPr bwMode="auto">
          <a:xfrm>
            <a:off x="28957055" y="6349657"/>
            <a:ext cx="0" cy="317843"/>
          </a:xfrm>
          <a:prstGeom prst="line">
            <a:avLst/>
          </a:prstGeom>
          <a:noFill/>
          <a:ln w="1">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grpSp>
        <xdr:nvGrpSpPr>
          <xdr:cNvPr id="44341106" name="Group 102">
            <a:extLst>
              <a:ext uri="{FF2B5EF4-FFF2-40B4-BE49-F238E27FC236}">
                <a16:creationId xmlns:a16="http://schemas.microsoft.com/office/drawing/2014/main" id="{00000000-0008-0000-0100-00007297A402}"/>
              </a:ext>
            </a:extLst>
          </xdr:cNvPr>
          <xdr:cNvGrpSpPr>
            <a:grpSpLocks/>
          </xdr:cNvGrpSpPr>
        </xdr:nvGrpSpPr>
        <xdr:grpSpPr bwMode="auto">
          <a:xfrm>
            <a:off x="28798083" y="5377430"/>
            <a:ext cx="0" cy="364585"/>
            <a:chOff x="4558" y="1510"/>
            <a:chExt cx="0" cy="39"/>
          </a:xfrm>
        </xdr:grpSpPr>
        <xdr:sp macro="" textlink="">
          <xdr:nvSpPr>
            <xdr:cNvPr id="44341233" name="Line 103">
              <a:extLst>
                <a:ext uri="{FF2B5EF4-FFF2-40B4-BE49-F238E27FC236}">
                  <a16:creationId xmlns:a16="http://schemas.microsoft.com/office/drawing/2014/main" id="{00000000-0008-0000-0100-0000F197A402}"/>
                </a:ext>
              </a:extLst>
            </xdr:cNvPr>
            <xdr:cNvSpPr>
              <a:spLocks noChangeShapeType="1"/>
            </xdr:cNvSpPr>
          </xdr:nvSpPr>
          <xdr:spPr bwMode="auto">
            <a:xfrm flipH="1" flipV="1">
              <a:off x="4558" y="1510"/>
              <a:ext cx="0" cy="20"/>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1234" name="Line 104">
              <a:extLst>
                <a:ext uri="{FF2B5EF4-FFF2-40B4-BE49-F238E27FC236}">
                  <a16:creationId xmlns:a16="http://schemas.microsoft.com/office/drawing/2014/main" id="{00000000-0008-0000-0100-0000F297A402}"/>
                </a:ext>
              </a:extLst>
            </xdr:cNvPr>
            <xdr:cNvSpPr>
              <a:spLocks noChangeShapeType="1"/>
            </xdr:cNvSpPr>
          </xdr:nvSpPr>
          <xdr:spPr bwMode="auto">
            <a:xfrm flipH="1">
              <a:off x="4558" y="1530"/>
              <a:ext cx="0" cy="19"/>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grpSp>
        <xdr:nvGrpSpPr>
          <xdr:cNvPr id="44341107" name="Group 1504">
            <a:extLst>
              <a:ext uri="{FF2B5EF4-FFF2-40B4-BE49-F238E27FC236}">
                <a16:creationId xmlns:a16="http://schemas.microsoft.com/office/drawing/2014/main" id="{00000000-0008-0000-0100-00007397A402}"/>
              </a:ext>
            </a:extLst>
          </xdr:cNvPr>
          <xdr:cNvGrpSpPr>
            <a:grpSpLocks/>
          </xdr:cNvGrpSpPr>
        </xdr:nvGrpSpPr>
        <xdr:grpSpPr bwMode="auto">
          <a:xfrm>
            <a:off x="36446084" y="4442597"/>
            <a:ext cx="187024" cy="177618"/>
            <a:chOff x="5282" y="1410"/>
            <a:chExt cx="20" cy="19"/>
          </a:xfrm>
        </xdr:grpSpPr>
        <xdr:sp macro="" textlink="">
          <xdr:nvSpPr>
            <xdr:cNvPr id="44341229" name="Oval 1505">
              <a:extLst>
                <a:ext uri="{FF2B5EF4-FFF2-40B4-BE49-F238E27FC236}">
                  <a16:creationId xmlns:a16="http://schemas.microsoft.com/office/drawing/2014/main" id="{00000000-0008-0000-0100-0000ED97A402}"/>
                </a:ext>
              </a:extLst>
            </xdr:cNvPr>
            <xdr:cNvSpPr>
              <a:spLocks noChangeArrowheads="1"/>
            </xdr:cNvSpPr>
          </xdr:nvSpPr>
          <xdr:spPr bwMode="auto">
            <a:xfrm>
              <a:off x="5282" y="1410"/>
              <a:ext cx="20" cy="19"/>
            </a:xfrm>
            <a:prstGeom prst="ellipse">
              <a:avLst/>
            </a:prstGeom>
            <a:solidFill>
              <a:srgbClr val="EAEAEA"/>
            </a:solidFill>
            <a:ln w="1">
              <a:solidFill>
                <a:srgbClr val="333333"/>
              </a:solidFill>
              <a:round/>
              <a:headEnd/>
              <a:tailEnd/>
            </a:ln>
          </xdr:spPr>
        </xdr:sp>
        <xdr:sp macro="" textlink="">
          <xdr:nvSpPr>
            <xdr:cNvPr id="44341230" name="Line 1506">
              <a:extLst>
                <a:ext uri="{FF2B5EF4-FFF2-40B4-BE49-F238E27FC236}">
                  <a16:creationId xmlns:a16="http://schemas.microsoft.com/office/drawing/2014/main" id="{00000000-0008-0000-0100-0000EE97A402}"/>
                </a:ext>
              </a:extLst>
            </xdr:cNvPr>
            <xdr:cNvSpPr>
              <a:spLocks noChangeShapeType="1"/>
            </xdr:cNvSpPr>
          </xdr:nvSpPr>
          <xdr:spPr bwMode="auto">
            <a:xfrm flipH="1" flipV="1">
              <a:off x="5284" y="1414"/>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231" name="Line 1507">
              <a:extLst>
                <a:ext uri="{FF2B5EF4-FFF2-40B4-BE49-F238E27FC236}">
                  <a16:creationId xmlns:a16="http://schemas.microsoft.com/office/drawing/2014/main" id="{00000000-0008-0000-0100-0000EF97A402}"/>
                </a:ext>
              </a:extLst>
            </xdr:cNvPr>
            <xdr:cNvSpPr>
              <a:spLocks noChangeShapeType="1"/>
            </xdr:cNvSpPr>
          </xdr:nvSpPr>
          <xdr:spPr bwMode="auto">
            <a:xfrm flipH="1">
              <a:off x="5284" y="1420"/>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232" name="Oval 1508">
              <a:extLst>
                <a:ext uri="{FF2B5EF4-FFF2-40B4-BE49-F238E27FC236}">
                  <a16:creationId xmlns:a16="http://schemas.microsoft.com/office/drawing/2014/main" id="{00000000-0008-0000-0100-0000F097A402}"/>
                </a:ext>
              </a:extLst>
            </xdr:cNvPr>
            <xdr:cNvSpPr>
              <a:spLocks noChangeArrowheads="1"/>
            </xdr:cNvSpPr>
          </xdr:nvSpPr>
          <xdr:spPr bwMode="auto">
            <a:xfrm>
              <a:off x="5289" y="1413"/>
              <a:ext cx="2" cy="1"/>
            </a:xfrm>
            <a:prstGeom prst="ellipse">
              <a:avLst/>
            </a:prstGeom>
            <a:solidFill>
              <a:srgbClr val="EAEAEA"/>
            </a:solidFill>
            <a:ln w="9525">
              <a:solidFill>
                <a:srgbClr val="333333"/>
              </a:solidFill>
              <a:round/>
              <a:headEnd/>
              <a:tailEnd/>
            </a:ln>
          </xdr:spPr>
        </xdr:sp>
      </xdr:grpSp>
      <xdr:grpSp>
        <xdr:nvGrpSpPr>
          <xdr:cNvPr id="44341108" name="Group 1514">
            <a:extLst>
              <a:ext uri="{FF2B5EF4-FFF2-40B4-BE49-F238E27FC236}">
                <a16:creationId xmlns:a16="http://schemas.microsoft.com/office/drawing/2014/main" id="{00000000-0008-0000-0100-00007497A402}"/>
              </a:ext>
            </a:extLst>
          </xdr:cNvPr>
          <xdr:cNvGrpSpPr>
            <a:grpSpLocks/>
          </xdr:cNvGrpSpPr>
        </xdr:nvGrpSpPr>
        <xdr:grpSpPr bwMode="auto">
          <a:xfrm>
            <a:off x="34898230" y="4432014"/>
            <a:ext cx="187026" cy="177618"/>
            <a:chOff x="5121" y="1410"/>
            <a:chExt cx="20" cy="19"/>
          </a:xfrm>
        </xdr:grpSpPr>
        <xdr:sp macro="" textlink="">
          <xdr:nvSpPr>
            <xdr:cNvPr id="44341225" name="Oval 1515">
              <a:extLst>
                <a:ext uri="{FF2B5EF4-FFF2-40B4-BE49-F238E27FC236}">
                  <a16:creationId xmlns:a16="http://schemas.microsoft.com/office/drawing/2014/main" id="{00000000-0008-0000-0100-0000E997A402}"/>
                </a:ext>
              </a:extLst>
            </xdr:cNvPr>
            <xdr:cNvSpPr>
              <a:spLocks noChangeArrowheads="1"/>
            </xdr:cNvSpPr>
          </xdr:nvSpPr>
          <xdr:spPr bwMode="auto">
            <a:xfrm>
              <a:off x="5121" y="1410"/>
              <a:ext cx="20" cy="19"/>
            </a:xfrm>
            <a:prstGeom prst="ellipse">
              <a:avLst/>
            </a:prstGeom>
            <a:solidFill>
              <a:srgbClr val="EAEAEA"/>
            </a:solidFill>
            <a:ln w="1">
              <a:solidFill>
                <a:srgbClr val="333333"/>
              </a:solidFill>
              <a:round/>
              <a:headEnd/>
              <a:tailEnd/>
            </a:ln>
          </xdr:spPr>
        </xdr:sp>
        <xdr:sp macro="" textlink="">
          <xdr:nvSpPr>
            <xdr:cNvPr id="44341226" name="Line 1516">
              <a:extLst>
                <a:ext uri="{FF2B5EF4-FFF2-40B4-BE49-F238E27FC236}">
                  <a16:creationId xmlns:a16="http://schemas.microsoft.com/office/drawing/2014/main" id="{00000000-0008-0000-0100-0000EA97A402}"/>
                </a:ext>
              </a:extLst>
            </xdr:cNvPr>
            <xdr:cNvSpPr>
              <a:spLocks noChangeShapeType="1"/>
            </xdr:cNvSpPr>
          </xdr:nvSpPr>
          <xdr:spPr bwMode="auto">
            <a:xfrm flipH="1" flipV="1">
              <a:off x="5123" y="1414"/>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227" name="Line 1517">
              <a:extLst>
                <a:ext uri="{FF2B5EF4-FFF2-40B4-BE49-F238E27FC236}">
                  <a16:creationId xmlns:a16="http://schemas.microsoft.com/office/drawing/2014/main" id="{00000000-0008-0000-0100-0000EB97A402}"/>
                </a:ext>
              </a:extLst>
            </xdr:cNvPr>
            <xdr:cNvSpPr>
              <a:spLocks noChangeShapeType="1"/>
            </xdr:cNvSpPr>
          </xdr:nvSpPr>
          <xdr:spPr bwMode="auto">
            <a:xfrm flipH="1">
              <a:off x="5123" y="1420"/>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228" name="Oval 1518">
              <a:extLst>
                <a:ext uri="{FF2B5EF4-FFF2-40B4-BE49-F238E27FC236}">
                  <a16:creationId xmlns:a16="http://schemas.microsoft.com/office/drawing/2014/main" id="{00000000-0008-0000-0100-0000EC97A402}"/>
                </a:ext>
              </a:extLst>
            </xdr:cNvPr>
            <xdr:cNvSpPr>
              <a:spLocks noChangeArrowheads="1"/>
            </xdr:cNvSpPr>
          </xdr:nvSpPr>
          <xdr:spPr bwMode="auto">
            <a:xfrm>
              <a:off x="5128" y="1413"/>
              <a:ext cx="2" cy="1"/>
            </a:xfrm>
            <a:prstGeom prst="ellipse">
              <a:avLst/>
            </a:prstGeom>
            <a:solidFill>
              <a:srgbClr val="EAEAEA"/>
            </a:solidFill>
            <a:ln w="9525">
              <a:solidFill>
                <a:srgbClr val="333333"/>
              </a:solidFill>
              <a:round/>
              <a:headEnd/>
              <a:tailEnd/>
            </a:ln>
          </xdr:spPr>
        </xdr:sp>
      </xdr:grpSp>
      <xdr:grpSp>
        <xdr:nvGrpSpPr>
          <xdr:cNvPr id="44341109" name="Group 1529">
            <a:extLst>
              <a:ext uri="{FF2B5EF4-FFF2-40B4-BE49-F238E27FC236}">
                <a16:creationId xmlns:a16="http://schemas.microsoft.com/office/drawing/2014/main" id="{00000000-0008-0000-0100-00007597A402}"/>
              </a:ext>
            </a:extLst>
          </xdr:cNvPr>
          <xdr:cNvGrpSpPr>
            <a:grpSpLocks/>
          </xdr:cNvGrpSpPr>
        </xdr:nvGrpSpPr>
        <xdr:grpSpPr bwMode="auto">
          <a:xfrm>
            <a:off x="32099536" y="3458720"/>
            <a:ext cx="187026" cy="177618"/>
            <a:chOff x="4902" y="1324"/>
            <a:chExt cx="20" cy="19"/>
          </a:xfrm>
        </xdr:grpSpPr>
        <xdr:sp macro="" textlink="">
          <xdr:nvSpPr>
            <xdr:cNvPr id="44341221" name="Oval 1530">
              <a:extLst>
                <a:ext uri="{FF2B5EF4-FFF2-40B4-BE49-F238E27FC236}">
                  <a16:creationId xmlns:a16="http://schemas.microsoft.com/office/drawing/2014/main" id="{00000000-0008-0000-0100-0000E597A402}"/>
                </a:ext>
              </a:extLst>
            </xdr:cNvPr>
            <xdr:cNvSpPr>
              <a:spLocks noChangeArrowheads="1"/>
            </xdr:cNvSpPr>
          </xdr:nvSpPr>
          <xdr:spPr bwMode="auto">
            <a:xfrm>
              <a:off x="4902" y="1324"/>
              <a:ext cx="20" cy="19"/>
            </a:xfrm>
            <a:prstGeom prst="ellipse">
              <a:avLst/>
            </a:prstGeom>
            <a:solidFill>
              <a:srgbClr val="EAEAEA"/>
            </a:solidFill>
            <a:ln w="1">
              <a:solidFill>
                <a:srgbClr val="333333"/>
              </a:solidFill>
              <a:round/>
              <a:headEnd/>
              <a:tailEnd/>
            </a:ln>
          </xdr:spPr>
        </xdr:sp>
        <xdr:sp macro="" textlink="">
          <xdr:nvSpPr>
            <xdr:cNvPr id="44341222" name="Line 1531">
              <a:extLst>
                <a:ext uri="{FF2B5EF4-FFF2-40B4-BE49-F238E27FC236}">
                  <a16:creationId xmlns:a16="http://schemas.microsoft.com/office/drawing/2014/main" id="{00000000-0008-0000-0100-0000E697A402}"/>
                </a:ext>
              </a:extLst>
            </xdr:cNvPr>
            <xdr:cNvSpPr>
              <a:spLocks noChangeShapeType="1"/>
            </xdr:cNvSpPr>
          </xdr:nvSpPr>
          <xdr:spPr bwMode="auto">
            <a:xfrm flipH="1" flipV="1">
              <a:off x="4904" y="1328"/>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223" name="Line 1532">
              <a:extLst>
                <a:ext uri="{FF2B5EF4-FFF2-40B4-BE49-F238E27FC236}">
                  <a16:creationId xmlns:a16="http://schemas.microsoft.com/office/drawing/2014/main" id="{00000000-0008-0000-0100-0000E797A402}"/>
                </a:ext>
              </a:extLst>
            </xdr:cNvPr>
            <xdr:cNvSpPr>
              <a:spLocks noChangeShapeType="1"/>
            </xdr:cNvSpPr>
          </xdr:nvSpPr>
          <xdr:spPr bwMode="auto">
            <a:xfrm flipH="1">
              <a:off x="4904" y="1334"/>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224" name="Oval 1533">
              <a:extLst>
                <a:ext uri="{FF2B5EF4-FFF2-40B4-BE49-F238E27FC236}">
                  <a16:creationId xmlns:a16="http://schemas.microsoft.com/office/drawing/2014/main" id="{00000000-0008-0000-0100-0000E897A402}"/>
                </a:ext>
              </a:extLst>
            </xdr:cNvPr>
            <xdr:cNvSpPr>
              <a:spLocks noChangeArrowheads="1"/>
            </xdr:cNvSpPr>
          </xdr:nvSpPr>
          <xdr:spPr bwMode="auto">
            <a:xfrm>
              <a:off x="4909" y="1327"/>
              <a:ext cx="2" cy="1"/>
            </a:xfrm>
            <a:prstGeom prst="ellipse">
              <a:avLst/>
            </a:prstGeom>
            <a:solidFill>
              <a:srgbClr val="EAEAEA"/>
            </a:solidFill>
            <a:ln w="9525">
              <a:solidFill>
                <a:srgbClr val="333333"/>
              </a:solidFill>
              <a:round/>
              <a:headEnd/>
              <a:tailEnd/>
            </a:ln>
          </xdr:spPr>
        </xdr:sp>
      </xdr:grpSp>
      <xdr:grpSp>
        <xdr:nvGrpSpPr>
          <xdr:cNvPr id="44341110" name="Group 1534">
            <a:extLst>
              <a:ext uri="{FF2B5EF4-FFF2-40B4-BE49-F238E27FC236}">
                <a16:creationId xmlns:a16="http://schemas.microsoft.com/office/drawing/2014/main" id="{00000000-0008-0000-0100-00007697A402}"/>
              </a:ext>
            </a:extLst>
          </xdr:cNvPr>
          <xdr:cNvGrpSpPr>
            <a:grpSpLocks/>
          </xdr:cNvGrpSpPr>
        </xdr:nvGrpSpPr>
        <xdr:grpSpPr bwMode="auto">
          <a:xfrm>
            <a:off x="31958814" y="4283676"/>
            <a:ext cx="187025" cy="177618"/>
            <a:chOff x="4896" y="1393"/>
            <a:chExt cx="20" cy="19"/>
          </a:xfrm>
        </xdr:grpSpPr>
        <xdr:sp macro="" textlink="">
          <xdr:nvSpPr>
            <xdr:cNvPr id="44341217" name="Oval 1535">
              <a:extLst>
                <a:ext uri="{FF2B5EF4-FFF2-40B4-BE49-F238E27FC236}">
                  <a16:creationId xmlns:a16="http://schemas.microsoft.com/office/drawing/2014/main" id="{00000000-0008-0000-0100-0000E197A402}"/>
                </a:ext>
              </a:extLst>
            </xdr:cNvPr>
            <xdr:cNvSpPr>
              <a:spLocks noChangeArrowheads="1"/>
            </xdr:cNvSpPr>
          </xdr:nvSpPr>
          <xdr:spPr bwMode="auto">
            <a:xfrm>
              <a:off x="4896" y="1393"/>
              <a:ext cx="20" cy="19"/>
            </a:xfrm>
            <a:prstGeom prst="ellipse">
              <a:avLst/>
            </a:prstGeom>
            <a:solidFill>
              <a:srgbClr val="EAEAEA"/>
            </a:solidFill>
            <a:ln w="1">
              <a:solidFill>
                <a:srgbClr val="333333"/>
              </a:solidFill>
              <a:round/>
              <a:headEnd/>
              <a:tailEnd/>
            </a:ln>
          </xdr:spPr>
        </xdr:sp>
        <xdr:sp macro="" textlink="">
          <xdr:nvSpPr>
            <xdr:cNvPr id="44341218" name="Line 1536">
              <a:extLst>
                <a:ext uri="{FF2B5EF4-FFF2-40B4-BE49-F238E27FC236}">
                  <a16:creationId xmlns:a16="http://schemas.microsoft.com/office/drawing/2014/main" id="{00000000-0008-0000-0100-0000E297A402}"/>
                </a:ext>
              </a:extLst>
            </xdr:cNvPr>
            <xdr:cNvSpPr>
              <a:spLocks noChangeShapeType="1"/>
            </xdr:cNvSpPr>
          </xdr:nvSpPr>
          <xdr:spPr bwMode="auto">
            <a:xfrm flipH="1" flipV="1">
              <a:off x="4898" y="1397"/>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219" name="Line 1537">
              <a:extLst>
                <a:ext uri="{FF2B5EF4-FFF2-40B4-BE49-F238E27FC236}">
                  <a16:creationId xmlns:a16="http://schemas.microsoft.com/office/drawing/2014/main" id="{00000000-0008-0000-0100-0000E397A402}"/>
                </a:ext>
              </a:extLst>
            </xdr:cNvPr>
            <xdr:cNvSpPr>
              <a:spLocks noChangeShapeType="1"/>
            </xdr:cNvSpPr>
          </xdr:nvSpPr>
          <xdr:spPr bwMode="auto">
            <a:xfrm flipH="1">
              <a:off x="4898" y="1403"/>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220" name="Oval 1538">
              <a:extLst>
                <a:ext uri="{FF2B5EF4-FFF2-40B4-BE49-F238E27FC236}">
                  <a16:creationId xmlns:a16="http://schemas.microsoft.com/office/drawing/2014/main" id="{00000000-0008-0000-0100-0000E497A402}"/>
                </a:ext>
              </a:extLst>
            </xdr:cNvPr>
            <xdr:cNvSpPr>
              <a:spLocks noChangeArrowheads="1"/>
            </xdr:cNvSpPr>
          </xdr:nvSpPr>
          <xdr:spPr bwMode="auto">
            <a:xfrm>
              <a:off x="4903" y="1396"/>
              <a:ext cx="2" cy="1"/>
            </a:xfrm>
            <a:prstGeom prst="ellipse">
              <a:avLst/>
            </a:prstGeom>
            <a:solidFill>
              <a:srgbClr val="EAEAEA"/>
            </a:solidFill>
            <a:ln w="9525">
              <a:solidFill>
                <a:srgbClr val="333333"/>
              </a:solidFill>
              <a:round/>
              <a:headEnd/>
              <a:tailEnd/>
            </a:ln>
          </xdr:spPr>
        </xdr:sp>
      </xdr:grpSp>
      <xdr:grpSp>
        <xdr:nvGrpSpPr>
          <xdr:cNvPr id="44341111" name="Group 794">
            <a:extLst>
              <a:ext uri="{FF2B5EF4-FFF2-40B4-BE49-F238E27FC236}">
                <a16:creationId xmlns:a16="http://schemas.microsoft.com/office/drawing/2014/main" id="{00000000-0008-0000-0100-00007797A402}"/>
              </a:ext>
            </a:extLst>
          </xdr:cNvPr>
          <xdr:cNvGrpSpPr>
            <a:grpSpLocks/>
          </xdr:cNvGrpSpPr>
        </xdr:nvGrpSpPr>
        <xdr:grpSpPr bwMode="auto">
          <a:xfrm>
            <a:off x="27806847" y="3498228"/>
            <a:ext cx="702570" cy="63671"/>
            <a:chOff x="27806847" y="3498228"/>
            <a:chExt cx="702570" cy="63671"/>
          </a:xfrm>
        </xdr:grpSpPr>
        <xdr:sp macro="" textlink="">
          <xdr:nvSpPr>
            <xdr:cNvPr id="44341215" name="Line 1548">
              <a:extLst>
                <a:ext uri="{FF2B5EF4-FFF2-40B4-BE49-F238E27FC236}">
                  <a16:creationId xmlns:a16="http://schemas.microsoft.com/office/drawing/2014/main" id="{00000000-0008-0000-0100-0000DF97A402}"/>
                </a:ext>
              </a:extLst>
            </xdr:cNvPr>
            <xdr:cNvSpPr>
              <a:spLocks noChangeShapeType="1"/>
            </xdr:cNvSpPr>
          </xdr:nvSpPr>
          <xdr:spPr bwMode="auto">
            <a:xfrm>
              <a:off x="27817422" y="3498228"/>
              <a:ext cx="691995" cy="0"/>
            </a:xfrm>
            <a:prstGeom prst="line">
              <a:avLst/>
            </a:prstGeom>
            <a:noFill/>
            <a:ln w="1">
              <a:solidFill>
                <a:srgbClr val="0000FF"/>
              </a:solidFill>
              <a:round/>
              <a:headEnd/>
              <a:tailEnd type="triangle" w="med" len="med"/>
            </a:ln>
            <a:extLst>
              <a:ext uri="{909E8E84-426E-40DD-AFC4-6F175D3DCCD1}">
                <a14:hiddenFill xmlns:a14="http://schemas.microsoft.com/office/drawing/2010/main">
                  <a:noFill/>
                </a14:hiddenFill>
              </a:ext>
            </a:extLst>
          </xdr:spPr>
        </xdr:sp>
        <xdr:sp macro="" textlink="">
          <xdr:nvSpPr>
            <xdr:cNvPr id="44341216" name="Line 1549">
              <a:extLst>
                <a:ext uri="{FF2B5EF4-FFF2-40B4-BE49-F238E27FC236}">
                  <a16:creationId xmlns:a16="http://schemas.microsoft.com/office/drawing/2014/main" id="{00000000-0008-0000-0100-0000E097A402}"/>
                </a:ext>
              </a:extLst>
            </xdr:cNvPr>
            <xdr:cNvSpPr>
              <a:spLocks noChangeShapeType="1"/>
            </xdr:cNvSpPr>
          </xdr:nvSpPr>
          <xdr:spPr bwMode="auto">
            <a:xfrm flipH="1">
              <a:off x="27806847" y="3561899"/>
              <a:ext cx="682643" cy="0"/>
            </a:xfrm>
            <a:prstGeom prst="line">
              <a:avLst/>
            </a:prstGeom>
            <a:noFill/>
            <a:ln w="0">
              <a:solidFill>
                <a:srgbClr val="0000FF"/>
              </a:solidFill>
              <a:prstDash val="dash"/>
              <a:round/>
              <a:headEnd/>
              <a:tailEnd type="triangle" w="med" len="med"/>
            </a:ln>
            <a:extLst>
              <a:ext uri="{909E8E84-426E-40DD-AFC4-6F175D3DCCD1}">
                <a14:hiddenFill xmlns:a14="http://schemas.microsoft.com/office/drawing/2010/main">
                  <a:noFill/>
                </a14:hiddenFill>
              </a:ext>
            </a:extLst>
          </xdr:spPr>
        </xdr:sp>
      </xdr:grpSp>
      <xdr:grpSp>
        <xdr:nvGrpSpPr>
          <xdr:cNvPr id="44341112" name="Group 1553">
            <a:extLst>
              <a:ext uri="{FF2B5EF4-FFF2-40B4-BE49-F238E27FC236}">
                <a16:creationId xmlns:a16="http://schemas.microsoft.com/office/drawing/2014/main" id="{00000000-0008-0000-0100-00007897A402}"/>
              </a:ext>
            </a:extLst>
          </xdr:cNvPr>
          <xdr:cNvGrpSpPr>
            <a:grpSpLocks/>
          </xdr:cNvGrpSpPr>
        </xdr:nvGrpSpPr>
        <xdr:grpSpPr bwMode="auto">
          <a:xfrm>
            <a:off x="29851343" y="4896617"/>
            <a:ext cx="187025" cy="177618"/>
            <a:chOff x="4596" y="1428"/>
            <a:chExt cx="20" cy="19"/>
          </a:xfrm>
        </xdr:grpSpPr>
        <xdr:sp macro="" textlink="">
          <xdr:nvSpPr>
            <xdr:cNvPr id="44341211" name="Oval 1554">
              <a:extLst>
                <a:ext uri="{FF2B5EF4-FFF2-40B4-BE49-F238E27FC236}">
                  <a16:creationId xmlns:a16="http://schemas.microsoft.com/office/drawing/2014/main" id="{00000000-0008-0000-0100-0000DB97A402}"/>
                </a:ext>
              </a:extLst>
            </xdr:cNvPr>
            <xdr:cNvSpPr>
              <a:spLocks noChangeArrowheads="1"/>
            </xdr:cNvSpPr>
          </xdr:nvSpPr>
          <xdr:spPr bwMode="auto">
            <a:xfrm>
              <a:off x="4596" y="1428"/>
              <a:ext cx="20" cy="19"/>
            </a:xfrm>
            <a:prstGeom prst="ellipse">
              <a:avLst/>
            </a:prstGeom>
            <a:solidFill>
              <a:srgbClr val="EAEAEA"/>
            </a:solidFill>
            <a:ln w="1">
              <a:solidFill>
                <a:srgbClr val="333333"/>
              </a:solidFill>
              <a:round/>
              <a:headEnd/>
              <a:tailEnd/>
            </a:ln>
          </xdr:spPr>
        </xdr:sp>
        <xdr:sp macro="" textlink="">
          <xdr:nvSpPr>
            <xdr:cNvPr id="44341212" name="Line 1555">
              <a:extLst>
                <a:ext uri="{FF2B5EF4-FFF2-40B4-BE49-F238E27FC236}">
                  <a16:creationId xmlns:a16="http://schemas.microsoft.com/office/drawing/2014/main" id="{00000000-0008-0000-0100-0000DC97A402}"/>
                </a:ext>
              </a:extLst>
            </xdr:cNvPr>
            <xdr:cNvSpPr>
              <a:spLocks noChangeShapeType="1"/>
            </xdr:cNvSpPr>
          </xdr:nvSpPr>
          <xdr:spPr bwMode="auto">
            <a:xfrm flipH="1" flipV="1">
              <a:off x="4598" y="1432"/>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213" name="Line 1556">
              <a:extLst>
                <a:ext uri="{FF2B5EF4-FFF2-40B4-BE49-F238E27FC236}">
                  <a16:creationId xmlns:a16="http://schemas.microsoft.com/office/drawing/2014/main" id="{00000000-0008-0000-0100-0000DD97A402}"/>
                </a:ext>
              </a:extLst>
            </xdr:cNvPr>
            <xdr:cNvSpPr>
              <a:spLocks noChangeShapeType="1"/>
            </xdr:cNvSpPr>
          </xdr:nvSpPr>
          <xdr:spPr bwMode="auto">
            <a:xfrm flipH="1">
              <a:off x="4598" y="1438"/>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214" name="Oval 1557">
              <a:extLst>
                <a:ext uri="{FF2B5EF4-FFF2-40B4-BE49-F238E27FC236}">
                  <a16:creationId xmlns:a16="http://schemas.microsoft.com/office/drawing/2014/main" id="{00000000-0008-0000-0100-0000DE97A402}"/>
                </a:ext>
              </a:extLst>
            </xdr:cNvPr>
            <xdr:cNvSpPr>
              <a:spLocks noChangeArrowheads="1"/>
            </xdr:cNvSpPr>
          </xdr:nvSpPr>
          <xdr:spPr bwMode="auto">
            <a:xfrm>
              <a:off x="4603" y="1431"/>
              <a:ext cx="2" cy="1"/>
            </a:xfrm>
            <a:prstGeom prst="ellipse">
              <a:avLst/>
            </a:prstGeom>
            <a:solidFill>
              <a:srgbClr val="EAEAEA"/>
            </a:solidFill>
            <a:ln w="9525">
              <a:solidFill>
                <a:srgbClr val="333333"/>
              </a:solidFill>
              <a:round/>
              <a:headEnd/>
              <a:tailEnd/>
            </a:ln>
          </xdr:spPr>
        </xdr:sp>
      </xdr:grpSp>
      <xdr:grpSp>
        <xdr:nvGrpSpPr>
          <xdr:cNvPr id="44341113" name="Group 1558">
            <a:extLst>
              <a:ext uri="{FF2B5EF4-FFF2-40B4-BE49-F238E27FC236}">
                <a16:creationId xmlns:a16="http://schemas.microsoft.com/office/drawing/2014/main" id="{00000000-0008-0000-0100-00007997A402}"/>
              </a:ext>
            </a:extLst>
          </xdr:cNvPr>
          <xdr:cNvGrpSpPr>
            <a:grpSpLocks/>
          </xdr:cNvGrpSpPr>
        </xdr:nvGrpSpPr>
        <xdr:grpSpPr bwMode="auto">
          <a:xfrm>
            <a:off x="29901533" y="5713970"/>
            <a:ext cx="187025" cy="177618"/>
            <a:chOff x="4676" y="1546"/>
            <a:chExt cx="20" cy="19"/>
          </a:xfrm>
        </xdr:grpSpPr>
        <xdr:sp macro="" textlink="">
          <xdr:nvSpPr>
            <xdr:cNvPr id="44341207" name="Oval 1559">
              <a:extLst>
                <a:ext uri="{FF2B5EF4-FFF2-40B4-BE49-F238E27FC236}">
                  <a16:creationId xmlns:a16="http://schemas.microsoft.com/office/drawing/2014/main" id="{00000000-0008-0000-0100-0000D797A402}"/>
                </a:ext>
              </a:extLst>
            </xdr:cNvPr>
            <xdr:cNvSpPr>
              <a:spLocks noChangeArrowheads="1"/>
            </xdr:cNvSpPr>
          </xdr:nvSpPr>
          <xdr:spPr bwMode="auto">
            <a:xfrm>
              <a:off x="4676" y="1546"/>
              <a:ext cx="20" cy="19"/>
            </a:xfrm>
            <a:prstGeom prst="ellipse">
              <a:avLst/>
            </a:prstGeom>
            <a:solidFill>
              <a:srgbClr val="EAEAEA"/>
            </a:solidFill>
            <a:ln w="1">
              <a:solidFill>
                <a:srgbClr val="333333"/>
              </a:solidFill>
              <a:round/>
              <a:headEnd/>
              <a:tailEnd/>
            </a:ln>
          </xdr:spPr>
        </xdr:sp>
        <xdr:sp macro="" textlink="">
          <xdr:nvSpPr>
            <xdr:cNvPr id="44341208" name="Line 1560">
              <a:extLst>
                <a:ext uri="{FF2B5EF4-FFF2-40B4-BE49-F238E27FC236}">
                  <a16:creationId xmlns:a16="http://schemas.microsoft.com/office/drawing/2014/main" id="{00000000-0008-0000-0100-0000D897A402}"/>
                </a:ext>
              </a:extLst>
            </xdr:cNvPr>
            <xdr:cNvSpPr>
              <a:spLocks noChangeShapeType="1"/>
            </xdr:cNvSpPr>
          </xdr:nvSpPr>
          <xdr:spPr bwMode="auto">
            <a:xfrm flipH="1" flipV="1">
              <a:off x="4678" y="1550"/>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209" name="Line 1561">
              <a:extLst>
                <a:ext uri="{FF2B5EF4-FFF2-40B4-BE49-F238E27FC236}">
                  <a16:creationId xmlns:a16="http://schemas.microsoft.com/office/drawing/2014/main" id="{00000000-0008-0000-0100-0000D997A402}"/>
                </a:ext>
              </a:extLst>
            </xdr:cNvPr>
            <xdr:cNvSpPr>
              <a:spLocks noChangeShapeType="1"/>
            </xdr:cNvSpPr>
          </xdr:nvSpPr>
          <xdr:spPr bwMode="auto">
            <a:xfrm flipH="1">
              <a:off x="4678" y="1556"/>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210" name="Oval 1562">
              <a:extLst>
                <a:ext uri="{FF2B5EF4-FFF2-40B4-BE49-F238E27FC236}">
                  <a16:creationId xmlns:a16="http://schemas.microsoft.com/office/drawing/2014/main" id="{00000000-0008-0000-0100-0000DA97A402}"/>
                </a:ext>
              </a:extLst>
            </xdr:cNvPr>
            <xdr:cNvSpPr>
              <a:spLocks noChangeArrowheads="1"/>
            </xdr:cNvSpPr>
          </xdr:nvSpPr>
          <xdr:spPr bwMode="auto">
            <a:xfrm>
              <a:off x="4683" y="1549"/>
              <a:ext cx="2" cy="1"/>
            </a:xfrm>
            <a:prstGeom prst="ellipse">
              <a:avLst/>
            </a:prstGeom>
            <a:solidFill>
              <a:srgbClr val="EAEAEA"/>
            </a:solidFill>
            <a:ln w="9525">
              <a:solidFill>
                <a:srgbClr val="333333"/>
              </a:solidFill>
              <a:round/>
              <a:headEnd/>
              <a:tailEnd/>
            </a:ln>
          </xdr:spPr>
        </xdr:sp>
      </xdr:grpSp>
      <xdr:grpSp>
        <xdr:nvGrpSpPr>
          <xdr:cNvPr id="44341114" name="Group 1564">
            <a:extLst>
              <a:ext uri="{FF2B5EF4-FFF2-40B4-BE49-F238E27FC236}">
                <a16:creationId xmlns:a16="http://schemas.microsoft.com/office/drawing/2014/main" id="{00000000-0008-0000-0100-00007A97A402}"/>
              </a:ext>
            </a:extLst>
          </xdr:cNvPr>
          <xdr:cNvGrpSpPr>
            <a:grpSpLocks/>
          </xdr:cNvGrpSpPr>
        </xdr:nvGrpSpPr>
        <xdr:grpSpPr bwMode="auto">
          <a:xfrm>
            <a:off x="31468017" y="2496205"/>
            <a:ext cx="0" cy="532855"/>
            <a:chOff x="4865" y="1255"/>
            <a:chExt cx="0" cy="57"/>
          </a:xfrm>
        </xdr:grpSpPr>
        <xdr:sp macro="" textlink="">
          <xdr:nvSpPr>
            <xdr:cNvPr id="44341205" name="Line 1565">
              <a:extLst>
                <a:ext uri="{FF2B5EF4-FFF2-40B4-BE49-F238E27FC236}">
                  <a16:creationId xmlns:a16="http://schemas.microsoft.com/office/drawing/2014/main" id="{00000000-0008-0000-0100-0000D597A402}"/>
                </a:ext>
              </a:extLst>
            </xdr:cNvPr>
            <xdr:cNvSpPr>
              <a:spLocks noChangeShapeType="1"/>
            </xdr:cNvSpPr>
          </xdr:nvSpPr>
          <xdr:spPr bwMode="auto">
            <a:xfrm flipV="1">
              <a:off x="4865" y="1255"/>
              <a:ext cx="0" cy="28"/>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1206" name="Line 1566">
              <a:extLst>
                <a:ext uri="{FF2B5EF4-FFF2-40B4-BE49-F238E27FC236}">
                  <a16:creationId xmlns:a16="http://schemas.microsoft.com/office/drawing/2014/main" id="{00000000-0008-0000-0100-0000D697A402}"/>
                </a:ext>
              </a:extLst>
            </xdr:cNvPr>
            <xdr:cNvSpPr>
              <a:spLocks noChangeShapeType="1"/>
            </xdr:cNvSpPr>
          </xdr:nvSpPr>
          <xdr:spPr bwMode="auto">
            <a:xfrm>
              <a:off x="4865" y="1283"/>
              <a:ext cx="0" cy="29"/>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grpSp>
        <xdr:nvGrpSpPr>
          <xdr:cNvPr id="44341115" name="Group 1576">
            <a:extLst>
              <a:ext uri="{FF2B5EF4-FFF2-40B4-BE49-F238E27FC236}">
                <a16:creationId xmlns:a16="http://schemas.microsoft.com/office/drawing/2014/main" id="{00000000-0008-0000-0100-00007B97A402}"/>
              </a:ext>
            </a:extLst>
          </xdr:cNvPr>
          <xdr:cNvGrpSpPr>
            <a:grpSpLocks/>
          </xdr:cNvGrpSpPr>
        </xdr:nvGrpSpPr>
        <xdr:grpSpPr bwMode="auto">
          <a:xfrm>
            <a:off x="35786724" y="2197058"/>
            <a:ext cx="0" cy="832001"/>
            <a:chOff x="5311" y="1223"/>
            <a:chExt cx="0" cy="89"/>
          </a:xfrm>
        </xdr:grpSpPr>
        <xdr:sp macro="" textlink="">
          <xdr:nvSpPr>
            <xdr:cNvPr id="44341203" name="Line 1577">
              <a:extLst>
                <a:ext uri="{FF2B5EF4-FFF2-40B4-BE49-F238E27FC236}">
                  <a16:creationId xmlns:a16="http://schemas.microsoft.com/office/drawing/2014/main" id="{00000000-0008-0000-0100-0000D397A402}"/>
                </a:ext>
              </a:extLst>
            </xdr:cNvPr>
            <xdr:cNvSpPr>
              <a:spLocks noChangeShapeType="1"/>
            </xdr:cNvSpPr>
          </xdr:nvSpPr>
          <xdr:spPr bwMode="auto">
            <a:xfrm flipV="1">
              <a:off x="5311" y="1223"/>
              <a:ext cx="0" cy="49"/>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1204" name="Line 1578">
              <a:extLst>
                <a:ext uri="{FF2B5EF4-FFF2-40B4-BE49-F238E27FC236}">
                  <a16:creationId xmlns:a16="http://schemas.microsoft.com/office/drawing/2014/main" id="{00000000-0008-0000-0100-0000D497A402}"/>
                </a:ext>
              </a:extLst>
            </xdr:cNvPr>
            <xdr:cNvSpPr>
              <a:spLocks noChangeShapeType="1"/>
            </xdr:cNvSpPr>
          </xdr:nvSpPr>
          <xdr:spPr bwMode="auto">
            <a:xfrm>
              <a:off x="5311" y="1272"/>
              <a:ext cx="0" cy="40"/>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grpSp>
        <xdr:nvGrpSpPr>
          <xdr:cNvPr id="44341116" name="Group 1579">
            <a:extLst>
              <a:ext uri="{FF2B5EF4-FFF2-40B4-BE49-F238E27FC236}">
                <a16:creationId xmlns:a16="http://schemas.microsoft.com/office/drawing/2014/main" id="{00000000-0008-0000-0100-00007C97A402}"/>
              </a:ext>
            </a:extLst>
          </xdr:cNvPr>
          <xdr:cNvGrpSpPr>
            <a:grpSpLocks/>
          </xdr:cNvGrpSpPr>
        </xdr:nvGrpSpPr>
        <xdr:grpSpPr bwMode="auto">
          <a:xfrm>
            <a:off x="34560572" y="2210110"/>
            <a:ext cx="0" cy="832001"/>
            <a:chOff x="5008" y="1221"/>
            <a:chExt cx="0" cy="89"/>
          </a:xfrm>
        </xdr:grpSpPr>
        <xdr:sp macro="" textlink="">
          <xdr:nvSpPr>
            <xdr:cNvPr id="44341201" name="Line 1580">
              <a:extLst>
                <a:ext uri="{FF2B5EF4-FFF2-40B4-BE49-F238E27FC236}">
                  <a16:creationId xmlns:a16="http://schemas.microsoft.com/office/drawing/2014/main" id="{00000000-0008-0000-0100-0000D197A402}"/>
                </a:ext>
              </a:extLst>
            </xdr:cNvPr>
            <xdr:cNvSpPr>
              <a:spLocks noChangeShapeType="1"/>
            </xdr:cNvSpPr>
          </xdr:nvSpPr>
          <xdr:spPr bwMode="auto">
            <a:xfrm flipV="1">
              <a:off x="5008" y="1221"/>
              <a:ext cx="0" cy="49"/>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1202" name="Line 1581">
              <a:extLst>
                <a:ext uri="{FF2B5EF4-FFF2-40B4-BE49-F238E27FC236}">
                  <a16:creationId xmlns:a16="http://schemas.microsoft.com/office/drawing/2014/main" id="{00000000-0008-0000-0100-0000D297A402}"/>
                </a:ext>
              </a:extLst>
            </xdr:cNvPr>
            <xdr:cNvSpPr>
              <a:spLocks noChangeShapeType="1"/>
            </xdr:cNvSpPr>
          </xdr:nvSpPr>
          <xdr:spPr bwMode="auto">
            <a:xfrm>
              <a:off x="5008" y="1270"/>
              <a:ext cx="0" cy="40"/>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grpSp>
        <xdr:nvGrpSpPr>
          <xdr:cNvPr id="44341117" name="Group 1584">
            <a:extLst>
              <a:ext uri="{FF2B5EF4-FFF2-40B4-BE49-F238E27FC236}">
                <a16:creationId xmlns:a16="http://schemas.microsoft.com/office/drawing/2014/main" id="{00000000-0008-0000-0100-00007D97A402}"/>
              </a:ext>
            </a:extLst>
          </xdr:cNvPr>
          <xdr:cNvGrpSpPr>
            <a:grpSpLocks/>
          </xdr:cNvGrpSpPr>
        </xdr:nvGrpSpPr>
        <xdr:grpSpPr bwMode="auto">
          <a:xfrm>
            <a:off x="37319157" y="2207641"/>
            <a:ext cx="0" cy="832001"/>
            <a:chOff x="5399" y="1223"/>
            <a:chExt cx="0" cy="89"/>
          </a:xfrm>
        </xdr:grpSpPr>
        <xdr:sp macro="" textlink="">
          <xdr:nvSpPr>
            <xdr:cNvPr id="44341199" name="Line 1585">
              <a:extLst>
                <a:ext uri="{FF2B5EF4-FFF2-40B4-BE49-F238E27FC236}">
                  <a16:creationId xmlns:a16="http://schemas.microsoft.com/office/drawing/2014/main" id="{00000000-0008-0000-0100-0000CF97A402}"/>
                </a:ext>
              </a:extLst>
            </xdr:cNvPr>
            <xdr:cNvSpPr>
              <a:spLocks noChangeShapeType="1"/>
            </xdr:cNvSpPr>
          </xdr:nvSpPr>
          <xdr:spPr bwMode="auto">
            <a:xfrm flipV="1">
              <a:off x="5399" y="1223"/>
              <a:ext cx="0" cy="49"/>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1200" name="Line 1586">
              <a:extLst>
                <a:ext uri="{FF2B5EF4-FFF2-40B4-BE49-F238E27FC236}">
                  <a16:creationId xmlns:a16="http://schemas.microsoft.com/office/drawing/2014/main" id="{00000000-0008-0000-0100-0000D097A402}"/>
                </a:ext>
              </a:extLst>
            </xdr:cNvPr>
            <xdr:cNvSpPr>
              <a:spLocks noChangeShapeType="1"/>
            </xdr:cNvSpPr>
          </xdr:nvSpPr>
          <xdr:spPr bwMode="auto">
            <a:xfrm>
              <a:off x="5399" y="1272"/>
              <a:ext cx="0" cy="40"/>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sp macro="" textlink="">
        <xdr:nvSpPr>
          <xdr:cNvPr id="44341118" name="Line 1622">
            <a:extLst>
              <a:ext uri="{FF2B5EF4-FFF2-40B4-BE49-F238E27FC236}">
                <a16:creationId xmlns:a16="http://schemas.microsoft.com/office/drawing/2014/main" id="{00000000-0008-0000-0100-00007E97A402}"/>
              </a:ext>
            </a:extLst>
          </xdr:cNvPr>
          <xdr:cNvSpPr>
            <a:spLocks noChangeShapeType="1"/>
          </xdr:cNvSpPr>
        </xdr:nvSpPr>
        <xdr:spPr bwMode="auto">
          <a:xfrm flipH="1">
            <a:off x="30976930" y="4779137"/>
            <a:ext cx="0" cy="1888363"/>
          </a:xfrm>
          <a:prstGeom prst="line">
            <a:avLst/>
          </a:prstGeom>
          <a:noFill/>
          <a:ln w="1">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341119" name="Line 1493">
            <a:extLst>
              <a:ext uri="{FF2B5EF4-FFF2-40B4-BE49-F238E27FC236}">
                <a16:creationId xmlns:a16="http://schemas.microsoft.com/office/drawing/2014/main" id="{00000000-0008-0000-0100-00007F97A402}"/>
              </a:ext>
            </a:extLst>
          </xdr:cNvPr>
          <xdr:cNvSpPr>
            <a:spLocks noChangeShapeType="1"/>
          </xdr:cNvSpPr>
        </xdr:nvSpPr>
        <xdr:spPr bwMode="auto">
          <a:xfrm flipV="1">
            <a:off x="27788144" y="1993335"/>
            <a:ext cx="710697" cy="0"/>
          </a:xfrm>
          <a:prstGeom prst="line">
            <a:avLst/>
          </a:prstGeom>
          <a:noFill/>
          <a:ln w="17145">
            <a:solidFill>
              <a:srgbClr val="008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1120" name="Line 1552">
            <a:extLst>
              <a:ext uri="{FF2B5EF4-FFF2-40B4-BE49-F238E27FC236}">
                <a16:creationId xmlns:a16="http://schemas.microsoft.com/office/drawing/2014/main" id="{00000000-0008-0000-0100-00008097A402}"/>
              </a:ext>
            </a:extLst>
          </xdr:cNvPr>
          <xdr:cNvSpPr>
            <a:spLocks noChangeShapeType="1"/>
          </xdr:cNvSpPr>
        </xdr:nvSpPr>
        <xdr:spPr bwMode="auto">
          <a:xfrm flipV="1">
            <a:off x="27790592" y="4050139"/>
            <a:ext cx="708251" cy="3278"/>
          </a:xfrm>
          <a:prstGeom prst="line">
            <a:avLst/>
          </a:prstGeom>
          <a:noFill/>
          <a:ln w="17145">
            <a:solidFill>
              <a:srgbClr val="008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1121" name="Line 1633">
            <a:extLst>
              <a:ext uri="{FF2B5EF4-FFF2-40B4-BE49-F238E27FC236}">
                <a16:creationId xmlns:a16="http://schemas.microsoft.com/office/drawing/2014/main" id="{00000000-0008-0000-0100-00008197A402}"/>
              </a:ext>
            </a:extLst>
          </xdr:cNvPr>
          <xdr:cNvSpPr>
            <a:spLocks noChangeShapeType="1"/>
          </xdr:cNvSpPr>
        </xdr:nvSpPr>
        <xdr:spPr bwMode="auto">
          <a:xfrm>
            <a:off x="27805623" y="3889277"/>
            <a:ext cx="2796032" cy="0"/>
          </a:xfrm>
          <a:prstGeom prst="line">
            <a:avLst/>
          </a:prstGeom>
          <a:noFill/>
          <a:ln w="19050">
            <a:solidFill>
              <a:srgbClr val="008000"/>
            </a:solidFill>
            <a:round/>
            <a:headEnd/>
            <a:tailEnd type="triangle" w="med" len="med"/>
          </a:ln>
          <a:extLst>
            <a:ext uri="{909E8E84-426E-40DD-AFC4-6F175D3DCCD1}">
              <a14:hiddenFill xmlns:a14="http://schemas.microsoft.com/office/drawing/2010/main">
                <a:noFill/>
              </a14:hiddenFill>
            </a:ext>
          </a:extLst>
        </xdr:spPr>
      </xdr:sp>
      <xdr:grpSp>
        <xdr:nvGrpSpPr>
          <xdr:cNvPr id="44341122" name="Group 805">
            <a:extLst>
              <a:ext uri="{FF2B5EF4-FFF2-40B4-BE49-F238E27FC236}">
                <a16:creationId xmlns:a16="http://schemas.microsoft.com/office/drawing/2014/main" id="{00000000-0008-0000-0100-00008297A402}"/>
              </a:ext>
            </a:extLst>
          </xdr:cNvPr>
          <xdr:cNvGrpSpPr>
            <a:grpSpLocks/>
          </xdr:cNvGrpSpPr>
        </xdr:nvGrpSpPr>
        <xdr:grpSpPr bwMode="auto">
          <a:xfrm>
            <a:off x="27778793" y="1357648"/>
            <a:ext cx="710697" cy="158922"/>
            <a:chOff x="27778793" y="1357648"/>
            <a:chExt cx="710697" cy="158922"/>
          </a:xfrm>
        </xdr:grpSpPr>
        <xdr:sp macro="" textlink="">
          <xdr:nvSpPr>
            <xdr:cNvPr id="44341197" name="Line 1658">
              <a:extLst>
                <a:ext uri="{FF2B5EF4-FFF2-40B4-BE49-F238E27FC236}">
                  <a16:creationId xmlns:a16="http://schemas.microsoft.com/office/drawing/2014/main" id="{00000000-0008-0000-0100-0000CD97A402}"/>
                </a:ext>
              </a:extLst>
            </xdr:cNvPr>
            <xdr:cNvSpPr>
              <a:spLocks noChangeShapeType="1"/>
            </xdr:cNvSpPr>
          </xdr:nvSpPr>
          <xdr:spPr bwMode="auto">
            <a:xfrm>
              <a:off x="27797495" y="1357648"/>
              <a:ext cx="691995" cy="0"/>
            </a:xfrm>
            <a:prstGeom prst="line">
              <a:avLst/>
            </a:prstGeom>
            <a:noFill/>
            <a:ln w="1">
              <a:solidFill>
                <a:srgbClr val="0000FF"/>
              </a:solidFill>
              <a:round/>
              <a:headEnd/>
              <a:tailEnd type="triangle" w="med" len="med"/>
            </a:ln>
            <a:extLst>
              <a:ext uri="{909E8E84-426E-40DD-AFC4-6F175D3DCCD1}">
                <a14:hiddenFill xmlns:a14="http://schemas.microsoft.com/office/drawing/2010/main">
                  <a:noFill/>
                </a14:hiddenFill>
              </a:ext>
            </a:extLst>
          </xdr:spPr>
        </xdr:sp>
        <xdr:sp macro="" textlink="">
          <xdr:nvSpPr>
            <xdr:cNvPr id="44341198" name="Line 1659">
              <a:extLst>
                <a:ext uri="{FF2B5EF4-FFF2-40B4-BE49-F238E27FC236}">
                  <a16:creationId xmlns:a16="http://schemas.microsoft.com/office/drawing/2014/main" id="{00000000-0008-0000-0100-0000CE97A402}"/>
                </a:ext>
              </a:extLst>
            </xdr:cNvPr>
            <xdr:cNvSpPr>
              <a:spLocks noChangeShapeType="1"/>
            </xdr:cNvSpPr>
          </xdr:nvSpPr>
          <xdr:spPr bwMode="auto">
            <a:xfrm flipH="1">
              <a:off x="27778793" y="1516570"/>
              <a:ext cx="691995" cy="0"/>
            </a:xfrm>
            <a:prstGeom prst="line">
              <a:avLst/>
            </a:prstGeom>
            <a:noFill/>
            <a:ln w="0">
              <a:solidFill>
                <a:srgbClr val="0000FF"/>
              </a:solidFill>
              <a:prstDash val="dash"/>
              <a:round/>
              <a:headEnd/>
              <a:tailEnd type="triangle" w="med" len="med"/>
            </a:ln>
            <a:extLst>
              <a:ext uri="{909E8E84-426E-40DD-AFC4-6F175D3DCCD1}">
                <a14:hiddenFill xmlns:a14="http://schemas.microsoft.com/office/drawing/2010/main">
                  <a:noFill/>
                </a14:hiddenFill>
              </a:ext>
            </a:extLst>
          </xdr:spPr>
        </xdr:sp>
      </xdr:grpSp>
      <xdr:grpSp>
        <xdr:nvGrpSpPr>
          <xdr:cNvPr id="44341123" name="Group 1760">
            <a:extLst>
              <a:ext uri="{FF2B5EF4-FFF2-40B4-BE49-F238E27FC236}">
                <a16:creationId xmlns:a16="http://schemas.microsoft.com/office/drawing/2014/main" id="{00000000-0008-0000-0100-00008397A402}"/>
              </a:ext>
            </a:extLst>
          </xdr:cNvPr>
          <xdr:cNvGrpSpPr>
            <a:grpSpLocks/>
          </xdr:cNvGrpSpPr>
        </xdr:nvGrpSpPr>
        <xdr:grpSpPr bwMode="auto">
          <a:xfrm>
            <a:off x="33417614" y="5470914"/>
            <a:ext cx="5451794" cy="317843"/>
            <a:chOff x="5052" y="1520"/>
            <a:chExt cx="583" cy="34"/>
          </a:xfrm>
        </xdr:grpSpPr>
        <xdr:sp macro="" textlink="">
          <xdr:nvSpPr>
            <xdr:cNvPr id="44341194" name="Line 1757">
              <a:extLst>
                <a:ext uri="{FF2B5EF4-FFF2-40B4-BE49-F238E27FC236}">
                  <a16:creationId xmlns:a16="http://schemas.microsoft.com/office/drawing/2014/main" id="{00000000-0008-0000-0100-0000CA97A402}"/>
                </a:ext>
              </a:extLst>
            </xdr:cNvPr>
            <xdr:cNvSpPr>
              <a:spLocks noChangeShapeType="1"/>
            </xdr:cNvSpPr>
          </xdr:nvSpPr>
          <xdr:spPr bwMode="auto">
            <a:xfrm flipH="1">
              <a:off x="5518" y="1520"/>
              <a:ext cx="116" cy="0"/>
            </a:xfrm>
            <a:prstGeom prst="line">
              <a:avLst/>
            </a:prstGeom>
            <a:noFill/>
            <a:ln w="17145">
              <a:solidFill>
                <a:srgbClr val="008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1195" name="Line 1758">
              <a:extLst>
                <a:ext uri="{FF2B5EF4-FFF2-40B4-BE49-F238E27FC236}">
                  <a16:creationId xmlns:a16="http://schemas.microsoft.com/office/drawing/2014/main" id="{00000000-0008-0000-0100-0000CB97A402}"/>
                </a:ext>
              </a:extLst>
            </xdr:cNvPr>
            <xdr:cNvSpPr>
              <a:spLocks noChangeShapeType="1"/>
            </xdr:cNvSpPr>
          </xdr:nvSpPr>
          <xdr:spPr bwMode="auto">
            <a:xfrm flipH="1" flipV="1">
              <a:off x="5352" y="1537"/>
              <a:ext cx="282" cy="0"/>
            </a:xfrm>
            <a:prstGeom prst="line">
              <a:avLst/>
            </a:prstGeom>
            <a:noFill/>
            <a:ln w="17145">
              <a:solidFill>
                <a:srgbClr val="008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1196" name="Line 1759">
              <a:extLst>
                <a:ext uri="{FF2B5EF4-FFF2-40B4-BE49-F238E27FC236}">
                  <a16:creationId xmlns:a16="http://schemas.microsoft.com/office/drawing/2014/main" id="{00000000-0008-0000-0100-0000CC97A402}"/>
                </a:ext>
              </a:extLst>
            </xdr:cNvPr>
            <xdr:cNvSpPr>
              <a:spLocks noChangeShapeType="1"/>
            </xdr:cNvSpPr>
          </xdr:nvSpPr>
          <xdr:spPr bwMode="auto">
            <a:xfrm flipH="1">
              <a:off x="5052" y="1554"/>
              <a:ext cx="583" cy="0"/>
            </a:xfrm>
            <a:prstGeom prst="line">
              <a:avLst/>
            </a:prstGeom>
            <a:noFill/>
            <a:ln w="17145">
              <a:solidFill>
                <a:srgbClr val="008000"/>
              </a:solidFill>
              <a:round/>
              <a:headEnd/>
              <a:tailEnd type="triangle" w="med" len="med"/>
            </a:ln>
            <a:extLst>
              <a:ext uri="{909E8E84-426E-40DD-AFC4-6F175D3DCCD1}">
                <a14:hiddenFill xmlns:a14="http://schemas.microsoft.com/office/drawing/2010/main">
                  <a:noFill/>
                </a14:hiddenFill>
              </a:ext>
            </a:extLst>
          </xdr:spPr>
        </xdr:sp>
      </xdr:grpSp>
      <xdr:grpSp>
        <xdr:nvGrpSpPr>
          <xdr:cNvPr id="44341124" name="Group 2497">
            <a:extLst>
              <a:ext uri="{FF2B5EF4-FFF2-40B4-BE49-F238E27FC236}">
                <a16:creationId xmlns:a16="http://schemas.microsoft.com/office/drawing/2014/main" id="{00000000-0008-0000-0100-00008497A402}"/>
              </a:ext>
            </a:extLst>
          </xdr:cNvPr>
          <xdr:cNvGrpSpPr>
            <a:grpSpLocks/>
          </xdr:cNvGrpSpPr>
        </xdr:nvGrpSpPr>
        <xdr:grpSpPr bwMode="auto">
          <a:xfrm>
            <a:off x="38438262" y="4442597"/>
            <a:ext cx="187024" cy="177618"/>
            <a:chOff x="5512" y="1410"/>
            <a:chExt cx="20" cy="19"/>
          </a:xfrm>
        </xdr:grpSpPr>
        <xdr:sp macro="" textlink="">
          <xdr:nvSpPr>
            <xdr:cNvPr id="44341190" name="Oval 2498">
              <a:extLst>
                <a:ext uri="{FF2B5EF4-FFF2-40B4-BE49-F238E27FC236}">
                  <a16:creationId xmlns:a16="http://schemas.microsoft.com/office/drawing/2014/main" id="{00000000-0008-0000-0100-0000C697A402}"/>
                </a:ext>
              </a:extLst>
            </xdr:cNvPr>
            <xdr:cNvSpPr>
              <a:spLocks noChangeArrowheads="1"/>
            </xdr:cNvSpPr>
          </xdr:nvSpPr>
          <xdr:spPr bwMode="auto">
            <a:xfrm>
              <a:off x="5512" y="1410"/>
              <a:ext cx="20" cy="19"/>
            </a:xfrm>
            <a:prstGeom prst="ellipse">
              <a:avLst/>
            </a:prstGeom>
            <a:solidFill>
              <a:srgbClr val="EAEAEA"/>
            </a:solidFill>
            <a:ln w="1">
              <a:solidFill>
                <a:srgbClr val="333333"/>
              </a:solidFill>
              <a:round/>
              <a:headEnd/>
              <a:tailEnd/>
            </a:ln>
          </xdr:spPr>
        </xdr:sp>
        <xdr:sp macro="" textlink="">
          <xdr:nvSpPr>
            <xdr:cNvPr id="44341191" name="Line 2499">
              <a:extLst>
                <a:ext uri="{FF2B5EF4-FFF2-40B4-BE49-F238E27FC236}">
                  <a16:creationId xmlns:a16="http://schemas.microsoft.com/office/drawing/2014/main" id="{00000000-0008-0000-0100-0000C797A402}"/>
                </a:ext>
              </a:extLst>
            </xdr:cNvPr>
            <xdr:cNvSpPr>
              <a:spLocks noChangeShapeType="1"/>
            </xdr:cNvSpPr>
          </xdr:nvSpPr>
          <xdr:spPr bwMode="auto">
            <a:xfrm flipH="1" flipV="1">
              <a:off x="5514" y="1414"/>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192" name="Line 2500">
              <a:extLst>
                <a:ext uri="{FF2B5EF4-FFF2-40B4-BE49-F238E27FC236}">
                  <a16:creationId xmlns:a16="http://schemas.microsoft.com/office/drawing/2014/main" id="{00000000-0008-0000-0100-0000C897A402}"/>
                </a:ext>
              </a:extLst>
            </xdr:cNvPr>
            <xdr:cNvSpPr>
              <a:spLocks noChangeShapeType="1"/>
            </xdr:cNvSpPr>
          </xdr:nvSpPr>
          <xdr:spPr bwMode="auto">
            <a:xfrm flipH="1">
              <a:off x="5514" y="1420"/>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193" name="Oval 2501">
              <a:extLst>
                <a:ext uri="{FF2B5EF4-FFF2-40B4-BE49-F238E27FC236}">
                  <a16:creationId xmlns:a16="http://schemas.microsoft.com/office/drawing/2014/main" id="{00000000-0008-0000-0100-0000C997A402}"/>
                </a:ext>
              </a:extLst>
            </xdr:cNvPr>
            <xdr:cNvSpPr>
              <a:spLocks noChangeArrowheads="1"/>
            </xdr:cNvSpPr>
          </xdr:nvSpPr>
          <xdr:spPr bwMode="auto">
            <a:xfrm>
              <a:off x="5519" y="1413"/>
              <a:ext cx="2" cy="1"/>
            </a:xfrm>
            <a:prstGeom prst="ellipse">
              <a:avLst/>
            </a:prstGeom>
            <a:solidFill>
              <a:srgbClr val="EAEAEA"/>
            </a:solidFill>
            <a:ln w="9525">
              <a:solidFill>
                <a:srgbClr val="333333"/>
              </a:solidFill>
              <a:round/>
              <a:headEnd/>
              <a:tailEnd/>
            </a:ln>
          </xdr:spPr>
        </xdr:sp>
      </xdr:grpSp>
      <xdr:sp macro="" textlink="">
        <xdr:nvSpPr>
          <xdr:cNvPr id="44341125" name="Line 2552">
            <a:extLst>
              <a:ext uri="{FF2B5EF4-FFF2-40B4-BE49-F238E27FC236}">
                <a16:creationId xmlns:a16="http://schemas.microsoft.com/office/drawing/2014/main" id="{00000000-0008-0000-0100-00008597A402}"/>
              </a:ext>
            </a:extLst>
          </xdr:cNvPr>
          <xdr:cNvSpPr>
            <a:spLocks noChangeShapeType="1"/>
          </xdr:cNvSpPr>
        </xdr:nvSpPr>
        <xdr:spPr bwMode="auto">
          <a:xfrm rot="18953249" flipV="1">
            <a:off x="38411195" y="796748"/>
            <a:ext cx="374051" cy="9348"/>
          </a:xfrm>
          <a:prstGeom prst="line">
            <a:avLst/>
          </a:prstGeom>
          <a:noFill/>
          <a:ln w="9525">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grpSp>
        <xdr:nvGrpSpPr>
          <xdr:cNvPr id="44341126" name="Group 809">
            <a:extLst>
              <a:ext uri="{FF2B5EF4-FFF2-40B4-BE49-F238E27FC236}">
                <a16:creationId xmlns:a16="http://schemas.microsoft.com/office/drawing/2014/main" id="{00000000-0008-0000-0100-00008697A402}"/>
              </a:ext>
            </a:extLst>
          </xdr:cNvPr>
          <xdr:cNvGrpSpPr>
            <a:grpSpLocks/>
          </xdr:cNvGrpSpPr>
        </xdr:nvGrpSpPr>
        <xdr:grpSpPr bwMode="auto">
          <a:xfrm>
            <a:off x="28255708" y="787400"/>
            <a:ext cx="10353151" cy="5758572"/>
            <a:chOff x="28255708" y="787400"/>
            <a:chExt cx="10353151" cy="5758572"/>
          </a:xfrm>
        </xdr:grpSpPr>
        <xdr:grpSp>
          <xdr:nvGrpSpPr>
            <xdr:cNvPr id="44341146" name="Group 1464">
              <a:extLst>
                <a:ext uri="{FF2B5EF4-FFF2-40B4-BE49-F238E27FC236}">
                  <a16:creationId xmlns:a16="http://schemas.microsoft.com/office/drawing/2014/main" id="{00000000-0008-0000-0100-00009A97A402}"/>
                </a:ext>
              </a:extLst>
            </xdr:cNvPr>
            <xdr:cNvGrpSpPr>
              <a:grpSpLocks/>
            </xdr:cNvGrpSpPr>
          </xdr:nvGrpSpPr>
          <xdr:grpSpPr bwMode="auto">
            <a:xfrm>
              <a:off x="34614576" y="834142"/>
              <a:ext cx="2291063" cy="1047013"/>
              <a:chOff x="5180" y="1024"/>
              <a:chExt cx="245" cy="112"/>
            </a:xfrm>
          </xdr:grpSpPr>
          <xdr:sp macro="" textlink="">
            <xdr:nvSpPr>
              <xdr:cNvPr id="44341173" name="Line 1465">
                <a:extLst>
                  <a:ext uri="{FF2B5EF4-FFF2-40B4-BE49-F238E27FC236}">
                    <a16:creationId xmlns:a16="http://schemas.microsoft.com/office/drawing/2014/main" id="{00000000-0008-0000-0100-0000B597A402}"/>
                  </a:ext>
                </a:extLst>
              </xdr:cNvPr>
              <xdr:cNvSpPr>
                <a:spLocks noChangeShapeType="1"/>
              </xdr:cNvSpPr>
            </xdr:nvSpPr>
            <xdr:spPr bwMode="auto">
              <a:xfrm>
                <a:off x="5335" y="1077"/>
                <a:ext cx="4" cy="59"/>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sp macro="" textlink="">
            <xdr:nvSpPr>
              <xdr:cNvPr id="44341174" name="Line 1466">
                <a:extLst>
                  <a:ext uri="{FF2B5EF4-FFF2-40B4-BE49-F238E27FC236}">
                    <a16:creationId xmlns:a16="http://schemas.microsoft.com/office/drawing/2014/main" id="{00000000-0008-0000-0100-0000B697A402}"/>
                  </a:ext>
                </a:extLst>
              </xdr:cNvPr>
              <xdr:cNvSpPr>
                <a:spLocks noChangeShapeType="1"/>
              </xdr:cNvSpPr>
            </xdr:nvSpPr>
            <xdr:spPr bwMode="auto">
              <a:xfrm>
                <a:off x="5348" y="1072"/>
                <a:ext cx="36" cy="49"/>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sp macro="" textlink="">
            <xdr:nvSpPr>
              <xdr:cNvPr id="44341175" name="Line 1467">
                <a:extLst>
                  <a:ext uri="{FF2B5EF4-FFF2-40B4-BE49-F238E27FC236}">
                    <a16:creationId xmlns:a16="http://schemas.microsoft.com/office/drawing/2014/main" id="{00000000-0008-0000-0100-0000B797A402}"/>
                  </a:ext>
                </a:extLst>
              </xdr:cNvPr>
              <xdr:cNvSpPr>
                <a:spLocks noChangeShapeType="1"/>
              </xdr:cNvSpPr>
            </xdr:nvSpPr>
            <xdr:spPr bwMode="auto">
              <a:xfrm>
                <a:off x="5353" y="1060"/>
                <a:ext cx="63" cy="49"/>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sp macro="" textlink="">
            <xdr:nvSpPr>
              <xdr:cNvPr id="44341176" name="Line 1468">
                <a:extLst>
                  <a:ext uri="{FF2B5EF4-FFF2-40B4-BE49-F238E27FC236}">
                    <a16:creationId xmlns:a16="http://schemas.microsoft.com/office/drawing/2014/main" id="{00000000-0008-0000-0100-0000B897A402}"/>
                  </a:ext>
                </a:extLst>
              </xdr:cNvPr>
              <xdr:cNvSpPr>
                <a:spLocks noChangeShapeType="1"/>
              </xdr:cNvSpPr>
            </xdr:nvSpPr>
            <xdr:spPr bwMode="auto">
              <a:xfrm>
                <a:off x="5357" y="1049"/>
                <a:ext cx="68" cy="21"/>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sp macro="" textlink="">
            <xdr:nvSpPr>
              <xdr:cNvPr id="44341177" name="Line 1469">
                <a:extLst>
                  <a:ext uri="{FF2B5EF4-FFF2-40B4-BE49-F238E27FC236}">
                    <a16:creationId xmlns:a16="http://schemas.microsoft.com/office/drawing/2014/main" id="{00000000-0008-0000-0100-0000B997A402}"/>
                  </a:ext>
                </a:extLst>
              </xdr:cNvPr>
              <xdr:cNvSpPr>
                <a:spLocks noChangeShapeType="1"/>
              </xdr:cNvSpPr>
            </xdr:nvSpPr>
            <xdr:spPr bwMode="auto">
              <a:xfrm flipV="1">
                <a:off x="5353" y="1024"/>
                <a:ext cx="47" cy="15"/>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grpSp>
            <xdr:nvGrpSpPr>
              <xdr:cNvPr id="44341178" name="Group 1470">
                <a:extLst>
                  <a:ext uri="{FF2B5EF4-FFF2-40B4-BE49-F238E27FC236}">
                    <a16:creationId xmlns:a16="http://schemas.microsoft.com/office/drawing/2014/main" id="{00000000-0008-0000-0100-0000BA97A402}"/>
                  </a:ext>
                </a:extLst>
              </xdr:cNvPr>
              <xdr:cNvGrpSpPr>
                <a:grpSpLocks/>
              </xdr:cNvGrpSpPr>
            </xdr:nvGrpSpPr>
            <xdr:grpSpPr bwMode="auto">
              <a:xfrm>
                <a:off x="5180" y="1028"/>
                <a:ext cx="175" cy="63"/>
                <a:chOff x="5180" y="1028"/>
                <a:chExt cx="175" cy="63"/>
              </a:xfrm>
            </xdr:grpSpPr>
            <xdr:sp macro="" textlink="">
              <xdr:nvSpPr>
                <xdr:cNvPr id="44341179" name="Oval 1471">
                  <a:extLst>
                    <a:ext uri="{FF2B5EF4-FFF2-40B4-BE49-F238E27FC236}">
                      <a16:creationId xmlns:a16="http://schemas.microsoft.com/office/drawing/2014/main" id="{00000000-0008-0000-0100-0000BB97A402}"/>
                    </a:ext>
                  </a:extLst>
                </xdr:cNvPr>
                <xdr:cNvSpPr>
                  <a:spLocks noChangeArrowheads="1"/>
                </xdr:cNvSpPr>
              </xdr:nvSpPr>
              <xdr:spPr bwMode="auto">
                <a:xfrm>
                  <a:off x="5307" y="1028"/>
                  <a:ext cx="48" cy="47"/>
                </a:xfrm>
                <a:prstGeom prst="ellipse">
                  <a:avLst/>
                </a:prstGeom>
                <a:solidFill>
                  <a:srgbClr val="FFFF00"/>
                </a:solidFill>
                <a:ln w="9525">
                  <a:solidFill>
                    <a:srgbClr val="FFCC00"/>
                  </a:solidFill>
                  <a:round/>
                  <a:headEnd/>
                  <a:tailEnd/>
                </a:ln>
              </xdr:spPr>
            </xdr:sp>
            <xdr:grpSp>
              <xdr:nvGrpSpPr>
                <xdr:cNvPr id="44341180" name="Group 1472">
                  <a:extLst>
                    <a:ext uri="{FF2B5EF4-FFF2-40B4-BE49-F238E27FC236}">
                      <a16:creationId xmlns:a16="http://schemas.microsoft.com/office/drawing/2014/main" id="{00000000-0008-0000-0100-0000BC97A402}"/>
                    </a:ext>
                  </a:extLst>
                </xdr:cNvPr>
                <xdr:cNvGrpSpPr>
                  <a:grpSpLocks/>
                </xdr:cNvGrpSpPr>
              </xdr:nvGrpSpPr>
              <xdr:grpSpPr bwMode="auto">
                <a:xfrm>
                  <a:off x="5180" y="1033"/>
                  <a:ext cx="148" cy="58"/>
                  <a:chOff x="5180" y="1033"/>
                  <a:chExt cx="148" cy="58"/>
                </a:xfrm>
              </xdr:grpSpPr>
              <xdr:sp macro="" textlink="">
                <xdr:nvSpPr>
                  <xdr:cNvPr id="44341181" name="Arc 1473">
                    <a:extLst>
                      <a:ext uri="{FF2B5EF4-FFF2-40B4-BE49-F238E27FC236}">
                        <a16:creationId xmlns:a16="http://schemas.microsoft.com/office/drawing/2014/main" id="{00000000-0008-0000-0100-0000BD97A402}"/>
                      </a:ext>
                    </a:extLst>
                  </xdr:cNvPr>
                  <xdr:cNvSpPr>
                    <a:spLocks/>
                  </xdr:cNvSpPr>
                </xdr:nvSpPr>
                <xdr:spPr bwMode="auto">
                  <a:xfrm>
                    <a:off x="5289" y="1041"/>
                    <a:ext cx="39" cy="27"/>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182" name="Arc 1474">
                    <a:extLst>
                      <a:ext uri="{FF2B5EF4-FFF2-40B4-BE49-F238E27FC236}">
                        <a16:creationId xmlns:a16="http://schemas.microsoft.com/office/drawing/2014/main" id="{00000000-0008-0000-0100-0000BE97A402}"/>
                      </a:ext>
                    </a:extLst>
                  </xdr:cNvPr>
                  <xdr:cNvSpPr>
                    <a:spLocks/>
                  </xdr:cNvSpPr>
                </xdr:nvSpPr>
                <xdr:spPr bwMode="auto">
                  <a:xfrm>
                    <a:off x="5264" y="1033"/>
                    <a:ext cx="32" cy="11"/>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183" name="Arc 1475">
                    <a:extLst>
                      <a:ext uri="{FF2B5EF4-FFF2-40B4-BE49-F238E27FC236}">
                        <a16:creationId xmlns:a16="http://schemas.microsoft.com/office/drawing/2014/main" id="{00000000-0008-0000-0100-0000BF97A402}"/>
                      </a:ext>
                    </a:extLst>
                  </xdr:cNvPr>
                  <xdr:cNvSpPr>
                    <a:spLocks/>
                  </xdr:cNvSpPr>
                </xdr:nvSpPr>
                <xdr:spPr bwMode="auto">
                  <a:xfrm flipH="1">
                    <a:off x="5220" y="1033"/>
                    <a:ext cx="40" cy="11"/>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184" name="Arc 1476">
                    <a:extLst>
                      <a:ext uri="{FF2B5EF4-FFF2-40B4-BE49-F238E27FC236}">
                        <a16:creationId xmlns:a16="http://schemas.microsoft.com/office/drawing/2014/main" id="{00000000-0008-0000-0100-0000C097A402}"/>
                      </a:ext>
                    </a:extLst>
                  </xdr:cNvPr>
                  <xdr:cNvSpPr>
                    <a:spLocks/>
                  </xdr:cNvSpPr>
                </xdr:nvSpPr>
                <xdr:spPr bwMode="auto">
                  <a:xfrm flipH="1">
                    <a:off x="5180" y="1044"/>
                    <a:ext cx="35" cy="2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185" name="Arc 1477">
                    <a:extLst>
                      <a:ext uri="{FF2B5EF4-FFF2-40B4-BE49-F238E27FC236}">
                        <a16:creationId xmlns:a16="http://schemas.microsoft.com/office/drawing/2014/main" id="{00000000-0008-0000-0100-0000C197A402}"/>
                      </a:ext>
                    </a:extLst>
                  </xdr:cNvPr>
                  <xdr:cNvSpPr>
                    <a:spLocks/>
                  </xdr:cNvSpPr>
                </xdr:nvSpPr>
                <xdr:spPr bwMode="auto">
                  <a:xfrm flipH="1" flipV="1">
                    <a:off x="5180" y="1068"/>
                    <a:ext cx="19" cy="2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186" name="Arc 1478">
                    <a:extLst>
                      <a:ext uri="{FF2B5EF4-FFF2-40B4-BE49-F238E27FC236}">
                        <a16:creationId xmlns:a16="http://schemas.microsoft.com/office/drawing/2014/main" id="{00000000-0008-0000-0100-0000C297A402}"/>
                      </a:ext>
                    </a:extLst>
                  </xdr:cNvPr>
                  <xdr:cNvSpPr>
                    <a:spLocks/>
                  </xdr:cNvSpPr>
                </xdr:nvSpPr>
                <xdr:spPr bwMode="auto">
                  <a:xfrm flipV="1">
                    <a:off x="5199" y="1068"/>
                    <a:ext cx="28" cy="2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187" name="Arc 1479">
                    <a:extLst>
                      <a:ext uri="{FF2B5EF4-FFF2-40B4-BE49-F238E27FC236}">
                        <a16:creationId xmlns:a16="http://schemas.microsoft.com/office/drawing/2014/main" id="{00000000-0008-0000-0100-0000C397A402}"/>
                      </a:ext>
                    </a:extLst>
                  </xdr:cNvPr>
                  <xdr:cNvSpPr>
                    <a:spLocks/>
                  </xdr:cNvSpPr>
                </xdr:nvSpPr>
                <xdr:spPr bwMode="auto">
                  <a:xfrm flipH="1" flipV="1">
                    <a:off x="5223" y="1078"/>
                    <a:ext cx="28" cy="1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188" name="Arc 1480">
                    <a:extLst>
                      <a:ext uri="{FF2B5EF4-FFF2-40B4-BE49-F238E27FC236}">
                        <a16:creationId xmlns:a16="http://schemas.microsoft.com/office/drawing/2014/main" id="{00000000-0008-0000-0100-0000C497A402}"/>
                      </a:ext>
                    </a:extLst>
                  </xdr:cNvPr>
                  <xdr:cNvSpPr>
                    <a:spLocks/>
                  </xdr:cNvSpPr>
                </xdr:nvSpPr>
                <xdr:spPr bwMode="auto">
                  <a:xfrm flipV="1">
                    <a:off x="5255" y="1074"/>
                    <a:ext cx="28" cy="17"/>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189" name="Arc 1481">
                    <a:extLst>
                      <a:ext uri="{FF2B5EF4-FFF2-40B4-BE49-F238E27FC236}">
                        <a16:creationId xmlns:a16="http://schemas.microsoft.com/office/drawing/2014/main" id="{00000000-0008-0000-0100-0000C597A402}"/>
                      </a:ext>
                    </a:extLst>
                  </xdr:cNvPr>
                  <xdr:cNvSpPr>
                    <a:spLocks/>
                  </xdr:cNvSpPr>
                </xdr:nvSpPr>
                <xdr:spPr bwMode="auto">
                  <a:xfrm flipV="1">
                    <a:off x="5276" y="1065"/>
                    <a:ext cx="52" cy="2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grpSp>
          </xdr:grpSp>
        </xdr:grpSp>
        <xdr:grpSp>
          <xdr:nvGrpSpPr>
            <xdr:cNvPr id="44341147" name="Group 1539">
              <a:extLst>
                <a:ext uri="{FF2B5EF4-FFF2-40B4-BE49-F238E27FC236}">
                  <a16:creationId xmlns:a16="http://schemas.microsoft.com/office/drawing/2014/main" id="{00000000-0008-0000-0100-00009B97A402}"/>
                </a:ext>
              </a:extLst>
            </xdr:cNvPr>
            <xdr:cNvGrpSpPr>
              <a:grpSpLocks/>
            </xdr:cNvGrpSpPr>
          </xdr:nvGrpSpPr>
          <xdr:grpSpPr bwMode="auto">
            <a:xfrm>
              <a:off x="30565474" y="1750278"/>
              <a:ext cx="187025" cy="177618"/>
              <a:chOff x="4747" y="1122"/>
              <a:chExt cx="20" cy="19"/>
            </a:xfrm>
          </xdr:grpSpPr>
          <xdr:sp macro="" textlink="">
            <xdr:nvSpPr>
              <xdr:cNvPr id="44341169" name="Oval 1540">
                <a:extLst>
                  <a:ext uri="{FF2B5EF4-FFF2-40B4-BE49-F238E27FC236}">
                    <a16:creationId xmlns:a16="http://schemas.microsoft.com/office/drawing/2014/main" id="{00000000-0008-0000-0100-0000B197A402}"/>
                  </a:ext>
                </a:extLst>
              </xdr:cNvPr>
              <xdr:cNvSpPr>
                <a:spLocks noChangeArrowheads="1"/>
              </xdr:cNvSpPr>
            </xdr:nvSpPr>
            <xdr:spPr bwMode="auto">
              <a:xfrm>
                <a:off x="4747" y="1122"/>
                <a:ext cx="20" cy="19"/>
              </a:xfrm>
              <a:prstGeom prst="ellipse">
                <a:avLst/>
              </a:prstGeom>
              <a:solidFill>
                <a:srgbClr val="EAEAEA"/>
              </a:solidFill>
              <a:ln w="1">
                <a:solidFill>
                  <a:srgbClr val="333333"/>
                </a:solidFill>
                <a:round/>
                <a:headEnd/>
                <a:tailEnd/>
              </a:ln>
            </xdr:spPr>
          </xdr:sp>
          <xdr:sp macro="" textlink="">
            <xdr:nvSpPr>
              <xdr:cNvPr id="44341170" name="Line 1541">
                <a:extLst>
                  <a:ext uri="{FF2B5EF4-FFF2-40B4-BE49-F238E27FC236}">
                    <a16:creationId xmlns:a16="http://schemas.microsoft.com/office/drawing/2014/main" id="{00000000-0008-0000-0100-0000B297A402}"/>
                  </a:ext>
                </a:extLst>
              </xdr:cNvPr>
              <xdr:cNvSpPr>
                <a:spLocks noChangeShapeType="1"/>
              </xdr:cNvSpPr>
            </xdr:nvSpPr>
            <xdr:spPr bwMode="auto">
              <a:xfrm flipH="1" flipV="1">
                <a:off x="4749" y="1126"/>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171" name="Line 1542">
                <a:extLst>
                  <a:ext uri="{FF2B5EF4-FFF2-40B4-BE49-F238E27FC236}">
                    <a16:creationId xmlns:a16="http://schemas.microsoft.com/office/drawing/2014/main" id="{00000000-0008-0000-0100-0000B397A402}"/>
                  </a:ext>
                </a:extLst>
              </xdr:cNvPr>
              <xdr:cNvSpPr>
                <a:spLocks noChangeShapeType="1"/>
              </xdr:cNvSpPr>
            </xdr:nvSpPr>
            <xdr:spPr bwMode="auto">
              <a:xfrm flipH="1">
                <a:off x="4749" y="1132"/>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172" name="Oval 1543">
                <a:extLst>
                  <a:ext uri="{FF2B5EF4-FFF2-40B4-BE49-F238E27FC236}">
                    <a16:creationId xmlns:a16="http://schemas.microsoft.com/office/drawing/2014/main" id="{00000000-0008-0000-0100-0000B497A402}"/>
                  </a:ext>
                </a:extLst>
              </xdr:cNvPr>
              <xdr:cNvSpPr>
                <a:spLocks noChangeArrowheads="1"/>
              </xdr:cNvSpPr>
            </xdr:nvSpPr>
            <xdr:spPr bwMode="auto">
              <a:xfrm>
                <a:off x="4754" y="1125"/>
                <a:ext cx="2" cy="1"/>
              </a:xfrm>
              <a:prstGeom prst="ellipse">
                <a:avLst/>
              </a:prstGeom>
              <a:solidFill>
                <a:srgbClr val="EAEAEA"/>
              </a:solidFill>
              <a:ln w="9525">
                <a:solidFill>
                  <a:srgbClr val="333333"/>
                </a:solidFill>
                <a:round/>
                <a:headEnd/>
                <a:tailEnd/>
              </a:ln>
            </xdr:spPr>
          </xdr:sp>
        </xdr:grpSp>
        <xdr:grpSp>
          <xdr:nvGrpSpPr>
            <xdr:cNvPr id="44341148" name="Group 833">
              <a:extLst>
                <a:ext uri="{FF2B5EF4-FFF2-40B4-BE49-F238E27FC236}">
                  <a16:creationId xmlns:a16="http://schemas.microsoft.com/office/drawing/2014/main" id="{00000000-0008-0000-0100-00009C97A402}"/>
                </a:ext>
              </a:extLst>
            </xdr:cNvPr>
            <xdr:cNvGrpSpPr>
              <a:grpSpLocks/>
            </xdr:cNvGrpSpPr>
          </xdr:nvGrpSpPr>
          <xdr:grpSpPr bwMode="auto">
            <a:xfrm>
              <a:off x="28255708" y="787400"/>
              <a:ext cx="10353151" cy="5758572"/>
              <a:chOff x="28255708" y="787400"/>
              <a:chExt cx="10353151" cy="5758572"/>
            </a:xfrm>
          </xdr:grpSpPr>
          <xdr:sp macro="" textlink="">
            <xdr:nvSpPr>
              <xdr:cNvPr id="44341149" name="Line 16">
                <a:extLst>
                  <a:ext uri="{FF2B5EF4-FFF2-40B4-BE49-F238E27FC236}">
                    <a16:creationId xmlns:a16="http://schemas.microsoft.com/office/drawing/2014/main" id="{00000000-0008-0000-0100-00009D97A402}"/>
                  </a:ext>
                </a:extLst>
              </xdr:cNvPr>
              <xdr:cNvSpPr>
                <a:spLocks noChangeShapeType="1"/>
              </xdr:cNvSpPr>
            </xdr:nvSpPr>
            <xdr:spPr bwMode="auto">
              <a:xfrm flipH="1">
                <a:off x="33500776" y="2656433"/>
                <a:ext cx="359529" cy="152398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1150" name="Rectangle 19">
                <a:extLst>
                  <a:ext uri="{FF2B5EF4-FFF2-40B4-BE49-F238E27FC236}">
                    <a16:creationId xmlns:a16="http://schemas.microsoft.com/office/drawing/2014/main" id="{00000000-0008-0000-0100-00009E97A402}"/>
                  </a:ext>
                </a:extLst>
              </xdr:cNvPr>
              <xdr:cNvSpPr>
                <a:spLocks noChangeArrowheads="1"/>
              </xdr:cNvSpPr>
            </xdr:nvSpPr>
            <xdr:spPr bwMode="auto">
              <a:xfrm>
                <a:off x="28265060" y="787400"/>
                <a:ext cx="10342513" cy="5758572"/>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44341151" name="Line 20">
                <a:extLst>
                  <a:ext uri="{FF2B5EF4-FFF2-40B4-BE49-F238E27FC236}">
                    <a16:creationId xmlns:a16="http://schemas.microsoft.com/office/drawing/2014/main" id="{00000000-0008-0000-0100-00009F97A402}"/>
                  </a:ext>
                </a:extLst>
              </xdr:cNvPr>
              <xdr:cNvSpPr>
                <a:spLocks noChangeShapeType="1"/>
              </xdr:cNvSpPr>
            </xdr:nvSpPr>
            <xdr:spPr bwMode="auto">
              <a:xfrm flipH="1">
                <a:off x="37085498" y="2640840"/>
                <a:ext cx="169247" cy="3225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1152" name="Line 21">
                <a:extLst>
                  <a:ext uri="{FF2B5EF4-FFF2-40B4-BE49-F238E27FC236}">
                    <a16:creationId xmlns:a16="http://schemas.microsoft.com/office/drawing/2014/main" id="{00000000-0008-0000-0100-0000A097A402}"/>
                  </a:ext>
                </a:extLst>
              </xdr:cNvPr>
              <xdr:cNvSpPr>
                <a:spLocks noChangeShapeType="1"/>
              </xdr:cNvSpPr>
            </xdr:nvSpPr>
            <xdr:spPr bwMode="auto">
              <a:xfrm flipH="1" flipV="1">
                <a:off x="36905733" y="2656433"/>
                <a:ext cx="180256" cy="3022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1153" name="Line 27">
                <a:extLst>
                  <a:ext uri="{FF2B5EF4-FFF2-40B4-BE49-F238E27FC236}">
                    <a16:creationId xmlns:a16="http://schemas.microsoft.com/office/drawing/2014/main" id="{00000000-0008-0000-0100-0000A197A402}"/>
                  </a:ext>
                </a:extLst>
              </xdr:cNvPr>
              <xdr:cNvSpPr>
                <a:spLocks noChangeShapeType="1"/>
              </xdr:cNvSpPr>
            </xdr:nvSpPr>
            <xdr:spPr bwMode="auto">
              <a:xfrm flipV="1">
                <a:off x="37265270" y="2640840"/>
                <a:ext cx="1343589" cy="50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1154" name="Line 51">
                <a:extLst>
                  <a:ext uri="{FF2B5EF4-FFF2-40B4-BE49-F238E27FC236}">
                    <a16:creationId xmlns:a16="http://schemas.microsoft.com/office/drawing/2014/main" id="{00000000-0008-0000-0100-0000A297A402}"/>
                  </a:ext>
                </a:extLst>
              </xdr:cNvPr>
              <xdr:cNvSpPr>
                <a:spLocks noChangeShapeType="1"/>
              </xdr:cNvSpPr>
            </xdr:nvSpPr>
            <xdr:spPr bwMode="auto">
              <a:xfrm flipH="1">
                <a:off x="30341041" y="4169833"/>
                <a:ext cx="3159735" cy="166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1155" name="Line 52">
                <a:extLst>
                  <a:ext uri="{FF2B5EF4-FFF2-40B4-BE49-F238E27FC236}">
                    <a16:creationId xmlns:a16="http://schemas.microsoft.com/office/drawing/2014/main" id="{00000000-0008-0000-0100-0000A397A402}"/>
                  </a:ext>
                </a:extLst>
              </xdr:cNvPr>
              <xdr:cNvSpPr>
                <a:spLocks noChangeShapeType="1"/>
              </xdr:cNvSpPr>
            </xdr:nvSpPr>
            <xdr:spPr bwMode="auto">
              <a:xfrm flipH="1">
                <a:off x="28255708" y="2762266"/>
                <a:ext cx="5572875" cy="504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1156" name="Line 60">
                <a:extLst>
                  <a:ext uri="{FF2B5EF4-FFF2-40B4-BE49-F238E27FC236}">
                    <a16:creationId xmlns:a16="http://schemas.microsoft.com/office/drawing/2014/main" id="{00000000-0008-0000-0100-0000A497A402}"/>
                  </a:ext>
                </a:extLst>
              </xdr:cNvPr>
              <xdr:cNvSpPr>
                <a:spLocks noChangeShapeType="1"/>
              </xdr:cNvSpPr>
            </xdr:nvSpPr>
            <xdr:spPr bwMode="auto">
              <a:xfrm flipH="1" flipV="1">
                <a:off x="30339025" y="2772833"/>
                <a:ext cx="2017" cy="228675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1157" name="Line 61">
                <a:extLst>
                  <a:ext uri="{FF2B5EF4-FFF2-40B4-BE49-F238E27FC236}">
                    <a16:creationId xmlns:a16="http://schemas.microsoft.com/office/drawing/2014/main" id="{00000000-0008-0000-0100-0000A597A402}"/>
                  </a:ext>
                </a:extLst>
              </xdr:cNvPr>
              <xdr:cNvSpPr>
                <a:spLocks noChangeShapeType="1"/>
              </xdr:cNvSpPr>
            </xdr:nvSpPr>
            <xdr:spPr bwMode="auto">
              <a:xfrm flipH="1">
                <a:off x="30341043" y="5051473"/>
                <a:ext cx="166452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1158" name="Line 63">
                <a:extLst>
                  <a:ext uri="{FF2B5EF4-FFF2-40B4-BE49-F238E27FC236}">
                    <a16:creationId xmlns:a16="http://schemas.microsoft.com/office/drawing/2014/main" id="{00000000-0008-0000-0100-0000A697A402}"/>
                  </a:ext>
                </a:extLst>
              </xdr:cNvPr>
              <xdr:cNvSpPr>
                <a:spLocks noChangeShapeType="1"/>
              </xdr:cNvSpPr>
            </xdr:nvSpPr>
            <xdr:spPr bwMode="auto">
              <a:xfrm flipH="1">
                <a:off x="28274411" y="5536352"/>
                <a:ext cx="1963768"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1159" name="Line 71">
                <a:extLst>
                  <a:ext uri="{FF2B5EF4-FFF2-40B4-BE49-F238E27FC236}">
                    <a16:creationId xmlns:a16="http://schemas.microsoft.com/office/drawing/2014/main" id="{00000000-0008-0000-0100-0000A797A402}"/>
                  </a:ext>
                </a:extLst>
              </xdr:cNvPr>
              <xdr:cNvSpPr>
                <a:spLocks noChangeShapeType="1"/>
              </xdr:cNvSpPr>
            </xdr:nvSpPr>
            <xdr:spPr bwMode="auto">
              <a:xfrm flipH="1" flipV="1">
                <a:off x="30233282" y="5228166"/>
                <a:ext cx="4898" cy="1289759"/>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1160" name="Line 1119">
                <a:extLst>
                  <a:ext uri="{FF2B5EF4-FFF2-40B4-BE49-F238E27FC236}">
                    <a16:creationId xmlns:a16="http://schemas.microsoft.com/office/drawing/2014/main" id="{00000000-0008-0000-0100-0000A897A402}"/>
                  </a:ext>
                </a:extLst>
              </xdr:cNvPr>
              <xdr:cNvSpPr>
                <a:spLocks noChangeShapeType="1"/>
              </xdr:cNvSpPr>
            </xdr:nvSpPr>
            <xdr:spPr bwMode="auto">
              <a:xfrm>
                <a:off x="35393598" y="2963334"/>
                <a:ext cx="3391" cy="357329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1161" name="Line 1123">
                <a:extLst>
                  <a:ext uri="{FF2B5EF4-FFF2-40B4-BE49-F238E27FC236}">
                    <a16:creationId xmlns:a16="http://schemas.microsoft.com/office/drawing/2014/main" id="{00000000-0008-0000-0100-0000A997A402}"/>
                  </a:ext>
                </a:extLst>
              </xdr:cNvPr>
              <xdr:cNvSpPr>
                <a:spLocks noChangeShapeType="1"/>
              </xdr:cNvSpPr>
            </xdr:nvSpPr>
            <xdr:spPr bwMode="auto">
              <a:xfrm>
                <a:off x="37085504" y="2963334"/>
                <a:ext cx="468" cy="3573290"/>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1162" name="Line 2542">
                <a:extLst>
                  <a:ext uri="{FF2B5EF4-FFF2-40B4-BE49-F238E27FC236}">
                    <a16:creationId xmlns:a16="http://schemas.microsoft.com/office/drawing/2014/main" id="{00000000-0008-0000-0100-0000AA97A402}"/>
                  </a:ext>
                </a:extLst>
              </xdr:cNvPr>
              <xdr:cNvSpPr>
                <a:spLocks noChangeShapeType="1"/>
              </xdr:cNvSpPr>
            </xdr:nvSpPr>
            <xdr:spPr bwMode="auto">
              <a:xfrm flipV="1">
                <a:off x="30227583" y="5050244"/>
                <a:ext cx="112215" cy="177618"/>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1163" name="Line 16">
                <a:extLst>
                  <a:ext uri="{FF2B5EF4-FFF2-40B4-BE49-F238E27FC236}">
                    <a16:creationId xmlns:a16="http://schemas.microsoft.com/office/drawing/2014/main" id="{00000000-0008-0000-0100-0000AB97A402}"/>
                  </a:ext>
                </a:extLst>
              </xdr:cNvPr>
              <xdr:cNvSpPr>
                <a:spLocks noChangeShapeType="1"/>
              </xdr:cNvSpPr>
            </xdr:nvSpPr>
            <xdr:spPr bwMode="auto">
              <a:xfrm flipH="1">
                <a:off x="32008232" y="4180417"/>
                <a:ext cx="313267" cy="86148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1164" name="Line 16">
                <a:extLst>
                  <a:ext uri="{FF2B5EF4-FFF2-40B4-BE49-F238E27FC236}">
                    <a16:creationId xmlns:a16="http://schemas.microsoft.com/office/drawing/2014/main" id="{00000000-0008-0000-0100-0000AC97A402}"/>
                  </a:ext>
                </a:extLst>
              </xdr:cNvPr>
              <xdr:cNvSpPr>
                <a:spLocks noChangeShapeType="1"/>
              </xdr:cNvSpPr>
            </xdr:nvSpPr>
            <xdr:spPr bwMode="auto">
              <a:xfrm flipH="1">
                <a:off x="32308796" y="2762250"/>
                <a:ext cx="2120" cy="1426634"/>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1165" name="Line 27">
                <a:extLst>
                  <a:ext uri="{FF2B5EF4-FFF2-40B4-BE49-F238E27FC236}">
                    <a16:creationId xmlns:a16="http://schemas.microsoft.com/office/drawing/2014/main" id="{00000000-0008-0000-0100-0000AD97A402}"/>
                  </a:ext>
                </a:extLst>
              </xdr:cNvPr>
              <xdr:cNvSpPr>
                <a:spLocks noChangeShapeType="1"/>
              </xdr:cNvSpPr>
            </xdr:nvSpPr>
            <xdr:spPr bwMode="auto">
              <a:xfrm flipV="1">
                <a:off x="35564292" y="2645078"/>
                <a:ext cx="1344722" cy="50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1166" name="Line 20">
                <a:extLst>
                  <a:ext uri="{FF2B5EF4-FFF2-40B4-BE49-F238E27FC236}">
                    <a16:creationId xmlns:a16="http://schemas.microsoft.com/office/drawing/2014/main" id="{00000000-0008-0000-0100-0000AE97A402}"/>
                  </a:ext>
                </a:extLst>
              </xdr:cNvPr>
              <xdr:cNvSpPr>
                <a:spLocks noChangeShapeType="1"/>
              </xdr:cNvSpPr>
            </xdr:nvSpPr>
            <xdr:spPr bwMode="auto">
              <a:xfrm flipH="1">
                <a:off x="35394952" y="2645078"/>
                <a:ext cx="169390" cy="32251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1167" name="Line 21">
                <a:extLst>
                  <a:ext uri="{FF2B5EF4-FFF2-40B4-BE49-F238E27FC236}">
                    <a16:creationId xmlns:a16="http://schemas.microsoft.com/office/drawing/2014/main" id="{00000000-0008-0000-0100-0000AF97A402}"/>
                  </a:ext>
                </a:extLst>
              </xdr:cNvPr>
              <xdr:cNvSpPr>
                <a:spLocks noChangeShapeType="1"/>
              </xdr:cNvSpPr>
            </xdr:nvSpPr>
            <xdr:spPr bwMode="auto">
              <a:xfrm flipH="1" flipV="1">
                <a:off x="35214977" y="2660666"/>
                <a:ext cx="180408" cy="3022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1168" name="Line 27">
                <a:extLst>
                  <a:ext uri="{FF2B5EF4-FFF2-40B4-BE49-F238E27FC236}">
                    <a16:creationId xmlns:a16="http://schemas.microsoft.com/office/drawing/2014/main" id="{00000000-0008-0000-0100-0000B097A402}"/>
                  </a:ext>
                </a:extLst>
              </xdr:cNvPr>
              <xdr:cNvSpPr>
                <a:spLocks noChangeShapeType="1"/>
              </xdr:cNvSpPr>
            </xdr:nvSpPr>
            <xdr:spPr bwMode="auto">
              <a:xfrm>
                <a:off x="33866667" y="2645850"/>
                <a:ext cx="1342720" cy="346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grpSp>
        <xdr:nvGrpSpPr>
          <xdr:cNvPr id="44341127" name="Group 1529">
            <a:extLst>
              <a:ext uri="{FF2B5EF4-FFF2-40B4-BE49-F238E27FC236}">
                <a16:creationId xmlns:a16="http://schemas.microsoft.com/office/drawing/2014/main" id="{00000000-0008-0000-0100-00008797A402}"/>
              </a:ext>
            </a:extLst>
          </xdr:cNvPr>
          <xdr:cNvGrpSpPr>
            <a:grpSpLocks/>
          </xdr:cNvGrpSpPr>
        </xdr:nvGrpSpPr>
        <xdr:grpSpPr bwMode="auto">
          <a:xfrm>
            <a:off x="33399775" y="3473547"/>
            <a:ext cx="187183" cy="177618"/>
            <a:chOff x="4902" y="1324"/>
            <a:chExt cx="20" cy="19"/>
          </a:xfrm>
        </xdr:grpSpPr>
        <xdr:sp macro="" textlink="">
          <xdr:nvSpPr>
            <xdr:cNvPr id="44341142" name="Oval 1530">
              <a:extLst>
                <a:ext uri="{FF2B5EF4-FFF2-40B4-BE49-F238E27FC236}">
                  <a16:creationId xmlns:a16="http://schemas.microsoft.com/office/drawing/2014/main" id="{00000000-0008-0000-0100-00009697A402}"/>
                </a:ext>
              </a:extLst>
            </xdr:cNvPr>
            <xdr:cNvSpPr>
              <a:spLocks noChangeArrowheads="1"/>
            </xdr:cNvSpPr>
          </xdr:nvSpPr>
          <xdr:spPr bwMode="auto">
            <a:xfrm>
              <a:off x="4902" y="1324"/>
              <a:ext cx="20" cy="19"/>
            </a:xfrm>
            <a:prstGeom prst="ellipse">
              <a:avLst/>
            </a:prstGeom>
            <a:solidFill>
              <a:srgbClr val="EAEAEA"/>
            </a:solidFill>
            <a:ln w="1">
              <a:solidFill>
                <a:srgbClr val="333333"/>
              </a:solidFill>
              <a:round/>
              <a:headEnd/>
              <a:tailEnd/>
            </a:ln>
          </xdr:spPr>
        </xdr:sp>
        <xdr:sp macro="" textlink="">
          <xdr:nvSpPr>
            <xdr:cNvPr id="44341143" name="Line 1531">
              <a:extLst>
                <a:ext uri="{FF2B5EF4-FFF2-40B4-BE49-F238E27FC236}">
                  <a16:creationId xmlns:a16="http://schemas.microsoft.com/office/drawing/2014/main" id="{00000000-0008-0000-0100-00009797A402}"/>
                </a:ext>
              </a:extLst>
            </xdr:cNvPr>
            <xdr:cNvSpPr>
              <a:spLocks noChangeShapeType="1"/>
            </xdr:cNvSpPr>
          </xdr:nvSpPr>
          <xdr:spPr bwMode="auto">
            <a:xfrm flipH="1" flipV="1">
              <a:off x="4904" y="1328"/>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144" name="Line 1532">
              <a:extLst>
                <a:ext uri="{FF2B5EF4-FFF2-40B4-BE49-F238E27FC236}">
                  <a16:creationId xmlns:a16="http://schemas.microsoft.com/office/drawing/2014/main" id="{00000000-0008-0000-0100-00009897A402}"/>
                </a:ext>
              </a:extLst>
            </xdr:cNvPr>
            <xdr:cNvSpPr>
              <a:spLocks noChangeShapeType="1"/>
            </xdr:cNvSpPr>
          </xdr:nvSpPr>
          <xdr:spPr bwMode="auto">
            <a:xfrm flipH="1">
              <a:off x="4904" y="1334"/>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145" name="Oval 1533">
              <a:extLst>
                <a:ext uri="{FF2B5EF4-FFF2-40B4-BE49-F238E27FC236}">
                  <a16:creationId xmlns:a16="http://schemas.microsoft.com/office/drawing/2014/main" id="{00000000-0008-0000-0100-00009997A402}"/>
                </a:ext>
              </a:extLst>
            </xdr:cNvPr>
            <xdr:cNvSpPr>
              <a:spLocks noChangeArrowheads="1"/>
            </xdr:cNvSpPr>
          </xdr:nvSpPr>
          <xdr:spPr bwMode="auto">
            <a:xfrm>
              <a:off x="4909" y="1327"/>
              <a:ext cx="2" cy="1"/>
            </a:xfrm>
            <a:prstGeom prst="ellipse">
              <a:avLst/>
            </a:prstGeom>
            <a:solidFill>
              <a:srgbClr val="EAEAEA"/>
            </a:solidFill>
            <a:ln w="9525">
              <a:solidFill>
                <a:srgbClr val="333333"/>
              </a:solidFill>
              <a:round/>
              <a:headEnd/>
              <a:tailEnd/>
            </a:ln>
          </xdr:spPr>
        </xdr:sp>
      </xdr:grpSp>
      <xdr:grpSp>
        <xdr:nvGrpSpPr>
          <xdr:cNvPr id="44341128" name="Group 1564">
            <a:extLst>
              <a:ext uri="{FF2B5EF4-FFF2-40B4-BE49-F238E27FC236}">
                <a16:creationId xmlns:a16="http://schemas.microsoft.com/office/drawing/2014/main" id="{00000000-0008-0000-0100-00008897A402}"/>
              </a:ext>
            </a:extLst>
          </xdr:cNvPr>
          <xdr:cNvGrpSpPr>
            <a:grpSpLocks/>
          </xdr:cNvGrpSpPr>
        </xdr:nvGrpSpPr>
        <xdr:grpSpPr bwMode="auto">
          <a:xfrm>
            <a:off x="33011132" y="2378904"/>
            <a:ext cx="2994" cy="654383"/>
            <a:chOff x="4865" y="1242"/>
            <a:chExt cx="2994" cy="70"/>
          </a:xfrm>
        </xdr:grpSpPr>
        <xdr:sp macro="" textlink="">
          <xdr:nvSpPr>
            <xdr:cNvPr id="44341140" name="Line 1565">
              <a:extLst>
                <a:ext uri="{FF2B5EF4-FFF2-40B4-BE49-F238E27FC236}">
                  <a16:creationId xmlns:a16="http://schemas.microsoft.com/office/drawing/2014/main" id="{00000000-0008-0000-0100-00009497A402}"/>
                </a:ext>
              </a:extLst>
            </xdr:cNvPr>
            <xdr:cNvSpPr>
              <a:spLocks noChangeShapeType="1"/>
            </xdr:cNvSpPr>
          </xdr:nvSpPr>
          <xdr:spPr bwMode="auto">
            <a:xfrm flipV="1">
              <a:off x="4865" y="1242"/>
              <a:ext cx="2994" cy="41"/>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1141" name="Line 1566">
              <a:extLst>
                <a:ext uri="{FF2B5EF4-FFF2-40B4-BE49-F238E27FC236}">
                  <a16:creationId xmlns:a16="http://schemas.microsoft.com/office/drawing/2014/main" id="{00000000-0008-0000-0100-00009597A402}"/>
                </a:ext>
              </a:extLst>
            </xdr:cNvPr>
            <xdr:cNvSpPr>
              <a:spLocks noChangeShapeType="1"/>
            </xdr:cNvSpPr>
          </xdr:nvSpPr>
          <xdr:spPr bwMode="auto">
            <a:xfrm>
              <a:off x="4865" y="1283"/>
              <a:ext cx="0" cy="29"/>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grpSp>
        <xdr:nvGrpSpPr>
          <xdr:cNvPr id="44341129" name="Group 812">
            <a:extLst>
              <a:ext uri="{FF2B5EF4-FFF2-40B4-BE49-F238E27FC236}">
                <a16:creationId xmlns:a16="http://schemas.microsoft.com/office/drawing/2014/main" id="{00000000-0008-0000-0100-00008997A402}"/>
              </a:ext>
            </a:extLst>
          </xdr:cNvPr>
          <xdr:cNvGrpSpPr>
            <a:grpSpLocks/>
          </xdr:cNvGrpSpPr>
        </xdr:nvGrpSpPr>
        <xdr:grpSpPr bwMode="auto">
          <a:xfrm>
            <a:off x="32062656" y="2463221"/>
            <a:ext cx="5978023" cy="394279"/>
            <a:chOff x="32062656" y="2463221"/>
            <a:chExt cx="5978023" cy="394279"/>
          </a:xfrm>
        </xdr:grpSpPr>
        <xdr:sp macro="" textlink="">
          <xdr:nvSpPr>
            <xdr:cNvPr id="44341135" name="Line 26">
              <a:extLst>
                <a:ext uri="{FF2B5EF4-FFF2-40B4-BE49-F238E27FC236}">
                  <a16:creationId xmlns:a16="http://schemas.microsoft.com/office/drawing/2014/main" id="{00000000-0008-0000-0100-00008F97A402}"/>
                </a:ext>
              </a:extLst>
            </xdr:cNvPr>
            <xdr:cNvSpPr>
              <a:spLocks noChangeShapeType="1"/>
            </xdr:cNvSpPr>
          </xdr:nvSpPr>
          <xdr:spPr bwMode="auto">
            <a:xfrm flipH="1">
              <a:off x="32062656" y="2472570"/>
              <a:ext cx="167275" cy="384930"/>
            </a:xfrm>
            <a:prstGeom prst="line">
              <a:avLst/>
            </a:prstGeom>
            <a:noFill/>
            <a:ln w="9525">
              <a:solidFill>
                <a:srgbClr val="FF6600"/>
              </a:solidFill>
              <a:round/>
              <a:headEnd/>
              <a:tailEnd type="triangle" w="med" len="med"/>
            </a:ln>
            <a:extLst>
              <a:ext uri="{909E8E84-426E-40DD-AFC4-6F175D3DCCD1}">
                <a14:hiddenFill xmlns:a14="http://schemas.microsoft.com/office/drawing/2010/main">
                  <a:noFill/>
                </a14:hiddenFill>
              </a:ext>
            </a:extLst>
          </xdr:spPr>
        </xdr:sp>
        <xdr:sp macro="" textlink="">
          <xdr:nvSpPr>
            <xdr:cNvPr id="44341136" name="Arc 39">
              <a:extLst>
                <a:ext uri="{FF2B5EF4-FFF2-40B4-BE49-F238E27FC236}">
                  <a16:creationId xmlns:a16="http://schemas.microsoft.com/office/drawing/2014/main" id="{00000000-0008-0000-0100-00009097A402}"/>
                </a:ext>
              </a:extLst>
            </xdr:cNvPr>
            <xdr:cNvSpPr>
              <a:spLocks/>
            </xdr:cNvSpPr>
          </xdr:nvSpPr>
          <xdr:spPr bwMode="auto">
            <a:xfrm>
              <a:off x="34377191" y="2463221"/>
              <a:ext cx="159879" cy="19321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FF66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44341137" name="Arc 41">
              <a:extLst>
                <a:ext uri="{FF2B5EF4-FFF2-40B4-BE49-F238E27FC236}">
                  <a16:creationId xmlns:a16="http://schemas.microsoft.com/office/drawing/2014/main" id="{00000000-0008-0000-0100-00009197A402}"/>
                </a:ext>
              </a:extLst>
            </xdr:cNvPr>
            <xdr:cNvSpPr>
              <a:spLocks/>
            </xdr:cNvSpPr>
          </xdr:nvSpPr>
          <xdr:spPr bwMode="auto">
            <a:xfrm>
              <a:off x="36041937" y="2465933"/>
              <a:ext cx="134167" cy="16432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FF66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44341138" name="Line 74">
              <a:extLst>
                <a:ext uri="{FF2B5EF4-FFF2-40B4-BE49-F238E27FC236}">
                  <a16:creationId xmlns:a16="http://schemas.microsoft.com/office/drawing/2014/main" id="{00000000-0008-0000-0100-00009297A402}"/>
                </a:ext>
              </a:extLst>
            </xdr:cNvPr>
            <xdr:cNvSpPr>
              <a:spLocks noChangeShapeType="1"/>
            </xdr:cNvSpPr>
          </xdr:nvSpPr>
          <xdr:spPr bwMode="auto">
            <a:xfrm>
              <a:off x="32231846" y="2465932"/>
              <a:ext cx="5667888" cy="1"/>
            </a:xfrm>
            <a:prstGeom prst="line">
              <a:avLst/>
            </a:prstGeom>
            <a:noFill/>
            <a:ln w="9525">
              <a:solidFill>
                <a:srgbClr val="FF6600"/>
              </a:solidFill>
              <a:round/>
              <a:headEnd/>
              <a:tailEnd/>
            </a:ln>
            <a:extLst>
              <a:ext uri="{909E8E84-426E-40DD-AFC4-6F175D3DCCD1}">
                <a14:hiddenFill xmlns:a14="http://schemas.microsoft.com/office/drawing/2010/main">
                  <a:noFill/>
                </a14:hiddenFill>
              </a:ext>
            </a:extLst>
          </xdr:spPr>
        </xdr:sp>
        <xdr:sp macro="" textlink="">
          <xdr:nvSpPr>
            <xdr:cNvPr id="44341139" name="Arc 41">
              <a:extLst>
                <a:ext uri="{FF2B5EF4-FFF2-40B4-BE49-F238E27FC236}">
                  <a16:creationId xmlns:a16="http://schemas.microsoft.com/office/drawing/2014/main" id="{00000000-0008-0000-0100-00009397A402}"/>
                </a:ext>
              </a:extLst>
            </xdr:cNvPr>
            <xdr:cNvSpPr>
              <a:spLocks/>
            </xdr:cNvSpPr>
          </xdr:nvSpPr>
          <xdr:spPr bwMode="auto">
            <a:xfrm>
              <a:off x="37906399" y="2470171"/>
              <a:ext cx="134280" cy="16432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FF6600"/>
              </a:solidFill>
              <a:round/>
              <a:headEnd/>
              <a:tailEnd/>
            </a:ln>
            <a:extLst>
              <a:ext uri="{909E8E84-426E-40DD-AFC4-6F175D3DCCD1}">
                <a14:hiddenFill xmlns:a14="http://schemas.microsoft.com/office/drawing/2010/main">
                  <a:solidFill>
                    <a:srgbClr val="FFFFFF"/>
                  </a:solidFill>
                </a14:hiddenFill>
              </a:ext>
            </a:extLst>
          </xdr:spPr>
        </xdr:sp>
      </xdr:grpSp>
      <xdr:grpSp>
        <xdr:nvGrpSpPr>
          <xdr:cNvPr id="44341130" name="Group 813">
            <a:extLst>
              <a:ext uri="{FF2B5EF4-FFF2-40B4-BE49-F238E27FC236}">
                <a16:creationId xmlns:a16="http://schemas.microsoft.com/office/drawing/2014/main" id="{00000000-0008-0000-0100-00008A97A402}"/>
              </a:ext>
            </a:extLst>
          </xdr:cNvPr>
          <xdr:cNvGrpSpPr>
            <a:grpSpLocks/>
          </xdr:cNvGrpSpPr>
        </xdr:nvGrpSpPr>
        <xdr:grpSpPr bwMode="auto">
          <a:xfrm>
            <a:off x="27801757" y="3308804"/>
            <a:ext cx="2810473" cy="77865"/>
            <a:chOff x="27801757" y="3308804"/>
            <a:chExt cx="2810473" cy="77865"/>
          </a:xfrm>
        </xdr:grpSpPr>
        <xdr:sp macro="" textlink="">
          <xdr:nvSpPr>
            <xdr:cNvPr id="44341133" name="Line 1636">
              <a:extLst>
                <a:ext uri="{FF2B5EF4-FFF2-40B4-BE49-F238E27FC236}">
                  <a16:creationId xmlns:a16="http://schemas.microsoft.com/office/drawing/2014/main" id="{00000000-0008-0000-0100-00008D97A402}"/>
                </a:ext>
              </a:extLst>
            </xdr:cNvPr>
            <xdr:cNvSpPr>
              <a:spLocks noChangeShapeType="1"/>
            </xdr:cNvSpPr>
          </xdr:nvSpPr>
          <xdr:spPr bwMode="auto">
            <a:xfrm flipV="1">
              <a:off x="27834901" y="3308804"/>
              <a:ext cx="2777329" cy="0"/>
            </a:xfrm>
            <a:prstGeom prst="line">
              <a:avLst/>
            </a:prstGeom>
            <a:noFill/>
            <a:ln w="0">
              <a:solidFill>
                <a:srgbClr val="0000FF"/>
              </a:solidFill>
              <a:round/>
              <a:headEnd/>
              <a:tailEnd type="triangle" w="med" len="med"/>
            </a:ln>
            <a:extLst>
              <a:ext uri="{909E8E84-426E-40DD-AFC4-6F175D3DCCD1}">
                <a14:hiddenFill xmlns:a14="http://schemas.microsoft.com/office/drawing/2010/main">
                  <a:noFill/>
                </a14:hiddenFill>
              </a:ext>
            </a:extLst>
          </xdr:spPr>
        </xdr:sp>
        <xdr:sp macro="" textlink="">
          <xdr:nvSpPr>
            <xdr:cNvPr id="44341134" name="Line 1549">
              <a:extLst>
                <a:ext uri="{FF2B5EF4-FFF2-40B4-BE49-F238E27FC236}">
                  <a16:creationId xmlns:a16="http://schemas.microsoft.com/office/drawing/2014/main" id="{00000000-0008-0000-0100-00008E97A402}"/>
                </a:ext>
              </a:extLst>
            </xdr:cNvPr>
            <xdr:cNvSpPr>
              <a:spLocks noChangeShapeType="1"/>
            </xdr:cNvSpPr>
          </xdr:nvSpPr>
          <xdr:spPr bwMode="auto">
            <a:xfrm flipH="1" flipV="1">
              <a:off x="27801757" y="3375658"/>
              <a:ext cx="2784075" cy="11011"/>
            </a:xfrm>
            <a:prstGeom prst="line">
              <a:avLst/>
            </a:prstGeom>
            <a:noFill/>
            <a:ln w="0">
              <a:solidFill>
                <a:srgbClr val="0000FF"/>
              </a:solidFill>
              <a:prstDash val="dash"/>
              <a:round/>
              <a:headEnd/>
              <a:tailEnd type="triangle" w="med" len="med"/>
            </a:ln>
            <a:extLst>
              <a:ext uri="{909E8E84-426E-40DD-AFC4-6F175D3DCCD1}">
                <a14:hiddenFill xmlns:a14="http://schemas.microsoft.com/office/drawing/2010/main">
                  <a:noFill/>
                </a14:hiddenFill>
              </a:ext>
            </a:extLst>
          </xdr:spPr>
        </xdr:sp>
      </xdr:grpSp>
      <xdr:sp macro="" textlink="">
        <xdr:nvSpPr>
          <xdr:cNvPr id="44341131" name="Line 1549">
            <a:extLst>
              <a:ext uri="{FF2B5EF4-FFF2-40B4-BE49-F238E27FC236}">
                <a16:creationId xmlns:a16="http://schemas.microsoft.com/office/drawing/2014/main" id="{00000000-0008-0000-0100-00008B97A402}"/>
              </a:ext>
            </a:extLst>
          </xdr:cNvPr>
          <xdr:cNvSpPr>
            <a:spLocks noChangeShapeType="1"/>
          </xdr:cNvSpPr>
        </xdr:nvSpPr>
        <xdr:spPr bwMode="auto">
          <a:xfrm flipH="1">
            <a:off x="27805994" y="3238499"/>
            <a:ext cx="4589588" cy="3817"/>
          </a:xfrm>
          <a:prstGeom prst="line">
            <a:avLst/>
          </a:prstGeom>
          <a:noFill/>
          <a:ln w="0">
            <a:solidFill>
              <a:srgbClr val="0000FF"/>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341132" name="Line 1633">
            <a:extLst>
              <a:ext uri="{FF2B5EF4-FFF2-40B4-BE49-F238E27FC236}">
                <a16:creationId xmlns:a16="http://schemas.microsoft.com/office/drawing/2014/main" id="{00000000-0008-0000-0100-00008C97A402}"/>
              </a:ext>
            </a:extLst>
          </xdr:cNvPr>
          <xdr:cNvSpPr>
            <a:spLocks noChangeShapeType="1"/>
          </xdr:cNvSpPr>
        </xdr:nvSpPr>
        <xdr:spPr bwMode="auto">
          <a:xfrm>
            <a:off x="27800533" y="3734769"/>
            <a:ext cx="4944300" cy="1147"/>
          </a:xfrm>
          <a:prstGeom prst="line">
            <a:avLst/>
          </a:prstGeom>
          <a:noFill/>
          <a:ln w="19050">
            <a:solidFill>
              <a:srgbClr val="008000"/>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editAs="oneCell">
    <xdr:from>
      <xdr:col>71</xdr:col>
      <xdr:colOff>0</xdr:colOff>
      <xdr:row>81</xdr:row>
      <xdr:rowOff>0</xdr:rowOff>
    </xdr:from>
    <xdr:to>
      <xdr:col>72</xdr:col>
      <xdr:colOff>19049</xdr:colOff>
      <xdr:row>82</xdr:row>
      <xdr:rowOff>9525</xdr:rowOff>
    </xdr:to>
    <xdr:pic>
      <xdr:nvPicPr>
        <xdr:cNvPr id="44340877" name="Picture 924">
          <a:extLst>
            <a:ext uri="{FF2B5EF4-FFF2-40B4-BE49-F238E27FC236}">
              <a16:creationId xmlns:a16="http://schemas.microsoft.com/office/drawing/2014/main" id="{00000000-0008-0000-0100-00008D96A4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251650" y="13115925"/>
          <a:ext cx="73342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65</xdr:col>
      <xdr:colOff>542925</xdr:colOff>
      <xdr:row>125</xdr:row>
      <xdr:rowOff>57150</xdr:rowOff>
    </xdr:from>
    <xdr:to>
      <xdr:col>71</xdr:col>
      <xdr:colOff>133350</xdr:colOff>
      <xdr:row>158</xdr:row>
      <xdr:rowOff>9525</xdr:rowOff>
    </xdr:to>
    <xdr:grpSp>
      <xdr:nvGrpSpPr>
        <xdr:cNvPr id="44340878" name="Group 10">
          <a:extLst>
            <a:ext uri="{FF2B5EF4-FFF2-40B4-BE49-F238E27FC236}">
              <a16:creationId xmlns:a16="http://schemas.microsoft.com/office/drawing/2014/main" id="{00000000-0008-0000-0100-00008E96A402}"/>
            </a:ext>
          </a:extLst>
        </xdr:cNvPr>
        <xdr:cNvGrpSpPr>
          <a:grpSpLocks/>
        </xdr:cNvGrpSpPr>
      </xdr:nvGrpSpPr>
      <xdr:grpSpPr bwMode="auto">
        <a:xfrm>
          <a:off x="30691455" y="20293965"/>
          <a:ext cx="3985260" cy="5301615"/>
          <a:chOff x="27583337" y="19877633"/>
          <a:chExt cx="3909390" cy="5191125"/>
        </a:xfrm>
      </xdr:grpSpPr>
      <xdr:sp macro="" textlink="">
        <xdr:nvSpPr>
          <xdr:cNvPr id="44341029" name="Line 2130">
            <a:extLst>
              <a:ext uri="{FF2B5EF4-FFF2-40B4-BE49-F238E27FC236}">
                <a16:creationId xmlns:a16="http://schemas.microsoft.com/office/drawing/2014/main" id="{00000000-0008-0000-0100-00002597A402}"/>
              </a:ext>
            </a:extLst>
          </xdr:cNvPr>
          <xdr:cNvSpPr>
            <a:spLocks noChangeShapeType="1"/>
          </xdr:cNvSpPr>
        </xdr:nvSpPr>
        <xdr:spPr bwMode="auto">
          <a:xfrm flipH="1">
            <a:off x="29622742" y="21654407"/>
            <a:ext cx="571499" cy="326719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1030" name="Rectangle 2131">
            <a:extLst>
              <a:ext uri="{FF2B5EF4-FFF2-40B4-BE49-F238E27FC236}">
                <a16:creationId xmlns:a16="http://schemas.microsoft.com/office/drawing/2014/main" id="{00000000-0008-0000-0100-00002697A402}"/>
              </a:ext>
            </a:extLst>
          </xdr:cNvPr>
          <xdr:cNvSpPr>
            <a:spLocks noChangeArrowheads="1"/>
          </xdr:cNvSpPr>
        </xdr:nvSpPr>
        <xdr:spPr bwMode="auto">
          <a:xfrm>
            <a:off x="27807916" y="20012892"/>
            <a:ext cx="3497576" cy="4897287"/>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44341031" name="Line 2132">
            <a:extLst>
              <a:ext uri="{FF2B5EF4-FFF2-40B4-BE49-F238E27FC236}">
                <a16:creationId xmlns:a16="http://schemas.microsoft.com/office/drawing/2014/main" id="{00000000-0008-0000-0100-00002797A402}"/>
              </a:ext>
            </a:extLst>
          </xdr:cNvPr>
          <xdr:cNvSpPr>
            <a:spLocks noChangeShapeType="1"/>
          </xdr:cNvSpPr>
        </xdr:nvSpPr>
        <xdr:spPr bwMode="auto">
          <a:xfrm flipH="1" flipV="1">
            <a:off x="27826018" y="22792686"/>
            <a:ext cx="2156556" cy="365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1032" name="Line 2133">
            <a:extLst>
              <a:ext uri="{FF2B5EF4-FFF2-40B4-BE49-F238E27FC236}">
                <a16:creationId xmlns:a16="http://schemas.microsoft.com/office/drawing/2014/main" id="{00000000-0008-0000-0100-00002897A402}"/>
              </a:ext>
            </a:extLst>
          </xdr:cNvPr>
          <xdr:cNvSpPr>
            <a:spLocks noChangeShapeType="1"/>
          </xdr:cNvSpPr>
        </xdr:nvSpPr>
        <xdr:spPr bwMode="auto">
          <a:xfrm>
            <a:off x="30208489" y="21648389"/>
            <a:ext cx="108987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1033" name="Line 2134">
            <a:extLst>
              <a:ext uri="{FF2B5EF4-FFF2-40B4-BE49-F238E27FC236}">
                <a16:creationId xmlns:a16="http://schemas.microsoft.com/office/drawing/2014/main" id="{00000000-0008-0000-0100-00002997A402}"/>
              </a:ext>
            </a:extLst>
          </xdr:cNvPr>
          <xdr:cNvSpPr>
            <a:spLocks noChangeShapeType="1"/>
          </xdr:cNvSpPr>
        </xdr:nvSpPr>
        <xdr:spPr bwMode="auto">
          <a:xfrm>
            <a:off x="27819413" y="23902737"/>
            <a:ext cx="1983245" cy="3812"/>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grpSp>
        <xdr:nvGrpSpPr>
          <xdr:cNvPr id="44341034" name="Group 2135">
            <a:extLst>
              <a:ext uri="{FF2B5EF4-FFF2-40B4-BE49-F238E27FC236}">
                <a16:creationId xmlns:a16="http://schemas.microsoft.com/office/drawing/2014/main" id="{00000000-0008-0000-0100-00002A97A402}"/>
              </a:ext>
            </a:extLst>
          </xdr:cNvPr>
          <xdr:cNvGrpSpPr>
            <a:grpSpLocks/>
          </xdr:cNvGrpSpPr>
        </xdr:nvGrpSpPr>
        <xdr:grpSpPr bwMode="auto">
          <a:xfrm>
            <a:off x="29393190" y="20068861"/>
            <a:ext cx="1578670" cy="1044754"/>
            <a:chOff x="4698" y="3016"/>
            <a:chExt cx="239" cy="112"/>
          </a:xfrm>
        </xdr:grpSpPr>
        <xdr:sp macro="" textlink="">
          <xdr:nvSpPr>
            <xdr:cNvPr id="44341083" name="Line 2136">
              <a:extLst>
                <a:ext uri="{FF2B5EF4-FFF2-40B4-BE49-F238E27FC236}">
                  <a16:creationId xmlns:a16="http://schemas.microsoft.com/office/drawing/2014/main" id="{00000000-0008-0000-0100-00005B97A402}"/>
                </a:ext>
              </a:extLst>
            </xdr:cNvPr>
            <xdr:cNvSpPr>
              <a:spLocks noChangeShapeType="1"/>
            </xdr:cNvSpPr>
          </xdr:nvSpPr>
          <xdr:spPr bwMode="auto">
            <a:xfrm>
              <a:off x="4849" y="3069"/>
              <a:ext cx="4" cy="59"/>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sp macro="" textlink="">
          <xdr:nvSpPr>
            <xdr:cNvPr id="44341084" name="Line 2137">
              <a:extLst>
                <a:ext uri="{FF2B5EF4-FFF2-40B4-BE49-F238E27FC236}">
                  <a16:creationId xmlns:a16="http://schemas.microsoft.com/office/drawing/2014/main" id="{00000000-0008-0000-0100-00005C97A402}"/>
                </a:ext>
              </a:extLst>
            </xdr:cNvPr>
            <xdr:cNvSpPr>
              <a:spLocks noChangeShapeType="1"/>
            </xdr:cNvSpPr>
          </xdr:nvSpPr>
          <xdr:spPr bwMode="auto">
            <a:xfrm>
              <a:off x="4862" y="3064"/>
              <a:ext cx="35" cy="49"/>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sp macro="" textlink="">
          <xdr:nvSpPr>
            <xdr:cNvPr id="44341085" name="Line 2138">
              <a:extLst>
                <a:ext uri="{FF2B5EF4-FFF2-40B4-BE49-F238E27FC236}">
                  <a16:creationId xmlns:a16="http://schemas.microsoft.com/office/drawing/2014/main" id="{00000000-0008-0000-0100-00005D97A402}"/>
                </a:ext>
              </a:extLst>
            </xdr:cNvPr>
            <xdr:cNvSpPr>
              <a:spLocks noChangeShapeType="1"/>
            </xdr:cNvSpPr>
          </xdr:nvSpPr>
          <xdr:spPr bwMode="auto">
            <a:xfrm>
              <a:off x="4867" y="3052"/>
              <a:ext cx="61" cy="49"/>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sp macro="" textlink="">
          <xdr:nvSpPr>
            <xdr:cNvPr id="44341086" name="Line 2139">
              <a:extLst>
                <a:ext uri="{FF2B5EF4-FFF2-40B4-BE49-F238E27FC236}">
                  <a16:creationId xmlns:a16="http://schemas.microsoft.com/office/drawing/2014/main" id="{00000000-0008-0000-0100-00005E97A402}"/>
                </a:ext>
              </a:extLst>
            </xdr:cNvPr>
            <xdr:cNvSpPr>
              <a:spLocks noChangeShapeType="1"/>
            </xdr:cNvSpPr>
          </xdr:nvSpPr>
          <xdr:spPr bwMode="auto">
            <a:xfrm>
              <a:off x="4871" y="3041"/>
              <a:ext cx="66" cy="21"/>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sp macro="" textlink="">
          <xdr:nvSpPr>
            <xdr:cNvPr id="44341087" name="Line 2140">
              <a:extLst>
                <a:ext uri="{FF2B5EF4-FFF2-40B4-BE49-F238E27FC236}">
                  <a16:creationId xmlns:a16="http://schemas.microsoft.com/office/drawing/2014/main" id="{00000000-0008-0000-0100-00005F97A402}"/>
                </a:ext>
              </a:extLst>
            </xdr:cNvPr>
            <xdr:cNvSpPr>
              <a:spLocks noChangeShapeType="1"/>
            </xdr:cNvSpPr>
          </xdr:nvSpPr>
          <xdr:spPr bwMode="auto">
            <a:xfrm flipV="1">
              <a:off x="4867" y="3016"/>
              <a:ext cx="46" cy="15"/>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grpSp>
          <xdr:nvGrpSpPr>
            <xdr:cNvPr id="44341088" name="Group 2141">
              <a:extLst>
                <a:ext uri="{FF2B5EF4-FFF2-40B4-BE49-F238E27FC236}">
                  <a16:creationId xmlns:a16="http://schemas.microsoft.com/office/drawing/2014/main" id="{00000000-0008-0000-0100-00006097A402}"/>
                </a:ext>
              </a:extLst>
            </xdr:cNvPr>
            <xdr:cNvGrpSpPr>
              <a:grpSpLocks/>
            </xdr:cNvGrpSpPr>
          </xdr:nvGrpSpPr>
          <xdr:grpSpPr bwMode="auto">
            <a:xfrm>
              <a:off x="4698" y="3020"/>
              <a:ext cx="171" cy="63"/>
              <a:chOff x="4698" y="3020"/>
              <a:chExt cx="171" cy="63"/>
            </a:xfrm>
          </xdr:grpSpPr>
          <xdr:sp macro="" textlink="">
            <xdr:nvSpPr>
              <xdr:cNvPr id="44341089" name="Oval 2142">
                <a:extLst>
                  <a:ext uri="{FF2B5EF4-FFF2-40B4-BE49-F238E27FC236}">
                    <a16:creationId xmlns:a16="http://schemas.microsoft.com/office/drawing/2014/main" id="{00000000-0008-0000-0100-00006197A402}"/>
                  </a:ext>
                </a:extLst>
              </xdr:cNvPr>
              <xdr:cNvSpPr>
                <a:spLocks noChangeArrowheads="1"/>
              </xdr:cNvSpPr>
            </xdr:nvSpPr>
            <xdr:spPr bwMode="auto">
              <a:xfrm>
                <a:off x="4822" y="3020"/>
                <a:ext cx="47" cy="47"/>
              </a:xfrm>
              <a:prstGeom prst="ellipse">
                <a:avLst/>
              </a:prstGeom>
              <a:solidFill>
                <a:srgbClr val="FFFF00"/>
              </a:solidFill>
              <a:ln w="9525">
                <a:solidFill>
                  <a:srgbClr val="FFCC00"/>
                </a:solidFill>
                <a:round/>
                <a:headEnd/>
                <a:tailEnd/>
              </a:ln>
            </xdr:spPr>
          </xdr:sp>
          <xdr:grpSp>
            <xdr:nvGrpSpPr>
              <xdr:cNvPr id="44341090" name="Group 2143">
                <a:extLst>
                  <a:ext uri="{FF2B5EF4-FFF2-40B4-BE49-F238E27FC236}">
                    <a16:creationId xmlns:a16="http://schemas.microsoft.com/office/drawing/2014/main" id="{00000000-0008-0000-0100-00006297A402}"/>
                  </a:ext>
                </a:extLst>
              </xdr:cNvPr>
              <xdr:cNvGrpSpPr>
                <a:grpSpLocks/>
              </xdr:cNvGrpSpPr>
            </xdr:nvGrpSpPr>
            <xdr:grpSpPr bwMode="auto">
              <a:xfrm>
                <a:off x="4698" y="3025"/>
                <a:ext cx="145" cy="58"/>
                <a:chOff x="4698" y="3025"/>
                <a:chExt cx="145" cy="58"/>
              </a:xfrm>
            </xdr:grpSpPr>
            <xdr:sp macro="" textlink="">
              <xdr:nvSpPr>
                <xdr:cNvPr id="44341091" name="Arc 2144">
                  <a:extLst>
                    <a:ext uri="{FF2B5EF4-FFF2-40B4-BE49-F238E27FC236}">
                      <a16:creationId xmlns:a16="http://schemas.microsoft.com/office/drawing/2014/main" id="{00000000-0008-0000-0100-00006397A402}"/>
                    </a:ext>
                  </a:extLst>
                </xdr:cNvPr>
                <xdr:cNvSpPr>
                  <a:spLocks/>
                </xdr:cNvSpPr>
              </xdr:nvSpPr>
              <xdr:spPr bwMode="auto">
                <a:xfrm>
                  <a:off x="4805" y="3033"/>
                  <a:ext cx="38" cy="27"/>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092" name="Arc 2145">
                  <a:extLst>
                    <a:ext uri="{FF2B5EF4-FFF2-40B4-BE49-F238E27FC236}">
                      <a16:creationId xmlns:a16="http://schemas.microsoft.com/office/drawing/2014/main" id="{00000000-0008-0000-0100-00006497A402}"/>
                    </a:ext>
                  </a:extLst>
                </xdr:cNvPr>
                <xdr:cNvSpPr>
                  <a:spLocks/>
                </xdr:cNvSpPr>
              </xdr:nvSpPr>
              <xdr:spPr bwMode="auto">
                <a:xfrm>
                  <a:off x="4780" y="3025"/>
                  <a:ext cx="32" cy="11"/>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093" name="Arc 2146">
                  <a:extLst>
                    <a:ext uri="{FF2B5EF4-FFF2-40B4-BE49-F238E27FC236}">
                      <a16:creationId xmlns:a16="http://schemas.microsoft.com/office/drawing/2014/main" id="{00000000-0008-0000-0100-00006597A402}"/>
                    </a:ext>
                  </a:extLst>
                </xdr:cNvPr>
                <xdr:cNvSpPr>
                  <a:spLocks/>
                </xdr:cNvSpPr>
              </xdr:nvSpPr>
              <xdr:spPr bwMode="auto">
                <a:xfrm flipH="1">
                  <a:off x="4737" y="3025"/>
                  <a:ext cx="39" cy="11"/>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094" name="Arc 2147">
                  <a:extLst>
                    <a:ext uri="{FF2B5EF4-FFF2-40B4-BE49-F238E27FC236}">
                      <a16:creationId xmlns:a16="http://schemas.microsoft.com/office/drawing/2014/main" id="{00000000-0008-0000-0100-00006697A402}"/>
                    </a:ext>
                  </a:extLst>
                </xdr:cNvPr>
                <xdr:cNvSpPr>
                  <a:spLocks/>
                </xdr:cNvSpPr>
              </xdr:nvSpPr>
              <xdr:spPr bwMode="auto">
                <a:xfrm flipH="1">
                  <a:off x="4698" y="3036"/>
                  <a:ext cx="34" cy="2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095" name="Arc 2148">
                  <a:extLst>
                    <a:ext uri="{FF2B5EF4-FFF2-40B4-BE49-F238E27FC236}">
                      <a16:creationId xmlns:a16="http://schemas.microsoft.com/office/drawing/2014/main" id="{00000000-0008-0000-0100-00006797A402}"/>
                    </a:ext>
                  </a:extLst>
                </xdr:cNvPr>
                <xdr:cNvSpPr>
                  <a:spLocks/>
                </xdr:cNvSpPr>
              </xdr:nvSpPr>
              <xdr:spPr bwMode="auto">
                <a:xfrm flipH="1" flipV="1">
                  <a:off x="4698" y="3060"/>
                  <a:ext cx="19" cy="2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096" name="Arc 2149">
                  <a:extLst>
                    <a:ext uri="{FF2B5EF4-FFF2-40B4-BE49-F238E27FC236}">
                      <a16:creationId xmlns:a16="http://schemas.microsoft.com/office/drawing/2014/main" id="{00000000-0008-0000-0100-00006897A402}"/>
                    </a:ext>
                  </a:extLst>
                </xdr:cNvPr>
                <xdr:cNvSpPr>
                  <a:spLocks/>
                </xdr:cNvSpPr>
              </xdr:nvSpPr>
              <xdr:spPr bwMode="auto">
                <a:xfrm flipV="1">
                  <a:off x="4717" y="3060"/>
                  <a:ext cx="27" cy="2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097" name="Arc 2150">
                  <a:extLst>
                    <a:ext uri="{FF2B5EF4-FFF2-40B4-BE49-F238E27FC236}">
                      <a16:creationId xmlns:a16="http://schemas.microsoft.com/office/drawing/2014/main" id="{00000000-0008-0000-0100-00006997A402}"/>
                    </a:ext>
                  </a:extLst>
                </xdr:cNvPr>
                <xdr:cNvSpPr>
                  <a:spLocks/>
                </xdr:cNvSpPr>
              </xdr:nvSpPr>
              <xdr:spPr bwMode="auto">
                <a:xfrm flipH="1" flipV="1">
                  <a:off x="4740" y="3070"/>
                  <a:ext cx="28" cy="1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098" name="Arc 2151">
                  <a:extLst>
                    <a:ext uri="{FF2B5EF4-FFF2-40B4-BE49-F238E27FC236}">
                      <a16:creationId xmlns:a16="http://schemas.microsoft.com/office/drawing/2014/main" id="{00000000-0008-0000-0100-00006A97A402}"/>
                    </a:ext>
                  </a:extLst>
                </xdr:cNvPr>
                <xdr:cNvSpPr>
                  <a:spLocks/>
                </xdr:cNvSpPr>
              </xdr:nvSpPr>
              <xdr:spPr bwMode="auto">
                <a:xfrm flipV="1">
                  <a:off x="4771" y="3066"/>
                  <a:ext cx="28" cy="17"/>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099" name="Arc 2152">
                  <a:extLst>
                    <a:ext uri="{FF2B5EF4-FFF2-40B4-BE49-F238E27FC236}">
                      <a16:creationId xmlns:a16="http://schemas.microsoft.com/office/drawing/2014/main" id="{00000000-0008-0000-0100-00006B97A402}"/>
                    </a:ext>
                  </a:extLst>
                </xdr:cNvPr>
                <xdr:cNvSpPr>
                  <a:spLocks/>
                </xdr:cNvSpPr>
              </xdr:nvSpPr>
              <xdr:spPr bwMode="auto">
                <a:xfrm flipV="1">
                  <a:off x="4792" y="3057"/>
                  <a:ext cx="51" cy="2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grpSp>
        </xdr:grpSp>
      </xdr:grpSp>
      <xdr:grpSp>
        <xdr:nvGrpSpPr>
          <xdr:cNvPr id="44341035" name="Group 2153">
            <a:extLst>
              <a:ext uri="{FF2B5EF4-FFF2-40B4-BE49-F238E27FC236}">
                <a16:creationId xmlns:a16="http://schemas.microsoft.com/office/drawing/2014/main" id="{00000000-0008-0000-0100-00002B97A402}"/>
              </a:ext>
            </a:extLst>
          </xdr:cNvPr>
          <xdr:cNvGrpSpPr>
            <a:grpSpLocks/>
          </xdr:cNvGrpSpPr>
        </xdr:nvGrpSpPr>
        <xdr:grpSpPr bwMode="auto">
          <a:xfrm>
            <a:off x="29274296" y="21104242"/>
            <a:ext cx="132106" cy="177235"/>
            <a:chOff x="4680" y="3161"/>
            <a:chExt cx="20" cy="19"/>
          </a:xfrm>
        </xdr:grpSpPr>
        <xdr:sp macro="" textlink="">
          <xdr:nvSpPr>
            <xdr:cNvPr id="44341079" name="Oval 2154">
              <a:extLst>
                <a:ext uri="{FF2B5EF4-FFF2-40B4-BE49-F238E27FC236}">
                  <a16:creationId xmlns:a16="http://schemas.microsoft.com/office/drawing/2014/main" id="{00000000-0008-0000-0100-00005797A402}"/>
                </a:ext>
              </a:extLst>
            </xdr:cNvPr>
            <xdr:cNvSpPr>
              <a:spLocks noChangeArrowheads="1"/>
            </xdr:cNvSpPr>
          </xdr:nvSpPr>
          <xdr:spPr bwMode="auto">
            <a:xfrm>
              <a:off x="4680" y="3161"/>
              <a:ext cx="20" cy="19"/>
            </a:xfrm>
            <a:prstGeom prst="ellipse">
              <a:avLst/>
            </a:prstGeom>
            <a:solidFill>
              <a:srgbClr val="EAEAEA"/>
            </a:solidFill>
            <a:ln w="1">
              <a:solidFill>
                <a:srgbClr val="333333"/>
              </a:solidFill>
              <a:round/>
              <a:headEnd/>
              <a:tailEnd/>
            </a:ln>
          </xdr:spPr>
        </xdr:sp>
        <xdr:sp macro="" textlink="">
          <xdr:nvSpPr>
            <xdr:cNvPr id="44341080" name="Line 2155">
              <a:extLst>
                <a:ext uri="{FF2B5EF4-FFF2-40B4-BE49-F238E27FC236}">
                  <a16:creationId xmlns:a16="http://schemas.microsoft.com/office/drawing/2014/main" id="{00000000-0008-0000-0100-00005897A402}"/>
                </a:ext>
              </a:extLst>
            </xdr:cNvPr>
            <xdr:cNvSpPr>
              <a:spLocks noChangeShapeType="1"/>
            </xdr:cNvSpPr>
          </xdr:nvSpPr>
          <xdr:spPr bwMode="auto">
            <a:xfrm flipH="1" flipV="1">
              <a:off x="4682" y="3165"/>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081" name="Line 2156">
              <a:extLst>
                <a:ext uri="{FF2B5EF4-FFF2-40B4-BE49-F238E27FC236}">
                  <a16:creationId xmlns:a16="http://schemas.microsoft.com/office/drawing/2014/main" id="{00000000-0008-0000-0100-00005997A402}"/>
                </a:ext>
              </a:extLst>
            </xdr:cNvPr>
            <xdr:cNvSpPr>
              <a:spLocks noChangeShapeType="1"/>
            </xdr:cNvSpPr>
          </xdr:nvSpPr>
          <xdr:spPr bwMode="auto">
            <a:xfrm flipH="1">
              <a:off x="4682" y="3171"/>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082" name="Oval 2157">
              <a:extLst>
                <a:ext uri="{FF2B5EF4-FFF2-40B4-BE49-F238E27FC236}">
                  <a16:creationId xmlns:a16="http://schemas.microsoft.com/office/drawing/2014/main" id="{00000000-0008-0000-0100-00005A97A402}"/>
                </a:ext>
              </a:extLst>
            </xdr:cNvPr>
            <xdr:cNvSpPr>
              <a:spLocks noChangeArrowheads="1"/>
            </xdr:cNvSpPr>
          </xdr:nvSpPr>
          <xdr:spPr bwMode="auto">
            <a:xfrm>
              <a:off x="4687" y="3164"/>
              <a:ext cx="2" cy="1"/>
            </a:xfrm>
            <a:prstGeom prst="ellipse">
              <a:avLst/>
            </a:prstGeom>
            <a:solidFill>
              <a:srgbClr val="EAEAEA"/>
            </a:solidFill>
            <a:ln w="9525">
              <a:solidFill>
                <a:srgbClr val="333333"/>
              </a:solidFill>
              <a:round/>
              <a:headEnd/>
              <a:tailEnd/>
            </a:ln>
          </xdr:spPr>
        </xdr:sp>
      </xdr:grpSp>
      <xdr:grpSp>
        <xdr:nvGrpSpPr>
          <xdr:cNvPr id="44341036" name="Group 2158">
            <a:extLst>
              <a:ext uri="{FF2B5EF4-FFF2-40B4-BE49-F238E27FC236}">
                <a16:creationId xmlns:a16="http://schemas.microsoft.com/office/drawing/2014/main" id="{00000000-0008-0000-0100-00002C97A402}"/>
              </a:ext>
            </a:extLst>
          </xdr:cNvPr>
          <xdr:cNvGrpSpPr>
            <a:grpSpLocks/>
          </xdr:cNvGrpSpPr>
        </xdr:nvGrpSpPr>
        <xdr:grpSpPr bwMode="auto">
          <a:xfrm>
            <a:off x="29223382" y="23461806"/>
            <a:ext cx="132106" cy="177235"/>
            <a:chOff x="4605" y="3399"/>
            <a:chExt cx="20" cy="19"/>
          </a:xfrm>
        </xdr:grpSpPr>
        <xdr:sp macro="" textlink="">
          <xdr:nvSpPr>
            <xdr:cNvPr id="44341075" name="Oval 2159">
              <a:extLst>
                <a:ext uri="{FF2B5EF4-FFF2-40B4-BE49-F238E27FC236}">
                  <a16:creationId xmlns:a16="http://schemas.microsoft.com/office/drawing/2014/main" id="{00000000-0008-0000-0100-00005397A402}"/>
                </a:ext>
              </a:extLst>
            </xdr:cNvPr>
            <xdr:cNvSpPr>
              <a:spLocks noChangeArrowheads="1"/>
            </xdr:cNvSpPr>
          </xdr:nvSpPr>
          <xdr:spPr bwMode="auto">
            <a:xfrm>
              <a:off x="4605" y="3399"/>
              <a:ext cx="20" cy="19"/>
            </a:xfrm>
            <a:prstGeom prst="ellipse">
              <a:avLst/>
            </a:prstGeom>
            <a:solidFill>
              <a:srgbClr val="EAEAEA"/>
            </a:solidFill>
            <a:ln w="1">
              <a:solidFill>
                <a:srgbClr val="333333"/>
              </a:solidFill>
              <a:round/>
              <a:headEnd/>
              <a:tailEnd/>
            </a:ln>
          </xdr:spPr>
        </xdr:sp>
        <xdr:sp macro="" textlink="">
          <xdr:nvSpPr>
            <xdr:cNvPr id="44341076" name="Line 2160">
              <a:extLst>
                <a:ext uri="{FF2B5EF4-FFF2-40B4-BE49-F238E27FC236}">
                  <a16:creationId xmlns:a16="http://schemas.microsoft.com/office/drawing/2014/main" id="{00000000-0008-0000-0100-00005497A402}"/>
                </a:ext>
              </a:extLst>
            </xdr:cNvPr>
            <xdr:cNvSpPr>
              <a:spLocks noChangeShapeType="1"/>
            </xdr:cNvSpPr>
          </xdr:nvSpPr>
          <xdr:spPr bwMode="auto">
            <a:xfrm flipH="1" flipV="1">
              <a:off x="4607" y="3403"/>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077" name="Line 2161">
              <a:extLst>
                <a:ext uri="{FF2B5EF4-FFF2-40B4-BE49-F238E27FC236}">
                  <a16:creationId xmlns:a16="http://schemas.microsoft.com/office/drawing/2014/main" id="{00000000-0008-0000-0100-00005597A402}"/>
                </a:ext>
              </a:extLst>
            </xdr:cNvPr>
            <xdr:cNvSpPr>
              <a:spLocks noChangeShapeType="1"/>
            </xdr:cNvSpPr>
          </xdr:nvSpPr>
          <xdr:spPr bwMode="auto">
            <a:xfrm flipH="1">
              <a:off x="4607" y="3409"/>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078" name="Oval 2162">
              <a:extLst>
                <a:ext uri="{FF2B5EF4-FFF2-40B4-BE49-F238E27FC236}">
                  <a16:creationId xmlns:a16="http://schemas.microsoft.com/office/drawing/2014/main" id="{00000000-0008-0000-0100-00005697A402}"/>
                </a:ext>
              </a:extLst>
            </xdr:cNvPr>
            <xdr:cNvSpPr>
              <a:spLocks noChangeArrowheads="1"/>
            </xdr:cNvSpPr>
          </xdr:nvSpPr>
          <xdr:spPr bwMode="auto">
            <a:xfrm>
              <a:off x="4612" y="3402"/>
              <a:ext cx="2" cy="1"/>
            </a:xfrm>
            <a:prstGeom prst="ellipse">
              <a:avLst/>
            </a:prstGeom>
            <a:solidFill>
              <a:srgbClr val="EAEAEA"/>
            </a:solidFill>
            <a:ln w="9525">
              <a:solidFill>
                <a:srgbClr val="333333"/>
              </a:solidFill>
              <a:round/>
              <a:headEnd/>
              <a:tailEnd/>
            </a:ln>
          </xdr:spPr>
        </xdr:sp>
      </xdr:grpSp>
      <xdr:grpSp>
        <xdr:nvGrpSpPr>
          <xdr:cNvPr id="44341037" name="Group 2163">
            <a:extLst>
              <a:ext uri="{FF2B5EF4-FFF2-40B4-BE49-F238E27FC236}">
                <a16:creationId xmlns:a16="http://schemas.microsoft.com/office/drawing/2014/main" id="{00000000-0008-0000-0100-00002D97A402}"/>
              </a:ext>
            </a:extLst>
          </xdr:cNvPr>
          <xdr:cNvGrpSpPr>
            <a:grpSpLocks/>
          </xdr:cNvGrpSpPr>
        </xdr:nvGrpSpPr>
        <xdr:grpSpPr bwMode="auto">
          <a:xfrm>
            <a:off x="30747280" y="23622893"/>
            <a:ext cx="132106" cy="177235"/>
            <a:chOff x="4903" y="3397"/>
            <a:chExt cx="20" cy="19"/>
          </a:xfrm>
        </xdr:grpSpPr>
        <xdr:sp macro="" textlink="">
          <xdr:nvSpPr>
            <xdr:cNvPr id="44341071" name="Oval 2164">
              <a:extLst>
                <a:ext uri="{FF2B5EF4-FFF2-40B4-BE49-F238E27FC236}">
                  <a16:creationId xmlns:a16="http://schemas.microsoft.com/office/drawing/2014/main" id="{00000000-0008-0000-0100-00004F97A402}"/>
                </a:ext>
              </a:extLst>
            </xdr:cNvPr>
            <xdr:cNvSpPr>
              <a:spLocks noChangeArrowheads="1"/>
            </xdr:cNvSpPr>
          </xdr:nvSpPr>
          <xdr:spPr bwMode="auto">
            <a:xfrm>
              <a:off x="4903" y="3397"/>
              <a:ext cx="20" cy="19"/>
            </a:xfrm>
            <a:prstGeom prst="ellipse">
              <a:avLst/>
            </a:prstGeom>
            <a:solidFill>
              <a:srgbClr val="EAEAEA"/>
            </a:solidFill>
            <a:ln w="1">
              <a:solidFill>
                <a:srgbClr val="333333"/>
              </a:solidFill>
              <a:round/>
              <a:headEnd/>
              <a:tailEnd/>
            </a:ln>
          </xdr:spPr>
        </xdr:sp>
        <xdr:sp macro="" textlink="">
          <xdr:nvSpPr>
            <xdr:cNvPr id="44341072" name="Line 2165">
              <a:extLst>
                <a:ext uri="{FF2B5EF4-FFF2-40B4-BE49-F238E27FC236}">
                  <a16:creationId xmlns:a16="http://schemas.microsoft.com/office/drawing/2014/main" id="{00000000-0008-0000-0100-00005097A402}"/>
                </a:ext>
              </a:extLst>
            </xdr:cNvPr>
            <xdr:cNvSpPr>
              <a:spLocks noChangeShapeType="1"/>
            </xdr:cNvSpPr>
          </xdr:nvSpPr>
          <xdr:spPr bwMode="auto">
            <a:xfrm flipH="1" flipV="1">
              <a:off x="4905" y="3401"/>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073" name="Line 2166">
              <a:extLst>
                <a:ext uri="{FF2B5EF4-FFF2-40B4-BE49-F238E27FC236}">
                  <a16:creationId xmlns:a16="http://schemas.microsoft.com/office/drawing/2014/main" id="{00000000-0008-0000-0100-00005197A402}"/>
                </a:ext>
              </a:extLst>
            </xdr:cNvPr>
            <xdr:cNvSpPr>
              <a:spLocks noChangeShapeType="1"/>
            </xdr:cNvSpPr>
          </xdr:nvSpPr>
          <xdr:spPr bwMode="auto">
            <a:xfrm flipH="1">
              <a:off x="4905" y="3407"/>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074" name="Oval 2167">
              <a:extLst>
                <a:ext uri="{FF2B5EF4-FFF2-40B4-BE49-F238E27FC236}">
                  <a16:creationId xmlns:a16="http://schemas.microsoft.com/office/drawing/2014/main" id="{00000000-0008-0000-0100-00005297A402}"/>
                </a:ext>
              </a:extLst>
            </xdr:cNvPr>
            <xdr:cNvSpPr>
              <a:spLocks noChangeArrowheads="1"/>
            </xdr:cNvSpPr>
          </xdr:nvSpPr>
          <xdr:spPr bwMode="auto">
            <a:xfrm>
              <a:off x="4910" y="3400"/>
              <a:ext cx="2" cy="1"/>
            </a:xfrm>
            <a:prstGeom prst="ellipse">
              <a:avLst/>
            </a:prstGeom>
            <a:solidFill>
              <a:srgbClr val="EAEAEA"/>
            </a:solidFill>
            <a:ln w="9525">
              <a:solidFill>
                <a:srgbClr val="333333"/>
              </a:solidFill>
              <a:round/>
              <a:headEnd/>
              <a:tailEnd/>
            </a:ln>
          </xdr:spPr>
        </xdr:sp>
      </xdr:grpSp>
      <xdr:grpSp>
        <xdr:nvGrpSpPr>
          <xdr:cNvPr id="44341038" name="Group 2168">
            <a:extLst>
              <a:ext uri="{FF2B5EF4-FFF2-40B4-BE49-F238E27FC236}">
                <a16:creationId xmlns:a16="http://schemas.microsoft.com/office/drawing/2014/main" id="{00000000-0008-0000-0100-00002E97A402}"/>
              </a:ext>
            </a:extLst>
          </xdr:cNvPr>
          <xdr:cNvGrpSpPr>
            <a:grpSpLocks/>
          </xdr:cNvGrpSpPr>
        </xdr:nvGrpSpPr>
        <xdr:grpSpPr bwMode="auto">
          <a:xfrm>
            <a:off x="28499752" y="24562547"/>
            <a:ext cx="132106" cy="177235"/>
            <a:chOff x="4606" y="3500"/>
            <a:chExt cx="20" cy="19"/>
          </a:xfrm>
        </xdr:grpSpPr>
        <xdr:sp macro="" textlink="">
          <xdr:nvSpPr>
            <xdr:cNvPr id="44341067" name="Oval 2169">
              <a:extLst>
                <a:ext uri="{FF2B5EF4-FFF2-40B4-BE49-F238E27FC236}">
                  <a16:creationId xmlns:a16="http://schemas.microsoft.com/office/drawing/2014/main" id="{00000000-0008-0000-0100-00004B97A402}"/>
                </a:ext>
              </a:extLst>
            </xdr:cNvPr>
            <xdr:cNvSpPr>
              <a:spLocks noChangeArrowheads="1"/>
            </xdr:cNvSpPr>
          </xdr:nvSpPr>
          <xdr:spPr bwMode="auto">
            <a:xfrm>
              <a:off x="4606" y="3500"/>
              <a:ext cx="20" cy="19"/>
            </a:xfrm>
            <a:prstGeom prst="ellipse">
              <a:avLst/>
            </a:prstGeom>
            <a:solidFill>
              <a:srgbClr val="EAEAEA"/>
            </a:solidFill>
            <a:ln w="1">
              <a:solidFill>
                <a:srgbClr val="333333"/>
              </a:solidFill>
              <a:round/>
              <a:headEnd/>
              <a:tailEnd/>
            </a:ln>
          </xdr:spPr>
        </xdr:sp>
        <xdr:sp macro="" textlink="">
          <xdr:nvSpPr>
            <xdr:cNvPr id="44341068" name="Line 2170">
              <a:extLst>
                <a:ext uri="{FF2B5EF4-FFF2-40B4-BE49-F238E27FC236}">
                  <a16:creationId xmlns:a16="http://schemas.microsoft.com/office/drawing/2014/main" id="{00000000-0008-0000-0100-00004C97A402}"/>
                </a:ext>
              </a:extLst>
            </xdr:cNvPr>
            <xdr:cNvSpPr>
              <a:spLocks noChangeShapeType="1"/>
            </xdr:cNvSpPr>
          </xdr:nvSpPr>
          <xdr:spPr bwMode="auto">
            <a:xfrm flipH="1" flipV="1">
              <a:off x="4608" y="3504"/>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069" name="Line 2171">
              <a:extLst>
                <a:ext uri="{FF2B5EF4-FFF2-40B4-BE49-F238E27FC236}">
                  <a16:creationId xmlns:a16="http://schemas.microsoft.com/office/drawing/2014/main" id="{00000000-0008-0000-0100-00004D97A402}"/>
                </a:ext>
              </a:extLst>
            </xdr:cNvPr>
            <xdr:cNvSpPr>
              <a:spLocks noChangeShapeType="1"/>
            </xdr:cNvSpPr>
          </xdr:nvSpPr>
          <xdr:spPr bwMode="auto">
            <a:xfrm flipH="1">
              <a:off x="4608" y="3510"/>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070" name="Oval 2172">
              <a:extLst>
                <a:ext uri="{FF2B5EF4-FFF2-40B4-BE49-F238E27FC236}">
                  <a16:creationId xmlns:a16="http://schemas.microsoft.com/office/drawing/2014/main" id="{00000000-0008-0000-0100-00004E97A402}"/>
                </a:ext>
              </a:extLst>
            </xdr:cNvPr>
            <xdr:cNvSpPr>
              <a:spLocks noChangeArrowheads="1"/>
            </xdr:cNvSpPr>
          </xdr:nvSpPr>
          <xdr:spPr bwMode="auto">
            <a:xfrm>
              <a:off x="4613" y="3503"/>
              <a:ext cx="2" cy="1"/>
            </a:xfrm>
            <a:prstGeom prst="ellipse">
              <a:avLst/>
            </a:prstGeom>
            <a:solidFill>
              <a:srgbClr val="EAEAEA"/>
            </a:solidFill>
            <a:ln w="9525">
              <a:solidFill>
                <a:srgbClr val="333333"/>
              </a:solidFill>
              <a:round/>
              <a:headEnd/>
              <a:tailEnd/>
            </a:ln>
          </xdr:spPr>
        </xdr:sp>
      </xdr:grpSp>
      <xdr:sp macro="" textlink="">
        <xdr:nvSpPr>
          <xdr:cNvPr id="44341039" name="Line 2177">
            <a:extLst>
              <a:ext uri="{FF2B5EF4-FFF2-40B4-BE49-F238E27FC236}">
                <a16:creationId xmlns:a16="http://schemas.microsoft.com/office/drawing/2014/main" id="{00000000-0008-0000-0100-00002F97A402}"/>
              </a:ext>
            </a:extLst>
          </xdr:cNvPr>
          <xdr:cNvSpPr>
            <a:spLocks noChangeShapeType="1"/>
          </xdr:cNvSpPr>
        </xdr:nvSpPr>
        <xdr:spPr bwMode="auto">
          <a:xfrm>
            <a:off x="27583337" y="20588117"/>
            <a:ext cx="508609" cy="0"/>
          </a:xfrm>
          <a:prstGeom prst="line">
            <a:avLst/>
          </a:prstGeom>
          <a:noFill/>
          <a:ln w="17145">
            <a:solidFill>
              <a:srgbClr val="008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1040" name="Line 2184">
            <a:extLst>
              <a:ext uri="{FF2B5EF4-FFF2-40B4-BE49-F238E27FC236}">
                <a16:creationId xmlns:a16="http://schemas.microsoft.com/office/drawing/2014/main" id="{00000000-0008-0000-0100-00003097A402}"/>
              </a:ext>
            </a:extLst>
          </xdr:cNvPr>
          <xdr:cNvSpPr>
            <a:spLocks noChangeShapeType="1"/>
          </xdr:cNvSpPr>
        </xdr:nvSpPr>
        <xdr:spPr bwMode="auto">
          <a:xfrm>
            <a:off x="27597824" y="21081265"/>
            <a:ext cx="488793" cy="0"/>
          </a:xfrm>
          <a:prstGeom prst="line">
            <a:avLst/>
          </a:prstGeom>
          <a:noFill/>
          <a:ln w="1">
            <a:solidFill>
              <a:srgbClr val="0000FF"/>
            </a:solidFill>
            <a:round/>
            <a:headEnd/>
            <a:tailEnd type="triangle" w="med" len="med"/>
          </a:ln>
          <a:extLst>
            <a:ext uri="{909E8E84-426E-40DD-AFC4-6F175D3DCCD1}">
              <a14:hiddenFill xmlns:a14="http://schemas.microsoft.com/office/drawing/2010/main">
                <a:noFill/>
              </a14:hiddenFill>
            </a:ext>
          </a:extLst>
        </xdr:spPr>
      </xdr:sp>
      <xdr:sp macro="" textlink="">
        <xdr:nvSpPr>
          <xdr:cNvPr id="44341041" name="Line 2185">
            <a:extLst>
              <a:ext uri="{FF2B5EF4-FFF2-40B4-BE49-F238E27FC236}">
                <a16:creationId xmlns:a16="http://schemas.microsoft.com/office/drawing/2014/main" id="{00000000-0008-0000-0100-00003197A402}"/>
              </a:ext>
            </a:extLst>
          </xdr:cNvPr>
          <xdr:cNvSpPr>
            <a:spLocks noChangeShapeType="1"/>
          </xdr:cNvSpPr>
        </xdr:nvSpPr>
        <xdr:spPr bwMode="auto">
          <a:xfrm flipH="1">
            <a:off x="27587242" y="21409013"/>
            <a:ext cx="488793" cy="0"/>
          </a:xfrm>
          <a:prstGeom prst="line">
            <a:avLst/>
          </a:prstGeom>
          <a:noFill/>
          <a:ln w="0">
            <a:solidFill>
              <a:srgbClr val="0000FF"/>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341042" name="Line 2188">
            <a:extLst>
              <a:ext uri="{FF2B5EF4-FFF2-40B4-BE49-F238E27FC236}">
                <a16:creationId xmlns:a16="http://schemas.microsoft.com/office/drawing/2014/main" id="{00000000-0008-0000-0100-00003297A402}"/>
              </a:ext>
            </a:extLst>
          </xdr:cNvPr>
          <xdr:cNvSpPr>
            <a:spLocks noChangeShapeType="1"/>
          </xdr:cNvSpPr>
        </xdr:nvSpPr>
        <xdr:spPr bwMode="auto">
          <a:xfrm>
            <a:off x="27603008" y="23301369"/>
            <a:ext cx="488793" cy="0"/>
          </a:xfrm>
          <a:prstGeom prst="line">
            <a:avLst/>
          </a:prstGeom>
          <a:noFill/>
          <a:ln w="1">
            <a:solidFill>
              <a:srgbClr val="0000FF"/>
            </a:solidFill>
            <a:round/>
            <a:headEnd/>
            <a:tailEnd type="triangle" w="med" len="med"/>
          </a:ln>
          <a:extLst>
            <a:ext uri="{909E8E84-426E-40DD-AFC4-6F175D3DCCD1}">
              <a14:hiddenFill xmlns:a14="http://schemas.microsoft.com/office/drawing/2010/main">
                <a:noFill/>
              </a14:hiddenFill>
            </a:ext>
          </a:extLst>
        </xdr:spPr>
      </xdr:sp>
      <xdr:sp macro="" textlink="">
        <xdr:nvSpPr>
          <xdr:cNvPr id="44341043" name="Line 2189">
            <a:extLst>
              <a:ext uri="{FF2B5EF4-FFF2-40B4-BE49-F238E27FC236}">
                <a16:creationId xmlns:a16="http://schemas.microsoft.com/office/drawing/2014/main" id="{00000000-0008-0000-0100-00003397A402}"/>
              </a:ext>
            </a:extLst>
          </xdr:cNvPr>
          <xdr:cNvSpPr>
            <a:spLocks noChangeShapeType="1"/>
          </xdr:cNvSpPr>
        </xdr:nvSpPr>
        <xdr:spPr bwMode="auto">
          <a:xfrm flipH="1">
            <a:off x="27584395" y="23650263"/>
            <a:ext cx="488793" cy="0"/>
          </a:xfrm>
          <a:prstGeom prst="line">
            <a:avLst/>
          </a:prstGeom>
          <a:noFill/>
          <a:ln w="0">
            <a:solidFill>
              <a:srgbClr val="0000FF"/>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341044" name="Freeform 2190">
            <a:extLst>
              <a:ext uri="{FF2B5EF4-FFF2-40B4-BE49-F238E27FC236}">
                <a16:creationId xmlns:a16="http://schemas.microsoft.com/office/drawing/2014/main" id="{00000000-0008-0000-0100-00003497A402}"/>
              </a:ext>
            </a:extLst>
          </xdr:cNvPr>
          <xdr:cNvSpPr>
            <a:spLocks/>
          </xdr:cNvSpPr>
        </xdr:nvSpPr>
        <xdr:spPr bwMode="auto">
          <a:xfrm>
            <a:off x="29929658" y="21504732"/>
            <a:ext cx="433525" cy="477451"/>
          </a:xfrm>
          <a:custGeom>
            <a:avLst/>
            <a:gdLst>
              <a:gd name="T0" fmla="*/ 2147483647 w 82"/>
              <a:gd name="T1" fmla="*/ 2147483647 h 121"/>
              <a:gd name="T2" fmla="*/ 2147483647 w 82"/>
              <a:gd name="T3" fmla="*/ 0 h 121"/>
              <a:gd name="T4" fmla="*/ 2147483647 w 82"/>
              <a:gd name="T5" fmla="*/ 0 h 121"/>
              <a:gd name="T6" fmla="*/ 0 w 82"/>
              <a:gd name="T7" fmla="*/ 2147483647 h 121"/>
              <a:gd name="T8" fmla="*/ 0 60000 65536"/>
              <a:gd name="T9" fmla="*/ 0 60000 65536"/>
              <a:gd name="T10" fmla="*/ 0 60000 65536"/>
              <a:gd name="T11" fmla="*/ 0 60000 65536"/>
              <a:gd name="T12" fmla="*/ 0 w 82"/>
              <a:gd name="T13" fmla="*/ 0 h 121"/>
              <a:gd name="T14" fmla="*/ 82 w 82"/>
              <a:gd name="T15" fmla="*/ 121 h 121"/>
            </a:gdLst>
            <a:ahLst/>
            <a:cxnLst>
              <a:cxn ang="T8">
                <a:pos x="T0" y="T1"/>
              </a:cxn>
              <a:cxn ang="T9">
                <a:pos x="T2" y="T3"/>
              </a:cxn>
              <a:cxn ang="T10">
                <a:pos x="T4" y="T5"/>
              </a:cxn>
              <a:cxn ang="T11">
                <a:pos x="T6" y="T7"/>
              </a:cxn>
            </a:cxnLst>
            <a:rect l="T12" t="T13" r="T14" b="T15"/>
            <a:pathLst>
              <a:path w="82" h="121">
                <a:moveTo>
                  <a:pt x="82" y="51"/>
                </a:moveTo>
                <a:lnTo>
                  <a:pt x="82" y="0"/>
                </a:lnTo>
                <a:lnTo>
                  <a:pt x="34" y="0"/>
                </a:lnTo>
                <a:lnTo>
                  <a:pt x="0" y="121"/>
                </a:lnTo>
              </a:path>
            </a:pathLst>
          </a:custGeom>
          <a:noFill/>
          <a:ln w="0">
            <a:solidFill>
              <a:srgbClr val="FF66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44341045" name="Line 2192">
            <a:extLst>
              <a:ext uri="{FF2B5EF4-FFF2-40B4-BE49-F238E27FC236}">
                <a16:creationId xmlns:a16="http://schemas.microsoft.com/office/drawing/2014/main" id="{00000000-0008-0000-0100-00003597A402}"/>
              </a:ext>
            </a:extLst>
          </xdr:cNvPr>
          <xdr:cNvSpPr>
            <a:spLocks noChangeShapeType="1"/>
          </xdr:cNvSpPr>
        </xdr:nvSpPr>
        <xdr:spPr bwMode="auto">
          <a:xfrm flipH="1">
            <a:off x="30649324" y="24189421"/>
            <a:ext cx="843403" cy="2612"/>
          </a:xfrm>
          <a:prstGeom prst="line">
            <a:avLst/>
          </a:prstGeom>
          <a:noFill/>
          <a:ln w="17145">
            <a:solidFill>
              <a:srgbClr val="008000"/>
            </a:solidFill>
            <a:round/>
            <a:headEnd/>
            <a:tailEnd type="triangle" w="med" len="med"/>
          </a:ln>
          <a:extLst>
            <a:ext uri="{909E8E84-426E-40DD-AFC4-6F175D3DCCD1}">
              <a14:hiddenFill xmlns:a14="http://schemas.microsoft.com/office/drawing/2010/main">
                <a:noFill/>
              </a14:hiddenFill>
            </a:ext>
          </a:extLst>
        </xdr:spPr>
      </xdr:sp>
      <xdr:grpSp>
        <xdr:nvGrpSpPr>
          <xdr:cNvPr id="44341046" name="Group 2197">
            <a:extLst>
              <a:ext uri="{FF2B5EF4-FFF2-40B4-BE49-F238E27FC236}">
                <a16:creationId xmlns:a16="http://schemas.microsoft.com/office/drawing/2014/main" id="{00000000-0008-0000-0100-00003697A402}"/>
              </a:ext>
            </a:extLst>
          </xdr:cNvPr>
          <xdr:cNvGrpSpPr>
            <a:grpSpLocks/>
          </xdr:cNvGrpSpPr>
        </xdr:nvGrpSpPr>
        <xdr:grpSpPr bwMode="auto">
          <a:xfrm>
            <a:off x="28707079" y="21571834"/>
            <a:ext cx="0" cy="531706"/>
            <a:chOff x="4647" y="3278"/>
            <a:chExt cx="0" cy="57"/>
          </a:xfrm>
        </xdr:grpSpPr>
        <xdr:sp macro="" textlink="">
          <xdr:nvSpPr>
            <xdr:cNvPr id="44341065" name="Line 2198">
              <a:extLst>
                <a:ext uri="{FF2B5EF4-FFF2-40B4-BE49-F238E27FC236}">
                  <a16:creationId xmlns:a16="http://schemas.microsoft.com/office/drawing/2014/main" id="{00000000-0008-0000-0100-00004997A402}"/>
                </a:ext>
              </a:extLst>
            </xdr:cNvPr>
            <xdr:cNvSpPr>
              <a:spLocks noChangeShapeType="1"/>
            </xdr:cNvSpPr>
          </xdr:nvSpPr>
          <xdr:spPr bwMode="auto">
            <a:xfrm flipV="1">
              <a:off x="4647" y="3278"/>
              <a:ext cx="0" cy="28"/>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1066" name="Line 2199">
              <a:extLst>
                <a:ext uri="{FF2B5EF4-FFF2-40B4-BE49-F238E27FC236}">
                  <a16:creationId xmlns:a16="http://schemas.microsoft.com/office/drawing/2014/main" id="{00000000-0008-0000-0100-00004A97A402}"/>
                </a:ext>
              </a:extLst>
            </xdr:cNvPr>
            <xdr:cNvSpPr>
              <a:spLocks noChangeShapeType="1"/>
            </xdr:cNvSpPr>
          </xdr:nvSpPr>
          <xdr:spPr bwMode="auto">
            <a:xfrm>
              <a:off x="4647" y="3306"/>
              <a:ext cx="0" cy="29"/>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grpSp>
        <xdr:nvGrpSpPr>
          <xdr:cNvPr id="44341047" name="Group 2200">
            <a:extLst>
              <a:ext uri="{FF2B5EF4-FFF2-40B4-BE49-F238E27FC236}">
                <a16:creationId xmlns:a16="http://schemas.microsoft.com/office/drawing/2014/main" id="{00000000-0008-0000-0100-00003797A402}"/>
              </a:ext>
            </a:extLst>
          </xdr:cNvPr>
          <xdr:cNvGrpSpPr>
            <a:grpSpLocks/>
          </xdr:cNvGrpSpPr>
        </xdr:nvGrpSpPr>
        <xdr:grpSpPr bwMode="auto">
          <a:xfrm>
            <a:off x="30752824" y="21390935"/>
            <a:ext cx="0" cy="531706"/>
            <a:chOff x="4875" y="3194"/>
            <a:chExt cx="0" cy="57"/>
          </a:xfrm>
        </xdr:grpSpPr>
        <xdr:sp macro="" textlink="">
          <xdr:nvSpPr>
            <xdr:cNvPr id="44341063" name="Line 2201">
              <a:extLst>
                <a:ext uri="{FF2B5EF4-FFF2-40B4-BE49-F238E27FC236}">
                  <a16:creationId xmlns:a16="http://schemas.microsoft.com/office/drawing/2014/main" id="{00000000-0008-0000-0100-00004797A402}"/>
                </a:ext>
              </a:extLst>
            </xdr:cNvPr>
            <xdr:cNvSpPr>
              <a:spLocks noChangeShapeType="1"/>
            </xdr:cNvSpPr>
          </xdr:nvSpPr>
          <xdr:spPr bwMode="auto">
            <a:xfrm flipV="1">
              <a:off x="4875" y="3194"/>
              <a:ext cx="0" cy="28"/>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1064" name="Line 2202">
              <a:extLst>
                <a:ext uri="{FF2B5EF4-FFF2-40B4-BE49-F238E27FC236}">
                  <a16:creationId xmlns:a16="http://schemas.microsoft.com/office/drawing/2014/main" id="{00000000-0008-0000-0100-00004897A402}"/>
                </a:ext>
              </a:extLst>
            </xdr:cNvPr>
            <xdr:cNvSpPr>
              <a:spLocks noChangeShapeType="1"/>
            </xdr:cNvSpPr>
          </xdr:nvSpPr>
          <xdr:spPr bwMode="auto">
            <a:xfrm>
              <a:off x="4875" y="3222"/>
              <a:ext cx="0" cy="29"/>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grpSp>
        <xdr:nvGrpSpPr>
          <xdr:cNvPr id="44341048" name="Group 2203">
            <a:extLst>
              <a:ext uri="{FF2B5EF4-FFF2-40B4-BE49-F238E27FC236}">
                <a16:creationId xmlns:a16="http://schemas.microsoft.com/office/drawing/2014/main" id="{00000000-0008-0000-0100-00003897A402}"/>
              </a:ext>
            </a:extLst>
          </xdr:cNvPr>
          <xdr:cNvGrpSpPr>
            <a:grpSpLocks/>
          </xdr:cNvGrpSpPr>
        </xdr:nvGrpSpPr>
        <xdr:grpSpPr bwMode="auto">
          <a:xfrm>
            <a:off x="29311102" y="23644041"/>
            <a:ext cx="0" cy="531706"/>
            <a:chOff x="4708" y="3397"/>
            <a:chExt cx="0" cy="57"/>
          </a:xfrm>
        </xdr:grpSpPr>
        <xdr:sp macro="" textlink="">
          <xdr:nvSpPr>
            <xdr:cNvPr id="44341061" name="Line 2204">
              <a:extLst>
                <a:ext uri="{FF2B5EF4-FFF2-40B4-BE49-F238E27FC236}">
                  <a16:creationId xmlns:a16="http://schemas.microsoft.com/office/drawing/2014/main" id="{00000000-0008-0000-0100-00004597A402}"/>
                </a:ext>
              </a:extLst>
            </xdr:cNvPr>
            <xdr:cNvSpPr>
              <a:spLocks noChangeShapeType="1"/>
            </xdr:cNvSpPr>
          </xdr:nvSpPr>
          <xdr:spPr bwMode="auto">
            <a:xfrm flipV="1">
              <a:off x="4708" y="3397"/>
              <a:ext cx="0" cy="28"/>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1062" name="Line 2205">
              <a:extLst>
                <a:ext uri="{FF2B5EF4-FFF2-40B4-BE49-F238E27FC236}">
                  <a16:creationId xmlns:a16="http://schemas.microsoft.com/office/drawing/2014/main" id="{00000000-0008-0000-0100-00004697A402}"/>
                </a:ext>
              </a:extLst>
            </xdr:cNvPr>
            <xdr:cNvSpPr>
              <a:spLocks noChangeShapeType="1"/>
            </xdr:cNvSpPr>
          </xdr:nvSpPr>
          <xdr:spPr bwMode="auto">
            <a:xfrm>
              <a:off x="4708" y="3425"/>
              <a:ext cx="0" cy="29"/>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sp macro="" textlink="">
        <xdr:nvSpPr>
          <xdr:cNvPr id="44341049" name="Line 2207">
            <a:extLst>
              <a:ext uri="{FF2B5EF4-FFF2-40B4-BE49-F238E27FC236}">
                <a16:creationId xmlns:a16="http://schemas.microsoft.com/office/drawing/2014/main" id="{00000000-0008-0000-0100-00003997A402}"/>
              </a:ext>
            </a:extLst>
          </xdr:cNvPr>
          <xdr:cNvSpPr>
            <a:spLocks noChangeShapeType="1"/>
          </xdr:cNvSpPr>
        </xdr:nvSpPr>
        <xdr:spPr bwMode="auto">
          <a:xfrm>
            <a:off x="29076135" y="24714288"/>
            <a:ext cx="0" cy="354470"/>
          </a:xfrm>
          <a:prstGeom prst="line">
            <a:avLst/>
          </a:prstGeom>
          <a:noFill/>
          <a:ln w="1">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341050" name="Line 2208">
            <a:extLst>
              <a:ext uri="{FF2B5EF4-FFF2-40B4-BE49-F238E27FC236}">
                <a16:creationId xmlns:a16="http://schemas.microsoft.com/office/drawing/2014/main" id="{00000000-0008-0000-0100-00003A97A402}"/>
              </a:ext>
            </a:extLst>
          </xdr:cNvPr>
          <xdr:cNvSpPr>
            <a:spLocks noChangeShapeType="1"/>
          </xdr:cNvSpPr>
        </xdr:nvSpPr>
        <xdr:spPr bwMode="auto">
          <a:xfrm>
            <a:off x="30549120" y="24714288"/>
            <a:ext cx="0" cy="354470"/>
          </a:xfrm>
          <a:prstGeom prst="line">
            <a:avLst/>
          </a:prstGeom>
          <a:noFill/>
          <a:ln w="1">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341051" name="Line 2548">
            <a:extLst>
              <a:ext uri="{FF2B5EF4-FFF2-40B4-BE49-F238E27FC236}">
                <a16:creationId xmlns:a16="http://schemas.microsoft.com/office/drawing/2014/main" id="{00000000-0008-0000-0100-00003B97A402}"/>
              </a:ext>
            </a:extLst>
          </xdr:cNvPr>
          <xdr:cNvSpPr>
            <a:spLocks noChangeShapeType="1"/>
          </xdr:cNvSpPr>
        </xdr:nvSpPr>
        <xdr:spPr bwMode="auto">
          <a:xfrm rot="-5400000">
            <a:off x="31051476" y="19893794"/>
            <a:ext cx="223876" cy="191554"/>
          </a:xfrm>
          <a:prstGeom prst="line">
            <a:avLst/>
          </a:prstGeom>
          <a:noFill/>
          <a:ln w="1">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341052" name="Line 2132">
            <a:extLst>
              <a:ext uri="{FF2B5EF4-FFF2-40B4-BE49-F238E27FC236}">
                <a16:creationId xmlns:a16="http://schemas.microsoft.com/office/drawing/2014/main" id="{00000000-0008-0000-0100-00003C97A402}"/>
              </a:ext>
            </a:extLst>
          </xdr:cNvPr>
          <xdr:cNvSpPr>
            <a:spLocks noChangeShapeType="1"/>
          </xdr:cNvSpPr>
        </xdr:nvSpPr>
        <xdr:spPr bwMode="auto">
          <a:xfrm flipH="1">
            <a:off x="27819677" y="21855302"/>
            <a:ext cx="2332237" cy="61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4341053" name="Group 2158">
            <a:extLst>
              <a:ext uri="{FF2B5EF4-FFF2-40B4-BE49-F238E27FC236}">
                <a16:creationId xmlns:a16="http://schemas.microsoft.com/office/drawing/2014/main" id="{00000000-0008-0000-0100-00003D97A402}"/>
              </a:ext>
            </a:extLst>
          </xdr:cNvPr>
          <xdr:cNvGrpSpPr>
            <a:grpSpLocks/>
          </xdr:cNvGrpSpPr>
        </xdr:nvGrpSpPr>
        <xdr:grpSpPr bwMode="auto">
          <a:xfrm>
            <a:off x="29904953" y="22514425"/>
            <a:ext cx="132106" cy="177235"/>
            <a:chOff x="4605" y="3399"/>
            <a:chExt cx="20" cy="19"/>
          </a:xfrm>
        </xdr:grpSpPr>
        <xdr:sp macro="" textlink="">
          <xdr:nvSpPr>
            <xdr:cNvPr id="44341057" name="Oval 2159">
              <a:extLst>
                <a:ext uri="{FF2B5EF4-FFF2-40B4-BE49-F238E27FC236}">
                  <a16:creationId xmlns:a16="http://schemas.microsoft.com/office/drawing/2014/main" id="{00000000-0008-0000-0100-00004197A402}"/>
                </a:ext>
              </a:extLst>
            </xdr:cNvPr>
            <xdr:cNvSpPr>
              <a:spLocks noChangeArrowheads="1"/>
            </xdr:cNvSpPr>
          </xdr:nvSpPr>
          <xdr:spPr bwMode="auto">
            <a:xfrm>
              <a:off x="4605" y="3399"/>
              <a:ext cx="20" cy="19"/>
            </a:xfrm>
            <a:prstGeom prst="ellipse">
              <a:avLst/>
            </a:prstGeom>
            <a:solidFill>
              <a:srgbClr val="EAEAEA"/>
            </a:solidFill>
            <a:ln w="1">
              <a:solidFill>
                <a:srgbClr val="333333"/>
              </a:solidFill>
              <a:round/>
              <a:headEnd/>
              <a:tailEnd/>
            </a:ln>
          </xdr:spPr>
        </xdr:sp>
        <xdr:sp macro="" textlink="">
          <xdr:nvSpPr>
            <xdr:cNvPr id="44341058" name="Line 2160">
              <a:extLst>
                <a:ext uri="{FF2B5EF4-FFF2-40B4-BE49-F238E27FC236}">
                  <a16:creationId xmlns:a16="http://schemas.microsoft.com/office/drawing/2014/main" id="{00000000-0008-0000-0100-00004297A402}"/>
                </a:ext>
              </a:extLst>
            </xdr:cNvPr>
            <xdr:cNvSpPr>
              <a:spLocks noChangeShapeType="1"/>
            </xdr:cNvSpPr>
          </xdr:nvSpPr>
          <xdr:spPr bwMode="auto">
            <a:xfrm flipH="1" flipV="1">
              <a:off x="4607" y="3403"/>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059" name="Line 2161">
              <a:extLst>
                <a:ext uri="{FF2B5EF4-FFF2-40B4-BE49-F238E27FC236}">
                  <a16:creationId xmlns:a16="http://schemas.microsoft.com/office/drawing/2014/main" id="{00000000-0008-0000-0100-00004397A402}"/>
                </a:ext>
              </a:extLst>
            </xdr:cNvPr>
            <xdr:cNvSpPr>
              <a:spLocks noChangeShapeType="1"/>
            </xdr:cNvSpPr>
          </xdr:nvSpPr>
          <xdr:spPr bwMode="auto">
            <a:xfrm flipH="1">
              <a:off x="4607" y="3409"/>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060" name="Oval 2162">
              <a:extLst>
                <a:ext uri="{FF2B5EF4-FFF2-40B4-BE49-F238E27FC236}">
                  <a16:creationId xmlns:a16="http://schemas.microsoft.com/office/drawing/2014/main" id="{00000000-0008-0000-0100-00004497A402}"/>
                </a:ext>
              </a:extLst>
            </xdr:cNvPr>
            <xdr:cNvSpPr>
              <a:spLocks noChangeArrowheads="1"/>
            </xdr:cNvSpPr>
          </xdr:nvSpPr>
          <xdr:spPr bwMode="auto">
            <a:xfrm>
              <a:off x="4612" y="3402"/>
              <a:ext cx="2" cy="1"/>
            </a:xfrm>
            <a:prstGeom prst="ellipse">
              <a:avLst/>
            </a:prstGeom>
            <a:solidFill>
              <a:srgbClr val="EAEAEA"/>
            </a:solidFill>
            <a:ln w="9525">
              <a:solidFill>
                <a:srgbClr val="333333"/>
              </a:solidFill>
              <a:round/>
              <a:headEnd/>
              <a:tailEnd/>
            </a:ln>
          </xdr:spPr>
        </xdr:sp>
      </xdr:grpSp>
      <xdr:sp macro="" textlink="">
        <xdr:nvSpPr>
          <xdr:cNvPr id="44341054" name="Line 2177">
            <a:extLst>
              <a:ext uri="{FF2B5EF4-FFF2-40B4-BE49-F238E27FC236}">
                <a16:creationId xmlns:a16="http://schemas.microsoft.com/office/drawing/2014/main" id="{00000000-0008-0000-0100-00003E97A402}"/>
              </a:ext>
            </a:extLst>
          </xdr:cNvPr>
          <xdr:cNvSpPr>
            <a:spLocks noChangeShapeType="1"/>
          </xdr:cNvSpPr>
        </xdr:nvSpPr>
        <xdr:spPr bwMode="auto">
          <a:xfrm>
            <a:off x="27587592" y="22009148"/>
            <a:ext cx="508609" cy="0"/>
          </a:xfrm>
          <a:prstGeom prst="line">
            <a:avLst/>
          </a:prstGeom>
          <a:noFill/>
          <a:ln w="17145">
            <a:solidFill>
              <a:srgbClr val="008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1055" name="Line 2184">
            <a:extLst>
              <a:ext uri="{FF2B5EF4-FFF2-40B4-BE49-F238E27FC236}">
                <a16:creationId xmlns:a16="http://schemas.microsoft.com/office/drawing/2014/main" id="{00000000-0008-0000-0100-00003F97A402}"/>
              </a:ext>
            </a:extLst>
          </xdr:cNvPr>
          <xdr:cNvSpPr>
            <a:spLocks noChangeShapeType="1"/>
          </xdr:cNvSpPr>
        </xdr:nvSpPr>
        <xdr:spPr bwMode="auto">
          <a:xfrm>
            <a:off x="27602059" y="22206248"/>
            <a:ext cx="488793" cy="0"/>
          </a:xfrm>
          <a:prstGeom prst="line">
            <a:avLst/>
          </a:prstGeom>
          <a:noFill/>
          <a:ln w="1">
            <a:solidFill>
              <a:srgbClr val="0000FF"/>
            </a:solidFill>
            <a:round/>
            <a:headEnd/>
            <a:tailEnd type="triangle" w="med" len="med"/>
          </a:ln>
          <a:extLst>
            <a:ext uri="{909E8E84-426E-40DD-AFC4-6F175D3DCCD1}">
              <a14:hiddenFill xmlns:a14="http://schemas.microsoft.com/office/drawing/2010/main">
                <a:noFill/>
              </a14:hiddenFill>
            </a:ext>
          </a:extLst>
        </xdr:spPr>
      </xdr:sp>
      <xdr:sp macro="" textlink="">
        <xdr:nvSpPr>
          <xdr:cNvPr id="44341056" name="Line 2185">
            <a:extLst>
              <a:ext uri="{FF2B5EF4-FFF2-40B4-BE49-F238E27FC236}">
                <a16:creationId xmlns:a16="http://schemas.microsoft.com/office/drawing/2014/main" id="{00000000-0008-0000-0100-00004097A402}"/>
              </a:ext>
            </a:extLst>
          </xdr:cNvPr>
          <xdr:cNvSpPr>
            <a:spLocks noChangeShapeType="1"/>
          </xdr:cNvSpPr>
        </xdr:nvSpPr>
        <xdr:spPr bwMode="auto">
          <a:xfrm flipH="1">
            <a:off x="27591485" y="22533914"/>
            <a:ext cx="488793" cy="0"/>
          </a:xfrm>
          <a:prstGeom prst="line">
            <a:avLst/>
          </a:prstGeom>
          <a:noFill/>
          <a:ln w="0">
            <a:solidFill>
              <a:srgbClr val="0000FF"/>
            </a:solidFill>
            <a:prstDash val="dash"/>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71</xdr:col>
      <xdr:colOff>542925</xdr:colOff>
      <xdr:row>125</xdr:row>
      <xdr:rowOff>57150</xdr:rowOff>
    </xdr:from>
    <xdr:to>
      <xdr:col>77</xdr:col>
      <xdr:colOff>133350</xdr:colOff>
      <xdr:row>158</xdr:row>
      <xdr:rowOff>9525</xdr:rowOff>
    </xdr:to>
    <xdr:grpSp>
      <xdr:nvGrpSpPr>
        <xdr:cNvPr id="44340879" name="Group 1154">
          <a:extLst>
            <a:ext uri="{FF2B5EF4-FFF2-40B4-BE49-F238E27FC236}">
              <a16:creationId xmlns:a16="http://schemas.microsoft.com/office/drawing/2014/main" id="{00000000-0008-0000-0100-00008F96A402}"/>
            </a:ext>
          </a:extLst>
        </xdr:cNvPr>
        <xdr:cNvGrpSpPr>
          <a:grpSpLocks/>
        </xdr:cNvGrpSpPr>
      </xdr:nvGrpSpPr>
      <xdr:grpSpPr bwMode="auto">
        <a:xfrm>
          <a:off x="35092005" y="20293965"/>
          <a:ext cx="3985260" cy="5301615"/>
          <a:chOff x="27583342" y="19896231"/>
          <a:chExt cx="3909394" cy="5195982"/>
        </a:xfrm>
      </xdr:grpSpPr>
      <xdr:sp macro="" textlink="">
        <xdr:nvSpPr>
          <xdr:cNvPr id="44340958" name="Line 2130">
            <a:extLst>
              <a:ext uri="{FF2B5EF4-FFF2-40B4-BE49-F238E27FC236}">
                <a16:creationId xmlns:a16="http://schemas.microsoft.com/office/drawing/2014/main" id="{00000000-0008-0000-0100-0000DE96A402}"/>
              </a:ext>
            </a:extLst>
          </xdr:cNvPr>
          <xdr:cNvSpPr>
            <a:spLocks noChangeShapeType="1"/>
          </xdr:cNvSpPr>
        </xdr:nvSpPr>
        <xdr:spPr bwMode="auto">
          <a:xfrm flipH="1">
            <a:off x="29622749" y="21674667"/>
            <a:ext cx="571499" cy="32702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0959" name="Rectangle 2131">
            <a:extLst>
              <a:ext uri="{FF2B5EF4-FFF2-40B4-BE49-F238E27FC236}">
                <a16:creationId xmlns:a16="http://schemas.microsoft.com/office/drawing/2014/main" id="{00000000-0008-0000-0100-0000DF96A402}"/>
              </a:ext>
            </a:extLst>
          </xdr:cNvPr>
          <xdr:cNvSpPr>
            <a:spLocks noChangeArrowheads="1"/>
          </xdr:cNvSpPr>
        </xdr:nvSpPr>
        <xdr:spPr bwMode="auto">
          <a:xfrm>
            <a:off x="27807923" y="20031617"/>
            <a:ext cx="3497577" cy="4901869"/>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44340960" name="Line 2132">
            <a:extLst>
              <a:ext uri="{FF2B5EF4-FFF2-40B4-BE49-F238E27FC236}">
                <a16:creationId xmlns:a16="http://schemas.microsoft.com/office/drawing/2014/main" id="{00000000-0008-0000-0100-0000E096A402}"/>
              </a:ext>
            </a:extLst>
          </xdr:cNvPr>
          <xdr:cNvSpPr>
            <a:spLocks noChangeShapeType="1"/>
          </xdr:cNvSpPr>
        </xdr:nvSpPr>
        <xdr:spPr bwMode="auto">
          <a:xfrm flipH="1" flipV="1">
            <a:off x="27826025" y="22814011"/>
            <a:ext cx="2156557" cy="365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0961" name="Line 2133">
            <a:extLst>
              <a:ext uri="{FF2B5EF4-FFF2-40B4-BE49-F238E27FC236}">
                <a16:creationId xmlns:a16="http://schemas.microsoft.com/office/drawing/2014/main" id="{00000000-0008-0000-0100-0000E196A402}"/>
              </a:ext>
            </a:extLst>
          </xdr:cNvPr>
          <xdr:cNvSpPr>
            <a:spLocks noChangeShapeType="1"/>
          </xdr:cNvSpPr>
        </xdr:nvSpPr>
        <xdr:spPr bwMode="auto">
          <a:xfrm>
            <a:off x="30208497" y="21668644"/>
            <a:ext cx="108987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0962" name="Line 2134">
            <a:extLst>
              <a:ext uri="{FF2B5EF4-FFF2-40B4-BE49-F238E27FC236}">
                <a16:creationId xmlns:a16="http://schemas.microsoft.com/office/drawing/2014/main" id="{00000000-0008-0000-0100-0000E296A402}"/>
              </a:ext>
            </a:extLst>
          </xdr:cNvPr>
          <xdr:cNvSpPr>
            <a:spLocks noChangeShapeType="1"/>
          </xdr:cNvSpPr>
        </xdr:nvSpPr>
        <xdr:spPr bwMode="auto">
          <a:xfrm>
            <a:off x="27819421" y="23925101"/>
            <a:ext cx="1983246" cy="3816"/>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grpSp>
        <xdr:nvGrpSpPr>
          <xdr:cNvPr id="44340963" name="Group 2135">
            <a:extLst>
              <a:ext uri="{FF2B5EF4-FFF2-40B4-BE49-F238E27FC236}">
                <a16:creationId xmlns:a16="http://schemas.microsoft.com/office/drawing/2014/main" id="{00000000-0008-0000-0100-0000E396A402}"/>
              </a:ext>
            </a:extLst>
          </xdr:cNvPr>
          <xdr:cNvGrpSpPr>
            <a:grpSpLocks/>
          </xdr:cNvGrpSpPr>
        </xdr:nvGrpSpPr>
        <xdr:grpSpPr bwMode="auto">
          <a:xfrm>
            <a:off x="29393198" y="20087638"/>
            <a:ext cx="1578670" cy="1045732"/>
            <a:chOff x="4698" y="3016"/>
            <a:chExt cx="239" cy="112"/>
          </a:xfrm>
        </xdr:grpSpPr>
        <xdr:sp macro="" textlink="">
          <xdr:nvSpPr>
            <xdr:cNvPr id="44341012" name="Line 2136">
              <a:extLst>
                <a:ext uri="{FF2B5EF4-FFF2-40B4-BE49-F238E27FC236}">
                  <a16:creationId xmlns:a16="http://schemas.microsoft.com/office/drawing/2014/main" id="{00000000-0008-0000-0100-00001497A402}"/>
                </a:ext>
              </a:extLst>
            </xdr:cNvPr>
            <xdr:cNvSpPr>
              <a:spLocks noChangeShapeType="1"/>
            </xdr:cNvSpPr>
          </xdr:nvSpPr>
          <xdr:spPr bwMode="auto">
            <a:xfrm>
              <a:off x="4849" y="3069"/>
              <a:ext cx="4" cy="59"/>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sp macro="" textlink="">
          <xdr:nvSpPr>
            <xdr:cNvPr id="44341013" name="Line 2137">
              <a:extLst>
                <a:ext uri="{FF2B5EF4-FFF2-40B4-BE49-F238E27FC236}">
                  <a16:creationId xmlns:a16="http://schemas.microsoft.com/office/drawing/2014/main" id="{00000000-0008-0000-0100-00001597A402}"/>
                </a:ext>
              </a:extLst>
            </xdr:cNvPr>
            <xdr:cNvSpPr>
              <a:spLocks noChangeShapeType="1"/>
            </xdr:cNvSpPr>
          </xdr:nvSpPr>
          <xdr:spPr bwMode="auto">
            <a:xfrm>
              <a:off x="4862" y="3064"/>
              <a:ext cx="35" cy="49"/>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sp macro="" textlink="">
          <xdr:nvSpPr>
            <xdr:cNvPr id="44341014" name="Line 2138">
              <a:extLst>
                <a:ext uri="{FF2B5EF4-FFF2-40B4-BE49-F238E27FC236}">
                  <a16:creationId xmlns:a16="http://schemas.microsoft.com/office/drawing/2014/main" id="{00000000-0008-0000-0100-00001697A402}"/>
                </a:ext>
              </a:extLst>
            </xdr:cNvPr>
            <xdr:cNvSpPr>
              <a:spLocks noChangeShapeType="1"/>
            </xdr:cNvSpPr>
          </xdr:nvSpPr>
          <xdr:spPr bwMode="auto">
            <a:xfrm>
              <a:off x="4867" y="3052"/>
              <a:ext cx="61" cy="49"/>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sp macro="" textlink="">
          <xdr:nvSpPr>
            <xdr:cNvPr id="44341015" name="Line 2139">
              <a:extLst>
                <a:ext uri="{FF2B5EF4-FFF2-40B4-BE49-F238E27FC236}">
                  <a16:creationId xmlns:a16="http://schemas.microsoft.com/office/drawing/2014/main" id="{00000000-0008-0000-0100-00001797A402}"/>
                </a:ext>
              </a:extLst>
            </xdr:cNvPr>
            <xdr:cNvSpPr>
              <a:spLocks noChangeShapeType="1"/>
            </xdr:cNvSpPr>
          </xdr:nvSpPr>
          <xdr:spPr bwMode="auto">
            <a:xfrm>
              <a:off x="4871" y="3041"/>
              <a:ext cx="66" cy="21"/>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sp macro="" textlink="">
          <xdr:nvSpPr>
            <xdr:cNvPr id="44341016" name="Line 2140">
              <a:extLst>
                <a:ext uri="{FF2B5EF4-FFF2-40B4-BE49-F238E27FC236}">
                  <a16:creationId xmlns:a16="http://schemas.microsoft.com/office/drawing/2014/main" id="{00000000-0008-0000-0100-00001897A402}"/>
                </a:ext>
              </a:extLst>
            </xdr:cNvPr>
            <xdr:cNvSpPr>
              <a:spLocks noChangeShapeType="1"/>
            </xdr:cNvSpPr>
          </xdr:nvSpPr>
          <xdr:spPr bwMode="auto">
            <a:xfrm flipV="1">
              <a:off x="4867" y="3016"/>
              <a:ext cx="46" cy="15"/>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grpSp>
          <xdr:nvGrpSpPr>
            <xdr:cNvPr id="44341017" name="Group 2141">
              <a:extLst>
                <a:ext uri="{FF2B5EF4-FFF2-40B4-BE49-F238E27FC236}">
                  <a16:creationId xmlns:a16="http://schemas.microsoft.com/office/drawing/2014/main" id="{00000000-0008-0000-0100-00001997A402}"/>
                </a:ext>
              </a:extLst>
            </xdr:cNvPr>
            <xdr:cNvGrpSpPr>
              <a:grpSpLocks/>
            </xdr:cNvGrpSpPr>
          </xdr:nvGrpSpPr>
          <xdr:grpSpPr bwMode="auto">
            <a:xfrm>
              <a:off x="4698" y="3020"/>
              <a:ext cx="171" cy="63"/>
              <a:chOff x="4698" y="3020"/>
              <a:chExt cx="171" cy="63"/>
            </a:xfrm>
          </xdr:grpSpPr>
          <xdr:sp macro="" textlink="">
            <xdr:nvSpPr>
              <xdr:cNvPr id="44341018" name="Oval 2142">
                <a:extLst>
                  <a:ext uri="{FF2B5EF4-FFF2-40B4-BE49-F238E27FC236}">
                    <a16:creationId xmlns:a16="http://schemas.microsoft.com/office/drawing/2014/main" id="{00000000-0008-0000-0100-00001A97A402}"/>
                  </a:ext>
                </a:extLst>
              </xdr:cNvPr>
              <xdr:cNvSpPr>
                <a:spLocks noChangeArrowheads="1"/>
              </xdr:cNvSpPr>
            </xdr:nvSpPr>
            <xdr:spPr bwMode="auto">
              <a:xfrm>
                <a:off x="4822" y="3020"/>
                <a:ext cx="47" cy="47"/>
              </a:xfrm>
              <a:prstGeom prst="ellipse">
                <a:avLst/>
              </a:prstGeom>
              <a:solidFill>
                <a:srgbClr val="FFFF00"/>
              </a:solidFill>
              <a:ln w="9525">
                <a:solidFill>
                  <a:srgbClr val="FFCC00"/>
                </a:solidFill>
                <a:round/>
                <a:headEnd/>
                <a:tailEnd/>
              </a:ln>
            </xdr:spPr>
          </xdr:sp>
          <xdr:grpSp>
            <xdr:nvGrpSpPr>
              <xdr:cNvPr id="44341019" name="Group 2143">
                <a:extLst>
                  <a:ext uri="{FF2B5EF4-FFF2-40B4-BE49-F238E27FC236}">
                    <a16:creationId xmlns:a16="http://schemas.microsoft.com/office/drawing/2014/main" id="{00000000-0008-0000-0100-00001B97A402}"/>
                  </a:ext>
                </a:extLst>
              </xdr:cNvPr>
              <xdr:cNvGrpSpPr>
                <a:grpSpLocks/>
              </xdr:cNvGrpSpPr>
            </xdr:nvGrpSpPr>
            <xdr:grpSpPr bwMode="auto">
              <a:xfrm>
                <a:off x="4698" y="3025"/>
                <a:ext cx="145" cy="58"/>
                <a:chOff x="4698" y="3025"/>
                <a:chExt cx="145" cy="58"/>
              </a:xfrm>
            </xdr:grpSpPr>
            <xdr:sp macro="" textlink="">
              <xdr:nvSpPr>
                <xdr:cNvPr id="44341020" name="Arc 2144">
                  <a:extLst>
                    <a:ext uri="{FF2B5EF4-FFF2-40B4-BE49-F238E27FC236}">
                      <a16:creationId xmlns:a16="http://schemas.microsoft.com/office/drawing/2014/main" id="{00000000-0008-0000-0100-00001C97A402}"/>
                    </a:ext>
                  </a:extLst>
                </xdr:cNvPr>
                <xdr:cNvSpPr>
                  <a:spLocks/>
                </xdr:cNvSpPr>
              </xdr:nvSpPr>
              <xdr:spPr bwMode="auto">
                <a:xfrm>
                  <a:off x="4805" y="3033"/>
                  <a:ext cx="38" cy="27"/>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021" name="Arc 2145">
                  <a:extLst>
                    <a:ext uri="{FF2B5EF4-FFF2-40B4-BE49-F238E27FC236}">
                      <a16:creationId xmlns:a16="http://schemas.microsoft.com/office/drawing/2014/main" id="{00000000-0008-0000-0100-00001D97A402}"/>
                    </a:ext>
                  </a:extLst>
                </xdr:cNvPr>
                <xdr:cNvSpPr>
                  <a:spLocks/>
                </xdr:cNvSpPr>
              </xdr:nvSpPr>
              <xdr:spPr bwMode="auto">
                <a:xfrm>
                  <a:off x="4780" y="3025"/>
                  <a:ext cx="32" cy="11"/>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022" name="Arc 2146">
                  <a:extLst>
                    <a:ext uri="{FF2B5EF4-FFF2-40B4-BE49-F238E27FC236}">
                      <a16:creationId xmlns:a16="http://schemas.microsoft.com/office/drawing/2014/main" id="{00000000-0008-0000-0100-00001E97A402}"/>
                    </a:ext>
                  </a:extLst>
                </xdr:cNvPr>
                <xdr:cNvSpPr>
                  <a:spLocks/>
                </xdr:cNvSpPr>
              </xdr:nvSpPr>
              <xdr:spPr bwMode="auto">
                <a:xfrm flipH="1">
                  <a:off x="4737" y="3025"/>
                  <a:ext cx="39" cy="11"/>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023" name="Arc 2147">
                  <a:extLst>
                    <a:ext uri="{FF2B5EF4-FFF2-40B4-BE49-F238E27FC236}">
                      <a16:creationId xmlns:a16="http://schemas.microsoft.com/office/drawing/2014/main" id="{00000000-0008-0000-0100-00001F97A402}"/>
                    </a:ext>
                  </a:extLst>
                </xdr:cNvPr>
                <xdr:cNvSpPr>
                  <a:spLocks/>
                </xdr:cNvSpPr>
              </xdr:nvSpPr>
              <xdr:spPr bwMode="auto">
                <a:xfrm flipH="1">
                  <a:off x="4698" y="3036"/>
                  <a:ext cx="34" cy="2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024" name="Arc 2148">
                  <a:extLst>
                    <a:ext uri="{FF2B5EF4-FFF2-40B4-BE49-F238E27FC236}">
                      <a16:creationId xmlns:a16="http://schemas.microsoft.com/office/drawing/2014/main" id="{00000000-0008-0000-0100-00002097A402}"/>
                    </a:ext>
                  </a:extLst>
                </xdr:cNvPr>
                <xdr:cNvSpPr>
                  <a:spLocks/>
                </xdr:cNvSpPr>
              </xdr:nvSpPr>
              <xdr:spPr bwMode="auto">
                <a:xfrm flipH="1" flipV="1">
                  <a:off x="4698" y="3060"/>
                  <a:ext cx="19" cy="2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025" name="Arc 2149">
                  <a:extLst>
                    <a:ext uri="{FF2B5EF4-FFF2-40B4-BE49-F238E27FC236}">
                      <a16:creationId xmlns:a16="http://schemas.microsoft.com/office/drawing/2014/main" id="{00000000-0008-0000-0100-00002197A402}"/>
                    </a:ext>
                  </a:extLst>
                </xdr:cNvPr>
                <xdr:cNvSpPr>
                  <a:spLocks/>
                </xdr:cNvSpPr>
              </xdr:nvSpPr>
              <xdr:spPr bwMode="auto">
                <a:xfrm flipV="1">
                  <a:off x="4717" y="3060"/>
                  <a:ext cx="27" cy="2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026" name="Arc 2150">
                  <a:extLst>
                    <a:ext uri="{FF2B5EF4-FFF2-40B4-BE49-F238E27FC236}">
                      <a16:creationId xmlns:a16="http://schemas.microsoft.com/office/drawing/2014/main" id="{00000000-0008-0000-0100-00002297A402}"/>
                    </a:ext>
                  </a:extLst>
                </xdr:cNvPr>
                <xdr:cNvSpPr>
                  <a:spLocks/>
                </xdr:cNvSpPr>
              </xdr:nvSpPr>
              <xdr:spPr bwMode="auto">
                <a:xfrm flipH="1" flipV="1">
                  <a:off x="4740" y="3070"/>
                  <a:ext cx="28" cy="1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027" name="Arc 2151">
                  <a:extLst>
                    <a:ext uri="{FF2B5EF4-FFF2-40B4-BE49-F238E27FC236}">
                      <a16:creationId xmlns:a16="http://schemas.microsoft.com/office/drawing/2014/main" id="{00000000-0008-0000-0100-00002397A402}"/>
                    </a:ext>
                  </a:extLst>
                </xdr:cNvPr>
                <xdr:cNvSpPr>
                  <a:spLocks/>
                </xdr:cNvSpPr>
              </xdr:nvSpPr>
              <xdr:spPr bwMode="auto">
                <a:xfrm flipV="1">
                  <a:off x="4771" y="3066"/>
                  <a:ext cx="28" cy="17"/>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1028" name="Arc 2152">
                  <a:extLst>
                    <a:ext uri="{FF2B5EF4-FFF2-40B4-BE49-F238E27FC236}">
                      <a16:creationId xmlns:a16="http://schemas.microsoft.com/office/drawing/2014/main" id="{00000000-0008-0000-0100-00002497A402}"/>
                    </a:ext>
                  </a:extLst>
                </xdr:cNvPr>
                <xdr:cNvSpPr>
                  <a:spLocks/>
                </xdr:cNvSpPr>
              </xdr:nvSpPr>
              <xdr:spPr bwMode="auto">
                <a:xfrm flipV="1">
                  <a:off x="4792" y="3057"/>
                  <a:ext cx="51" cy="2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grpSp>
        </xdr:grpSp>
      </xdr:grpSp>
      <xdr:grpSp>
        <xdr:nvGrpSpPr>
          <xdr:cNvPr id="44340964" name="Group 2153">
            <a:extLst>
              <a:ext uri="{FF2B5EF4-FFF2-40B4-BE49-F238E27FC236}">
                <a16:creationId xmlns:a16="http://schemas.microsoft.com/office/drawing/2014/main" id="{00000000-0008-0000-0100-0000E496A402}"/>
              </a:ext>
            </a:extLst>
          </xdr:cNvPr>
          <xdr:cNvGrpSpPr>
            <a:grpSpLocks/>
          </xdr:cNvGrpSpPr>
        </xdr:nvGrpSpPr>
        <xdr:grpSpPr bwMode="auto">
          <a:xfrm>
            <a:off x="29274303" y="21123988"/>
            <a:ext cx="132106" cy="177401"/>
            <a:chOff x="4680" y="3161"/>
            <a:chExt cx="20" cy="19"/>
          </a:xfrm>
        </xdr:grpSpPr>
        <xdr:sp macro="" textlink="">
          <xdr:nvSpPr>
            <xdr:cNvPr id="44341008" name="Oval 2154">
              <a:extLst>
                <a:ext uri="{FF2B5EF4-FFF2-40B4-BE49-F238E27FC236}">
                  <a16:creationId xmlns:a16="http://schemas.microsoft.com/office/drawing/2014/main" id="{00000000-0008-0000-0100-00001097A402}"/>
                </a:ext>
              </a:extLst>
            </xdr:cNvPr>
            <xdr:cNvSpPr>
              <a:spLocks noChangeArrowheads="1"/>
            </xdr:cNvSpPr>
          </xdr:nvSpPr>
          <xdr:spPr bwMode="auto">
            <a:xfrm>
              <a:off x="4680" y="3161"/>
              <a:ext cx="20" cy="19"/>
            </a:xfrm>
            <a:prstGeom prst="ellipse">
              <a:avLst/>
            </a:prstGeom>
            <a:solidFill>
              <a:srgbClr val="EAEAEA"/>
            </a:solidFill>
            <a:ln w="1">
              <a:solidFill>
                <a:srgbClr val="333333"/>
              </a:solidFill>
              <a:round/>
              <a:headEnd/>
              <a:tailEnd/>
            </a:ln>
          </xdr:spPr>
        </xdr:sp>
        <xdr:sp macro="" textlink="">
          <xdr:nvSpPr>
            <xdr:cNvPr id="44341009" name="Line 2155">
              <a:extLst>
                <a:ext uri="{FF2B5EF4-FFF2-40B4-BE49-F238E27FC236}">
                  <a16:creationId xmlns:a16="http://schemas.microsoft.com/office/drawing/2014/main" id="{00000000-0008-0000-0100-00001197A402}"/>
                </a:ext>
              </a:extLst>
            </xdr:cNvPr>
            <xdr:cNvSpPr>
              <a:spLocks noChangeShapeType="1"/>
            </xdr:cNvSpPr>
          </xdr:nvSpPr>
          <xdr:spPr bwMode="auto">
            <a:xfrm flipH="1" flipV="1">
              <a:off x="4682" y="3165"/>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010" name="Line 2156">
              <a:extLst>
                <a:ext uri="{FF2B5EF4-FFF2-40B4-BE49-F238E27FC236}">
                  <a16:creationId xmlns:a16="http://schemas.microsoft.com/office/drawing/2014/main" id="{00000000-0008-0000-0100-00001297A402}"/>
                </a:ext>
              </a:extLst>
            </xdr:cNvPr>
            <xdr:cNvSpPr>
              <a:spLocks noChangeShapeType="1"/>
            </xdr:cNvSpPr>
          </xdr:nvSpPr>
          <xdr:spPr bwMode="auto">
            <a:xfrm flipH="1">
              <a:off x="4682" y="3171"/>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011" name="Oval 2157">
              <a:extLst>
                <a:ext uri="{FF2B5EF4-FFF2-40B4-BE49-F238E27FC236}">
                  <a16:creationId xmlns:a16="http://schemas.microsoft.com/office/drawing/2014/main" id="{00000000-0008-0000-0100-00001397A402}"/>
                </a:ext>
              </a:extLst>
            </xdr:cNvPr>
            <xdr:cNvSpPr>
              <a:spLocks noChangeArrowheads="1"/>
            </xdr:cNvSpPr>
          </xdr:nvSpPr>
          <xdr:spPr bwMode="auto">
            <a:xfrm>
              <a:off x="4687" y="3164"/>
              <a:ext cx="2" cy="1"/>
            </a:xfrm>
            <a:prstGeom prst="ellipse">
              <a:avLst/>
            </a:prstGeom>
            <a:solidFill>
              <a:srgbClr val="EAEAEA"/>
            </a:solidFill>
            <a:ln w="9525">
              <a:solidFill>
                <a:srgbClr val="333333"/>
              </a:solidFill>
              <a:round/>
              <a:headEnd/>
              <a:tailEnd/>
            </a:ln>
          </xdr:spPr>
        </xdr:sp>
      </xdr:grpSp>
      <xdr:grpSp>
        <xdr:nvGrpSpPr>
          <xdr:cNvPr id="44340965" name="Group 2158">
            <a:extLst>
              <a:ext uri="{FF2B5EF4-FFF2-40B4-BE49-F238E27FC236}">
                <a16:creationId xmlns:a16="http://schemas.microsoft.com/office/drawing/2014/main" id="{00000000-0008-0000-0100-0000E596A402}"/>
              </a:ext>
            </a:extLst>
          </xdr:cNvPr>
          <xdr:cNvGrpSpPr>
            <a:grpSpLocks/>
          </xdr:cNvGrpSpPr>
        </xdr:nvGrpSpPr>
        <xdr:grpSpPr bwMode="auto">
          <a:xfrm>
            <a:off x="29223390" y="23483757"/>
            <a:ext cx="132106" cy="177401"/>
            <a:chOff x="4605" y="3399"/>
            <a:chExt cx="20" cy="19"/>
          </a:xfrm>
        </xdr:grpSpPr>
        <xdr:sp macro="" textlink="">
          <xdr:nvSpPr>
            <xdr:cNvPr id="44341004" name="Oval 2159">
              <a:extLst>
                <a:ext uri="{FF2B5EF4-FFF2-40B4-BE49-F238E27FC236}">
                  <a16:creationId xmlns:a16="http://schemas.microsoft.com/office/drawing/2014/main" id="{00000000-0008-0000-0100-00000C97A402}"/>
                </a:ext>
              </a:extLst>
            </xdr:cNvPr>
            <xdr:cNvSpPr>
              <a:spLocks noChangeArrowheads="1"/>
            </xdr:cNvSpPr>
          </xdr:nvSpPr>
          <xdr:spPr bwMode="auto">
            <a:xfrm>
              <a:off x="4605" y="3399"/>
              <a:ext cx="20" cy="19"/>
            </a:xfrm>
            <a:prstGeom prst="ellipse">
              <a:avLst/>
            </a:prstGeom>
            <a:solidFill>
              <a:srgbClr val="EAEAEA"/>
            </a:solidFill>
            <a:ln w="1">
              <a:solidFill>
                <a:srgbClr val="333333"/>
              </a:solidFill>
              <a:round/>
              <a:headEnd/>
              <a:tailEnd/>
            </a:ln>
          </xdr:spPr>
        </xdr:sp>
        <xdr:sp macro="" textlink="">
          <xdr:nvSpPr>
            <xdr:cNvPr id="44341005" name="Line 2160">
              <a:extLst>
                <a:ext uri="{FF2B5EF4-FFF2-40B4-BE49-F238E27FC236}">
                  <a16:creationId xmlns:a16="http://schemas.microsoft.com/office/drawing/2014/main" id="{00000000-0008-0000-0100-00000D97A402}"/>
                </a:ext>
              </a:extLst>
            </xdr:cNvPr>
            <xdr:cNvSpPr>
              <a:spLocks noChangeShapeType="1"/>
            </xdr:cNvSpPr>
          </xdr:nvSpPr>
          <xdr:spPr bwMode="auto">
            <a:xfrm flipH="1" flipV="1">
              <a:off x="4607" y="3403"/>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006" name="Line 2161">
              <a:extLst>
                <a:ext uri="{FF2B5EF4-FFF2-40B4-BE49-F238E27FC236}">
                  <a16:creationId xmlns:a16="http://schemas.microsoft.com/office/drawing/2014/main" id="{00000000-0008-0000-0100-00000E97A402}"/>
                </a:ext>
              </a:extLst>
            </xdr:cNvPr>
            <xdr:cNvSpPr>
              <a:spLocks noChangeShapeType="1"/>
            </xdr:cNvSpPr>
          </xdr:nvSpPr>
          <xdr:spPr bwMode="auto">
            <a:xfrm flipH="1">
              <a:off x="4607" y="3409"/>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007" name="Oval 2162">
              <a:extLst>
                <a:ext uri="{FF2B5EF4-FFF2-40B4-BE49-F238E27FC236}">
                  <a16:creationId xmlns:a16="http://schemas.microsoft.com/office/drawing/2014/main" id="{00000000-0008-0000-0100-00000F97A402}"/>
                </a:ext>
              </a:extLst>
            </xdr:cNvPr>
            <xdr:cNvSpPr>
              <a:spLocks noChangeArrowheads="1"/>
            </xdr:cNvSpPr>
          </xdr:nvSpPr>
          <xdr:spPr bwMode="auto">
            <a:xfrm>
              <a:off x="4612" y="3402"/>
              <a:ext cx="2" cy="1"/>
            </a:xfrm>
            <a:prstGeom prst="ellipse">
              <a:avLst/>
            </a:prstGeom>
            <a:solidFill>
              <a:srgbClr val="EAEAEA"/>
            </a:solidFill>
            <a:ln w="9525">
              <a:solidFill>
                <a:srgbClr val="333333"/>
              </a:solidFill>
              <a:round/>
              <a:headEnd/>
              <a:tailEnd/>
            </a:ln>
          </xdr:spPr>
        </xdr:sp>
      </xdr:grpSp>
      <xdr:grpSp>
        <xdr:nvGrpSpPr>
          <xdr:cNvPr id="44340966" name="Group 2163">
            <a:extLst>
              <a:ext uri="{FF2B5EF4-FFF2-40B4-BE49-F238E27FC236}">
                <a16:creationId xmlns:a16="http://schemas.microsoft.com/office/drawing/2014/main" id="{00000000-0008-0000-0100-0000E696A402}"/>
              </a:ext>
            </a:extLst>
          </xdr:cNvPr>
          <xdr:cNvGrpSpPr>
            <a:grpSpLocks/>
          </xdr:cNvGrpSpPr>
        </xdr:nvGrpSpPr>
        <xdr:grpSpPr bwMode="auto">
          <a:xfrm>
            <a:off x="30747288" y="23644995"/>
            <a:ext cx="132106" cy="177401"/>
            <a:chOff x="4903" y="3397"/>
            <a:chExt cx="20" cy="19"/>
          </a:xfrm>
        </xdr:grpSpPr>
        <xdr:sp macro="" textlink="">
          <xdr:nvSpPr>
            <xdr:cNvPr id="44341000" name="Oval 2164">
              <a:extLst>
                <a:ext uri="{FF2B5EF4-FFF2-40B4-BE49-F238E27FC236}">
                  <a16:creationId xmlns:a16="http://schemas.microsoft.com/office/drawing/2014/main" id="{00000000-0008-0000-0100-00000897A402}"/>
                </a:ext>
              </a:extLst>
            </xdr:cNvPr>
            <xdr:cNvSpPr>
              <a:spLocks noChangeArrowheads="1"/>
            </xdr:cNvSpPr>
          </xdr:nvSpPr>
          <xdr:spPr bwMode="auto">
            <a:xfrm>
              <a:off x="4903" y="3397"/>
              <a:ext cx="20" cy="19"/>
            </a:xfrm>
            <a:prstGeom prst="ellipse">
              <a:avLst/>
            </a:prstGeom>
            <a:solidFill>
              <a:srgbClr val="EAEAEA"/>
            </a:solidFill>
            <a:ln w="1">
              <a:solidFill>
                <a:srgbClr val="333333"/>
              </a:solidFill>
              <a:round/>
              <a:headEnd/>
              <a:tailEnd/>
            </a:ln>
          </xdr:spPr>
        </xdr:sp>
        <xdr:sp macro="" textlink="">
          <xdr:nvSpPr>
            <xdr:cNvPr id="44341001" name="Line 2165">
              <a:extLst>
                <a:ext uri="{FF2B5EF4-FFF2-40B4-BE49-F238E27FC236}">
                  <a16:creationId xmlns:a16="http://schemas.microsoft.com/office/drawing/2014/main" id="{00000000-0008-0000-0100-00000997A402}"/>
                </a:ext>
              </a:extLst>
            </xdr:cNvPr>
            <xdr:cNvSpPr>
              <a:spLocks noChangeShapeType="1"/>
            </xdr:cNvSpPr>
          </xdr:nvSpPr>
          <xdr:spPr bwMode="auto">
            <a:xfrm flipH="1" flipV="1">
              <a:off x="4905" y="3401"/>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002" name="Line 2166">
              <a:extLst>
                <a:ext uri="{FF2B5EF4-FFF2-40B4-BE49-F238E27FC236}">
                  <a16:creationId xmlns:a16="http://schemas.microsoft.com/office/drawing/2014/main" id="{00000000-0008-0000-0100-00000A97A402}"/>
                </a:ext>
              </a:extLst>
            </xdr:cNvPr>
            <xdr:cNvSpPr>
              <a:spLocks noChangeShapeType="1"/>
            </xdr:cNvSpPr>
          </xdr:nvSpPr>
          <xdr:spPr bwMode="auto">
            <a:xfrm flipH="1">
              <a:off x="4905" y="3407"/>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1003" name="Oval 2167">
              <a:extLst>
                <a:ext uri="{FF2B5EF4-FFF2-40B4-BE49-F238E27FC236}">
                  <a16:creationId xmlns:a16="http://schemas.microsoft.com/office/drawing/2014/main" id="{00000000-0008-0000-0100-00000B97A402}"/>
                </a:ext>
              </a:extLst>
            </xdr:cNvPr>
            <xdr:cNvSpPr>
              <a:spLocks noChangeArrowheads="1"/>
            </xdr:cNvSpPr>
          </xdr:nvSpPr>
          <xdr:spPr bwMode="auto">
            <a:xfrm>
              <a:off x="4910" y="3400"/>
              <a:ext cx="2" cy="1"/>
            </a:xfrm>
            <a:prstGeom prst="ellipse">
              <a:avLst/>
            </a:prstGeom>
            <a:solidFill>
              <a:srgbClr val="EAEAEA"/>
            </a:solidFill>
            <a:ln w="9525">
              <a:solidFill>
                <a:srgbClr val="333333"/>
              </a:solidFill>
              <a:round/>
              <a:headEnd/>
              <a:tailEnd/>
            </a:ln>
          </xdr:spPr>
        </xdr:sp>
      </xdr:grpSp>
      <xdr:grpSp>
        <xdr:nvGrpSpPr>
          <xdr:cNvPr id="44340967" name="Group 2168">
            <a:extLst>
              <a:ext uri="{FF2B5EF4-FFF2-40B4-BE49-F238E27FC236}">
                <a16:creationId xmlns:a16="http://schemas.microsoft.com/office/drawing/2014/main" id="{00000000-0008-0000-0100-0000E796A402}"/>
              </a:ext>
            </a:extLst>
          </xdr:cNvPr>
          <xdr:cNvGrpSpPr>
            <a:grpSpLocks/>
          </xdr:cNvGrpSpPr>
        </xdr:nvGrpSpPr>
        <xdr:grpSpPr bwMode="auto">
          <a:xfrm>
            <a:off x="28499759" y="24585528"/>
            <a:ext cx="132106" cy="177401"/>
            <a:chOff x="4606" y="3500"/>
            <a:chExt cx="20" cy="19"/>
          </a:xfrm>
        </xdr:grpSpPr>
        <xdr:sp macro="" textlink="">
          <xdr:nvSpPr>
            <xdr:cNvPr id="44340996" name="Oval 2169">
              <a:extLst>
                <a:ext uri="{FF2B5EF4-FFF2-40B4-BE49-F238E27FC236}">
                  <a16:creationId xmlns:a16="http://schemas.microsoft.com/office/drawing/2014/main" id="{00000000-0008-0000-0100-00000497A402}"/>
                </a:ext>
              </a:extLst>
            </xdr:cNvPr>
            <xdr:cNvSpPr>
              <a:spLocks noChangeArrowheads="1"/>
            </xdr:cNvSpPr>
          </xdr:nvSpPr>
          <xdr:spPr bwMode="auto">
            <a:xfrm>
              <a:off x="4606" y="3500"/>
              <a:ext cx="20" cy="19"/>
            </a:xfrm>
            <a:prstGeom prst="ellipse">
              <a:avLst/>
            </a:prstGeom>
            <a:solidFill>
              <a:srgbClr val="EAEAEA"/>
            </a:solidFill>
            <a:ln w="1">
              <a:solidFill>
                <a:srgbClr val="333333"/>
              </a:solidFill>
              <a:round/>
              <a:headEnd/>
              <a:tailEnd/>
            </a:ln>
          </xdr:spPr>
        </xdr:sp>
        <xdr:sp macro="" textlink="">
          <xdr:nvSpPr>
            <xdr:cNvPr id="44340997" name="Line 2170">
              <a:extLst>
                <a:ext uri="{FF2B5EF4-FFF2-40B4-BE49-F238E27FC236}">
                  <a16:creationId xmlns:a16="http://schemas.microsoft.com/office/drawing/2014/main" id="{00000000-0008-0000-0100-00000597A402}"/>
                </a:ext>
              </a:extLst>
            </xdr:cNvPr>
            <xdr:cNvSpPr>
              <a:spLocks noChangeShapeType="1"/>
            </xdr:cNvSpPr>
          </xdr:nvSpPr>
          <xdr:spPr bwMode="auto">
            <a:xfrm flipH="1" flipV="1">
              <a:off x="4608" y="3504"/>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0998" name="Line 2171">
              <a:extLst>
                <a:ext uri="{FF2B5EF4-FFF2-40B4-BE49-F238E27FC236}">
                  <a16:creationId xmlns:a16="http://schemas.microsoft.com/office/drawing/2014/main" id="{00000000-0008-0000-0100-00000697A402}"/>
                </a:ext>
              </a:extLst>
            </xdr:cNvPr>
            <xdr:cNvSpPr>
              <a:spLocks noChangeShapeType="1"/>
            </xdr:cNvSpPr>
          </xdr:nvSpPr>
          <xdr:spPr bwMode="auto">
            <a:xfrm flipH="1">
              <a:off x="4608" y="3510"/>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0999" name="Oval 2172">
              <a:extLst>
                <a:ext uri="{FF2B5EF4-FFF2-40B4-BE49-F238E27FC236}">
                  <a16:creationId xmlns:a16="http://schemas.microsoft.com/office/drawing/2014/main" id="{00000000-0008-0000-0100-00000797A402}"/>
                </a:ext>
              </a:extLst>
            </xdr:cNvPr>
            <xdr:cNvSpPr>
              <a:spLocks noChangeArrowheads="1"/>
            </xdr:cNvSpPr>
          </xdr:nvSpPr>
          <xdr:spPr bwMode="auto">
            <a:xfrm>
              <a:off x="4613" y="3503"/>
              <a:ext cx="2" cy="1"/>
            </a:xfrm>
            <a:prstGeom prst="ellipse">
              <a:avLst/>
            </a:prstGeom>
            <a:solidFill>
              <a:srgbClr val="EAEAEA"/>
            </a:solidFill>
            <a:ln w="9525">
              <a:solidFill>
                <a:srgbClr val="333333"/>
              </a:solidFill>
              <a:round/>
              <a:headEnd/>
              <a:tailEnd/>
            </a:ln>
          </xdr:spPr>
        </xdr:sp>
      </xdr:grpSp>
      <xdr:sp macro="" textlink="">
        <xdr:nvSpPr>
          <xdr:cNvPr id="44340968" name="Line 2177">
            <a:extLst>
              <a:ext uri="{FF2B5EF4-FFF2-40B4-BE49-F238E27FC236}">
                <a16:creationId xmlns:a16="http://schemas.microsoft.com/office/drawing/2014/main" id="{00000000-0008-0000-0100-0000E896A402}"/>
              </a:ext>
            </a:extLst>
          </xdr:cNvPr>
          <xdr:cNvSpPr>
            <a:spLocks noChangeShapeType="1"/>
          </xdr:cNvSpPr>
        </xdr:nvSpPr>
        <xdr:spPr bwMode="auto">
          <a:xfrm>
            <a:off x="27583342" y="20607380"/>
            <a:ext cx="508609" cy="0"/>
          </a:xfrm>
          <a:prstGeom prst="line">
            <a:avLst/>
          </a:prstGeom>
          <a:noFill/>
          <a:ln w="17145">
            <a:solidFill>
              <a:srgbClr val="008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0969" name="Line 2184">
            <a:extLst>
              <a:ext uri="{FF2B5EF4-FFF2-40B4-BE49-F238E27FC236}">
                <a16:creationId xmlns:a16="http://schemas.microsoft.com/office/drawing/2014/main" id="{00000000-0008-0000-0100-0000E996A402}"/>
              </a:ext>
            </a:extLst>
          </xdr:cNvPr>
          <xdr:cNvSpPr>
            <a:spLocks noChangeShapeType="1"/>
          </xdr:cNvSpPr>
        </xdr:nvSpPr>
        <xdr:spPr bwMode="auto">
          <a:xfrm>
            <a:off x="27597830" y="21100989"/>
            <a:ext cx="488793" cy="0"/>
          </a:xfrm>
          <a:prstGeom prst="line">
            <a:avLst/>
          </a:prstGeom>
          <a:noFill/>
          <a:ln w="1">
            <a:solidFill>
              <a:srgbClr val="0000FF"/>
            </a:solidFill>
            <a:round/>
            <a:headEnd/>
            <a:tailEnd type="triangle" w="med" len="med"/>
          </a:ln>
          <a:extLst>
            <a:ext uri="{909E8E84-426E-40DD-AFC4-6F175D3DCCD1}">
              <a14:hiddenFill xmlns:a14="http://schemas.microsoft.com/office/drawing/2010/main">
                <a:noFill/>
              </a14:hiddenFill>
            </a:ext>
          </a:extLst>
        </xdr:spPr>
      </xdr:sp>
      <xdr:sp macro="" textlink="">
        <xdr:nvSpPr>
          <xdr:cNvPr id="44340970" name="Line 2185">
            <a:extLst>
              <a:ext uri="{FF2B5EF4-FFF2-40B4-BE49-F238E27FC236}">
                <a16:creationId xmlns:a16="http://schemas.microsoft.com/office/drawing/2014/main" id="{00000000-0008-0000-0100-0000EA96A402}"/>
              </a:ext>
            </a:extLst>
          </xdr:cNvPr>
          <xdr:cNvSpPr>
            <a:spLocks noChangeShapeType="1"/>
          </xdr:cNvSpPr>
        </xdr:nvSpPr>
        <xdr:spPr bwMode="auto">
          <a:xfrm flipH="1">
            <a:off x="27587247" y="21429044"/>
            <a:ext cx="488793" cy="0"/>
          </a:xfrm>
          <a:prstGeom prst="line">
            <a:avLst/>
          </a:prstGeom>
          <a:noFill/>
          <a:ln w="0">
            <a:solidFill>
              <a:srgbClr val="0000FF"/>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340971" name="Line 2188">
            <a:extLst>
              <a:ext uri="{FF2B5EF4-FFF2-40B4-BE49-F238E27FC236}">
                <a16:creationId xmlns:a16="http://schemas.microsoft.com/office/drawing/2014/main" id="{00000000-0008-0000-0100-0000EB96A402}"/>
              </a:ext>
            </a:extLst>
          </xdr:cNvPr>
          <xdr:cNvSpPr>
            <a:spLocks noChangeShapeType="1"/>
          </xdr:cNvSpPr>
        </xdr:nvSpPr>
        <xdr:spPr bwMode="auto">
          <a:xfrm>
            <a:off x="27603013" y="23323170"/>
            <a:ext cx="488793" cy="0"/>
          </a:xfrm>
          <a:prstGeom prst="line">
            <a:avLst/>
          </a:prstGeom>
          <a:noFill/>
          <a:ln w="1">
            <a:solidFill>
              <a:srgbClr val="0000FF"/>
            </a:solidFill>
            <a:round/>
            <a:headEnd/>
            <a:tailEnd type="triangle" w="med" len="med"/>
          </a:ln>
          <a:extLst>
            <a:ext uri="{909E8E84-426E-40DD-AFC4-6F175D3DCCD1}">
              <a14:hiddenFill xmlns:a14="http://schemas.microsoft.com/office/drawing/2010/main">
                <a:noFill/>
              </a14:hiddenFill>
            </a:ext>
          </a:extLst>
        </xdr:spPr>
      </xdr:sp>
      <xdr:sp macro="" textlink="">
        <xdr:nvSpPr>
          <xdr:cNvPr id="44340972" name="Line 2189">
            <a:extLst>
              <a:ext uri="{FF2B5EF4-FFF2-40B4-BE49-F238E27FC236}">
                <a16:creationId xmlns:a16="http://schemas.microsoft.com/office/drawing/2014/main" id="{00000000-0008-0000-0100-0000EC96A402}"/>
              </a:ext>
            </a:extLst>
          </xdr:cNvPr>
          <xdr:cNvSpPr>
            <a:spLocks noChangeShapeType="1"/>
          </xdr:cNvSpPr>
        </xdr:nvSpPr>
        <xdr:spPr bwMode="auto">
          <a:xfrm flipH="1">
            <a:off x="27584402" y="23672391"/>
            <a:ext cx="488793" cy="0"/>
          </a:xfrm>
          <a:prstGeom prst="line">
            <a:avLst/>
          </a:prstGeom>
          <a:noFill/>
          <a:ln w="0">
            <a:solidFill>
              <a:srgbClr val="0000FF"/>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340973" name="Freeform 2190">
            <a:extLst>
              <a:ext uri="{FF2B5EF4-FFF2-40B4-BE49-F238E27FC236}">
                <a16:creationId xmlns:a16="http://schemas.microsoft.com/office/drawing/2014/main" id="{00000000-0008-0000-0100-0000ED96A402}"/>
              </a:ext>
            </a:extLst>
          </xdr:cNvPr>
          <xdr:cNvSpPr>
            <a:spLocks/>
          </xdr:cNvSpPr>
        </xdr:nvSpPr>
        <xdr:spPr bwMode="auto">
          <a:xfrm>
            <a:off x="29929666" y="21524852"/>
            <a:ext cx="433525" cy="477898"/>
          </a:xfrm>
          <a:custGeom>
            <a:avLst/>
            <a:gdLst>
              <a:gd name="T0" fmla="*/ 2147483647 w 82"/>
              <a:gd name="T1" fmla="*/ 2147483647 h 121"/>
              <a:gd name="T2" fmla="*/ 2147483647 w 82"/>
              <a:gd name="T3" fmla="*/ 0 h 121"/>
              <a:gd name="T4" fmla="*/ 2147483647 w 82"/>
              <a:gd name="T5" fmla="*/ 0 h 121"/>
              <a:gd name="T6" fmla="*/ 0 w 82"/>
              <a:gd name="T7" fmla="*/ 2147483647 h 121"/>
              <a:gd name="T8" fmla="*/ 0 60000 65536"/>
              <a:gd name="T9" fmla="*/ 0 60000 65536"/>
              <a:gd name="T10" fmla="*/ 0 60000 65536"/>
              <a:gd name="T11" fmla="*/ 0 60000 65536"/>
              <a:gd name="T12" fmla="*/ 0 w 82"/>
              <a:gd name="T13" fmla="*/ 0 h 121"/>
              <a:gd name="T14" fmla="*/ 82 w 82"/>
              <a:gd name="T15" fmla="*/ 121 h 121"/>
            </a:gdLst>
            <a:ahLst/>
            <a:cxnLst>
              <a:cxn ang="T8">
                <a:pos x="T0" y="T1"/>
              </a:cxn>
              <a:cxn ang="T9">
                <a:pos x="T2" y="T3"/>
              </a:cxn>
              <a:cxn ang="T10">
                <a:pos x="T4" y="T5"/>
              </a:cxn>
              <a:cxn ang="T11">
                <a:pos x="T6" y="T7"/>
              </a:cxn>
            </a:cxnLst>
            <a:rect l="T12" t="T13" r="T14" b="T15"/>
            <a:pathLst>
              <a:path w="82" h="121">
                <a:moveTo>
                  <a:pt x="82" y="51"/>
                </a:moveTo>
                <a:lnTo>
                  <a:pt x="82" y="0"/>
                </a:lnTo>
                <a:lnTo>
                  <a:pt x="34" y="0"/>
                </a:lnTo>
                <a:lnTo>
                  <a:pt x="0" y="121"/>
                </a:lnTo>
              </a:path>
            </a:pathLst>
          </a:custGeom>
          <a:noFill/>
          <a:ln w="0">
            <a:solidFill>
              <a:srgbClr val="FF66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44340974" name="Line 2192">
            <a:extLst>
              <a:ext uri="{FF2B5EF4-FFF2-40B4-BE49-F238E27FC236}">
                <a16:creationId xmlns:a16="http://schemas.microsoft.com/office/drawing/2014/main" id="{00000000-0008-0000-0100-0000EE96A402}"/>
              </a:ext>
            </a:extLst>
          </xdr:cNvPr>
          <xdr:cNvSpPr>
            <a:spLocks noChangeShapeType="1"/>
          </xdr:cNvSpPr>
        </xdr:nvSpPr>
        <xdr:spPr bwMode="auto">
          <a:xfrm flipH="1">
            <a:off x="30649333" y="24212053"/>
            <a:ext cx="843403" cy="2614"/>
          </a:xfrm>
          <a:prstGeom prst="line">
            <a:avLst/>
          </a:prstGeom>
          <a:noFill/>
          <a:ln w="17145">
            <a:solidFill>
              <a:srgbClr val="008000"/>
            </a:solidFill>
            <a:round/>
            <a:headEnd/>
            <a:tailEnd type="triangle" w="med" len="med"/>
          </a:ln>
          <a:extLst>
            <a:ext uri="{909E8E84-426E-40DD-AFC4-6F175D3DCCD1}">
              <a14:hiddenFill xmlns:a14="http://schemas.microsoft.com/office/drawing/2010/main">
                <a:noFill/>
              </a14:hiddenFill>
            </a:ext>
          </a:extLst>
        </xdr:spPr>
      </xdr:sp>
      <xdr:grpSp>
        <xdr:nvGrpSpPr>
          <xdr:cNvPr id="44340975" name="Group 2197">
            <a:extLst>
              <a:ext uri="{FF2B5EF4-FFF2-40B4-BE49-F238E27FC236}">
                <a16:creationId xmlns:a16="http://schemas.microsoft.com/office/drawing/2014/main" id="{00000000-0008-0000-0100-0000EF96A402}"/>
              </a:ext>
            </a:extLst>
          </xdr:cNvPr>
          <xdr:cNvGrpSpPr>
            <a:grpSpLocks/>
          </xdr:cNvGrpSpPr>
        </xdr:nvGrpSpPr>
        <xdr:grpSpPr bwMode="auto">
          <a:xfrm>
            <a:off x="28707088" y="21592017"/>
            <a:ext cx="0" cy="532203"/>
            <a:chOff x="4647" y="3278"/>
            <a:chExt cx="0" cy="57"/>
          </a:xfrm>
        </xdr:grpSpPr>
        <xdr:sp macro="" textlink="">
          <xdr:nvSpPr>
            <xdr:cNvPr id="44340994" name="Line 2198">
              <a:extLst>
                <a:ext uri="{FF2B5EF4-FFF2-40B4-BE49-F238E27FC236}">
                  <a16:creationId xmlns:a16="http://schemas.microsoft.com/office/drawing/2014/main" id="{00000000-0008-0000-0100-00000297A402}"/>
                </a:ext>
              </a:extLst>
            </xdr:cNvPr>
            <xdr:cNvSpPr>
              <a:spLocks noChangeShapeType="1"/>
            </xdr:cNvSpPr>
          </xdr:nvSpPr>
          <xdr:spPr bwMode="auto">
            <a:xfrm flipV="1">
              <a:off x="4647" y="3278"/>
              <a:ext cx="0" cy="28"/>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0995" name="Line 2199">
              <a:extLst>
                <a:ext uri="{FF2B5EF4-FFF2-40B4-BE49-F238E27FC236}">
                  <a16:creationId xmlns:a16="http://schemas.microsoft.com/office/drawing/2014/main" id="{00000000-0008-0000-0100-00000397A402}"/>
                </a:ext>
              </a:extLst>
            </xdr:cNvPr>
            <xdr:cNvSpPr>
              <a:spLocks noChangeShapeType="1"/>
            </xdr:cNvSpPr>
          </xdr:nvSpPr>
          <xdr:spPr bwMode="auto">
            <a:xfrm>
              <a:off x="4647" y="3306"/>
              <a:ext cx="0" cy="29"/>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grpSp>
        <xdr:nvGrpSpPr>
          <xdr:cNvPr id="44340976" name="Group 2200">
            <a:extLst>
              <a:ext uri="{FF2B5EF4-FFF2-40B4-BE49-F238E27FC236}">
                <a16:creationId xmlns:a16="http://schemas.microsoft.com/office/drawing/2014/main" id="{00000000-0008-0000-0100-0000F096A402}"/>
              </a:ext>
            </a:extLst>
          </xdr:cNvPr>
          <xdr:cNvGrpSpPr>
            <a:grpSpLocks/>
          </xdr:cNvGrpSpPr>
        </xdr:nvGrpSpPr>
        <xdr:grpSpPr bwMode="auto">
          <a:xfrm>
            <a:off x="30752833" y="21410949"/>
            <a:ext cx="0" cy="532203"/>
            <a:chOff x="4875" y="3194"/>
            <a:chExt cx="0" cy="57"/>
          </a:xfrm>
        </xdr:grpSpPr>
        <xdr:sp macro="" textlink="">
          <xdr:nvSpPr>
            <xdr:cNvPr id="44340992" name="Line 2201">
              <a:extLst>
                <a:ext uri="{FF2B5EF4-FFF2-40B4-BE49-F238E27FC236}">
                  <a16:creationId xmlns:a16="http://schemas.microsoft.com/office/drawing/2014/main" id="{00000000-0008-0000-0100-00000097A402}"/>
                </a:ext>
              </a:extLst>
            </xdr:cNvPr>
            <xdr:cNvSpPr>
              <a:spLocks noChangeShapeType="1"/>
            </xdr:cNvSpPr>
          </xdr:nvSpPr>
          <xdr:spPr bwMode="auto">
            <a:xfrm flipV="1">
              <a:off x="4875" y="3194"/>
              <a:ext cx="0" cy="28"/>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0993" name="Line 2202">
              <a:extLst>
                <a:ext uri="{FF2B5EF4-FFF2-40B4-BE49-F238E27FC236}">
                  <a16:creationId xmlns:a16="http://schemas.microsoft.com/office/drawing/2014/main" id="{00000000-0008-0000-0100-00000197A402}"/>
                </a:ext>
              </a:extLst>
            </xdr:cNvPr>
            <xdr:cNvSpPr>
              <a:spLocks noChangeShapeType="1"/>
            </xdr:cNvSpPr>
          </xdr:nvSpPr>
          <xdr:spPr bwMode="auto">
            <a:xfrm>
              <a:off x="4875" y="3222"/>
              <a:ext cx="0" cy="29"/>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grpSp>
        <xdr:nvGrpSpPr>
          <xdr:cNvPr id="44340977" name="Group 2203">
            <a:extLst>
              <a:ext uri="{FF2B5EF4-FFF2-40B4-BE49-F238E27FC236}">
                <a16:creationId xmlns:a16="http://schemas.microsoft.com/office/drawing/2014/main" id="{00000000-0008-0000-0100-0000F196A402}"/>
              </a:ext>
            </a:extLst>
          </xdr:cNvPr>
          <xdr:cNvGrpSpPr>
            <a:grpSpLocks/>
          </xdr:cNvGrpSpPr>
        </xdr:nvGrpSpPr>
        <xdr:grpSpPr bwMode="auto">
          <a:xfrm>
            <a:off x="29311110" y="23666163"/>
            <a:ext cx="0" cy="532203"/>
            <a:chOff x="4708" y="3397"/>
            <a:chExt cx="0" cy="57"/>
          </a:xfrm>
        </xdr:grpSpPr>
        <xdr:sp macro="" textlink="">
          <xdr:nvSpPr>
            <xdr:cNvPr id="44340990" name="Line 2204">
              <a:extLst>
                <a:ext uri="{FF2B5EF4-FFF2-40B4-BE49-F238E27FC236}">
                  <a16:creationId xmlns:a16="http://schemas.microsoft.com/office/drawing/2014/main" id="{00000000-0008-0000-0100-0000FE96A402}"/>
                </a:ext>
              </a:extLst>
            </xdr:cNvPr>
            <xdr:cNvSpPr>
              <a:spLocks noChangeShapeType="1"/>
            </xdr:cNvSpPr>
          </xdr:nvSpPr>
          <xdr:spPr bwMode="auto">
            <a:xfrm flipV="1">
              <a:off x="4708" y="3397"/>
              <a:ext cx="0" cy="28"/>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0991" name="Line 2205">
              <a:extLst>
                <a:ext uri="{FF2B5EF4-FFF2-40B4-BE49-F238E27FC236}">
                  <a16:creationId xmlns:a16="http://schemas.microsoft.com/office/drawing/2014/main" id="{00000000-0008-0000-0100-0000FF96A402}"/>
                </a:ext>
              </a:extLst>
            </xdr:cNvPr>
            <xdr:cNvSpPr>
              <a:spLocks noChangeShapeType="1"/>
            </xdr:cNvSpPr>
          </xdr:nvSpPr>
          <xdr:spPr bwMode="auto">
            <a:xfrm>
              <a:off x="4708" y="3425"/>
              <a:ext cx="0" cy="29"/>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sp macro="" textlink="">
        <xdr:nvSpPr>
          <xdr:cNvPr id="44340978" name="Line 2207">
            <a:extLst>
              <a:ext uri="{FF2B5EF4-FFF2-40B4-BE49-F238E27FC236}">
                <a16:creationId xmlns:a16="http://schemas.microsoft.com/office/drawing/2014/main" id="{00000000-0008-0000-0100-0000F296A402}"/>
              </a:ext>
            </a:extLst>
          </xdr:cNvPr>
          <xdr:cNvSpPr>
            <a:spLocks noChangeShapeType="1"/>
          </xdr:cNvSpPr>
        </xdr:nvSpPr>
        <xdr:spPr bwMode="auto">
          <a:xfrm>
            <a:off x="29076143" y="24737411"/>
            <a:ext cx="0" cy="354802"/>
          </a:xfrm>
          <a:prstGeom prst="line">
            <a:avLst/>
          </a:prstGeom>
          <a:noFill/>
          <a:ln w="1">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340979" name="Line 2208">
            <a:extLst>
              <a:ext uri="{FF2B5EF4-FFF2-40B4-BE49-F238E27FC236}">
                <a16:creationId xmlns:a16="http://schemas.microsoft.com/office/drawing/2014/main" id="{00000000-0008-0000-0100-0000F396A402}"/>
              </a:ext>
            </a:extLst>
          </xdr:cNvPr>
          <xdr:cNvSpPr>
            <a:spLocks noChangeShapeType="1"/>
          </xdr:cNvSpPr>
        </xdr:nvSpPr>
        <xdr:spPr bwMode="auto">
          <a:xfrm>
            <a:off x="30549129" y="24737411"/>
            <a:ext cx="0" cy="354802"/>
          </a:xfrm>
          <a:prstGeom prst="line">
            <a:avLst/>
          </a:prstGeom>
          <a:noFill/>
          <a:ln w="1">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340980" name="Line 2548">
            <a:extLst>
              <a:ext uri="{FF2B5EF4-FFF2-40B4-BE49-F238E27FC236}">
                <a16:creationId xmlns:a16="http://schemas.microsoft.com/office/drawing/2014/main" id="{00000000-0008-0000-0100-0000F496A402}"/>
              </a:ext>
            </a:extLst>
          </xdr:cNvPr>
          <xdr:cNvSpPr>
            <a:spLocks noChangeShapeType="1"/>
          </xdr:cNvSpPr>
        </xdr:nvSpPr>
        <xdr:spPr bwMode="auto">
          <a:xfrm rot="-5400000">
            <a:off x="31051380" y="19912497"/>
            <a:ext cx="224085" cy="191554"/>
          </a:xfrm>
          <a:prstGeom prst="line">
            <a:avLst/>
          </a:prstGeom>
          <a:noFill/>
          <a:ln w="1">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340981" name="Line 2132">
            <a:extLst>
              <a:ext uri="{FF2B5EF4-FFF2-40B4-BE49-F238E27FC236}">
                <a16:creationId xmlns:a16="http://schemas.microsoft.com/office/drawing/2014/main" id="{00000000-0008-0000-0100-0000F596A402}"/>
              </a:ext>
            </a:extLst>
          </xdr:cNvPr>
          <xdr:cNvSpPr>
            <a:spLocks noChangeShapeType="1"/>
          </xdr:cNvSpPr>
        </xdr:nvSpPr>
        <xdr:spPr bwMode="auto">
          <a:xfrm flipH="1">
            <a:off x="27819679" y="21875750"/>
            <a:ext cx="2332237" cy="6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4340982" name="Group 2158">
            <a:extLst>
              <a:ext uri="{FF2B5EF4-FFF2-40B4-BE49-F238E27FC236}">
                <a16:creationId xmlns:a16="http://schemas.microsoft.com/office/drawing/2014/main" id="{00000000-0008-0000-0100-0000F696A402}"/>
              </a:ext>
            </a:extLst>
          </xdr:cNvPr>
          <xdr:cNvGrpSpPr>
            <a:grpSpLocks/>
          </xdr:cNvGrpSpPr>
        </xdr:nvGrpSpPr>
        <xdr:grpSpPr bwMode="auto">
          <a:xfrm>
            <a:off x="29904957" y="22535490"/>
            <a:ext cx="132106" cy="177401"/>
            <a:chOff x="4605" y="3399"/>
            <a:chExt cx="20" cy="19"/>
          </a:xfrm>
        </xdr:grpSpPr>
        <xdr:sp macro="" textlink="">
          <xdr:nvSpPr>
            <xdr:cNvPr id="44340986" name="Oval 2159">
              <a:extLst>
                <a:ext uri="{FF2B5EF4-FFF2-40B4-BE49-F238E27FC236}">
                  <a16:creationId xmlns:a16="http://schemas.microsoft.com/office/drawing/2014/main" id="{00000000-0008-0000-0100-0000FA96A402}"/>
                </a:ext>
              </a:extLst>
            </xdr:cNvPr>
            <xdr:cNvSpPr>
              <a:spLocks noChangeArrowheads="1"/>
            </xdr:cNvSpPr>
          </xdr:nvSpPr>
          <xdr:spPr bwMode="auto">
            <a:xfrm>
              <a:off x="4605" y="3399"/>
              <a:ext cx="20" cy="19"/>
            </a:xfrm>
            <a:prstGeom prst="ellipse">
              <a:avLst/>
            </a:prstGeom>
            <a:solidFill>
              <a:srgbClr val="EAEAEA"/>
            </a:solidFill>
            <a:ln w="1">
              <a:solidFill>
                <a:srgbClr val="333333"/>
              </a:solidFill>
              <a:round/>
              <a:headEnd/>
              <a:tailEnd/>
            </a:ln>
          </xdr:spPr>
        </xdr:sp>
        <xdr:sp macro="" textlink="">
          <xdr:nvSpPr>
            <xdr:cNvPr id="44340987" name="Line 2160">
              <a:extLst>
                <a:ext uri="{FF2B5EF4-FFF2-40B4-BE49-F238E27FC236}">
                  <a16:creationId xmlns:a16="http://schemas.microsoft.com/office/drawing/2014/main" id="{00000000-0008-0000-0100-0000FB96A402}"/>
                </a:ext>
              </a:extLst>
            </xdr:cNvPr>
            <xdr:cNvSpPr>
              <a:spLocks noChangeShapeType="1"/>
            </xdr:cNvSpPr>
          </xdr:nvSpPr>
          <xdr:spPr bwMode="auto">
            <a:xfrm flipH="1" flipV="1">
              <a:off x="4607" y="3403"/>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0988" name="Line 2161">
              <a:extLst>
                <a:ext uri="{FF2B5EF4-FFF2-40B4-BE49-F238E27FC236}">
                  <a16:creationId xmlns:a16="http://schemas.microsoft.com/office/drawing/2014/main" id="{00000000-0008-0000-0100-0000FC96A402}"/>
                </a:ext>
              </a:extLst>
            </xdr:cNvPr>
            <xdr:cNvSpPr>
              <a:spLocks noChangeShapeType="1"/>
            </xdr:cNvSpPr>
          </xdr:nvSpPr>
          <xdr:spPr bwMode="auto">
            <a:xfrm flipH="1">
              <a:off x="4607" y="3409"/>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0989" name="Oval 2162">
              <a:extLst>
                <a:ext uri="{FF2B5EF4-FFF2-40B4-BE49-F238E27FC236}">
                  <a16:creationId xmlns:a16="http://schemas.microsoft.com/office/drawing/2014/main" id="{00000000-0008-0000-0100-0000FD96A402}"/>
                </a:ext>
              </a:extLst>
            </xdr:cNvPr>
            <xdr:cNvSpPr>
              <a:spLocks noChangeArrowheads="1"/>
            </xdr:cNvSpPr>
          </xdr:nvSpPr>
          <xdr:spPr bwMode="auto">
            <a:xfrm>
              <a:off x="4612" y="3402"/>
              <a:ext cx="2" cy="1"/>
            </a:xfrm>
            <a:prstGeom prst="ellipse">
              <a:avLst/>
            </a:prstGeom>
            <a:solidFill>
              <a:srgbClr val="EAEAEA"/>
            </a:solidFill>
            <a:ln w="9525">
              <a:solidFill>
                <a:srgbClr val="333333"/>
              </a:solidFill>
              <a:round/>
              <a:headEnd/>
              <a:tailEnd/>
            </a:ln>
          </xdr:spPr>
        </xdr:sp>
      </xdr:grpSp>
      <xdr:sp macro="" textlink="">
        <xdr:nvSpPr>
          <xdr:cNvPr id="44340983" name="Line 2177">
            <a:extLst>
              <a:ext uri="{FF2B5EF4-FFF2-40B4-BE49-F238E27FC236}">
                <a16:creationId xmlns:a16="http://schemas.microsoft.com/office/drawing/2014/main" id="{00000000-0008-0000-0100-0000F796A402}"/>
              </a:ext>
            </a:extLst>
          </xdr:cNvPr>
          <xdr:cNvSpPr>
            <a:spLocks noChangeShapeType="1"/>
          </xdr:cNvSpPr>
        </xdr:nvSpPr>
        <xdr:spPr bwMode="auto">
          <a:xfrm>
            <a:off x="27587580" y="22029740"/>
            <a:ext cx="508609" cy="0"/>
          </a:xfrm>
          <a:prstGeom prst="line">
            <a:avLst/>
          </a:prstGeom>
          <a:noFill/>
          <a:ln w="17145">
            <a:solidFill>
              <a:srgbClr val="008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0984" name="Line 2184">
            <a:extLst>
              <a:ext uri="{FF2B5EF4-FFF2-40B4-BE49-F238E27FC236}">
                <a16:creationId xmlns:a16="http://schemas.microsoft.com/office/drawing/2014/main" id="{00000000-0008-0000-0100-0000F896A402}"/>
              </a:ext>
            </a:extLst>
          </xdr:cNvPr>
          <xdr:cNvSpPr>
            <a:spLocks noChangeShapeType="1"/>
          </xdr:cNvSpPr>
        </xdr:nvSpPr>
        <xdr:spPr bwMode="auto">
          <a:xfrm>
            <a:off x="27602068" y="22227025"/>
            <a:ext cx="488793" cy="0"/>
          </a:xfrm>
          <a:prstGeom prst="line">
            <a:avLst/>
          </a:prstGeom>
          <a:noFill/>
          <a:ln w="1">
            <a:solidFill>
              <a:srgbClr val="0000FF"/>
            </a:solidFill>
            <a:round/>
            <a:headEnd/>
            <a:tailEnd type="triangle" w="med" len="med"/>
          </a:ln>
          <a:extLst>
            <a:ext uri="{909E8E84-426E-40DD-AFC4-6F175D3DCCD1}">
              <a14:hiddenFill xmlns:a14="http://schemas.microsoft.com/office/drawing/2010/main">
                <a:noFill/>
              </a14:hiddenFill>
            </a:ext>
          </a:extLst>
        </xdr:spPr>
      </xdr:sp>
      <xdr:sp macro="" textlink="">
        <xdr:nvSpPr>
          <xdr:cNvPr id="44340985" name="Line 2185">
            <a:extLst>
              <a:ext uri="{FF2B5EF4-FFF2-40B4-BE49-F238E27FC236}">
                <a16:creationId xmlns:a16="http://schemas.microsoft.com/office/drawing/2014/main" id="{00000000-0008-0000-0100-0000F996A402}"/>
              </a:ext>
            </a:extLst>
          </xdr:cNvPr>
          <xdr:cNvSpPr>
            <a:spLocks noChangeShapeType="1"/>
          </xdr:cNvSpPr>
        </xdr:nvSpPr>
        <xdr:spPr bwMode="auto">
          <a:xfrm flipH="1">
            <a:off x="27591485" y="22533914"/>
            <a:ext cx="488793" cy="0"/>
          </a:xfrm>
          <a:prstGeom prst="line">
            <a:avLst/>
          </a:prstGeom>
          <a:noFill/>
          <a:ln w="0">
            <a:solidFill>
              <a:srgbClr val="0000FF"/>
            </a:solidFill>
            <a:prstDash val="dash"/>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77</xdr:col>
      <xdr:colOff>542925</xdr:colOff>
      <xdr:row>125</xdr:row>
      <xdr:rowOff>57150</xdr:rowOff>
    </xdr:from>
    <xdr:to>
      <xdr:col>83</xdr:col>
      <xdr:colOff>133350</xdr:colOff>
      <xdr:row>158</xdr:row>
      <xdr:rowOff>9525</xdr:rowOff>
    </xdr:to>
    <xdr:grpSp>
      <xdr:nvGrpSpPr>
        <xdr:cNvPr id="44340880" name="Group 1226">
          <a:extLst>
            <a:ext uri="{FF2B5EF4-FFF2-40B4-BE49-F238E27FC236}">
              <a16:creationId xmlns:a16="http://schemas.microsoft.com/office/drawing/2014/main" id="{00000000-0008-0000-0100-00009096A402}"/>
            </a:ext>
          </a:extLst>
        </xdr:cNvPr>
        <xdr:cNvGrpSpPr>
          <a:grpSpLocks/>
        </xdr:cNvGrpSpPr>
      </xdr:nvGrpSpPr>
      <xdr:grpSpPr bwMode="auto">
        <a:xfrm>
          <a:off x="39492555" y="20293965"/>
          <a:ext cx="4042410" cy="5301615"/>
          <a:chOff x="27583342" y="19896231"/>
          <a:chExt cx="3909394" cy="5195982"/>
        </a:xfrm>
      </xdr:grpSpPr>
      <xdr:sp macro="" textlink="">
        <xdr:nvSpPr>
          <xdr:cNvPr id="44340887" name="Line 2130">
            <a:extLst>
              <a:ext uri="{FF2B5EF4-FFF2-40B4-BE49-F238E27FC236}">
                <a16:creationId xmlns:a16="http://schemas.microsoft.com/office/drawing/2014/main" id="{00000000-0008-0000-0100-00009796A402}"/>
              </a:ext>
            </a:extLst>
          </xdr:cNvPr>
          <xdr:cNvSpPr>
            <a:spLocks noChangeShapeType="1"/>
          </xdr:cNvSpPr>
        </xdr:nvSpPr>
        <xdr:spPr bwMode="auto">
          <a:xfrm flipH="1">
            <a:off x="29622749" y="21674667"/>
            <a:ext cx="571499" cy="32702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0888" name="Rectangle 2131">
            <a:extLst>
              <a:ext uri="{FF2B5EF4-FFF2-40B4-BE49-F238E27FC236}">
                <a16:creationId xmlns:a16="http://schemas.microsoft.com/office/drawing/2014/main" id="{00000000-0008-0000-0100-00009896A402}"/>
              </a:ext>
            </a:extLst>
          </xdr:cNvPr>
          <xdr:cNvSpPr>
            <a:spLocks noChangeArrowheads="1"/>
          </xdr:cNvSpPr>
        </xdr:nvSpPr>
        <xdr:spPr bwMode="auto">
          <a:xfrm>
            <a:off x="27807923" y="20031617"/>
            <a:ext cx="3497577" cy="4901869"/>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44340889" name="Line 2132">
            <a:extLst>
              <a:ext uri="{FF2B5EF4-FFF2-40B4-BE49-F238E27FC236}">
                <a16:creationId xmlns:a16="http://schemas.microsoft.com/office/drawing/2014/main" id="{00000000-0008-0000-0100-00009996A402}"/>
              </a:ext>
            </a:extLst>
          </xdr:cNvPr>
          <xdr:cNvSpPr>
            <a:spLocks noChangeShapeType="1"/>
          </xdr:cNvSpPr>
        </xdr:nvSpPr>
        <xdr:spPr bwMode="auto">
          <a:xfrm flipH="1" flipV="1">
            <a:off x="27826025" y="22814011"/>
            <a:ext cx="2156557" cy="3656"/>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0890" name="Line 2133">
            <a:extLst>
              <a:ext uri="{FF2B5EF4-FFF2-40B4-BE49-F238E27FC236}">
                <a16:creationId xmlns:a16="http://schemas.microsoft.com/office/drawing/2014/main" id="{00000000-0008-0000-0100-00009A96A402}"/>
              </a:ext>
            </a:extLst>
          </xdr:cNvPr>
          <xdr:cNvSpPr>
            <a:spLocks noChangeShapeType="1"/>
          </xdr:cNvSpPr>
        </xdr:nvSpPr>
        <xdr:spPr bwMode="auto">
          <a:xfrm>
            <a:off x="30208497" y="21668644"/>
            <a:ext cx="1089877"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44340891" name="Line 2134">
            <a:extLst>
              <a:ext uri="{FF2B5EF4-FFF2-40B4-BE49-F238E27FC236}">
                <a16:creationId xmlns:a16="http://schemas.microsoft.com/office/drawing/2014/main" id="{00000000-0008-0000-0100-00009B96A402}"/>
              </a:ext>
            </a:extLst>
          </xdr:cNvPr>
          <xdr:cNvSpPr>
            <a:spLocks noChangeShapeType="1"/>
          </xdr:cNvSpPr>
        </xdr:nvSpPr>
        <xdr:spPr bwMode="auto">
          <a:xfrm>
            <a:off x="27819421" y="23925101"/>
            <a:ext cx="1983246" cy="3816"/>
          </a:xfrm>
          <a:prstGeom prst="line">
            <a:avLst/>
          </a:prstGeom>
          <a:noFill/>
          <a:ln w="0">
            <a:solidFill>
              <a:srgbClr val="000000"/>
            </a:solidFill>
            <a:round/>
            <a:headEnd/>
            <a:tailEnd/>
          </a:ln>
          <a:extLst>
            <a:ext uri="{909E8E84-426E-40DD-AFC4-6F175D3DCCD1}">
              <a14:hiddenFill xmlns:a14="http://schemas.microsoft.com/office/drawing/2010/main">
                <a:noFill/>
              </a14:hiddenFill>
            </a:ext>
          </a:extLst>
        </xdr:spPr>
      </xdr:sp>
      <xdr:grpSp>
        <xdr:nvGrpSpPr>
          <xdr:cNvPr id="44340892" name="Group 2135">
            <a:extLst>
              <a:ext uri="{FF2B5EF4-FFF2-40B4-BE49-F238E27FC236}">
                <a16:creationId xmlns:a16="http://schemas.microsoft.com/office/drawing/2014/main" id="{00000000-0008-0000-0100-00009C96A402}"/>
              </a:ext>
            </a:extLst>
          </xdr:cNvPr>
          <xdr:cNvGrpSpPr>
            <a:grpSpLocks/>
          </xdr:cNvGrpSpPr>
        </xdr:nvGrpSpPr>
        <xdr:grpSpPr bwMode="auto">
          <a:xfrm>
            <a:off x="29393198" y="20087638"/>
            <a:ext cx="1578670" cy="1045732"/>
            <a:chOff x="4698" y="3016"/>
            <a:chExt cx="239" cy="112"/>
          </a:xfrm>
        </xdr:grpSpPr>
        <xdr:sp macro="" textlink="">
          <xdr:nvSpPr>
            <xdr:cNvPr id="44340941" name="Line 2136">
              <a:extLst>
                <a:ext uri="{FF2B5EF4-FFF2-40B4-BE49-F238E27FC236}">
                  <a16:creationId xmlns:a16="http://schemas.microsoft.com/office/drawing/2014/main" id="{00000000-0008-0000-0100-0000CD96A402}"/>
                </a:ext>
              </a:extLst>
            </xdr:cNvPr>
            <xdr:cNvSpPr>
              <a:spLocks noChangeShapeType="1"/>
            </xdr:cNvSpPr>
          </xdr:nvSpPr>
          <xdr:spPr bwMode="auto">
            <a:xfrm>
              <a:off x="4849" y="3069"/>
              <a:ext cx="4" cy="59"/>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sp macro="" textlink="">
          <xdr:nvSpPr>
            <xdr:cNvPr id="44340942" name="Line 2137">
              <a:extLst>
                <a:ext uri="{FF2B5EF4-FFF2-40B4-BE49-F238E27FC236}">
                  <a16:creationId xmlns:a16="http://schemas.microsoft.com/office/drawing/2014/main" id="{00000000-0008-0000-0100-0000CE96A402}"/>
                </a:ext>
              </a:extLst>
            </xdr:cNvPr>
            <xdr:cNvSpPr>
              <a:spLocks noChangeShapeType="1"/>
            </xdr:cNvSpPr>
          </xdr:nvSpPr>
          <xdr:spPr bwMode="auto">
            <a:xfrm>
              <a:off x="4862" y="3064"/>
              <a:ext cx="35" cy="49"/>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sp macro="" textlink="">
          <xdr:nvSpPr>
            <xdr:cNvPr id="44340943" name="Line 2138">
              <a:extLst>
                <a:ext uri="{FF2B5EF4-FFF2-40B4-BE49-F238E27FC236}">
                  <a16:creationId xmlns:a16="http://schemas.microsoft.com/office/drawing/2014/main" id="{00000000-0008-0000-0100-0000CF96A402}"/>
                </a:ext>
              </a:extLst>
            </xdr:cNvPr>
            <xdr:cNvSpPr>
              <a:spLocks noChangeShapeType="1"/>
            </xdr:cNvSpPr>
          </xdr:nvSpPr>
          <xdr:spPr bwMode="auto">
            <a:xfrm>
              <a:off x="4867" y="3052"/>
              <a:ext cx="61" cy="49"/>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sp macro="" textlink="">
          <xdr:nvSpPr>
            <xdr:cNvPr id="44340944" name="Line 2139">
              <a:extLst>
                <a:ext uri="{FF2B5EF4-FFF2-40B4-BE49-F238E27FC236}">
                  <a16:creationId xmlns:a16="http://schemas.microsoft.com/office/drawing/2014/main" id="{00000000-0008-0000-0100-0000D096A402}"/>
                </a:ext>
              </a:extLst>
            </xdr:cNvPr>
            <xdr:cNvSpPr>
              <a:spLocks noChangeShapeType="1"/>
            </xdr:cNvSpPr>
          </xdr:nvSpPr>
          <xdr:spPr bwMode="auto">
            <a:xfrm>
              <a:off x="4871" y="3041"/>
              <a:ext cx="66" cy="21"/>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sp macro="" textlink="">
          <xdr:nvSpPr>
            <xdr:cNvPr id="44340945" name="Line 2140">
              <a:extLst>
                <a:ext uri="{FF2B5EF4-FFF2-40B4-BE49-F238E27FC236}">
                  <a16:creationId xmlns:a16="http://schemas.microsoft.com/office/drawing/2014/main" id="{00000000-0008-0000-0100-0000D196A402}"/>
                </a:ext>
              </a:extLst>
            </xdr:cNvPr>
            <xdr:cNvSpPr>
              <a:spLocks noChangeShapeType="1"/>
            </xdr:cNvSpPr>
          </xdr:nvSpPr>
          <xdr:spPr bwMode="auto">
            <a:xfrm flipV="1">
              <a:off x="4867" y="3016"/>
              <a:ext cx="46" cy="15"/>
            </a:xfrm>
            <a:prstGeom prst="line">
              <a:avLst/>
            </a:prstGeom>
            <a:noFill/>
            <a:ln w="9525">
              <a:solidFill>
                <a:srgbClr val="FFFF00"/>
              </a:solidFill>
              <a:round/>
              <a:headEnd/>
              <a:tailEnd/>
            </a:ln>
            <a:extLst>
              <a:ext uri="{909E8E84-426E-40DD-AFC4-6F175D3DCCD1}">
                <a14:hiddenFill xmlns:a14="http://schemas.microsoft.com/office/drawing/2010/main">
                  <a:noFill/>
                </a14:hiddenFill>
              </a:ext>
            </a:extLst>
          </xdr:spPr>
        </xdr:sp>
        <xdr:grpSp>
          <xdr:nvGrpSpPr>
            <xdr:cNvPr id="44340946" name="Group 2141">
              <a:extLst>
                <a:ext uri="{FF2B5EF4-FFF2-40B4-BE49-F238E27FC236}">
                  <a16:creationId xmlns:a16="http://schemas.microsoft.com/office/drawing/2014/main" id="{00000000-0008-0000-0100-0000D296A402}"/>
                </a:ext>
              </a:extLst>
            </xdr:cNvPr>
            <xdr:cNvGrpSpPr>
              <a:grpSpLocks/>
            </xdr:cNvGrpSpPr>
          </xdr:nvGrpSpPr>
          <xdr:grpSpPr bwMode="auto">
            <a:xfrm>
              <a:off x="4698" y="3020"/>
              <a:ext cx="171" cy="63"/>
              <a:chOff x="4698" y="3020"/>
              <a:chExt cx="171" cy="63"/>
            </a:xfrm>
          </xdr:grpSpPr>
          <xdr:sp macro="" textlink="">
            <xdr:nvSpPr>
              <xdr:cNvPr id="44340947" name="Oval 2142">
                <a:extLst>
                  <a:ext uri="{FF2B5EF4-FFF2-40B4-BE49-F238E27FC236}">
                    <a16:creationId xmlns:a16="http://schemas.microsoft.com/office/drawing/2014/main" id="{00000000-0008-0000-0100-0000D396A402}"/>
                  </a:ext>
                </a:extLst>
              </xdr:cNvPr>
              <xdr:cNvSpPr>
                <a:spLocks noChangeArrowheads="1"/>
              </xdr:cNvSpPr>
            </xdr:nvSpPr>
            <xdr:spPr bwMode="auto">
              <a:xfrm>
                <a:off x="4822" y="3020"/>
                <a:ext cx="47" cy="47"/>
              </a:xfrm>
              <a:prstGeom prst="ellipse">
                <a:avLst/>
              </a:prstGeom>
              <a:solidFill>
                <a:srgbClr val="FFFF00"/>
              </a:solidFill>
              <a:ln w="9525">
                <a:solidFill>
                  <a:srgbClr val="FFCC00"/>
                </a:solidFill>
                <a:round/>
                <a:headEnd/>
                <a:tailEnd/>
              </a:ln>
            </xdr:spPr>
          </xdr:sp>
          <xdr:grpSp>
            <xdr:nvGrpSpPr>
              <xdr:cNvPr id="44340948" name="Group 2143">
                <a:extLst>
                  <a:ext uri="{FF2B5EF4-FFF2-40B4-BE49-F238E27FC236}">
                    <a16:creationId xmlns:a16="http://schemas.microsoft.com/office/drawing/2014/main" id="{00000000-0008-0000-0100-0000D496A402}"/>
                  </a:ext>
                </a:extLst>
              </xdr:cNvPr>
              <xdr:cNvGrpSpPr>
                <a:grpSpLocks/>
              </xdr:cNvGrpSpPr>
            </xdr:nvGrpSpPr>
            <xdr:grpSpPr bwMode="auto">
              <a:xfrm>
                <a:off x="4698" y="3025"/>
                <a:ext cx="145" cy="58"/>
                <a:chOff x="4698" y="3025"/>
                <a:chExt cx="145" cy="58"/>
              </a:xfrm>
            </xdr:grpSpPr>
            <xdr:sp macro="" textlink="">
              <xdr:nvSpPr>
                <xdr:cNvPr id="44340949" name="Arc 2144">
                  <a:extLst>
                    <a:ext uri="{FF2B5EF4-FFF2-40B4-BE49-F238E27FC236}">
                      <a16:creationId xmlns:a16="http://schemas.microsoft.com/office/drawing/2014/main" id="{00000000-0008-0000-0100-0000D596A402}"/>
                    </a:ext>
                  </a:extLst>
                </xdr:cNvPr>
                <xdr:cNvSpPr>
                  <a:spLocks/>
                </xdr:cNvSpPr>
              </xdr:nvSpPr>
              <xdr:spPr bwMode="auto">
                <a:xfrm>
                  <a:off x="4805" y="3033"/>
                  <a:ext cx="38" cy="27"/>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0950" name="Arc 2145">
                  <a:extLst>
                    <a:ext uri="{FF2B5EF4-FFF2-40B4-BE49-F238E27FC236}">
                      <a16:creationId xmlns:a16="http://schemas.microsoft.com/office/drawing/2014/main" id="{00000000-0008-0000-0100-0000D696A402}"/>
                    </a:ext>
                  </a:extLst>
                </xdr:cNvPr>
                <xdr:cNvSpPr>
                  <a:spLocks/>
                </xdr:cNvSpPr>
              </xdr:nvSpPr>
              <xdr:spPr bwMode="auto">
                <a:xfrm>
                  <a:off x="4780" y="3025"/>
                  <a:ext cx="32" cy="11"/>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0951" name="Arc 2146">
                  <a:extLst>
                    <a:ext uri="{FF2B5EF4-FFF2-40B4-BE49-F238E27FC236}">
                      <a16:creationId xmlns:a16="http://schemas.microsoft.com/office/drawing/2014/main" id="{00000000-0008-0000-0100-0000D796A402}"/>
                    </a:ext>
                  </a:extLst>
                </xdr:cNvPr>
                <xdr:cNvSpPr>
                  <a:spLocks/>
                </xdr:cNvSpPr>
              </xdr:nvSpPr>
              <xdr:spPr bwMode="auto">
                <a:xfrm flipH="1">
                  <a:off x="4737" y="3025"/>
                  <a:ext cx="39" cy="11"/>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0952" name="Arc 2147">
                  <a:extLst>
                    <a:ext uri="{FF2B5EF4-FFF2-40B4-BE49-F238E27FC236}">
                      <a16:creationId xmlns:a16="http://schemas.microsoft.com/office/drawing/2014/main" id="{00000000-0008-0000-0100-0000D896A402}"/>
                    </a:ext>
                  </a:extLst>
                </xdr:cNvPr>
                <xdr:cNvSpPr>
                  <a:spLocks/>
                </xdr:cNvSpPr>
              </xdr:nvSpPr>
              <xdr:spPr bwMode="auto">
                <a:xfrm flipH="1">
                  <a:off x="4698" y="3036"/>
                  <a:ext cx="34" cy="2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0953" name="Arc 2148">
                  <a:extLst>
                    <a:ext uri="{FF2B5EF4-FFF2-40B4-BE49-F238E27FC236}">
                      <a16:creationId xmlns:a16="http://schemas.microsoft.com/office/drawing/2014/main" id="{00000000-0008-0000-0100-0000D996A402}"/>
                    </a:ext>
                  </a:extLst>
                </xdr:cNvPr>
                <xdr:cNvSpPr>
                  <a:spLocks/>
                </xdr:cNvSpPr>
              </xdr:nvSpPr>
              <xdr:spPr bwMode="auto">
                <a:xfrm flipH="1" flipV="1">
                  <a:off x="4698" y="3060"/>
                  <a:ext cx="19" cy="2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0954" name="Arc 2149">
                  <a:extLst>
                    <a:ext uri="{FF2B5EF4-FFF2-40B4-BE49-F238E27FC236}">
                      <a16:creationId xmlns:a16="http://schemas.microsoft.com/office/drawing/2014/main" id="{00000000-0008-0000-0100-0000DA96A402}"/>
                    </a:ext>
                  </a:extLst>
                </xdr:cNvPr>
                <xdr:cNvSpPr>
                  <a:spLocks/>
                </xdr:cNvSpPr>
              </xdr:nvSpPr>
              <xdr:spPr bwMode="auto">
                <a:xfrm flipV="1">
                  <a:off x="4717" y="3060"/>
                  <a:ext cx="27" cy="2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0955" name="Arc 2150">
                  <a:extLst>
                    <a:ext uri="{FF2B5EF4-FFF2-40B4-BE49-F238E27FC236}">
                      <a16:creationId xmlns:a16="http://schemas.microsoft.com/office/drawing/2014/main" id="{00000000-0008-0000-0100-0000DB96A402}"/>
                    </a:ext>
                  </a:extLst>
                </xdr:cNvPr>
                <xdr:cNvSpPr>
                  <a:spLocks/>
                </xdr:cNvSpPr>
              </xdr:nvSpPr>
              <xdr:spPr bwMode="auto">
                <a:xfrm flipH="1" flipV="1">
                  <a:off x="4740" y="3070"/>
                  <a:ext cx="28" cy="1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0956" name="Arc 2151">
                  <a:extLst>
                    <a:ext uri="{FF2B5EF4-FFF2-40B4-BE49-F238E27FC236}">
                      <a16:creationId xmlns:a16="http://schemas.microsoft.com/office/drawing/2014/main" id="{00000000-0008-0000-0100-0000DC96A402}"/>
                    </a:ext>
                  </a:extLst>
                </xdr:cNvPr>
                <xdr:cNvSpPr>
                  <a:spLocks/>
                </xdr:cNvSpPr>
              </xdr:nvSpPr>
              <xdr:spPr bwMode="auto">
                <a:xfrm flipV="1">
                  <a:off x="4771" y="3066"/>
                  <a:ext cx="28" cy="17"/>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sp macro="" textlink="">
              <xdr:nvSpPr>
                <xdr:cNvPr id="44340957" name="Arc 2152">
                  <a:extLst>
                    <a:ext uri="{FF2B5EF4-FFF2-40B4-BE49-F238E27FC236}">
                      <a16:creationId xmlns:a16="http://schemas.microsoft.com/office/drawing/2014/main" id="{00000000-0008-0000-0100-0000DD96A402}"/>
                    </a:ext>
                  </a:extLst>
                </xdr:cNvPr>
                <xdr:cNvSpPr>
                  <a:spLocks/>
                </xdr:cNvSpPr>
              </xdr:nvSpPr>
              <xdr:spPr bwMode="auto">
                <a:xfrm flipV="1">
                  <a:off x="4792" y="3057"/>
                  <a:ext cx="51" cy="23"/>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solidFill>
                  <a:srgbClr val="EAEAEA"/>
                </a:solidFill>
                <a:ln w="9525">
                  <a:solidFill>
                    <a:srgbClr val="000000"/>
                  </a:solidFill>
                  <a:round/>
                  <a:headEnd/>
                  <a:tailEnd/>
                </a:ln>
              </xdr:spPr>
            </xdr:sp>
          </xdr:grpSp>
        </xdr:grpSp>
      </xdr:grpSp>
      <xdr:grpSp>
        <xdr:nvGrpSpPr>
          <xdr:cNvPr id="44340893" name="Group 2153">
            <a:extLst>
              <a:ext uri="{FF2B5EF4-FFF2-40B4-BE49-F238E27FC236}">
                <a16:creationId xmlns:a16="http://schemas.microsoft.com/office/drawing/2014/main" id="{00000000-0008-0000-0100-00009D96A402}"/>
              </a:ext>
            </a:extLst>
          </xdr:cNvPr>
          <xdr:cNvGrpSpPr>
            <a:grpSpLocks/>
          </xdr:cNvGrpSpPr>
        </xdr:nvGrpSpPr>
        <xdr:grpSpPr bwMode="auto">
          <a:xfrm>
            <a:off x="29274303" y="21123988"/>
            <a:ext cx="132106" cy="177401"/>
            <a:chOff x="4680" y="3161"/>
            <a:chExt cx="20" cy="19"/>
          </a:xfrm>
        </xdr:grpSpPr>
        <xdr:sp macro="" textlink="">
          <xdr:nvSpPr>
            <xdr:cNvPr id="44340937" name="Oval 2154">
              <a:extLst>
                <a:ext uri="{FF2B5EF4-FFF2-40B4-BE49-F238E27FC236}">
                  <a16:creationId xmlns:a16="http://schemas.microsoft.com/office/drawing/2014/main" id="{00000000-0008-0000-0100-0000C996A402}"/>
                </a:ext>
              </a:extLst>
            </xdr:cNvPr>
            <xdr:cNvSpPr>
              <a:spLocks noChangeArrowheads="1"/>
            </xdr:cNvSpPr>
          </xdr:nvSpPr>
          <xdr:spPr bwMode="auto">
            <a:xfrm>
              <a:off x="4680" y="3161"/>
              <a:ext cx="20" cy="19"/>
            </a:xfrm>
            <a:prstGeom prst="ellipse">
              <a:avLst/>
            </a:prstGeom>
            <a:solidFill>
              <a:srgbClr val="EAEAEA"/>
            </a:solidFill>
            <a:ln w="1">
              <a:solidFill>
                <a:srgbClr val="333333"/>
              </a:solidFill>
              <a:round/>
              <a:headEnd/>
              <a:tailEnd/>
            </a:ln>
          </xdr:spPr>
        </xdr:sp>
        <xdr:sp macro="" textlink="">
          <xdr:nvSpPr>
            <xdr:cNvPr id="44340938" name="Line 2155">
              <a:extLst>
                <a:ext uri="{FF2B5EF4-FFF2-40B4-BE49-F238E27FC236}">
                  <a16:creationId xmlns:a16="http://schemas.microsoft.com/office/drawing/2014/main" id="{00000000-0008-0000-0100-0000CA96A402}"/>
                </a:ext>
              </a:extLst>
            </xdr:cNvPr>
            <xdr:cNvSpPr>
              <a:spLocks noChangeShapeType="1"/>
            </xdr:cNvSpPr>
          </xdr:nvSpPr>
          <xdr:spPr bwMode="auto">
            <a:xfrm flipH="1" flipV="1">
              <a:off x="4682" y="3165"/>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0939" name="Line 2156">
              <a:extLst>
                <a:ext uri="{FF2B5EF4-FFF2-40B4-BE49-F238E27FC236}">
                  <a16:creationId xmlns:a16="http://schemas.microsoft.com/office/drawing/2014/main" id="{00000000-0008-0000-0100-0000CB96A402}"/>
                </a:ext>
              </a:extLst>
            </xdr:cNvPr>
            <xdr:cNvSpPr>
              <a:spLocks noChangeShapeType="1"/>
            </xdr:cNvSpPr>
          </xdr:nvSpPr>
          <xdr:spPr bwMode="auto">
            <a:xfrm flipH="1">
              <a:off x="4682" y="3171"/>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0940" name="Oval 2157">
              <a:extLst>
                <a:ext uri="{FF2B5EF4-FFF2-40B4-BE49-F238E27FC236}">
                  <a16:creationId xmlns:a16="http://schemas.microsoft.com/office/drawing/2014/main" id="{00000000-0008-0000-0100-0000CC96A402}"/>
                </a:ext>
              </a:extLst>
            </xdr:cNvPr>
            <xdr:cNvSpPr>
              <a:spLocks noChangeArrowheads="1"/>
            </xdr:cNvSpPr>
          </xdr:nvSpPr>
          <xdr:spPr bwMode="auto">
            <a:xfrm>
              <a:off x="4687" y="3164"/>
              <a:ext cx="2" cy="1"/>
            </a:xfrm>
            <a:prstGeom prst="ellipse">
              <a:avLst/>
            </a:prstGeom>
            <a:solidFill>
              <a:srgbClr val="EAEAEA"/>
            </a:solidFill>
            <a:ln w="9525">
              <a:solidFill>
                <a:srgbClr val="333333"/>
              </a:solidFill>
              <a:round/>
              <a:headEnd/>
              <a:tailEnd/>
            </a:ln>
          </xdr:spPr>
        </xdr:sp>
      </xdr:grpSp>
      <xdr:grpSp>
        <xdr:nvGrpSpPr>
          <xdr:cNvPr id="44340894" name="Group 2158">
            <a:extLst>
              <a:ext uri="{FF2B5EF4-FFF2-40B4-BE49-F238E27FC236}">
                <a16:creationId xmlns:a16="http://schemas.microsoft.com/office/drawing/2014/main" id="{00000000-0008-0000-0100-00009E96A402}"/>
              </a:ext>
            </a:extLst>
          </xdr:cNvPr>
          <xdr:cNvGrpSpPr>
            <a:grpSpLocks/>
          </xdr:cNvGrpSpPr>
        </xdr:nvGrpSpPr>
        <xdr:grpSpPr bwMode="auto">
          <a:xfrm>
            <a:off x="29223390" y="23483757"/>
            <a:ext cx="132106" cy="177401"/>
            <a:chOff x="4605" y="3399"/>
            <a:chExt cx="20" cy="19"/>
          </a:xfrm>
        </xdr:grpSpPr>
        <xdr:sp macro="" textlink="">
          <xdr:nvSpPr>
            <xdr:cNvPr id="44340933" name="Oval 2159">
              <a:extLst>
                <a:ext uri="{FF2B5EF4-FFF2-40B4-BE49-F238E27FC236}">
                  <a16:creationId xmlns:a16="http://schemas.microsoft.com/office/drawing/2014/main" id="{00000000-0008-0000-0100-0000C596A402}"/>
                </a:ext>
              </a:extLst>
            </xdr:cNvPr>
            <xdr:cNvSpPr>
              <a:spLocks noChangeArrowheads="1"/>
            </xdr:cNvSpPr>
          </xdr:nvSpPr>
          <xdr:spPr bwMode="auto">
            <a:xfrm>
              <a:off x="4605" y="3399"/>
              <a:ext cx="20" cy="19"/>
            </a:xfrm>
            <a:prstGeom prst="ellipse">
              <a:avLst/>
            </a:prstGeom>
            <a:solidFill>
              <a:srgbClr val="EAEAEA"/>
            </a:solidFill>
            <a:ln w="1">
              <a:solidFill>
                <a:srgbClr val="333333"/>
              </a:solidFill>
              <a:round/>
              <a:headEnd/>
              <a:tailEnd/>
            </a:ln>
          </xdr:spPr>
        </xdr:sp>
        <xdr:sp macro="" textlink="">
          <xdr:nvSpPr>
            <xdr:cNvPr id="44340934" name="Line 2160">
              <a:extLst>
                <a:ext uri="{FF2B5EF4-FFF2-40B4-BE49-F238E27FC236}">
                  <a16:creationId xmlns:a16="http://schemas.microsoft.com/office/drawing/2014/main" id="{00000000-0008-0000-0100-0000C696A402}"/>
                </a:ext>
              </a:extLst>
            </xdr:cNvPr>
            <xdr:cNvSpPr>
              <a:spLocks noChangeShapeType="1"/>
            </xdr:cNvSpPr>
          </xdr:nvSpPr>
          <xdr:spPr bwMode="auto">
            <a:xfrm flipH="1" flipV="1">
              <a:off x="4607" y="3403"/>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0935" name="Line 2161">
              <a:extLst>
                <a:ext uri="{FF2B5EF4-FFF2-40B4-BE49-F238E27FC236}">
                  <a16:creationId xmlns:a16="http://schemas.microsoft.com/office/drawing/2014/main" id="{00000000-0008-0000-0100-0000C796A402}"/>
                </a:ext>
              </a:extLst>
            </xdr:cNvPr>
            <xdr:cNvSpPr>
              <a:spLocks noChangeShapeType="1"/>
            </xdr:cNvSpPr>
          </xdr:nvSpPr>
          <xdr:spPr bwMode="auto">
            <a:xfrm flipH="1">
              <a:off x="4607" y="3409"/>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0936" name="Oval 2162">
              <a:extLst>
                <a:ext uri="{FF2B5EF4-FFF2-40B4-BE49-F238E27FC236}">
                  <a16:creationId xmlns:a16="http://schemas.microsoft.com/office/drawing/2014/main" id="{00000000-0008-0000-0100-0000C896A402}"/>
                </a:ext>
              </a:extLst>
            </xdr:cNvPr>
            <xdr:cNvSpPr>
              <a:spLocks noChangeArrowheads="1"/>
            </xdr:cNvSpPr>
          </xdr:nvSpPr>
          <xdr:spPr bwMode="auto">
            <a:xfrm>
              <a:off x="4612" y="3402"/>
              <a:ext cx="2" cy="1"/>
            </a:xfrm>
            <a:prstGeom prst="ellipse">
              <a:avLst/>
            </a:prstGeom>
            <a:solidFill>
              <a:srgbClr val="EAEAEA"/>
            </a:solidFill>
            <a:ln w="9525">
              <a:solidFill>
                <a:srgbClr val="333333"/>
              </a:solidFill>
              <a:round/>
              <a:headEnd/>
              <a:tailEnd/>
            </a:ln>
          </xdr:spPr>
        </xdr:sp>
      </xdr:grpSp>
      <xdr:grpSp>
        <xdr:nvGrpSpPr>
          <xdr:cNvPr id="44340895" name="Group 2163">
            <a:extLst>
              <a:ext uri="{FF2B5EF4-FFF2-40B4-BE49-F238E27FC236}">
                <a16:creationId xmlns:a16="http://schemas.microsoft.com/office/drawing/2014/main" id="{00000000-0008-0000-0100-00009F96A402}"/>
              </a:ext>
            </a:extLst>
          </xdr:cNvPr>
          <xdr:cNvGrpSpPr>
            <a:grpSpLocks/>
          </xdr:cNvGrpSpPr>
        </xdr:nvGrpSpPr>
        <xdr:grpSpPr bwMode="auto">
          <a:xfrm>
            <a:off x="30747288" y="23644995"/>
            <a:ext cx="132106" cy="177401"/>
            <a:chOff x="4903" y="3397"/>
            <a:chExt cx="20" cy="19"/>
          </a:xfrm>
        </xdr:grpSpPr>
        <xdr:sp macro="" textlink="">
          <xdr:nvSpPr>
            <xdr:cNvPr id="44340929" name="Oval 2164">
              <a:extLst>
                <a:ext uri="{FF2B5EF4-FFF2-40B4-BE49-F238E27FC236}">
                  <a16:creationId xmlns:a16="http://schemas.microsoft.com/office/drawing/2014/main" id="{00000000-0008-0000-0100-0000C196A402}"/>
                </a:ext>
              </a:extLst>
            </xdr:cNvPr>
            <xdr:cNvSpPr>
              <a:spLocks noChangeArrowheads="1"/>
            </xdr:cNvSpPr>
          </xdr:nvSpPr>
          <xdr:spPr bwMode="auto">
            <a:xfrm>
              <a:off x="4903" y="3397"/>
              <a:ext cx="20" cy="19"/>
            </a:xfrm>
            <a:prstGeom prst="ellipse">
              <a:avLst/>
            </a:prstGeom>
            <a:solidFill>
              <a:srgbClr val="EAEAEA"/>
            </a:solidFill>
            <a:ln w="1">
              <a:solidFill>
                <a:srgbClr val="333333"/>
              </a:solidFill>
              <a:round/>
              <a:headEnd/>
              <a:tailEnd/>
            </a:ln>
          </xdr:spPr>
        </xdr:sp>
        <xdr:sp macro="" textlink="">
          <xdr:nvSpPr>
            <xdr:cNvPr id="44340930" name="Line 2165">
              <a:extLst>
                <a:ext uri="{FF2B5EF4-FFF2-40B4-BE49-F238E27FC236}">
                  <a16:creationId xmlns:a16="http://schemas.microsoft.com/office/drawing/2014/main" id="{00000000-0008-0000-0100-0000C296A402}"/>
                </a:ext>
              </a:extLst>
            </xdr:cNvPr>
            <xdr:cNvSpPr>
              <a:spLocks noChangeShapeType="1"/>
            </xdr:cNvSpPr>
          </xdr:nvSpPr>
          <xdr:spPr bwMode="auto">
            <a:xfrm flipH="1" flipV="1">
              <a:off x="4905" y="3401"/>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0931" name="Line 2166">
              <a:extLst>
                <a:ext uri="{FF2B5EF4-FFF2-40B4-BE49-F238E27FC236}">
                  <a16:creationId xmlns:a16="http://schemas.microsoft.com/office/drawing/2014/main" id="{00000000-0008-0000-0100-0000C396A402}"/>
                </a:ext>
              </a:extLst>
            </xdr:cNvPr>
            <xdr:cNvSpPr>
              <a:spLocks noChangeShapeType="1"/>
            </xdr:cNvSpPr>
          </xdr:nvSpPr>
          <xdr:spPr bwMode="auto">
            <a:xfrm flipH="1">
              <a:off x="4905" y="3407"/>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0932" name="Oval 2167">
              <a:extLst>
                <a:ext uri="{FF2B5EF4-FFF2-40B4-BE49-F238E27FC236}">
                  <a16:creationId xmlns:a16="http://schemas.microsoft.com/office/drawing/2014/main" id="{00000000-0008-0000-0100-0000C496A402}"/>
                </a:ext>
              </a:extLst>
            </xdr:cNvPr>
            <xdr:cNvSpPr>
              <a:spLocks noChangeArrowheads="1"/>
            </xdr:cNvSpPr>
          </xdr:nvSpPr>
          <xdr:spPr bwMode="auto">
            <a:xfrm>
              <a:off x="4910" y="3400"/>
              <a:ext cx="2" cy="1"/>
            </a:xfrm>
            <a:prstGeom prst="ellipse">
              <a:avLst/>
            </a:prstGeom>
            <a:solidFill>
              <a:srgbClr val="EAEAEA"/>
            </a:solidFill>
            <a:ln w="9525">
              <a:solidFill>
                <a:srgbClr val="333333"/>
              </a:solidFill>
              <a:round/>
              <a:headEnd/>
              <a:tailEnd/>
            </a:ln>
          </xdr:spPr>
        </xdr:sp>
      </xdr:grpSp>
      <xdr:grpSp>
        <xdr:nvGrpSpPr>
          <xdr:cNvPr id="44340896" name="Group 2168">
            <a:extLst>
              <a:ext uri="{FF2B5EF4-FFF2-40B4-BE49-F238E27FC236}">
                <a16:creationId xmlns:a16="http://schemas.microsoft.com/office/drawing/2014/main" id="{00000000-0008-0000-0100-0000A096A402}"/>
              </a:ext>
            </a:extLst>
          </xdr:cNvPr>
          <xdr:cNvGrpSpPr>
            <a:grpSpLocks/>
          </xdr:cNvGrpSpPr>
        </xdr:nvGrpSpPr>
        <xdr:grpSpPr bwMode="auto">
          <a:xfrm>
            <a:off x="28499759" y="24585528"/>
            <a:ext cx="132106" cy="177401"/>
            <a:chOff x="4606" y="3500"/>
            <a:chExt cx="20" cy="19"/>
          </a:xfrm>
        </xdr:grpSpPr>
        <xdr:sp macro="" textlink="">
          <xdr:nvSpPr>
            <xdr:cNvPr id="44340925" name="Oval 2169">
              <a:extLst>
                <a:ext uri="{FF2B5EF4-FFF2-40B4-BE49-F238E27FC236}">
                  <a16:creationId xmlns:a16="http://schemas.microsoft.com/office/drawing/2014/main" id="{00000000-0008-0000-0100-0000BD96A402}"/>
                </a:ext>
              </a:extLst>
            </xdr:cNvPr>
            <xdr:cNvSpPr>
              <a:spLocks noChangeArrowheads="1"/>
            </xdr:cNvSpPr>
          </xdr:nvSpPr>
          <xdr:spPr bwMode="auto">
            <a:xfrm>
              <a:off x="4606" y="3500"/>
              <a:ext cx="20" cy="19"/>
            </a:xfrm>
            <a:prstGeom prst="ellipse">
              <a:avLst/>
            </a:prstGeom>
            <a:solidFill>
              <a:srgbClr val="EAEAEA"/>
            </a:solidFill>
            <a:ln w="1">
              <a:solidFill>
                <a:srgbClr val="333333"/>
              </a:solidFill>
              <a:round/>
              <a:headEnd/>
              <a:tailEnd/>
            </a:ln>
          </xdr:spPr>
        </xdr:sp>
        <xdr:sp macro="" textlink="">
          <xdr:nvSpPr>
            <xdr:cNvPr id="44340926" name="Line 2170">
              <a:extLst>
                <a:ext uri="{FF2B5EF4-FFF2-40B4-BE49-F238E27FC236}">
                  <a16:creationId xmlns:a16="http://schemas.microsoft.com/office/drawing/2014/main" id="{00000000-0008-0000-0100-0000BE96A402}"/>
                </a:ext>
              </a:extLst>
            </xdr:cNvPr>
            <xdr:cNvSpPr>
              <a:spLocks noChangeShapeType="1"/>
            </xdr:cNvSpPr>
          </xdr:nvSpPr>
          <xdr:spPr bwMode="auto">
            <a:xfrm flipH="1" flipV="1">
              <a:off x="4608" y="3504"/>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0927" name="Line 2171">
              <a:extLst>
                <a:ext uri="{FF2B5EF4-FFF2-40B4-BE49-F238E27FC236}">
                  <a16:creationId xmlns:a16="http://schemas.microsoft.com/office/drawing/2014/main" id="{00000000-0008-0000-0100-0000BF96A402}"/>
                </a:ext>
              </a:extLst>
            </xdr:cNvPr>
            <xdr:cNvSpPr>
              <a:spLocks noChangeShapeType="1"/>
            </xdr:cNvSpPr>
          </xdr:nvSpPr>
          <xdr:spPr bwMode="auto">
            <a:xfrm flipH="1">
              <a:off x="4608" y="3510"/>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0928" name="Oval 2172">
              <a:extLst>
                <a:ext uri="{FF2B5EF4-FFF2-40B4-BE49-F238E27FC236}">
                  <a16:creationId xmlns:a16="http://schemas.microsoft.com/office/drawing/2014/main" id="{00000000-0008-0000-0100-0000C096A402}"/>
                </a:ext>
              </a:extLst>
            </xdr:cNvPr>
            <xdr:cNvSpPr>
              <a:spLocks noChangeArrowheads="1"/>
            </xdr:cNvSpPr>
          </xdr:nvSpPr>
          <xdr:spPr bwMode="auto">
            <a:xfrm>
              <a:off x="4613" y="3503"/>
              <a:ext cx="2" cy="1"/>
            </a:xfrm>
            <a:prstGeom prst="ellipse">
              <a:avLst/>
            </a:prstGeom>
            <a:solidFill>
              <a:srgbClr val="EAEAEA"/>
            </a:solidFill>
            <a:ln w="9525">
              <a:solidFill>
                <a:srgbClr val="333333"/>
              </a:solidFill>
              <a:round/>
              <a:headEnd/>
              <a:tailEnd/>
            </a:ln>
          </xdr:spPr>
        </xdr:sp>
      </xdr:grpSp>
      <xdr:sp macro="" textlink="">
        <xdr:nvSpPr>
          <xdr:cNvPr id="44340897" name="Line 2177">
            <a:extLst>
              <a:ext uri="{FF2B5EF4-FFF2-40B4-BE49-F238E27FC236}">
                <a16:creationId xmlns:a16="http://schemas.microsoft.com/office/drawing/2014/main" id="{00000000-0008-0000-0100-0000A196A402}"/>
              </a:ext>
            </a:extLst>
          </xdr:cNvPr>
          <xdr:cNvSpPr>
            <a:spLocks noChangeShapeType="1"/>
          </xdr:cNvSpPr>
        </xdr:nvSpPr>
        <xdr:spPr bwMode="auto">
          <a:xfrm>
            <a:off x="27583342" y="20607380"/>
            <a:ext cx="508609" cy="0"/>
          </a:xfrm>
          <a:prstGeom prst="line">
            <a:avLst/>
          </a:prstGeom>
          <a:noFill/>
          <a:ln w="17145">
            <a:solidFill>
              <a:srgbClr val="008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0898" name="Line 2184">
            <a:extLst>
              <a:ext uri="{FF2B5EF4-FFF2-40B4-BE49-F238E27FC236}">
                <a16:creationId xmlns:a16="http://schemas.microsoft.com/office/drawing/2014/main" id="{00000000-0008-0000-0100-0000A296A402}"/>
              </a:ext>
            </a:extLst>
          </xdr:cNvPr>
          <xdr:cNvSpPr>
            <a:spLocks noChangeShapeType="1"/>
          </xdr:cNvSpPr>
        </xdr:nvSpPr>
        <xdr:spPr bwMode="auto">
          <a:xfrm>
            <a:off x="27597830" y="21100989"/>
            <a:ext cx="488793" cy="0"/>
          </a:xfrm>
          <a:prstGeom prst="line">
            <a:avLst/>
          </a:prstGeom>
          <a:noFill/>
          <a:ln w="1">
            <a:solidFill>
              <a:srgbClr val="0000FF"/>
            </a:solidFill>
            <a:round/>
            <a:headEnd/>
            <a:tailEnd type="triangle" w="med" len="med"/>
          </a:ln>
          <a:extLst>
            <a:ext uri="{909E8E84-426E-40DD-AFC4-6F175D3DCCD1}">
              <a14:hiddenFill xmlns:a14="http://schemas.microsoft.com/office/drawing/2010/main">
                <a:noFill/>
              </a14:hiddenFill>
            </a:ext>
          </a:extLst>
        </xdr:spPr>
      </xdr:sp>
      <xdr:sp macro="" textlink="">
        <xdr:nvSpPr>
          <xdr:cNvPr id="44340899" name="Line 2185">
            <a:extLst>
              <a:ext uri="{FF2B5EF4-FFF2-40B4-BE49-F238E27FC236}">
                <a16:creationId xmlns:a16="http://schemas.microsoft.com/office/drawing/2014/main" id="{00000000-0008-0000-0100-0000A396A402}"/>
              </a:ext>
            </a:extLst>
          </xdr:cNvPr>
          <xdr:cNvSpPr>
            <a:spLocks noChangeShapeType="1"/>
          </xdr:cNvSpPr>
        </xdr:nvSpPr>
        <xdr:spPr bwMode="auto">
          <a:xfrm flipH="1">
            <a:off x="27587247" y="21429044"/>
            <a:ext cx="488793" cy="0"/>
          </a:xfrm>
          <a:prstGeom prst="line">
            <a:avLst/>
          </a:prstGeom>
          <a:noFill/>
          <a:ln w="0">
            <a:solidFill>
              <a:srgbClr val="0000FF"/>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340900" name="Line 2188">
            <a:extLst>
              <a:ext uri="{FF2B5EF4-FFF2-40B4-BE49-F238E27FC236}">
                <a16:creationId xmlns:a16="http://schemas.microsoft.com/office/drawing/2014/main" id="{00000000-0008-0000-0100-0000A496A402}"/>
              </a:ext>
            </a:extLst>
          </xdr:cNvPr>
          <xdr:cNvSpPr>
            <a:spLocks noChangeShapeType="1"/>
          </xdr:cNvSpPr>
        </xdr:nvSpPr>
        <xdr:spPr bwMode="auto">
          <a:xfrm>
            <a:off x="27603013" y="23323170"/>
            <a:ext cx="488793" cy="0"/>
          </a:xfrm>
          <a:prstGeom prst="line">
            <a:avLst/>
          </a:prstGeom>
          <a:noFill/>
          <a:ln w="1">
            <a:solidFill>
              <a:srgbClr val="0000FF"/>
            </a:solidFill>
            <a:round/>
            <a:headEnd/>
            <a:tailEnd type="triangle" w="med" len="med"/>
          </a:ln>
          <a:extLst>
            <a:ext uri="{909E8E84-426E-40DD-AFC4-6F175D3DCCD1}">
              <a14:hiddenFill xmlns:a14="http://schemas.microsoft.com/office/drawing/2010/main">
                <a:noFill/>
              </a14:hiddenFill>
            </a:ext>
          </a:extLst>
        </xdr:spPr>
      </xdr:sp>
      <xdr:sp macro="" textlink="">
        <xdr:nvSpPr>
          <xdr:cNvPr id="44340901" name="Line 2189">
            <a:extLst>
              <a:ext uri="{FF2B5EF4-FFF2-40B4-BE49-F238E27FC236}">
                <a16:creationId xmlns:a16="http://schemas.microsoft.com/office/drawing/2014/main" id="{00000000-0008-0000-0100-0000A596A402}"/>
              </a:ext>
            </a:extLst>
          </xdr:cNvPr>
          <xdr:cNvSpPr>
            <a:spLocks noChangeShapeType="1"/>
          </xdr:cNvSpPr>
        </xdr:nvSpPr>
        <xdr:spPr bwMode="auto">
          <a:xfrm flipH="1">
            <a:off x="27584402" y="23672391"/>
            <a:ext cx="488793" cy="0"/>
          </a:xfrm>
          <a:prstGeom prst="line">
            <a:avLst/>
          </a:prstGeom>
          <a:noFill/>
          <a:ln w="0">
            <a:solidFill>
              <a:srgbClr val="0000FF"/>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340902" name="Freeform 2190">
            <a:extLst>
              <a:ext uri="{FF2B5EF4-FFF2-40B4-BE49-F238E27FC236}">
                <a16:creationId xmlns:a16="http://schemas.microsoft.com/office/drawing/2014/main" id="{00000000-0008-0000-0100-0000A696A402}"/>
              </a:ext>
            </a:extLst>
          </xdr:cNvPr>
          <xdr:cNvSpPr>
            <a:spLocks/>
          </xdr:cNvSpPr>
        </xdr:nvSpPr>
        <xdr:spPr bwMode="auto">
          <a:xfrm>
            <a:off x="29929666" y="21524852"/>
            <a:ext cx="433525" cy="477898"/>
          </a:xfrm>
          <a:custGeom>
            <a:avLst/>
            <a:gdLst>
              <a:gd name="T0" fmla="*/ 2147483647 w 82"/>
              <a:gd name="T1" fmla="*/ 2147483647 h 121"/>
              <a:gd name="T2" fmla="*/ 2147483647 w 82"/>
              <a:gd name="T3" fmla="*/ 0 h 121"/>
              <a:gd name="T4" fmla="*/ 2147483647 w 82"/>
              <a:gd name="T5" fmla="*/ 0 h 121"/>
              <a:gd name="T6" fmla="*/ 0 w 82"/>
              <a:gd name="T7" fmla="*/ 2147483647 h 121"/>
              <a:gd name="T8" fmla="*/ 0 60000 65536"/>
              <a:gd name="T9" fmla="*/ 0 60000 65536"/>
              <a:gd name="T10" fmla="*/ 0 60000 65536"/>
              <a:gd name="T11" fmla="*/ 0 60000 65536"/>
              <a:gd name="T12" fmla="*/ 0 w 82"/>
              <a:gd name="T13" fmla="*/ 0 h 121"/>
              <a:gd name="T14" fmla="*/ 82 w 82"/>
              <a:gd name="T15" fmla="*/ 121 h 121"/>
            </a:gdLst>
            <a:ahLst/>
            <a:cxnLst>
              <a:cxn ang="T8">
                <a:pos x="T0" y="T1"/>
              </a:cxn>
              <a:cxn ang="T9">
                <a:pos x="T2" y="T3"/>
              </a:cxn>
              <a:cxn ang="T10">
                <a:pos x="T4" y="T5"/>
              </a:cxn>
              <a:cxn ang="T11">
                <a:pos x="T6" y="T7"/>
              </a:cxn>
            </a:cxnLst>
            <a:rect l="T12" t="T13" r="T14" b="T15"/>
            <a:pathLst>
              <a:path w="82" h="121">
                <a:moveTo>
                  <a:pt x="82" y="51"/>
                </a:moveTo>
                <a:lnTo>
                  <a:pt x="82" y="0"/>
                </a:lnTo>
                <a:lnTo>
                  <a:pt x="34" y="0"/>
                </a:lnTo>
                <a:lnTo>
                  <a:pt x="0" y="121"/>
                </a:lnTo>
              </a:path>
            </a:pathLst>
          </a:custGeom>
          <a:noFill/>
          <a:ln w="0">
            <a:solidFill>
              <a:srgbClr val="FF6600"/>
            </a:solidFill>
            <a:round/>
            <a:headEnd/>
            <a:tailEnd type="triangle" w="med" len="med"/>
          </a:ln>
          <a:extLst>
            <a:ext uri="{909E8E84-426E-40DD-AFC4-6F175D3DCCD1}">
              <a14:hiddenFill xmlns:a14="http://schemas.microsoft.com/office/drawing/2010/main">
                <a:solidFill>
                  <a:srgbClr val="FFFFFF"/>
                </a:solidFill>
              </a14:hiddenFill>
            </a:ext>
          </a:extLst>
        </xdr:spPr>
      </xdr:sp>
      <xdr:sp macro="" textlink="">
        <xdr:nvSpPr>
          <xdr:cNvPr id="44340903" name="Line 2192">
            <a:extLst>
              <a:ext uri="{FF2B5EF4-FFF2-40B4-BE49-F238E27FC236}">
                <a16:creationId xmlns:a16="http://schemas.microsoft.com/office/drawing/2014/main" id="{00000000-0008-0000-0100-0000A796A402}"/>
              </a:ext>
            </a:extLst>
          </xdr:cNvPr>
          <xdr:cNvSpPr>
            <a:spLocks noChangeShapeType="1"/>
          </xdr:cNvSpPr>
        </xdr:nvSpPr>
        <xdr:spPr bwMode="auto">
          <a:xfrm flipH="1">
            <a:off x="30649333" y="24212053"/>
            <a:ext cx="843403" cy="2614"/>
          </a:xfrm>
          <a:prstGeom prst="line">
            <a:avLst/>
          </a:prstGeom>
          <a:noFill/>
          <a:ln w="17145">
            <a:solidFill>
              <a:srgbClr val="008000"/>
            </a:solidFill>
            <a:round/>
            <a:headEnd/>
            <a:tailEnd type="triangle" w="med" len="med"/>
          </a:ln>
          <a:extLst>
            <a:ext uri="{909E8E84-426E-40DD-AFC4-6F175D3DCCD1}">
              <a14:hiddenFill xmlns:a14="http://schemas.microsoft.com/office/drawing/2010/main">
                <a:noFill/>
              </a14:hiddenFill>
            </a:ext>
          </a:extLst>
        </xdr:spPr>
      </xdr:sp>
      <xdr:grpSp>
        <xdr:nvGrpSpPr>
          <xdr:cNvPr id="44340904" name="Group 2197">
            <a:extLst>
              <a:ext uri="{FF2B5EF4-FFF2-40B4-BE49-F238E27FC236}">
                <a16:creationId xmlns:a16="http://schemas.microsoft.com/office/drawing/2014/main" id="{00000000-0008-0000-0100-0000A896A402}"/>
              </a:ext>
            </a:extLst>
          </xdr:cNvPr>
          <xdr:cNvGrpSpPr>
            <a:grpSpLocks/>
          </xdr:cNvGrpSpPr>
        </xdr:nvGrpSpPr>
        <xdr:grpSpPr bwMode="auto">
          <a:xfrm>
            <a:off x="28707088" y="21592017"/>
            <a:ext cx="0" cy="532203"/>
            <a:chOff x="4647" y="3278"/>
            <a:chExt cx="0" cy="57"/>
          </a:xfrm>
        </xdr:grpSpPr>
        <xdr:sp macro="" textlink="">
          <xdr:nvSpPr>
            <xdr:cNvPr id="44340923" name="Line 2198">
              <a:extLst>
                <a:ext uri="{FF2B5EF4-FFF2-40B4-BE49-F238E27FC236}">
                  <a16:creationId xmlns:a16="http://schemas.microsoft.com/office/drawing/2014/main" id="{00000000-0008-0000-0100-0000BB96A402}"/>
                </a:ext>
              </a:extLst>
            </xdr:cNvPr>
            <xdr:cNvSpPr>
              <a:spLocks noChangeShapeType="1"/>
            </xdr:cNvSpPr>
          </xdr:nvSpPr>
          <xdr:spPr bwMode="auto">
            <a:xfrm flipV="1">
              <a:off x="4647" y="3278"/>
              <a:ext cx="0" cy="28"/>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0924" name="Line 2199">
              <a:extLst>
                <a:ext uri="{FF2B5EF4-FFF2-40B4-BE49-F238E27FC236}">
                  <a16:creationId xmlns:a16="http://schemas.microsoft.com/office/drawing/2014/main" id="{00000000-0008-0000-0100-0000BC96A402}"/>
                </a:ext>
              </a:extLst>
            </xdr:cNvPr>
            <xdr:cNvSpPr>
              <a:spLocks noChangeShapeType="1"/>
            </xdr:cNvSpPr>
          </xdr:nvSpPr>
          <xdr:spPr bwMode="auto">
            <a:xfrm>
              <a:off x="4647" y="3306"/>
              <a:ext cx="0" cy="29"/>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grpSp>
        <xdr:nvGrpSpPr>
          <xdr:cNvPr id="44340905" name="Group 2200">
            <a:extLst>
              <a:ext uri="{FF2B5EF4-FFF2-40B4-BE49-F238E27FC236}">
                <a16:creationId xmlns:a16="http://schemas.microsoft.com/office/drawing/2014/main" id="{00000000-0008-0000-0100-0000A996A402}"/>
              </a:ext>
            </a:extLst>
          </xdr:cNvPr>
          <xdr:cNvGrpSpPr>
            <a:grpSpLocks/>
          </xdr:cNvGrpSpPr>
        </xdr:nvGrpSpPr>
        <xdr:grpSpPr bwMode="auto">
          <a:xfrm>
            <a:off x="30752833" y="21410949"/>
            <a:ext cx="0" cy="532203"/>
            <a:chOff x="4875" y="3194"/>
            <a:chExt cx="0" cy="57"/>
          </a:xfrm>
        </xdr:grpSpPr>
        <xdr:sp macro="" textlink="">
          <xdr:nvSpPr>
            <xdr:cNvPr id="44340921" name="Line 2201">
              <a:extLst>
                <a:ext uri="{FF2B5EF4-FFF2-40B4-BE49-F238E27FC236}">
                  <a16:creationId xmlns:a16="http://schemas.microsoft.com/office/drawing/2014/main" id="{00000000-0008-0000-0100-0000B996A402}"/>
                </a:ext>
              </a:extLst>
            </xdr:cNvPr>
            <xdr:cNvSpPr>
              <a:spLocks noChangeShapeType="1"/>
            </xdr:cNvSpPr>
          </xdr:nvSpPr>
          <xdr:spPr bwMode="auto">
            <a:xfrm flipV="1">
              <a:off x="4875" y="3194"/>
              <a:ext cx="0" cy="28"/>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0922" name="Line 2202">
              <a:extLst>
                <a:ext uri="{FF2B5EF4-FFF2-40B4-BE49-F238E27FC236}">
                  <a16:creationId xmlns:a16="http://schemas.microsoft.com/office/drawing/2014/main" id="{00000000-0008-0000-0100-0000BA96A402}"/>
                </a:ext>
              </a:extLst>
            </xdr:cNvPr>
            <xdr:cNvSpPr>
              <a:spLocks noChangeShapeType="1"/>
            </xdr:cNvSpPr>
          </xdr:nvSpPr>
          <xdr:spPr bwMode="auto">
            <a:xfrm>
              <a:off x="4875" y="3222"/>
              <a:ext cx="0" cy="29"/>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grpSp>
        <xdr:nvGrpSpPr>
          <xdr:cNvPr id="44340906" name="Group 2203">
            <a:extLst>
              <a:ext uri="{FF2B5EF4-FFF2-40B4-BE49-F238E27FC236}">
                <a16:creationId xmlns:a16="http://schemas.microsoft.com/office/drawing/2014/main" id="{00000000-0008-0000-0100-0000AA96A402}"/>
              </a:ext>
            </a:extLst>
          </xdr:cNvPr>
          <xdr:cNvGrpSpPr>
            <a:grpSpLocks/>
          </xdr:cNvGrpSpPr>
        </xdr:nvGrpSpPr>
        <xdr:grpSpPr bwMode="auto">
          <a:xfrm>
            <a:off x="29311110" y="23666163"/>
            <a:ext cx="0" cy="532203"/>
            <a:chOff x="4708" y="3397"/>
            <a:chExt cx="0" cy="57"/>
          </a:xfrm>
        </xdr:grpSpPr>
        <xdr:sp macro="" textlink="">
          <xdr:nvSpPr>
            <xdr:cNvPr id="44340919" name="Line 2204">
              <a:extLst>
                <a:ext uri="{FF2B5EF4-FFF2-40B4-BE49-F238E27FC236}">
                  <a16:creationId xmlns:a16="http://schemas.microsoft.com/office/drawing/2014/main" id="{00000000-0008-0000-0100-0000B796A402}"/>
                </a:ext>
              </a:extLst>
            </xdr:cNvPr>
            <xdr:cNvSpPr>
              <a:spLocks noChangeShapeType="1"/>
            </xdr:cNvSpPr>
          </xdr:nvSpPr>
          <xdr:spPr bwMode="auto">
            <a:xfrm flipV="1">
              <a:off x="4708" y="3397"/>
              <a:ext cx="0" cy="28"/>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0920" name="Line 2205">
              <a:extLst>
                <a:ext uri="{FF2B5EF4-FFF2-40B4-BE49-F238E27FC236}">
                  <a16:creationId xmlns:a16="http://schemas.microsoft.com/office/drawing/2014/main" id="{00000000-0008-0000-0100-0000B896A402}"/>
                </a:ext>
              </a:extLst>
            </xdr:cNvPr>
            <xdr:cNvSpPr>
              <a:spLocks noChangeShapeType="1"/>
            </xdr:cNvSpPr>
          </xdr:nvSpPr>
          <xdr:spPr bwMode="auto">
            <a:xfrm>
              <a:off x="4708" y="3425"/>
              <a:ext cx="0" cy="29"/>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grpSp>
      <xdr:sp macro="" textlink="">
        <xdr:nvSpPr>
          <xdr:cNvPr id="44340907" name="Line 2207">
            <a:extLst>
              <a:ext uri="{FF2B5EF4-FFF2-40B4-BE49-F238E27FC236}">
                <a16:creationId xmlns:a16="http://schemas.microsoft.com/office/drawing/2014/main" id="{00000000-0008-0000-0100-0000AB96A402}"/>
              </a:ext>
            </a:extLst>
          </xdr:cNvPr>
          <xdr:cNvSpPr>
            <a:spLocks noChangeShapeType="1"/>
          </xdr:cNvSpPr>
        </xdr:nvSpPr>
        <xdr:spPr bwMode="auto">
          <a:xfrm>
            <a:off x="29076143" y="24737411"/>
            <a:ext cx="0" cy="354802"/>
          </a:xfrm>
          <a:prstGeom prst="line">
            <a:avLst/>
          </a:prstGeom>
          <a:noFill/>
          <a:ln w="1">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340908" name="Line 2208">
            <a:extLst>
              <a:ext uri="{FF2B5EF4-FFF2-40B4-BE49-F238E27FC236}">
                <a16:creationId xmlns:a16="http://schemas.microsoft.com/office/drawing/2014/main" id="{00000000-0008-0000-0100-0000AC96A402}"/>
              </a:ext>
            </a:extLst>
          </xdr:cNvPr>
          <xdr:cNvSpPr>
            <a:spLocks noChangeShapeType="1"/>
          </xdr:cNvSpPr>
        </xdr:nvSpPr>
        <xdr:spPr bwMode="auto">
          <a:xfrm>
            <a:off x="30549129" y="24737411"/>
            <a:ext cx="0" cy="354802"/>
          </a:xfrm>
          <a:prstGeom prst="line">
            <a:avLst/>
          </a:prstGeom>
          <a:noFill/>
          <a:ln w="1">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340909" name="Line 2548">
            <a:extLst>
              <a:ext uri="{FF2B5EF4-FFF2-40B4-BE49-F238E27FC236}">
                <a16:creationId xmlns:a16="http://schemas.microsoft.com/office/drawing/2014/main" id="{00000000-0008-0000-0100-0000AD96A402}"/>
              </a:ext>
            </a:extLst>
          </xdr:cNvPr>
          <xdr:cNvSpPr>
            <a:spLocks noChangeShapeType="1"/>
          </xdr:cNvSpPr>
        </xdr:nvSpPr>
        <xdr:spPr bwMode="auto">
          <a:xfrm rot="-5400000">
            <a:off x="31051380" y="19912497"/>
            <a:ext cx="224085" cy="191554"/>
          </a:xfrm>
          <a:prstGeom prst="line">
            <a:avLst/>
          </a:prstGeom>
          <a:noFill/>
          <a:ln w="1">
            <a:solidFill>
              <a:srgbClr val="333333"/>
            </a:solidFill>
            <a:prstDash val="dash"/>
            <a:round/>
            <a:headEnd/>
            <a:tailEnd type="triangle" w="med" len="med"/>
          </a:ln>
          <a:extLst>
            <a:ext uri="{909E8E84-426E-40DD-AFC4-6F175D3DCCD1}">
              <a14:hiddenFill xmlns:a14="http://schemas.microsoft.com/office/drawing/2010/main">
                <a:noFill/>
              </a14:hiddenFill>
            </a:ext>
          </a:extLst>
        </xdr:spPr>
      </xdr:sp>
      <xdr:sp macro="" textlink="">
        <xdr:nvSpPr>
          <xdr:cNvPr id="44340910" name="Line 2132">
            <a:extLst>
              <a:ext uri="{FF2B5EF4-FFF2-40B4-BE49-F238E27FC236}">
                <a16:creationId xmlns:a16="http://schemas.microsoft.com/office/drawing/2014/main" id="{00000000-0008-0000-0100-0000AE96A402}"/>
              </a:ext>
            </a:extLst>
          </xdr:cNvPr>
          <xdr:cNvSpPr>
            <a:spLocks noChangeShapeType="1"/>
          </xdr:cNvSpPr>
        </xdr:nvSpPr>
        <xdr:spPr bwMode="auto">
          <a:xfrm flipH="1">
            <a:off x="27819679" y="21875750"/>
            <a:ext cx="2332237" cy="612"/>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4340911" name="Group 2158">
            <a:extLst>
              <a:ext uri="{FF2B5EF4-FFF2-40B4-BE49-F238E27FC236}">
                <a16:creationId xmlns:a16="http://schemas.microsoft.com/office/drawing/2014/main" id="{00000000-0008-0000-0100-0000AF96A402}"/>
              </a:ext>
            </a:extLst>
          </xdr:cNvPr>
          <xdr:cNvGrpSpPr>
            <a:grpSpLocks/>
          </xdr:cNvGrpSpPr>
        </xdr:nvGrpSpPr>
        <xdr:grpSpPr bwMode="auto">
          <a:xfrm>
            <a:off x="29904957" y="22535490"/>
            <a:ext cx="132106" cy="177401"/>
            <a:chOff x="4605" y="3399"/>
            <a:chExt cx="20" cy="19"/>
          </a:xfrm>
        </xdr:grpSpPr>
        <xdr:sp macro="" textlink="">
          <xdr:nvSpPr>
            <xdr:cNvPr id="44340915" name="Oval 2159">
              <a:extLst>
                <a:ext uri="{FF2B5EF4-FFF2-40B4-BE49-F238E27FC236}">
                  <a16:creationId xmlns:a16="http://schemas.microsoft.com/office/drawing/2014/main" id="{00000000-0008-0000-0100-0000B396A402}"/>
                </a:ext>
              </a:extLst>
            </xdr:cNvPr>
            <xdr:cNvSpPr>
              <a:spLocks noChangeArrowheads="1"/>
            </xdr:cNvSpPr>
          </xdr:nvSpPr>
          <xdr:spPr bwMode="auto">
            <a:xfrm>
              <a:off x="4605" y="3399"/>
              <a:ext cx="20" cy="19"/>
            </a:xfrm>
            <a:prstGeom prst="ellipse">
              <a:avLst/>
            </a:prstGeom>
            <a:solidFill>
              <a:srgbClr val="EAEAEA"/>
            </a:solidFill>
            <a:ln w="1">
              <a:solidFill>
                <a:srgbClr val="333333"/>
              </a:solidFill>
              <a:round/>
              <a:headEnd/>
              <a:tailEnd/>
            </a:ln>
          </xdr:spPr>
        </xdr:sp>
        <xdr:sp macro="" textlink="">
          <xdr:nvSpPr>
            <xdr:cNvPr id="44340916" name="Line 2160">
              <a:extLst>
                <a:ext uri="{FF2B5EF4-FFF2-40B4-BE49-F238E27FC236}">
                  <a16:creationId xmlns:a16="http://schemas.microsoft.com/office/drawing/2014/main" id="{00000000-0008-0000-0100-0000B496A402}"/>
                </a:ext>
              </a:extLst>
            </xdr:cNvPr>
            <xdr:cNvSpPr>
              <a:spLocks noChangeShapeType="1"/>
            </xdr:cNvSpPr>
          </xdr:nvSpPr>
          <xdr:spPr bwMode="auto">
            <a:xfrm flipH="1" flipV="1">
              <a:off x="4607" y="3403"/>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0917" name="Line 2161">
              <a:extLst>
                <a:ext uri="{FF2B5EF4-FFF2-40B4-BE49-F238E27FC236}">
                  <a16:creationId xmlns:a16="http://schemas.microsoft.com/office/drawing/2014/main" id="{00000000-0008-0000-0100-0000B596A402}"/>
                </a:ext>
              </a:extLst>
            </xdr:cNvPr>
            <xdr:cNvSpPr>
              <a:spLocks noChangeShapeType="1"/>
            </xdr:cNvSpPr>
          </xdr:nvSpPr>
          <xdr:spPr bwMode="auto">
            <a:xfrm flipH="1">
              <a:off x="4607" y="3409"/>
              <a:ext cx="7" cy="6"/>
            </a:xfrm>
            <a:prstGeom prst="line">
              <a:avLst/>
            </a:prstGeom>
            <a:noFill/>
            <a:ln w="9525">
              <a:solidFill>
                <a:srgbClr val="333333"/>
              </a:solidFill>
              <a:round/>
              <a:headEnd/>
              <a:tailEnd/>
            </a:ln>
            <a:extLst>
              <a:ext uri="{909E8E84-426E-40DD-AFC4-6F175D3DCCD1}">
                <a14:hiddenFill xmlns:a14="http://schemas.microsoft.com/office/drawing/2010/main">
                  <a:noFill/>
                </a14:hiddenFill>
              </a:ext>
            </a:extLst>
          </xdr:spPr>
        </xdr:sp>
        <xdr:sp macro="" textlink="">
          <xdr:nvSpPr>
            <xdr:cNvPr id="44340918" name="Oval 2162">
              <a:extLst>
                <a:ext uri="{FF2B5EF4-FFF2-40B4-BE49-F238E27FC236}">
                  <a16:creationId xmlns:a16="http://schemas.microsoft.com/office/drawing/2014/main" id="{00000000-0008-0000-0100-0000B696A402}"/>
                </a:ext>
              </a:extLst>
            </xdr:cNvPr>
            <xdr:cNvSpPr>
              <a:spLocks noChangeArrowheads="1"/>
            </xdr:cNvSpPr>
          </xdr:nvSpPr>
          <xdr:spPr bwMode="auto">
            <a:xfrm>
              <a:off x="4612" y="3402"/>
              <a:ext cx="2" cy="1"/>
            </a:xfrm>
            <a:prstGeom prst="ellipse">
              <a:avLst/>
            </a:prstGeom>
            <a:solidFill>
              <a:srgbClr val="EAEAEA"/>
            </a:solidFill>
            <a:ln w="9525">
              <a:solidFill>
                <a:srgbClr val="333333"/>
              </a:solidFill>
              <a:round/>
              <a:headEnd/>
              <a:tailEnd/>
            </a:ln>
          </xdr:spPr>
        </xdr:sp>
      </xdr:grpSp>
      <xdr:sp macro="" textlink="">
        <xdr:nvSpPr>
          <xdr:cNvPr id="44340912" name="Line 2177">
            <a:extLst>
              <a:ext uri="{FF2B5EF4-FFF2-40B4-BE49-F238E27FC236}">
                <a16:creationId xmlns:a16="http://schemas.microsoft.com/office/drawing/2014/main" id="{00000000-0008-0000-0100-0000B096A402}"/>
              </a:ext>
            </a:extLst>
          </xdr:cNvPr>
          <xdr:cNvSpPr>
            <a:spLocks noChangeShapeType="1"/>
          </xdr:cNvSpPr>
        </xdr:nvSpPr>
        <xdr:spPr bwMode="auto">
          <a:xfrm>
            <a:off x="27587580" y="22029740"/>
            <a:ext cx="508609" cy="0"/>
          </a:xfrm>
          <a:prstGeom prst="line">
            <a:avLst/>
          </a:prstGeom>
          <a:noFill/>
          <a:ln w="17145">
            <a:solidFill>
              <a:srgbClr val="008000"/>
            </a:solidFill>
            <a:round/>
            <a:headEnd/>
            <a:tailEnd type="triangle" w="med" len="med"/>
          </a:ln>
          <a:extLst>
            <a:ext uri="{909E8E84-426E-40DD-AFC4-6F175D3DCCD1}">
              <a14:hiddenFill xmlns:a14="http://schemas.microsoft.com/office/drawing/2010/main">
                <a:noFill/>
              </a14:hiddenFill>
            </a:ext>
          </a:extLst>
        </xdr:spPr>
      </xdr:sp>
      <xdr:sp macro="" textlink="">
        <xdr:nvSpPr>
          <xdr:cNvPr id="44340913" name="Line 2184">
            <a:extLst>
              <a:ext uri="{FF2B5EF4-FFF2-40B4-BE49-F238E27FC236}">
                <a16:creationId xmlns:a16="http://schemas.microsoft.com/office/drawing/2014/main" id="{00000000-0008-0000-0100-0000B196A402}"/>
              </a:ext>
            </a:extLst>
          </xdr:cNvPr>
          <xdr:cNvSpPr>
            <a:spLocks noChangeShapeType="1"/>
          </xdr:cNvSpPr>
        </xdr:nvSpPr>
        <xdr:spPr bwMode="auto">
          <a:xfrm>
            <a:off x="27602068" y="22227025"/>
            <a:ext cx="488793" cy="0"/>
          </a:xfrm>
          <a:prstGeom prst="line">
            <a:avLst/>
          </a:prstGeom>
          <a:noFill/>
          <a:ln w="1">
            <a:solidFill>
              <a:srgbClr val="0000FF"/>
            </a:solidFill>
            <a:round/>
            <a:headEnd/>
            <a:tailEnd type="triangle" w="med" len="med"/>
          </a:ln>
          <a:extLst>
            <a:ext uri="{909E8E84-426E-40DD-AFC4-6F175D3DCCD1}">
              <a14:hiddenFill xmlns:a14="http://schemas.microsoft.com/office/drawing/2010/main">
                <a:noFill/>
              </a14:hiddenFill>
            </a:ext>
          </a:extLst>
        </xdr:spPr>
      </xdr:sp>
      <xdr:sp macro="" textlink="">
        <xdr:nvSpPr>
          <xdr:cNvPr id="44340914" name="Line 2185">
            <a:extLst>
              <a:ext uri="{FF2B5EF4-FFF2-40B4-BE49-F238E27FC236}">
                <a16:creationId xmlns:a16="http://schemas.microsoft.com/office/drawing/2014/main" id="{00000000-0008-0000-0100-0000B296A402}"/>
              </a:ext>
            </a:extLst>
          </xdr:cNvPr>
          <xdr:cNvSpPr>
            <a:spLocks noChangeShapeType="1"/>
          </xdr:cNvSpPr>
        </xdr:nvSpPr>
        <xdr:spPr bwMode="auto">
          <a:xfrm flipH="1">
            <a:off x="27591485" y="22533914"/>
            <a:ext cx="488793" cy="0"/>
          </a:xfrm>
          <a:prstGeom prst="line">
            <a:avLst/>
          </a:prstGeom>
          <a:noFill/>
          <a:ln w="0">
            <a:solidFill>
              <a:srgbClr val="0000FF"/>
            </a:solidFill>
            <a:prstDash val="dash"/>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67</xdr:col>
      <xdr:colOff>276225</xdr:colOff>
      <xdr:row>143</xdr:row>
      <xdr:rowOff>104775</xdr:rowOff>
    </xdr:from>
    <xdr:to>
      <xdr:col>67</xdr:col>
      <xdr:colOff>276225</xdr:colOff>
      <xdr:row>145</xdr:row>
      <xdr:rowOff>57150</xdr:rowOff>
    </xdr:to>
    <xdr:sp macro="" textlink="">
      <xdr:nvSpPr>
        <xdr:cNvPr id="44340881" name="Line 2199">
          <a:extLst>
            <a:ext uri="{FF2B5EF4-FFF2-40B4-BE49-F238E27FC236}">
              <a16:creationId xmlns:a16="http://schemas.microsoft.com/office/drawing/2014/main" id="{00000000-0008-0000-0100-00009196A402}"/>
            </a:ext>
          </a:extLst>
        </xdr:cNvPr>
        <xdr:cNvSpPr>
          <a:spLocks noChangeShapeType="1"/>
        </xdr:cNvSpPr>
      </xdr:nvSpPr>
      <xdr:spPr bwMode="auto">
        <a:xfrm>
          <a:off x="29670375" y="23260050"/>
          <a:ext cx="0" cy="276225"/>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67</xdr:col>
      <xdr:colOff>276225</xdr:colOff>
      <xdr:row>142</xdr:row>
      <xdr:rowOff>9525</xdr:rowOff>
    </xdr:from>
    <xdr:to>
      <xdr:col>67</xdr:col>
      <xdr:colOff>276225</xdr:colOff>
      <xdr:row>143</xdr:row>
      <xdr:rowOff>123825</xdr:rowOff>
    </xdr:to>
    <xdr:sp macro="" textlink="">
      <xdr:nvSpPr>
        <xdr:cNvPr id="44340882" name="Line 2198">
          <a:extLst>
            <a:ext uri="{FF2B5EF4-FFF2-40B4-BE49-F238E27FC236}">
              <a16:creationId xmlns:a16="http://schemas.microsoft.com/office/drawing/2014/main" id="{00000000-0008-0000-0100-00009296A402}"/>
            </a:ext>
          </a:extLst>
        </xdr:cNvPr>
        <xdr:cNvSpPr>
          <a:spLocks noChangeShapeType="1"/>
        </xdr:cNvSpPr>
      </xdr:nvSpPr>
      <xdr:spPr bwMode="auto">
        <a:xfrm flipV="1">
          <a:off x="29670375" y="23002875"/>
          <a:ext cx="0" cy="276225"/>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73</xdr:col>
      <xdr:colOff>276225</xdr:colOff>
      <xdr:row>142</xdr:row>
      <xdr:rowOff>9525</xdr:rowOff>
    </xdr:from>
    <xdr:to>
      <xdr:col>73</xdr:col>
      <xdr:colOff>276225</xdr:colOff>
      <xdr:row>143</xdr:row>
      <xdr:rowOff>123825</xdr:rowOff>
    </xdr:to>
    <xdr:sp macro="" textlink="">
      <xdr:nvSpPr>
        <xdr:cNvPr id="44340883" name="Line 2198">
          <a:extLst>
            <a:ext uri="{FF2B5EF4-FFF2-40B4-BE49-F238E27FC236}">
              <a16:creationId xmlns:a16="http://schemas.microsoft.com/office/drawing/2014/main" id="{00000000-0008-0000-0100-00009396A402}"/>
            </a:ext>
          </a:extLst>
        </xdr:cNvPr>
        <xdr:cNvSpPr>
          <a:spLocks noChangeShapeType="1"/>
        </xdr:cNvSpPr>
      </xdr:nvSpPr>
      <xdr:spPr bwMode="auto">
        <a:xfrm flipV="1">
          <a:off x="33956625" y="23002875"/>
          <a:ext cx="0" cy="276225"/>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73</xdr:col>
      <xdr:colOff>276225</xdr:colOff>
      <xdr:row>143</xdr:row>
      <xdr:rowOff>104775</xdr:rowOff>
    </xdr:from>
    <xdr:to>
      <xdr:col>73</xdr:col>
      <xdr:colOff>276225</xdr:colOff>
      <xdr:row>145</xdr:row>
      <xdr:rowOff>57150</xdr:rowOff>
    </xdr:to>
    <xdr:sp macro="" textlink="">
      <xdr:nvSpPr>
        <xdr:cNvPr id="44340884" name="Line 2199">
          <a:extLst>
            <a:ext uri="{FF2B5EF4-FFF2-40B4-BE49-F238E27FC236}">
              <a16:creationId xmlns:a16="http://schemas.microsoft.com/office/drawing/2014/main" id="{00000000-0008-0000-0100-00009496A402}"/>
            </a:ext>
          </a:extLst>
        </xdr:cNvPr>
        <xdr:cNvSpPr>
          <a:spLocks noChangeShapeType="1"/>
        </xdr:cNvSpPr>
      </xdr:nvSpPr>
      <xdr:spPr bwMode="auto">
        <a:xfrm>
          <a:off x="33956625" y="23260050"/>
          <a:ext cx="0" cy="276225"/>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79</xdr:col>
      <xdr:colOff>276225</xdr:colOff>
      <xdr:row>142</xdr:row>
      <xdr:rowOff>9525</xdr:rowOff>
    </xdr:from>
    <xdr:to>
      <xdr:col>79</xdr:col>
      <xdr:colOff>276225</xdr:colOff>
      <xdr:row>143</xdr:row>
      <xdr:rowOff>123825</xdr:rowOff>
    </xdr:to>
    <xdr:sp macro="" textlink="">
      <xdr:nvSpPr>
        <xdr:cNvPr id="44340885" name="Line 2198">
          <a:extLst>
            <a:ext uri="{FF2B5EF4-FFF2-40B4-BE49-F238E27FC236}">
              <a16:creationId xmlns:a16="http://schemas.microsoft.com/office/drawing/2014/main" id="{00000000-0008-0000-0100-00009596A402}"/>
            </a:ext>
          </a:extLst>
        </xdr:cNvPr>
        <xdr:cNvSpPr>
          <a:spLocks noChangeShapeType="1"/>
        </xdr:cNvSpPr>
      </xdr:nvSpPr>
      <xdr:spPr bwMode="auto">
        <a:xfrm flipV="1">
          <a:off x="38242875" y="23002875"/>
          <a:ext cx="0" cy="276225"/>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79</xdr:col>
      <xdr:colOff>276225</xdr:colOff>
      <xdr:row>143</xdr:row>
      <xdr:rowOff>104775</xdr:rowOff>
    </xdr:from>
    <xdr:to>
      <xdr:col>79</xdr:col>
      <xdr:colOff>276225</xdr:colOff>
      <xdr:row>145</xdr:row>
      <xdr:rowOff>57150</xdr:rowOff>
    </xdr:to>
    <xdr:sp macro="" textlink="">
      <xdr:nvSpPr>
        <xdr:cNvPr id="44340886" name="Line 2199">
          <a:extLst>
            <a:ext uri="{FF2B5EF4-FFF2-40B4-BE49-F238E27FC236}">
              <a16:creationId xmlns:a16="http://schemas.microsoft.com/office/drawing/2014/main" id="{00000000-0008-0000-0100-00009696A402}"/>
            </a:ext>
          </a:extLst>
        </xdr:cNvPr>
        <xdr:cNvSpPr>
          <a:spLocks noChangeShapeType="1"/>
        </xdr:cNvSpPr>
      </xdr:nvSpPr>
      <xdr:spPr bwMode="auto">
        <a:xfrm>
          <a:off x="38242875" y="23260050"/>
          <a:ext cx="0" cy="276225"/>
        </a:xfrm>
        <a:prstGeom prst="line">
          <a:avLst/>
        </a:prstGeom>
        <a:noFill/>
        <a:ln w="1">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353785</xdr:colOff>
      <xdr:row>79</xdr:row>
      <xdr:rowOff>38111</xdr:rowOff>
    </xdr:from>
    <xdr:to>
      <xdr:col>4</xdr:col>
      <xdr:colOff>295274</xdr:colOff>
      <xdr:row>99</xdr:row>
      <xdr:rowOff>140846</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530678</xdr:colOff>
      <xdr:row>79</xdr:row>
      <xdr:rowOff>10897</xdr:rowOff>
    </xdr:from>
    <xdr:to>
      <xdr:col>12</xdr:col>
      <xdr:colOff>283029</xdr:colOff>
      <xdr:row>100</xdr:row>
      <xdr:rowOff>31989</xdr:rowOff>
    </xdr:to>
    <xdr:graphicFrame macro="">
      <xdr:nvGraphicFramePr>
        <xdr:cNvPr id="6" name="Chart 5">
          <a:extLst>
            <a:ext uri="{FF2B5EF4-FFF2-40B4-BE49-F238E27FC236}">
              <a16:creationId xmlns:a16="http://schemas.microsoft.com/office/drawing/2014/main" id="{00000000-0008-0000-0C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567787</xdr:colOff>
      <xdr:row>102</xdr:row>
      <xdr:rowOff>54194</xdr:rowOff>
    </xdr:from>
    <xdr:to>
      <xdr:col>14</xdr:col>
      <xdr:colOff>388915</xdr:colOff>
      <xdr:row>119</xdr:row>
      <xdr:rowOff>75284</xdr:rowOff>
    </xdr:to>
    <xdr:graphicFrame macro="">
      <xdr:nvGraphicFramePr>
        <xdr:cNvPr id="7" name="Chart 6">
          <a:extLst>
            <a:ext uri="{FF2B5EF4-FFF2-40B4-BE49-F238E27FC236}">
              <a16:creationId xmlns:a16="http://schemas.microsoft.com/office/drawing/2014/main" id="{00000000-0008-0000-0C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408214</xdr:colOff>
      <xdr:row>101</xdr:row>
      <xdr:rowOff>55118</xdr:rowOff>
    </xdr:from>
    <xdr:to>
      <xdr:col>4</xdr:col>
      <xdr:colOff>351064</xdr:colOff>
      <xdr:row>121</xdr:row>
      <xdr:rowOff>4773</xdr:rowOff>
    </xdr:to>
    <xdr:graphicFrame macro="">
      <xdr:nvGraphicFramePr>
        <xdr:cNvPr id="8" name="Chart 7">
          <a:extLst>
            <a:ext uri="{FF2B5EF4-FFF2-40B4-BE49-F238E27FC236}">
              <a16:creationId xmlns:a16="http://schemas.microsoft.com/office/drawing/2014/main" id="{00000000-0008-0000-0C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19</xdr:row>
      <xdr:rowOff>0</xdr:rowOff>
    </xdr:from>
    <xdr:to>
      <xdr:col>5</xdr:col>
      <xdr:colOff>306160</xdr:colOff>
      <xdr:row>45</xdr:row>
      <xdr:rowOff>81643</xdr:rowOff>
    </xdr:to>
    <xdr:graphicFrame macro="">
      <xdr:nvGraphicFramePr>
        <xdr:cNvPr id="23" name="Chart 22">
          <a:extLst>
            <a:ext uri="{FF2B5EF4-FFF2-40B4-BE49-F238E27FC236}">
              <a16:creationId xmlns:a16="http://schemas.microsoft.com/office/drawing/2014/main" id="{00000000-0008-0000-03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212271</xdr:colOff>
      <xdr:row>46</xdr:row>
      <xdr:rowOff>0</xdr:rowOff>
    </xdr:from>
    <xdr:to>
      <xdr:col>5</xdr:col>
      <xdr:colOff>295915</xdr:colOff>
      <xdr:row>72</xdr:row>
      <xdr:rowOff>77244</xdr:rowOff>
    </xdr:to>
    <xdr:graphicFrame macro="">
      <xdr:nvGraphicFramePr>
        <xdr:cNvPr id="27" name="Chart 26">
          <a:extLst>
            <a:ext uri="{FF2B5EF4-FFF2-40B4-BE49-F238E27FC236}">
              <a16:creationId xmlns:a16="http://schemas.microsoft.com/office/drawing/2014/main" id="{00000000-0008-0000-03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95</xdr:row>
      <xdr:rowOff>0</xdr:rowOff>
    </xdr:from>
    <xdr:to>
      <xdr:col>5</xdr:col>
      <xdr:colOff>306160</xdr:colOff>
      <xdr:row>116</xdr:row>
      <xdr:rowOff>89648</xdr:rowOff>
    </xdr:to>
    <xdr:graphicFrame macro="">
      <xdr:nvGraphicFramePr>
        <xdr:cNvPr id="30" name="Chart 29">
          <a:extLst>
            <a:ext uri="{FF2B5EF4-FFF2-40B4-BE49-F238E27FC236}">
              <a16:creationId xmlns:a16="http://schemas.microsoft.com/office/drawing/2014/main" id="{00000000-0008-0000-03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73</xdr:row>
      <xdr:rowOff>0</xdr:rowOff>
    </xdr:from>
    <xdr:to>
      <xdr:col>5</xdr:col>
      <xdr:colOff>306160</xdr:colOff>
      <xdr:row>94</xdr:row>
      <xdr:rowOff>78929</xdr:rowOff>
    </xdr:to>
    <xdr:graphicFrame macro="">
      <xdr:nvGraphicFramePr>
        <xdr:cNvPr id="31" name="Chart 30">
          <a:extLst>
            <a:ext uri="{FF2B5EF4-FFF2-40B4-BE49-F238E27FC236}">
              <a16:creationId xmlns:a16="http://schemas.microsoft.com/office/drawing/2014/main" id="{00000000-0008-0000-03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117</xdr:row>
      <xdr:rowOff>0</xdr:rowOff>
    </xdr:from>
    <xdr:to>
      <xdr:col>5</xdr:col>
      <xdr:colOff>306160</xdr:colOff>
      <xdr:row>138</xdr:row>
      <xdr:rowOff>78441</xdr:rowOff>
    </xdr:to>
    <xdr:graphicFrame macro="">
      <xdr:nvGraphicFramePr>
        <xdr:cNvPr id="32" name="Chart 31">
          <a:extLst>
            <a:ext uri="{FF2B5EF4-FFF2-40B4-BE49-F238E27FC236}">
              <a16:creationId xmlns:a16="http://schemas.microsoft.com/office/drawing/2014/main" id="{00000000-0008-0000-03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153</xdr:col>
      <xdr:colOff>0</xdr:colOff>
      <xdr:row>122</xdr:row>
      <xdr:rowOff>0</xdr:rowOff>
    </xdr:from>
    <xdr:to>
      <xdr:col>162</xdr:col>
      <xdr:colOff>152725</xdr:colOff>
      <xdr:row>156</xdr:row>
      <xdr:rowOff>1640</xdr:rowOff>
    </xdr:to>
    <xdr:graphicFrame macro="">
      <xdr:nvGraphicFramePr>
        <xdr:cNvPr id="33" name="Chart 32">
          <a:extLst>
            <a:ext uri="{FF2B5EF4-FFF2-40B4-BE49-F238E27FC236}">
              <a16:creationId xmlns:a16="http://schemas.microsoft.com/office/drawing/2014/main" id="{00000000-0008-0000-03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304800</xdr:colOff>
      <xdr:row>25</xdr:row>
      <xdr:rowOff>104775</xdr:rowOff>
    </xdr:from>
    <xdr:to>
      <xdr:col>22</xdr:col>
      <xdr:colOff>0</xdr:colOff>
      <xdr:row>42</xdr:row>
      <xdr:rowOff>95250</xdr:rowOff>
    </xdr:to>
    <xdr:graphicFrame macro="">
      <xdr:nvGraphicFramePr>
        <xdr:cNvPr id="41975790" name="Chart 13">
          <a:extLst>
            <a:ext uri="{FF2B5EF4-FFF2-40B4-BE49-F238E27FC236}">
              <a16:creationId xmlns:a16="http://schemas.microsoft.com/office/drawing/2014/main" id="{00000000-0008-0000-0D00-0000EE7F8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161925</xdr:colOff>
      <xdr:row>3</xdr:row>
      <xdr:rowOff>123825</xdr:rowOff>
    </xdr:from>
    <xdr:to>
      <xdr:col>42</xdr:col>
      <xdr:colOff>257175</xdr:colOff>
      <xdr:row>19</xdr:row>
      <xdr:rowOff>123825</xdr:rowOff>
    </xdr:to>
    <xdr:graphicFrame macro="">
      <xdr:nvGraphicFramePr>
        <xdr:cNvPr id="41975791" name="Chart 17">
          <a:extLst>
            <a:ext uri="{FF2B5EF4-FFF2-40B4-BE49-F238E27FC236}">
              <a16:creationId xmlns:a16="http://schemas.microsoft.com/office/drawing/2014/main" id="{00000000-0008-0000-0D00-0000EF7F8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43</xdr:col>
      <xdr:colOff>209550</xdr:colOff>
      <xdr:row>3</xdr:row>
      <xdr:rowOff>95250</xdr:rowOff>
    </xdr:from>
    <xdr:to>
      <xdr:col>50</xdr:col>
      <xdr:colOff>514350</xdr:colOff>
      <xdr:row>20</xdr:row>
      <xdr:rowOff>85725</xdr:rowOff>
    </xdr:to>
    <xdr:graphicFrame macro="">
      <xdr:nvGraphicFramePr>
        <xdr:cNvPr id="41975792" name="Chart 18">
          <a:extLst>
            <a:ext uri="{FF2B5EF4-FFF2-40B4-BE49-F238E27FC236}">
              <a16:creationId xmlns:a16="http://schemas.microsoft.com/office/drawing/2014/main" id="{00000000-0008-0000-0D00-0000F07F8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228600</xdr:colOff>
      <xdr:row>23</xdr:row>
      <xdr:rowOff>95250</xdr:rowOff>
    </xdr:from>
    <xdr:to>
      <xdr:col>42</xdr:col>
      <xdr:colOff>304800</xdr:colOff>
      <xdr:row>40</xdr:row>
      <xdr:rowOff>28575</xdr:rowOff>
    </xdr:to>
    <xdr:graphicFrame macro="">
      <xdr:nvGraphicFramePr>
        <xdr:cNvPr id="41975793" name="Chart 23">
          <a:extLst>
            <a:ext uri="{FF2B5EF4-FFF2-40B4-BE49-F238E27FC236}">
              <a16:creationId xmlns:a16="http://schemas.microsoft.com/office/drawing/2014/main" id="{00000000-0008-0000-0D00-0000F17F8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209550</xdr:colOff>
      <xdr:row>45</xdr:row>
      <xdr:rowOff>66675</xdr:rowOff>
    </xdr:from>
    <xdr:to>
      <xdr:col>42</xdr:col>
      <xdr:colOff>295275</xdr:colOff>
      <xdr:row>62</xdr:row>
      <xdr:rowOff>38100</xdr:rowOff>
    </xdr:to>
    <xdr:graphicFrame macro="">
      <xdr:nvGraphicFramePr>
        <xdr:cNvPr id="41975794" name="Chart 25">
          <a:extLst>
            <a:ext uri="{FF2B5EF4-FFF2-40B4-BE49-F238E27FC236}">
              <a16:creationId xmlns:a16="http://schemas.microsoft.com/office/drawing/2014/main" id="{00000000-0008-0000-0D00-0000F27F8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247650</xdr:colOff>
      <xdr:row>24</xdr:row>
      <xdr:rowOff>47625</xdr:rowOff>
    </xdr:from>
    <xdr:to>
      <xdr:col>50</xdr:col>
      <xdr:colOff>457200</xdr:colOff>
      <xdr:row>40</xdr:row>
      <xdr:rowOff>123825</xdr:rowOff>
    </xdr:to>
    <xdr:graphicFrame macro="">
      <xdr:nvGraphicFramePr>
        <xdr:cNvPr id="41975795" name="Chart 27">
          <a:extLst>
            <a:ext uri="{FF2B5EF4-FFF2-40B4-BE49-F238E27FC236}">
              <a16:creationId xmlns:a16="http://schemas.microsoft.com/office/drawing/2014/main" id="{00000000-0008-0000-0D00-0000F37F8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285750</xdr:colOff>
      <xdr:row>45</xdr:row>
      <xdr:rowOff>142875</xdr:rowOff>
    </xdr:from>
    <xdr:to>
      <xdr:col>50</xdr:col>
      <xdr:colOff>590550</xdr:colOff>
      <xdr:row>62</xdr:row>
      <xdr:rowOff>133350</xdr:rowOff>
    </xdr:to>
    <xdr:graphicFrame macro="">
      <xdr:nvGraphicFramePr>
        <xdr:cNvPr id="41975796" name="Chart 28">
          <a:extLst>
            <a:ext uri="{FF2B5EF4-FFF2-40B4-BE49-F238E27FC236}">
              <a16:creationId xmlns:a16="http://schemas.microsoft.com/office/drawing/2014/main" id="{00000000-0008-0000-0D00-0000F47F8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180975</xdr:colOff>
      <xdr:row>3</xdr:row>
      <xdr:rowOff>85725</xdr:rowOff>
    </xdr:from>
    <xdr:to>
      <xdr:col>29</xdr:col>
      <xdr:colOff>438150</xdr:colOff>
      <xdr:row>19</xdr:row>
      <xdr:rowOff>133350</xdr:rowOff>
    </xdr:to>
    <xdr:graphicFrame macro="">
      <xdr:nvGraphicFramePr>
        <xdr:cNvPr id="41975797" name="Chart 1">
          <a:extLst>
            <a:ext uri="{FF2B5EF4-FFF2-40B4-BE49-F238E27FC236}">
              <a16:creationId xmlns:a16="http://schemas.microsoft.com/office/drawing/2014/main" id="{00000000-0008-0000-0D00-0000F57F8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180975</xdr:colOff>
      <xdr:row>22</xdr:row>
      <xdr:rowOff>85725</xdr:rowOff>
    </xdr:from>
    <xdr:to>
      <xdr:col>29</xdr:col>
      <xdr:colOff>276225</xdr:colOff>
      <xdr:row>39</xdr:row>
      <xdr:rowOff>57150</xdr:rowOff>
    </xdr:to>
    <xdr:graphicFrame macro="">
      <xdr:nvGraphicFramePr>
        <xdr:cNvPr id="41975798" name="Chart 2">
          <a:extLst>
            <a:ext uri="{FF2B5EF4-FFF2-40B4-BE49-F238E27FC236}">
              <a16:creationId xmlns:a16="http://schemas.microsoft.com/office/drawing/2014/main" id="{00000000-0008-0000-0D00-0000F67F8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152400</xdr:colOff>
      <xdr:row>42</xdr:row>
      <xdr:rowOff>152400</xdr:rowOff>
    </xdr:from>
    <xdr:to>
      <xdr:col>29</xdr:col>
      <xdr:colOff>457200</xdr:colOff>
      <xdr:row>59</xdr:row>
      <xdr:rowOff>142875</xdr:rowOff>
    </xdr:to>
    <xdr:graphicFrame macro="">
      <xdr:nvGraphicFramePr>
        <xdr:cNvPr id="41975799" name="Chart 3">
          <a:extLst>
            <a:ext uri="{FF2B5EF4-FFF2-40B4-BE49-F238E27FC236}">
              <a16:creationId xmlns:a16="http://schemas.microsoft.com/office/drawing/2014/main" id="{00000000-0008-0000-0D00-0000F77F8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114300</xdr:colOff>
      <xdr:row>72</xdr:row>
      <xdr:rowOff>85725</xdr:rowOff>
    </xdr:from>
    <xdr:to>
      <xdr:col>18</xdr:col>
      <xdr:colOff>38100</xdr:colOff>
      <xdr:row>83</xdr:row>
      <xdr:rowOff>123825</xdr:rowOff>
    </xdr:to>
    <xdr:graphicFrame macro="">
      <xdr:nvGraphicFramePr>
        <xdr:cNvPr id="41975800" name="Chart 1">
          <a:extLst>
            <a:ext uri="{FF2B5EF4-FFF2-40B4-BE49-F238E27FC236}">
              <a16:creationId xmlns:a16="http://schemas.microsoft.com/office/drawing/2014/main" id="{00000000-0008-0000-0D00-0000F87F8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76200</xdr:colOff>
      <xdr:row>72</xdr:row>
      <xdr:rowOff>85725</xdr:rowOff>
    </xdr:from>
    <xdr:to>
      <xdr:col>22</xdr:col>
      <xdr:colOff>104775</xdr:colOff>
      <xdr:row>83</xdr:row>
      <xdr:rowOff>66675</xdr:rowOff>
    </xdr:to>
    <xdr:graphicFrame macro="">
      <xdr:nvGraphicFramePr>
        <xdr:cNvPr id="41975801" name="Chart 2">
          <a:extLst>
            <a:ext uri="{FF2B5EF4-FFF2-40B4-BE49-F238E27FC236}">
              <a16:creationId xmlns:a16="http://schemas.microsoft.com/office/drawing/2014/main" id="{00000000-0008-0000-0D00-0000F97F8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123825</xdr:colOff>
      <xdr:row>83</xdr:row>
      <xdr:rowOff>152400</xdr:rowOff>
    </xdr:from>
    <xdr:to>
      <xdr:col>18</xdr:col>
      <xdr:colOff>76200</xdr:colOff>
      <xdr:row>94</xdr:row>
      <xdr:rowOff>114300</xdr:rowOff>
    </xdr:to>
    <xdr:graphicFrame macro="">
      <xdr:nvGraphicFramePr>
        <xdr:cNvPr id="41975802" name="Chart 3">
          <a:extLst>
            <a:ext uri="{FF2B5EF4-FFF2-40B4-BE49-F238E27FC236}">
              <a16:creationId xmlns:a16="http://schemas.microsoft.com/office/drawing/2014/main" id="{00000000-0008-0000-0D00-0000FA7F8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228600</xdr:colOff>
      <xdr:row>71</xdr:row>
      <xdr:rowOff>114300</xdr:rowOff>
    </xdr:from>
    <xdr:to>
      <xdr:col>26</xdr:col>
      <xdr:colOff>295275</xdr:colOff>
      <xdr:row>82</xdr:row>
      <xdr:rowOff>57150</xdr:rowOff>
    </xdr:to>
    <xdr:graphicFrame macro="">
      <xdr:nvGraphicFramePr>
        <xdr:cNvPr id="41975803" name="Chart 5">
          <a:extLst>
            <a:ext uri="{FF2B5EF4-FFF2-40B4-BE49-F238E27FC236}">
              <a16:creationId xmlns:a16="http://schemas.microsoft.com/office/drawing/2014/main" id="{00000000-0008-0000-0D00-0000FB7F8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26</xdr:col>
      <xdr:colOff>371475</xdr:colOff>
      <xdr:row>71</xdr:row>
      <xdr:rowOff>123825</xdr:rowOff>
    </xdr:from>
    <xdr:to>
      <xdr:col>30</xdr:col>
      <xdr:colOff>295275</xdr:colOff>
      <xdr:row>82</xdr:row>
      <xdr:rowOff>57150</xdr:rowOff>
    </xdr:to>
    <xdr:graphicFrame macro="">
      <xdr:nvGraphicFramePr>
        <xdr:cNvPr id="41975804" name="Chart 6">
          <a:extLst>
            <a:ext uri="{FF2B5EF4-FFF2-40B4-BE49-F238E27FC236}">
              <a16:creationId xmlns:a16="http://schemas.microsoft.com/office/drawing/2014/main" id="{00000000-0008-0000-0D00-0000FC7F8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238125</xdr:colOff>
      <xdr:row>82</xdr:row>
      <xdr:rowOff>95250</xdr:rowOff>
    </xdr:from>
    <xdr:to>
      <xdr:col>26</xdr:col>
      <xdr:colOff>314325</xdr:colOff>
      <xdr:row>93</xdr:row>
      <xdr:rowOff>104775</xdr:rowOff>
    </xdr:to>
    <xdr:graphicFrame macro="">
      <xdr:nvGraphicFramePr>
        <xdr:cNvPr id="41975805" name="Chart 7">
          <a:extLst>
            <a:ext uri="{FF2B5EF4-FFF2-40B4-BE49-F238E27FC236}">
              <a16:creationId xmlns:a16="http://schemas.microsoft.com/office/drawing/2014/main" id="{00000000-0008-0000-0D00-0000FD7F8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31</xdr:col>
      <xdr:colOff>0</xdr:colOff>
      <xdr:row>67</xdr:row>
      <xdr:rowOff>133350</xdr:rowOff>
    </xdr:from>
    <xdr:to>
      <xdr:col>34</xdr:col>
      <xdr:colOff>266700</xdr:colOff>
      <xdr:row>77</xdr:row>
      <xdr:rowOff>28575</xdr:rowOff>
    </xdr:to>
    <xdr:graphicFrame macro="">
      <xdr:nvGraphicFramePr>
        <xdr:cNvPr id="41975806" name="Chart 9">
          <a:extLst>
            <a:ext uri="{FF2B5EF4-FFF2-40B4-BE49-F238E27FC236}">
              <a16:creationId xmlns:a16="http://schemas.microsoft.com/office/drawing/2014/main" id="{00000000-0008-0000-0D00-0000FE7F8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34</xdr:col>
      <xdr:colOff>323850</xdr:colOff>
      <xdr:row>67</xdr:row>
      <xdr:rowOff>123825</xdr:rowOff>
    </xdr:from>
    <xdr:to>
      <xdr:col>37</xdr:col>
      <xdr:colOff>504825</xdr:colOff>
      <xdr:row>77</xdr:row>
      <xdr:rowOff>19050</xdr:rowOff>
    </xdr:to>
    <xdr:graphicFrame macro="">
      <xdr:nvGraphicFramePr>
        <xdr:cNvPr id="41975807" name="Chart 10">
          <a:extLst>
            <a:ext uri="{FF2B5EF4-FFF2-40B4-BE49-F238E27FC236}">
              <a16:creationId xmlns:a16="http://schemas.microsoft.com/office/drawing/2014/main" id="{00000000-0008-0000-0D00-0000FF7F8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31</xdr:col>
      <xdr:colOff>19050</xdr:colOff>
      <xdr:row>77</xdr:row>
      <xdr:rowOff>76200</xdr:rowOff>
    </xdr:from>
    <xdr:to>
      <xdr:col>34</xdr:col>
      <xdr:colOff>276225</xdr:colOff>
      <xdr:row>86</xdr:row>
      <xdr:rowOff>76200</xdr:rowOff>
    </xdr:to>
    <xdr:graphicFrame macro="">
      <xdr:nvGraphicFramePr>
        <xdr:cNvPr id="44504064" name="Chart 11">
          <a:extLst>
            <a:ext uri="{FF2B5EF4-FFF2-40B4-BE49-F238E27FC236}">
              <a16:creationId xmlns:a16="http://schemas.microsoft.com/office/drawing/2014/main" id="{00000000-0008-0000-0D00-00000014A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34</xdr:col>
      <xdr:colOff>352425</xdr:colOff>
      <xdr:row>77</xdr:row>
      <xdr:rowOff>76200</xdr:rowOff>
    </xdr:from>
    <xdr:to>
      <xdr:col>37</xdr:col>
      <xdr:colOff>495300</xdr:colOff>
      <xdr:row>86</xdr:row>
      <xdr:rowOff>76200</xdr:rowOff>
    </xdr:to>
    <xdr:graphicFrame macro="">
      <xdr:nvGraphicFramePr>
        <xdr:cNvPr id="44504065" name="Chart 12">
          <a:extLst>
            <a:ext uri="{FF2B5EF4-FFF2-40B4-BE49-F238E27FC236}">
              <a16:creationId xmlns:a16="http://schemas.microsoft.com/office/drawing/2014/main" id="{00000000-0008-0000-0D00-00000114A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41</xdr:col>
      <xdr:colOff>695325</xdr:colOff>
      <xdr:row>70</xdr:row>
      <xdr:rowOff>19050</xdr:rowOff>
    </xdr:from>
    <xdr:to>
      <xdr:col>45</xdr:col>
      <xdr:colOff>190500</xdr:colOff>
      <xdr:row>79</xdr:row>
      <xdr:rowOff>28575</xdr:rowOff>
    </xdr:to>
    <xdr:graphicFrame macro="">
      <xdr:nvGraphicFramePr>
        <xdr:cNvPr id="44504066" name="Chart 14">
          <a:extLst>
            <a:ext uri="{FF2B5EF4-FFF2-40B4-BE49-F238E27FC236}">
              <a16:creationId xmlns:a16="http://schemas.microsoft.com/office/drawing/2014/main" id="{00000000-0008-0000-0D00-00000214A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45</xdr:col>
      <xdr:colOff>228600</xdr:colOff>
      <xdr:row>69</xdr:row>
      <xdr:rowOff>161925</xdr:rowOff>
    </xdr:from>
    <xdr:to>
      <xdr:col>48</xdr:col>
      <xdr:colOff>419100</xdr:colOff>
      <xdr:row>79</xdr:row>
      <xdr:rowOff>38100</xdr:rowOff>
    </xdr:to>
    <xdr:graphicFrame macro="">
      <xdr:nvGraphicFramePr>
        <xdr:cNvPr id="44504067" name="Chart 15">
          <a:extLst>
            <a:ext uri="{FF2B5EF4-FFF2-40B4-BE49-F238E27FC236}">
              <a16:creationId xmlns:a16="http://schemas.microsoft.com/office/drawing/2014/main" id="{00000000-0008-0000-0D00-00000314A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42</xdr:col>
      <xdr:colOff>9525</xdr:colOff>
      <xdr:row>79</xdr:row>
      <xdr:rowOff>66675</xdr:rowOff>
    </xdr:from>
    <xdr:to>
      <xdr:col>45</xdr:col>
      <xdr:colOff>209550</xdr:colOff>
      <xdr:row>88</xdr:row>
      <xdr:rowOff>114300</xdr:rowOff>
    </xdr:to>
    <xdr:graphicFrame macro="">
      <xdr:nvGraphicFramePr>
        <xdr:cNvPr id="44504068" name="Chart 16">
          <a:extLst>
            <a:ext uri="{FF2B5EF4-FFF2-40B4-BE49-F238E27FC236}">
              <a16:creationId xmlns:a16="http://schemas.microsoft.com/office/drawing/2014/main" id="{00000000-0008-0000-0D00-00000414A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45</xdr:col>
      <xdr:colOff>228600</xdr:colOff>
      <xdr:row>79</xdr:row>
      <xdr:rowOff>66675</xdr:rowOff>
    </xdr:from>
    <xdr:to>
      <xdr:col>48</xdr:col>
      <xdr:colOff>419100</xdr:colOff>
      <xdr:row>88</xdr:row>
      <xdr:rowOff>76200</xdr:rowOff>
    </xdr:to>
    <xdr:graphicFrame macro="">
      <xdr:nvGraphicFramePr>
        <xdr:cNvPr id="44504069" name="Chart 17">
          <a:extLst>
            <a:ext uri="{FF2B5EF4-FFF2-40B4-BE49-F238E27FC236}">
              <a16:creationId xmlns:a16="http://schemas.microsoft.com/office/drawing/2014/main" id="{00000000-0008-0000-0D00-00000514A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31</xdr:col>
      <xdr:colOff>28575</xdr:colOff>
      <xdr:row>92</xdr:row>
      <xdr:rowOff>142875</xdr:rowOff>
    </xdr:from>
    <xdr:to>
      <xdr:col>34</xdr:col>
      <xdr:colOff>428625</xdr:colOff>
      <xdr:row>103</xdr:row>
      <xdr:rowOff>28575</xdr:rowOff>
    </xdr:to>
    <xdr:graphicFrame macro="">
      <xdr:nvGraphicFramePr>
        <xdr:cNvPr id="44504070" name="Chart 18">
          <a:extLst>
            <a:ext uri="{FF2B5EF4-FFF2-40B4-BE49-F238E27FC236}">
              <a16:creationId xmlns:a16="http://schemas.microsoft.com/office/drawing/2014/main" id="{00000000-0008-0000-0D00-00000614A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34</xdr:col>
      <xdr:colOff>466725</xdr:colOff>
      <xdr:row>92</xdr:row>
      <xdr:rowOff>142875</xdr:rowOff>
    </xdr:from>
    <xdr:to>
      <xdr:col>38</xdr:col>
      <xdr:colOff>209550</xdr:colOff>
      <xdr:row>103</xdr:row>
      <xdr:rowOff>19050</xdr:rowOff>
    </xdr:to>
    <xdr:graphicFrame macro="">
      <xdr:nvGraphicFramePr>
        <xdr:cNvPr id="44504071" name="Chart 19">
          <a:extLst>
            <a:ext uri="{FF2B5EF4-FFF2-40B4-BE49-F238E27FC236}">
              <a16:creationId xmlns:a16="http://schemas.microsoft.com/office/drawing/2014/main" id="{00000000-0008-0000-0D00-00000714A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31</xdr:col>
      <xdr:colOff>9525</xdr:colOff>
      <xdr:row>103</xdr:row>
      <xdr:rowOff>85725</xdr:rowOff>
    </xdr:from>
    <xdr:to>
      <xdr:col>34</xdr:col>
      <xdr:colOff>438150</xdr:colOff>
      <xdr:row>114</xdr:row>
      <xdr:rowOff>95250</xdr:rowOff>
    </xdr:to>
    <xdr:graphicFrame macro="">
      <xdr:nvGraphicFramePr>
        <xdr:cNvPr id="44504072" name="Chart 20">
          <a:extLst>
            <a:ext uri="{FF2B5EF4-FFF2-40B4-BE49-F238E27FC236}">
              <a16:creationId xmlns:a16="http://schemas.microsoft.com/office/drawing/2014/main" id="{00000000-0008-0000-0D00-00000814A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34</xdr:col>
      <xdr:colOff>495300</xdr:colOff>
      <xdr:row>103</xdr:row>
      <xdr:rowOff>76200</xdr:rowOff>
    </xdr:from>
    <xdr:to>
      <xdr:col>38</xdr:col>
      <xdr:colOff>180975</xdr:colOff>
      <xdr:row>114</xdr:row>
      <xdr:rowOff>104775</xdr:rowOff>
    </xdr:to>
    <xdr:graphicFrame macro="">
      <xdr:nvGraphicFramePr>
        <xdr:cNvPr id="44504073" name="Chart 21">
          <a:extLst>
            <a:ext uri="{FF2B5EF4-FFF2-40B4-BE49-F238E27FC236}">
              <a16:creationId xmlns:a16="http://schemas.microsoft.com/office/drawing/2014/main" id="{00000000-0008-0000-0D00-00000914A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14</xdr:col>
      <xdr:colOff>304800</xdr:colOff>
      <xdr:row>45</xdr:row>
      <xdr:rowOff>123825</xdr:rowOff>
    </xdr:from>
    <xdr:to>
      <xdr:col>22</xdr:col>
      <xdr:colOff>0</xdr:colOff>
      <xdr:row>62</xdr:row>
      <xdr:rowOff>114300</xdr:rowOff>
    </xdr:to>
    <xdr:graphicFrame macro="">
      <xdr:nvGraphicFramePr>
        <xdr:cNvPr id="44504074" name="Γράφημα 2">
          <a:extLst>
            <a:ext uri="{FF2B5EF4-FFF2-40B4-BE49-F238E27FC236}">
              <a16:creationId xmlns:a16="http://schemas.microsoft.com/office/drawing/2014/main" id="{00000000-0008-0000-0D00-00000A14A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0"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0"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joris.quik@rivm.nl" TargetMode="External"/><Relationship Id="rId1" Type="http://schemas.openxmlformats.org/officeDocument/2006/relationships/hyperlink" Target="http://www.rivm.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printerSettings" Target="../printerSettings/printerSettings7.bin"/><Relationship Id="rId7" Type="http://schemas.openxmlformats.org/officeDocument/2006/relationships/printerSettings" Target="../printerSettings/printerSettings11.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printerSettings" Target="../printerSettings/printerSettings10.bin"/><Relationship Id="rId5" Type="http://schemas.openxmlformats.org/officeDocument/2006/relationships/printerSettings" Target="../printerSettings/printerSettings9.bin"/><Relationship Id="rId4" Type="http://schemas.openxmlformats.org/officeDocument/2006/relationships/printerSettings" Target="../printerSettings/printerSettings8.bin"/><Relationship Id="rId9" Type="http://schemas.openxmlformats.org/officeDocument/2006/relationships/comments" Target="../comments2.xml"/></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printerSettings" Target="../printerSettings/printerSettings14.bin"/><Relationship Id="rId7" Type="http://schemas.openxmlformats.org/officeDocument/2006/relationships/printerSettings" Target="../printerSettings/printerSettings18.bin"/><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 Id="rId6" Type="http://schemas.openxmlformats.org/officeDocument/2006/relationships/printerSettings" Target="../printerSettings/printerSettings17.bin"/><Relationship Id="rId5" Type="http://schemas.openxmlformats.org/officeDocument/2006/relationships/printerSettings" Target="../printerSettings/printerSettings16.bin"/><Relationship Id="rId4" Type="http://schemas.openxmlformats.org/officeDocument/2006/relationships/printerSettings" Target="../printerSettings/printerSettings15.bin"/><Relationship Id="rId9" Type="http://schemas.openxmlformats.org/officeDocument/2006/relationships/comments" Target="../comments3.xml"/></Relationships>
</file>

<file path=xl/worksheets/_rels/sheet7.xml.rels><?xml version="1.0" encoding="UTF-8" standalone="yes"?>
<Relationships xmlns="http://schemas.openxmlformats.org/package/2006/relationships"><Relationship Id="rId8" Type="http://schemas.openxmlformats.org/officeDocument/2006/relationships/vmlDrawing" Target="../drawings/vmlDrawing4.vml"/><Relationship Id="rId3" Type="http://schemas.openxmlformats.org/officeDocument/2006/relationships/printerSettings" Target="../printerSettings/printerSettings21.bin"/><Relationship Id="rId7" Type="http://schemas.openxmlformats.org/officeDocument/2006/relationships/printerSettings" Target="../printerSettings/printerSettings25.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6" Type="http://schemas.openxmlformats.org/officeDocument/2006/relationships/printerSettings" Target="../printerSettings/printerSettings24.bin"/><Relationship Id="rId5" Type="http://schemas.openxmlformats.org/officeDocument/2006/relationships/printerSettings" Target="../printerSettings/printerSettings23.bin"/><Relationship Id="rId4" Type="http://schemas.openxmlformats.org/officeDocument/2006/relationships/printerSettings" Target="../printerSettings/printerSettings22.bin"/><Relationship Id="rId9" Type="http://schemas.openxmlformats.org/officeDocument/2006/relationships/comments" Target="../comments4.xml"/></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33.bin"/><Relationship Id="rId13" Type="http://schemas.openxmlformats.org/officeDocument/2006/relationships/printerSettings" Target="../printerSettings/printerSettings38.bin"/><Relationship Id="rId3" Type="http://schemas.openxmlformats.org/officeDocument/2006/relationships/printerSettings" Target="../printerSettings/printerSettings28.bin"/><Relationship Id="rId7" Type="http://schemas.openxmlformats.org/officeDocument/2006/relationships/printerSettings" Target="../printerSettings/printerSettings32.bin"/><Relationship Id="rId12" Type="http://schemas.openxmlformats.org/officeDocument/2006/relationships/printerSettings" Target="../printerSettings/printerSettings37.bin"/><Relationship Id="rId17" Type="http://schemas.openxmlformats.org/officeDocument/2006/relationships/printerSettings" Target="../printerSettings/printerSettings42.bin"/><Relationship Id="rId2" Type="http://schemas.openxmlformats.org/officeDocument/2006/relationships/printerSettings" Target="../printerSettings/printerSettings27.bin"/><Relationship Id="rId16" Type="http://schemas.openxmlformats.org/officeDocument/2006/relationships/printerSettings" Target="../printerSettings/printerSettings41.bin"/><Relationship Id="rId1" Type="http://schemas.openxmlformats.org/officeDocument/2006/relationships/printerSettings" Target="../printerSettings/printerSettings26.bin"/><Relationship Id="rId6" Type="http://schemas.openxmlformats.org/officeDocument/2006/relationships/printerSettings" Target="../printerSettings/printerSettings31.bin"/><Relationship Id="rId11" Type="http://schemas.openxmlformats.org/officeDocument/2006/relationships/printerSettings" Target="../printerSettings/printerSettings36.bin"/><Relationship Id="rId5" Type="http://schemas.openxmlformats.org/officeDocument/2006/relationships/printerSettings" Target="../printerSettings/printerSettings30.bin"/><Relationship Id="rId15" Type="http://schemas.openxmlformats.org/officeDocument/2006/relationships/printerSettings" Target="../printerSettings/printerSettings40.bin"/><Relationship Id="rId10" Type="http://schemas.openxmlformats.org/officeDocument/2006/relationships/printerSettings" Target="../printerSettings/printerSettings35.bin"/><Relationship Id="rId4" Type="http://schemas.openxmlformats.org/officeDocument/2006/relationships/printerSettings" Target="../printerSettings/printerSettings29.bin"/><Relationship Id="rId9" Type="http://schemas.openxmlformats.org/officeDocument/2006/relationships/printerSettings" Target="../printerSettings/printerSettings34.bin"/><Relationship Id="rId14" Type="http://schemas.openxmlformats.org/officeDocument/2006/relationships/printerSettings" Target="../printerSettings/printerSettings39.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3.bin"/><Relationship Id="rId1" Type="http://schemas.openxmlformats.org/officeDocument/2006/relationships/hyperlink" Target="https://github.com/rivm-syso/SimpleBo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2:W164"/>
  <sheetViews>
    <sheetView tabSelected="1" zoomScaleNormal="100" workbookViewId="0"/>
  </sheetViews>
  <sheetFormatPr defaultColWidth="9.109375" defaultRowHeight="12.75" customHeight="1" x14ac:dyDescent="0.3"/>
  <cols>
    <col min="1" max="1" width="3.5546875" style="2" customWidth="1" collapsed="1"/>
    <col min="2" max="2" width="15.6640625" style="2" customWidth="1" collapsed="1"/>
    <col min="3" max="3" width="10.88671875" style="2" customWidth="1" collapsed="1"/>
    <col min="4" max="16" width="11.6640625" style="2" customWidth="1" collapsed="1"/>
    <col min="17" max="16384" width="9.109375" style="2" collapsed="1"/>
  </cols>
  <sheetData>
    <row r="2" spans="2:23" ht="12.75" customHeight="1" x14ac:dyDescent="0.3">
      <c r="B2" s="1" t="s">
        <v>4631</v>
      </c>
    </row>
    <row r="3" spans="2:23" ht="12.75" customHeight="1" x14ac:dyDescent="0.3">
      <c r="B3" s="538" t="str">
        <f>C26</f>
        <v>vs 4.04-plastic</v>
      </c>
      <c r="C3" s="539">
        <f>B26</f>
        <v>45387</v>
      </c>
      <c r="E3" s="15"/>
      <c r="F3" s="3"/>
    </row>
    <row r="4" spans="2:23" ht="12.75" customHeight="1" x14ac:dyDescent="0.3">
      <c r="B4" s="540" t="s">
        <v>0</v>
      </c>
      <c r="C4" s="232"/>
    </row>
    <row r="5" spans="2:23" ht="12.75" customHeight="1" x14ac:dyDescent="0.3">
      <c r="B5" s="5"/>
      <c r="C5" s="207"/>
      <c r="D5" s="207"/>
      <c r="E5" s="207"/>
      <c r="F5" s="207"/>
      <c r="G5" s="207"/>
      <c r="H5" s="207"/>
      <c r="I5" s="207"/>
      <c r="J5" s="207"/>
      <c r="K5" s="207"/>
      <c r="L5" s="207"/>
      <c r="M5" s="207"/>
      <c r="N5" s="207"/>
      <c r="O5" s="207"/>
      <c r="P5" s="207"/>
      <c r="Q5" s="207"/>
      <c r="R5" s="207"/>
      <c r="S5" s="207"/>
      <c r="T5" s="207"/>
      <c r="U5" s="207"/>
      <c r="V5" s="207"/>
      <c r="W5" s="207"/>
    </row>
    <row r="6" spans="2:23" ht="12.75" customHeight="1" x14ac:dyDescent="0.3">
      <c r="B6" s="3" t="s">
        <v>1</v>
      </c>
      <c r="C6" s="207"/>
      <c r="D6" s="207"/>
      <c r="E6" s="207"/>
      <c r="F6" s="207"/>
      <c r="G6" s="207"/>
      <c r="H6" s="207"/>
      <c r="I6" s="207"/>
      <c r="J6" s="207"/>
      <c r="K6" s="207"/>
      <c r="L6" s="207"/>
      <c r="M6" s="207"/>
      <c r="N6" s="207"/>
      <c r="O6" s="221"/>
      <c r="P6" s="207"/>
      <c r="Q6" s="207"/>
      <c r="R6" s="207"/>
      <c r="S6" s="207"/>
      <c r="T6" s="207"/>
      <c r="U6" s="207"/>
      <c r="V6" s="207"/>
      <c r="W6" s="207"/>
    </row>
    <row r="7" spans="2:23" ht="12.75" customHeight="1" x14ac:dyDescent="0.3">
      <c r="B7" s="16" t="s">
        <v>2</v>
      </c>
      <c r="D7" s="211"/>
      <c r="E7" s="207"/>
      <c r="F7" s="207"/>
      <c r="G7" s="207"/>
      <c r="H7" s="207"/>
      <c r="I7" s="207"/>
      <c r="J7" s="207"/>
      <c r="K7" s="207"/>
      <c r="L7" s="207"/>
      <c r="M7" s="207"/>
      <c r="N7" s="207"/>
      <c r="O7" s="207"/>
      <c r="P7" s="207"/>
      <c r="Q7" s="207"/>
      <c r="R7" s="207"/>
      <c r="S7" s="207"/>
      <c r="T7" s="207"/>
      <c r="U7" s="207"/>
      <c r="V7" s="207"/>
      <c r="W7" s="207"/>
    </row>
    <row r="8" spans="2:23" ht="12.75" customHeight="1" x14ac:dyDescent="0.3">
      <c r="B8" s="2" t="s">
        <v>3</v>
      </c>
      <c r="O8" s="221"/>
    </row>
    <row r="9" spans="2:23" ht="12.75" customHeight="1" x14ac:dyDescent="0.3">
      <c r="B9" s="2" t="s">
        <v>4</v>
      </c>
      <c r="O9" s="221"/>
    </row>
    <row r="10" spans="2:23" ht="12.75" customHeight="1" x14ac:dyDescent="0.3">
      <c r="B10" s="545" t="s">
        <v>5</v>
      </c>
      <c r="D10" s="540"/>
      <c r="O10" s="221"/>
    </row>
    <row r="11" spans="2:23" ht="12.75" customHeight="1" x14ac:dyDescent="0.3">
      <c r="O11" s="221"/>
    </row>
    <row r="12" spans="2:23" ht="12.75" customHeight="1" x14ac:dyDescent="0.3">
      <c r="O12" s="221"/>
    </row>
    <row r="13" spans="2:23" ht="12.75" customHeight="1" x14ac:dyDescent="0.3">
      <c r="B13" s="3" t="s">
        <v>4633</v>
      </c>
      <c r="O13" s="221"/>
    </row>
    <row r="14" spans="2:23" ht="12.75" customHeight="1" x14ac:dyDescent="0.3">
      <c r="B14" s="72" t="s">
        <v>4640</v>
      </c>
      <c r="O14" s="221"/>
    </row>
    <row r="15" spans="2:23" ht="12.75" customHeight="1" x14ac:dyDescent="0.3">
      <c r="B15" s="16" t="s">
        <v>6</v>
      </c>
      <c r="O15" s="221"/>
    </row>
    <row r="16" spans="2:23" ht="12.75" customHeight="1" x14ac:dyDescent="0.3">
      <c r="B16" s="16" t="s">
        <v>7</v>
      </c>
      <c r="O16" s="221"/>
    </row>
    <row r="17" spans="2:15" ht="12.75" customHeight="1" x14ac:dyDescent="0.3">
      <c r="B17" s="16" t="s">
        <v>8</v>
      </c>
      <c r="C17" s="542"/>
      <c r="D17" s="542"/>
      <c r="E17" s="542"/>
      <c r="F17" s="542"/>
      <c r="G17" s="542"/>
      <c r="H17" s="542"/>
      <c r="I17" s="542"/>
      <c r="J17" s="542"/>
      <c r="O17" s="221"/>
    </row>
    <row r="18" spans="2:15" ht="12.75" customHeight="1" x14ac:dyDescent="0.3">
      <c r="B18" s="3" t="s">
        <v>9</v>
      </c>
      <c r="O18" s="221"/>
    </row>
    <row r="19" spans="2:15" ht="12.75" customHeight="1" x14ac:dyDescent="0.3">
      <c r="B19" s="16" t="s">
        <v>10</v>
      </c>
      <c r="C19" s="541"/>
      <c r="D19" s="541"/>
      <c r="E19" s="541"/>
      <c r="F19" s="541"/>
      <c r="G19" s="541"/>
      <c r="H19" s="541"/>
      <c r="I19" s="541"/>
      <c r="J19" s="541"/>
      <c r="O19" s="221"/>
    </row>
    <row r="20" spans="2:15" ht="12.75" customHeight="1" x14ac:dyDescent="0.3">
      <c r="B20" s="16" t="s">
        <v>11</v>
      </c>
      <c r="C20" s="542"/>
      <c r="D20" s="542"/>
      <c r="E20" s="542"/>
      <c r="F20" s="542"/>
      <c r="G20" s="542"/>
      <c r="H20" s="542"/>
      <c r="I20" s="542"/>
      <c r="J20" s="542"/>
      <c r="O20" s="221"/>
    </row>
    <row r="21" spans="2:15" ht="12.75" customHeight="1" x14ac:dyDescent="0.3">
      <c r="B21" s="16" t="s">
        <v>12</v>
      </c>
      <c r="O21" s="221"/>
    </row>
    <row r="22" spans="2:15" ht="12.75" customHeight="1" x14ac:dyDescent="0.3">
      <c r="B22" s="16" t="s">
        <v>13</v>
      </c>
      <c r="O22" s="221"/>
    </row>
    <row r="23" spans="2:15" ht="12.75" customHeight="1" x14ac:dyDescent="0.3">
      <c r="B23" s="2" t="s">
        <v>14</v>
      </c>
      <c r="O23" s="221"/>
    </row>
    <row r="24" spans="2:15" ht="12.75" customHeight="1" x14ac:dyDescent="0.3">
      <c r="O24" s="221"/>
    </row>
    <row r="25" spans="2:15" ht="12.75" customHeight="1" x14ac:dyDescent="0.3">
      <c r="B25" s="3" t="s">
        <v>15</v>
      </c>
      <c r="O25" s="221"/>
    </row>
    <row r="26" spans="2:15" ht="12.75" customHeight="1" x14ac:dyDescent="0.3">
      <c r="B26" s="736">
        <v>45387</v>
      </c>
      <c r="C26" s="16" t="s">
        <v>4650</v>
      </c>
      <c r="D26" s="16" t="s">
        <v>4642</v>
      </c>
      <c r="E26" s="16"/>
      <c r="F26" s="16"/>
      <c r="G26" s="16"/>
      <c r="O26" s="221"/>
    </row>
    <row r="27" spans="2:15" ht="12.75" customHeight="1" x14ac:dyDescent="0.3">
      <c r="B27" s="736"/>
      <c r="C27" s="16"/>
      <c r="D27" s="16"/>
      <c r="E27" s="16" t="s">
        <v>4643</v>
      </c>
      <c r="F27" s="16"/>
      <c r="G27" s="16"/>
      <c r="O27" s="221"/>
    </row>
    <row r="28" spans="2:15" ht="12.75" customHeight="1" x14ac:dyDescent="0.3">
      <c r="B28" s="736"/>
      <c r="C28" s="16"/>
      <c r="D28" s="16"/>
      <c r="E28" s="16" t="s">
        <v>4651</v>
      </c>
      <c r="F28" s="16"/>
      <c r="G28" s="16"/>
      <c r="O28" s="221"/>
    </row>
    <row r="29" spans="2:15" ht="12.75" customHeight="1" x14ac:dyDescent="0.3">
      <c r="B29" s="736"/>
      <c r="C29" s="16"/>
      <c r="D29" s="16"/>
      <c r="E29" s="16" t="s">
        <v>4682</v>
      </c>
      <c r="F29" s="16"/>
      <c r="G29" s="16"/>
      <c r="O29" s="221"/>
    </row>
    <row r="30" spans="2:15" ht="12.75" customHeight="1" x14ac:dyDescent="0.3">
      <c r="B30" s="736"/>
      <c r="C30" s="16"/>
      <c r="D30" s="16" t="s">
        <v>4649</v>
      </c>
      <c r="E30" s="16"/>
      <c r="F30" s="16"/>
      <c r="G30" s="16"/>
      <c r="O30" s="221"/>
    </row>
    <row r="31" spans="2:15" ht="12.75" customHeight="1" x14ac:dyDescent="0.3">
      <c r="B31" s="736"/>
      <c r="C31" s="16"/>
      <c r="D31" s="16" t="s">
        <v>4644</v>
      </c>
      <c r="E31" s="16"/>
      <c r="F31" s="16"/>
      <c r="G31" s="16"/>
      <c r="O31" s="221"/>
    </row>
    <row r="32" spans="2:15" ht="12.75" customHeight="1" x14ac:dyDescent="0.3">
      <c r="B32" s="736"/>
      <c r="C32" s="16"/>
      <c r="D32" s="16" t="s">
        <v>4645</v>
      </c>
      <c r="E32" s="16"/>
      <c r="F32" s="16"/>
      <c r="G32" s="16"/>
      <c r="O32" s="221"/>
    </row>
    <row r="33" spans="2:15" ht="12.75" customHeight="1" x14ac:dyDescent="0.3">
      <c r="B33" s="736"/>
      <c r="C33" s="16"/>
      <c r="D33" s="16" t="s">
        <v>4646</v>
      </c>
      <c r="E33" s="16"/>
      <c r="F33" s="16"/>
      <c r="G33" s="16"/>
      <c r="O33" s="221"/>
    </row>
    <row r="34" spans="2:15" ht="12.75" customHeight="1" x14ac:dyDescent="0.3">
      <c r="B34" s="736"/>
      <c r="C34" s="16"/>
      <c r="D34" s="16"/>
      <c r="E34" s="16" t="s">
        <v>4647</v>
      </c>
      <c r="F34" s="16"/>
      <c r="G34" s="16"/>
      <c r="O34" s="221"/>
    </row>
    <row r="35" spans="2:15" ht="12.75" customHeight="1" x14ac:dyDescent="0.3">
      <c r="B35" s="736"/>
      <c r="C35" s="16"/>
      <c r="D35" s="16" t="s">
        <v>4648</v>
      </c>
      <c r="E35" s="16"/>
      <c r="F35" s="16"/>
      <c r="G35" s="16"/>
      <c r="O35" s="221"/>
    </row>
    <row r="36" spans="2:15" ht="12.75" customHeight="1" x14ac:dyDescent="0.3">
      <c r="B36" s="736"/>
      <c r="C36" s="16"/>
      <c r="E36" s="16"/>
      <c r="F36" s="16"/>
      <c r="G36" s="16"/>
      <c r="O36" s="221"/>
    </row>
    <row r="37" spans="2:15" s="16" customFormat="1" ht="12.75" customHeight="1" x14ac:dyDescent="0.3">
      <c r="B37" s="736">
        <v>45338</v>
      </c>
      <c r="C37" s="16" t="s">
        <v>4632</v>
      </c>
      <c r="D37" s="16" t="s">
        <v>4641</v>
      </c>
      <c r="O37" s="28"/>
    </row>
    <row r="38" spans="2:15" s="16" customFormat="1" ht="12.75" customHeight="1" x14ac:dyDescent="0.3">
      <c r="B38" s="736"/>
      <c r="D38" s="16" t="s">
        <v>4639</v>
      </c>
      <c r="O38" s="28"/>
    </row>
    <row r="39" spans="2:15" s="16" customFormat="1" ht="12.75" customHeight="1" x14ac:dyDescent="0.3">
      <c r="B39" s="736">
        <v>44876</v>
      </c>
      <c r="C39" s="16" t="s">
        <v>4632</v>
      </c>
      <c r="D39" s="16" t="s">
        <v>16</v>
      </c>
      <c r="O39" s="28"/>
    </row>
    <row r="40" spans="2:15" s="16" customFormat="1" ht="12.75" customHeight="1" x14ac:dyDescent="0.3">
      <c r="B40" s="736"/>
      <c r="D40" s="16" t="s">
        <v>17</v>
      </c>
      <c r="O40" s="28"/>
    </row>
    <row r="41" spans="2:15" s="16" customFormat="1" ht="12.75" customHeight="1" x14ac:dyDescent="0.3">
      <c r="B41" s="736"/>
      <c r="D41" s="16" t="s">
        <v>18</v>
      </c>
      <c r="O41" s="28"/>
    </row>
    <row r="42" spans="2:15" s="16" customFormat="1" ht="12.75" customHeight="1" x14ac:dyDescent="0.3">
      <c r="B42" s="736"/>
      <c r="D42" s="16" t="s">
        <v>19</v>
      </c>
      <c r="O42" s="28"/>
    </row>
    <row r="43" spans="2:15" s="16" customFormat="1" ht="12.75" customHeight="1" x14ac:dyDescent="0.3">
      <c r="B43" s="736"/>
      <c r="D43" s="16" t="s">
        <v>20</v>
      </c>
      <c r="O43" s="28"/>
    </row>
    <row r="44" spans="2:15" s="16" customFormat="1" ht="12.75" customHeight="1" x14ac:dyDescent="0.3">
      <c r="B44" s="736"/>
      <c r="D44" s="16" t="s">
        <v>21</v>
      </c>
      <c r="O44" s="28"/>
    </row>
    <row r="45" spans="2:15" s="16" customFormat="1" ht="12.75" customHeight="1" x14ac:dyDescent="0.3">
      <c r="B45" s="736"/>
      <c r="D45" s="16" t="s">
        <v>22</v>
      </c>
      <c r="O45" s="28"/>
    </row>
    <row r="46" spans="2:15" s="16" customFormat="1" ht="12.75" customHeight="1" x14ac:dyDescent="0.3">
      <c r="B46" s="736"/>
      <c r="D46" s="16" t="s">
        <v>23</v>
      </c>
      <c r="O46" s="28"/>
    </row>
    <row r="47" spans="2:15" s="16" customFormat="1" ht="12.75" customHeight="1" x14ac:dyDescent="0.3">
      <c r="B47" s="736"/>
      <c r="D47" s="16" t="s">
        <v>4628</v>
      </c>
      <c r="O47" s="28"/>
    </row>
    <row r="48" spans="2:15" s="16" customFormat="1" ht="12.75" customHeight="1" x14ac:dyDescent="0.3">
      <c r="B48" s="736"/>
      <c r="D48" s="16" t="s">
        <v>4630</v>
      </c>
      <c r="O48" s="28"/>
    </row>
    <row r="49" spans="2:20" s="16" customFormat="1" ht="12.75" customHeight="1" x14ac:dyDescent="0.3">
      <c r="B49" s="736"/>
      <c r="O49" s="28"/>
    </row>
    <row r="50" spans="2:20" s="16" customFormat="1" ht="12.75" customHeight="1" x14ac:dyDescent="0.3">
      <c r="B50" s="657">
        <v>44266</v>
      </c>
      <c r="C50" s="16" t="s">
        <v>24</v>
      </c>
      <c r="D50" s="16" t="s">
        <v>25</v>
      </c>
      <c r="O50" s="28"/>
    </row>
    <row r="51" spans="2:20" s="16" customFormat="1" ht="12.75" customHeight="1" x14ac:dyDescent="0.3">
      <c r="B51" s="657"/>
      <c r="D51" s="16" t="s">
        <v>26</v>
      </c>
      <c r="O51" s="28"/>
    </row>
    <row r="52" spans="2:20" ht="12.75" customHeight="1" x14ac:dyDescent="0.3">
      <c r="B52" s="657">
        <v>44139</v>
      </c>
      <c r="C52" s="16" t="s">
        <v>24</v>
      </c>
      <c r="D52" s="16" t="s">
        <v>27</v>
      </c>
      <c r="N52" s="138"/>
      <c r="O52" s="221"/>
      <c r="Q52" s="16"/>
    </row>
    <row r="53" spans="2:20" ht="12.75" customHeight="1" x14ac:dyDescent="0.3">
      <c r="B53" s="657">
        <v>44074</v>
      </c>
      <c r="C53" s="16" t="s">
        <v>24</v>
      </c>
      <c r="D53" s="16" t="s">
        <v>28</v>
      </c>
      <c r="N53" s="138"/>
      <c r="O53" s="221"/>
      <c r="Q53" s="16"/>
    </row>
    <row r="54" spans="2:20" ht="12.75" customHeight="1" x14ac:dyDescent="0.3">
      <c r="B54" s="657">
        <v>43738</v>
      </c>
      <c r="C54" s="16" t="s">
        <v>24</v>
      </c>
      <c r="D54" s="16" t="s">
        <v>29</v>
      </c>
      <c r="N54" s="138"/>
      <c r="O54" s="221"/>
      <c r="Q54" s="16"/>
    </row>
    <row r="55" spans="2:20" ht="12.75" customHeight="1" x14ac:dyDescent="0.3">
      <c r="B55" s="657">
        <v>43707</v>
      </c>
      <c r="C55" s="16" t="s">
        <v>24</v>
      </c>
      <c r="D55" s="16" t="s">
        <v>30</v>
      </c>
      <c r="N55" s="138"/>
      <c r="O55" s="221"/>
      <c r="Q55" s="16"/>
    </row>
    <row r="56" spans="2:20" ht="12.75" customHeight="1" x14ac:dyDescent="0.3">
      <c r="B56" s="657">
        <v>43601</v>
      </c>
      <c r="C56" s="16" t="s">
        <v>31</v>
      </c>
      <c r="D56" s="16" t="s">
        <v>32</v>
      </c>
      <c r="N56" s="138"/>
      <c r="O56" s="221"/>
      <c r="Q56" s="16"/>
    </row>
    <row r="57" spans="2:20" ht="12.75" customHeight="1" x14ac:dyDescent="0.3">
      <c r="B57" s="657">
        <v>43482</v>
      </c>
      <c r="C57" s="16" t="s">
        <v>31</v>
      </c>
      <c r="D57" s="16" t="s">
        <v>33</v>
      </c>
      <c r="N57" s="138"/>
      <c r="O57" s="221"/>
      <c r="Q57" s="16" t="s">
        <v>34</v>
      </c>
      <c r="R57" s="16"/>
      <c r="S57" s="16"/>
      <c r="T57" s="16"/>
    </row>
    <row r="58" spans="2:20" ht="12.75" customHeight="1" x14ac:dyDescent="0.3">
      <c r="B58" s="657">
        <v>43406</v>
      </c>
      <c r="C58" s="16" t="s">
        <v>31</v>
      </c>
      <c r="D58" s="16" t="s">
        <v>35</v>
      </c>
      <c r="O58" s="221"/>
      <c r="Q58" s="16"/>
      <c r="R58" s="16" t="s">
        <v>36</v>
      </c>
      <c r="S58" s="16"/>
      <c r="T58" s="16"/>
    </row>
    <row r="59" spans="2:20" ht="12.75" customHeight="1" x14ac:dyDescent="0.3">
      <c r="B59" s="599">
        <v>43178</v>
      </c>
      <c r="C59" s="16" t="s">
        <v>31</v>
      </c>
      <c r="D59" s="16" t="s">
        <v>37</v>
      </c>
      <c r="O59" s="221"/>
      <c r="Q59" s="16"/>
      <c r="R59" s="16" t="s">
        <v>38</v>
      </c>
      <c r="S59" s="16"/>
      <c r="T59" s="16"/>
    </row>
    <row r="60" spans="2:20" ht="12.75" customHeight="1" x14ac:dyDescent="0.3">
      <c r="B60" s="599">
        <v>42703</v>
      </c>
      <c r="C60" s="16" t="s">
        <v>31</v>
      </c>
      <c r="D60" s="16" t="s">
        <v>39</v>
      </c>
      <c r="O60" s="221"/>
      <c r="Q60" s="16"/>
      <c r="R60" s="16" t="s">
        <v>40</v>
      </c>
      <c r="S60" s="16"/>
      <c r="T60" s="16"/>
    </row>
    <row r="61" spans="2:20" ht="12.75" customHeight="1" x14ac:dyDescent="0.3">
      <c r="B61" s="599">
        <v>42450</v>
      </c>
      <c r="C61" s="16" t="s">
        <v>31</v>
      </c>
      <c r="D61" s="16" t="s">
        <v>41</v>
      </c>
      <c r="O61" s="221"/>
    </row>
    <row r="62" spans="2:20" ht="12.75" customHeight="1" x14ac:dyDescent="0.3">
      <c r="B62" s="564">
        <v>42094</v>
      </c>
      <c r="C62" s="16" t="s">
        <v>42</v>
      </c>
      <c r="D62" s="16" t="s">
        <v>43</v>
      </c>
      <c r="O62" s="221"/>
    </row>
    <row r="63" spans="2:20" ht="12.75" customHeight="1" x14ac:dyDescent="0.3">
      <c r="B63" s="658">
        <v>41804</v>
      </c>
      <c r="C63" s="16" t="s">
        <v>44</v>
      </c>
      <c r="D63" s="16" t="s">
        <v>45</v>
      </c>
      <c r="O63" s="221"/>
    </row>
    <row r="64" spans="2:20" ht="12.75" customHeight="1" x14ac:dyDescent="0.3">
      <c r="B64" s="658">
        <v>38152</v>
      </c>
      <c r="C64" s="2" t="s">
        <v>46</v>
      </c>
      <c r="D64" s="2" t="s">
        <v>47</v>
      </c>
      <c r="O64" s="221"/>
    </row>
    <row r="65" spans="2:15" ht="12.75" customHeight="1" x14ac:dyDescent="0.3">
      <c r="B65" s="658">
        <v>35462</v>
      </c>
      <c r="C65" s="2" t="s">
        <v>48</v>
      </c>
      <c r="D65" s="2" t="s">
        <v>49</v>
      </c>
      <c r="O65" s="221"/>
    </row>
    <row r="66" spans="2:15" ht="12.75" customHeight="1" x14ac:dyDescent="0.3">
      <c r="B66" s="658">
        <v>34182</v>
      </c>
      <c r="C66" s="2" t="s">
        <v>50</v>
      </c>
      <c r="D66" s="2" t="s">
        <v>51</v>
      </c>
      <c r="O66" s="221"/>
    </row>
    <row r="67" spans="2:15" ht="12.75" customHeight="1" x14ac:dyDescent="0.3">
      <c r="B67" s="3"/>
      <c r="O67" s="221"/>
    </row>
    <row r="68" spans="2:15" ht="12.75" customHeight="1" x14ac:dyDescent="0.3">
      <c r="O68" s="221"/>
    </row>
    <row r="69" spans="2:15" ht="12.75" customHeight="1" x14ac:dyDescent="0.3">
      <c r="B69" s="27"/>
      <c r="C69" s="16"/>
      <c r="O69" s="221"/>
    </row>
    <row r="70" spans="2:15" ht="12.75" customHeight="1" x14ac:dyDescent="0.3">
      <c r="B70" s="27"/>
      <c r="C70" s="16"/>
      <c r="D70" s="16"/>
      <c r="E70" s="16"/>
      <c r="F70" s="16"/>
      <c r="G70" s="16"/>
      <c r="H70" s="16"/>
      <c r="I70" s="16"/>
      <c r="J70" s="16"/>
      <c r="O70" s="221"/>
    </row>
    <row r="71" spans="2:15" ht="12.75" customHeight="1" x14ac:dyDescent="0.3">
      <c r="B71" s="27"/>
      <c r="C71" s="16"/>
      <c r="D71" s="28"/>
      <c r="E71" s="16"/>
      <c r="F71" s="16"/>
      <c r="G71" s="16"/>
      <c r="H71" s="16"/>
      <c r="I71" s="16"/>
      <c r="J71" s="16"/>
      <c r="K71" s="16"/>
      <c r="L71" s="16"/>
      <c r="M71" s="16"/>
      <c r="N71" s="28"/>
    </row>
    <row r="72" spans="2:15" ht="12.75" customHeight="1" x14ac:dyDescent="0.3">
      <c r="B72" s="27"/>
      <c r="C72" s="16"/>
      <c r="D72" s="16"/>
      <c r="E72" s="16"/>
      <c r="F72" s="16"/>
      <c r="G72" s="16"/>
      <c r="H72" s="16"/>
      <c r="I72" s="16"/>
      <c r="J72" s="16"/>
      <c r="K72" s="16"/>
      <c r="L72" s="16"/>
      <c r="M72" s="16"/>
      <c r="N72" s="28"/>
    </row>
    <row r="73" spans="2:15" ht="12.75" customHeight="1" x14ac:dyDescent="0.3">
      <c r="B73" s="27"/>
      <c r="C73" s="16"/>
      <c r="K73" s="16"/>
      <c r="L73" s="16"/>
      <c r="M73" s="16"/>
      <c r="N73" s="28"/>
    </row>
    <row r="74" spans="2:15" ht="12.75" customHeight="1" x14ac:dyDescent="0.3">
      <c r="B74" s="27"/>
      <c r="C74" s="16"/>
      <c r="E74" s="16"/>
      <c r="F74" s="16"/>
      <c r="G74" s="16"/>
      <c r="H74" s="16"/>
      <c r="I74" s="16"/>
      <c r="J74" s="16"/>
      <c r="K74" s="16"/>
      <c r="L74" s="16"/>
      <c r="M74" s="16"/>
      <c r="N74" s="28"/>
    </row>
    <row r="75" spans="2:15" ht="12.75" customHeight="1" x14ac:dyDescent="0.3">
      <c r="B75" s="27"/>
      <c r="C75" s="16"/>
      <c r="D75" s="16"/>
      <c r="E75" s="16"/>
      <c r="F75" s="16"/>
      <c r="G75" s="16"/>
      <c r="H75" s="16"/>
      <c r="I75" s="16"/>
      <c r="J75" s="16"/>
      <c r="K75" s="16"/>
      <c r="L75" s="16"/>
      <c r="M75" s="16"/>
      <c r="N75" s="28"/>
    </row>
    <row r="76" spans="2:15" ht="12.75" customHeight="1" x14ac:dyDescent="0.3">
      <c r="B76" s="27"/>
      <c r="C76" s="16"/>
      <c r="D76" s="16"/>
      <c r="E76" s="16"/>
      <c r="F76" s="16"/>
      <c r="G76" s="16"/>
      <c r="H76" s="16"/>
      <c r="I76" s="16"/>
      <c r="J76" s="16"/>
      <c r="K76" s="16"/>
      <c r="L76" s="16"/>
      <c r="M76" s="16"/>
      <c r="N76" s="28"/>
    </row>
    <row r="77" spans="2:15" ht="12.75" customHeight="1" x14ac:dyDescent="0.3">
      <c r="B77" s="27"/>
      <c r="C77" s="16"/>
      <c r="E77" s="16"/>
      <c r="F77" s="16"/>
      <c r="G77" s="16"/>
      <c r="H77" s="16"/>
      <c r="I77" s="16"/>
      <c r="J77" s="16"/>
      <c r="K77" s="16"/>
      <c r="L77" s="16"/>
      <c r="M77" s="16"/>
      <c r="N77" s="28"/>
    </row>
    <row r="78" spans="2:15" ht="12.75" customHeight="1" x14ac:dyDescent="0.3">
      <c r="B78" s="27"/>
      <c r="C78" s="16"/>
      <c r="E78" s="16"/>
      <c r="F78" s="16"/>
      <c r="G78" s="16"/>
      <c r="H78" s="16"/>
      <c r="I78" s="16"/>
      <c r="J78" s="16"/>
      <c r="K78" s="16"/>
      <c r="L78" s="16"/>
      <c r="M78" s="16"/>
      <c r="N78" s="16"/>
      <c r="O78" s="28"/>
    </row>
    <row r="79" spans="2:15" ht="12.75" customHeight="1" x14ac:dyDescent="0.3">
      <c r="B79" s="27"/>
      <c r="C79" s="16"/>
      <c r="E79" s="16"/>
      <c r="F79" s="16"/>
      <c r="G79" s="16"/>
      <c r="H79" s="16"/>
      <c r="I79" s="16"/>
      <c r="J79" s="16"/>
      <c r="K79" s="16"/>
      <c r="L79" s="16"/>
      <c r="M79" s="16"/>
      <c r="N79" s="16"/>
      <c r="O79" s="28"/>
    </row>
    <row r="80" spans="2:15" ht="12.75" customHeight="1" x14ac:dyDescent="0.3">
      <c r="B80" s="27"/>
      <c r="C80" s="16"/>
      <c r="D80" s="28"/>
      <c r="E80" s="16"/>
      <c r="F80" s="16"/>
      <c r="G80" s="16"/>
      <c r="H80" s="16"/>
      <c r="I80" s="16"/>
      <c r="J80" s="16"/>
      <c r="K80" s="16"/>
      <c r="L80" s="16"/>
      <c r="M80" s="16"/>
      <c r="N80" s="16"/>
      <c r="O80" s="28"/>
    </row>
    <row r="81" spans="2:18" ht="12.75" customHeight="1" x14ac:dyDescent="0.3">
      <c r="B81" s="27"/>
      <c r="C81" s="16"/>
      <c r="D81" s="28"/>
      <c r="E81" s="16"/>
      <c r="F81" s="16"/>
      <c r="G81" s="16"/>
      <c r="H81" s="16"/>
      <c r="I81" s="16"/>
      <c r="J81" s="16"/>
      <c r="K81" s="16"/>
      <c r="L81" s="16"/>
      <c r="M81" s="16"/>
      <c r="N81" s="16"/>
      <c r="O81" s="28"/>
    </row>
    <row r="82" spans="2:18" ht="12.75" customHeight="1" x14ac:dyDescent="0.3">
      <c r="B82" s="27"/>
      <c r="C82" s="16"/>
      <c r="D82" s="28"/>
      <c r="E82" s="16"/>
      <c r="F82" s="16"/>
      <c r="G82" s="16"/>
      <c r="H82" s="16"/>
      <c r="I82" s="16"/>
      <c r="J82" s="16"/>
      <c r="K82" s="16"/>
      <c r="L82" s="16"/>
      <c r="M82" s="16"/>
      <c r="N82" s="16"/>
      <c r="O82" s="28"/>
    </row>
    <row r="83" spans="2:18" ht="12.75" customHeight="1" x14ac:dyDescent="0.3">
      <c r="B83" s="27"/>
      <c r="C83" s="16"/>
      <c r="D83" s="28"/>
      <c r="E83" s="16"/>
      <c r="F83" s="16"/>
      <c r="G83" s="16"/>
      <c r="H83" s="16"/>
      <c r="I83" s="16"/>
      <c r="J83" s="16"/>
      <c r="K83" s="16"/>
      <c r="L83" s="16"/>
      <c r="M83" s="16"/>
      <c r="N83" s="16"/>
      <c r="O83" s="28"/>
    </row>
    <row r="84" spans="2:18" ht="12.75" customHeight="1" x14ac:dyDescent="0.3">
      <c r="B84" s="27"/>
      <c r="C84" s="16"/>
      <c r="D84" s="28"/>
      <c r="E84" s="16"/>
      <c r="F84" s="16"/>
      <c r="G84" s="16"/>
      <c r="H84" s="16"/>
      <c r="I84" s="16"/>
      <c r="J84" s="16"/>
      <c r="K84" s="16"/>
      <c r="L84" s="16"/>
      <c r="M84" s="16"/>
      <c r="N84" s="16"/>
      <c r="O84" s="28"/>
    </row>
    <row r="85" spans="2:18" ht="12.75" customHeight="1" x14ac:dyDescent="0.3">
      <c r="B85" s="27"/>
      <c r="C85" s="16"/>
      <c r="D85" s="143"/>
      <c r="E85" s="16"/>
      <c r="F85" s="138"/>
      <c r="G85" s="138"/>
      <c r="H85" s="138"/>
      <c r="I85" s="138"/>
      <c r="K85" s="16"/>
      <c r="L85" s="16"/>
      <c r="M85" s="16"/>
      <c r="N85" s="16"/>
      <c r="O85" s="28"/>
    </row>
    <row r="86" spans="2:18" ht="12.75" customHeight="1" x14ac:dyDescent="0.3">
      <c r="B86" s="27"/>
      <c r="C86" s="16"/>
      <c r="D86" s="16"/>
      <c r="F86" s="138"/>
      <c r="G86" s="138"/>
      <c r="H86" s="138"/>
      <c r="I86" s="138"/>
      <c r="O86" s="221"/>
      <c r="P86" s="16"/>
      <c r="Q86" s="16"/>
      <c r="R86" s="16"/>
    </row>
    <row r="87" spans="2:18" ht="12.75" customHeight="1" x14ac:dyDescent="0.3">
      <c r="B87" s="6"/>
      <c r="C87" s="16"/>
      <c r="D87" s="35"/>
      <c r="E87" s="16"/>
      <c r="F87" s="16"/>
      <c r="G87" s="16"/>
      <c r="H87" s="16"/>
      <c r="I87" s="16"/>
      <c r="J87" s="16"/>
      <c r="O87" s="221"/>
      <c r="P87" s="16"/>
      <c r="Q87" s="16"/>
      <c r="R87" s="16"/>
    </row>
    <row r="88" spans="2:18" s="16" customFormat="1" ht="12.75" customHeight="1" x14ac:dyDescent="0.3">
      <c r="B88" s="6"/>
      <c r="D88" s="28"/>
      <c r="E88" s="2"/>
      <c r="F88" s="2"/>
      <c r="G88" s="2"/>
      <c r="H88" s="2"/>
      <c r="I88" s="2"/>
      <c r="J88" s="2"/>
      <c r="O88" s="28"/>
    </row>
    <row r="89" spans="2:18" ht="12.75" customHeight="1" x14ac:dyDescent="0.3">
      <c r="D89" s="28"/>
      <c r="P89" s="16"/>
      <c r="Q89" s="16"/>
      <c r="R89" s="16"/>
    </row>
    <row r="90" spans="2:18" ht="12.75" customHeight="1" x14ac:dyDescent="0.3">
      <c r="D90" s="28"/>
      <c r="P90" s="16"/>
      <c r="Q90" s="16"/>
      <c r="R90" s="16"/>
    </row>
    <row r="91" spans="2:18" ht="12.75" customHeight="1" x14ac:dyDescent="0.3">
      <c r="D91" s="28"/>
      <c r="P91" s="16"/>
      <c r="Q91" s="16"/>
      <c r="R91" s="16"/>
    </row>
    <row r="92" spans="2:18" ht="12.75" customHeight="1" x14ac:dyDescent="0.3">
      <c r="D92" s="28"/>
      <c r="P92" s="16"/>
      <c r="Q92" s="16"/>
      <c r="R92" s="16"/>
    </row>
    <row r="93" spans="2:18" ht="12.75" customHeight="1" x14ac:dyDescent="0.3">
      <c r="D93" s="28"/>
      <c r="P93" s="16"/>
      <c r="Q93" s="16"/>
      <c r="R93" s="16"/>
    </row>
    <row r="94" spans="2:18" ht="12.75" customHeight="1" x14ac:dyDescent="0.3">
      <c r="B94" s="6"/>
      <c r="C94" s="16"/>
      <c r="D94" s="28"/>
    </row>
    <row r="95" spans="2:18" ht="12.75" customHeight="1" x14ac:dyDescent="0.3">
      <c r="D95" s="28"/>
    </row>
    <row r="96" spans="2:18" ht="12.75" customHeight="1" x14ac:dyDescent="0.3">
      <c r="B96" s="236"/>
      <c r="C96" s="138"/>
      <c r="D96" s="734"/>
      <c r="E96" s="138"/>
      <c r="F96" s="138"/>
      <c r="G96" s="138"/>
      <c r="H96" s="138"/>
      <c r="I96" s="138"/>
      <c r="J96" s="138"/>
    </row>
    <row r="97" spans="1:15" s="138" customFormat="1" ht="12.75" customHeight="1" x14ac:dyDescent="0.3">
      <c r="B97" s="236"/>
      <c r="D97" s="734"/>
    </row>
    <row r="98" spans="1:15" s="138" customFormat="1" ht="12.75" customHeight="1" x14ac:dyDescent="0.3">
      <c r="B98" s="236"/>
      <c r="D98" s="734"/>
    </row>
    <row r="99" spans="1:15" s="138" customFormat="1" ht="12.75" customHeight="1" x14ac:dyDescent="0.3">
      <c r="B99" s="236"/>
      <c r="D99" s="734"/>
    </row>
    <row r="100" spans="1:15" s="138" customFormat="1" ht="12.75" customHeight="1" x14ac:dyDescent="0.3">
      <c r="B100" s="236"/>
      <c r="D100" s="734"/>
    </row>
    <row r="101" spans="1:15" s="138" customFormat="1" ht="12.75" customHeight="1" x14ac:dyDescent="0.3">
      <c r="B101" s="2"/>
      <c r="C101" s="2"/>
      <c r="D101" s="2"/>
      <c r="E101" s="2"/>
      <c r="F101" s="2"/>
      <c r="G101" s="2"/>
      <c r="H101" s="2"/>
      <c r="I101" s="2"/>
      <c r="J101" s="2"/>
    </row>
    <row r="102" spans="1:15" s="138" customFormat="1" ht="12.75" customHeight="1" x14ac:dyDescent="0.3">
      <c r="A102" s="2"/>
      <c r="B102" s="32"/>
      <c r="C102" s="33"/>
      <c r="D102" s="31"/>
      <c r="E102" s="16"/>
      <c r="J102" s="2"/>
      <c r="K102" s="2"/>
      <c r="L102" s="2"/>
      <c r="M102" s="2"/>
      <c r="N102" s="2"/>
    </row>
    <row r="103" spans="1:15" s="138" customFormat="1" ht="12.75" customHeight="1" x14ac:dyDescent="0.3">
      <c r="A103" s="2"/>
      <c r="B103" s="32"/>
      <c r="C103" s="33"/>
      <c r="D103" s="31"/>
      <c r="E103" s="33"/>
      <c r="F103" s="33"/>
      <c r="G103" s="33"/>
      <c r="H103" s="2"/>
      <c r="I103" s="2"/>
      <c r="J103" s="2"/>
      <c r="K103" s="2"/>
      <c r="L103" s="2"/>
      <c r="M103" s="2"/>
      <c r="N103" s="2"/>
    </row>
    <row r="104" spans="1:15" ht="12.75" customHeight="1" x14ac:dyDescent="0.3">
      <c r="B104" s="32"/>
      <c r="C104" s="33"/>
      <c r="D104" s="31"/>
      <c r="E104" s="33"/>
      <c r="F104" s="33"/>
      <c r="G104" s="33"/>
    </row>
    <row r="105" spans="1:15" ht="12.75" customHeight="1" x14ac:dyDescent="0.3">
      <c r="B105" s="32"/>
      <c r="C105" s="33"/>
      <c r="D105" s="31"/>
      <c r="E105" s="33"/>
      <c r="F105" s="33"/>
      <c r="G105" s="33"/>
      <c r="O105" s="221"/>
    </row>
    <row r="106" spans="1:15" ht="12.75" customHeight="1" x14ac:dyDescent="0.3">
      <c r="B106" s="32"/>
      <c r="C106" s="33"/>
      <c r="D106" s="34"/>
      <c r="E106" s="33"/>
      <c r="F106" s="33"/>
      <c r="G106" s="33"/>
      <c r="O106" s="221"/>
    </row>
    <row r="107" spans="1:15" ht="12.75" customHeight="1" x14ac:dyDescent="0.3">
      <c r="B107" s="32"/>
      <c r="C107" s="33"/>
      <c r="D107" s="34"/>
      <c r="E107" s="33"/>
      <c r="F107" s="33"/>
      <c r="G107" s="33"/>
      <c r="O107" s="221"/>
    </row>
    <row r="108" spans="1:15" ht="12.75" customHeight="1" x14ac:dyDescent="0.3">
      <c r="B108" s="32"/>
      <c r="C108" s="33"/>
      <c r="D108" s="34"/>
      <c r="E108" s="33"/>
      <c r="F108" s="33"/>
      <c r="G108" s="33"/>
      <c r="O108" s="221"/>
    </row>
    <row r="109" spans="1:15" ht="12.75" customHeight="1" x14ac:dyDescent="0.3">
      <c r="B109" s="32"/>
      <c r="C109" s="33"/>
      <c r="D109" s="34"/>
      <c r="E109" s="33"/>
      <c r="F109" s="33"/>
      <c r="G109" s="33"/>
      <c r="O109" s="221"/>
    </row>
    <row r="110" spans="1:15" ht="12.75" customHeight="1" x14ac:dyDescent="0.3">
      <c r="B110" s="32"/>
      <c r="C110" s="33"/>
      <c r="D110" s="34"/>
      <c r="E110" s="33"/>
      <c r="F110" s="33"/>
      <c r="G110" s="33"/>
      <c r="O110" s="221"/>
    </row>
    <row r="111" spans="1:15" ht="12.75" customHeight="1" x14ac:dyDescent="0.3">
      <c r="B111" s="6"/>
      <c r="D111" s="34"/>
      <c r="E111" s="33"/>
      <c r="F111" s="33"/>
      <c r="G111" s="33"/>
      <c r="O111" s="221"/>
    </row>
    <row r="112" spans="1:15" ht="12.75" customHeight="1" x14ac:dyDescent="0.3">
      <c r="B112" s="6"/>
      <c r="D112" s="34"/>
      <c r="E112" s="33"/>
      <c r="F112" s="33"/>
      <c r="O112" s="221"/>
    </row>
    <row r="113" spans="2:15" ht="12.75" customHeight="1" x14ac:dyDescent="0.3">
      <c r="B113" s="6"/>
      <c r="D113" s="34"/>
      <c r="O113" s="221"/>
    </row>
    <row r="114" spans="2:15" ht="12.75" customHeight="1" x14ac:dyDescent="0.3">
      <c r="B114" s="6"/>
      <c r="D114" s="34"/>
      <c r="O114" s="221"/>
    </row>
    <row r="115" spans="2:15" ht="12.75" customHeight="1" x14ac:dyDescent="0.3">
      <c r="B115" s="6"/>
      <c r="D115" s="34"/>
      <c r="O115" s="221"/>
    </row>
    <row r="116" spans="2:15" ht="12.75" customHeight="1" x14ac:dyDescent="0.3">
      <c r="B116" s="6"/>
      <c r="D116" s="34"/>
      <c r="O116" s="221"/>
    </row>
    <row r="117" spans="2:15" ht="12.75" customHeight="1" x14ac:dyDescent="0.3">
      <c r="B117" s="6"/>
      <c r="E117" s="7"/>
      <c r="F117" s="7"/>
      <c r="G117" s="7"/>
      <c r="O117" s="221"/>
    </row>
    <row r="118" spans="2:15" ht="12.75" customHeight="1" x14ac:dyDescent="0.3">
      <c r="B118" s="6"/>
      <c r="D118" s="34"/>
      <c r="O118" s="221"/>
    </row>
    <row r="119" spans="2:15" ht="12.75" customHeight="1" x14ac:dyDescent="0.3">
      <c r="B119" s="6"/>
      <c r="D119" s="34"/>
      <c r="O119" s="221"/>
    </row>
    <row r="120" spans="2:15" ht="12.75" customHeight="1" x14ac:dyDescent="0.3">
      <c r="B120" s="6"/>
      <c r="E120" s="7"/>
      <c r="F120" s="7"/>
      <c r="G120" s="7"/>
      <c r="O120" s="221"/>
    </row>
    <row r="121" spans="2:15" ht="12.75" customHeight="1" x14ac:dyDescent="0.3">
      <c r="B121" s="6"/>
      <c r="E121" s="7"/>
      <c r="F121" s="7"/>
      <c r="G121" s="7"/>
      <c r="O121" s="221"/>
    </row>
    <row r="122" spans="2:15" ht="12.75" customHeight="1" x14ac:dyDescent="0.3">
      <c r="B122" s="6"/>
      <c r="E122" s="7"/>
      <c r="F122" s="7"/>
      <c r="G122" s="7"/>
      <c r="O122" s="221"/>
    </row>
    <row r="123" spans="2:15" ht="12.75" customHeight="1" x14ac:dyDescent="0.3">
      <c r="B123" s="6"/>
      <c r="O123" s="221"/>
    </row>
    <row r="124" spans="2:15" ht="12.75" customHeight="1" x14ac:dyDescent="0.3">
      <c r="B124" s="6"/>
      <c r="E124" s="7"/>
      <c r="F124" s="7"/>
      <c r="G124" s="7"/>
      <c r="O124" s="221"/>
    </row>
    <row r="125" spans="2:15" ht="12.75" customHeight="1" x14ac:dyDescent="0.3">
      <c r="B125" s="6"/>
      <c r="E125" s="7"/>
      <c r="F125" s="7"/>
      <c r="G125" s="7"/>
      <c r="O125" s="221"/>
    </row>
    <row r="126" spans="2:15" ht="12.75" customHeight="1" x14ac:dyDescent="0.3">
      <c r="O126" s="221"/>
    </row>
    <row r="127" spans="2:15" ht="12.75" customHeight="1" x14ac:dyDescent="0.3">
      <c r="O127" s="221"/>
    </row>
    <row r="128" spans="2:15" ht="12.75" customHeight="1" x14ac:dyDescent="0.3">
      <c r="B128" s="6"/>
      <c r="O128" s="221"/>
    </row>
    <row r="129" spans="2:15" ht="12.75" customHeight="1" x14ac:dyDescent="0.3">
      <c r="B129" s="6"/>
      <c r="E129" s="7"/>
      <c r="F129" s="7"/>
      <c r="G129" s="7"/>
      <c r="O129" s="221"/>
    </row>
    <row r="130" spans="2:15" ht="12.75" customHeight="1" x14ac:dyDescent="0.3">
      <c r="B130" s="6"/>
      <c r="D130" s="7"/>
      <c r="E130" s="7"/>
      <c r="F130" s="7"/>
      <c r="G130" s="7"/>
      <c r="O130" s="221"/>
    </row>
    <row r="131" spans="2:15" ht="12.75" customHeight="1" x14ac:dyDescent="0.3">
      <c r="B131" s="6"/>
      <c r="O131" s="221"/>
    </row>
    <row r="132" spans="2:15" ht="12.75" customHeight="1" x14ac:dyDescent="0.3">
      <c r="B132" s="6"/>
      <c r="D132" s="17"/>
      <c r="E132" s="7"/>
      <c r="F132" s="7"/>
      <c r="G132" s="7"/>
      <c r="O132" s="221"/>
    </row>
    <row r="133" spans="2:15" ht="12.75" customHeight="1" x14ac:dyDescent="0.3">
      <c r="B133" s="6"/>
      <c r="D133" s="7"/>
      <c r="F133" s="7"/>
      <c r="G133" s="7"/>
      <c r="O133" s="221"/>
    </row>
    <row r="134" spans="2:15" ht="12.75" customHeight="1" x14ac:dyDescent="0.3">
      <c r="B134" s="6"/>
      <c r="F134" s="7"/>
      <c r="G134" s="7"/>
      <c r="O134" s="221"/>
    </row>
    <row r="135" spans="2:15" ht="12.75" customHeight="1" x14ac:dyDescent="0.3">
      <c r="O135" s="221"/>
    </row>
    <row r="136" spans="2:15" ht="12.75" customHeight="1" x14ac:dyDescent="0.3">
      <c r="O136" s="221"/>
    </row>
    <row r="137" spans="2:15" ht="12.75" customHeight="1" x14ac:dyDescent="0.3">
      <c r="B137" s="6"/>
      <c r="G137" s="7"/>
      <c r="O137" s="221"/>
    </row>
    <row r="138" spans="2:15" ht="12.75" customHeight="1" x14ac:dyDescent="0.3">
      <c r="B138" s="6"/>
      <c r="D138" s="7"/>
      <c r="F138" s="7"/>
      <c r="G138" s="7"/>
      <c r="O138" s="221"/>
    </row>
    <row r="139" spans="2:15" ht="12.75" customHeight="1" x14ac:dyDescent="0.3">
      <c r="B139" s="6"/>
      <c r="D139" s="7"/>
      <c r="F139" s="7"/>
      <c r="G139" s="7"/>
      <c r="O139" s="221"/>
    </row>
    <row r="140" spans="2:15" ht="12.75" customHeight="1" x14ac:dyDescent="0.3">
      <c r="B140" s="6"/>
      <c r="D140" s="17"/>
      <c r="F140" s="7"/>
      <c r="G140" s="7"/>
      <c r="O140" s="221"/>
    </row>
    <row r="141" spans="2:15" ht="12.75" customHeight="1" x14ac:dyDescent="0.3">
      <c r="B141" s="6"/>
      <c r="D141" s="7"/>
      <c r="F141" s="7"/>
      <c r="O141" s="221"/>
    </row>
    <row r="142" spans="2:15" ht="12.75" customHeight="1" x14ac:dyDescent="0.3">
      <c r="B142" s="6"/>
      <c r="F142" s="7"/>
      <c r="O142" s="221"/>
    </row>
    <row r="143" spans="2:15" ht="12.75" customHeight="1" x14ac:dyDescent="0.3">
      <c r="O143" s="221"/>
    </row>
    <row r="146" spans="2:15" ht="12.75" customHeight="1" x14ac:dyDescent="0.3">
      <c r="B146" s="6"/>
    </row>
    <row r="147" spans="2:15" ht="12.75" customHeight="1" x14ac:dyDescent="0.3">
      <c r="B147" s="6"/>
      <c r="D147" s="8"/>
      <c r="O147" s="221"/>
    </row>
    <row r="148" spans="2:15" ht="12.75" customHeight="1" x14ac:dyDescent="0.3">
      <c r="B148" s="6"/>
      <c r="D148" s="8"/>
      <c r="E148" s="8"/>
    </row>
    <row r="149" spans="2:15" ht="12.75" customHeight="1" x14ac:dyDescent="0.3">
      <c r="B149" s="6"/>
      <c r="D149" s="8"/>
      <c r="E149" s="8"/>
    </row>
    <row r="150" spans="2:15" ht="12.75" customHeight="1" x14ac:dyDescent="0.3">
      <c r="B150" s="6"/>
      <c r="D150" s="8"/>
      <c r="E150" s="8"/>
    </row>
    <row r="151" spans="2:15" ht="12.75" customHeight="1" x14ac:dyDescent="0.3">
      <c r="B151" s="6"/>
      <c r="D151" s="8"/>
    </row>
    <row r="152" spans="2:15" ht="12.75" customHeight="1" x14ac:dyDescent="0.3">
      <c r="B152" s="6"/>
      <c r="D152" s="7"/>
    </row>
    <row r="153" spans="2:15" ht="12.75" customHeight="1" x14ac:dyDescent="0.3">
      <c r="B153" s="6"/>
      <c r="D153" s="7"/>
    </row>
    <row r="154" spans="2:15" ht="12.75" customHeight="1" x14ac:dyDescent="0.3">
      <c r="B154" s="6"/>
    </row>
    <row r="155" spans="2:15" ht="12.75" customHeight="1" x14ac:dyDescent="0.3">
      <c r="B155" s="6"/>
    </row>
    <row r="156" spans="2:15" ht="12.75" customHeight="1" x14ac:dyDescent="0.3">
      <c r="B156" s="6"/>
      <c r="C156" s="4"/>
    </row>
    <row r="157" spans="2:15" ht="12.75" customHeight="1" x14ac:dyDescent="0.3">
      <c r="B157" s="9"/>
    </row>
    <row r="158" spans="2:15" ht="12.75" customHeight="1" x14ac:dyDescent="0.3">
      <c r="B158" s="6"/>
    </row>
    <row r="159" spans="2:15" ht="12.75" customHeight="1" x14ac:dyDescent="0.3">
      <c r="B159" s="6"/>
      <c r="O159" s="221"/>
    </row>
    <row r="160" spans="2:15" ht="12.75" customHeight="1" x14ac:dyDescent="0.3">
      <c r="B160" s="6"/>
      <c r="O160" s="221"/>
    </row>
    <row r="161" spans="1:15" ht="12.75" customHeight="1" x14ac:dyDescent="0.3">
      <c r="B161" s="6"/>
      <c r="O161" s="221"/>
    </row>
    <row r="162" spans="1:15" ht="12.75" customHeight="1" x14ac:dyDescent="0.3">
      <c r="B162" s="6"/>
      <c r="O162" s="221"/>
    </row>
    <row r="163" spans="1:15" ht="12.75" customHeight="1" x14ac:dyDescent="0.3">
      <c r="A163" s="7"/>
      <c r="O163" s="221"/>
    </row>
    <row r="164" spans="1:15" ht="12.75" customHeight="1" x14ac:dyDescent="0.3">
      <c r="D164" s="10"/>
    </row>
  </sheetData>
  <phoneticPr fontId="6" type="noConversion"/>
  <hyperlinks>
    <hyperlink ref="B4" r:id="rId1" xr:uid="{00000000-0004-0000-0000-000000000000}"/>
    <hyperlink ref="B10" r:id="rId2" xr:uid="{00000000-0004-0000-0000-000002000000}"/>
  </hyperlinks>
  <pageMargins left="0.75" right="0.75" top="1" bottom="1" header="0.5" footer="0.5"/>
  <pageSetup paperSize="9" scale="31" orientation="landscape" r:id="rId3"/>
  <headerFooter alignWithMargins="0"/>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2">
    <pageSetUpPr fitToPage="1"/>
  </sheetPr>
  <dimension ref="A1:CF225"/>
  <sheetViews>
    <sheetView zoomScaleNormal="100" workbookViewId="0"/>
  </sheetViews>
  <sheetFormatPr defaultColWidth="9.109375" defaultRowHeight="12.75" customHeight="1" x14ac:dyDescent="0.3"/>
  <cols>
    <col min="1" max="1" width="2.5546875" style="24" customWidth="1" collapsed="1"/>
    <col min="2" max="2" width="45.44140625" style="24" customWidth="1" collapsed="1"/>
    <col min="3" max="3" width="12.5546875" style="26" customWidth="1" collapsed="1"/>
    <col min="4" max="12" width="8.6640625" style="26" customWidth="1" collapsed="1"/>
    <col min="13" max="14" width="8.6640625" style="22" customWidth="1" collapsed="1"/>
    <col min="15" max="15" width="13.109375" style="22" customWidth="1" collapsed="1"/>
    <col min="16" max="17" width="8.6640625" style="22" customWidth="1" collapsed="1"/>
    <col min="18" max="23" width="8.6640625" style="26" customWidth="1" collapsed="1"/>
    <col min="24" max="26" width="3.6640625" style="24" customWidth="1" collapsed="1"/>
    <col min="27" max="27" width="21" style="24" customWidth="1" collapsed="1"/>
    <col min="28" max="32" width="10.6640625" style="24" customWidth="1" collapsed="1"/>
    <col min="33" max="33" width="10.6640625" style="24" customWidth="1"/>
    <col min="34" max="42" width="10.6640625" style="24" customWidth="1" collapsed="1"/>
    <col min="43" max="43" width="3.33203125" style="24" customWidth="1" collapsed="1"/>
    <col min="44" max="44" width="3.6640625" style="24" customWidth="1" collapsed="1"/>
    <col min="45" max="45" width="4" style="24" hidden="1" customWidth="1" collapsed="1"/>
    <col min="46" max="46" width="25.88671875" style="24" hidden="1" customWidth="1" collapsed="1"/>
    <col min="47" max="62" width="0" style="24" hidden="1" customWidth="1" collapsed="1"/>
    <col min="63" max="63" width="3.5546875" style="24" hidden="1" customWidth="1" collapsed="1"/>
    <col min="64" max="64" width="0" style="24" hidden="1" customWidth="1" collapsed="1"/>
    <col min="65" max="65" width="3.33203125" style="24" customWidth="1" collapsed="1"/>
    <col min="66" max="82" width="10.6640625" style="24" customWidth="1" collapsed="1"/>
    <col min="83" max="83" width="11.5546875" style="24" customWidth="1" collapsed="1"/>
    <col min="84" max="84" width="9.109375" style="24"/>
    <col min="85" max="16384" width="9.109375" style="24" collapsed="1"/>
  </cols>
  <sheetData>
    <row r="1" spans="1:83" ht="12.75" customHeight="1" x14ac:dyDescent="0.3">
      <c r="A1" s="16"/>
      <c r="B1" s="16"/>
      <c r="C1" s="35"/>
      <c r="D1" s="35"/>
      <c r="E1" s="35"/>
      <c r="F1" s="35"/>
      <c r="G1" s="35"/>
      <c r="H1" s="35"/>
      <c r="I1" s="35"/>
      <c r="J1" s="35"/>
      <c r="K1" s="35"/>
      <c r="L1" s="35"/>
      <c r="M1" s="35"/>
      <c r="N1" s="35"/>
      <c r="O1" s="35"/>
      <c r="P1" s="35"/>
      <c r="Q1" s="35"/>
      <c r="R1" s="35"/>
      <c r="S1" s="35"/>
      <c r="T1" s="35"/>
      <c r="U1" s="35"/>
      <c r="V1" s="35"/>
      <c r="W1" s="35"/>
      <c r="X1" s="16"/>
      <c r="Y1" s="153"/>
      <c r="Z1" s="16"/>
      <c r="AA1" s="16"/>
      <c r="AB1" s="16"/>
      <c r="AC1" s="16"/>
      <c r="AD1" s="16"/>
      <c r="AE1" s="16"/>
      <c r="AF1" s="16"/>
      <c r="AG1" s="16"/>
      <c r="AH1" s="151"/>
      <c r="AI1" s="16"/>
      <c r="AJ1" s="16"/>
      <c r="AK1" s="16"/>
      <c r="AL1" s="16"/>
      <c r="AM1" s="16"/>
      <c r="AN1" s="16"/>
      <c r="AO1" s="16"/>
      <c r="AP1" s="16"/>
      <c r="AQ1" s="16"/>
      <c r="AR1" s="43"/>
      <c r="AS1" s="2"/>
      <c r="AT1" s="2"/>
      <c r="AU1" s="2"/>
      <c r="AV1" s="2"/>
      <c r="AW1" s="2"/>
      <c r="AX1" s="2"/>
      <c r="AY1" s="2"/>
      <c r="AZ1" s="42"/>
      <c r="BA1" s="2"/>
      <c r="BB1" s="2"/>
      <c r="BC1" s="2"/>
      <c r="BD1" s="2"/>
      <c r="BE1" s="2"/>
      <c r="BF1" s="2"/>
      <c r="BG1" s="2"/>
      <c r="BH1" s="2"/>
      <c r="BI1" s="2"/>
      <c r="BJ1" s="2"/>
      <c r="BK1" s="2"/>
      <c r="BL1" s="43"/>
      <c r="BM1" s="2"/>
      <c r="BN1" s="2"/>
      <c r="BO1" s="2"/>
      <c r="BP1" s="2"/>
      <c r="BQ1" s="2"/>
      <c r="BR1" s="2"/>
      <c r="BS1" s="2"/>
      <c r="BT1" s="2"/>
      <c r="BU1" s="2"/>
      <c r="BV1" s="2"/>
      <c r="BW1" s="2"/>
      <c r="BX1" s="2"/>
      <c r="BY1" s="2"/>
      <c r="BZ1" s="2"/>
      <c r="CA1" s="2"/>
      <c r="CB1" s="2"/>
      <c r="CC1" s="2"/>
      <c r="CD1" s="2"/>
      <c r="CE1" s="2"/>
    </row>
    <row r="2" spans="1:83" ht="12.75" customHeight="1" x14ac:dyDescent="0.3">
      <c r="A2" s="16"/>
      <c r="B2" s="44" t="s">
        <v>52</v>
      </c>
      <c r="C2" s="35"/>
      <c r="D2" s="35"/>
      <c r="E2" s="35"/>
      <c r="F2" s="35"/>
      <c r="G2" s="35"/>
      <c r="H2" s="35"/>
      <c r="I2" s="35"/>
      <c r="J2" s="35"/>
      <c r="K2" s="35"/>
      <c r="L2" s="35"/>
      <c r="M2" s="35"/>
      <c r="N2" s="35"/>
      <c r="O2" s="35"/>
      <c r="P2" s="35"/>
      <c r="Q2" s="35"/>
      <c r="R2" s="35"/>
      <c r="S2" s="35"/>
      <c r="T2" s="35"/>
      <c r="U2" s="35"/>
      <c r="V2" s="35"/>
      <c r="W2" s="35"/>
      <c r="X2" s="16"/>
      <c r="Y2" s="153"/>
      <c r="Z2" s="16"/>
      <c r="AA2" s="44" t="s">
        <v>53</v>
      </c>
      <c r="AB2" s="16"/>
      <c r="AC2" s="16"/>
      <c r="AD2" s="16"/>
      <c r="AE2" s="16"/>
      <c r="AF2" s="16"/>
      <c r="AG2" s="16"/>
      <c r="AH2" s="16"/>
      <c r="AI2" s="16"/>
      <c r="AJ2" s="16"/>
      <c r="AK2" s="16"/>
      <c r="AL2" s="16"/>
      <c r="AM2" s="16"/>
      <c r="AN2" s="16"/>
      <c r="AO2" s="16"/>
      <c r="AP2" s="16"/>
      <c r="AQ2" s="16"/>
      <c r="AR2" s="43"/>
      <c r="AS2" s="2"/>
      <c r="AT2" s="44" t="s">
        <v>54</v>
      </c>
      <c r="AU2" s="2"/>
      <c r="AV2" s="2"/>
      <c r="AW2" s="2"/>
      <c r="AX2" s="2"/>
      <c r="AY2" s="2"/>
      <c r="AZ2" s="2"/>
      <c r="BA2" s="2"/>
      <c r="BB2" s="2"/>
      <c r="BC2" s="2"/>
      <c r="BD2" s="2"/>
      <c r="BE2" s="2"/>
      <c r="BF2" s="2"/>
      <c r="BG2" s="2"/>
      <c r="BH2" s="2"/>
      <c r="BI2" s="2"/>
      <c r="BJ2" s="2"/>
      <c r="BK2" s="2"/>
      <c r="BL2" s="43"/>
      <c r="BM2" s="2"/>
      <c r="BN2" s="44" t="s">
        <v>55</v>
      </c>
      <c r="BO2" s="2"/>
      <c r="BP2" s="2"/>
      <c r="BQ2" s="2"/>
      <c r="BR2" s="2"/>
      <c r="BS2" s="207"/>
      <c r="BT2" s="2" t="s">
        <v>56</v>
      </c>
      <c r="BU2" s="108" t="str">
        <f>ChemName</f>
        <v>default substance</v>
      </c>
      <c r="BV2" s="2"/>
      <c r="BW2" s="2" t="s">
        <v>57</v>
      </c>
      <c r="BX2" s="2" t="str">
        <f>CONCATENATE(version!$B$2," ",version!$B$3," ",version!$C$3)</f>
        <v>SimpleBox4plastics vs 4.04-plastic 45387</v>
      </c>
      <c r="BY2" s="2"/>
      <c r="BZ2" s="2"/>
      <c r="CA2" s="2"/>
      <c r="CB2" s="2"/>
      <c r="CC2" s="2"/>
      <c r="CD2" s="2"/>
      <c r="CE2" s="2"/>
    </row>
    <row r="3" spans="1:83" ht="12.75" customHeight="1" x14ac:dyDescent="0.3">
      <c r="A3" s="16"/>
      <c r="B3" s="16"/>
      <c r="C3" s="35"/>
      <c r="D3" s="35"/>
      <c r="E3" s="35"/>
      <c r="F3" s="35"/>
      <c r="G3" s="35"/>
      <c r="H3" s="35"/>
      <c r="I3" s="35"/>
      <c r="J3" s="35"/>
      <c r="K3" s="35"/>
      <c r="L3" s="35"/>
      <c r="M3" s="35"/>
      <c r="N3" s="35"/>
      <c r="O3" s="35"/>
      <c r="P3" s="35"/>
      <c r="Q3" s="35"/>
      <c r="R3" s="35"/>
      <c r="S3" s="35"/>
      <c r="T3" s="35"/>
      <c r="U3" s="35"/>
      <c r="V3" s="35"/>
      <c r="W3" s="35"/>
      <c r="X3" s="16"/>
      <c r="Y3" s="153"/>
      <c r="Z3" s="16"/>
      <c r="AA3" s="16"/>
      <c r="AB3" s="16"/>
      <c r="AC3" s="16"/>
      <c r="AD3" s="16"/>
      <c r="AE3" s="16"/>
      <c r="AF3" s="16"/>
      <c r="AG3" s="16"/>
      <c r="AH3" s="16"/>
      <c r="AI3" s="16"/>
      <c r="AJ3" s="16"/>
      <c r="AK3" s="16"/>
      <c r="AL3" s="16"/>
      <c r="AM3" s="16"/>
      <c r="AN3" s="16"/>
      <c r="AO3" s="16"/>
      <c r="AP3" s="16"/>
      <c r="AQ3" s="16"/>
      <c r="AR3" s="43"/>
      <c r="AS3" s="2"/>
      <c r="AT3" s="2"/>
      <c r="AU3" s="2"/>
      <c r="AV3" s="2"/>
      <c r="AW3" s="2"/>
      <c r="AX3" s="2"/>
      <c r="AY3" s="2"/>
      <c r="AZ3" s="2"/>
      <c r="BA3" s="2"/>
      <c r="BB3" s="2"/>
      <c r="BC3" s="2"/>
      <c r="BD3" s="2"/>
      <c r="BE3" s="2"/>
      <c r="BF3" s="2"/>
      <c r="BG3" s="2"/>
      <c r="BH3" s="2"/>
      <c r="BI3" s="2"/>
      <c r="BJ3" s="2"/>
      <c r="BK3" s="2"/>
      <c r="BL3" s="43"/>
      <c r="BM3" s="2"/>
      <c r="BN3" s="72" t="s">
        <v>58</v>
      </c>
      <c r="BO3" s="2"/>
      <c r="BP3" s="2"/>
      <c r="BQ3" s="2"/>
      <c r="BR3" s="2"/>
      <c r="BS3" s="207"/>
      <c r="BT3" s="2"/>
      <c r="BU3" s="42"/>
      <c r="BV3" s="2"/>
      <c r="BW3" s="2" t="s">
        <v>59</v>
      </c>
      <c r="BX3" s="6">
        <f ca="1">TODAY()</f>
        <v>45387</v>
      </c>
      <c r="BY3" s="2"/>
      <c r="BZ3" s="2"/>
      <c r="CA3" s="2"/>
      <c r="CB3" s="2"/>
      <c r="CC3" s="2"/>
      <c r="CD3" s="2"/>
      <c r="CE3" s="2"/>
    </row>
    <row r="4" spans="1:83" ht="12.75" customHeight="1" x14ac:dyDescent="0.3">
      <c r="A4" s="16"/>
      <c r="B4" s="20" t="s">
        <v>57</v>
      </c>
      <c r="C4" s="35" t="str">
        <f>CONCATENATE(version!$B$2," ",version!$B$3," ",version!$C$3)</f>
        <v>SimpleBox4plastics vs 4.04-plastic 45387</v>
      </c>
      <c r="D4" s="35"/>
      <c r="E4" s="35"/>
      <c r="F4" s="35"/>
      <c r="G4" s="20"/>
      <c r="H4" s="20"/>
      <c r="I4" s="20"/>
      <c r="J4" s="20"/>
      <c r="K4" s="35"/>
      <c r="L4" s="35"/>
      <c r="M4" s="35"/>
      <c r="N4" s="35"/>
      <c r="O4" s="35"/>
      <c r="P4" s="35"/>
      <c r="Q4" s="35"/>
      <c r="R4" s="35"/>
      <c r="S4" s="35"/>
      <c r="T4" s="35"/>
      <c r="U4" s="35"/>
      <c r="V4" s="35"/>
      <c r="W4" s="35"/>
      <c r="X4" s="16"/>
      <c r="Y4" s="153"/>
      <c r="Z4" s="16"/>
      <c r="AA4" s="20" t="s">
        <v>57</v>
      </c>
      <c r="AB4" s="35" t="str">
        <f>CONCATENATE(version!$B$2," ",version!$B$3," ",version!$C$3)</f>
        <v>SimpleBox4plastics vs 4.04-plastic 45387</v>
      </c>
      <c r="AC4" s="35"/>
      <c r="AD4" s="35"/>
      <c r="AE4" s="35"/>
      <c r="AF4" s="20"/>
      <c r="AG4" s="20"/>
      <c r="AH4" s="20"/>
      <c r="AI4" s="20"/>
      <c r="AJ4" s="20"/>
      <c r="AK4" s="35"/>
      <c r="AL4" s="715"/>
      <c r="AM4" s="716"/>
      <c r="AN4" s="16"/>
      <c r="AO4" s="16"/>
      <c r="AP4" s="16"/>
      <c r="AQ4" s="16"/>
      <c r="AR4" s="43"/>
      <c r="AS4" s="2"/>
      <c r="AT4" s="20" t="s">
        <v>57</v>
      </c>
      <c r="AU4" s="9" t="s">
        <v>60</v>
      </c>
      <c r="AV4" s="9"/>
      <c r="AW4" s="9"/>
      <c r="AX4" s="9"/>
      <c r="AY4" s="20"/>
      <c r="AZ4" s="20"/>
      <c r="BA4" s="20"/>
      <c r="BB4" s="20"/>
      <c r="BC4" s="9"/>
      <c r="BD4" s="50"/>
      <c r="BE4" s="51"/>
      <c r="BF4" s="2"/>
      <c r="BG4" s="2"/>
      <c r="BH4" s="2"/>
      <c r="BI4" s="2"/>
      <c r="BJ4" s="2"/>
      <c r="BK4" s="2"/>
      <c r="BL4" s="43"/>
      <c r="BM4" s="2"/>
      <c r="BN4" s="2"/>
      <c r="BO4" s="110"/>
      <c r="BP4" s="110"/>
      <c r="BQ4" s="110"/>
      <c r="BR4" s="2"/>
      <c r="BS4" s="110"/>
      <c r="BT4" s="110"/>
      <c r="BU4" s="110"/>
      <c r="BV4" s="110"/>
      <c r="BW4" s="110"/>
      <c r="BX4" s="2"/>
      <c r="BY4" s="2"/>
      <c r="BZ4" s="2"/>
      <c r="CA4" s="2"/>
      <c r="CB4" s="110"/>
      <c r="CC4" s="110"/>
      <c r="CD4" s="109">
        <f>AF12</f>
        <v>0</v>
      </c>
      <c r="CE4" s="2"/>
    </row>
    <row r="5" spans="1:83" ht="12.75" customHeight="1" x14ac:dyDescent="0.35">
      <c r="A5" s="16"/>
      <c r="B5" s="20" t="s">
        <v>61</v>
      </c>
      <c r="C5" s="717" t="str">
        <f>ChemName</f>
        <v>default substance</v>
      </c>
      <c r="D5" s="35"/>
      <c r="E5" s="35"/>
      <c r="F5" s="35"/>
      <c r="G5" s="380"/>
      <c r="H5" s="381"/>
      <c r="I5" s="381"/>
      <c r="J5" s="381"/>
      <c r="K5" s="35"/>
      <c r="L5" s="35"/>
      <c r="M5" s="35"/>
      <c r="N5" s="35"/>
      <c r="O5" s="35"/>
      <c r="P5" s="383"/>
      <c r="Q5" s="35"/>
      <c r="R5" s="35"/>
      <c r="S5" s="35"/>
      <c r="T5" s="35"/>
      <c r="U5" s="35"/>
      <c r="V5" s="35"/>
      <c r="W5" s="35"/>
      <c r="X5" s="16"/>
      <c r="Y5" s="153"/>
      <c r="Z5" s="16"/>
      <c r="AA5" s="20" t="s">
        <v>61</v>
      </c>
      <c r="AB5" s="717" t="str">
        <f>ChemName</f>
        <v>default substance</v>
      </c>
      <c r="AC5" s="35"/>
      <c r="AD5" s="35"/>
      <c r="AE5" s="35"/>
      <c r="AF5" s="20"/>
      <c r="AG5" s="20"/>
      <c r="AH5" s="20"/>
      <c r="AI5" s="20"/>
      <c r="AJ5" s="20"/>
      <c r="AK5" s="35"/>
      <c r="AL5" s="718"/>
      <c r="AM5" s="716"/>
      <c r="AN5" s="16"/>
      <c r="AO5" s="16"/>
      <c r="AP5" s="16"/>
      <c r="AQ5" s="16"/>
      <c r="AR5" s="43"/>
      <c r="AS5" s="2"/>
      <c r="AT5" s="20" t="s">
        <v>61</v>
      </c>
      <c r="AU5" s="53" t="s">
        <v>62</v>
      </c>
      <c r="AV5" s="9"/>
      <c r="AW5" s="9"/>
      <c r="AX5" s="9"/>
      <c r="AY5" s="20"/>
      <c r="AZ5" s="20"/>
      <c r="BA5" s="20"/>
      <c r="BB5" s="20"/>
      <c r="BC5" s="9"/>
      <c r="BD5" s="54"/>
      <c r="BE5" s="51"/>
      <c r="BF5" s="2"/>
      <c r="BG5" s="2"/>
      <c r="BH5" s="2"/>
      <c r="BI5" s="2"/>
      <c r="BJ5" s="2"/>
      <c r="BK5" s="2"/>
      <c r="BL5" s="43"/>
      <c r="BM5" s="2"/>
      <c r="BN5" s="2"/>
      <c r="BO5" s="110"/>
      <c r="BP5" s="52"/>
      <c r="BQ5" s="2"/>
      <c r="BR5" s="110"/>
      <c r="BS5" s="110"/>
      <c r="BT5" s="110"/>
      <c r="BU5" s="110"/>
      <c r="BV5" s="110"/>
      <c r="BW5" s="110"/>
      <c r="BX5" s="2"/>
      <c r="BY5" s="2"/>
      <c r="BZ5" s="2"/>
      <c r="CA5" s="2"/>
      <c r="CB5" s="110"/>
      <c r="CC5" s="110"/>
      <c r="CD5" s="110"/>
      <c r="CE5" s="2"/>
    </row>
    <row r="6" spans="1:83" ht="12.75" customHeight="1" x14ac:dyDescent="0.3">
      <c r="A6" s="16"/>
      <c r="B6" s="20" t="s">
        <v>63</v>
      </c>
      <c r="C6" s="733" t="str">
        <f>ScenarioName</f>
        <v>default scenario</v>
      </c>
      <c r="D6" s="35"/>
      <c r="E6" s="35"/>
      <c r="F6" s="35"/>
      <c r="G6" s="20"/>
      <c r="H6" s="20"/>
      <c r="I6" s="20"/>
      <c r="J6" s="20"/>
      <c r="K6" s="35"/>
      <c r="L6" s="35"/>
      <c r="M6" s="35"/>
      <c r="N6" s="35"/>
      <c r="O6" s="35"/>
      <c r="P6" s="35"/>
      <c r="Q6" s="35"/>
      <c r="R6" s="35"/>
      <c r="S6" s="35"/>
      <c r="T6" s="35"/>
      <c r="U6" s="35"/>
      <c r="V6" s="35"/>
      <c r="W6" s="35"/>
      <c r="X6" s="16"/>
      <c r="Y6" s="153"/>
      <c r="Z6" s="16"/>
      <c r="AA6" s="20" t="s">
        <v>63</v>
      </c>
      <c r="AB6" s="733" t="str">
        <f>ScenarioName</f>
        <v>default scenario</v>
      </c>
      <c r="AC6" s="35"/>
      <c r="AD6" s="35"/>
      <c r="AE6" s="35"/>
      <c r="AF6" s="20"/>
      <c r="AG6" s="20"/>
      <c r="AH6" s="20"/>
      <c r="AI6" s="20"/>
      <c r="AJ6" s="20"/>
      <c r="AK6" s="35"/>
      <c r="AL6" s="718"/>
      <c r="AM6" s="716"/>
      <c r="AN6" s="16"/>
      <c r="AO6" s="16"/>
      <c r="AP6" s="16"/>
      <c r="AQ6" s="16"/>
      <c r="AR6" s="43"/>
      <c r="AS6" s="2"/>
      <c r="AT6" s="20" t="s">
        <v>63</v>
      </c>
      <c r="AU6" s="53" t="s">
        <v>64</v>
      </c>
      <c r="AV6" s="9"/>
      <c r="AW6" s="9"/>
      <c r="AX6" s="9"/>
      <c r="AY6" s="20"/>
      <c r="AZ6" s="20"/>
      <c r="BA6" s="20"/>
      <c r="BB6" s="20"/>
      <c r="BC6" s="9"/>
      <c r="BD6" s="54"/>
      <c r="BE6" s="51"/>
      <c r="BF6" s="2"/>
      <c r="BG6" s="2"/>
      <c r="BH6" s="2"/>
      <c r="BI6" s="2"/>
      <c r="BJ6" s="2"/>
      <c r="BK6" s="2"/>
      <c r="BL6" s="43"/>
      <c r="BM6" s="2"/>
      <c r="BN6" s="2"/>
      <c r="BO6" s="2"/>
      <c r="BP6" s="2"/>
      <c r="BQ6" s="110"/>
      <c r="BR6" s="81"/>
      <c r="BS6" s="2"/>
      <c r="BT6" s="2"/>
      <c r="BU6" s="110"/>
      <c r="BV6" s="110"/>
      <c r="BW6" s="110"/>
      <c r="BX6" s="2"/>
      <c r="BY6" s="2"/>
      <c r="BZ6" s="2"/>
      <c r="CA6" s="2"/>
      <c r="CB6" s="110"/>
      <c r="CC6" s="110"/>
      <c r="CD6" s="110"/>
      <c r="CE6" s="2"/>
    </row>
    <row r="7" spans="1:83" ht="12.75" customHeight="1" x14ac:dyDescent="0.3">
      <c r="A7" s="16"/>
      <c r="B7" s="20" t="s">
        <v>65</v>
      </c>
      <c r="C7" s="733" t="str">
        <f>CaseName</f>
        <v>defaults only</v>
      </c>
      <c r="D7" s="35"/>
      <c r="E7" s="35"/>
      <c r="F7" s="35"/>
      <c r="G7" s="382"/>
      <c r="H7" s="20"/>
      <c r="I7" s="20"/>
      <c r="J7" s="20"/>
      <c r="K7" s="35"/>
      <c r="L7" s="35"/>
      <c r="M7" s="35"/>
      <c r="N7" s="35"/>
      <c r="O7" s="35"/>
      <c r="P7" s="35"/>
      <c r="Q7" s="35"/>
      <c r="R7" s="35"/>
      <c r="S7" s="35"/>
      <c r="T7" s="35"/>
      <c r="U7" s="35"/>
      <c r="V7" s="35"/>
      <c r="W7" s="35"/>
      <c r="X7" s="16"/>
      <c r="Y7" s="153"/>
      <c r="Z7" s="16"/>
      <c r="AA7" s="20" t="s">
        <v>65</v>
      </c>
      <c r="AB7" s="733" t="str">
        <f>CaseName</f>
        <v>defaults only</v>
      </c>
      <c r="AC7" s="35"/>
      <c r="AD7" s="35"/>
      <c r="AE7" s="731"/>
      <c r="AF7" s="732"/>
      <c r="AG7" s="732"/>
      <c r="AH7" s="20"/>
      <c r="AI7" s="20"/>
      <c r="AJ7" s="20"/>
      <c r="AK7" s="35"/>
      <c r="AL7" s="718"/>
      <c r="AM7" s="716"/>
      <c r="AN7" s="16"/>
      <c r="AO7" s="16"/>
      <c r="AP7" s="16"/>
      <c r="AQ7" s="16"/>
      <c r="AR7" s="43"/>
      <c r="AS7" s="2"/>
      <c r="AT7" s="20" t="s">
        <v>65</v>
      </c>
      <c r="AU7" s="53" t="s">
        <v>66</v>
      </c>
      <c r="AV7" s="9"/>
      <c r="AW7" s="9"/>
      <c r="AX7" s="9"/>
      <c r="AY7" s="20"/>
      <c r="AZ7" s="20"/>
      <c r="BA7" s="20"/>
      <c r="BB7" s="20"/>
      <c r="BC7" s="9"/>
      <c r="BD7" s="54"/>
      <c r="BE7" s="51"/>
      <c r="BF7" s="2"/>
      <c r="BG7" s="2"/>
      <c r="BH7" s="2"/>
      <c r="BI7" s="2"/>
      <c r="BJ7" s="2"/>
      <c r="BK7" s="2"/>
      <c r="BL7" s="43"/>
      <c r="BM7" s="2"/>
      <c r="BN7" s="2"/>
      <c r="BO7" s="2"/>
      <c r="BP7" s="2"/>
      <c r="BQ7" s="110"/>
      <c r="BR7" s="81"/>
      <c r="BS7" s="73" t="s">
        <v>67</v>
      </c>
      <c r="BT7" s="74">
        <f>IF(ISERROR(D12),0,D12)</f>
        <v>0</v>
      </c>
      <c r="BU7" s="110"/>
      <c r="BV7" s="110"/>
      <c r="BW7" s="110"/>
      <c r="BX7" s="2"/>
      <c r="BY7" s="2"/>
      <c r="BZ7" s="2"/>
      <c r="CA7" s="2"/>
      <c r="CB7" s="110"/>
      <c r="CC7" s="110"/>
      <c r="CD7" s="110"/>
      <c r="CE7" s="2"/>
    </row>
    <row r="8" spans="1:83" ht="12.75" customHeight="1" thickBot="1" x14ac:dyDescent="0.35">
      <c r="A8" s="16"/>
      <c r="B8" s="16"/>
      <c r="C8" s="35"/>
      <c r="D8" s="35"/>
      <c r="E8" s="35"/>
      <c r="F8" s="35"/>
      <c r="G8" s="35"/>
      <c r="H8" s="35"/>
      <c r="I8" s="35"/>
      <c r="J8" s="35"/>
      <c r="K8" s="35"/>
      <c r="L8" s="35"/>
      <c r="M8" s="35"/>
      <c r="N8" s="35"/>
      <c r="O8" s="35"/>
      <c r="P8" s="35"/>
      <c r="Q8" s="35"/>
      <c r="R8" s="35"/>
      <c r="S8" s="35"/>
      <c r="T8" s="35"/>
      <c r="U8" s="35"/>
      <c r="V8" s="35"/>
      <c r="W8" s="35"/>
      <c r="X8" s="16"/>
      <c r="Y8" s="153"/>
      <c r="Z8" s="16"/>
      <c r="AA8" s="16"/>
      <c r="AB8" s="16"/>
      <c r="AC8" s="16"/>
      <c r="AD8" s="16"/>
      <c r="AE8" s="16"/>
      <c r="AF8" s="16"/>
      <c r="AG8" s="16"/>
      <c r="AH8" s="16"/>
      <c r="AI8" s="16"/>
      <c r="AJ8" s="16"/>
      <c r="AK8" s="16"/>
      <c r="AL8" s="16"/>
      <c r="AM8" s="16"/>
      <c r="AN8" s="16"/>
      <c r="AO8" s="16"/>
      <c r="AP8" s="16"/>
      <c r="AQ8" s="16"/>
      <c r="AR8" s="43"/>
      <c r="AS8" s="2"/>
      <c r="AT8" s="2"/>
      <c r="AU8" s="2"/>
      <c r="AV8" s="2"/>
      <c r="AW8" s="2"/>
      <c r="AX8" s="2"/>
      <c r="AY8" s="2"/>
      <c r="AZ8" s="2"/>
      <c r="BA8" s="2"/>
      <c r="BB8" s="2"/>
      <c r="BC8" s="2"/>
      <c r="BD8" s="2"/>
      <c r="BE8" s="2"/>
      <c r="BF8" s="2"/>
      <c r="BG8" s="2"/>
      <c r="BH8" s="2"/>
      <c r="BI8" s="2"/>
      <c r="BJ8" s="2"/>
      <c r="BK8" s="2"/>
      <c r="BL8" s="43"/>
      <c r="BM8" s="2"/>
      <c r="BN8" s="2"/>
      <c r="BO8" s="2"/>
      <c r="BP8" s="2"/>
      <c r="BQ8" s="110"/>
      <c r="BR8" s="81"/>
      <c r="BS8" s="2"/>
      <c r="BT8" s="2"/>
      <c r="BU8" s="110"/>
      <c r="BV8" s="110"/>
      <c r="BW8" s="110"/>
      <c r="BX8" s="2"/>
      <c r="BY8" s="2"/>
      <c r="BZ8" s="2"/>
      <c r="CA8" s="2"/>
      <c r="CB8" s="110"/>
      <c r="CC8" s="110"/>
      <c r="CD8" s="110"/>
      <c r="CE8" s="2"/>
    </row>
    <row r="9" spans="1:83" ht="12.75" customHeight="1" x14ac:dyDescent="0.3">
      <c r="A9" s="16"/>
      <c r="B9" s="154"/>
      <c r="C9" s="102" t="s">
        <v>68</v>
      </c>
      <c r="D9" s="76"/>
      <c r="E9" s="76"/>
      <c r="F9" s="76"/>
      <c r="G9" s="76"/>
      <c r="H9" s="76"/>
      <c r="I9" s="76"/>
      <c r="J9" s="76"/>
      <c r="K9" s="76"/>
      <c r="L9" s="99"/>
      <c r="M9" s="102" t="s">
        <v>69</v>
      </c>
      <c r="N9" s="76"/>
      <c r="O9" s="76"/>
      <c r="P9" s="76"/>
      <c r="Q9" s="76"/>
      <c r="R9" s="99"/>
      <c r="S9" s="102" t="s">
        <v>70</v>
      </c>
      <c r="T9" s="76"/>
      <c r="U9" s="76"/>
      <c r="V9" s="76"/>
      <c r="W9" s="99"/>
      <c r="X9" s="16"/>
      <c r="Y9" s="153"/>
      <c r="Z9" s="16"/>
      <c r="AA9" s="735" t="s">
        <v>71</v>
      </c>
      <c r="AB9" s="719"/>
      <c r="AC9" s="720" t="s">
        <v>72</v>
      </c>
      <c r="AD9" s="721" t="s">
        <v>73</v>
      </c>
      <c r="AE9" s="721" t="s">
        <v>74</v>
      </c>
      <c r="AF9" s="721" t="s">
        <v>75</v>
      </c>
      <c r="AG9" s="721" t="s">
        <v>76</v>
      </c>
      <c r="AH9" s="722" t="s">
        <v>77</v>
      </c>
      <c r="AI9" s="721" t="s">
        <v>78</v>
      </c>
      <c r="AJ9" s="721" t="s">
        <v>79</v>
      </c>
      <c r="AK9" s="721" t="s">
        <v>80</v>
      </c>
      <c r="AL9" s="721" t="s">
        <v>81</v>
      </c>
      <c r="AM9" s="721" t="s">
        <v>82</v>
      </c>
      <c r="AN9" s="721" t="s">
        <v>83</v>
      </c>
      <c r="AO9" s="722" t="s">
        <v>84</v>
      </c>
      <c r="AP9" s="720" t="s">
        <v>85</v>
      </c>
      <c r="AQ9" s="16"/>
      <c r="AR9" s="43"/>
      <c r="AS9" s="2"/>
      <c r="AT9" s="55"/>
      <c r="AU9" s="45" t="s">
        <v>86</v>
      </c>
      <c r="AV9" s="45" t="s">
        <v>87</v>
      </c>
      <c r="AW9" s="45" t="s">
        <v>88</v>
      </c>
      <c r="AX9" s="45" t="s">
        <v>89</v>
      </c>
      <c r="AY9" s="45" t="s">
        <v>90</v>
      </c>
      <c r="AZ9" s="45" t="s">
        <v>91</v>
      </c>
      <c r="BA9" s="45" t="s">
        <v>92</v>
      </c>
      <c r="BB9" s="47" t="s">
        <v>93</v>
      </c>
      <c r="BC9" s="46" t="s">
        <v>94</v>
      </c>
      <c r="BD9" s="45" t="s">
        <v>95</v>
      </c>
      <c r="BE9" s="45" t="s">
        <v>96</v>
      </c>
      <c r="BF9" s="45" t="s">
        <v>97</v>
      </c>
      <c r="BG9" s="45" t="s">
        <v>98</v>
      </c>
      <c r="BH9" s="45" t="s">
        <v>99</v>
      </c>
      <c r="BI9" s="45" t="s">
        <v>100</v>
      </c>
      <c r="BJ9" s="47" t="s">
        <v>101</v>
      </c>
      <c r="BK9" s="2"/>
      <c r="BL9" s="43"/>
      <c r="BM9" s="2"/>
      <c r="BN9" s="125" t="s">
        <v>102</v>
      </c>
      <c r="BO9" s="126"/>
      <c r="BP9" s="127">
        <f>AD12</f>
        <v>0</v>
      </c>
      <c r="BQ9" s="110"/>
      <c r="BR9" s="75"/>
      <c r="BS9" s="110"/>
      <c r="BT9" s="110"/>
      <c r="BU9" s="110"/>
      <c r="BV9" s="110"/>
      <c r="BW9" s="110"/>
      <c r="BX9" s="2"/>
      <c r="BY9" s="2"/>
      <c r="BZ9" s="2"/>
      <c r="CA9" s="2"/>
      <c r="CB9" s="110"/>
      <c r="CC9" s="110"/>
      <c r="CD9" s="110"/>
      <c r="CE9" s="2"/>
    </row>
    <row r="10" spans="1:83" ht="12.75" customHeight="1" thickBot="1" x14ac:dyDescent="0.35">
      <c r="A10" s="16"/>
      <c r="B10" s="155"/>
      <c r="C10" s="40" t="s">
        <v>103</v>
      </c>
      <c r="D10" s="40"/>
      <c r="E10" s="40" t="s">
        <v>104</v>
      </c>
      <c r="F10" s="40"/>
      <c r="G10" s="40" t="s">
        <v>105</v>
      </c>
      <c r="H10" s="40"/>
      <c r="I10" s="40" t="s">
        <v>106</v>
      </c>
      <c r="J10" s="40"/>
      <c r="K10" s="40" t="s">
        <v>107</v>
      </c>
      <c r="L10" s="41"/>
      <c r="M10" s="78" t="s">
        <v>103</v>
      </c>
      <c r="N10" s="78" t="s">
        <v>104</v>
      </c>
      <c r="O10" s="78" t="s">
        <v>105</v>
      </c>
      <c r="P10" s="78" t="s">
        <v>106</v>
      </c>
      <c r="Q10" s="78" t="s">
        <v>107</v>
      </c>
      <c r="R10" s="100"/>
      <c r="S10" s="78" t="s">
        <v>103</v>
      </c>
      <c r="T10" s="78" t="s">
        <v>104</v>
      </c>
      <c r="U10" s="78" t="s">
        <v>105</v>
      </c>
      <c r="V10" s="78" t="s">
        <v>106</v>
      </c>
      <c r="W10" s="100" t="s">
        <v>107</v>
      </c>
      <c r="X10" s="16"/>
      <c r="Y10" s="153"/>
      <c r="Z10" s="16"/>
      <c r="AA10" s="723"/>
      <c r="AB10" s="724"/>
      <c r="AC10" s="707"/>
      <c r="AD10" s="299"/>
      <c r="AE10" s="299"/>
      <c r="AF10" s="299"/>
      <c r="AG10" s="299"/>
      <c r="AH10" s="651"/>
      <c r="AI10" s="299" t="s">
        <v>108</v>
      </c>
      <c r="AJ10" s="299" t="s">
        <v>108</v>
      </c>
      <c r="AK10" s="299" t="s">
        <v>108</v>
      </c>
      <c r="AL10" s="299" t="s">
        <v>108</v>
      </c>
      <c r="AM10" s="299" t="s">
        <v>108</v>
      </c>
      <c r="AN10" s="299" t="s">
        <v>108</v>
      </c>
      <c r="AO10" s="651" t="s">
        <v>108</v>
      </c>
      <c r="AP10" s="707" t="s">
        <v>109</v>
      </c>
      <c r="AQ10" s="16"/>
      <c r="AR10" s="43"/>
      <c r="AS10" s="2"/>
      <c r="AT10" s="56"/>
      <c r="AU10" s="57"/>
      <c r="AV10" s="57"/>
      <c r="AW10" s="57"/>
      <c r="AX10" s="57"/>
      <c r="AY10" s="57"/>
      <c r="AZ10" s="57"/>
      <c r="BA10" s="57"/>
      <c r="BB10" s="58"/>
      <c r="BC10" s="49"/>
      <c r="BD10" s="57"/>
      <c r="BE10" s="57"/>
      <c r="BF10" s="57"/>
      <c r="BG10" s="57"/>
      <c r="BH10" s="57"/>
      <c r="BI10" s="57"/>
      <c r="BJ10" s="58"/>
      <c r="BK10" s="2"/>
      <c r="BL10" s="59"/>
      <c r="BM10" s="2"/>
      <c r="BN10" s="128">
        <f>AE12</f>
        <v>0</v>
      </c>
      <c r="BO10" s="129"/>
      <c r="BP10" s="129" t="s">
        <v>110</v>
      </c>
      <c r="BQ10" s="110"/>
      <c r="BR10" s="110"/>
      <c r="BS10" s="110"/>
      <c r="BT10" s="110"/>
      <c r="BU10" s="2"/>
      <c r="BV10" s="110"/>
      <c r="BW10" s="110"/>
      <c r="BX10" s="2"/>
      <c r="BY10" s="16" t="s">
        <v>111</v>
      </c>
      <c r="BZ10" s="2"/>
      <c r="CA10" s="2"/>
      <c r="CB10" s="110"/>
      <c r="CC10" s="110"/>
      <c r="CD10" s="110"/>
      <c r="CE10" s="2"/>
    </row>
    <row r="11" spans="1:83" ht="12.75" customHeight="1" x14ac:dyDescent="0.3">
      <c r="A11" s="16"/>
      <c r="B11" s="385" t="s">
        <v>112</v>
      </c>
      <c r="C11" s="386">
        <f>SUM(C12,C15:C17)</f>
        <v>34306.844822999134</v>
      </c>
      <c r="D11" s="379">
        <f t="shared" ref="D11:D17" si="0">C11/$C$103</f>
        <v>2.0734805069866121E-6</v>
      </c>
      <c r="E11" s="386">
        <f>SUM(E12,E15:E17)</f>
        <v>125031.32838982854</v>
      </c>
      <c r="F11" s="379">
        <f t="shared" ref="F11:F17" si="1">E11/$E$103</f>
        <v>3.8128611408661361E-6</v>
      </c>
      <c r="G11" s="378">
        <f>SUM(G12,G15:G17)</f>
        <v>77588.16358395516</v>
      </c>
      <c r="H11" s="379">
        <f t="shared" ref="H11:H17" si="2">G11/$G$103</f>
        <v>1.4999891876468219E-8</v>
      </c>
      <c r="I11" s="378">
        <f>SUM(I12,I15:I17)</f>
        <v>15994.048240418671</v>
      </c>
      <c r="J11" s="379">
        <f t="shared" ref="J11:J17" si="3">I11/$I$103</f>
        <v>4.6783660306022869E-9</v>
      </c>
      <c r="K11" s="378">
        <f>SUM(K12,K15:K17)</f>
        <v>23835.437558636931</v>
      </c>
      <c r="L11" s="394">
        <f t="shared" ref="L11:L17" si="4">K11/$K$103</f>
        <v>1.8649116373215244E-9</v>
      </c>
      <c r="M11" s="392">
        <f xml:space="preserve"> (M.aRG+M.aRS+M.aRA+M.aRP+M.cwRS+M.cwRA+M.cwRP)*(Molweight*1000)/(VOLUME.aR+VOLUME.cwR)</f>
        <v>1.4943958192709075E-7</v>
      </c>
      <c r="N11" s="392">
        <f xml:space="preserve"> (M.aCG+M.aCS+M.aCA+M.aCP+M.cwCS+M.cwCA+M.cwCP)*Molweight*1000/(VOLUME.aC+VOLUME.cwC)</f>
        <v>1.7367271367134049E-8</v>
      </c>
      <c r="O11" s="392">
        <f xml:space="preserve"> (M.aMG+M.aMS+M.aMA+M.aMP+M.cwMS+M.cwMA+M.cwMP)*Molweight*1000/(VOLUME.aM+VOLUME.cwM)</f>
        <v>1.0002189419312962E-9</v>
      </c>
      <c r="P11" s="392">
        <f xml:space="preserve"> (M.aAG+M.aAS+M.aAA+M.aAP+M.cwAS+M.cwAA+M.cwAP)*Molweight*1000/(VOLUME.aA+VOLUME.cwA)</f>
        <v>3.7633054683341432E-10</v>
      </c>
      <c r="Q11" s="392">
        <f xml:space="preserve"> (M.aTG+M.aTS+M.aTA+M.aTP+M.cwTS+M.cwTA+M.cwTP)*Molweight*1000/(VOLUME.aT+VOLUME.cwT)</f>
        <v>1.8694460830305158E-10</v>
      </c>
      <c r="R11" s="157" t="s">
        <v>113</v>
      </c>
      <c r="S11" s="375"/>
      <c r="T11" s="20"/>
      <c r="U11" s="20"/>
      <c r="V11" s="20"/>
      <c r="W11" s="20"/>
      <c r="X11" s="16"/>
      <c r="Y11" s="153"/>
      <c r="Z11" s="16"/>
      <c r="AA11" s="706" t="s">
        <v>114</v>
      </c>
      <c r="AB11" s="249"/>
      <c r="AC11" s="708"/>
      <c r="AD11" s="709"/>
      <c r="AE11" s="709"/>
      <c r="AF11" s="709"/>
      <c r="AG11" s="709"/>
      <c r="AH11" s="710"/>
      <c r="AI11" s="35"/>
      <c r="AJ11" s="35"/>
      <c r="AK11" s="35"/>
      <c r="AL11" s="35"/>
      <c r="AM11" s="35"/>
      <c r="AN11" s="35"/>
      <c r="AO11" s="157"/>
      <c r="AP11" s="725"/>
      <c r="AQ11" s="16"/>
      <c r="AR11" s="43"/>
      <c r="AS11" s="2"/>
      <c r="AT11" s="55" t="s">
        <v>72</v>
      </c>
      <c r="AU11" s="11"/>
      <c r="AV11" s="11"/>
      <c r="AW11" s="11"/>
      <c r="AX11" s="11"/>
      <c r="AY11" s="11"/>
      <c r="AZ11" s="11"/>
      <c r="BA11" s="11"/>
      <c r="BB11" s="11"/>
      <c r="BC11" s="11"/>
      <c r="BD11" s="11"/>
      <c r="BE11" s="11"/>
      <c r="BF11" s="11"/>
      <c r="BG11" s="11"/>
      <c r="BH11" s="11"/>
      <c r="BI11" s="11"/>
      <c r="BJ11" s="11"/>
      <c r="BK11" s="2"/>
      <c r="BL11" s="59"/>
      <c r="BM11" s="2"/>
      <c r="BN11" s="2"/>
      <c r="BO11" s="110"/>
      <c r="BP11" s="110"/>
      <c r="BQ11" s="110"/>
      <c r="BR11" s="110"/>
      <c r="BS11" s="110"/>
      <c r="BT11" s="113"/>
      <c r="BU11" s="110"/>
      <c r="BV11" s="110"/>
      <c r="BW11" s="110"/>
      <c r="BX11" s="2"/>
      <c r="BY11" s="16" t="s">
        <v>115</v>
      </c>
      <c r="BZ11" s="2"/>
      <c r="CA11" s="2"/>
      <c r="CB11" s="110"/>
      <c r="CC11" s="110"/>
      <c r="CD11" s="110"/>
      <c r="CE11" s="2"/>
    </row>
    <row r="12" spans="1:83" ht="12.75" customHeight="1" thickBot="1" x14ac:dyDescent="0.35">
      <c r="A12" s="16"/>
      <c r="B12" s="376" t="s">
        <v>116</v>
      </c>
      <c r="C12" s="240">
        <f>(M.aRG)*Molweight</f>
        <v>0</v>
      </c>
      <c r="D12" s="379">
        <f t="shared" si="0"/>
        <v>0</v>
      </c>
      <c r="E12" s="241">
        <f>(M.aCG)*Molweight</f>
        <v>0</v>
      </c>
      <c r="F12" s="379">
        <f t="shared" si="1"/>
        <v>0</v>
      </c>
      <c r="G12" s="241">
        <f>(M.aMG)*Molweight</f>
        <v>0</v>
      </c>
      <c r="H12" s="379">
        <f t="shared" si="2"/>
        <v>0</v>
      </c>
      <c r="I12" s="241">
        <f>(M.aAG)*Molweight</f>
        <v>0</v>
      </c>
      <c r="J12" s="379">
        <f t="shared" si="3"/>
        <v>0</v>
      </c>
      <c r="K12" s="241">
        <f>(M.aTG)*Molweight</f>
        <v>0</v>
      </c>
      <c r="L12" s="394">
        <f t="shared" si="4"/>
        <v>0</v>
      </c>
      <c r="M12" s="121">
        <f>(M.aRG)*(Molweight*1000)/(VOLUME.aR + VOLUME.cwR)</f>
        <v>0</v>
      </c>
      <c r="N12" s="121">
        <f>(M.aCG)*(Molweight*1000)/(VOLUME.aC + VOLUME.cwC)</f>
        <v>0</v>
      </c>
      <c r="O12" s="121">
        <f>(M.aMG)*(Molweight*1000)/(VOLUME.aM + VOLUME.cwM)</f>
        <v>0</v>
      </c>
      <c r="P12" s="121">
        <f>(M.aAG)*(Molweight*1000)/(VOLUME.aA + VOLUME.cwA)</f>
        <v>0</v>
      </c>
      <c r="Q12" s="121">
        <f>(M.aTG)*(Molweight*1000)/(VOLUME.aT + VOLUME.cwT)</f>
        <v>0</v>
      </c>
      <c r="R12" s="157" t="s">
        <v>113</v>
      </c>
      <c r="S12" s="160">
        <f>F.aR</f>
        <v>0</v>
      </c>
      <c r="T12" s="160">
        <f>F.aC</f>
        <v>0</v>
      </c>
      <c r="U12" s="160">
        <f>F.aM</f>
        <v>0</v>
      </c>
      <c r="V12" s="160">
        <f>F.aA</f>
        <v>0</v>
      </c>
      <c r="W12" s="159">
        <f>F.aT</f>
        <v>0</v>
      </c>
      <c r="X12" s="16"/>
      <c r="Y12" s="153"/>
      <c r="Z12" s="16"/>
      <c r="AA12" s="257" t="s">
        <v>117</v>
      </c>
      <c r="AB12" s="159" t="s">
        <v>86</v>
      </c>
      <c r="AC12" s="158">
        <f>E.aRG*Molweight</f>
        <v>0</v>
      </c>
      <c r="AD12" s="160">
        <f>k.aC.aR*M.aC*Molweight</f>
        <v>0</v>
      </c>
      <c r="AE12" s="160">
        <f>k.aR.aC*M.aR*Molweight</f>
        <v>0</v>
      </c>
      <c r="AF12" s="160">
        <f>kesc.aR*VOLUME.aR*C.aRG*Molweight</f>
        <v>0</v>
      </c>
      <c r="AG12" s="160"/>
      <c r="AH12" s="159">
        <f>KDEG.aR*VOLUME.aR*C.aR*Molweight</f>
        <v>0</v>
      </c>
      <c r="AI12" s="160">
        <f>SUM(AI13:AI15,AK18:AK20)</f>
        <v>0</v>
      </c>
      <c r="AJ12" s="160">
        <f>SUM(AJ13:AJ15,AL18:AL20)</f>
        <v>0</v>
      </c>
      <c r="AK12" s="160"/>
      <c r="AL12" s="160"/>
      <c r="AM12" s="160"/>
      <c r="AN12" s="160"/>
      <c r="AO12" s="159"/>
      <c r="AP12" s="708">
        <f>SUM(AC12,AD12,AJ12,AL12)-SUM(AE12,AF12,AH12,AI12,AK12)</f>
        <v>0</v>
      </c>
      <c r="AQ12" s="16"/>
      <c r="AR12" s="43"/>
      <c r="AS12" s="2"/>
      <c r="AT12" s="60"/>
      <c r="AU12" s="63"/>
      <c r="AV12" s="63"/>
      <c r="AW12" s="63"/>
      <c r="AX12" s="63"/>
      <c r="AY12" s="63"/>
      <c r="AZ12" s="63"/>
      <c r="BA12" s="63"/>
      <c r="BB12" s="64"/>
      <c r="BC12" s="65"/>
      <c r="BD12" s="63"/>
      <c r="BE12" s="63"/>
      <c r="BF12" s="63"/>
      <c r="BG12" s="63"/>
      <c r="BH12" s="63"/>
      <c r="BI12" s="63"/>
      <c r="BJ12" s="64"/>
      <c r="BK12" s="2"/>
      <c r="BL12" s="59"/>
      <c r="BM12" s="2"/>
      <c r="BN12" s="2"/>
      <c r="BO12" s="110"/>
      <c r="BP12" s="110"/>
      <c r="BQ12" s="110"/>
      <c r="BR12" s="21">
        <f>AH12</f>
        <v>0</v>
      </c>
      <c r="BS12" s="110"/>
      <c r="BT12" s="110"/>
      <c r="BU12" s="110"/>
      <c r="BV12" s="110"/>
      <c r="BW12" s="110"/>
      <c r="BX12" s="2"/>
      <c r="BY12" s="2"/>
      <c r="BZ12" s="2"/>
      <c r="CA12" s="2"/>
      <c r="CB12" s="110"/>
      <c r="CC12" s="110"/>
      <c r="CD12" s="110"/>
      <c r="CE12" s="2"/>
    </row>
    <row r="13" spans="1:83" ht="12.75" customHeight="1" x14ac:dyDescent="0.3">
      <c r="A13" s="16"/>
      <c r="B13" s="156" t="s">
        <v>118</v>
      </c>
      <c r="C13" s="240">
        <f>FRgas.aR*C12</f>
        <v>0</v>
      </c>
      <c r="D13" s="379">
        <f t="shared" si="0"/>
        <v>0</v>
      </c>
      <c r="E13" s="241">
        <f>FRgas.aC*E12</f>
        <v>0</v>
      </c>
      <c r="F13" s="379">
        <f t="shared" si="1"/>
        <v>0</v>
      </c>
      <c r="G13" s="241">
        <f>FRgas.aC*G12</f>
        <v>0</v>
      </c>
      <c r="H13" s="379">
        <f t="shared" si="2"/>
        <v>0</v>
      </c>
      <c r="I13" s="241">
        <f>FRgas.aC*I12</f>
        <v>0</v>
      </c>
      <c r="J13" s="379">
        <f t="shared" si="3"/>
        <v>0</v>
      </c>
      <c r="K13" s="241">
        <f>FRgas.aC*K12</f>
        <v>0</v>
      </c>
      <c r="L13" s="394">
        <f t="shared" si="4"/>
        <v>0</v>
      </c>
      <c r="M13" s="121">
        <f>FRgas.aR*M12</f>
        <v>0</v>
      </c>
      <c r="N13" s="121">
        <f>FRgas.aC*N12</f>
        <v>0</v>
      </c>
      <c r="O13" s="121">
        <f>FRgas.aM*O12</f>
        <v>0</v>
      </c>
      <c r="P13" s="121">
        <f>FRgas.aA*P12</f>
        <v>0</v>
      </c>
      <c r="Q13" s="121">
        <f>FRgas.aT*Q12</f>
        <v>0</v>
      </c>
      <c r="R13" s="157" t="s">
        <v>113</v>
      </c>
      <c r="S13" s="160">
        <f>S12*FRgas.aR</f>
        <v>0</v>
      </c>
      <c r="T13" s="160">
        <f>T12*FRgas.aC</f>
        <v>0</v>
      </c>
      <c r="U13" s="160">
        <f>U12*FRgas.aM</f>
        <v>0</v>
      </c>
      <c r="V13" s="160">
        <f>V12*FRgas.aA</f>
        <v>0</v>
      </c>
      <c r="W13" s="159">
        <f>W12*FRgas.aT</f>
        <v>0</v>
      </c>
      <c r="X13" s="16"/>
      <c r="Y13" s="153"/>
      <c r="Z13" s="16"/>
      <c r="AA13" s="257" t="s">
        <v>119</v>
      </c>
      <c r="AB13" s="159" t="s">
        <v>120</v>
      </c>
      <c r="AC13" s="737">
        <f>E.w0RD*Molweight</f>
        <v>0</v>
      </c>
      <c r="AD13" s="160">
        <f>k.w1R.w0R*M.w1RD*Molweight</f>
        <v>0</v>
      </c>
      <c r="AE13" s="160">
        <f>(k.w0R.w1R+k.w0R.w2R)*M.w0RD*Molweight</f>
        <v>0</v>
      </c>
      <c r="AF13" s="160"/>
      <c r="AG13" s="160">
        <f>(kdis.w0S.w0D*M.w0RS+kdis.w0A.w0D*M.w0RA+kdis.w0P.w0D*M.w0RP)*Molweight</f>
        <v>0</v>
      </c>
      <c r="AH13" s="159">
        <f>KDEG.w0R*M.w0RD*Molweight</f>
        <v>0</v>
      </c>
      <c r="AI13" s="160">
        <f>k.aRG.w0RD*M.aRG*Molweight</f>
        <v>0</v>
      </c>
      <c r="AJ13" s="160">
        <f>k.w0RD.aRG*M.w0R*Molweight</f>
        <v>0</v>
      </c>
      <c r="AK13" s="160"/>
      <c r="AL13" s="160"/>
      <c r="AM13" s="160"/>
      <c r="AN13" s="160">
        <f>k.w0RD.sd0RD*M.w0RD*Molweight</f>
        <v>0</v>
      </c>
      <c r="AO13" s="159">
        <f>k.sd0RD.w0RD*M.sd0RD*Molweight</f>
        <v>0</v>
      </c>
      <c r="AP13" s="708">
        <f>SUM(AC13,AD13,AI13,AM13,AO13,AG13)-SUM(AF13,AE13,AH13,AJ13,AN13)</f>
        <v>0</v>
      </c>
      <c r="AQ13" s="16"/>
      <c r="AR13" s="43"/>
      <c r="AS13" s="2"/>
      <c r="AT13" s="55" t="s">
        <v>73</v>
      </c>
      <c r="AU13" s="11"/>
      <c r="AV13" s="11"/>
      <c r="AW13" s="11"/>
      <c r="AX13" s="11"/>
      <c r="AY13" s="11"/>
      <c r="AZ13" s="11"/>
      <c r="BA13" s="11"/>
      <c r="BB13" s="11"/>
      <c r="BC13" s="11"/>
      <c r="BD13" s="11"/>
      <c r="BE13" s="11"/>
      <c r="BF13" s="11"/>
      <c r="BG13" s="11"/>
      <c r="BH13" s="11"/>
      <c r="BI13" s="11"/>
      <c r="BJ13" s="11"/>
      <c r="BK13" s="2"/>
      <c r="BL13" s="59"/>
      <c r="BM13" s="2"/>
      <c r="BN13" s="2"/>
      <c r="BO13" s="2"/>
      <c r="BP13" s="130">
        <f>AC12</f>
        <v>0</v>
      </c>
      <c r="BQ13" s="110"/>
      <c r="BR13" s="110"/>
      <c r="BS13" s="110"/>
      <c r="BT13" s="110"/>
      <c r="BU13" s="110"/>
      <c r="BV13" s="110"/>
      <c r="BW13" s="2"/>
      <c r="BX13" s="2"/>
      <c r="BY13" s="2"/>
      <c r="BZ13" s="2"/>
      <c r="CA13" s="2"/>
      <c r="CB13" s="110"/>
      <c r="CC13" s="110"/>
      <c r="CD13" s="103"/>
      <c r="CE13" s="2"/>
    </row>
    <row r="14" spans="1:83" ht="12.75" customHeight="1" x14ac:dyDescent="0.3">
      <c r="A14" s="16"/>
      <c r="B14" s="156" t="s">
        <v>121</v>
      </c>
      <c r="C14" s="240">
        <f>(1-FRgas.aR)*C12</f>
        <v>0</v>
      </c>
      <c r="D14" s="379">
        <f t="shared" si="0"/>
        <v>0</v>
      </c>
      <c r="E14" s="241">
        <f>(1-FRgas.aC)*E12</f>
        <v>0</v>
      </c>
      <c r="F14" s="379">
        <f t="shared" si="1"/>
        <v>0</v>
      </c>
      <c r="G14" s="241">
        <f>(1-FRgas.aC)*G12</f>
        <v>0</v>
      </c>
      <c r="H14" s="379">
        <f t="shared" si="2"/>
        <v>0</v>
      </c>
      <c r="I14" s="241">
        <f>(1-FRgas.aC)*I12</f>
        <v>0</v>
      </c>
      <c r="J14" s="379">
        <f t="shared" si="3"/>
        <v>0</v>
      </c>
      <c r="K14" s="241">
        <f>(1-FRgas.aC)*K12</f>
        <v>0</v>
      </c>
      <c r="L14" s="394">
        <f t="shared" si="4"/>
        <v>0</v>
      </c>
      <c r="M14" s="121">
        <f>(1-FRgas.aR)*M12</f>
        <v>0</v>
      </c>
      <c r="N14" s="121">
        <f>(1-FRgas.aC)*N12</f>
        <v>0</v>
      </c>
      <c r="O14" s="121">
        <f>(1-FRgas.aM)*O12</f>
        <v>0</v>
      </c>
      <c r="P14" s="121">
        <f>(1-FRgas.aA)*P12</f>
        <v>0</v>
      </c>
      <c r="Q14" s="121">
        <f>(1-FRgas.aT)*Q12</f>
        <v>0</v>
      </c>
      <c r="R14" s="157" t="s">
        <v>113</v>
      </c>
      <c r="S14" s="160">
        <f>S12*(1-FRgas.aR)</f>
        <v>0</v>
      </c>
      <c r="T14" s="160">
        <f>T12*(1-FRgas.aC)</f>
        <v>0</v>
      </c>
      <c r="U14" s="160">
        <f>U12*(1-FRgas.aM)</f>
        <v>0</v>
      </c>
      <c r="V14" s="160">
        <f>V12*(1-FRgas.aA)</f>
        <v>0</v>
      </c>
      <c r="W14" s="159">
        <f>W12*(1-FRgas.aT)</f>
        <v>0</v>
      </c>
      <c r="X14" s="16"/>
      <c r="Y14" s="153"/>
      <c r="Z14" s="16"/>
      <c r="AA14" s="257" t="s">
        <v>122</v>
      </c>
      <c r="AB14" s="159" t="s">
        <v>87</v>
      </c>
      <c r="AC14" s="158">
        <f>E.w1RD*Molweight</f>
        <v>0</v>
      </c>
      <c r="AD14" s="160">
        <f>(WATERflow.w0R.w1R*C.w0R+WATERflow.w1C.w1R*C.w1C)*Molweight</f>
        <v>0</v>
      </c>
      <c r="AE14" s="160">
        <f>(WATERflow.w1R.w0R+WATERflow.w1R.w2R)*C.w1R*Molweight</f>
        <v>0</v>
      </c>
      <c r="AF14" s="160"/>
      <c r="AG14" s="160">
        <f>(kdis.w1S.w1D*M.w1RS+kdis.w1A.w1D*M.w1RA+kdis.w1P.w1D*M.w1RP)*Molweight</f>
        <v>0</v>
      </c>
      <c r="AH14" s="159">
        <f>KDEG.w1R*VOLUME.w1R*C.w1R*Molweight</f>
        <v>0</v>
      </c>
      <c r="AI14" s="160">
        <f>k.aRG.w1RD*M.aRG*Molweight</f>
        <v>0</v>
      </c>
      <c r="AJ14" s="160">
        <f>k.w1RD.aRG*M.w1R*Molweight</f>
        <v>0</v>
      </c>
      <c r="AK14" s="160"/>
      <c r="AL14" s="160"/>
      <c r="AM14" s="160">
        <f>(k.s1RD.w1RD*M.s1R+k.s2RD.w1RD*M.s2R+k.s3RD.w1RD*M.s3R)*Molweight</f>
        <v>0</v>
      </c>
      <c r="AN14" s="160">
        <f>k.w1RD.sd1RD*M.w1R*Molweight</f>
        <v>0</v>
      </c>
      <c r="AO14" s="159">
        <f>k.sd1RD.w1RD*M.sd1R*Molweight</f>
        <v>0</v>
      </c>
      <c r="AP14" s="708">
        <f>SUM(AC14,AD14,AI14,AM14,AO14,AG14)-SUM(AF14,AE14,AH14,AJ14,AN14)</f>
        <v>0</v>
      </c>
      <c r="AQ14" s="16"/>
      <c r="AR14" s="43"/>
      <c r="AS14" s="2"/>
      <c r="AT14" s="61" t="s">
        <v>74</v>
      </c>
      <c r="AU14" s="11"/>
      <c r="AV14" s="11"/>
      <c r="AW14" s="11"/>
      <c r="AX14" s="11"/>
      <c r="AY14" s="11"/>
      <c r="AZ14" s="11"/>
      <c r="BA14" s="11"/>
      <c r="BB14" s="11"/>
      <c r="BC14" s="11"/>
      <c r="BD14" s="11"/>
      <c r="BE14" s="11"/>
      <c r="BF14" s="11"/>
      <c r="BG14" s="11"/>
      <c r="BH14" s="11"/>
      <c r="BI14" s="11"/>
      <c r="BJ14" s="11"/>
      <c r="BK14" s="2"/>
      <c r="BL14" s="59"/>
      <c r="BM14" s="2"/>
      <c r="BN14" s="2"/>
      <c r="BO14" s="110"/>
      <c r="BP14" s="110"/>
      <c r="BQ14" s="110"/>
      <c r="BR14" s="110"/>
      <c r="BS14" s="110"/>
      <c r="BT14" s="110"/>
      <c r="BU14" s="110"/>
      <c r="BV14" s="110"/>
      <c r="BW14" s="2"/>
      <c r="BX14" s="244">
        <f>IF(AL18&lt;0,"",AL18)</f>
        <v>0</v>
      </c>
      <c r="BY14" s="110"/>
      <c r="BZ14" s="135">
        <f>IF(AL20&lt;0,"",AL20)</f>
        <v>0</v>
      </c>
      <c r="CA14" s="110"/>
      <c r="CB14" s="133">
        <f>IF(AL19&lt;0,"",AL19)</f>
        <v>0</v>
      </c>
      <c r="CC14" s="137"/>
      <c r="CD14" s="110"/>
      <c r="CE14" s="2"/>
    </row>
    <row r="15" spans="1:83" ht="12.75" customHeight="1" x14ac:dyDescent="0.3">
      <c r="A15" s="16"/>
      <c r="B15" s="156" t="s">
        <v>123</v>
      </c>
      <c r="C15" s="240">
        <f>(M.aRS+M.cwRS)*Molweight</f>
        <v>9690.1971073752156</v>
      </c>
      <c r="D15" s="379">
        <f t="shared" si="0"/>
        <v>5.8566839692383192E-7</v>
      </c>
      <c r="E15" s="241">
        <f>(M.aCS+M.cwCS)*Molweight</f>
        <v>3498.1130415501457</v>
      </c>
      <c r="F15" s="379">
        <f t="shared" si="1"/>
        <v>1.0667581840687414E-7</v>
      </c>
      <c r="G15" s="241">
        <f>(M.aMS+M.cwMS)*Molweight</f>
        <v>185.48542016365889</v>
      </c>
      <c r="H15" s="379">
        <f t="shared" si="2"/>
        <v>3.5859351718069525E-11</v>
      </c>
      <c r="I15" s="241">
        <f>(M.aAS+M.cwAS)*Molweight</f>
        <v>2.889426245081903</v>
      </c>
      <c r="J15" s="379">
        <f t="shared" si="3"/>
        <v>8.4517649251307007E-13</v>
      </c>
      <c r="K15" s="241">
        <f>(M.aTS+M.cwTS)*Molweight</f>
        <v>4.5154707150059439</v>
      </c>
      <c r="L15" s="394">
        <f t="shared" si="4"/>
        <v>3.5329554423672584E-13</v>
      </c>
      <c r="M15" s="121">
        <f>(M.aRS+M.cwRS)*(Molweight*1000)/(VOLUME.aR + VOLUME.cwR)</f>
        <v>4.2210206505101223E-8</v>
      </c>
      <c r="N15" s="121">
        <f>(M.aCS+M.cwCS)*(Molweight*1000)/(VOLUME.aC + VOLUME.cwC)</f>
        <v>4.8589964809535175E-10</v>
      </c>
      <c r="O15" s="121">
        <f>(M.aMS+M.cwMS)*(Molweight*1000)/(VOLUME.aM + VOLUME.cwM)</f>
        <v>2.3911640916597576E-12</v>
      </c>
      <c r="P15" s="121">
        <f>(M.aAS+M.cwAS)*(Molweight*1000)/(VOLUME.aA + VOLUME.cwA)</f>
        <v>6.7986499884286192E-14</v>
      </c>
      <c r="Q15" s="121">
        <f>(M.aTS+M.cwTS)*(Molweight*1000)/(VOLUME.aT + VOLUME.cwT)</f>
        <v>3.54154565882851E-14</v>
      </c>
      <c r="R15" s="157" t="s">
        <v>113</v>
      </c>
      <c r="S15" s="160"/>
      <c r="T15" s="160"/>
      <c r="U15" s="160"/>
      <c r="V15" s="160"/>
      <c r="W15" s="159"/>
      <c r="X15" s="16"/>
      <c r="Y15" s="153"/>
      <c r="Z15" s="16"/>
      <c r="AA15" s="257" t="s">
        <v>124</v>
      </c>
      <c r="AB15" s="159" t="s">
        <v>88</v>
      </c>
      <c r="AC15" s="158">
        <f>E.w2RD*Molweight</f>
        <v>0</v>
      </c>
      <c r="AD15" s="160">
        <f>(k.w1R.w2R*M.w1R+k.w2C.w2R*M.w2C)*Molweight</f>
        <v>0</v>
      </c>
      <c r="AE15" s="160">
        <f>k.w2R.w2C*M.w2R*Molweight</f>
        <v>0</v>
      </c>
      <c r="AF15" s="160"/>
      <c r="AG15" s="160">
        <f>(kdis.w2S.w2D*M.w2RS+kdis.w2A.w2D*M.w2RA+kdis.w2P.w2D*M.w2RP)*Molweight</f>
        <v>0</v>
      </c>
      <c r="AH15" s="159">
        <f>KDEG.w2R*M.w2RD*Molweight</f>
        <v>0</v>
      </c>
      <c r="AI15" s="160">
        <f>k.aRG.w2RD*M.aRG*Molweight</f>
        <v>0</v>
      </c>
      <c r="AJ15" s="160">
        <f>k.w2RD.aRG*M.w2R*Molweight</f>
        <v>0</v>
      </c>
      <c r="AK15" s="160"/>
      <c r="AL15" s="160"/>
      <c r="AM15" s="160"/>
      <c r="AN15" s="160">
        <f>k.w2RD.sd2RD*M.w2R*Molweight</f>
        <v>0</v>
      </c>
      <c r="AO15" s="159">
        <f>k.sd2RD.w2RD*M.sd2R*Molweight</f>
        <v>0</v>
      </c>
      <c r="AP15" s="708">
        <f>SUM(AC15,AD15,AI15,AM15,AO15,AG15)-SUM(AF15,AE15,AH15,AJ15,AN15)</f>
        <v>0</v>
      </c>
      <c r="AQ15" s="16"/>
      <c r="AR15" s="43"/>
      <c r="AS15" s="2"/>
      <c r="AT15" s="61" t="s">
        <v>125</v>
      </c>
      <c r="AU15" s="11"/>
      <c r="AV15" s="11"/>
      <c r="AW15" s="11"/>
      <c r="AX15" s="11"/>
      <c r="AY15" s="11"/>
      <c r="AZ15" s="11"/>
      <c r="BA15" s="11"/>
      <c r="BB15" s="11"/>
      <c r="BC15" s="11"/>
      <c r="BD15" s="11"/>
      <c r="BE15" s="11"/>
      <c r="BF15" s="11"/>
      <c r="BG15" s="11"/>
      <c r="BH15" s="11"/>
      <c r="BI15" s="11"/>
      <c r="BJ15" s="11"/>
      <c r="BK15" s="2"/>
      <c r="BL15" s="59"/>
      <c r="BM15" s="2"/>
      <c r="BN15" s="2"/>
      <c r="BO15" s="110"/>
      <c r="BP15" s="110"/>
      <c r="BQ15" s="81"/>
      <c r="BR15" s="110"/>
      <c r="BS15" s="110"/>
      <c r="BT15" s="110"/>
      <c r="BU15" s="110"/>
      <c r="BV15" s="133">
        <f>IF(AJ13&lt;0,"",AJ13)</f>
        <v>0</v>
      </c>
      <c r="BW15" s="2"/>
      <c r="BX15" s="134"/>
      <c r="BY15" s="110"/>
      <c r="BZ15" s="110"/>
      <c r="CA15" s="110"/>
      <c r="CB15" s="2"/>
      <c r="CC15" s="134"/>
      <c r="CD15" s="110"/>
      <c r="CE15" s="2"/>
    </row>
    <row r="16" spans="1:83" ht="12.75" customHeight="1" thickBot="1" x14ac:dyDescent="0.35">
      <c r="A16" s="16"/>
      <c r="B16" s="156" t="s">
        <v>126</v>
      </c>
      <c r="C16" s="240">
        <f>(M.aRA+M.cwRA)*Molweight</f>
        <v>24606.827009700963</v>
      </c>
      <c r="D16" s="379">
        <f t="shared" si="0"/>
        <v>1.4872185538088853E-6</v>
      </c>
      <c r="E16" s="241">
        <f>(M.aCA+M.cwCA)*Molweight</f>
        <v>121528.11244655181</v>
      </c>
      <c r="F16" s="379">
        <f t="shared" si="1"/>
        <v>3.7060297082148198E-6</v>
      </c>
      <c r="G16" s="241">
        <f>(M.aMA+M.cwMA)*Molweight</f>
        <v>77402.379832496183</v>
      </c>
      <c r="H16" s="379">
        <f t="shared" si="2"/>
        <v>1.4963974849236691E-8</v>
      </c>
      <c r="I16" s="241">
        <f>(M.aAA+M.cwAA)*Molweight</f>
        <v>15991.146850784064</v>
      </c>
      <c r="J16" s="379">
        <f t="shared" si="3"/>
        <v>4.6775173547383616E-9</v>
      </c>
      <c r="K16" s="241">
        <f>(M.aTA+M.cwTA)*Molweight</f>
        <v>23830.917798998264</v>
      </c>
      <c r="L16" s="394">
        <f t="shared" si="4"/>
        <v>1.8645580062070415E-9</v>
      </c>
      <c r="M16" s="121">
        <f>(M.aRA+M.cwRA)*(Molweight*1000)/(VOLUME.aR + VOLUME.cwR)</f>
        <v>1.0718659672301772E-7</v>
      </c>
      <c r="N16" s="121">
        <f>(M.aCA+M.cwCA)*(Molweight*1000)/(VOLUME.aC + VOLUME.cwC)</f>
        <v>1.6880662908853388E-8</v>
      </c>
      <c r="O16" s="121">
        <f>(M.aMA+M.cwMA)*(Molweight*1000)/(VOLUME.aM + VOLUME.cwM)</f>
        <v>9.9782393193584469E-10</v>
      </c>
      <c r="P16" s="121">
        <f>(M.aAA+M.cwAA)*(Molweight*1000)/(VOLUME.aA + VOLUME.cwA)</f>
        <v>3.7626227884201184E-10</v>
      </c>
      <c r="Q16" s="121">
        <f>(M.aTA+M.cwTA)*(Molweight*1000)/(VOLUME.aT + VOLUME.cwT)</f>
        <v>1.8690915920784636E-10</v>
      </c>
      <c r="R16" s="157" t="s">
        <v>113</v>
      </c>
      <c r="S16" s="160"/>
      <c r="T16" s="160"/>
      <c r="U16" s="160"/>
      <c r="V16" s="160"/>
      <c r="W16" s="159"/>
      <c r="X16" s="16"/>
      <c r="Y16" s="153"/>
      <c r="Z16" s="16"/>
      <c r="AA16" s="257" t="s">
        <v>127</v>
      </c>
      <c r="AB16" s="159" t="s">
        <v>89</v>
      </c>
      <c r="AC16" s="158"/>
      <c r="AD16" s="160"/>
      <c r="AE16" s="160"/>
      <c r="AF16" s="160">
        <f>NETsedrate.w1R*SYSTEMAREA.R*AREAFRAC.w1R*C.sd1R*Molweight</f>
        <v>0</v>
      </c>
      <c r="AG16" s="160">
        <f>(kdis.sd1S.sd1D*M.sd1RS+kdis.sd1A.sd1D*M.sd1RA+kdis.sd1P.sd1D*M.sd1RP)*Molweight</f>
        <v>0</v>
      </c>
      <c r="AH16" s="159">
        <f>KDEG.sd1R*VOLUME.sd1R*C.sd1R*Molweight</f>
        <v>0</v>
      </c>
      <c r="AI16" s="160"/>
      <c r="AJ16" s="160"/>
      <c r="AK16" s="160"/>
      <c r="AL16" s="160"/>
      <c r="AM16" s="160"/>
      <c r="AN16" s="160">
        <f>k.w1RD.sd1RD*M.w1R*Molweight</f>
        <v>0</v>
      </c>
      <c r="AO16" s="159">
        <f>k.sd1RD.w1RD*M.sd1R*Molweight</f>
        <v>0</v>
      </c>
      <c r="AP16" s="708">
        <f>SUM(AC16,AD16,AN16,AG16)-SUM(AE16,AF16,AH16,AO16)</f>
        <v>0</v>
      </c>
      <c r="AQ16" s="16"/>
      <c r="AR16" s="43"/>
      <c r="AS16" s="2"/>
      <c r="AT16" s="56"/>
      <c r="AU16" s="57"/>
      <c r="AV16" s="57"/>
      <c r="AW16" s="57"/>
      <c r="AX16" s="57"/>
      <c r="AY16" s="57"/>
      <c r="AZ16" s="57"/>
      <c r="BA16" s="57"/>
      <c r="BB16" s="58"/>
      <c r="BC16" s="49"/>
      <c r="BD16" s="57"/>
      <c r="BE16" s="57"/>
      <c r="BF16" s="57"/>
      <c r="BG16" s="57"/>
      <c r="BH16" s="57"/>
      <c r="BI16" s="57"/>
      <c r="BJ16" s="58"/>
      <c r="BK16" s="2"/>
      <c r="BL16" s="59"/>
      <c r="BM16" s="2"/>
      <c r="BN16" s="2"/>
      <c r="BO16" s="110"/>
      <c r="BP16" s="110"/>
      <c r="BQ16" s="133">
        <f>IF(AJ15&lt;0,"",AJ15)</f>
        <v>0</v>
      </c>
      <c r="BR16" s="110"/>
      <c r="BS16" s="110"/>
      <c r="BT16" s="135">
        <f>IF(AJ14&lt;0,"",AJ14)</f>
        <v>0</v>
      </c>
      <c r="BU16" s="110"/>
      <c r="BV16" s="110"/>
      <c r="BW16" s="2"/>
      <c r="BX16" s="134"/>
      <c r="BY16" s="110"/>
      <c r="BZ16" s="110"/>
      <c r="CA16" s="110"/>
      <c r="CB16" s="2"/>
      <c r="CC16" s="134"/>
      <c r="CD16" s="110"/>
      <c r="CE16" s="2"/>
    </row>
    <row r="17" spans="1:83" ht="12.75" customHeight="1" x14ac:dyDescent="0.3">
      <c r="A17" s="16"/>
      <c r="B17" s="156" t="s">
        <v>128</v>
      </c>
      <c r="C17" s="240">
        <f>(M.aRP+M.cwRP)*Molweight</f>
        <v>9.8207059229520564</v>
      </c>
      <c r="D17" s="379">
        <f t="shared" si="0"/>
        <v>5.9355625389478468E-10</v>
      </c>
      <c r="E17" s="241">
        <f>(M.aCP+M.cwCP)*Molweight</f>
        <v>5.1029017265960102</v>
      </c>
      <c r="F17" s="379">
        <f t="shared" si="1"/>
        <v>1.55614244442271E-10</v>
      </c>
      <c r="G17" s="241">
        <f>(M.aMP+M.cwMP)*Molweight</f>
        <v>0.29833129531729552</v>
      </c>
      <c r="H17" s="379">
        <f t="shared" si="2"/>
        <v>5.7675513460039377E-14</v>
      </c>
      <c r="I17" s="241">
        <f>(M.aAP+M.cwAP)*Molweight</f>
        <v>1.1963389526235794E-2</v>
      </c>
      <c r="J17" s="379">
        <f t="shared" si="3"/>
        <v>3.4993714117333207E-15</v>
      </c>
      <c r="K17" s="241">
        <f>(M.aTP+M.cwTP)*Molweight</f>
        <v>4.2889236621587966E-3</v>
      </c>
      <c r="L17" s="394">
        <f t="shared" si="4"/>
        <v>3.3557024617092853E-16</v>
      </c>
      <c r="M17" s="121">
        <f>(M.aRP+M.cwRP)*(Molweight*1000)/(VOLUME.aR + VOLUME.cwR)</f>
        <v>4.2778698971786121E-11</v>
      </c>
      <c r="N17" s="121">
        <f>(M.aCP+M.cwCP)*(Molweight*1000)/(VOLUME.aC + VOLUME.cwC)</f>
        <v>7.0881018531047947E-13</v>
      </c>
      <c r="O17" s="121">
        <f>(M.aMP+M.cwMP)*(Molweight*1000)/(VOLUME.aM + VOLUME.cwM)</f>
        <v>3.8459037920697144E-15</v>
      </c>
      <c r="P17" s="121">
        <f>(M.aAP+M.cwAP)*(Molweight*1000)/(VOLUME.aA + VOLUME.cwA)</f>
        <v>2.8149151826439699E-16</v>
      </c>
      <c r="Q17" s="121">
        <f>(M.aTP+M.cwTP)*(Molweight*1000)/(VOLUME.aT + VOLUME.cwT)</f>
        <v>3.3638616958111235E-17</v>
      </c>
      <c r="R17" s="157" t="s">
        <v>113</v>
      </c>
      <c r="S17" s="160"/>
      <c r="T17" s="160"/>
      <c r="U17" s="160"/>
      <c r="V17" s="160"/>
      <c r="W17" s="159"/>
      <c r="X17" s="16"/>
      <c r="Y17" s="153"/>
      <c r="Z17" s="16"/>
      <c r="AA17" s="257" t="s">
        <v>129</v>
      </c>
      <c r="AB17" s="159" t="s">
        <v>90</v>
      </c>
      <c r="AC17" s="158"/>
      <c r="AD17" s="160"/>
      <c r="AE17" s="160"/>
      <c r="AF17" s="160">
        <f>NETsedrate.w2R*SYSTEMAREA.R*AREAFRAC.w2R*C.sd2R*Molweight</f>
        <v>0</v>
      </c>
      <c r="AG17" s="160">
        <f>(kdis.sd2S.sd2D*M.sd2RS+kdis.sd2A.sd2D*M.sd2RA+kdis.sd2P.sd2D*M.sd2RP)*Molweight</f>
        <v>0</v>
      </c>
      <c r="AH17" s="159">
        <f>KDEG.sd2R*VOLUME.sd2R*C.sd2R*Molweight</f>
        <v>0</v>
      </c>
      <c r="AI17" s="160"/>
      <c r="AJ17" s="160"/>
      <c r="AK17" s="160"/>
      <c r="AL17" s="160"/>
      <c r="AM17" s="160"/>
      <c r="AN17" s="160">
        <f>k.w2RD.sd2RD*M.w2R*Molweight</f>
        <v>0</v>
      </c>
      <c r="AO17" s="159">
        <f>k.sd2RD.w2RD*M.sd2R*Molweight</f>
        <v>0</v>
      </c>
      <c r="AP17" s="708">
        <f>SUM(AC17,AD17,AN17,AG17)-SUM(AE17,AF17,AH17,AO17)</f>
        <v>0</v>
      </c>
      <c r="AQ17" s="16"/>
      <c r="AR17" s="43"/>
      <c r="AS17" s="2"/>
      <c r="AT17" s="55" t="s">
        <v>130</v>
      </c>
      <c r="AU17" s="11"/>
      <c r="AV17" s="11"/>
      <c r="AW17" s="11"/>
      <c r="AX17" s="11"/>
      <c r="AY17" s="11"/>
      <c r="AZ17" s="11"/>
      <c r="BA17" s="11"/>
      <c r="BB17" s="11"/>
      <c r="BC17" s="11"/>
      <c r="BD17" s="11"/>
      <c r="BE17" s="11"/>
      <c r="BF17" s="11"/>
      <c r="BG17" s="11"/>
      <c r="BH17" s="11"/>
      <c r="BI17" s="11"/>
      <c r="BJ17" s="11"/>
      <c r="BK17" s="2"/>
      <c r="BL17" s="59"/>
      <c r="BM17" s="2"/>
      <c r="BN17" s="2"/>
      <c r="BO17" s="110"/>
      <c r="BP17" s="110"/>
      <c r="BQ17" s="2"/>
      <c r="BR17" s="2"/>
      <c r="BS17" s="52"/>
      <c r="BT17" s="110"/>
      <c r="BU17" s="134"/>
      <c r="BV17" s="135">
        <f>IF(AK18&lt;=0,ABS(AK18),"")</f>
        <v>0</v>
      </c>
      <c r="BW17" s="86"/>
      <c r="BX17" s="133"/>
      <c r="BY17" s="110"/>
      <c r="BZ17" s="135">
        <f>IF(AK20&lt;=0,ABS(AK20),"")</f>
        <v>0</v>
      </c>
      <c r="CA17" s="133">
        <f>IF(AK19&lt;=0,ABS(AK19),"")</f>
        <v>0</v>
      </c>
      <c r="CB17" s="82"/>
      <c r="CC17" s="137"/>
      <c r="CD17" s="2"/>
      <c r="CE17" s="2"/>
    </row>
    <row r="18" spans="1:83" ht="12.75" customHeight="1" x14ac:dyDescent="0.3">
      <c r="A18" s="16"/>
      <c r="B18" s="156"/>
      <c r="C18" s="240"/>
      <c r="D18" s="379"/>
      <c r="E18" s="241"/>
      <c r="F18" s="379"/>
      <c r="G18" s="241"/>
      <c r="H18" s="379"/>
      <c r="I18" s="241"/>
      <c r="J18" s="379"/>
      <c r="K18" s="241"/>
      <c r="L18" s="394"/>
      <c r="M18" s="121"/>
      <c r="N18" s="121"/>
      <c r="O18" s="121"/>
      <c r="P18" s="121"/>
      <c r="Q18" s="121"/>
      <c r="R18" s="384"/>
      <c r="S18" s="160"/>
      <c r="T18" s="160"/>
      <c r="U18" s="160"/>
      <c r="V18" s="160"/>
      <c r="W18" s="159"/>
      <c r="X18" s="16"/>
      <c r="Y18" s="153"/>
      <c r="Z18" s="16"/>
      <c r="AA18" s="257" t="s">
        <v>131</v>
      </c>
      <c r="AB18" s="159" t="s">
        <v>91</v>
      </c>
      <c r="AC18" s="158">
        <f>E.s1RD*Molweight</f>
        <v>0</v>
      </c>
      <c r="AD18" s="160"/>
      <c r="AE18" s="160"/>
      <c r="AF18" s="160">
        <f>(FRACinf.s1R*RAINrate.R/Ks1w.R*SYSTEMAREA.R*AREAFRAC.s1R*CORRleach.s1R)*C.s1R*Molweight</f>
        <v>0</v>
      </c>
      <c r="AG18" s="160">
        <f>(kdis.s1S.s1D*M.s1RS+kdis.s1A.s1D*M.s1RA+kdis.s1P.s1D*M.s1RP)*Molweight</f>
        <v>0</v>
      </c>
      <c r="AH18" s="159">
        <f>KDEG.s1R*VOLUME.s1R*C.s1R*Molweight</f>
        <v>0</v>
      </c>
      <c r="AI18" s="160"/>
      <c r="AJ18" s="160"/>
      <c r="AK18" s="160">
        <f>k.aRG.s1RD*M.aR*Molweight</f>
        <v>0</v>
      </c>
      <c r="AL18" s="160">
        <f>k.s1RD.aRG*M.s1R*Molweight</f>
        <v>0</v>
      </c>
      <c r="AM18" s="160">
        <f>k.s1RD.w1RD*M.s1R*Molweight</f>
        <v>0</v>
      </c>
      <c r="AN18" s="160"/>
      <c r="AO18" s="159"/>
      <c r="AP18" s="708">
        <f>SUM(AC18,AD18,AK18,AG18)-SUM(AE18,AF18,AH18,AL18,AM18,AP17)</f>
        <v>0</v>
      </c>
      <c r="AQ18" s="16"/>
      <c r="AR18" s="43"/>
      <c r="AS18" s="2"/>
      <c r="AT18" s="61" t="s">
        <v>132</v>
      </c>
      <c r="AU18" s="11"/>
      <c r="AV18" s="11"/>
      <c r="AW18" s="11"/>
      <c r="AX18" s="11"/>
      <c r="AY18" s="11"/>
      <c r="AZ18" s="11"/>
      <c r="BA18" s="11"/>
      <c r="BB18" s="11"/>
      <c r="BC18" s="11"/>
      <c r="BD18" s="11"/>
      <c r="BE18" s="11"/>
      <c r="BF18" s="11"/>
      <c r="BG18" s="11"/>
      <c r="BH18" s="11"/>
      <c r="BI18" s="11"/>
      <c r="BJ18" s="11"/>
      <c r="BK18" s="2"/>
      <c r="BL18" s="59"/>
      <c r="BM18" s="2"/>
      <c r="BN18" s="2"/>
      <c r="BO18" s="110"/>
      <c r="BP18" s="110"/>
      <c r="BQ18" s="110"/>
      <c r="BR18" s="110"/>
      <c r="BS18" s="110"/>
      <c r="BT18" s="110"/>
      <c r="BU18" s="134"/>
      <c r="BV18" s="136"/>
      <c r="BW18" s="5"/>
      <c r="BX18" s="74"/>
      <c r="BY18" s="86"/>
      <c r="BZ18" s="134"/>
      <c r="CA18" s="137"/>
      <c r="CB18" s="73"/>
      <c r="CC18" s="74"/>
      <c r="CD18" s="103"/>
      <c r="CE18" s="2"/>
    </row>
    <row r="19" spans="1:83" ht="12.75" customHeight="1" x14ac:dyDescent="0.3">
      <c r="A19" s="16"/>
      <c r="B19" s="101" t="s">
        <v>133</v>
      </c>
      <c r="C19" s="240">
        <f>SUM(C20,C23:C25)</f>
        <v>7748260.786323172</v>
      </c>
      <c r="D19" s="379">
        <f t="shared" ref="D19:D25" si="5">C19/$C$103</f>
        <v>4.6829919179042023E-4</v>
      </c>
      <c r="E19" s="240">
        <f>SUM(E20,E23:E25)</f>
        <v>884035.61548925831</v>
      </c>
      <c r="F19" s="379">
        <f t="shared" ref="F19:F25" si="6">E19/$E$103</f>
        <v>2.6958883736173127E-5</v>
      </c>
      <c r="G19" s="241"/>
      <c r="H19" s="379"/>
      <c r="I19" s="241"/>
      <c r="J19" s="379"/>
      <c r="K19" s="241"/>
      <c r="L19" s="394"/>
      <c r="M19" s="392">
        <f>(M.w0RD+M.w0RS+M.w0RA+M.w0RP)*Molweight/(VOLUME.w0R)</f>
        <v>1.3559541123197571E-4</v>
      </c>
      <c r="N19" s="392">
        <f>(M.w0CD+M.w0CS+M.w0CA+M.w0CP)*Molweight/(VOLUME.w0C)</f>
        <v>1.0144305137232442E-6</v>
      </c>
      <c r="O19" s="121"/>
      <c r="P19" s="121"/>
      <c r="Q19" s="121"/>
      <c r="R19" s="157" t="s">
        <v>134</v>
      </c>
      <c r="S19" s="160"/>
      <c r="T19" s="160"/>
      <c r="U19" s="160"/>
      <c r="V19" s="160"/>
      <c r="W19" s="159"/>
      <c r="X19" s="16"/>
      <c r="Y19" s="153"/>
      <c r="Z19" s="16"/>
      <c r="AA19" s="257" t="s">
        <v>135</v>
      </c>
      <c r="AB19" s="159" t="s">
        <v>92</v>
      </c>
      <c r="AC19" s="158">
        <f>E.s2RD*Molweight</f>
        <v>0</v>
      </c>
      <c r="AD19" s="160"/>
      <c r="AE19" s="160"/>
      <c r="AF19" s="160">
        <f>(FRACinf.s2R*RAINrate.R/Ks2w.R*SYSTEMAREA.R*AREAFRAC.s2R*CORRleach.s2R)*C.s2R*Molweight</f>
        <v>0</v>
      </c>
      <c r="AG19" s="160">
        <f>(kdis.s2S.s2D*M.s2RS+kdis.s2A.s2D*M.s2RA+kdis.s2P.s2D*M.s2RP)*Molweight</f>
        <v>0</v>
      </c>
      <c r="AH19" s="159">
        <f>KDEG.s2R*VOLUME.s2R*C.s2R*Molweight</f>
        <v>0</v>
      </c>
      <c r="AI19" s="160"/>
      <c r="AJ19" s="160"/>
      <c r="AK19" s="160">
        <f>k.aRG.s2RD*M.aR*Molweight</f>
        <v>0</v>
      </c>
      <c r="AL19" s="160">
        <f>k.s2RD.aRG*M.s2R*Molweight</f>
        <v>0</v>
      </c>
      <c r="AM19" s="160">
        <f>k.s2RD.w1RD*M.s2R*Molweight</f>
        <v>0</v>
      </c>
      <c r="AN19" s="160"/>
      <c r="AO19" s="159"/>
      <c r="AP19" s="708">
        <f>SUM(AC19,AD19,AK19,AG19)-SUM(AE19,AF19,AH19,AL19,AM19,AP18)</f>
        <v>0</v>
      </c>
      <c r="AQ19" s="16"/>
      <c r="AR19" s="43"/>
      <c r="AS19" s="2"/>
      <c r="AT19" s="61" t="s">
        <v>75</v>
      </c>
      <c r="AU19" s="11"/>
      <c r="AV19" s="11"/>
      <c r="AW19" s="11"/>
      <c r="AX19" s="11"/>
      <c r="AY19" s="11"/>
      <c r="AZ19" s="11"/>
      <c r="BA19" s="11"/>
      <c r="BB19" s="11"/>
      <c r="BC19" s="11"/>
      <c r="BD19" s="11"/>
      <c r="BE19" s="11"/>
      <c r="BF19" s="11"/>
      <c r="BG19" s="11"/>
      <c r="BH19" s="11"/>
      <c r="BI19" s="11"/>
      <c r="BJ19" s="11"/>
      <c r="BK19" s="2"/>
      <c r="BL19" s="59"/>
      <c r="BM19" s="2"/>
      <c r="BN19" s="2"/>
      <c r="BO19" s="110"/>
      <c r="BP19" s="110"/>
      <c r="BQ19" s="133">
        <f>IF(AI15&lt;=0,ABS(AI15),"")</f>
        <v>0</v>
      </c>
      <c r="BR19" s="110"/>
      <c r="BS19" s="2"/>
      <c r="BT19" s="245">
        <f>AM14</f>
        <v>0</v>
      </c>
      <c r="BU19" s="134"/>
      <c r="BV19" s="137"/>
      <c r="BW19" s="110"/>
      <c r="BX19" s="2"/>
      <c r="BY19" s="110"/>
      <c r="BZ19" s="137"/>
      <c r="CA19" s="134"/>
      <c r="CB19" s="2"/>
      <c r="CC19" s="2"/>
      <c r="CD19" s="75"/>
      <c r="CE19" s="2"/>
    </row>
    <row r="20" spans="1:83" ht="12.75" customHeight="1" x14ac:dyDescent="0.3">
      <c r="A20" s="16"/>
      <c r="B20" s="376" t="s">
        <v>116</v>
      </c>
      <c r="C20" s="240">
        <f>M.w0RD*Molweight</f>
        <v>0</v>
      </c>
      <c r="D20" s="379">
        <f t="shared" si="5"/>
        <v>0</v>
      </c>
      <c r="E20" s="240">
        <f>M.w0CD*Molweight</f>
        <v>0</v>
      </c>
      <c r="F20" s="379">
        <f t="shared" si="6"/>
        <v>0</v>
      </c>
      <c r="G20" s="241"/>
      <c r="H20" s="379"/>
      <c r="I20" s="241"/>
      <c r="J20" s="379"/>
      <c r="K20" s="241"/>
      <c r="L20" s="394"/>
      <c r="M20" s="121">
        <f>C.w0R*Molweight</f>
        <v>0</v>
      </c>
      <c r="N20" s="121">
        <f>C.w0C*Molweight</f>
        <v>0</v>
      </c>
      <c r="O20" s="121"/>
      <c r="P20" s="121"/>
      <c r="Q20" s="121"/>
      <c r="R20" s="157" t="s">
        <v>134</v>
      </c>
      <c r="S20" s="160">
        <f>F.w0R</f>
        <v>0</v>
      </c>
      <c r="T20" s="160">
        <f>F.w0C</f>
        <v>0</v>
      </c>
      <c r="U20" s="160"/>
      <c r="V20" s="160"/>
      <c r="W20" s="159"/>
      <c r="X20" s="16"/>
      <c r="Y20" s="153"/>
      <c r="Z20" s="16"/>
      <c r="AA20" s="257" t="s">
        <v>136</v>
      </c>
      <c r="AB20" s="159" t="s">
        <v>93</v>
      </c>
      <c r="AC20" s="158">
        <f>E.s3RD*Molweight</f>
        <v>0</v>
      </c>
      <c r="AD20" s="160"/>
      <c r="AE20" s="160"/>
      <c r="AF20" s="160">
        <f>(FRACinf.s3R*RAINrate.R/Ks3w.R*SYSTEMAREA.R*AREAFRAC.s3R*CORRleach.s3R)*C.s3R*Molweight</f>
        <v>0</v>
      </c>
      <c r="AG20" s="160">
        <f>(kdis.s3S.s3D*M.s3RS+kdis.s3A.s3D*M.s3RA+kdis.s3P.s3D*M.s3RP)*Molweight</f>
        <v>0</v>
      </c>
      <c r="AH20" s="159">
        <f>KDEG.s3R*VOLUME.s3R*C.s3R*Molweight</f>
        <v>0</v>
      </c>
      <c r="AI20" s="160"/>
      <c r="AJ20" s="160"/>
      <c r="AK20" s="160">
        <f>k.aRG.s3RD*M.aR*Molweight</f>
        <v>0</v>
      </c>
      <c r="AL20" s="160">
        <f>k.s3RD.aRG*M.s3R*Molweight</f>
        <v>0</v>
      </c>
      <c r="AM20" s="160">
        <f>k.s3RD.w1RD*M.s3R*Molweight</f>
        <v>0</v>
      </c>
      <c r="AN20" s="160"/>
      <c r="AO20" s="159"/>
      <c r="AP20" s="708">
        <f>SUM(AC20,AD20,AK20,AG20)-SUM(AE20,AF20,AH20,AL20,AM20,AP19)</f>
        <v>0</v>
      </c>
      <c r="AQ20" s="16"/>
      <c r="AR20" s="43"/>
      <c r="AS20" s="2"/>
      <c r="AT20" s="61" t="s">
        <v>77</v>
      </c>
      <c r="AU20" s="11"/>
      <c r="AV20" s="11"/>
      <c r="AW20" s="11"/>
      <c r="AX20" s="11"/>
      <c r="AY20" s="11"/>
      <c r="AZ20" s="11"/>
      <c r="BA20" s="11"/>
      <c r="BB20" s="11"/>
      <c r="BC20" s="11"/>
      <c r="BD20" s="11"/>
      <c r="BE20" s="11"/>
      <c r="BF20" s="11"/>
      <c r="BG20" s="11"/>
      <c r="BH20" s="11"/>
      <c r="BI20" s="11"/>
      <c r="BJ20" s="11"/>
      <c r="BK20" s="2"/>
      <c r="BL20" s="59"/>
      <c r="BM20" s="2"/>
      <c r="BN20" s="2"/>
      <c r="BO20" s="110"/>
      <c r="BP20" s="110"/>
      <c r="BQ20" s="133">
        <f>IF(AI15&lt;0,"",AI15)</f>
        <v>0</v>
      </c>
      <c r="BR20" s="110"/>
      <c r="BS20" s="110"/>
      <c r="BT20" s="135">
        <f>IF(AI14&lt;0,"",AI14)</f>
        <v>0</v>
      </c>
      <c r="BU20" s="134"/>
      <c r="BV20" s="133">
        <f>IF(AI13&lt;0,"",AI13)</f>
        <v>0</v>
      </c>
      <c r="BW20" s="111"/>
      <c r="BX20" s="244">
        <f>IF(AK18&lt;0,"",AK18)</f>
        <v>0</v>
      </c>
      <c r="BY20" s="110"/>
      <c r="BZ20" s="135">
        <f>IF(AK20&lt;0,"",AK20)</f>
        <v>0</v>
      </c>
      <c r="CA20" s="134"/>
      <c r="CB20" s="133">
        <f>IF(AK19&lt;0,"",AK19)</f>
        <v>0</v>
      </c>
      <c r="CC20" s="137"/>
      <c r="CD20" s="2"/>
      <c r="CE20" s="2"/>
    </row>
    <row r="21" spans="1:83" ht="12.75" customHeight="1" thickBot="1" x14ac:dyDescent="0.35">
      <c r="A21" s="16"/>
      <c r="B21" s="156" t="s">
        <v>137</v>
      </c>
      <c r="C21" s="240">
        <f>FRwD.w0R*C20</f>
        <v>0</v>
      </c>
      <c r="D21" s="379">
        <f t="shared" si="5"/>
        <v>0</v>
      </c>
      <c r="E21" s="240">
        <f>FRw.w0C*E20</f>
        <v>0</v>
      </c>
      <c r="F21" s="379">
        <f t="shared" si="6"/>
        <v>0</v>
      </c>
      <c r="G21" s="241"/>
      <c r="H21" s="379"/>
      <c r="I21" s="241"/>
      <c r="J21" s="379"/>
      <c r="K21" s="241"/>
      <c r="L21" s="394"/>
      <c r="M21" s="121">
        <f>M20*FRwD.w0R</f>
        <v>0</v>
      </c>
      <c r="N21" s="121">
        <f>N20*FRw.w0C</f>
        <v>0</v>
      </c>
      <c r="O21" s="121"/>
      <c r="P21" s="121"/>
      <c r="Q21" s="121"/>
      <c r="R21" s="157" t="s">
        <v>134</v>
      </c>
      <c r="S21" s="160">
        <f>S20*FRwD.w0R</f>
        <v>0</v>
      </c>
      <c r="T21" s="160">
        <f>T20*FRw.w0C</f>
        <v>0</v>
      </c>
      <c r="U21" s="160"/>
      <c r="V21" s="160"/>
      <c r="W21" s="159"/>
      <c r="X21" s="16"/>
      <c r="Y21" s="153"/>
      <c r="Z21" s="16"/>
      <c r="AA21" s="706" t="s">
        <v>138</v>
      </c>
      <c r="AB21" s="249"/>
      <c r="AC21" s="708"/>
      <c r="AD21" s="160"/>
      <c r="AE21" s="160"/>
      <c r="AF21" s="160"/>
      <c r="AG21" s="160"/>
      <c r="AH21" s="159"/>
      <c r="AI21" s="160"/>
      <c r="AJ21" s="160"/>
      <c r="AK21" s="160"/>
      <c r="AL21" s="160"/>
      <c r="AM21" s="160"/>
      <c r="AN21" s="160"/>
      <c r="AO21" s="159"/>
      <c r="AP21" s="725"/>
      <c r="AQ21" s="16"/>
      <c r="AR21" s="43"/>
      <c r="AS21" s="2"/>
      <c r="AT21" s="60"/>
      <c r="AU21" s="63"/>
      <c r="AV21" s="63"/>
      <c r="AW21" s="63"/>
      <c r="AX21" s="63"/>
      <c r="AY21" s="63"/>
      <c r="AZ21" s="63"/>
      <c r="BA21" s="63"/>
      <c r="BB21" s="64"/>
      <c r="BC21" s="65"/>
      <c r="BD21" s="63"/>
      <c r="BE21" s="63"/>
      <c r="BF21" s="63"/>
      <c r="BG21" s="63"/>
      <c r="BH21" s="63"/>
      <c r="BI21" s="63"/>
      <c r="BJ21" s="64"/>
      <c r="BK21" s="2"/>
      <c r="BL21" s="59"/>
      <c r="BM21" s="2"/>
      <c r="BN21" s="131">
        <f>AE13</f>
        <v>0</v>
      </c>
      <c r="BO21" s="110"/>
      <c r="BP21" s="110"/>
      <c r="BQ21" s="134"/>
      <c r="BR21" s="110"/>
      <c r="BS21" s="110"/>
      <c r="BT21" s="134"/>
      <c r="BU21" s="247"/>
      <c r="BV21" s="134"/>
      <c r="BW21" s="52"/>
      <c r="BX21" s="134"/>
      <c r="BY21" s="110"/>
      <c r="BZ21" s="134"/>
      <c r="CA21" s="134"/>
      <c r="CB21" s="52"/>
      <c r="CC21" s="138"/>
      <c r="CD21" s="110"/>
      <c r="CE21" s="2"/>
    </row>
    <row r="22" spans="1:83" ht="12.75" customHeight="1" x14ac:dyDescent="0.3">
      <c r="A22" s="16"/>
      <c r="B22" s="156" t="s">
        <v>139</v>
      </c>
      <c r="C22" s="240">
        <f>(1-FRwD.w0R)*C20</f>
        <v>0</v>
      </c>
      <c r="D22" s="379">
        <f t="shared" si="5"/>
        <v>0</v>
      </c>
      <c r="E22" s="240">
        <f>(1-FRw.w0C)*E20</f>
        <v>0</v>
      </c>
      <c r="F22" s="379">
        <f t="shared" si="6"/>
        <v>0</v>
      </c>
      <c r="G22" s="241"/>
      <c r="H22" s="379"/>
      <c r="I22" s="241"/>
      <c r="J22" s="379"/>
      <c r="K22" s="241"/>
      <c r="L22" s="394"/>
      <c r="M22" s="121">
        <f>M21*Kp.susp1R</f>
        <v>0</v>
      </c>
      <c r="N22" s="121">
        <f>N21*Kp.susp1C</f>
        <v>0</v>
      </c>
      <c r="O22" s="121"/>
      <c r="P22" s="121"/>
      <c r="Q22" s="121"/>
      <c r="R22" s="157" t="s">
        <v>140</v>
      </c>
      <c r="S22" s="160">
        <f>S20*(1-FRwD.w0R)</f>
        <v>0</v>
      </c>
      <c r="T22" s="160">
        <f>T20*(1-FRw.w0C)</f>
        <v>0</v>
      </c>
      <c r="U22" s="160"/>
      <c r="V22" s="160"/>
      <c r="W22" s="159"/>
      <c r="X22" s="16"/>
      <c r="Y22" s="153"/>
      <c r="Z22" s="16"/>
      <c r="AA22" s="257" t="s">
        <v>117</v>
      </c>
      <c r="AB22" s="159" t="s">
        <v>94</v>
      </c>
      <c r="AC22" s="158">
        <f>E.aCG*Molweight</f>
        <v>0</v>
      </c>
      <c r="AD22" s="160">
        <f>(k.aR.aC*M.aR+k.aM.aC*M.aM)*Molweight</f>
        <v>0</v>
      </c>
      <c r="AE22" s="160">
        <f>(k.aC.aM+k.aC.aR)*M.aC*Molweight</f>
        <v>0</v>
      </c>
      <c r="AF22" s="160">
        <f>kesc.aC*VOLUME.aC*C.aC*Molweight</f>
        <v>0</v>
      </c>
      <c r="AG22" s="160"/>
      <c r="AH22" s="159">
        <f>KDEG.aC*VOLUME.aC*C.aC*Molweight</f>
        <v>0</v>
      </c>
      <c r="AI22" s="160">
        <f>SUM(AI23:AI25,AK28:AK30)</f>
        <v>0</v>
      </c>
      <c r="AJ22" s="160">
        <f>SUM(AJ23:AJ25,AL28:AL30)</f>
        <v>0</v>
      </c>
      <c r="AK22" s="160"/>
      <c r="AL22" s="160"/>
      <c r="AM22" s="160"/>
      <c r="AN22" s="160"/>
      <c r="AO22" s="159"/>
      <c r="AP22" s="708">
        <f>SUM(AC22,AD22,AJ22,AL22)-SUM(AE22,AF22,AH22,AI22,AK22)</f>
        <v>0</v>
      </c>
      <c r="AQ22" s="16"/>
      <c r="AR22" s="43"/>
      <c r="AS22" s="2"/>
      <c r="AT22" s="55" t="s">
        <v>141</v>
      </c>
      <c r="AU22" s="11"/>
      <c r="AV22" s="11"/>
      <c r="AW22" s="11"/>
      <c r="AX22" s="11"/>
      <c r="AY22" s="11"/>
      <c r="AZ22" s="11"/>
      <c r="BA22" s="11"/>
      <c r="BB22" s="11"/>
      <c r="BC22" s="11"/>
      <c r="BD22" s="11"/>
      <c r="BE22" s="11"/>
      <c r="BF22" s="11"/>
      <c r="BG22" s="11"/>
      <c r="BH22" s="11"/>
      <c r="BI22" s="11"/>
      <c r="BJ22" s="11"/>
      <c r="BK22" s="2"/>
      <c r="BL22" s="59"/>
      <c r="BM22" s="2"/>
      <c r="BN22" s="131">
        <f>AE14</f>
        <v>0</v>
      </c>
      <c r="BO22" s="110"/>
      <c r="BP22" s="110"/>
      <c r="BQ22" s="134"/>
      <c r="BR22" s="110"/>
      <c r="BS22" s="127">
        <f>AD14</f>
        <v>0</v>
      </c>
      <c r="BT22" s="110"/>
      <c r="BU22" s="134"/>
      <c r="BV22" s="134"/>
      <c r="BW22" s="110"/>
      <c r="BX22" s="134"/>
      <c r="BY22" s="110"/>
      <c r="BZ22" s="134"/>
      <c r="CA22" s="134"/>
      <c r="CB22" s="110"/>
      <c r="CC22" s="134"/>
      <c r="CD22" s="110"/>
      <c r="CE22" s="2"/>
    </row>
    <row r="23" spans="1:83" ht="12.75" customHeight="1" x14ac:dyDescent="0.3">
      <c r="A23" s="16"/>
      <c r="B23" s="156" t="s">
        <v>123</v>
      </c>
      <c r="C23" s="240">
        <f>M.w0RS*Molweight</f>
        <v>0.67907339166220548</v>
      </c>
      <c r="D23" s="379">
        <f t="shared" si="5"/>
        <v>4.104269709702134E-11</v>
      </c>
      <c r="E23" s="240">
        <f>M.w0CS*Molweight</f>
        <v>0.11912500163352156</v>
      </c>
      <c r="F23" s="379">
        <f t="shared" si="6"/>
        <v>3.632746252346621E-12</v>
      </c>
      <c r="G23" s="241"/>
      <c r="H23" s="379"/>
      <c r="I23" s="241"/>
      <c r="J23" s="379"/>
      <c r="K23" s="241"/>
      <c r="L23" s="394"/>
      <c r="M23" s="121">
        <f>C.w0RS*Molweight</f>
        <v>1.1883858628205023E-11</v>
      </c>
      <c r="N23" s="121">
        <f>C.w0CS*Molweight</f>
        <v>1.3669589153090395E-13</v>
      </c>
      <c r="O23" s="121"/>
      <c r="P23" s="121"/>
      <c r="Q23" s="121"/>
      <c r="R23" s="157" t="s">
        <v>134</v>
      </c>
      <c r="S23" s="160"/>
      <c r="T23" s="160"/>
      <c r="U23" s="160"/>
      <c r="V23" s="160"/>
      <c r="W23" s="159"/>
      <c r="X23" s="16"/>
      <c r="Y23" s="153"/>
      <c r="Z23" s="16"/>
      <c r="AA23" s="257" t="s">
        <v>119</v>
      </c>
      <c r="AB23" s="159" t="s">
        <v>142</v>
      </c>
      <c r="AC23" s="158">
        <f>E.w0CD*Molweight</f>
        <v>0</v>
      </c>
      <c r="AD23" s="160">
        <f>k.w1C.w0C*M.w1C*Molweight</f>
        <v>0</v>
      </c>
      <c r="AE23" s="160">
        <f>(k.w0C.w1C+k.w0C.w2C)*M.w0C*Molweight</f>
        <v>0</v>
      </c>
      <c r="AF23" s="160"/>
      <c r="AG23" s="160">
        <f>(kdis.w0S.w0D*M.w0CS+kdis.w0A.w0D*M.w0CA+kdis.w0P.w0D*M.w0CP)*Molweight</f>
        <v>0</v>
      </c>
      <c r="AH23" s="159">
        <f>KDEG.w0C*VOLUME.w0C*C.w0C*Molweight</f>
        <v>0</v>
      </c>
      <c r="AI23" s="160">
        <f>k.aC.w0C*M.aC*Molweight</f>
        <v>0</v>
      </c>
      <c r="AJ23" s="160">
        <f>k.w0C.aC*M.w0C*Molweight</f>
        <v>0</v>
      </c>
      <c r="AK23" s="160"/>
      <c r="AL23" s="160"/>
      <c r="AM23" s="160"/>
      <c r="AN23" s="160">
        <f>k.w0C.sd0C*M.w0CD*Molweight</f>
        <v>0</v>
      </c>
      <c r="AO23" s="159">
        <f>k.sd0C.w0C*M.sd0CD*Molweight</f>
        <v>0</v>
      </c>
      <c r="AP23" s="708">
        <f>SUM(AC23,AD23,AI23,AM23,AO23,AG23)-SUM(AF23,AE23,AH23,AJ23,AN23)</f>
        <v>0</v>
      </c>
      <c r="AQ23" s="16"/>
      <c r="AR23" s="43"/>
      <c r="AS23" s="2"/>
      <c r="AT23" s="61" t="s">
        <v>143</v>
      </c>
      <c r="AU23" s="11"/>
      <c r="AV23" s="11"/>
      <c r="AW23" s="11"/>
      <c r="AX23" s="11"/>
      <c r="AY23" s="11"/>
      <c r="AZ23" s="11"/>
      <c r="BA23" s="11"/>
      <c r="BB23" s="11"/>
      <c r="BC23" s="11"/>
      <c r="BD23" s="11"/>
      <c r="BE23" s="11"/>
      <c r="BF23" s="11"/>
      <c r="BG23" s="11"/>
      <c r="BH23" s="11"/>
      <c r="BI23" s="11"/>
      <c r="BJ23" s="11"/>
      <c r="BK23" s="2"/>
      <c r="BL23" s="59"/>
      <c r="BM23" s="2"/>
      <c r="BN23" s="131">
        <f>AE15</f>
        <v>0</v>
      </c>
      <c r="BO23" s="129"/>
      <c r="BP23" s="127">
        <f>AD15</f>
        <v>0</v>
      </c>
      <c r="BQ23" s="246"/>
      <c r="BR23" s="131"/>
      <c r="BS23" s="132"/>
      <c r="BT23" s="52">
        <f>AH14</f>
        <v>0</v>
      </c>
      <c r="BU23" s="110"/>
      <c r="BV23" s="739">
        <f>AH13</f>
        <v>0</v>
      </c>
      <c r="BW23" s="110"/>
      <c r="BX23" s="134"/>
      <c r="BY23" s="110"/>
      <c r="BZ23" s="2"/>
      <c r="CA23" s="110"/>
      <c r="CB23" s="2"/>
      <c r="CC23" s="138"/>
      <c r="CD23" s="110"/>
      <c r="CE23" s="2"/>
    </row>
    <row r="24" spans="1:83" ht="12.75" customHeight="1" thickBot="1" x14ac:dyDescent="0.35">
      <c r="A24" s="16"/>
      <c r="B24" s="156" t="s">
        <v>126</v>
      </c>
      <c r="C24" s="240">
        <f>M.w0RA*Molweight</f>
        <v>7725840.8914101385</v>
      </c>
      <c r="D24" s="379">
        <f t="shared" si="5"/>
        <v>4.6694414980650401E-4</v>
      </c>
      <c r="E24" s="240">
        <f>M.w0CA*Molweight</f>
        <v>883788.83380334172</v>
      </c>
      <c r="F24" s="379">
        <f t="shared" si="6"/>
        <v>2.6951358067905611E-5</v>
      </c>
      <c r="G24" s="241"/>
      <c r="H24" s="379"/>
      <c r="I24" s="241"/>
      <c r="J24" s="379"/>
      <c r="K24" s="241"/>
      <c r="L24" s="394"/>
      <c r="M24" s="121">
        <f>C.w0RA*Molweight</f>
        <v>1.3520306061880631E-4</v>
      </c>
      <c r="N24" s="121">
        <f>C.w0CA*Molweight</f>
        <v>1.0141473318377685E-6</v>
      </c>
      <c r="O24" s="121"/>
      <c r="P24" s="121"/>
      <c r="Q24" s="121"/>
      <c r="R24" s="157" t="s">
        <v>134</v>
      </c>
      <c r="S24" s="160"/>
      <c r="T24" s="160"/>
      <c r="U24" s="160"/>
      <c r="V24" s="160"/>
      <c r="W24" s="159"/>
      <c r="X24" s="16"/>
      <c r="Y24" s="153"/>
      <c r="Z24" s="16"/>
      <c r="AA24" s="257" t="s">
        <v>122</v>
      </c>
      <c r="AB24" s="159" t="s">
        <v>95</v>
      </c>
      <c r="AC24" s="158">
        <f>E.w1CD*Molweight</f>
        <v>0</v>
      </c>
      <c r="AD24" s="160">
        <f>k.w0C.w1C*M.w0C*Molweight</f>
        <v>0</v>
      </c>
      <c r="AE24" s="160">
        <f>(k.w1C.w0C+k.w1C.w1R+k.w1C.w2C)*M.w1C*Molweight</f>
        <v>0</v>
      </c>
      <c r="AF24" s="160"/>
      <c r="AG24" s="160">
        <f>(kdis.w1S.w1D*M.w1CS+kdis.w1A.w1D*M.w1CA+kdis.w1P.w1D*M.w1CP)*Molweight</f>
        <v>0</v>
      </c>
      <c r="AH24" s="159">
        <f>KDEG.w1C*VOLUME.w1C*C.w1C*Molweight</f>
        <v>0</v>
      </c>
      <c r="AI24" s="160">
        <f>k.aC.w1C*M.aC*Molweight</f>
        <v>0</v>
      </c>
      <c r="AJ24" s="160">
        <f>k.w1C.aC*M.w1C*Molweight</f>
        <v>0</v>
      </c>
      <c r="AK24" s="160"/>
      <c r="AL24" s="160"/>
      <c r="AM24" s="160">
        <f>(k.s1C.w1C*M.s1C+k.s2C.w1C*M.s2C+k.s3C.w1C*M.s3C)*Molweight</f>
        <v>0</v>
      </c>
      <c r="AN24" s="160">
        <f>k.w1C.sd1C*M.w1C*Molweight</f>
        <v>0</v>
      </c>
      <c r="AO24" s="159">
        <f>k.sd1C.w1C*M.sd1C*Molweight</f>
        <v>0</v>
      </c>
      <c r="AP24" s="708">
        <f>SUM(AC24,AD24,AI24,AM24,AO24,AG24)-SUM(AF24,AE24,AH24,AJ24,AN24)</f>
        <v>0</v>
      </c>
      <c r="AQ24" s="16"/>
      <c r="AR24" s="43"/>
      <c r="AS24" s="2"/>
      <c r="AT24" s="56"/>
      <c r="AU24" s="57"/>
      <c r="AV24" s="57"/>
      <c r="AW24" s="57"/>
      <c r="AX24" s="57"/>
      <c r="AY24" s="57"/>
      <c r="AZ24" s="57"/>
      <c r="BA24" s="57"/>
      <c r="BB24" s="58"/>
      <c r="BC24" s="57"/>
      <c r="BD24" s="57"/>
      <c r="BE24" s="57"/>
      <c r="BF24" s="57"/>
      <c r="BG24" s="57"/>
      <c r="BH24" s="57"/>
      <c r="BI24" s="57"/>
      <c r="BJ24" s="58"/>
      <c r="BK24" s="2"/>
      <c r="BL24" s="59"/>
      <c r="BM24" s="2"/>
      <c r="BN24" s="125"/>
      <c r="BO24" s="126"/>
      <c r="BP24" s="126"/>
      <c r="BQ24" s="126"/>
      <c r="BR24" s="129"/>
      <c r="BS24" s="110"/>
      <c r="BT24" s="110"/>
      <c r="BU24" s="134"/>
      <c r="BV24" s="248">
        <f>AC13</f>
        <v>0</v>
      </c>
      <c r="BW24" s="52"/>
      <c r="BX24" s="133"/>
      <c r="BY24" s="2"/>
      <c r="BZ24" s="81"/>
      <c r="CA24" s="110"/>
      <c r="CB24" s="110"/>
      <c r="CC24" s="137"/>
      <c r="CD24" s="110"/>
      <c r="CE24" s="2"/>
    </row>
    <row r="25" spans="1:83" ht="12.75" customHeight="1" x14ac:dyDescent="0.3">
      <c r="A25" s="16"/>
      <c r="B25" s="156" t="s">
        <v>128</v>
      </c>
      <c r="C25" s="240">
        <f>M.w0RP*Molweight</f>
        <v>22419.215839642136</v>
      </c>
      <c r="D25" s="379">
        <f t="shared" si="5"/>
        <v>1.3550009412191591E-6</v>
      </c>
      <c r="E25" s="240">
        <f>M.w0CP*Molweight</f>
        <v>246.66256091498997</v>
      </c>
      <c r="F25" s="379">
        <f t="shared" si="6"/>
        <v>7.5220355212654165E-9</v>
      </c>
      <c r="G25" s="241"/>
      <c r="H25" s="379"/>
      <c r="I25" s="241"/>
      <c r="J25" s="379"/>
      <c r="K25" s="241"/>
      <c r="L25" s="394"/>
      <c r="M25" s="121">
        <f>C.w0RP*Molweight</f>
        <v>3.9233872931079558E-7</v>
      </c>
      <c r="N25" s="121">
        <f>C.w0CP*Molweight</f>
        <v>2.8304518958413458E-10</v>
      </c>
      <c r="O25" s="121"/>
      <c r="P25" s="121"/>
      <c r="Q25" s="121"/>
      <c r="R25" s="157" t="s">
        <v>134</v>
      </c>
      <c r="S25" s="160"/>
      <c r="T25" s="160"/>
      <c r="U25" s="160"/>
      <c r="V25" s="160"/>
      <c r="W25" s="159"/>
      <c r="X25" s="16"/>
      <c r="Y25" s="153"/>
      <c r="Z25" s="16"/>
      <c r="AA25" s="257" t="s">
        <v>124</v>
      </c>
      <c r="AB25" s="159" t="s">
        <v>96</v>
      </c>
      <c r="AC25" s="158">
        <f>E.w2CD*Molweight</f>
        <v>0</v>
      </c>
      <c r="AD25" s="160">
        <f>(k.w2M.w2C*M.w2M+k.w2R.w2C*M.w2R+k.w1C.w2C*M.w1C)*Molweight</f>
        <v>0</v>
      </c>
      <c r="AE25" s="160">
        <f>(k.w2C.w2M+k.w2C.w2R)*M.w2C*Molweight</f>
        <v>0</v>
      </c>
      <c r="AF25" s="160"/>
      <c r="AG25" s="160">
        <f>(kdis.w2S.w2D*M.w2CS+kdis.w2A.w2D*M.w2CA+kdis.w2P.w2D*M.w2CP)*Molweight</f>
        <v>0</v>
      </c>
      <c r="AH25" s="159">
        <f>KDEG.w2C*VOLUME.w2C*C.w2C*Molweight</f>
        <v>0</v>
      </c>
      <c r="AI25" s="160">
        <f>k.aC.w2C*M.aC*Molweight</f>
        <v>0</v>
      </c>
      <c r="AJ25" s="160">
        <f>k.w2C.aC*M.w2C*Molweight</f>
        <v>0</v>
      </c>
      <c r="AK25" s="160"/>
      <c r="AL25" s="160"/>
      <c r="AM25" s="160"/>
      <c r="AN25" s="160">
        <f>k.w2C.sd2C*M.w2C*Molweight</f>
        <v>0</v>
      </c>
      <c r="AO25" s="159">
        <f>k.sd2C.w2C*M.sd2C*Molweight</f>
        <v>0</v>
      </c>
      <c r="AP25" s="708">
        <f>SUM(AC25,AD25,AI25,AM25,AO25,AG25)-SUM(AF25,AE25,AH25,AJ25,AN25)</f>
        <v>0</v>
      </c>
      <c r="AQ25" s="16"/>
      <c r="AR25" s="43"/>
      <c r="AS25" s="2"/>
      <c r="AT25" s="55" t="s">
        <v>144</v>
      </c>
      <c r="AU25" s="11"/>
      <c r="AV25" s="11"/>
      <c r="AW25" s="11"/>
      <c r="AX25" s="11"/>
      <c r="AY25" s="11"/>
      <c r="AZ25" s="11"/>
      <c r="BA25" s="11"/>
      <c r="BB25" s="11"/>
      <c r="BC25" s="11"/>
      <c r="BD25" s="11"/>
      <c r="BE25" s="11"/>
      <c r="BF25" s="11"/>
      <c r="BG25" s="11"/>
      <c r="BH25" s="11"/>
      <c r="BI25" s="11"/>
      <c r="BJ25" s="11"/>
      <c r="BK25" s="2"/>
      <c r="BL25" s="59"/>
      <c r="BM25" s="2"/>
      <c r="BN25" s="125"/>
      <c r="BO25" s="129"/>
      <c r="BP25" s="127"/>
      <c r="BQ25" s="110"/>
      <c r="BR25" s="126"/>
      <c r="BS25" s="248">
        <f>AC14</f>
        <v>0</v>
      </c>
      <c r="BT25" s="39" t="s">
        <v>145</v>
      </c>
      <c r="BU25" s="137"/>
      <c r="BV25" s="95" t="s">
        <v>146</v>
      </c>
      <c r="BW25" s="110"/>
      <c r="BX25" s="2"/>
      <c r="BY25" s="110"/>
      <c r="BZ25" s="2"/>
      <c r="CA25" s="110"/>
      <c r="CB25" s="110"/>
      <c r="CC25" s="52"/>
      <c r="CD25" s="2"/>
      <c r="CE25" s="2"/>
    </row>
    <row r="26" spans="1:83" ht="12.75" customHeight="1" thickBot="1" x14ac:dyDescent="0.35">
      <c r="A26" s="16"/>
      <c r="B26" s="156"/>
      <c r="C26" s="240"/>
      <c r="D26" s="379"/>
      <c r="E26" s="241"/>
      <c r="F26" s="379"/>
      <c r="G26" s="241"/>
      <c r="H26" s="379"/>
      <c r="I26" s="241"/>
      <c r="J26" s="379"/>
      <c r="K26" s="241"/>
      <c r="L26" s="394"/>
      <c r="M26" s="121"/>
      <c r="N26" s="121"/>
      <c r="O26" s="121"/>
      <c r="P26" s="121"/>
      <c r="Q26" s="121"/>
      <c r="R26" s="157"/>
      <c r="S26" s="160"/>
      <c r="T26" s="160"/>
      <c r="U26" s="160"/>
      <c r="V26" s="160"/>
      <c r="W26" s="159"/>
      <c r="X26" s="16"/>
      <c r="Y26" s="153"/>
      <c r="Z26" s="16"/>
      <c r="AA26" s="257" t="s">
        <v>127</v>
      </c>
      <c r="AB26" s="159" t="s">
        <v>97</v>
      </c>
      <c r="AC26" s="158"/>
      <c r="AD26" s="160"/>
      <c r="AE26" s="160"/>
      <c r="AF26" s="160">
        <f>(NETsedrate.w1C*SYSTEMAREA.C*AREAFRAC.w1C)*C.sd1C*Molweight</f>
        <v>0</v>
      </c>
      <c r="AG26" s="160">
        <f>(kdis.sd1S.sd1D*M.sd1CS+kdis.sd1A.sd1D*M.sd1CA+kdis.sd1P.sd1D*M.sd1CP)*Molweight</f>
        <v>0</v>
      </c>
      <c r="AH26" s="159">
        <f>KDEG.sd1C*VOLUME.sd1C*C.sd1C*Molweight</f>
        <v>0</v>
      </c>
      <c r="AI26" s="160"/>
      <c r="AJ26" s="160"/>
      <c r="AK26" s="160"/>
      <c r="AL26" s="160"/>
      <c r="AM26" s="160"/>
      <c r="AN26" s="160">
        <f>k.w1C.sd1C*M.w1C*Molweight</f>
        <v>0</v>
      </c>
      <c r="AO26" s="159">
        <f>k.sd1C.w1C*M.sd1C*Molweight</f>
        <v>0</v>
      </c>
      <c r="AP26" s="708">
        <f>SUM(AC26,AD26,AN26,AG26)-SUM(AE26,AF26,AH26,AO26)</f>
        <v>0</v>
      </c>
      <c r="AQ26" s="16"/>
      <c r="AR26" s="43"/>
      <c r="AS26" s="2"/>
      <c r="AT26" s="56"/>
      <c r="AU26" s="57"/>
      <c r="AV26" s="57"/>
      <c r="AW26" s="57"/>
      <c r="AX26" s="57"/>
      <c r="AY26" s="57"/>
      <c r="AZ26" s="57"/>
      <c r="BA26" s="57"/>
      <c r="BB26" s="58"/>
      <c r="BC26" s="57"/>
      <c r="BD26" s="57"/>
      <c r="BE26" s="57"/>
      <c r="BF26" s="57"/>
      <c r="BG26" s="57"/>
      <c r="BH26" s="57"/>
      <c r="BI26" s="57"/>
      <c r="BJ26" s="58"/>
      <c r="BK26" s="2"/>
      <c r="BL26" s="59"/>
      <c r="BM26" s="2"/>
      <c r="BN26" s="110"/>
      <c r="BO26" s="126"/>
      <c r="BP26" s="130">
        <f>AC15</f>
        <v>0</v>
      </c>
      <c r="BQ26" s="126"/>
      <c r="BR26" s="129"/>
      <c r="BS26" s="137">
        <f>IF(AO16&lt;0,"",AO16)</f>
        <v>0</v>
      </c>
      <c r="BT26" s="79">
        <f>IF(ISERROR(D36),0,D36)</f>
        <v>0</v>
      </c>
      <c r="BU26" s="110"/>
      <c r="BV26" s="79">
        <f>IF(ISERROR(F36),0,D20)</f>
        <v>0</v>
      </c>
      <c r="BW26" s="2"/>
      <c r="BX26" s="73" t="s">
        <v>147</v>
      </c>
      <c r="BY26" s="39"/>
      <c r="BZ26" s="73" t="s">
        <v>148</v>
      </c>
      <c r="CA26" s="110"/>
      <c r="CB26" s="110"/>
      <c r="CC26" s="73" t="s">
        <v>149</v>
      </c>
      <c r="CD26" s="91"/>
      <c r="CE26" s="2"/>
    </row>
    <row r="27" spans="1:83" ht="12.75" customHeight="1" x14ac:dyDescent="0.3">
      <c r="A27" s="16"/>
      <c r="B27" s="101" t="s">
        <v>150</v>
      </c>
      <c r="C27" s="240">
        <f>SUM(C28,C31:C33)</f>
        <v>3587232.0885436414</v>
      </c>
      <c r="D27" s="379">
        <f t="shared" ref="D27:D33" si="7">C27/$C$103</f>
        <v>2.1680967305526386E-4</v>
      </c>
      <c r="E27" s="240">
        <f>SUM(E28,E31:E33)</f>
        <v>176191.41813961326</v>
      </c>
      <c r="F27" s="379">
        <f t="shared" ref="F27:F33" si="8">E27/$E$103</f>
        <v>5.3730006729519752E-6</v>
      </c>
      <c r="G27" s="241"/>
      <c r="H27" s="379"/>
      <c r="I27" s="241"/>
      <c r="J27" s="379"/>
      <c r="K27" s="241"/>
      <c r="L27" s="394"/>
      <c r="M27" s="392">
        <f>((M.sd0RD+M.sd0RS+M.sd0RA+M.sd0RP)*Molweight*1000/(VOLUME.sd0R))/(FRACw.sdR*1000+FRACs.sdR*RHOsolid)</f>
        <v>0.16096654847557856</v>
      </c>
      <c r="N27" s="392">
        <f>((M.sd0CD+M.sd0CS+M.sd0CA+M.sd0CP)*Molweight*1000/(VOLUME.sd0C))/(FRACw.sdC*1000+FRACs.sdC*RHOsolid)</f>
        <v>5.1840918346757105E-4</v>
      </c>
      <c r="O27" s="121"/>
      <c r="P27" s="121"/>
      <c r="Q27" s="121"/>
      <c r="R27" s="157" t="s">
        <v>151</v>
      </c>
      <c r="S27" s="160"/>
      <c r="T27" s="160"/>
      <c r="U27" s="160"/>
      <c r="V27" s="160"/>
      <c r="W27" s="159"/>
      <c r="X27" s="16"/>
      <c r="Y27" s="153"/>
      <c r="Z27" s="16"/>
      <c r="AA27" s="257" t="s">
        <v>129</v>
      </c>
      <c r="AB27" s="159" t="s">
        <v>98</v>
      </c>
      <c r="AC27" s="158"/>
      <c r="AD27" s="160"/>
      <c r="AE27" s="160"/>
      <c r="AF27" s="160">
        <f>(NETsedrate.w2C*SYSTEMAREA.C*AREAFRAC.w2C)*C.sd2C*Molweight</f>
        <v>0</v>
      </c>
      <c r="AG27" s="160">
        <f>(kdis.sd2S.sd2D*M.sd2CS+kdis.sd2A.sd2D*M.sd2CA+kdis.sd2P.sd2D*M.sd2CP)*Molweight</f>
        <v>0</v>
      </c>
      <c r="AH27" s="159">
        <f>KDEG.sd2C*VOLUME.sd2C*C.sd2C*Molweight</f>
        <v>0</v>
      </c>
      <c r="AI27" s="160"/>
      <c r="AJ27" s="160"/>
      <c r="AK27" s="160"/>
      <c r="AL27" s="160"/>
      <c r="AM27" s="160"/>
      <c r="AN27" s="160">
        <f>k.w2C.sd2C*M.w2C*Molweight</f>
        <v>0</v>
      </c>
      <c r="AO27" s="159">
        <f>k.sd2C.w2C*M.sd2C*Molweight</f>
        <v>0</v>
      </c>
      <c r="AP27" s="708">
        <f>SUM(AC27,AD27,AN27,AG27)-SUM(AE27,AF27,AH27,AO27)</f>
        <v>0</v>
      </c>
      <c r="AQ27" s="16"/>
      <c r="AR27" s="43"/>
      <c r="AS27" s="2"/>
      <c r="AT27" s="55" t="s">
        <v>152</v>
      </c>
      <c r="AU27" s="11"/>
      <c r="AV27" s="11"/>
      <c r="AW27" s="11"/>
      <c r="AX27" s="11"/>
      <c r="AY27" s="11"/>
      <c r="AZ27" s="11"/>
      <c r="BA27" s="11"/>
      <c r="BB27" s="11"/>
      <c r="BC27" s="11"/>
      <c r="BD27" s="11"/>
      <c r="BE27" s="11"/>
      <c r="BF27" s="11"/>
      <c r="BG27" s="11"/>
      <c r="BH27" s="11"/>
      <c r="BI27" s="11"/>
      <c r="BJ27" s="11"/>
      <c r="BK27" s="2"/>
      <c r="BL27" s="59"/>
      <c r="BM27" s="2"/>
      <c r="BN27" s="2"/>
      <c r="BO27" s="81"/>
      <c r="BP27" s="110"/>
      <c r="BQ27" s="2"/>
      <c r="BR27" s="110"/>
      <c r="BS27" s="140"/>
      <c r="BT27" s="110"/>
      <c r="BU27" s="110"/>
      <c r="BV27" s="134"/>
      <c r="BW27" s="2"/>
      <c r="BX27" s="93">
        <f>IF(ISERROR(D76),0,D76)</f>
        <v>0</v>
      </c>
      <c r="BY27" s="39"/>
      <c r="BZ27" s="93">
        <f>IF(ISERROR(D92),0,D92)</f>
        <v>0</v>
      </c>
      <c r="CA27" s="110"/>
      <c r="CB27" s="110"/>
      <c r="CC27" s="93">
        <f>IF(ISERROR(D84),0,D84)</f>
        <v>0</v>
      </c>
      <c r="CD27" s="2"/>
      <c r="CE27" s="2"/>
    </row>
    <row r="28" spans="1:83" ht="12.75" customHeight="1" x14ac:dyDescent="0.3">
      <c r="A28" s="16"/>
      <c r="B28" s="376" t="s">
        <v>116</v>
      </c>
      <c r="C28" s="240">
        <f>M.sd0RD*Molweight</f>
        <v>0</v>
      </c>
      <c r="D28" s="379">
        <f t="shared" si="7"/>
        <v>0</v>
      </c>
      <c r="E28" s="240">
        <f>M.sd0CD*Molweight</f>
        <v>0</v>
      </c>
      <c r="F28" s="379">
        <f t="shared" si="8"/>
        <v>0</v>
      </c>
      <c r="G28" s="241"/>
      <c r="H28" s="379"/>
      <c r="I28" s="241"/>
      <c r="J28" s="379"/>
      <c r="K28" s="241"/>
      <c r="L28" s="394"/>
      <c r="M28" s="121">
        <f>C.sd0RD*(Molweight*1000)/(FRACw.sdR*1000+FRACs.sdR*RHOsolid)</f>
        <v>0</v>
      </c>
      <c r="N28" s="121">
        <f>C.sd0CD*(Molweight*1000)/(FRACw.sdC*1000+FRACs.sdC*RHOsolid)</f>
        <v>0</v>
      </c>
      <c r="O28" s="121"/>
      <c r="P28" s="121"/>
      <c r="Q28" s="121"/>
      <c r="R28" s="157" t="s">
        <v>151</v>
      </c>
      <c r="S28" s="160"/>
      <c r="T28" s="160"/>
      <c r="U28" s="160"/>
      <c r="V28" s="160"/>
      <c r="W28" s="159"/>
      <c r="X28" s="16"/>
      <c r="Y28" s="153"/>
      <c r="Z28" s="16"/>
      <c r="AA28" s="257" t="s">
        <v>131</v>
      </c>
      <c r="AB28" s="159" t="s">
        <v>99</v>
      </c>
      <c r="AC28" s="158">
        <f>E.s1CD*Molweight</f>
        <v>0</v>
      </c>
      <c r="AD28" s="160"/>
      <c r="AE28" s="160"/>
      <c r="AF28" s="160">
        <f>(FRACinf.s1C*RAINrate.C/Ks1w.C*SYSTEMAREA.C*AREAFRAC.s1C*CORRleach.s1C)*C.s1C*Molweight</f>
        <v>0</v>
      </c>
      <c r="AG28" s="160">
        <f>(kdis.s1S.s1D*M.s1CS+kdis.s1A.s1D*M.s1CA+kdis.s1P.s1D*M.s1CP)*Molweight</f>
        <v>0</v>
      </c>
      <c r="AH28" s="159">
        <f>KDEG.s1C*VOLUME.s1C*C.s1C*Molweight</f>
        <v>0</v>
      </c>
      <c r="AI28" s="160"/>
      <c r="AJ28" s="160"/>
      <c r="AK28" s="160">
        <f>k.aC.s1C*M.aC*Molweight</f>
        <v>0</v>
      </c>
      <c r="AL28" s="160">
        <f>k.s1C.aC*M.s1C*Molweight</f>
        <v>0</v>
      </c>
      <c r="AM28" s="160">
        <f>k.s1C.w1C*M.s1C*Molweight</f>
        <v>0</v>
      </c>
      <c r="AN28" s="160"/>
      <c r="AO28" s="159"/>
      <c r="AP28" s="708">
        <f>SUM(AC28,AD28,AK28,AG28)-SUM(AE28,AF28,AH28,AL28,AM28,AP27)</f>
        <v>0</v>
      </c>
      <c r="AQ28" s="16"/>
      <c r="AR28" s="43"/>
      <c r="AS28" s="2"/>
      <c r="AT28" s="61" t="s">
        <v>153</v>
      </c>
      <c r="AU28" s="11"/>
      <c r="AV28" s="11"/>
      <c r="AW28" s="11"/>
      <c r="AX28" s="11"/>
      <c r="AY28" s="11"/>
      <c r="AZ28" s="11"/>
      <c r="BA28" s="11"/>
      <c r="BB28" s="11"/>
      <c r="BC28" s="11"/>
      <c r="BD28" s="11"/>
      <c r="BE28" s="11"/>
      <c r="BF28" s="11"/>
      <c r="BG28" s="11"/>
      <c r="BH28" s="11"/>
      <c r="BI28" s="11"/>
      <c r="BJ28" s="11"/>
      <c r="BK28" s="2"/>
      <c r="BL28" s="59"/>
      <c r="BM28" s="2"/>
      <c r="BN28" s="2"/>
      <c r="BO28" s="2"/>
      <c r="BP28" s="2"/>
      <c r="BQ28" s="2"/>
      <c r="BR28" s="2"/>
      <c r="BS28" s="137">
        <f>IF(AN16&lt;0,"",AN16)</f>
        <v>0</v>
      </c>
      <c r="BT28" s="21">
        <f>AH16</f>
        <v>0</v>
      </c>
      <c r="BU28" s="110"/>
      <c r="BV28" s="110"/>
      <c r="BW28" s="110"/>
      <c r="BX28" s="2"/>
      <c r="BY28" s="39"/>
      <c r="BZ28" s="110"/>
      <c r="CA28" s="110"/>
      <c r="CB28" s="110"/>
      <c r="CC28" s="110"/>
      <c r="CD28" s="2"/>
      <c r="CE28" s="2"/>
    </row>
    <row r="29" spans="1:83" ht="12.75" customHeight="1" thickBot="1" x14ac:dyDescent="0.35">
      <c r="A29" s="16"/>
      <c r="B29" s="156" t="s">
        <v>154</v>
      </c>
      <c r="C29" s="240">
        <f>C28*FRACw.sdR</f>
        <v>0</v>
      </c>
      <c r="D29" s="379">
        <f t="shared" si="7"/>
        <v>0</v>
      </c>
      <c r="E29" s="240">
        <f>E28*FRACw.sdC</f>
        <v>0</v>
      </c>
      <c r="F29" s="379">
        <f t="shared" si="8"/>
        <v>0</v>
      </c>
      <c r="G29" s="241"/>
      <c r="H29" s="379"/>
      <c r="I29" s="241"/>
      <c r="J29" s="379"/>
      <c r="K29" s="241"/>
      <c r="L29" s="394"/>
      <c r="M29" s="121">
        <f>M30/Kp.sd0R</f>
        <v>0</v>
      </c>
      <c r="N29" s="121">
        <f>N30/Kp.sd0C</f>
        <v>0</v>
      </c>
      <c r="O29" s="121"/>
      <c r="P29" s="121"/>
      <c r="Q29" s="121"/>
      <c r="R29" s="157" t="s">
        <v>134</v>
      </c>
      <c r="S29" s="160"/>
      <c r="T29" s="160"/>
      <c r="U29" s="160"/>
      <c r="V29" s="160"/>
      <c r="W29" s="159"/>
      <c r="X29" s="16"/>
      <c r="Y29" s="153"/>
      <c r="Z29" s="16"/>
      <c r="AA29" s="257" t="s">
        <v>135</v>
      </c>
      <c r="AB29" s="159" t="s">
        <v>100</v>
      </c>
      <c r="AC29" s="158">
        <f>E.s2CD*Molweight</f>
        <v>0</v>
      </c>
      <c r="AD29" s="160"/>
      <c r="AE29" s="160"/>
      <c r="AF29" s="160">
        <f>(FRACinf.s2C*RAINrate.C/Ks2w.C*SYSTEMAREA.C*AREAFRAC.s2C*CORRleach.s2C)*C.s2C*Molweight</f>
        <v>0</v>
      </c>
      <c r="AG29" s="160">
        <f>(kdis.s2S.s2D*M.s2CS+kdis.s2A.s2D*M.s2CA+kdis.s2P.s2D*M.s2CP)*Molweight</f>
        <v>0</v>
      </c>
      <c r="AH29" s="159">
        <f>KDEG.s2C*VOLUME.s2C*C.s2C*Molweight</f>
        <v>0</v>
      </c>
      <c r="AI29" s="160"/>
      <c r="AJ29" s="160"/>
      <c r="AK29" s="160">
        <f>k.aC.s2C*M.aC*Molweight</f>
        <v>0</v>
      </c>
      <c r="AL29" s="160">
        <f>k.s2C.aC*M.s2C*Molweight</f>
        <v>0</v>
      </c>
      <c r="AM29" s="160">
        <f>k.s2C.w1C*M.s2C*Molweight</f>
        <v>0</v>
      </c>
      <c r="AN29" s="160"/>
      <c r="AO29" s="159"/>
      <c r="AP29" s="708">
        <f>SUM(AC29,AD29,AK29,AG29)-SUM(AE29,AF29,AH29,AL29,AM29,AP28)</f>
        <v>0</v>
      </c>
      <c r="AQ29" s="16"/>
      <c r="AR29" s="43"/>
      <c r="AS29" s="2"/>
      <c r="AT29" s="60"/>
      <c r="AU29" s="63"/>
      <c r="AV29" s="63"/>
      <c r="AW29" s="63"/>
      <c r="AX29" s="63"/>
      <c r="AY29" s="63"/>
      <c r="AZ29" s="63"/>
      <c r="BA29" s="63"/>
      <c r="BB29" s="64"/>
      <c r="BC29" s="63"/>
      <c r="BD29" s="63"/>
      <c r="BE29" s="63"/>
      <c r="BF29" s="63"/>
      <c r="BG29" s="63"/>
      <c r="BH29" s="63"/>
      <c r="BI29" s="63"/>
      <c r="BJ29" s="64"/>
      <c r="BK29" s="2"/>
      <c r="BL29" s="59"/>
      <c r="BM29" s="2"/>
      <c r="BN29" s="2"/>
      <c r="BO29" s="110"/>
      <c r="BP29" s="2"/>
      <c r="BQ29" s="83"/>
      <c r="BR29" s="2"/>
      <c r="BS29" s="39"/>
      <c r="BT29" s="52"/>
      <c r="BU29" s="110"/>
      <c r="BV29" s="2"/>
      <c r="BW29" s="110"/>
      <c r="BX29" s="21">
        <f>AH18</f>
        <v>0</v>
      </c>
      <c r="BY29" s="39"/>
      <c r="BZ29" s="52">
        <f>AH20</f>
        <v>0</v>
      </c>
      <c r="CA29" s="2"/>
      <c r="CB29" s="110"/>
      <c r="CC29" s="21">
        <f>AH19</f>
        <v>0</v>
      </c>
      <c r="CD29" s="2"/>
      <c r="CE29" s="2"/>
    </row>
    <row r="30" spans="1:83" ht="12.75" customHeight="1" x14ac:dyDescent="0.3">
      <c r="A30" s="16"/>
      <c r="B30" s="156" t="s">
        <v>155</v>
      </c>
      <c r="C30" s="240">
        <f>C28*FRACs.sdR</f>
        <v>0</v>
      </c>
      <c r="D30" s="379">
        <f t="shared" si="7"/>
        <v>0</v>
      </c>
      <c r="E30" s="240">
        <f>E28*FRACs.sdC</f>
        <v>0</v>
      </c>
      <c r="F30" s="379">
        <f t="shared" si="8"/>
        <v>0</v>
      </c>
      <c r="G30" s="241"/>
      <c r="H30" s="379"/>
      <c r="I30" s="241"/>
      <c r="J30" s="379"/>
      <c r="K30" s="241"/>
      <c r="L30" s="394"/>
      <c r="M30" s="121">
        <f>C.sd0RD*FRACs.sdR/(FRACw.sdR/(Kp.sd0R*RHOsolid/1000)+FRACs.sdR)*(Molweight*1000*1000)/(FRACs.sdR*RHOsolid)</f>
        <v>0</v>
      </c>
      <c r="N30" s="121">
        <f>C.sd0CD*FRACs.sdC/(FRACw.sdC/(Kp.sd0C*RHOsolid/1000)+FRACs.sdC)*(Molweight*1000*1000)/(FRACs.sdC*RHOsolid)</f>
        <v>0</v>
      </c>
      <c r="O30" s="121"/>
      <c r="P30" s="121"/>
      <c r="Q30" s="121"/>
      <c r="R30" s="157" t="s">
        <v>140</v>
      </c>
      <c r="S30" s="160"/>
      <c r="T30" s="160"/>
      <c r="U30" s="160"/>
      <c r="V30" s="160"/>
      <c r="W30" s="159"/>
      <c r="X30" s="16"/>
      <c r="Y30" s="153"/>
      <c r="Z30" s="16"/>
      <c r="AA30" s="257" t="s">
        <v>136</v>
      </c>
      <c r="AB30" s="159" t="s">
        <v>101</v>
      </c>
      <c r="AC30" s="158">
        <f>E.s3CD*Molweight</f>
        <v>0</v>
      </c>
      <c r="AD30" s="160"/>
      <c r="AE30" s="160"/>
      <c r="AF30" s="160">
        <f>(FRACinf.s3C*RAINrate.C/Ks3w.C*SYSTEMAREA.C*AREAFRAC.s3C*CORRleach.s3C)*C.s3C*Molweight</f>
        <v>0</v>
      </c>
      <c r="AG30" s="160">
        <f>(kdis.s3S.s3D*M.s3CS+kdis.s3A.s3D*M.s3CA+kdis.s3P.s3D*M.s3CP)*Molweight</f>
        <v>0</v>
      </c>
      <c r="AH30" s="159">
        <f>KDEG.s3C*VOLUME.s3C*C.s3C*Molweight</f>
        <v>0</v>
      </c>
      <c r="AI30" s="160"/>
      <c r="AJ30" s="160"/>
      <c r="AK30" s="160">
        <f>k.aC.s3C*M.aC*Molweight</f>
        <v>0</v>
      </c>
      <c r="AL30" s="160">
        <f>k.s3C.aC*M.s3C*Molweight</f>
        <v>0</v>
      </c>
      <c r="AM30" s="160">
        <f>k.s3C.w1C*M.s3C*Molweight</f>
        <v>0</v>
      </c>
      <c r="AN30" s="160"/>
      <c r="AO30" s="159"/>
      <c r="AP30" s="708">
        <f>SUM(AC30,AD30,AK30,AG30)-SUM(AE30,AF30,AH30,AL30,AM30,AP29)</f>
        <v>0</v>
      </c>
      <c r="AQ30" s="16"/>
      <c r="AR30" s="43"/>
      <c r="AS30" s="2"/>
      <c r="AT30" s="55" t="s">
        <v>156</v>
      </c>
      <c r="AU30" s="11"/>
      <c r="AV30" s="11"/>
      <c r="AW30" s="11"/>
      <c r="AX30" s="11"/>
      <c r="AY30" s="11"/>
      <c r="AZ30" s="11"/>
      <c r="BA30" s="11"/>
      <c r="BB30" s="11"/>
      <c r="BC30" s="11"/>
      <c r="BD30" s="11"/>
      <c r="BE30" s="11"/>
      <c r="BF30" s="11"/>
      <c r="BG30" s="11"/>
      <c r="BH30" s="11"/>
      <c r="BI30" s="11"/>
      <c r="BJ30" s="11"/>
      <c r="BK30" s="2"/>
      <c r="BL30" s="59"/>
      <c r="BM30" s="2"/>
      <c r="BN30" s="2"/>
      <c r="BO30" s="110"/>
      <c r="BP30" s="2"/>
      <c r="BQ30" s="2"/>
      <c r="BR30" s="110"/>
      <c r="BS30" s="39" t="s">
        <v>157</v>
      </c>
      <c r="BT30" s="2"/>
      <c r="BU30" s="110"/>
      <c r="BV30" s="110"/>
      <c r="BW30" s="110"/>
      <c r="BX30" s="110"/>
      <c r="BY30" s="110"/>
      <c r="BZ30" s="110"/>
      <c r="CA30" s="110"/>
      <c r="CB30" s="110"/>
      <c r="CC30" s="110"/>
      <c r="CD30" s="110"/>
      <c r="CE30" s="2"/>
    </row>
    <row r="31" spans="1:83" ht="12.75" customHeight="1" x14ac:dyDescent="0.3">
      <c r="A31" s="16"/>
      <c r="B31" s="156" t="s">
        <v>123</v>
      </c>
      <c r="C31" s="240">
        <f>M.sd0RS*Molweight</f>
        <v>8.8227862432743213E-9</v>
      </c>
      <c r="D31" s="379">
        <f t="shared" si="7"/>
        <v>5.3324272130309187E-19</v>
      </c>
      <c r="E31" s="240">
        <f>M.sd0CS*Molweight</f>
        <v>5.6603914210740302E-10</v>
      </c>
      <c r="F31" s="379">
        <f t="shared" si="8"/>
        <v>1.7261502992445982E-20</v>
      </c>
      <c r="G31" s="241"/>
      <c r="H31" s="379"/>
      <c r="I31" s="241"/>
      <c r="J31" s="379"/>
      <c r="K31" s="241"/>
      <c r="L31" s="394"/>
      <c r="M31" s="121">
        <f>C.sd0RS*(Molweight*1000)/(FRACw.sdR*1000+FRACs.sdR*RHOsolid)</f>
        <v>3.9589672886045446E-16</v>
      </c>
      <c r="N31" s="121">
        <f>C.sd0CS*(Molweight*1000)/(FRACw.sdC*1000+FRACs.sdC*RHOsolid)</f>
        <v>1.6654607390586004E-18</v>
      </c>
      <c r="O31" s="121"/>
      <c r="P31" s="121"/>
      <c r="Q31" s="121"/>
      <c r="R31" s="157" t="s">
        <v>151</v>
      </c>
      <c r="S31" s="160"/>
      <c r="T31" s="160"/>
      <c r="U31" s="160"/>
      <c r="V31" s="160"/>
      <c r="W31" s="159"/>
      <c r="X31" s="16"/>
      <c r="Y31" s="153"/>
      <c r="Z31" s="16"/>
      <c r="AA31" s="706" t="s">
        <v>158</v>
      </c>
      <c r="AB31" s="249"/>
      <c r="AC31" s="708"/>
      <c r="AD31" s="160"/>
      <c r="AE31" s="160"/>
      <c r="AF31" s="160"/>
      <c r="AG31" s="160"/>
      <c r="AH31" s="159"/>
      <c r="AI31" s="160"/>
      <c r="AJ31" s="160"/>
      <c r="AK31" s="160"/>
      <c r="AL31" s="160"/>
      <c r="AM31" s="160"/>
      <c r="AN31" s="160"/>
      <c r="AO31" s="159"/>
      <c r="AP31" s="725"/>
      <c r="AQ31" s="16"/>
      <c r="AR31" s="43"/>
      <c r="AS31" s="2"/>
      <c r="AT31" s="61" t="s">
        <v>159</v>
      </c>
      <c r="AU31" s="11"/>
      <c r="AV31" s="11"/>
      <c r="AW31" s="11"/>
      <c r="AX31" s="11"/>
      <c r="AY31" s="11"/>
      <c r="AZ31" s="11"/>
      <c r="BA31" s="11"/>
      <c r="BB31" s="11"/>
      <c r="BC31" s="11"/>
      <c r="BD31" s="11"/>
      <c r="BE31" s="11"/>
      <c r="BF31" s="11"/>
      <c r="BG31" s="11"/>
      <c r="BH31" s="11"/>
      <c r="BI31" s="11"/>
      <c r="BJ31" s="11"/>
      <c r="BK31" s="2"/>
      <c r="BL31" s="59"/>
      <c r="BM31" s="2"/>
      <c r="BN31" s="2"/>
      <c r="BO31" s="110"/>
      <c r="BP31" s="2"/>
      <c r="BQ31" s="110"/>
      <c r="BR31" s="2"/>
      <c r="BS31" s="2"/>
      <c r="BT31" s="92">
        <f>IF(ISERROR(D44),0,D44)</f>
        <v>0</v>
      </c>
      <c r="BU31" s="110"/>
      <c r="BV31" s="110"/>
      <c r="BW31" s="110"/>
      <c r="BX31" s="110"/>
      <c r="BY31" s="110"/>
      <c r="BZ31" s="2"/>
      <c r="CA31" s="110"/>
      <c r="CB31" s="2"/>
      <c r="CC31" s="2"/>
      <c r="CD31" s="2"/>
      <c r="CE31" s="2"/>
    </row>
    <row r="32" spans="1:83" ht="12.75" customHeight="1" thickBot="1" x14ac:dyDescent="0.35">
      <c r="A32" s="16"/>
      <c r="B32" s="156" t="s">
        <v>126</v>
      </c>
      <c r="C32" s="240">
        <f>M.sd0RA*Molweight</f>
        <v>1309944.6372051772</v>
      </c>
      <c r="D32" s="379">
        <f t="shared" si="7"/>
        <v>7.9172091881084182E-5</v>
      </c>
      <c r="E32" s="240">
        <f>M.sd0CA*Molweight</f>
        <v>150951.77512898977</v>
      </c>
      <c r="F32" s="379">
        <f t="shared" si="8"/>
        <v>4.603311545563893E-6</v>
      </c>
      <c r="G32" s="241"/>
      <c r="H32" s="379"/>
      <c r="I32" s="241"/>
      <c r="J32" s="379"/>
      <c r="K32" s="241"/>
      <c r="L32" s="394"/>
      <c r="M32" s="121">
        <f>C.sd0RA*(Molweight*1000)/(FRACw.sdR*1000+FRACs.sdR*RHOsolid)</f>
        <v>5.8779934428668648E-2</v>
      </c>
      <c r="N32" s="121">
        <f>C.sd0CA*(Molweight*1000)/(FRACw.sdC*1000+FRACs.sdC*RHOsolid)</f>
        <v>4.4414641367828279E-4</v>
      </c>
      <c r="O32" s="121"/>
      <c r="P32" s="121"/>
      <c r="Q32" s="121"/>
      <c r="R32" s="157" t="s">
        <v>151</v>
      </c>
      <c r="S32" s="160"/>
      <c r="T32" s="160"/>
      <c r="U32" s="160"/>
      <c r="V32" s="160"/>
      <c r="W32" s="159"/>
      <c r="X32" s="16"/>
      <c r="Y32" s="153"/>
      <c r="Z32" s="16"/>
      <c r="AA32" s="257" t="s">
        <v>117</v>
      </c>
      <c r="AB32" s="159" t="s">
        <v>160</v>
      </c>
      <c r="AC32" s="158">
        <f>E.aMG*Molweight</f>
        <v>0</v>
      </c>
      <c r="AD32" s="160">
        <f>(k.aC.aM*M.aC+k.aA.aM*M.aA+k.aT.aM*M.aT)*Molweight</f>
        <v>0</v>
      </c>
      <c r="AE32" s="160">
        <f>(k.aM.aA+k.aM.aC+k.aM.aT)*M.aM*Molweight</f>
        <v>0</v>
      </c>
      <c r="AF32" s="160">
        <f>kesc.aM*VOLUME.aM*C.aM*Molweight</f>
        <v>0</v>
      </c>
      <c r="AG32" s="160"/>
      <c r="AH32" s="159">
        <f>KDEG.aM*VOLUME.aM*C.aM*Molweight</f>
        <v>0</v>
      </c>
      <c r="AI32" s="160">
        <f>SUM(AI33,AK36)</f>
        <v>0</v>
      </c>
      <c r="AJ32" s="160">
        <f>SUM(AJ33,AL36)</f>
        <v>0</v>
      </c>
      <c r="AK32" s="160"/>
      <c r="AL32" s="160"/>
      <c r="AM32" s="160"/>
      <c r="AN32" s="160"/>
      <c r="AO32" s="159"/>
      <c r="AP32" s="708">
        <f>SUM(AC32,AD32,AJ32,AL32)-SUM(AE32,AF32,AH32,AI32,AK32)</f>
        <v>0</v>
      </c>
      <c r="AQ32" s="16"/>
      <c r="AR32" s="43"/>
      <c r="AS32" s="2"/>
      <c r="AT32" s="48" t="s">
        <v>161</v>
      </c>
      <c r="AU32" s="11"/>
      <c r="AV32" s="11"/>
      <c r="AW32" s="11"/>
      <c r="AX32" s="11"/>
      <c r="AY32" s="11"/>
      <c r="AZ32" s="11"/>
      <c r="BA32" s="11"/>
      <c r="BB32" s="11"/>
      <c r="BC32" s="11"/>
      <c r="BD32" s="11"/>
      <c r="BE32" s="11"/>
      <c r="BF32" s="11"/>
      <c r="BG32" s="11"/>
      <c r="BH32" s="11"/>
      <c r="BI32" s="11"/>
      <c r="BJ32" s="11"/>
      <c r="BK32" s="2"/>
      <c r="BL32" s="43"/>
      <c r="BM32" s="2"/>
      <c r="BN32" s="2"/>
      <c r="BO32" s="110"/>
      <c r="BP32" s="2"/>
      <c r="BQ32" s="21">
        <f>AH15</f>
        <v>0</v>
      </c>
      <c r="BR32" s="110"/>
      <c r="BS32" s="110"/>
      <c r="BT32" s="110"/>
      <c r="BU32" s="110"/>
      <c r="BV32" s="110"/>
      <c r="BW32" s="52"/>
      <c r="BX32" s="2"/>
      <c r="BY32" s="52"/>
      <c r="BZ32" s="52"/>
      <c r="CA32" s="2"/>
      <c r="CB32" s="52"/>
      <c r="CC32" s="110"/>
      <c r="CD32" s="110"/>
      <c r="CE32" s="2"/>
    </row>
    <row r="33" spans="1:83" ht="12.75" customHeight="1" thickBot="1" x14ac:dyDescent="0.35">
      <c r="A33" s="16"/>
      <c r="B33" s="156" t="s">
        <v>128</v>
      </c>
      <c r="C33" s="240">
        <f>M.sd0RP*Molweight</f>
        <v>2277287.4513384555</v>
      </c>
      <c r="D33" s="379">
        <f t="shared" si="7"/>
        <v>1.3763758117417915E-4</v>
      </c>
      <c r="E33" s="240">
        <f>M.sd0CP*Molweight</f>
        <v>25239.643010622938</v>
      </c>
      <c r="F33" s="379">
        <f t="shared" si="8"/>
        <v>7.6968912738806535E-7</v>
      </c>
      <c r="G33" s="241"/>
      <c r="H33" s="379"/>
      <c r="I33" s="241"/>
      <c r="J33" s="379"/>
      <c r="K33" s="241"/>
      <c r="L33" s="394"/>
      <c r="M33" s="121">
        <f>C.sd0RP*(Molweight*1000)/(FRACw.sdR*1000+FRACs.sdR*RHOsolid)</f>
        <v>0.10218661404690953</v>
      </c>
      <c r="N33" s="121">
        <f>C.sd0CP*(Molweight*1000)/(FRACw.sdC*1000+FRACs.sdC*RHOsolid)</f>
        <v>7.4262769789286529E-5</v>
      </c>
      <c r="O33" s="121"/>
      <c r="P33" s="121"/>
      <c r="Q33" s="121"/>
      <c r="R33" s="157" t="s">
        <v>151</v>
      </c>
      <c r="S33" s="160"/>
      <c r="T33" s="160"/>
      <c r="U33" s="160"/>
      <c r="V33" s="160"/>
      <c r="W33" s="159"/>
      <c r="X33" s="16"/>
      <c r="Y33" s="153"/>
      <c r="Z33" s="16"/>
      <c r="AA33" s="257" t="s">
        <v>162</v>
      </c>
      <c r="AB33" s="159" t="s">
        <v>163</v>
      </c>
      <c r="AC33" s="158">
        <f>E.w2MD*Molweight</f>
        <v>0</v>
      </c>
      <c r="AD33" s="160">
        <f>(k.w2C.w2M*M.w2C+k.w2A.w2M*M.w2A+k.w2T.w2M*M.w2T+k.w3M.w2M*M.w3M)*Molweight</f>
        <v>0</v>
      </c>
      <c r="AE33" s="160">
        <f>(k.w2M.w2C+k.w2M.w2A+k.w2M.w2T+k.w2M.w3M)*M.w2M*Molweight</f>
        <v>0</v>
      </c>
      <c r="AF33" s="160"/>
      <c r="AG33" s="160">
        <f>(kdis.w2S.w2D*M.w2MS+kdis.w2A.w2D*M.w2MA+kdis.w2P.w2D*M.w2MP)*Molweight</f>
        <v>0</v>
      </c>
      <c r="AH33" s="159">
        <f>KDEG.w2M*VOLUME.w2M*C.w2M*Molweight</f>
        <v>0</v>
      </c>
      <c r="AI33" s="160">
        <f>k.aM.w2M*M.aM*Molweight</f>
        <v>0</v>
      </c>
      <c r="AJ33" s="160">
        <f>k.w2M.aM*M.w2M*Molweight</f>
        <v>0</v>
      </c>
      <c r="AK33" s="160"/>
      <c r="AL33" s="160"/>
      <c r="AM33" s="160">
        <f>k.sM.w2M*M.sM*Molweight</f>
        <v>0</v>
      </c>
      <c r="AN33" s="160"/>
      <c r="AO33" s="159"/>
      <c r="AP33" s="708">
        <f>SUM(AC33,AD33,AI33,AM33,AG33)-SUM(AE33,AF33,AH33,AJ33)</f>
        <v>0</v>
      </c>
      <c r="AQ33" s="16"/>
      <c r="AR33" s="43"/>
      <c r="AS33" s="2"/>
      <c r="AT33" s="2"/>
      <c r="AU33" s="2"/>
      <c r="AV33" s="2"/>
      <c r="AW33" s="2"/>
      <c r="AX33" s="2"/>
      <c r="AY33" s="2"/>
      <c r="AZ33" s="2"/>
      <c r="BA33" s="2"/>
      <c r="BB33" s="2"/>
      <c r="BC33" s="2"/>
      <c r="BD33" s="2"/>
      <c r="BE33" s="2"/>
      <c r="BF33" s="2"/>
      <c r="BG33" s="2"/>
      <c r="BH33" s="2"/>
      <c r="BI33" s="2"/>
      <c r="BJ33" s="2"/>
      <c r="BK33" s="2"/>
      <c r="BL33" s="43"/>
      <c r="BM33" s="2"/>
      <c r="BN33" s="2"/>
      <c r="BO33" s="113"/>
      <c r="BP33" s="2"/>
      <c r="BQ33" s="95" t="s">
        <v>164</v>
      </c>
      <c r="BR33" s="2"/>
      <c r="BS33" s="110"/>
      <c r="BT33" s="110"/>
      <c r="BU33" s="110"/>
      <c r="BV33" s="110"/>
      <c r="BW33" s="2"/>
      <c r="BX33" s="2"/>
      <c r="BY33" s="110"/>
      <c r="BZ33" s="110"/>
      <c r="CA33" s="110"/>
      <c r="CB33" s="110"/>
      <c r="CC33" s="110"/>
      <c r="CD33" s="110"/>
      <c r="CE33" s="2"/>
    </row>
    <row r="34" spans="1:83" ht="12.75" customHeight="1" x14ac:dyDescent="0.3">
      <c r="A34" s="16"/>
      <c r="B34" s="156"/>
      <c r="C34" s="240"/>
      <c r="D34" s="379"/>
      <c r="E34" s="241"/>
      <c r="F34" s="379"/>
      <c r="G34" s="241"/>
      <c r="H34" s="379"/>
      <c r="I34" s="241"/>
      <c r="J34" s="379"/>
      <c r="K34" s="241"/>
      <c r="L34" s="394"/>
      <c r="M34" s="121"/>
      <c r="N34" s="121"/>
      <c r="O34" s="121"/>
      <c r="P34" s="121"/>
      <c r="Q34" s="121"/>
      <c r="R34" s="157"/>
      <c r="S34" s="160"/>
      <c r="T34" s="160"/>
      <c r="U34" s="160"/>
      <c r="V34" s="160"/>
      <c r="W34" s="159"/>
      <c r="X34" s="16"/>
      <c r="Y34" s="153"/>
      <c r="Z34" s="16"/>
      <c r="AA34" s="257" t="s">
        <v>165</v>
      </c>
      <c r="AB34" s="159" t="s">
        <v>166</v>
      </c>
      <c r="AC34" s="158"/>
      <c r="AD34" s="160">
        <f>(k.w2M.w3M*M.w2M+k.w3A.w3M*M.w3A+k.w3T.w3M*M.w3T)*Molweight</f>
        <v>0</v>
      </c>
      <c r="AE34" s="160">
        <f>(k.w3M.w2M+k.w3M.w3A+k.w3M.w3T)*M.w3M*Molweight</f>
        <v>0</v>
      </c>
      <c r="AF34" s="160"/>
      <c r="AG34" s="160">
        <f>(kdis.w2S.w2D*M.w3MS+kdis.w2A.w2D*M.w3MA+kdis.w2P.w2D*M.w3MP)*Molweight</f>
        <v>0</v>
      </c>
      <c r="AH34" s="159">
        <f>KDEG.w3M*M.w3MD*Molweight</f>
        <v>0</v>
      </c>
      <c r="AI34" s="160"/>
      <c r="AJ34" s="160"/>
      <c r="AK34" s="160"/>
      <c r="AL34" s="160"/>
      <c r="AM34" s="160"/>
      <c r="AN34" s="160">
        <f>k.w3M.sdM*M.w3M*Molweight</f>
        <v>0</v>
      </c>
      <c r="AO34" s="159">
        <f>k.sdM.w3M*M.sdM*Molweight</f>
        <v>0</v>
      </c>
      <c r="AP34" s="708">
        <f>SUM(AC34,AD34,AI34,AM34,AO34,AG34)-SUM(AE34,AF34,AH34,AJ34,AN34)</f>
        <v>0</v>
      </c>
      <c r="AQ34" s="16"/>
      <c r="AR34" s="43"/>
      <c r="AS34" s="2"/>
      <c r="AT34" s="55"/>
      <c r="AU34" s="45" t="s">
        <v>160</v>
      </c>
      <c r="AV34" s="45" t="s">
        <v>163</v>
      </c>
      <c r="AW34" s="45" t="s">
        <v>166</v>
      </c>
      <c r="AX34" s="45" t="s">
        <v>167</v>
      </c>
      <c r="AY34" s="47" t="s">
        <v>168</v>
      </c>
      <c r="AZ34" s="46" t="s">
        <v>169</v>
      </c>
      <c r="BA34" s="45" t="s">
        <v>170</v>
      </c>
      <c r="BB34" s="45" t="s">
        <v>171</v>
      </c>
      <c r="BC34" s="45" t="s">
        <v>172</v>
      </c>
      <c r="BD34" s="47" t="s">
        <v>173</v>
      </c>
      <c r="BE34" s="46" t="s">
        <v>174</v>
      </c>
      <c r="BF34" s="45" t="s">
        <v>175</v>
      </c>
      <c r="BG34" s="45" t="s">
        <v>176</v>
      </c>
      <c r="BH34" s="45" t="s">
        <v>177</v>
      </c>
      <c r="BI34" s="47" t="s">
        <v>178</v>
      </c>
      <c r="BJ34" s="62" t="s">
        <v>179</v>
      </c>
      <c r="BK34" s="2"/>
      <c r="BL34" s="43"/>
      <c r="BM34" s="2"/>
      <c r="BN34" s="2"/>
      <c r="BO34" s="110"/>
      <c r="BP34" s="135">
        <f>IF(AO17&lt;0,"",AO17)</f>
        <v>0</v>
      </c>
      <c r="BQ34" s="93">
        <f>IF(ISERROR(D52),0,D52)</f>
        <v>0</v>
      </c>
      <c r="BR34" s="110"/>
      <c r="BS34" s="110"/>
      <c r="BT34" s="110"/>
      <c r="BU34" s="110"/>
      <c r="BV34" s="110"/>
      <c r="BW34" s="110"/>
      <c r="BX34" s="110"/>
      <c r="BY34" s="110"/>
      <c r="BZ34" s="110"/>
      <c r="CA34" s="110"/>
      <c r="CB34" s="110"/>
      <c r="CC34" s="110"/>
      <c r="CD34" s="110"/>
      <c r="CE34" s="2"/>
    </row>
    <row r="35" spans="1:83" ht="12.75" customHeight="1" thickBot="1" x14ac:dyDescent="0.35">
      <c r="A35" s="16"/>
      <c r="B35" s="101" t="s">
        <v>180</v>
      </c>
      <c r="C35" s="240">
        <f>SUM(C36,C39:C41)</f>
        <v>7304629.4249148238</v>
      </c>
      <c r="D35" s="379">
        <f t="shared" ref="D35:D41" si="9">C35/$C$103</f>
        <v>4.4148643809902065E-4</v>
      </c>
      <c r="E35" s="240">
        <f>SUM(E36,E39:E41)</f>
        <v>406969.14175293897</v>
      </c>
      <c r="F35" s="379">
        <f t="shared" ref="F35:F41" si="10">E35/$E$103</f>
        <v>1.2410624169995279E-5</v>
      </c>
      <c r="G35" s="241"/>
      <c r="H35" s="379"/>
      <c r="I35" s="241"/>
      <c r="J35" s="379"/>
      <c r="K35" s="241"/>
      <c r="L35" s="394"/>
      <c r="M35" s="392">
        <f>(M.w1RD+M.w1RS+M.w1RA+M.w1RP)*Molweight/(VOLUME.w1R)</f>
        <v>3.8736913298438244E-4</v>
      </c>
      <c r="N35" s="392">
        <f>(M.w1CD+M.w1CS+M.w1CA+M.w1CP)*Molweight/(VOLUME.w1C)</f>
        <v>1.4151422021593123E-6</v>
      </c>
      <c r="O35" s="121"/>
      <c r="P35" s="121"/>
      <c r="Q35" s="121"/>
      <c r="R35" s="157" t="s">
        <v>134</v>
      </c>
      <c r="S35" s="160"/>
      <c r="T35" s="160"/>
      <c r="U35" s="160"/>
      <c r="V35" s="160"/>
      <c r="W35" s="159"/>
      <c r="X35" s="16"/>
      <c r="Y35" s="153"/>
      <c r="Z35" s="16"/>
      <c r="AA35" s="257" t="s">
        <v>181</v>
      </c>
      <c r="AB35" s="159" t="s">
        <v>167</v>
      </c>
      <c r="AC35" s="158"/>
      <c r="AD35" s="160"/>
      <c r="AE35" s="160"/>
      <c r="AF35" s="160">
        <f>(NETsedrate.wM*SYSTEMAREA.M*AREAFRAC.wM)*C.sdM*Molweight</f>
        <v>0</v>
      </c>
      <c r="AG35" s="160">
        <f>(kdis.sd2S.sd2D*M.sdMS+kdis.sd2A.sd2D*M.sdMA+kdis.sd2P.sd2D*M.sdMP)*Molweight</f>
        <v>0</v>
      </c>
      <c r="AH35" s="159">
        <f>KDEG.sdM*M.sdMD*Molweight</f>
        <v>0</v>
      </c>
      <c r="AI35" s="160"/>
      <c r="AJ35" s="160"/>
      <c r="AK35" s="160"/>
      <c r="AL35" s="160"/>
      <c r="AM35" s="160"/>
      <c r="AN35" s="160">
        <f>k.w3M.sdM*M.w3M*Molweight</f>
        <v>0</v>
      </c>
      <c r="AO35" s="159">
        <f>k.sdM.w3M*M.sdM*Molweight</f>
        <v>0</v>
      </c>
      <c r="AP35" s="708">
        <f>SUM(AC35,AD35,AN35,AG35)-SUM(AE35,AF35,AH35,AO35)</f>
        <v>0</v>
      </c>
      <c r="AQ35" s="16"/>
      <c r="AR35" s="43"/>
      <c r="AS35" s="2"/>
      <c r="AT35" s="56"/>
      <c r="AU35" s="57"/>
      <c r="AV35" s="57"/>
      <c r="AW35" s="57"/>
      <c r="AX35" s="57"/>
      <c r="AY35" s="58"/>
      <c r="AZ35" s="49"/>
      <c r="BA35" s="57"/>
      <c r="BB35" s="57"/>
      <c r="BC35" s="57"/>
      <c r="BD35" s="58"/>
      <c r="BE35" s="49"/>
      <c r="BF35" s="57"/>
      <c r="BG35" s="57"/>
      <c r="BH35" s="57"/>
      <c r="BI35" s="58"/>
      <c r="BJ35" s="66"/>
      <c r="BK35" s="2"/>
      <c r="BL35" s="43"/>
      <c r="BM35" s="2"/>
      <c r="BN35" s="110"/>
      <c r="BO35" s="2"/>
      <c r="BP35" s="138"/>
      <c r="BQ35" s="2"/>
      <c r="BR35" s="110"/>
      <c r="BS35" s="110"/>
      <c r="BT35" s="110"/>
      <c r="BU35" s="80"/>
      <c r="BV35" s="110"/>
      <c r="BW35" s="110"/>
      <c r="BX35" s="110"/>
      <c r="BY35" s="110"/>
      <c r="BZ35" s="110"/>
      <c r="CA35" s="110"/>
      <c r="CB35" s="139">
        <f>AC19</f>
        <v>0</v>
      </c>
      <c r="CC35" s="110"/>
      <c r="CD35" s="110"/>
      <c r="CE35" s="2"/>
    </row>
    <row r="36" spans="1:83" ht="12.75" customHeight="1" x14ac:dyDescent="0.3">
      <c r="A36" s="16"/>
      <c r="B36" s="376" t="s">
        <v>116</v>
      </c>
      <c r="C36" s="240">
        <f>M.w1RD*Molweight</f>
        <v>0</v>
      </c>
      <c r="D36" s="379">
        <f t="shared" si="9"/>
        <v>0</v>
      </c>
      <c r="E36" s="240">
        <f>M.w1CD*Molweight</f>
        <v>0</v>
      </c>
      <c r="F36" s="379">
        <f t="shared" si="10"/>
        <v>0</v>
      </c>
      <c r="G36" s="241"/>
      <c r="H36" s="379"/>
      <c r="I36" s="241"/>
      <c r="J36" s="379"/>
      <c r="K36" s="241"/>
      <c r="L36" s="394"/>
      <c r="M36" s="121">
        <f>C.w1R*Molweight</f>
        <v>0</v>
      </c>
      <c r="N36" s="121">
        <f>C.w1C*Molweight</f>
        <v>0</v>
      </c>
      <c r="O36" s="121"/>
      <c r="P36" s="121"/>
      <c r="Q36" s="121"/>
      <c r="R36" s="157" t="s">
        <v>134</v>
      </c>
      <c r="S36" s="160">
        <f>F.w1R</f>
        <v>0</v>
      </c>
      <c r="T36" s="160">
        <f>F.w1C</f>
        <v>0</v>
      </c>
      <c r="U36" s="160"/>
      <c r="V36" s="160"/>
      <c r="W36" s="159"/>
      <c r="X36" s="16"/>
      <c r="Y36" s="153"/>
      <c r="Z36" s="16"/>
      <c r="AA36" s="257" t="s">
        <v>182</v>
      </c>
      <c r="AB36" s="159" t="s">
        <v>168</v>
      </c>
      <c r="AC36" s="158">
        <f>E.sMD*Molweight</f>
        <v>0</v>
      </c>
      <c r="AD36" s="160"/>
      <c r="AE36" s="160"/>
      <c r="AF36" s="160">
        <f>(FRACinf.sM*RAINrate.M/Kslw.M*SYSTEMAREA.M*AREAFRAC.sM*CORRleach.sM)*C.sM*Molweight</f>
        <v>0</v>
      </c>
      <c r="AG36" s="160">
        <f>(kdis.s1S.s1D*M.sMS+kdis.s1A.s1D*M.sMA+kdis.s1P.s1D*M.sMP)*Molweight</f>
        <v>0</v>
      </c>
      <c r="AH36" s="159">
        <f>KDEG.sM*VOLUME.sM*C.sM*Molweight</f>
        <v>0</v>
      </c>
      <c r="AI36" s="160"/>
      <c r="AJ36" s="160"/>
      <c r="AK36" s="160">
        <f>k.aM.sM*M.aM*Molweight</f>
        <v>0</v>
      </c>
      <c r="AL36" s="160">
        <f>k.sM.aM*M.sM*Molweight</f>
        <v>0</v>
      </c>
      <c r="AM36" s="160">
        <f>k.sM.w2M*M.sM*Molweight</f>
        <v>0</v>
      </c>
      <c r="AN36" s="160"/>
      <c r="AO36" s="159"/>
      <c r="AP36" s="708">
        <f>SUM(AC36,AD36,AK36,AG36)-SUM(AE36,AF36,AH36,AL36,AM36,AP35)</f>
        <v>0</v>
      </c>
      <c r="AQ36" s="16"/>
      <c r="AR36" s="43"/>
      <c r="AS36" s="2"/>
      <c r="AT36" s="55" t="s">
        <v>72</v>
      </c>
      <c r="AU36" s="11"/>
      <c r="AV36" s="11"/>
      <c r="AW36" s="11"/>
      <c r="AX36" s="11"/>
      <c r="AY36" s="11"/>
      <c r="AZ36" s="11"/>
      <c r="BA36" s="11"/>
      <c r="BB36" s="11"/>
      <c r="BC36" s="11"/>
      <c r="BD36" s="11"/>
      <c r="BE36" s="11"/>
      <c r="BF36" s="11"/>
      <c r="BG36" s="11"/>
      <c r="BH36" s="11"/>
      <c r="BI36" s="11"/>
      <c r="BJ36" s="11"/>
      <c r="BK36" s="2"/>
      <c r="BL36" s="43"/>
      <c r="BM36" s="2"/>
      <c r="BN36" s="2"/>
      <c r="BO36" s="110"/>
      <c r="BP36" s="137"/>
      <c r="BQ36" s="52"/>
      <c r="BR36" s="81"/>
      <c r="BS36" s="110"/>
      <c r="BT36" s="110"/>
      <c r="BU36" s="110"/>
      <c r="BV36" s="2"/>
      <c r="BW36" s="110"/>
      <c r="BX36" s="110"/>
      <c r="BY36" s="2"/>
      <c r="BZ36" s="130">
        <f>AC20</f>
        <v>0</v>
      </c>
      <c r="CA36" s="110"/>
      <c r="CB36" s="110"/>
      <c r="CC36" s="110"/>
      <c r="CD36" s="110"/>
      <c r="CE36" s="2"/>
    </row>
    <row r="37" spans="1:83" ht="12.75" customHeight="1" thickBot="1" x14ac:dyDescent="0.35">
      <c r="A37" s="16"/>
      <c r="B37" s="156" t="s">
        <v>137</v>
      </c>
      <c r="C37" s="240">
        <f>FRwD.w1R*C36</f>
        <v>0</v>
      </c>
      <c r="D37" s="379">
        <f t="shared" si="9"/>
        <v>0</v>
      </c>
      <c r="E37" s="240">
        <f>FRw.w1C*E36</f>
        <v>0</v>
      </c>
      <c r="F37" s="379">
        <f t="shared" si="10"/>
        <v>0</v>
      </c>
      <c r="G37" s="241"/>
      <c r="H37" s="379"/>
      <c r="I37" s="241"/>
      <c r="J37" s="379"/>
      <c r="K37" s="241"/>
      <c r="L37" s="394"/>
      <c r="M37" s="121">
        <f>M36*FRwD.w1R</f>
        <v>0</v>
      </c>
      <c r="N37" s="121">
        <f>N36*FRw.w1C</f>
        <v>0</v>
      </c>
      <c r="O37" s="121"/>
      <c r="P37" s="121"/>
      <c r="Q37" s="121"/>
      <c r="R37" s="157" t="s">
        <v>134</v>
      </c>
      <c r="S37" s="160">
        <f>S36*FRwD.w1R</f>
        <v>0</v>
      </c>
      <c r="T37" s="160">
        <f>T36*FRw.w1C</f>
        <v>0</v>
      </c>
      <c r="U37" s="160"/>
      <c r="V37" s="160"/>
      <c r="W37" s="159"/>
      <c r="X37" s="16"/>
      <c r="Y37" s="153"/>
      <c r="Z37" s="16"/>
      <c r="AA37" s="706" t="s">
        <v>183</v>
      </c>
      <c r="AB37" s="249"/>
      <c r="AC37" s="708"/>
      <c r="AD37" s="160"/>
      <c r="AE37" s="160"/>
      <c r="AF37" s="160"/>
      <c r="AG37" s="160"/>
      <c r="AH37" s="159"/>
      <c r="AI37" s="160"/>
      <c r="AJ37" s="160"/>
      <c r="AK37" s="160"/>
      <c r="AL37" s="160"/>
      <c r="AM37" s="160"/>
      <c r="AN37" s="160"/>
      <c r="AO37" s="159"/>
      <c r="AP37" s="725"/>
      <c r="AQ37" s="16"/>
      <c r="AR37" s="43"/>
      <c r="AS37" s="2"/>
      <c r="AT37" s="60"/>
      <c r="AU37" s="63"/>
      <c r="AV37" s="63"/>
      <c r="AW37" s="63"/>
      <c r="AX37" s="63"/>
      <c r="AY37" s="64"/>
      <c r="AZ37" s="65"/>
      <c r="BA37" s="63"/>
      <c r="BB37" s="63"/>
      <c r="BC37" s="63"/>
      <c r="BD37" s="64"/>
      <c r="BE37" s="65"/>
      <c r="BF37" s="63"/>
      <c r="BG37" s="63"/>
      <c r="BH37" s="63"/>
      <c r="BI37" s="64"/>
      <c r="BJ37" s="67"/>
      <c r="BK37" s="2"/>
      <c r="BL37" s="43"/>
      <c r="BM37" s="2"/>
      <c r="BN37" s="2"/>
      <c r="BO37" s="110"/>
      <c r="BP37" s="135">
        <f>IF(AN17&lt;0,"",AN17)</f>
        <v>0</v>
      </c>
      <c r="BQ37" s="52">
        <f>AH17</f>
        <v>0</v>
      </c>
      <c r="BR37" s="83"/>
      <c r="BS37" s="81"/>
      <c r="BT37" s="110"/>
      <c r="BU37" s="110"/>
      <c r="BV37" s="139">
        <f>AC18</f>
        <v>0</v>
      </c>
      <c r="BW37" s="110"/>
      <c r="BX37" s="110"/>
      <c r="BY37" s="110"/>
      <c r="BZ37" s="110"/>
      <c r="CA37" s="110"/>
      <c r="CB37" s="110"/>
      <c r="CC37" s="110"/>
      <c r="CD37" s="110"/>
      <c r="CE37" s="2"/>
    </row>
    <row r="38" spans="1:83" ht="12.75" customHeight="1" x14ac:dyDescent="0.3">
      <c r="A38" s="16"/>
      <c r="B38" s="156" t="s">
        <v>139</v>
      </c>
      <c r="C38" s="240">
        <f>(1-FRwD.w1R)*C36</f>
        <v>0</v>
      </c>
      <c r="D38" s="379">
        <f t="shared" si="9"/>
        <v>0</v>
      </c>
      <c r="E38" s="240">
        <f>(1-FRw.w1C)*E36</f>
        <v>0</v>
      </c>
      <c r="F38" s="379">
        <f t="shared" si="10"/>
        <v>0</v>
      </c>
      <c r="G38" s="241"/>
      <c r="H38" s="379"/>
      <c r="I38" s="241"/>
      <c r="J38" s="379"/>
      <c r="K38" s="241"/>
      <c r="L38" s="394"/>
      <c r="M38" s="121">
        <f>M37*Kp.susp1R</f>
        <v>0</v>
      </c>
      <c r="N38" s="121">
        <f>N37*Kp.susp1C</f>
        <v>0</v>
      </c>
      <c r="O38" s="121"/>
      <c r="P38" s="121"/>
      <c r="Q38" s="121"/>
      <c r="R38" s="157" t="s">
        <v>140</v>
      </c>
      <c r="S38" s="160">
        <f>S36*(1-FRwD.w1R)</f>
        <v>0</v>
      </c>
      <c r="T38" s="160">
        <f>T36*(1-FRw.w1C)</f>
        <v>0</v>
      </c>
      <c r="U38" s="160"/>
      <c r="V38" s="160"/>
      <c r="W38" s="159"/>
      <c r="X38" s="16"/>
      <c r="Y38" s="153"/>
      <c r="Z38" s="16"/>
      <c r="AA38" s="257" t="s">
        <v>117</v>
      </c>
      <c r="AB38" s="159" t="s">
        <v>169</v>
      </c>
      <c r="AC38" s="158">
        <f>E.aAG*Molweight</f>
        <v>0</v>
      </c>
      <c r="AD38" s="160">
        <f>k.aM.aA*M.aM*Molweight</f>
        <v>0</v>
      </c>
      <c r="AE38" s="160">
        <f>k.aA.aM*M.aA*Molweight</f>
        <v>0</v>
      </c>
      <c r="AF38" s="160">
        <f>kesc.aA*VOLUME.aA*C.aA*Molweight</f>
        <v>0</v>
      </c>
      <c r="AG38" s="160"/>
      <c r="AH38" s="159">
        <f>KDEG.aA*VOLUME.aA*C.aA*Molweight</f>
        <v>0</v>
      </c>
      <c r="AI38" s="160">
        <f>SUM(AI39,AK42)</f>
        <v>0</v>
      </c>
      <c r="AJ38" s="160">
        <f>SUM(AJ39,AL42)</f>
        <v>0</v>
      </c>
      <c r="AK38" s="160"/>
      <c r="AL38" s="160"/>
      <c r="AM38" s="160"/>
      <c r="AN38" s="160"/>
      <c r="AO38" s="159"/>
      <c r="AP38" s="708">
        <f>SUM(AC38,AD38,AJ38,AL38)-SUM(AE38,AF38,AH38,AI38,AK38)</f>
        <v>0</v>
      </c>
      <c r="AQ38" s="16"/>
      <c r="AR38" s="43"/>
      <c r="AS38" s="2"/>
      <c r="AT38" s="55" t="s">
        <v>73</v>
      </c>
      <c r="AU38" s="11"/>
      <c r="AV38" s="11"/>
      <c r="AW38" s="11"/>
      <c r="AX38" s="11"/>
      <c r="AY38" s="11"/>
      <c r="AZ38" s="11"/>
      <c r="BA38" s="11"/>
      <c r="BB38" s="11"/>
      <c r="BC38" s="11"/>
      <c r="BD38" s="11"/>
      <c r="BE38" s="11"/>
      <c r="BF38" s="11"/>
      <c r="BG38" s="11"/>
      <c r="BH38" s="11"/>
      <c r="BI38" s="11"/>
      <c r="BJ38" s="11"/>
      <c r="BK38" s="2"/>
      <c r="BL38" s="43"/>
      <c r="BM38" s="2"/>
      <c r="BN38" s="2"/>
      <c r="BO38" s="39"/>
      <c r="BP38" s="39" t="s">
        <v>184</v>
      </c>
      <c r="BQ38" s="110"/>
      <c r="BR38" s="110"/>
      <c r="BS38" s="110"/>
      <c r="BT38" s="110"/>
      <c r="BU38" s="110"/>
      <c r="BV38" s="110"/>
      <c r="BW38" s="110"/>
      <c r="BX38" s="110"/>
      <c r="BY38" s="110"/>
      <c r="BZ38" s="110"/>
      <c r="CA38" s="110"/>
      <c r="CB38" s="110"/>
      <c r="CC38" s="110"/>
      <c r="CD38" s="110"/>
      <c r="CE38" s="2"/>
    </row>
    <row r="39" spans="1:83" ht="12.75" customHeight="1" x14ac:dyDescent="0.3">
      <c r="A39" s="16"/>
      <c r="B39" s="156" t="s">
        <v>123</v>
      </c>
      <c r="C39" s="240">
        <f>M.w1RS*Molweight</f>
        <v>1693.2651290776678</v>
      </c>
      <c r="D39" s="379">
        <f t="shared" si="9"/>
        <v>1.0233970090857757E-7</v>
      </c>
      <c r="E39" s="240">
        <f>M.w1CS*Molweight</f>
        <v>1.1039297650908633</v>
      </c>
      <c r="F39" s="379">
        <f t="shared" si="10"/>
        <v>3.3664609964288379E-11</v>
      </c>
      <c r="G39" s="241"/>
      <c r="H39" s="379"/>
      <c r="I39" s="241"/>
      <c r="J39" s="379"/>
      <c r="K39" s="241"/>
      <c r="L39" s="394"/>
      <c r="M39" s="121">
        <f>C.w1RS*Molweight</f>
        <v>8.9794924123909677E-8</v>
      </c>
      <c r="N39" s="121">
        <f>C.w1CS*Molweight</f>
        <v>3.8386635214428145E-12</v>
      </c>
      <c r="O39" s="121"/>
      <c r="P39" s="121"/>
      <c r="Q39" s="121"/>
      <c r="R39" s="157" t="s">
        <v>134</v>
      </c>
      <c r="S39" s="160"/>
      <c r="T39" s="160"/>
      <c r="U39" s="160"/>
      <c r="V39" s="160"/>
      <c r="W39" s="159"/>
      <c r="X39" s="16"/>
      <c r="Y39" s="153"/>
      <c r="Z39" s="16"/>
      <c r="AA39" s="257" t="s">
        <v>162</v>
      </c>
      <c r="AB39" s="159" t="s">
        <v>170</v>
      </c>
      <c r="AC39" s="158">
        <f>E.w2AD*Molweight</f>
        <v>0</v>
      </c>
      <c r="AD39" s="160">
        <f>(k.w2M.w2A*M.w2M+k.w3A.w2A*M.w3A)*Molweight</f>
        <v>0</v>
      </c>
      <c r="AE39" s="160">
        <f>(k.w2A.w2M+k.w2A.w3A)*M.w2A*Molweight</f>
        <v>0</v>
      </c>
      <c r="AF39" s="160"/>
      <c r="AG39" s="160">
        <f>(kdis.w2S.w2D*M.w2AS+kdis.w2A.w2D*M.w2AA+kdis.w2P.w2D*M.w2AP)*Molweight</f>
        <v>0</v>
      </c>
      <c r="AH39" s="159">
        <f>KDEG.w2A*VOLUME.w2A*C.w2A*Molweight</f>
        <v>0</v>
      </c>
      <c r="AI39" s="160">
        <f>k.aA.w2A*M.aA*Molweight</f>
        <v>0</v>
      </c>
      <c r="AJ39" s="160">
        <f>k.w2A.aA*M.w2A*Molweight</f>
        <v>0</v>
      </c>
      <c r="AK39" s="160"/>
      <c r="AL39" s="160"/>
      <c r="AM39" s="160">
        <f>k.sA.w2A*M.sA*Molweight</f>
        <v>0</v>
      </c>
      <c r="AN39" s="160"/>
      <c r="AO39" s="159"/>
      <c r="AP39" s="708">
        <f>SUM(AC39,AD39,AI39,AM39,AG39)-SUM(AE39,AF39,AH39,AJ39)</f>
        <v>0</v>
      </c>
      <c r="AQ39" s="16"/>
      <c r="AR39" s="43"/>
      <c r="AS39" s="2"/>
      <c r="AT39" s="61" t="s">
        <v>74</v>
      </c>
      <c r="AU39" s="11"/>
      <c r="AV39" s="11"/>
      <c r="AW39" s="11"/>
      <c r="AX39" s="11"/>
      <c r="AY39" s="11"/>
      <c r="AZ39" s="11"/>
      <c r="BA39" s="11"/>
      <c r="BB39" s="11"/>
      <c r="BC39" s="11"/>
      <c r="BD39" s="11"/>
      <c r="BE39" s="11"/>
      <c r="BF39" s="11"/>
      <c r="BG39" s="11"/>
      <c r="BH39" s="11"/>
      <c r="BI39" s="11"/>
      <c r="BJ39" s="11"/>
      <c r="BK39" s="2"/>
      <c r="BL39" s="43"/>
      <c r="BM39" s="2"/>
      <c r="BN39" s="110"/>
      <c r="BO39" s="2"/>
      <c r="BP39" s="52"/>
      <c r="BQ39" s="74">
        <f>IF(ISERROR(D68),0,D68)</f>
        <v>0</v>
      </c>
      <c r="BR39" s="110"/>
      <c r="BS39" s="110"/>
      <c r="BT39" s="110"/>
      <c r="BU39" s="110"/>
      <c r="BV39" s="2"/>
      <c r="BW39" s="110"/>
      <c r="BX39" s="2"/>
      <c r="BY39" s="110"/>
      <c r="BZ39" s="2"/>
      <c r="CA39" s="2"/>
      <c r="CB39" s="110"/>
      <c r="CC39" s="2"/>
      <c r="CD39" s="2"/>
      <c r="CE39" s="2"/>
    </row>
    <row r="40" spans="1:83" ht="12.75" customHeight="1" x14ac:dyDescent="0.3">
      <c r="A40" s="16"/>
      <c r="B40" s="156" t="s">
        <v>126</v>
      </c>
      <c r="C40" s="240">
        <f>M.w1RA*Molweight</f>
        <v>7186862.1135568097</v>
      </c>
      <c r="D40" s="379">
        <f t="shared" si="9"/>
        <v>4.3436866828600181E-4</v>
      </c>
      <c r="E40" s="240">
        <f>M.w1CA*Molweight</f>
        <v>406169.60217642953</v>
      </c>
      <c r="F40" s="379">
        <f t="shared" si="10"/>
        <v>1.2386242013769981E-5</v>
      </c>
      <c r="G40" s="241"/>
      <c r="H40" s="379"/>
      <c r="I40" s="241"/>
      <c r="J40" s="379"/>
      <c r="K40" s="241"/>
      <c r="L40" s="394"/>
      <c r="M40" s="121">
        <f>C.w1RA*Molweight</f>
        <v>3.8112385774303261E-4</v>
      </c>
      <c r="N40" s="121">
        <f>C.w1CA*Molweight</f>
        <v>1.4123619859686168E-6</v>
      </c>
      <c r="O40" s="121"/>
      <c r="P40" s="121"/>
      <c r="Q40" s="121"/>
      <c r="R40" s="157" t="s">
        <v>134</v>
      </c>
      <c r="S40" s="160"/>
      <c r="T40" s="160"/>
      <c r="U40" s="160"/>
      <c r="V40" s="160"/>
      <c r="W40" s="159"/>
      <c r="X40" s="16"/>
      <c r="Y40" s="153"/>
      <c r="Z40" s="16"/>
      <c r="AA40" s="257" t="s">
        <v>165</v>
      </c>
      <c r="AB40" s="159" t="s">
        <v>171</v>
      </c>
      <c r="AC40" s="158"/>
      <c r="AD40" s="160">
        <f>(k.w2A.w3A*M.w2A+k.w3M.w3A*M.w3M)*Molweight</f>
        <v>0</v>
      </c>
      <c r="AE40" s="160">
        <f>(k.w3A.w2A+k.w3A.w3M)*M.w3A*Molweight</f>
        <v>0</v>
      </c>
      <c r="AF40" s="160"/>
      <c r="AG40" s="160">
        <f>(kdis.w2S.w2D*M.w3AS+kdis.w2A.w2D*M.w3AA+kdis.w2P.w2D*M.w3AP)*Molweight</f>
        <v>0</v>
      </c>
      <c r="AH40" s="159">
        <f>KDEG.w3A*VOLUME.w3A*C.w3A*Molweight</f>
        <v>0</v>
      </c>
      <c r="AI40" s="160"/>
      <c r="AJ40" s="160"/>
      <c r="AK40" s="160"/>
      <c r="AL40" s="160"/>
      <c r="AM40" s="160"/>
      <c r="AN40" s="160">
        <f>k.w3A.sdA*M.w3A*Molweight</f>
        <v>0</v>
      </c>
      <c r="AO40" s="159">
        <f>k.sdA.w3A*M.sdA*Molweight</f>
        <v>0</v>
      </c>
      <c r="AP40" s="708">
        <f>SUM(AC40,AD40,AI40,AM40,AO40,AG40)-SUM(AE40,AF40,AH40,AJ40,AN40)</f>
        <v>0</v>
      </c>
      <c r="AQ40" s="16"/>
      <c r="AR40" s="43"/>
      <c r="AS40" s="2"/>
      <c r="AT40" s="61" t="s">
        <v>125</v>
      </c>
      <c r="AU40" s="11"/>
      <c r="AV40" s="11"/>
      <c r="AW40" s="11"/>
      <c r="AX40" s="11"/>
      <c r="AY40" s="11"/>
      <c r="AZ40" s="11"/>
      <c r="BA40" s="11"/>
      <c r="BB40" s="11"/>
      <c r="BC40" s="11"/>
      <c r="BD40" s="11"/>
      <c r="BE40" s="11"/>
      <c r="BF40" s="11"/>
      <c r="BG40" s="11"/>
      <c r="BH40" s="11"/>
      <c r="BI40" s="11"/>
      <c r="BJ40" s="11"/>
      <c r="BK40" s="2"/>
      <c r="BL40" s="43"/>
      <c r="BM40" s="2"/>
      <c r="BN40" s="110"/>
      <c r="BO40" s="2"/>
      <c r="BP40" s="2"/>
      <c r="BQ40" s="2"/>
      <c r="BR40" s="110"/>
      <c r="BS40" s="110"/>
      <c r="BT40" s="110"/>
      <c r="BU40" s="110"/>
      <c r="BV40" s="110"/>
      <c r="BW40" s="110"/>
      <c r="BX40" s="110"/>
      <c r="BY40" s="110"/>
      <c r="BZ40" s="110"/>
      <c r="CA40" s="110"/>
      <c r="CB40" s="110"/>
      <c r="CC40" s="2"/>
      <c r="CD40" s="110"/>
      <c r="CE40" s="2"/>
    </row>
    <row r="41" spans="1:83" ht="12.75" customHeight="1" thickBot="1" x14ac:dyDescent="0.35">
      <c r="A41" s="16"/>
      <c r="B41" s="156" t="s">
        <v>128</v>
      </c>
      <c r="C41" s="240">
        <f>M.w1RP*Molweight</f>
        <v>116074.04622893698</v>
      </c>
      <c r="D41" s="379">
        <f t="shared" si="9"/>
        <v>7.0154301121103063E-6</v>
      </c>
      <c r="E41" s="240">
        <f>M.w1CP*Molweight</f>
        <v>798.43564674433219</v>
      </c>
      <c r="F41" s="379">
        <f t="shared" si="10"/>
        <v>2.4348491615333786E-8</v>
      </c>
      <c r="G41" s="241"/>
      <c r="H41" s="379"/>
      <c r="I41" s="241"/>
      <c r="J41" s="379"/>
      <c r="K41" s="241"/>
      <c r="L41" s="394"/>
      <c r="M41" s="121">
        <f>C.w1RP*Molweight</f>
        <v>6.1554803172259133E-6</v>
      </c>
      <c r="N41" s="121">
        <f>C.w1CP*Molweight</f>
        <v>2.776377527174293E-9</v>
      </c>
      <c r="O41" s="121"/>
      <c r="P41" s="121"/>
      <c r="Q41" s="121"/>
      <c r="R41" s="157" t="s">
        <v>134</v>
      </c>
      <c r="S41" s="160"/>
      <c r="T41" s="160"/>
      <c r="U41" s="160"/>
      <c r="V41" s="160"/>
      <c r="W41" s="159"/>
      <c r="X41" s="16"/>
      <c r="Y41" s="153"/>
      <c r="Z41" s="16"/>
      <c r="AA41" s="257" t="s">
        <v>181</v>
      </c>
      <c r="AB41" s="159" t="s">
        <v>172</v>
      </c>
      <c r="AC41" s="158"/>
      <c r="AD41" s="160"/>
      <c r="AE41" s="160"/>
      <c r="AF41" s="160">
        <f>(NETsedrate.wA*SYSTEMAREA.A*AREAFRAC.wA)*C.sdA*Molweight</f>
        <v>0</v>
      </c>
      <c r="AG41" s="160">
        <f>(kdis.sd2S.sd2D*M.sdAS+kdis.sd2A.sd2D*M.sdAA+kdis.sd2P.sd2D*M.sdAP)*Molweight</f>
        <v>0</v>
      </c>
      <c r="AH41" s="159">
        <f>KDEG.sdA*VOLUME.sdA*C.sdA*Molweight</f>
        <v>0</v>
      </c>
      <c r="AI41" s="160"/>
      <c r="AJ41" s="160"/>
      <c r="AK41" s="160"/>
      <c r="AL41" s="160"/>
      <c r="AM41" s="160"/>
      <c r="AN41" s="160">
        <f>k.w3A.sdA*M.w3A*Molweight</f>
        <v>0</v>
      </c>
      <c r="AO41" s="159">
        <f>k.sdA.w3A*M.sdA*Molweight</f>
        <v>0</v>
      </c>
      <c r="AP41" s="708">
        <f>SUM(AC41,AD41,AN41,AG41)-SUM(AE41,AF41,AH41,AO41)</f>
        <v>0</v>
      </c>
      <c r="AQ41" s="16"/>
      <c r="AR41" s="43"/>
      <c r="AS41" s="2"/>
      <c r="AT41" s="56"/>
      <c r="AU41" s="57"/>
      <c r="AV41" s="57"/>
      <c r="AW41" s="57"/>
      <c r="AX41" s="57"/>
      <c r="AY41" s="58"/>
      <c r="AZ41" s="49"/>
      <c r="BA41" s="57"/>
      <c r="BB41" s="57"/>
      <c r="BC41" s="57"/>
      <c r="BD41" s="58"/>
      <c r="BE41" s="49"/>
      <c r="BF41" s="57"/>
      <c r="BG41" s="57"/>
      <c r="BH41" s="57"/>
      <c r="BI41" s="58"/>
      <c r="BJ41" s="66"/>
      <c r="BK41" s="2"/>
      <c r="BL41" s="43"/>
      <c r="BM41" s="2"/>
      <c r="BN41" s="110"/>
      <c r="BO41" s="110"/>
      <c r="BP41" s="2"/>
      <c r="BQ41" s="2"/>
      <c r="BR41" s="110"/>
      <c r="BS41" s="110"/>
      <c r="BT41" s="110"/>
      <c r="BU41" s="110"/>
      <c r="BV41" s="110"/>
      <c r="BW41" s="110"/>
      <c r="BX41" s="110"/>
      <c r="BY41" s="110"/>
      <c r="BZ41" s="110"/>
      <c r="CA41" s="110"/>
      <c r="CB41" s="110"/>
      <c r="CC41" s="110"/>
      <c r="CD41" s="110"/>
      <c r="CE41" s="2"/>
    </row>
    <row r="42" spans="1:83" ht="12.75" customHeight="1" x14ac:dyDescent="0.3">
      <c r="A42" s="16"/>
      <c r="B42" s="156"/>
      <c r="C42" s="240"/>
      <c r="D42" s="379"/>
      <c r="E42" s="241"/>
      <c r="F42" s="379"/>
      <c r="G42" s="241"/>
      <c r="H42" s="379"/>
      <c r="I42" s="241"/>
      <c r="J42" s="379"/>
      <c r="K42" s="241"/>
      <c r="L42" s="394"/>
      <c r="M42" s="121"/>
      <c r="N42" s="121"/>
      <c r="O42" s="121"/>
      <c r="P42" s="121"/>
      <c r="Q42" s="121"/>
      <c r="R42" s="157"/>
      <c r="S42" s="160"/>
      <c r="T42" s="160"/>
      <c r="U42" s="160"/>
      <c r="V42" s="160"/>
      <c r="W42" s="159"/>
      <c r="X42" s="16"/>
      <c r="Y42" s="153"/>
      <c r="Z42" s="16"/>
      <c r="AA42" s="257" t="s">
        <v>182</v>
      </c>
      <c r="AB42" s="159" t="s">
        <v>173</v>
      </c>
      <c r="AC42" s="158">
        <f>E.sAD*Molweight</f>
        <v>0</v>
      </c>
      <c r="AD42" s="160"/>
      <c r="AE42" s="160"/>
      <c r="AF42" s="160">
        <f>(FRACinf.sA*RAINrate.A/Kslw.A*SYSTEMAREA.A*AREAFRAC.sA*CORRleach.sA)*C.sA*Molweight</f>
        <v>0</v>
      </c>
      <c r="AG42" s="160">
        <f>(kdis.s1S.s1D*M.sAS+kdis.s1A.s1D*M.sAA+kdis.s1P.s1D*M.sAP)*Molweight</f>
        <v>0</v>
      </c>
      <c r="AH42" s="159">
        <f>KDEG.sA*VOLUME.sA*C.sA*Molweight</f>
        <v>0</v>
      </c>
      <c r="AI42" s="160"/>
      <c r="AJ42" s="160"/>
      <c r="AK42" s="160">
        <f>k.aA.sA*M.aA*Molweight</f>
        <v>0</v>
      </c>
      <c r="AL42" s="160">
        <f>k.sA.aA*M.sA*Molweight</f>
        <v>0</v>
      </c>
      <c r="AM42" s="160">
        <f>k.sA.w2A*M.sA*Molweight</f>
        <v>0</v>
      </c>
      <c r="AN42" s="160"/>
      <c r="AO42" s="159"/>
      <c r="AP42" s="708">
        <f>SUM(AC42,AD42,AK42,AG42)-SUM(AE42,AF42,AH42,AL42,AM42,AP41)</f>
        <v>0</v>
      </c>
      <c r="AQ42" s="16"/>
      <c r="AR42" s="43"/>
      <c r="AS42" s="2"/>
      <c r="AT42" s="55" t="s">
        <v>130</v>
      </c>
      <c r="AU42" s="11"/>
      <c r="AV42" s="11"/>
      <c r="AW42" s="11"/>
      <c r="AX42" s="11"/>
      <c r="AY42" s="11"/>
      <c r="AZ42" s="11"/>
      <c r="BA42" s="11"/>
      <c r="BB42" s="11"/>
      <c r="BC42" s="11"/>
      <c r="BD42" s="11"/>
      <c r="BE42" s="11"/>
      <c r="BF42" s="11"/>
      <c r="BG42" s="11"/>
      <c r="BH42" s="11"/>
      <c r="BI42" s="11"/>
      <c r="BJ42" s="11"/>
      <c r="BK42" s="2"/>
      <c r="BL42" s="43"/>
      <c r="BM42" s="2"/>
      <c r="BN42" s="110"/>
      <c r="BO42" s="2"/>
      <c r="BP42" s="2"/>
      <c r="BQ42" s="2"/>
      <c r="BR42" s="2"/>
      <c r="BS42" s="2"/>
      <c r="BT42" s="2"/>
      <c r="BU42" s="2"/>
      <c r="BV42" s="110"/>
      <c r="BW42" s="110"/>
      <c r="BX42" s="110"/>
      <c r="BY42" s="110"/>
      <c r="BZ42" s="110"/>
      <c r="CA42" s="110"/>
      <c r="CB42" s="110"/>
      <c r="CC42" s="110"/>
      <c r="CD42" s="110"/>
      <c r="CE42" s="2"/>
    </row>
    <row r="43" spans="1:83" ht="12.75" customHeight="1" x14ac:dyDescent="0.3">
      <c r="A43" s="16"/>
      <c r="B43" s="101" t="s">
        <v>185</v>
      </c>
      <c r="C43" s="240">
        <f>SUM(C44,C47:C49)</f>
        <v>42690147.809350781</v>
      </c>
      <c r="D43" s="379">
        <f t="shared" ref="D43:D49" si="11">C43/$C$103</f>
        <v>2.5801611829871511E-3</v>
      </c>
      <c r="E43" s="240">
        <f>SUM(E44,E47:E49)</f>
        <v>500221.6662608452</v>
      </c>
      <c r="F43" s="379">
        <f t="shared" ref="F43:F49" si="12">E43/$E$103</f>
        <v>1.5254382862818924E-5</v>
      </c>
      <c r="G43" s="241"/>
      <c r="H43" s="379"/>
      <c r="I43" s="241"/>
      <c r="J43" s="379"/>
      <c r="K43" s="241"/>
      <c r="L43" s="394"/>
      <c r="M43" s="392">
        <f>((M.sd1RD+M.sd1RS+M.sd1RA+M.sd1RP)*Molweight*1000/(VOLUME.sd1R))/(FRACw.sdR*1000+FRACs.sdR*RHOsolid)</f>
        <v>0.1741450480018038</v>
      </c>
      <c r="N43" s="392">
        <f>((M.sd1CD+M.sd1CS+M.sd1CA+M.sd1CP)*Molweight*1000/(VOLUME.sd1C))/(FRACw.sdC*1000+FRACs.sdC*RHOsolid)</f>
        <v>1.3380050376057422E-4</v>
      </c>
      <c r="O43" s="121"/>
      <c r="P43" s="121"/>
      <c r="Q43" s="121"/>
      <c r="R43" s="157" t="s">
        <v>151</v>
      </c>
      <c r="S43" s="160"/>
      <c r="T43" s="160"/>
      <c r="U43" s="160"/>
      <c r="V43" s="160"/>
      <c r="W43" s="159"/>
      <c r="X43" s="16"/>
      <c r="Y43" s="153"/>
      <c r="Z43" s="16"/>
      <c r="AA43" s="706" t="s">
        <v>186</v>
      </c>
      <c r="AB43" s="249"/>
      <c r="AC43" s="708"/>
      <c r="AD43" s="160"/>
      <c r="AE43" s="160"/>
      <c r="AF43" s="160"/>
      <c r="AG43" s="160"/>
      <c r="AH43" s="159"/>
      <c r="AI43" s="160"/>
      <c r="AJ43" s="160"/>
      <c r="AK43" s="160"/>
      <c r="AL43" s="160"/>
      <c r="AM43" s="160"/>
      <c r="AN43" s="160"/>
      <c r="AO43" s="159"/>
      <c r="AP43" s="725"/>
      <c r="AQ43" s="16"/>
      <c r="AR43" s="43"/>
      <c r="AS43" s="2"/>
      <c r="AT43" s="61" t="s">
        <v>132</v>
      </c>
      <c r="AU43" s="11"/>
      <c r="AV43" s="11"/>
      <c r="AW43" s="11"/>
      <c r="AX43" s="11"/>
      <c r="AY43" s="11"/>
      <c r="AZ43" s="11"/>
      <c r="BA43" s="11"/>
      <c r="BB43" s="11"/>
      <c r="BC43" s="11"/>
      <c r="BD43" s="11"/>
      <c r="BE43" s="11"/>
      <c r="BF43" s="11"/>
      <c r="BG43" s="11"/>
      <c r="BH43" s="11"/>
      <c r="BI43" s="11"/>
      <c r="BJ43" s="11"/>
      <c r="BK43" s="2"/>
      <c r="BL43" s="43"/>
      <c r="BM43" s="2"/>
      <c r="BN43" s="110"/>
      <c r="BO43" s="110"/>
      <c r="BP43" s="52">
        <f>AF17</f>
        <v>0</v>
      </c>
      <c r="BQ43" s="110"/>
      <c r="BR43" s="110"/>
      <c r="BS43" s="21">
        <f>AF16</f>
        <v>0</v>
      </c>
      <c r="BT43" s="110"/>
      <c r="BU43" s="110"/>
      <c r="BV43" s="110"/>
      <c r="BW43" s="21">
        <f>AF18</f>
        <v>0</v>
      </c>
      <c r="BX43" s="2"/>
      <c r="BY43" s="110"/>
      <c r="BZ43" s="21">
        <f>AF20</f>
        <v>0</v>
      </c>
      <c r="CA43" s="110"/>
      <c r="CB43" s="109">
        <f>AF19</f>
        <v>0</v>
      </c>
      <c r="CC43" s="110"/>
      <c r="CD43" s="110"/>
      <c r="CE43" s="2"/>
    </row>
    <row r="44" spans="1:83" ht="12.75" customHeight="1" x14ac:dyDescent="0.3">
      <c r="A44" s="16"/>
      <c r="B44" s="376" t="s">
        <v>116</v>
      </c>
      <c r="C44" s="240">
        <f>M.sd1RD*Molweight</f>
        <v>0</v>
      </c>
      <c r="D44" s="379">
        <f t="shared" si="11"/>
        <v>0</v>
      </c>
      <c r="E44" s="240">
        <f>M.sd1CD*Molweight</f>
        <v>0</v>
      </c>
      <c r="F44" s="379">
        <f t="shared" si="12"/>
        <v>0</v>
      </c>
      <c r="G44" s="241"/>
      <c r="H44" s="379"/>
      <c r="I44" s="241"/>
      <c r="J44" s="379"/>
      <c r="K44" s="241"/>
      <c r="L44" s="394"/>
      <c r="M44" s="121">
        <f>C.sd1R*(Molweight*1000)/(FRACw.sdR*1000+FRACs.sdR*RHOsolid)</f>
        <v>0</v>
      </c>
      <c r="N44" s="121">
        <f>C.sd1C*(Molweight*1000)/(FRACw.sdC*1000+FRACs.sdC*RHOsolid)</f>
        <v>0</v>
      </c>
      <c r="O44" s="121"/>
      <c r="P44" s="121"/>
      <c r="Q44" s="121"/>
      <c r="R44" s="157" t="s">
        <v>151</v>
      </c>
      <c r="S44" s="160">
        <f>F.sd1R</f>
        <v>0</v>
      </c>
      <c r="T44" s="160">
        <f>F.sd1C</f>
        <v>0</v>
      </c>
      <c r="U44" s="160"/>
      <c r="V44" s="160"/>
      <c r="W44" s="159"/>
      <c r="X44" s="16"/>
      <c r="Y44" s="153"/>
      <c r="Z44" s="16"/>
      <c r="AA44" s="257" t="s">
        <v>117</v>
      </c>
      <c r="AB44" s="159" t="s">
        <v>174</v>
      </c>
      <c r="AC44" s="158">
        <f>E.aTG*Molweight</f>
        <v>0</v>
      </c>
      <c r="AD44" s="160">
        <f>k.aM.aT*M.aM*Molweight</f>
        <v>0</v>
      </c>
      <c r="AE44" s="160">
        <f>k.aT.aM*M.aT*Molweight</f>
        <v>0</v>
      </c>
      <c r="AF44" s="160">
        <f>kesc.aT*VOLUME.aT*C.aT*Molweight</f>
        <v>0</v>
      </c>
      <c r="AG44" s="160"/>
      <c r="AH44" s="159">
        <f>KDEG.aT*VOLUME.aT*C.aT*Molweight</f>
        <v>0</v>
      </c>
      <c r="AI44" s="160">
        <f>SUM(AI45,AK48)</f>
        <v>0</v>
      </c>
      <c r="AJ44" s="160">
        <f>SUM(AJ45,AL48)</f>
        <v>0</v>
      </c>
      <c r="AK44" s="160"/>
      <c r="AL44" s="160"/>
      <c r="AM44" s="160"/>
      <c r="AN44" s="160"/>
      <c r="AO44" s="159"/>
      <c r="AP44" s="708">
        <f>SUM(AC44,AD44,AJ44,AL44)-SUM(AE44,AF44,AH44,AI44,AK44)</f>
        <v>0</v>
      </c>
      <c r="AQ44" s="16"/>
      <c r="AR44" s="43"/>
      <c r="AS44" s="2"/>
      <c r="AT44" s="61" t="s">
        <v>75</v>
      </c>
      <c r="AU44" s="11"/>
      <c r="AV44" s="11"/>
      <c r="AW44" s="11"/>
      <c r="AX44" s="11"/>
      <c r="AY44" s="11"/>
      <c r="AZ44" s="11"/>
      <c r="BA44" s="11"/>
      <c r="BB44" s="11"/>
      <c r="BC44" s="11"/>
      <c r="BD44" s="11"/>
      <c r="BE44" s="11"/>
      <c r="BF44" s="11"/>
      <c r="BG44" s="11"/>
      <c r="BH44" s="11"/>
      <c r="BI44" s="11"/>
      <c r="BJ44" s="11"/>
      <c r="BK44" s="2"/>
      <c r="BL44" s="43"/>
      <c r="BM44" s="2"/>
      <c r="BN44" s="39"/>
      <c r="BO44" s="2"/>
      <c r="BP44" s="2"/>
      <c r="BQ44" s="2"/>
      <c r="BR44" s="2"/>
      <c r="BS44" s="2"/>
      <c r="BT44" s="2"/>
      <c r="BU44" s="2"/>
      <c r="BV44" s="2"/>
      <c r="BW44" s="2"/>
      <c r="BX44" s="2"/>
      <c r="BY44" s="2"/>
      <c r="BZ44" s="110"/>
      <c r="CA44" s="110"/>
      <c r="CB44" s="110"/>
      <c r="CC44" s="110"/>
      <c r="CD44" s="110"/>
      <c r="CE44" s="2"/>
    </row>
    <row r="45" spans="1:83" ht="12.75" customHeight="1" x14ac:dyDescent="0.3">
      <c r="A45" s="16"/>
      <c r="B45" s="156" t="s">
        <v>154</v>
      </c>
      <c r="C45" s="240">
        <f>C44*FRACw.sdR</f>
        <v>0</v>
      </c>
      <c r="D45" s="379">
        <f t="shared" si="11"/>
        <v>0</v>
      </c>
      <c r="E45" s="240">
        <f>E44*FRACw.sdC</f>
        <v>0</v>
      </c>
      <c r="F45" s="379">
        <f t="shared" si="12"/>
        <v>0</v>
      </c>
      <c r="G45" s="241"/>
      <c r="H45" s="379"/>
      <c r="I45" s="241"/>
      <c r="J45" s="379"/>
      <c r="K45" s="241"/>
      <c r="L45" s="394"/>
      <c r="M45" s="121">
        <f>M46/Kp.sd1R</f>
        <v>0</v>
      </c>
      <c r="N45" s="121">
        <f>N46/Kp.sd1C</f>
        <v>0</v>
      </c>
      <c r="O45" s="121"/>
      <c r="P45" s="121"/>
      <c r="Q45" s="121"/>
      <c r="R45" s="157" t="s">
        <v>134</v>
      </c>
      <c r="S45" s="160">
        <f>S44*FRACw.sdR</f>
        <v>0</v>
      </c>
      <c r="T45" s="160">
        <f>T44*FRACw.sdC</f>
        <v>0</v>
      </c>
      <c r="U45" s="160"/>
      <c r="V45" s="160"/>
      <c r="W45" s="159"/>
      <c r="X45" s="16"/>
      <c r="Y45" s="153"/>
      <c r="Z45" s="16"/>
      <c r="AA45" s="257" t="s">
        <v>162</v>
      </c>
      <c r="AB45" s="159" t="s">
        <v>175</v>
      </c>
      <c r="AC45" s="158">
        <f>E.w2TD*Molweight</f>
        <v>0</v>
      </c>
      <c r="AD45" s="160">
        <f>(k.w2M.w2T*M.w2M+k.w3T.w2T*M.w3T)*Molweight</f>
        <v>0</v>
      </c>
      <c r="AE45" s="160">
        <f>(k.w2T.w2M+k.w2T.w3T)*M.w2T*Molweight</f>
        <v>0</v>
      </c>
      <c r="AF45" s="160"/>
      <c r="AG45" s="160">
        <f>(kdis.w2S.w2D*M.w2TS+kdis.w2A.w2D*M.w2TA+kdis.w2P.w2D*M.w2TP)*Molweight</f>
        <v>0</v>
      </c>
      <c r="AH45" s="159">
        <f>KDEG.w2T*VOLUME.w2T*C.w2T*Molweight</f>
        <v>0</v>
      </c>
      <c r="AI45" s="160">
        <f>k.aT.w2T*M.aT*Molweight</f>
        <v>0</v>
      </c>
      <c r="AJ45" s="160">
        <f>k.w2T.aT*M.w2T*Molweight</f>
        <v>0</v>
      </c>
      <c r="AK45" s="160"/>
      <c r="AL45" s="160"/>
      <c r="AM45" s="160">
        <f>k.sT.w2T*M.sT*Molweight</f>
        <v>0</v>
      </c>
      <c r="AN45" s="160"/>
      <c r="AO45" s="159"/>
      <c r="AP45" s="708">
        <f>SUM(AC45,AD45,AI45,AM45,AG45)-SUM(AE45,AF45,AH45,AJ45)</f>
        <v>0</v>
      </c>
      <c r="AQ45" s="16"/>
      <c r="AR45" s="43"/>
      <c r="AS45" s="2"/>
      <c r="AT45" s="61" t="s">
        <v>77</v>
      </c>
      <c r="AU45" s="11"/>
      <c r="AV45" s="11"/>
      <c r="AW45" s="11"/>
      <c r="AX45" s="11"/>
      <c r="AY45" s="11"/>
      <c r="AZ45" s="11"/>
      <c r="BA45" s="11"/>
      <c r="BB45" s="11"/>
      <c r="BC45" s="11"/>
      <c r="BD45" s="11"/>
      <c r="BE45" s="11"/>
      <c r="BF45" s="11"/>
      <c r="BG45" s="11"/>
      <c r="BH45" s="11"/>
      <c r="BI45" s="11"/>
      <c r="BJ45" s="11"/>
      <c r="BK45" s="2"/>
      <c r="BL45" s="43"/>
      <c r="BM45" s="2"/>
      <c r="BN45" s="84" t="s">
        <v>187</v>
      </c>
      <c r="BO45" s="114"/>
      <c r="BP45" s="114"/>
      <c r="BQ45" s="114"/>
      <c r="BR45" s="115"/>
      <c r="BS45" s="2"/>
      <c r="BT45" s="124" t="s">
        <v>188</v>
      </c>
      <c r="BU45" s="114"/>
      <c r="BV45" s="114"/>
      <c r="BW45" s="122"/>
      <c r="BX45" s="123"/>
      <c r="BY45" s="2"/>
      <c r="BZ45" s="2"/>
      <c r="CA45" s="2"/>
      <c r="CB45" s="2"/>
      <c r="CC45" s="2"/>
      <c r="CD45" s="2"/>
      <c r="CE45" s="2"/>
    </row>
    <row r="46" spans="1:83" ht="12.75" customHeight="1" thickBot="1" x14ac:dyDescent="0.35">
      <c r="A46" s="16"/>
      <c r="B46" s="156" t="s">
        <v>155</v>
      </c>
      <c r="C46" s="240">
        <f>C44*FRACs.sdR</f>
        <v>0</v>
      </c>
      <c r="D46" s="379">
        <f t="shared" si="11"/>
        <v>0</v>
      </c>
      <c r="E46" s="240">
        <f>E44*FRACs.sdC</f>
        <v>0</v>
      </c>
      <c r="F46" s="379">
        <f t="shared" si="12"/>
        <v>0</v>
      </c>
      <c r="G46" s="241"/>
      <c r="H46" s="379"/>
      <c r="I46" s="241"/>
      <c r="J46" s="379"/>
      <c r="K46" s="241"/>
      <c r="L46" s="394"/>
      <c r="M46" s="121">
        <f>C.sd1R*FRACs.sdR/(FRACw.sdR/(Kp.sd1R*RHOsolid/1000)+FRACs.sdR)*(Molweight*1000*1000)/(FRACs.sdR*RHOsolid)</f>
        <v>0</v>
      </c>
      <c r="N46" s="121">
        <f>C.sd1C*FRACs.sdC/(FRACw.sdC/(Kp.sd1C*RHOsolid/1000)+FRACs.sdC)*(Molweight*1000*1000)/(FRACs.sdC*RHOsolid)</f>
        <v>0</v>
      </c>
      <c r="O46" s="121"/>
      <c r="P46" s="121"/>
      <c r="Q46" s="121"/>
      <c r="R46" s="157" t="s">
        <v>140</v>
      </c>
      <c r="S46" s="160">
        <f>S44*(1-FRACw.sdR)</f>
        <v>0</v>
      </c>
      <c r="T46" s="160">
        <f>T44*(1-FRACw.sdC)</f>
        <v>0</v>
      </c>
      <c r="U46" s="160"/>
      <c r="V46" s="160"/>
      <c r="W46" s="159"/>
      <c r="X46" s="16"/>
      <c r="Y46" s="153"/>
      <c r="Z46" s="16"/>
      <c r="AA46" s="257" t="s">
        <v>165</v>
      </c>
      <c r="AB46" s="159" t="s">
        <v>176</v>
      </c>
      <c r="AC46" s="158"/>
      <c r="AD46" s="160">
        <f>(k.w2T.w3T*M.w2T+k.w3M.w3T*M.w3M)*Molweight</f>
        <v>0</v>
      </c>
      <c r="AE46" s="160">
        <f>(k.w3T.w2T+k.w3T.w3M)*M.w3T*Molweight</f>
        <v>0</v>
      </c>
      <c r="AF46" s="160"/>
      <c r="AG46" s="160">
        <f>(kdis.w2S.w2D*M.w3TS+kdis.w2A.w2D*M.w3TA+kdis.w2P.w2D*M.w3TP)*Molweight</f>
        <v>0</v>
      </c>
      <c r="AH46" s="159">
        <f>KDEG.w3T*VOLUME.w3T*C.w3T*Molweight</f>
        <v>0</v>
      </c>
      <c r="AI46" s="160"/>
      <c r="AJ46" s="160"/>
      <c r="AK46" s="160"/>
      <c r="AL46" s="160"/>
      <c r="AM46" s="160"/>
      <c r="AN46" s="160">
        <f>k.w3T.sdT*M.w3T*Molweight</f>
        <v>0</v>
      </c>
      <c r="AO46" s="159">
        <f>k.sdT.w3T*M.sdT*Molweight</f>
        <v>0</v>
      </c>
      <c r="AP46" s="708">
        <f>SUM(AC46,AD46,AI46,AM46,AO46,AG46)-SUM(AE46,AF46,AH46,AJ46,AN46)</f>
        <v>0</v>
      </c>
      <c r="AQ46" s="16"/>
      <c r="AR46" s="43"/>
      <c r="AS46" s="2"/>
      <c r="AT46" s="60"/>
      <c r="AU46" s="63"/>
      <c r="AV46" s="63"/>
      <c r="AW46" s="63"/>
      <c r="AX46" s="63"/>
      <c r="AY46" s="64"/>
      <c r="AZ46" s="65"/>
      <c r="BA46" s="63"/>
      <c r="BB46" s="63"/>
      <c r="BC46" s="63"/>
      <c r="BD46" s="64"/>
      <c r="BE46" s="65"/>
      <c r="BF46" s="63"/>
      <c r="BG46" s="63"/>
      <c r="BH46" s="63"/>
      <c r="BI46" s="64"/>
      <c r="BJ46" s="67"/>
      <c r="BK46" s="2"/>
      <c r="BL46" s="43"/>
      <c r="BM46" s="2"/>
      <c r="BN46" s="116"/>
      <c r="BO46" s="2" t="s">
        <v>189</v>
      </c>
      <c r="BP46" s="2"/>
      <c r="BQ46" s="110"/>
      <c r="BR46" s="118"/>
      <c r="BS46" s="2"/>
      <c r="BT46" s="85" t="s">
        <v>190</v>
      </c>
      <c r="BU46" s="2"/>
      <c r="BV46" s="2"/>
      <c r="BW46" s="86">
        <f>M12</f>
        <v>0</v>
      </c>
      <c r="BX46" s="117" t="s">
        <v>113</v>
      </c>
      <c r="BY46" s="2"/>
      <c r="BZ46" s="2"/>
      <c r="CA46" s="2"/>
      <c r="CB46" s="2"/>
      <c r="CC46" s="2"/>
      <c r="CD46" s="2"/>
      <c r="CE46" s="2"/>
    </row>
    <row r="47" spans="1:83" ht="12.75" customHeight="1" x14ac:dyDescent="0.3">
      <c r="A47" s="16"/>
      <c r="B47" s="156" t="s">
        <v>123</v>
      </c>
      <c r="C47" s="240">
        <f>M.sd1RS*Molweight</f>
        <v>7.3328276470607584E-4</v>
      </c>
      <c r="D47" s="379">
        <f t="shared" si="11"/>
        <v>4.4319071793742993E-14</v>
      </c>
      <c r="E47" s="240">
        <f>M.sd1CS*Molweight</f>
        <v>1.7484615446600712E-7</v>
      </c>
      <c r="F47" s="379">
        <f t="shared" si="12"/>
        <v>5.3319765260332185E-18</v>
      </c>
      <c r="G47" s="241"/>
      <c r="H47" s="379"/>
      <c r="I47" s="241"/>
      <c r="J47" s="379"/>
      <c r="K47" s="241"/>
      <c r="L47" s="394"/>
      <c r="M47" s="121">
        <f>C.sd1RS*(Molweight*1000)/(FRACw.sdR*1000+FRACs.sdR*RHOsolid)</f>
        <v>2.991265404582748E-12</v>
      </c>
      <c r="N47" s="121">
        <f>C.sd1CS*(Molweight*1000)/(FRACw.sdC*1000+FRACs.sdC*RHOsolid)</f>
        <v>4.6768273199809088E-17</v>
      </c>
      <c r="O47" s="121"/>
      <c r="P47" s="121"/>
      <c r="Q47" s="121"/>
      <c r="R47" s="157" t="s">
        <v>151</v>
      </c>
      <c r="S47" s="160"/>
      <c r="T47" s="160"/>
      <c r="U47" s="160"/>
      <c r="V47" s="160"/>
      <c r="W47" s="159"/>
      <c r="X47" s="16"/>
      <c r="Y47" s="153"/>
      <c r="Z47" s="16"/>
      <c r="AA47" s="257" t="s">
        <v>181</v>
      </c>
      <c r="AB47" s="159" t="s">
        <v>177</v>
      </c>
      <c r="AC47" s="158"/>
      <c r="AD47" s="160"/>
      <c r="AE47" s="160"/>
      <c r="AF47" s="160">
        <f>(NETsedrate.wT*SYSTEMAREA.T*AREAFRAC.wT)*C.sdT*Molweight</f>
        <v>0</v>
      </c>
      <c r="AG47" s="160">
        <f>(kdis.sd2S.sd2D*M.sdTS+kdis.sd2A.sd2D*M.sdTA+kdis.sd2P.sd2D*M.sdTP)*Molweight</f>
        <v>0</v>
      </c>
      <c r="AH47" s="159">
        <f>KDEG.sdT*VOLUME.sdT*C.sdT*Molweight</f>
        <v>0</v>
      </c>
      <c r="AI47" s="160"/>
      <c r="AJ47" s="160"/>
      <c r="AK47" s="160"/>
      <c r="AL47" s="160"/>
      <c r="AM47" s="160"/>
      <c r="AN47" s="160">
        <f>k.w3T.sdT*M.w3T*Molweight</f>
        <v>0</v>
      </c>
      <c r="AO47" s="159">
        <f>k.sdT.w3T*M.sdT*Molweight</f>
        <v>0</v>
      </c>
      <c r="AP47" s="708">
        <f>SUM(AC47,AD47,AN47,AG47)-SUM(AE47,AF47,AH47,AO47)</f>
        <v>0</v>
      </c>
      <c r="AQ47" s="16"/>
      <c r="AR47" s="43"/>
      <c r="AS47" s="2"/>
      <c r="AT47" s="55" t="s">
        <v>141</v>
      </c>
      <c r="AU47" s="11"/>
      <c r="AV47" s="11"/>
      <c r="AW47" s="11"/>
      <c r="AX47" s="11"/>
      <c r="AY47" s="11"/>
      <c r="AZ47" s="11"/>
      <c r="BA47" s="11"/>
      <c r="BB47" s="11"/>
      <c r="BC47" s="11"/>
      <c r="BD47" s="11"/>
      <c r="BE47" s="11"/>
      <c r="BF47" s="11"/>
      <c r="BG47" s="11"/>
      <c r="BH47" s="11"/>
      <c r="BI47" s="11"/>
      <c r="BJ47" s="11"/>
      <c r="BK47" s="2"/>
      <c r="BL47" s="43"/>
      <c r="BM47" s="2"/>
      <c r="BN47" s="116"/>
      <c r="BO47" s="2"/>
      <c r="BP47" s="2"/>
      <c r="BQ47" s="2"/>
      <c r="BR47" s="117"/>
      <c r="BS47" s="2"/>
      <c r="BT47" s="116"/>
      <c r="BU47" s="110"/>
      <c r="BV47" s="110"/>
      <c r="BW47" s="86"/>
      <c r="BX47" s="117"/>
      <c r="BY47" s="2"/>
      <c r="BZ47" s="2"/>
      <c r="CA47" s="2"/>
      <c r="CB47" s="2"/>
      <c r="CC47" s="2"/>
      <c r="CD47" s="2"/>
      <c r="CE47" s="2"/>
    </row>
    <row r="48" spans="1:83" ht="12.75" customHeight="1" x14ac:dyDescent="0.3">
      <c r="A48" s="16"/>
      <c r="B48" s="156" t="s">
        <v>126</v>
      </c>
      <c r="C48" s="240">
        <f>M.sd1RA*Molweight</f>
        <v>3998790.8464842173</v>
      </c>
      <c r="D48" s="379">
        <f t="shared" si="11"/>
        <v>2.4168398214641403E-4</v>
      </c>
      <c r="E48" s="240">
        <f>M.sd1CA*Molweight</f>
        <v>229705.23345777596</v>
      </c>
      <c r="F48" s="379">
        <f t="shared" si="12"/>
        <v>7.0049176457121286E-6</v>
      </c>
      <c r="G48" s="241"/>
      <c r="H48" s="379"/>
      <c r="I48" s="241"/>
      <c r="J48" s="379"/>
      <c r="K48" s="241"/>
      <c r="L48" s="394"/>
      <c r="M48" s="121">
        <f>C.sd1RA*(Molweight*1000)/(FRACw.sdR*1000+FRACs.sdR*RHOsolid)</f>
        <v>1.6312185823766017E-2</v>
      </c>
      <c r="N48" s="121">
        <f>C.sd1CA*(Molweight*1000)/(FRACw.sdC*1000+FRACs.sdC*RHOsolid)</f>
        <v>6.1442112619455901E-5</v>
      </c>
      <c r="O48" s="121"/>
      <c r="P48" s="121"/>
      <c r="Q48" s="121"/>
      <c r="R48" s="157" t="s">
        <v>151</v>
      </c>
      <c r="S48" s="160"/>
      <c r="T48" s="160"/>
      <c r="U48" s="160"/>
      <c r="V48" s="160"/>
      <c r="W48" s="159"/>
      <c r="X48" s="16"/>
      <c r="Y48" s="153"/>
      <c r="Z48" s="16"/>
      <c r="AA48" s="257" t="s">
        <v>182</v>
      </c>
      <c r="AB48" s="159" t="s">
        <v>178</v>
      </c>
      <c r="AC48" s="158">
        <f>E.sTD*Molweight</f>
        <v>0</v>
      </c>
      <c r="AD48" s="160"/>
      <c r="AE48" s="160"/>
      <c r="AF48" s="160">
        <f>(FRACinf.sT*RAINrate.T/Kslw.T*SYSTEMAREA.T*AREAFRAC.sT*CORRleach.sT)*C.sT*Molweight</f>
        <v>0</v>
      </c>
      <c r="AG48" s="160">
        <f>(kdis.s1S.s1D*M.sTS+kdis.s1A.s1D*M.sTA+kdis.s1P.s1D*M.sTP)*Molweight</f>
        <v>0</v>
      </c>
      <c r="AH48" s="159">
        <f>KDEG.sT*VOLUME.sT*C.sT*Molweight</f>
        <v>0</v>
      </c>
      <c r="AI48" s="160"/>
      <c r="AJ48" s="160"/>
      <c r="AK48" s="160">
        <f>k.aT.sT*M.aT*Molweight</f>
        <v>0</v>
      </c>
      <c r="AL48" s="160">
        <f>k.sT.aT*M.sT*Molweight</f>
        <v>0</v>
      </c>
      <c r="AM48" s="160">
        <f>k.sT.w2T*M.sT*Molweight</f>
        <v>0</v>
      </c>
      <c r="AN48" s="160"/>
      <c r="AO48" s="159"/>
      <c r="AP48" s="708">
        <f>SUM(AC48,AD48,AK48,AG48)-SUM(AE48,AF48,AH48,AL48,AM48,AP47)</f>
        <v>0</v>
      </c>
      <c r="AQ48" s="16"/>
      <c r="AR48" s="43"/>
      <c r="AS48" s="2"/>
      <c r="AT48" s="61" t="s">
        <v>143</v>
      </c>
      <c r="AU48" s="11"/>
      <c r="AV48" s="11"/>
      <c r="AW48" s="11"/>
      <c r="AX48" s="11"/>
      <c r="AY48" s="11"/>
      <c r="AZ48" s="11"/>
      <c r="BA48" s="11"/>
      <c r="BB48" s="11"/>
      <c r="BC48" s="11"/>
      <c r="BD48" s="11"/>
      <c r="BE48" s="11"/>
      <c r="BF48" s="11"/>
      <c r="BG48" s="11"/>
      <c r="BH48" s="11"/>
      <c r="BI48" s="11"/>
      <c r="BJ48" s="11"/>
      <c r="BK48" s="2"/>
      <c r="BL48" s="43"/>
      <c r="BM48" s="2"/>
      <c r="BN48" s="116"/>
      <c r="BO48" s="16" t="s">
        <v>191</v>
      </c>
      <c r="BP48" s="2"/>
      <c r="BQ48" s="2"/>
      <c r="BR48" s="117"/>
      <c r="BS48" s="2"/>
      <c r="BT48" s="87" t="s">
        <v>192</v>
      </c>
      <c r="BU48" s="110"/>
      <c r="BV48" s="110"/>
      <c r="BW48" s="86">
        <f>M20</f>
        <v>0</v>
      </c>
      <c r="BX48" s="249" t="s">
        <v>134</v>
      </c>
      <c r="BY48" s="2"/>
      <c r="BZ48" s="2"/>
      <c r="CA48" s="2"/>
      <c r="CB48" s="2"/>
      <c r="CC48" s="2"/>
      <c r="CD48" s="2"/>
      <c r="CE48" s="2"/>
    </row>
    <row r="49" spans="1:83" ht="12.75" customHeight="1" thickBot="1" x14ac:dyDescent="0.35">
      <c r="A49" s="16"/>
      <c r="B49" s="156" t="s">
        <v>128</v>
      </c>
      <c r="C49" s="240">
        <f>M.sd1RP*Molweight</f>
        <v>38691356.962133281</v>
      </c>
      <c r="D49" s="379">
        <f t="shared" si="11"/>
        <v>2.338477200796418E-3</v>
      </c>
      <c r="E49" s="240">
        <f>M.sd1CP*Molweight</f>
        <v>270516.43280289439</v>
      </c>
      <c r="F49" s="379">
        <f t="shared" si="12"/>
        <v>8.2494652171014634E-6</v>
      </c>
      <c r="G49" s="241"/>
      <c r="H49" s="379"/>
      <c r="I49" s="241"/>
      <c r="J49" s="379"/>
      <c r="K49" s="241"/>
      <c r="L49" s="394"/>
      <c r="M49" s="121">
        <f>C.sd1RP*(Molweight*1000)/(FRACw.sdR*1000+FRACs.sdR*RHOsolid)</f>
        <v>0.15783286217504652</v>
      </c>
      <c r="N49" s="121">
        <f>C.sd1CP*(Molweight*1000)/(FRACw.sdC*1000+FRACs.sdC*RHOsolid)</f>
        <v>7.2358391141071559E-5</v>
      </c>
      <c r="O49" s="121"/>
      <c r="P49" s="121"/>
      <c r="Q49" s="121"/>
      <c r="R49" s="157" t="s">
        <v>151</v>
      </c>
      <c r="S49" s="160"/>
      <c r="T49" s="160"/>
      <c r="U49" s="160"/>
      <c r="V49" s="160"/>
      <c r="W49" s="159"/>
      <c r="X49" s="16"/>
      <c r="Y49" s="153"/>
      <c r="Z49" s="16"/>
      <c r="AA49" s="726"/>
      <c r="AB49" s="727"/>
      <c r="AC49" s="711">
        <f>SUM(AC11:AC48)</f>
        <v>0</v>
      </c>
      <c r="AD49" s="712"/>
      <c r="AE49" s="712"/>
      <c r="AF49" s="713">
        <f>SUM(AF11:AF48)</f>
        <v>0</v>
      </c>
      <c r="AG49" s="713"/>
      <c r="AH49" s="714">
        <f>SUM(AH11:AH48)</f>
        <v>0</v>
      </c>
      <c r="AI49" s="728"/>
      <c r="AJ49" s="729"/>
      <c r="AK49" s="729"/>
      <c r="AL49" s="728"/>
      <c r="AM49" s="728"/>
      <c r="AN49" s="728"/>
      <c r="AO49" s="419"/>
      <c r="AP49" s="730">
        <f>SUM(AP12:AP48)</f>
        <v>0</v>
      </c>
      <c r="AQ49" s="16"/>
      <c r="AR49" s="43"/>
      <c r="AS49" s="2"/>
      <c r="AT49" s="56"/>
      <c r="AU49" s="57"/>
      <c r="AV49" s="57"/>
      <c r="AW49" s="57"/>
      <c r="AX49" s="57"/>
      <c r="AY49" s="58"/>
      <c r="AZ49" s="49"/>
      <c r="BA49" s="57"/>
      <c r="BB49" s="57"/>
      <c r="BC49" s="57"/>
      <c r="BD49" s="58"/>
      <c r="BE49" s="49"/>
      <c r="BF49" s="57"/>
      <c r="BG49" s="57"/>
      <c r="BH49" s="57"/>
      <c r="BI49" s="58"/>
      <c r="BJ49" s="66"/>
      <c r="BK49" s="2"/>
      <c r="BL49" s="43"/>
      <c r="BM49" s="2"/>
      <c r="BN49" s="116"/>
      <c r="BO49" s="2"/>
      <c r="BP49" s="2"/>
      <c r="BQ49" s="2"/>
      <c r="BR49" s="117"/>
      <c r="BS49" s="2"/>
      <c r="BT49" s="87" t="s">
        <v>193</v>
      </c>
      <c r="BU49" s="2"/>
      <c r="BV49" s="2"/>
      <c r="BW49" s="86">
        <f>M36</f>
        <v>0</v>
      </c>
      <c r="BX49" s="117" t="s">
        <v>134</v>
      </c>
      <c r="BY49" s="2"/>
      <c r="BZ49" s="2"/>
      <c r="CA49" s="2"/>
      <c r="CB49" s="2"/>
      <c r="CC49" s="2"/>
      <c r="CD49" s="2"/>
      <c r="CE49" s="2"/>
    </row>
    <row r="50" spans="1:83" ht="12.75" customHeight="1" x14ac:dyDescent="0.3">
      <c r="A50" s="16"/>
      <c r="B50" s="156"/>
      <c r="C50" s="240"/>
      <c r="D50" s="379"/>
      <c r="E50" s="241"/>
      <c r="F50" s="379"/>
      <c r="G50" s="241"/>
      <c r="H50" s="379"/>
      <c r="I50" s="241"/>
      <c r="J50" s="379"/>
      <c r="K50" s="241"/>
      <c r="L50" s="394"/>
      <c r="M50" s="121"/>
      <c r="N50" s="121"/>
      <c r="O50" s="121"/>
      <c r="P50" s="121"/>
      <c r="Q50" s="121"/>
      <c r="R50" s="157"/>
      <c r="S50" s="160"/>
      <c r="T50" s="160"/>
      <c r="U50" s="160"/>
      <c r="V50" s="160"/>
      <c r="W50" s="159"/>
      <c r="X50" s="16"/>
      <c r="Y50" s="153"/>
      <c r="Z50" s="16"/>
      <c r="AA50" s="16"/>
      <c r="AB50" s="16"/>
      <c r="AC50" s="16"/>
      <c r="AD50" s="16"/>
      <c r="AE50" s="16"/>
      <c r="AF50" s="16"/>
      <c r="AG50" s="16"/>
      <c r="AH50" s="16"/>
      <c r="AI50" s="16"/>
      <c r="AJ50" s="161"/>
      <c r="AK50" s="161"/>
      <c r="AL50" s="16"/>
      <c r="AM50" s="16"/>
      <c r="AN50" s="16"/>
      <c r="AO50" s="16"/>
      <c r="AP50" s="16"/>
      <c r="AQ50" s="16"/>
      <c r="AR50" s="43"/>
      <c r="AS50" s="2"/>
      <c r="AT50" s="55" t="s">
        <v>144</v>
      </c>
      <c r="AU50" s="11"/>
      <c r="AV50" s="11"/>
      <c r="AW50" s="11"/>
      <c r="AX50" s="11"/>
      <c r="AY50" s="11"/>
      <c r="AZ50" s="11"/>
      <c r="BA50" s="11"/>
      <c r="BB50" s="11"/>
      <c r="BC50" s="11"/>
      <c r="BD50" s="11"/>
      <c r="BE50" s="11"/>
      <c r="BF50" s="11"/>
      <c r="BG50" s="11"/>
      <c r="BH50" s="11"/>
      <c r="BI50" s="11"/>
      <c r="BJ50" s="11"/>
      <c r="BK50" s="2"/>
      <c r="BL50" s="43"/>
      <c r="BM50" s="2"/>
      <c r="BN50" s="116"/>
      <c r="BO50" s="2" t="s">
        <v>194</v>
      </c>
      <c r="BP50" s="2"/>
      <c r="BQ50" s="2"/>
      <c r="BR50" s="117"/>
      <c r="BS50" s="2"/>
      <c r="BT50" s="87" t="s">
        <v>195</v>
      </c>
      <c r="BU50" s="2"/>
      <c r="BV50" s="2"/>
      <c r="BW50" s="86">
        <f>M52</f>
        <v>0</v>
      </c>
      <c r="BX50" s="117" t="s">
        <v>134</v>
      </c>
      <c r="BY50" s="2"/>
      <c r="BZ50" s="2"/>
      <c r="CA50" s="2"/>
      <c r="CB50" s="2"/>
      <c r="CC50" s="2"/>
      <c r="CD50" s="2"/>
      <c r="CE50" s="2"/>
    </row>
    <row r="51" spans="1:83" ht="12.75" customHeight="1" thickBot="1" x14ac:dyDescent="0.35">
      <c r="A51" s="16"/>
      <c r="B51" s="101" t="s">
        <v>196</v>
      </c>
      <c r="C51" s="240">
        <f>SUM(C52,C55:C57)</f>
        <v>772163.51185626374</v>
      </c>
      <c r="D51" s="379">
        <f t="shared" ref="D51:D57" si="13">C51/$C$103</f>
        <v>4.6668995598421868E-5</v>
      </c>
      <c r="E51" s="240">
        <f>SUM(E52,E55:E57)</f>
        <v>31841340205.120403</v>
      </c>
      <c r="F51" s="379">
        <f t="shared" ref="F51:F57" si="14">E51/$E$103</f>
        <v>0.97100950861431246</v>
      </c>
      <c r="G51" s="241">
        <f>SUM(G52,G55:G57)</f>
        <v>166303205070.7507</v>
      </c>
      <c r="H51" s="379">
        <f t="shared" ref="H51:H57" si="15">G51/$G$103</f>
        <v>3.2150910390760144E-2</v>
      </c>
      <c r="I51" s="241">
        <f>SUM(I52,I55:I57)</f>
        <v>132980909581.42285</v>
      </c>
      <c r="J51" s="379">
        <f t="shared" ref="J51:J57" si="16">I51/$I$103</f>
        <v>3.8897805030506612E-2</v>
      </c>
      <c r="K51" s="241">
        <f>SUM(K52,K55:K57)</f>
        <v>383340661407.28491</v>
      </c>
      <c r="L51" s="394">
        <f t="shared" ref="L51:L57" si="17">K51/$K$103</f>
        <v>2.9993007628170362E-2</v>
      </c>
      <c r="M51" s="392">
        <f>(M.w2RD+M.w2RS+M.w2RA+M.w2RP)*Molweight/(VOLUME.w2R)</f>
        <v>7.7216351185626302E-5</v>
      </c>
      <c r="N51" s="392">
        <f>(M.w2CD+M.w2CS+M.w2CA+M.w2CP)*Molweight/(VOLUME.w2C)</f>
        <v>4.2873450824337199E-5</v>
      </c>
      <c r="O51" s="392">
        <f>(M.w2MD+M.w2MS+M.w2MA+M.w2MP)*Molweight/(VOLUME.w2M)</f>
        <v>4.2877575169218957E-5</v>
      </c>
      <c r="P51" s="392">
        <f>(M.w2AD+M.w2AS+M.w2AA+M.w2AP)*Molweight/(VOLUME.w2A)</f>
        <v>5.2149376306440332E-5</v>
      </c>
      <c r="Q51" s="392">
        <f>(M.w2TD+M.w2TS+M.w2TA+M.w2TP)*Molweight/(VOLUME.w2T)</f>
        <v>4.2951334611460504E-5</v>
      </c>
      <c r="R51" s="157" t="s">
        <v>134</v>
      </c>
      <c r="S51" s="160"/>
      <c r="T51" s="160"/>
      <c r="U51" s="160"/>
      <c r="V51" s="160"/>
      <c r="W51" s="159"/>
      <c r="X51" s="16"/>
      <c r="Y51" s="153"/>
      <c r="Z51" s="16"/>
      <c r="AA51" s="44" t="s">
        <v>197</v>
      </c>
      <c r="AB51" s="16"/>
      <c r="AC51" s="16"/>
      <c r="AD51" s="16"/>
      <c r="AE51" s="16"/>
      <c r="AF51" s="16"/>
      <c r="AG51" s="16"/>
      <c r="AH51" s="16"/>
      <c r="AI51" s="16"/>
      <c r="AJ51" s="16"/>
      <c r="AK51" s="16"/>
      <c r="AL51" s="16"/>
      <c r="AM51" s="16"/>
      <c r="AN51" s="16"/>
      <c r="AO51" s="16"/>
      <c r="AP51" s="16"/>
      <c r="AQ51" s="16"/>
      <c r="AR51" s="43"/>
      <c r="AS51" s="2"/>
      <c r="AT51" s="56"/>
      <c r="AU51" s="57"/>
      <c r="AV51" s="57"/>
      <c r="AW51" s="57"/>
      <c r="AX51" s="57"/>
      <c r="AY51" s="58"/>
      <c r="AZ51" s="49"/>
      <c r="BA51" s="57"/>
      <c r="BB51" s="57"/>
      <c r="BC51" s="57"/>
      <c r="BD51" s="58"/>
      <c r="BE51" s="49"/>
      <c r="BF51" s="57"/>
      <c r="BG51" s="57"/>
      <c r="BH51" s="57"/>
      <c r="BI51" s="58"/>
      <c r="BJ51" s="68"/>
      <c r="BK51" s="2"/>
      <c r="BL51" s="43"/>
      <c r="BM51" s="2"/>
      <c r="BN51" s="116"/>
      <c r="BO51" s="2"/>
      <c r="BP51" s="2"/>
      <c r="BQ51" s="2"/>
      <c r="BR51" s="117"/>
      <c r="BS51" s="2"/>
      <c r="BT51" s="87"/>
      <c r="BU51" s="2"/>
      <c r="BV51" s="2"/>
      <c r="BW51" s="86"/>
      <c r="BX51" s="117"/>
      <c r="BY51" s="2"/>
      <c r="BZ51" s="2"/>
      <c r="CA51" s="2"/>
      <c r="CB51" s="2"/>
      <c r="CC51" s="2"/>
      <c r="CD51" s="2"/>
      <c r="CE51" s="2"/>
    </row>
    <row r="52" spans="1:83" ht="12.75" customHeight="1" x14ac:dyDescent="0.3">
      <c r="A52" s="16"/>
      <c r="B52" s="376" t="s">
        <v>116</v>
      </c>
      <c r="C52" s="240">
        <f>M.w2RD*Molweight</f>
        <v>0</v>
      </c>
      <c r="D52" s="379">
        <f t="shared" si="13"/>
        <v>0</v>
      </c>
      <c r="E52" s="240">
        <f>M.w2CD*Molweight</f>
        <v>0</v>
      </c>
      <c r="F52" s="379">
        <f t="shared" si="14"/>
        <v>0</v>
      </c>
      <c r="G52" s="241">
        <f>M.w2MD*Molweight</f>
        <v>0</v>
      </c>
      <c r="H52" s="379">
        <f t="shared" si="15"/>
        <v>0</v>
      </c>
      <c r="I52" s="241">
        <f>M.w2AD*Molweight</f>
        <v>0</v>
      </c>
      <c r="J52" s="379">
        <f t="shared" si="16"/>
        <v>0</v>
      </c>
      <c r="K52" s="241">
        <f>M.w2TD*Molweight</f>
        <v>0</v>
      </c>
      <c r="L52" s="394">
        <f t="shared" si="17"/>
        <v>0</v>
      </c>
      <c r="M52" s="121">
        <f>C.w2R*Molweight</f>
        <v>0</v>
      </c>
      <c r="N52" s="121">
        <f>C.w2C*Molweight</f>
        <v>0</v>
      </c>
      <c r="O52" s="121">
        <f>C.w2M*Molweight</f>
        <v>0</v>
      </c>
      <c r="P52" s="121">
        <f>C.w2A*Molweight</f>
        <v>0</v>
      </c>
      <c r="Q52" s="121">
        <f>C.w2T*Molweight</f>
        <v>0</v>
      </c>
      <c r="R52" s="157" t="s">
        <v>134</v>
      </c>
      <c r="S52" s="160">
        <f>F.w2R</f>
        <v>0</v>
      </c>
      <c r="T52" s="160">
        <f>F.w2C</f>
        <v>0</v>
      </c>
      <c r="U52" s="160">
        <f>F.w2M</f>
        <v>0</v>
      </c>
      <c r="V52" s="160">
        <f>F.w2A</f>
        <v>0</v>
      </c>
      <c r="W52" s="159">
        <f>F.w2T</f>
        <v>0</v>
      </c>
      <c r="X52" s="16"/>
      <c r="Y52" s="153"/>
      <c r="Z52" s="16"/>
      <c r="AA52" s="16"/>
      <c r="AB52" s="16"/>
      <c r="AC52" s="16"/>
      <c r="AD52" s="16"/>
      <c r="AE52" s="16"/>
      <c r="AF52" s="16"/>
      <c r="AG52" s="16"/>
      <c r="AH52" s="16"/>
      <c r="AI52" s="16"/>
      <c r="AJ52" s="16"/>
      <c r="AK52" s="16"/>
      <c r="AL52" s="16"/>
      <c r="AM52" s="16"/>
      <c r="AN52" s="16"/>
      <c r="AO52" s="16"/>
      <c r="AP52" s="16"/>
      <c r="AQ52" s="16"/>
      <c r="AR52" s="43"/>
      <c r="AS52" s="2"/>
      <c r="AT52" s="55" t="s">
        <v>152</v>
      </c>
      <c r="AU52" s="11"/>
      <c r="AV52" s="11"/>
      <c r="AW52" s="11"/>
      <c r="AX52" s="11"/>
      <c r="AY52" s="11"/>
      <c r="AZ52" s="11"/>
      <c r="BA52" s="11"/>
      <c r="BB52" s="11"/>
      <c r="BC52" s="11"/>
      <c r="BD52" s="11"/>
      <c r="BE52" s="11"/>
      <c r="BF52" s="11"/>
      <c r="BG52" s="11"/>
      <c r="BH52" s="11"/>
      <c r="BI52" s="11"/>
      <c r="BJ52" s="11"/>
      <c r="BK52" s="2"/>
      <c r="BL52" s="43"/>
      <c r="BM52" s="2"/>
      <c r="BN52" s="116"/>
      <c r="BO52" s="2" t="s">
        <v>198</v>
      </c>
      <c r="BP52" s="2"/>
      <c r="BQ52" s="2"/>
      <c r="BR52" s="117"/>
      <c r="BS52" s="2"/>
      <c r="BT52" s="87" t="s">
        <v>199</v>
      </c>
      <c r="BU52" s="2"/>
      <c r="BV52" s="2"/>
      <c r="BW52" s="86">
        <f>M44</f>
        <v>0</v>
      </c>
      <c r="BX52" s="117" t="s">
        <v>151</v>
      </c>
      <c r="BY52" s="2"/>
      <c r="BZ52" s="2"/>
      <c r="CA52" s="2"/>
      <c r="CB52" s="2"/>
      <c r="CC52" s="2"/>
      <c r="CD52" s="2"/>
      <c r="CE52" s="2"/>
    </row>
    <row r="53" spans="1:83" ht="12.75" customHeight="1" x14ac:dyDescent="0.3">
      <c r="A53" s="16"/>
      <c r="B53" s="156" t="s">
        <v>137</v>
      </c>
      <c r="C53" s="240">
        <f>FRwD.w2R*C52</f>
        <v>0</v>
      </c>
      <c r="D53" s="379">
        <f t="shared" si="13"/>
        <v>0</v>
      </c>
      <c r="E53" s="240">
        <f>FRw.w2C*E52</f>
        <v>0</v>
      </c>
      <c r="F53" s="379">
        <f t="shared" si="14"/>
        <v>0</v>
      </c>
      <c r="G53" s="241">
        <f>FRw.w2M*G52</f>
        <v>0</v>
      </c>
      <c r="H53" s="379">
        <f t="shared" si="15"/>
        <v>0</v>
      </c>
      <c r="I53" s="241">
        <f>FRw.w2A*I52</f>
        <v>0</v>
      </c>
      <c r="J53" s="379">
        <f t="shared" si="16"/>
        <v>0</v>
      </c>
      <c r="K53" s="241">
        <f>FRw.w2T*K52</f>
        <v>0</v>
      </c>
      <c r="L53" s="394">
        <f t="shared" si="17"/>
        <v>0</v>
      </c>
      <c r="M53" s="121">
        <f>M52*FRwD.w2R</f>
        <v>0</v>
      </c>
      <c r="N53" s="121">
        <f>N52*FRw.w2C</f>
        <v>0</v>
      </c>
      <c r="O53" s="121">
        <f>O52*FRw.w2M</f>
        <v>0</v>
      </c>
      <c r="P53" s="121">
        <f>P52*FRw.w2A</f>
        <v>0</v>
      </c>
      <c r="Q53" s="121">
        <f>Q52*FRw.w2T</f>
        <v>0</v>
      </c>
      <c r="R53" s="157" t="s">
        <v>134</v>
      </c>
      <c r="S53" s="160">
        <f>S52*FRwD.w2R</f>
        <v>0</v>
      </c>
      <c r="T53" s="160">
        <f>T52*FRw.w2C</f>
        <v>0</v>
      </c>
      <c r="U53" s="160">
        <f>U52*FRw.w2M</f>
        <v>0</v>
      </c>
      <c r="V53" s="160">
        <f>V52*FRw.w2A</f>
        <v>0</v>
      </c>
      <c r="W53" s="159">
        <f>W52*FRw.w2T</f>
        <v>0</v>
      </c>
      <c r="X53" s="16"/>
      <c r="Y53" s="153"/>
      <c r="Z53" s="16"/>
      <c r="AA53" s="20" t="s">
        <v>57</v>
      </c>
      <c r="AB53" s="35" t="str">
        <f>CONCATENATE(version!$B$2," ",version!$B$3," ",version!$C$3)</f>
        <v>SimpleBox4plastics vs 4.04-plastic 45387</v>
      </c>
      <c r="AC53" s="35"/>
      <c r="AD53" s="35"/>
      <c r="AE53" s="35"/>
      <c r="AF53" s="20"/>
      <c r="AG53" s="20"/>
      <c r="AH53" s="20"/>
      <c r="AI53" s="20"/>
      <c r="AJ53" s="20"/>
      <c r="AK53" s="35"/>
      <c r="AL53" s="715"/>
      <c r="AM53" s="716"/>
      <c r="AN53" s="16"/>
      <c r="AO53" s="16"/>
      <c r="AP53" s="16"/>
      <c r="AQ53" s="16"/>
      <c r="AR53" s="43"/>
      <c r="AS53" s="2"/>
      <c r="AT53" s="61" t="s">
        <v>153</v>
      </c>
      <c r="AU53" s="11"/>
      <c r="AV53" s="11"/>
      <c r="AW53" s="11"/>
      <c r="AX53" s="11"/>
      <c r="AY53" s="11"/>
      <c r="AZ53" s="11"/>
      <c r="BA53" s="11"/>
      <c r="BB53" s="11"/>
      <c r="BC53" s="11"/>
      <c r="BD53" s="11"/>
      <c r="BE53" s="11"/>
      <c r="BF53" s="11"/>
      <c r="BG53" s="11"/>
      <c r="BH53" s="11"/>
      <c r="BI53" s="11"/>
      <c r="BJ53" s="11"/>
      <c r="BK53" s="2"/>
      <c r="BL53" s="43"/>
      <c r="BM53" s="2"/>
      <c r="BN53" s="116"/>
      <c r="BO53" s="2"/>
      <c r="BP53" s="2"/>
      <c r="BQ53" s="2"/>
      <c r="BR53" s="117"/>
      <c r="BS53" s="2"/>
      <c r="BT53" s="87" t="s">
        <v>200</v>
      </c>
      <c r="BU53" s="2"/>
      <c r="BV53" s="2"/>
      <c r="BW53" s="86">
        <f>M68</f>
        <v>0</v>
      </c>
      <c r="BX53" s="117" t="s">
        <v>151</v>
      </c>
      <c r="BY53" s="2"/>
      <c r="BZ53" s="2"/>
      <c r="CA53" s="2"/>
      <c r="CB53" s="2"/>
      <c r="CC53" s="2"/>
      <c r="CD53" s="2"/>
      <c r="CE53" s="2"/>
    </row>
    <row r="54" spans="1:83" ht="12.75" customHeight="1" thickBot="1" x14ac:dyDescent="0.35">
      <c r="A54" s="16"/>
      <c r="B54" s="156" t="s">
        <v>139</v>
      </c>
      <c r="C54" s="240">
        <f>(1-FRwD.w2R)*C52</f>
        <v>0</v>
      </c>
      <c r="D54" s="379">
        <f t="shared" si="13"/>
        <v>0</v>
      </c>
      <c r="E54" s="240">
        <f>(1-FRw.w2C)*E52</f>
        <v>0</v>
      </c>
      <c r="F54" s="379">
        <f t="shared" si="14"/>
        <v>0</v>
      </c>
      <c r="G54" s="241">
        <f>(1-FRw.w2M)*G52</f>
        <v>0</v>
      </c>
      <c r="H54" s="379">
        <f t="shared" si="15"/>
        <v>0</v>
      </c>
      <c r="I54" s="241">
        <f>(1-FRw.w2A)*I52</f>
        <v>0</v>
      </c>
      <c r="J54" s="379">
        <f t="shared" si="16"/>
        <v>0</v>
      </c>
      <c r="K54" s="241">
        <f>(1-FRw.w2T)*K52</f>
        <v>0</v>
      </c>
      <c r="L54" s="394">
        <f t="shared" si="17"/>
        <v>0</v>
      </c>
      <c r="M54" s="121">
        <f>M53*Kp.susp2R</f>
        <v>0</v>
      </c>
      <c r="N54" s="121">
        <f>N53*Kp.susp2C</f>
        <v>0</v>
      </c>
      <c r="O54" s="121">
        <f>O53*Kp.susp2M</f>
        <v>0</v>
      </c>
      <c r="P54" s="121">
        <f>P53*Kp.susp2A</f>
        <v>0</v>
      </c>
      <c r="Q54" s="121">
        <f>Q53*Kp.susp2T</f>
        <v>0</v>
      </c>
      <c r="R54" s="157" t="s">
        <v>140</v>
      </c>
      <c r="S54" s="160">
        <f>S52*(1-FRwD.w2R)</f>
        <v>0</v>
      </c>
      <c r="T54" s="160">
        <f>T52*(1-FRw.w2C)</f>
        <v>0</v>
      </c>
      <c r="U54" s="160">
        <f>U52*(1-FRw.w2M)</f>
        <v>0</v>
      </c>
      <c r="V54" s="160">
        <f>V52*(1-FRw.w2A)</f>
        <v>0</v>
      </c>
      <c r="W54" s="159">
        <f>W52*(1-FRw.w2T)</f>
        <v>0</v>
      </c>
      <c r="X54" s="16"/>
      <c r="Y54" s="153"/>
      <c r="Z54" s="16"/>
      <c r="AA54" s="20" t="s">
        <v>61</v>
      </c>
      <c r="AB54" s="717" t="str">
        <f>ChemName</f>
        <v>default substance</v>
      </c>
      <c r="AC54" s="35"/>
      <c r="AD54" s="35"/>
      <c r="AE54" s="35"/>
      <c r="AF54" s="20"/>
      <c r="AG54" s="20"/>
      <c r="AH54" s="20"/>
      <c r="AI54" s="20"/>
      <c r="AJ54" s="20"/>
      <c r="AK54" s="35"/>
      <c r="AL54" s="718"/>
      <c r="AM54" s="716"/>
      <c r="AN54" s="16"/>
      <c r="AO54" s="16"/>
      <c r="AP54" s="16"/>
      <c r="AQ54" s="16"/>
      <c r="AR54" s="43"/>
      <c r="AS54" s="2"/>
      <c r="AT54" s="60"/>
      <c r="AU54" s="63"/>
      <c r="AV54" s="63"/>
      <c r="AW54" s="63"/>
      <c r="AX54" s="63"/>
      <c r="AY54" s="64"/>
      <c r="AZ54" s="65"/>
      <c r="BA54" s="63"/>
      <c r="BB54" s="63"/>
      <c r="BC54" s="63"/>
      <c r="BD54" s="64"/>
      <c r="BE54" s="65"/>
      <c r="BF54" s="63"/>
      <c r="BG54" s="63"/>
      <c r="BH54" s="63"/>
      <c r="BI54" s="64"/>
      <c r="BJ54" s="69"/>
      <c r="BK54" s="2"/>
      <c r="BL54" s="43"/>
      <c r="BM54" s="2"/>
      <c r="BN54" s="116"/>
      <c r="BO54" s="2" t="s">
        <v>201</v>
      </c>
      <c r="BP54" s="2"/>
      <c r="BQ54" s="2"/>
      <c r="BR54" s="117"/>
      <c r="BS54" s="2"/>
      <c r="BT54" s="116"/>
      <c r="BU54" s="2"/>
      <c r="BV54" s="2"/>
      <c r="BW54" s="86"/>
      <c r="BX54" s="117"/>
      <c r="BY54" s="2"/>
      <c r="BZ54" s="2"/>
      <c r="CA54" s="2"/>
      <c r="CB54" s="2"/>
      <c r="CC54" s="2"/>
      <c r="CD54" s="2"/>
      <c r="CE54" s="2"/>
    </row>
    <row r="55" spans="1:83" ht="12.75" customHeight="1" x14ac:dyDescent="0.3">
      <c r="A55" s="16"/>
      <c r="B55" s="156" t="s">
        <v>123</v>
      </c>
      <c r="C55" s="240">
        <f>M.w2RS*Molweight</f>
        <v>0.17152022501579822</v>
      </c>
      <c r="D55" s="379">
        <f t="shared" si="13"/>
        <v>1.0366556439658166E-11</v>
      </c>
      <c r="E55" s="240">
        <f>M.w2CS*Molweight</f>
        <v>4.0875492752077944</v>
      </c>
      <c r="F55" s="379">
        <f t="shared" si="14"/>
        <v>1.2465082146630395E-10</v>
      </c>
      <c r="G55" s="241">
        <f>M.w2MS*Molweight</f>
        <v>0.12942381042238016</v>
      </c>
      <c r="H55" s="379">
        <f t="shared" si="15"/>
        <v>2.5021125296715789E-14</v>
      </c>
      <c r="I55" s="241">
        <f>M.w2AS*Molweight</f>
        <v>2.2806508899272109E-3</v>
      </c>
      <c r="J55" s="379">
        <f t="shared" si="16"/>
        <v>6.6710563146451032E-16</v>
      </c>
      <c r="K55" s="241">
        <f>M.w2TS*Molweight</f>
        <v>4.6415815447000425E-3</v>
      </c>
      <c r="L55" s="394">
        <f t="shared" si="17"/>
        <v>3.6316259842065776E-16</v>
      </c>
      <c r="M55" s="121">
        <f>C.w2RS*Molweight</f>
        <v>1.71520225015798E-11</v>
      </c>
      <c r="N55" s="121">
        <f>C.w2CS*Molweight</f>
        <v>5.5037677972642322E-15</v>
      </c>
      <c r="O55" s="121">
        <f>C.w2MS*Molweight</f>
        <v>3.3369045158879926E-17</v>
      </c>
      <c r="P55" s="121">
        <f>C.w2AS*Molweight</f>
        <v>8.9437289801067103E-19</v>
      </c>
      <c r="Q55" s="121">
        <f>C.w2TS*Molweight</f>
        <v>5.2006515907003276E-19</v>
      </c>
      <c r="R55" s="157" t="s">
        <v>134</v>
      </c>
      <c r="S55" s="160"/>
      <c r="T55" s="160"/>
      <c r="U55" s="160"/>
      <c r="V55" s="160"/>
      <c r="W55" s="159"/>
      <c r="X55" s="16"/>
      <c r="Y55" s="153"/>
      <c r="Z55" s="16"/>
      <c r="AA55" s="20" t="s">
        <v>63</v>
      </c>
      <c r="AB55" s="733" t="str">
        <f>ScenarioName</f>
        <v>default scenario</v>
      </c>
      <c r="AC55" s="35"/>
      <c r="AD55" s="35"/>
      <c r="AE55" s="35"/>
      <c r="AF55" s="20"/>
      <c r="AG55" s="20"/>
      <c r="AH55" s="20"/>
      <c r="AI55" s="20"/>
      <c r="AJ55" s="20"/>
      <c r="AK55" s="35"/>
      <c r="AL55" s="718"/>
      <c r="AM55" s="716"/>
      <c r="AN55" s="16"/>
      <c r="AO55" s="16"/>
      <c r="AP55" s="16"/>
      <c r="AQ55" s="16"/>
      <c r="AR55" s="43"/>
      <c r="AS55" s="2"/>
      <c r="AT55" s="55" t="s">
        <v>156</v>
      </c>
      <c r="AU55" s="11"/>
      <c r="AV55" s="11"/>
      <c r="AW55" s="11"/>
      <c r="AX55" s="11"/>
      <c r="AY55" s="11"/>
      <c r="AZ55" s="11"/>
      <c r="BA55" s="11"/>
      <c r="BB55" s="11"/>
      <c r="BC55" s="11"/>
      <c r="BD55" s="11"/>
      <c r="BE55" s="11"/>
      <c r="BF55" s="11"/>
      <c r="BG55" s="11"/>
      <c r="BH55" s="11"/>
      <c r="BI55" s="11"/>
      <c r="BJ55" s="11"/>
      <c r="BK55" s="2"/>
      <c r="BL55" s="43"/>
      <c r="BM55" s="2"/>
      <c r="BN55" s="116"/>
      <c r="BO55" s="2"/>
      <c r="BP55" s="2"/>
      <c r="BQ55" s="2"/>
      <c r="BR55" s="117"/>
      <c r="BS55" s="2"/>
      <c r="BT55" s="87" t="s">
        <v>202</v>
      </c>
      <c r="BU55" s="2"/>
      <c r="BV55" s="2"/>
      <c r="BW55" s="86">
        <f>M76</f>
        <v>0</v>
      </c>
      <c r="BX55" s="117" t="s">
        <v>151</v>
      </c>
      <c r="BY55" s="2"/>
      <c r="BZ55" s="2"/>
      <c r="CA55" s="2"/>
      <c r="CB55" s="2"/>
      <c r="CC55" s="2"/>
      <c r="CD55" s="2"/>
      <c r="CE55" s="2"/>
    </row>
    <row r="56" spans="1:83" ht="12.75" customHeight="1" x14ac:dyDescent="0.3">
      <c r="A56" s="16"/>
      <c r="B56" s="156" t="s">
        <v>126</v>
      </c>
      <c r="C56" s="240">
        <f>M.w2RA*Molweight</f>
        <v>767025.71389522066</v>
      </c>
      <c r="D56" s="379">
        <f t="shared" si="13"/>
        <v>4.6358470862730743E-5</v>
      </c>
      <c r="E56" s="240">
        <f>M.w2CA*Molweight</f>
        <v>31840904451.43721</v>
      </c>
      <c r="F56" s="379">
        <f t="shared" si="14"/>
        <v>0.97099622019846465</v>
      </c>
      <c r="G56" s="241">
        <f>M.w2MA*Molweight</f>
        <v>166301137616.65112</v>
      </c>
      <c r="H56" s="379">
        <f t="shared" si="15"/>
        <v>3.2150510695928863E-2</v>
      </c>
      <c r="I56" s="241">
        <f>M.w2AA*Molweight</f>
        <v>132980118691.43832</v>
      </c>
      <c r="J56" s="379">
        <f t="shared" si="16"/>
        <v>3.8897573689899032E-2</v>
      </c>
      <c r="K56" s="241">
        <f>M.w2TA*Molweight</f>
        <v>383331097841.45636</v>
      </c>
      <c r="L56" s="394">
        <f t="shared" si="17"/>
        <v>2.9992259363945548E-2</v>
      </c>
      <c r="M56" s="121">
        <f>C.w2RA*Molweight</f>
        <v>7.6702571389521986E-5</v>
      </c>
      <c r="N56" s="121">
        <f>C.w2CA*Molweight</f>
        <v>4.2872864094507758E-5</v>
      </c>
      <c r="O56" s="121">
        <f>C.w2MA*Molweight</f>
        <v>4.2877042122254974E-5</v>
      </c>
      <c r="P56" s="121">
        <f>C.w2AA*Molweight</f>
        <v>5.2149066153505225E-5</v>
      </c>
      <c r="Q56" s="121">
        <f>C.w2TA*Molweight</f>
        <v>4.2950263063468511E-5</v>
      </c>
      <c r="R56" s="157" t="s">
        <v>134</v>
      </c>
      <c r="S56" s="160"/>
      <c r="T56" s="160"/>
      <c r="U56" s="160"/>
      <c r="V56" s="160"/>
      <c r="W56" s="159"/>
      <c r="X56" s="16"/>
      <c r="Y56" s="153"/>
      <c r="Z56" s="16"/>
      <c r="AA56" s="20" t="s">
        <v>65</v>
      </c>
      <c r="AB56" s="733" t="str">
        <f>CaseName</f>
        <v>defaults only</v>
      </c>
      <c r="AC56" s="35"/>
      <c r="AD56" s="35"/>
      <c r="AE56" s="731"/>
      <c r="AF56" s="732"/>
      <c r="AG56" s="732"/>
      <c r="AH56" s="159"/>
      <c r="AI56" s="20"/>
      <c r="AJ56" s="20"/>
      <c r="AK56" s="35"/>
      <c r="AL56" s="718"/>
      <c r="AM56" s="716"/>
      <c r="AN56" s="16"/>
      <c r="AO56" s="16"/>
      <c r="AP56" s="16"/>
      <c r="AQ56" s="16"/>
      <c r="AR56" s="43"/>
      <c r="AS56" s="2"/>
      <c r="AT56" s="61" t="s">
        <v>159</v>
      </c>
      <c r="AU56" s="11"/>
      <c r="AV56" s="11"/>
      <c r="AW56" s="11"/>
      <c r="AX56" s="11"/>
      <c r="AY56" s="11"/>
      <c r="AZ56" s="11"/>
      <c r="BA56" s="11"/>
      <c r="BB56" s="11"/>
      <c r="BC56" s="11"/>
      <c r="BD56" s="11"/>
      <c r="BE56" s="11"/>
      <c r="BF56" s="11"/>
      <c r="BG56" s="11"/>
      <c r="BH56" s="11"/>
      <c r="BI56" s="11"/>
      <c r="BJ56" s="11"/>
      <c r="BK56" s="2"/>
      <c r="BL56" s="43"/>
      <c r="BM56" s="2"/>
      <c r="BN56" s="116"/>
      <c r="BO56" s="2" t="s">
        <v>72</v>
      </c>
      <c r="BP56" s="2"/>
      <c r="BQ56" s="2"/>
      <c r="BR56" s="117"/>
      <c r="BS56" s="2"/>
      <c r="BT56" s="85" t="s">
        <v>203</v>
      </c>
      <c r="BU56" s="2"/>
      <c r="BV56" s="2"/>
      <c r="BW56" s="86">
        <f>M84</f>
        <v>0</v>
      </c>
      <c r="BX56" s="117" t="s">
        <v>151</v>
      </c>
      <c r="BY56" s="2"/>
      <c r="BZ56" s="2"/>
      <c r="CA56" s="2"/>
      <c r="CB56" s="2"/>
      <c r="CC56" s="2"/>
      <c r="CD56" s="2"/>
      <c r="CE56" s="2"/>
    </row>
    <row r="57" spans="1:83" ht="12.75" customHeight="1" thickBot="1" x14ac:dyDescent="0.35">
      <c r="A57" s="16"/>
      <c r="B57" s="156" t="s">
        <v>128</v>
      </c>
      <c r="C57" s="240">
        <f>M.w2RP*Molweight</f>
        <v>5137.6264408180805</v>
      </c>
      <c r="D57" s="379">
        <f t="shared" si="13"/>
        <v>3.1051436913469048E-7</v>
      </c>
      <c r="E57" s="240">
        <f>M.w2CP*Molweight</f>
        <v>435749.59564094769</v>
      </c>
      <c r="F57" s="379">
        <f t="shared" si="14"/>
        <v>1.3288291196805861E-5</v>
      </c>
      <c r="G57" s="241">
        <f>M.w2MP*Molweight</f>
        <v>2067453.9701646264</v>
      </c>
      <c r="H57" s="379">
        <f t="shared" si="15"/>
        <v>3.9969480626368879E-7</v>
      </c>
      <c r="I57" s="241">
        <f>M.w2AP*Molweight</f>
        <v>790889.98225381225</v>
      </c>
      <c r="J57" s="379">
        <f t="shared" si="16"/>
        <v>2.3134060691210126E-7</v>
      </c>
      <c r="K57" s="241">
        <f>M.w2TP*Molweight</f>
        <v>9563565.8239123113</v>
      </c>
      <c r="L57" s="394">
        <f t="shared" si="17"/>
        <v>7.4826422445271108E-7</v>
      </c>
      <c r="M57" s="121">
        <f>C.w2RP*Molweight</f>
        <v>5.1376264408180747E-7</v>
      </c>
      <c r="N57" s="121">
        <f>C.w2CP*Molweight</f>
        <v>5.8672432567498305E-10</v>
      </c>
      <c r="O57" s="121">
        <f>C.w2MP*Molweight</f>
        <v>5.3304693061640332E-10</v>
      </c>
      <c r="P57" s="121">
        <f>C.w2AP*Molweight</f>
        <v>3.1015293421718124E-10</v>
      </c>
      <c r="Q57" s="121">
        <f>C.w2TP*Molweight</f>
        <v>1.0715479914747688E-9</v>
      </c>
      <c r="R57" s="157" t="s">
        <v>134</v>
      </c>
      <c r="S57" s="160"/>
      <c r="T57" s="160"/>
      <c r="U57" s="160"/>
      <c r="V57" s="160"/>
      <c r="W57" s="159"/>
      <c r="X57" s="16"/>
      <c r="Y57" s="153"/>
      <c r="Z57" s="16"/>
      <c r="AA57" s="16"/>
      <c r="AB57" s="16"/>
      <c r="AC57" s="16"/>
      <c r="AD57" s="16"/>
      <c r="AE57" s="16"/>
      <c r="AF57" s="16"/>
      <c r="AG57" s="16"/>
      <c r="AH57" s="16"/>
      <c r="AI57" s="16"/>
      <c r="AJ57" s="16"/>
      <c r="AK57" s="16"/>
      <c r="AL57" s="16"/>
      <c r="AM57" s="16"/>
      <c r="AN57" s="16"/>
      <c r="AO57" s="16"/>
      <c r="AP57" s="16"/>
      <c r="AQ57" s="16"/>
      <c r="AR57" s="43"/>
      <c r="AS57" s="2"/>
      <c r="AT57" s="48" t="s">
        <v>161</v>
      </c>
      <c r="AU57" s="11"/>
      <c r="AV57" s="11"/>
      <c r="AW57" s="11"/>
      <c r="AX57" s="11"/>
      <c r="AY57" s="11"/>
      <c r="AZ57" s="11"/>
      <c r="BA57" s="11"/>
      <c r="BB57" s="11"/>
      <c r="BC57" s="11"/>
      <c r="BD57" s="11"/>
      <c r="BE57" s="11"/>
      <c r="BF57" s="11"/>
      <c r="BG57" s="11"/>
      <c r="BH57" s="11"/>
      <c r="BI57" s="11"/>
      <c r="BJ57" s="11"/>
      <c r="BK57" s="2"/>
      <c r="BL57" s="43"/>
      <c r="BM57" s="2"/>
      <c r="BN57" s="116"/>
      <c r="BO57" s="2"/>
      <c r="BP57" s="2"/>
      <c r="BQ57" s="2"/>
      <c r="BR57" s="117"/>
      <c r="BS57" s="2"/>
      <c r="BT57" s="85" t="s">
        <v>204</v>
      </c>
      <c r="BU57" s="2"/>
      <c r="BV57" s="2"/>
      <c r="BW57" s="86">
        <f>M92</f>
        <v>0</v>
      </c>
      <c r="BX57" s="117" t="s">
        <v>151</v>
      </c>
      <c r="BY57" s="2"/>
      <c r="BZ57" s="2"/>
      <c r="CA57" s="2"/>
      <c r="CB57" s="2"/>
      <c r="CC57" s="2"/>
      <c r="CD57" s="2"/>
      <c r="CE57" s="2"/>
    </row>
    <row r="58" spans="1:83" ht="12.75" customHeight="1" x14ac:dyDescent="0.3">
      <c r="A58" s="16"/>
      <c r="B58" s="156"/>
      <c r="C58" s="240"/>
      <c r="D58" s="379"/>
      <c r="E58" s="241"/>
      <c r="F58" s="379"/>
      <c r="G58" s="241"/>
      <c r="H58" s="379"/>
      <c r="I58" s="241"/>
      <c r="J58" s="379"/>
      <c r="K58" s="241"/>
      <c r="L58" s="394"/>
      <c r="M58" s="121"/>
      <c r="N58" s="121"/>
      <c r="O58" s="121"/>
      <c r="P58" s="121"/>
      <c r="Q58" s="121"/>
      <c r="R58" s="157"/>
      <c r="S58" s="160"/>
      <c r="T58" s="160"/>
      <c r="U58" s="160"/>
      <c r="V58" s="160"/>
      <c r="W58" s="159"/>
      <c r="X58" s="16"/>
      <c r="Y58" s="153"/>
      <c r="Z58" s="16"/>
      <c r="AA58" s="735" t="s">
        <v>205</v>
      </c>
      <c r="AB58" s="719"/>
      <c r="AC58" s="720" t="s">
        <v>72</v>
      </c>
      <c r="AD58" s="721" t="s">
        <v>73</v>
      </c>
      <c r="AE58" s="721" t="s">
        <v>74</v>
      </c>
      <c r="AF58" s="721" t="s">
        <v>206</v>
      </c>
      <c r="AG58" s="721" t="s">
        <v>207</v>
      </c>
      <c r="AH58" s="722" t="s">
        <v>77</v>
      </c>
      <c r="AI58" s="721" t="s">
        <v>78</v>
      </c>
      <c r="AJ58" s="721" t="s">
        <v>79</v>
      </c>
      <c r="AK58" s="721" t="s">
        <v>80</v>
      </c>
      <c r="AL58" s="721" t="s">
        <v>81</v>
      </c>
      <c r="AM58" s="721" t="s">
        <v>82</v>
      </c>
      <c r="AN58" s="721" t="s">
        <v>83</v>
      </c>
      <c r="AO58" s="722" t="s">
        <v>84</v>
      </c>
      <c r="AP58" s="720" t="s">
        <v>85</v>
      </c>
      <c r="AQ58" s="16"/>
      <c r="AR58" s="43"/>
      <c r="AS58" s="2"/>
      <c r="AT58" s="2"/>
      <c r="AU58" s="2"/>
      <c r="AV58" s="2"/>
      <c r="AW58" s="2"/>
      <c r="AX58" s="2"/>
      <c r="AY58" s="2"/>
      <c r="AZ58" s="2"/>
      <c r="BA58" s="2"/>
      <c r="BB58" s="52"/>
      <c r="BC58" s="52"/>
      <c r="BD58" s="2"/>
      <c r="BE58" s="2"/>
      <c r="BF58" s="2"/>
      <c r="BG58" s="2"/>
      <c r="BH58" s="2"/>
      <c r="BI58" s="2"/>
      <c r="BJ58" s="2"/>
      <c r="BK58" s="2"/>
      <c r="BL58" s="43"/>
      <c r="BM58" s="2"/>
      <c r="BN58" s="88">
        <v>0.12130000000000001</v>
      </c>
      <c r="BO58" s="5" t="s">
        <v>208</v>
      </c>
      <c r="BP58" s="2"/>
      <c r="BQ58" s="2"/>
      <c r="BR58" s="117"/>
      <c r="BS58" s="2"/>
      <c r="BT58" s="89"/>
      <c r="BU58" s="77"/>
      <c r="BV58" s="77"/>
      <c r="BW58" s="90"/>
      <c r="BX58" s="119"/>
      <c r="BY58" s="2"/>
      <c r="BZ58" s="2"/>
      <c r="CA58" s="2"/>
      <c r="CB58" s="2"/>
      <c r="CC58" s="2"/>
      <c r="CD58" s="2"/>
      <c r="CE58" s="2"/>
    </row>
    <row r="59" spans="1:83" ht="12.75" customHeight="1" x14ac:dyDescent="0.3">
      <c r="A59" s="16"/>
      <c r="B59" s="101" t="s">
        <v>209</v>
      </c>
      <c r="C59" s="240"/>
      <c r="D59" s="379"/>
      <c r="E59" s="241"/>
      <c r="F59" s="379"/>
      <c r="G59" s="241">
        <f>SUM(G60,G63:G65)</f>
        <v>4997668078879.8271</v>
      </c>
      <c r="H59" s="379">
        <f t="shared" ref="H59:H65" si="18">G59/$G$103</f>
        <v>0.96618449715668142</v>
      </c>
      <c r="I59" s="241">
        <f>SUM(I60,I63:I65)</f>
        <v>3280137757927.9336</v>
      </c>
      <c r="J59" s="379">
        <f t="shared" ref="J59:J65" si="19">I59/$I$103</f>
        <v>0.95946222192864239</v>
      </c>
      <c r="K59" s="241">
        <f>SUM(K60,K63:K65)</f>
        <v>12375971574979.639</v>
      </c>
      <c r="L59" s="394">
        <f t="shared" ref="L59:L65" si="20">K59/$K$103</f>
        <v>0.9683100365395515</v>
      </c>
      <c r="M59" s="392"/>
      <c r="N59" s="392"/>
      <c r="O59" s="392">
        <f>(M.w3MD+M.w3MS+M.w3MA+M.w3MP)*Molweight/(VOLUME.w3M)</f>
        <v>4.2951244511856301E-5</v>
      </c>
      <c r="P59" s="392">
        <f>(M.w3AD+M.w3AS+M.w3AA+M.w3AP)*Molweight/(VOLUME.w3A)</f>
        <v>4.2877617750691946E-5</v>
      </c>
      <c r="Q59" s="392">
        <f>(M.w3TD+M.w3TS+M.w3TA+M.w3TP)*Molweight/(VOLUME.w3T)</f>
        <v>4.6222116059681199E-5</v>
      </c>
      <c r="R59" s="157" t="s">
        <v>134</v>
      </c>
      <c r="S59" s="160"/>
      <c r="T59" s="160"/>
      <c r="U59" s="160"/>
      <c r="V59" s="160"/>
      <c r="W59" s="159"/>
      <c r="X59" s="16"/>
      <c r="Y59" s="153"/>
      <c r="Z59" s="16"/>
      <c r="AA59" s="723"/>
      <c r="AB59" s="724"/>
      <c r="AC59" s="707"/>
      <c r="AD59" s="299"/>
      <c r="AE59" s="299"/>
      <c r="AF59" s="299"/>
      <c r="AG59" s="299"/>
      <c r="AH59" s="651"/>
      <c r="AI59" s="299" t="s">
        <v>108</v>
      </c>
      <c r="AJ59" s="299" t="s">
        <v>108</v>
      </c>
      <c r="AK59" s="299" t="s">
        <v>108</v>
      </c>
      <c r="AL59" s="299" t="s">
        <v>108</v>
      </c>
      <c r="AM59" s="299" t="s">
        <v>108</v>
      </c>
      <c r="AN59" s="299" t="s">
        <v>108</v>
      </c>
      <c r="AO59" s="651" t="s">
        <v>108</v>
      </c>
      <c r="AP59" s="707" t="s">
        <v>109</v>
      </c>
      <c r="AQ59" s="16"/>
      <c r="AR59" s="43"/>
      <c r="AS59" s="2"/>
      <c r="AT59" s="2"/>
      <c r="AU59" s="2"/>
      <c r="AV59" s="2"/>
      <c r="AW59" s="2"/>
      <c r="AX59" s="2"/>
      <c r="AY59" s="2"/>
      <c r="AZ59" s="2"/>
      <c r="BA59" s="2"/>
      <c r="BB59" s="2"/>
      <c r="BC59" s="2"/>
      <c r="BD59" s="2"/>
      <c r="BE59" s="2"/>
      <c r="BF59" s="2"/>
      <c r="BG59" s="2"/>
      <c r="BH59" s="2"/>
      <c r="BI59" s="2"/>
      <c r="BJ59" s="2"/>
      <c r="BK59" s="2"/>
      <c r="BL59" s="43"/>
      <c r="BM59" s="2"/>
      <c r="BN59" s="112"/>
      <c r="BO59" s="77"/>
      <c r="BP59" s="77"/>
      <c r="BQ59" s="77"/>
      <c r="BR59" s="119"/>
      <c r="BS59" s="2"/>
      <c r="BT59" s="5"/>
      <c r="BU59" s="2"/>
      <c r="BV59" s="2"/>
      <c r="BW59" s="86"/>
      <c r="BX59" s="2"/>
      <c r="BY59" s="2"/>
      <c r="BZ59" s="2"/>
      <c r="CA59" s="2"/>
      <c r="CB59" s="2"/>
      <c r="CC59" s="2"/>
      <c r="CD59" s="2"/>
      <c r="CE59" s="2"/>
    </row>
    <row r="60" spans="1:83" ht="12.75" customHeight="1" x14ac:dyDescent="0.3">
      <c r="A60" s="16"/>
      <c r="B60" s="376" t="s">
        <v>116</v>
      </c>
      <c r="C60" s="240"/>
      <c r="D60" s="379"/>
      <c r="E60" s="241"/>
      <c r="F60" s="379"/>
      <c r="G60" s="241">
        <f>M.w3MD*Molweight</f>
        <v>0</v>
      </c>
      <c r="H60" s="379">
        <f t="shared" si="18"/>
        <v>0</v>
      </c>
      <c r="I60" s="241">
        <f>M.w3AD*Molweight</f>
        <v>0</v>
      </c>
      <c r="J60" s="379">
        <f t="shared" si="19"/>
        <v>0</v>
      </c>
      <c r="K60" s="241">
        <f>M.w3TD*Molweight</f>
        <v>0</v>
      </c>
      <c r="L60" s="394">
        <f t="shared" si="20"/>
        <v>0</v>
      </c>
      <c r="M60" s="121"/>
      <c r="N60" s="121"/>
      <c r="O60" s="121">
        <f>C.w3M*Molweight</f>
        <v>0</v>
      </c>
      <c r="P60" s="121">
        <f>C.w3A*Molweight</f>
        <v>0</v>
      </c>
      <c r="Q60" s="121">
        <f>C.w3T*Molweight</f>
        <v>0</v>
      </c>
      <c r="R60" s="157" t="s">
        <v>134</v>
      </c>
      <c r="S60" s="160"/>
      <c r="T60" s="160"/>
      <c r="U60" s="160">
        <f>F.w3M</f>
        <v>0</v>
      </c>
      <c r="V60" s="160">
        <f>F.w3A</f>
        <v>0</v>
      </c>
      <c r="W60" s="159">
        <f>F.w3T</f>
        <v>0</v>
      </c>
      <c r="X60" s="16"/>
      <c r="Y60" s="153"/>
      <c r="Z60" s="16"/>
      <c r="AA60" s="706" t="s">
        <v>114</v>
      </c>
      <c r="AB60" s="249"/>
      <c r="AC60" s="708"/>
      <c r="AD60" s="709"/>
      <c r="AE60" s="709"/>
      <c r="AF60" s="709"/>
      <c r="AG60" s="709"/>
      <c r="AH60" s="710"/>
      <c r="AI60" s="35"/>
      <c r="AJ60" s="35"/>
      <c r="AK60" s="35"/>
      <c r="AL60" s="35"/>
      <c r="AM60" s="35"/>
      <c r="AN60" s="35"/>
      <c r="AO60" s="157"/>
      <c r="AP60" s="725"/>
      <c r="AQ60" s="16"/>
      <c r="AR60" s="43"/>
      <c r="AS60" s="2"/>
      <c r="AT60" s="2"/>
      <c r="AU60" s="2"/>
      <c r="AV60" s="2"/>
      <c r="AW60" s="2"/>
      <c r="AX60" s="2"/>
      <c r="AY60" s="2"/>
      <c r="AZ60" s="2"/>
      <c r="BA60" s="2"/>
      <c r="BB60" s="2"/>
      <c r="BC60" s="2"/>
      <c r="BD60" s="2"/>
      <c r="BE60" s="2"/>
      <c r="BF60" s="2"/>
      <c r="BG60" s="2"/>
      <c r="BH60" s="2"/>
      <c r="BI60" s="2"/>
      <c r="BJ60" s="2"/>
      <c r="BK60" s="2"/>
      <c r="BL60" s="43"/>
      <c r="BM60" s="2"/>
      <c r="BN60" s="2"/>
      <c r="BO60" s="2"/>
      <c r="BP60" s="2"/>
      <c r="BQ60" s="2"/>
      <c r="BR60" s="2"/>
      <c r="BS60" s="2"/>
      <c r="BT60" s="5"/>
      <c r="BU60" s="2"/>
      <c r="BV60" s="2"/>
      <c r="BW60" s="5"/>
      <c r="BX60" s="2"/>
      <c r="BY60" s="2"/>
      <c r="BZ60" s="2"/>
      <c r="CA60" s="2"/>
      <c r="CB60" s="2"/>
      <c r="CC60" s="2"/>
      <c r="CD60" s="2"/>
      <c r="CE60" s="2"/>
    </row>
    <row r="61" spans="1:83" ht="12.75" customHeight="1" x14ac:dyDescent="0.3">
      <c r="A61" s="16"/>
      <c r="B61" s="156" t="s">
        <v>137</v>
      </c>
      <c r="C61" s="240"/>
      <c r="D61" s="379"/>
      <c r="E61" s="241"/>
      <c r="F61" s="379"/>
      <c r="G61" s="241">
        <f>FRw.w3M*G60</f>
        <v>0</v>
      </c>
      <c r="H61" s="379">
        <f t="shared" si="18"/>
        <v>0</v>
      </c>
      <c r="I61" s="241">
        <f>FRw.w3A*I60</f>
        <v>0</v>
      </c>
      <c r="J61" s="379">
        <f t="shared" si="19"/>
        <v>0</v>
      </c>
      <c r="K61" s="241">
        <f>FRw.w3T*K60</f>
        <v>0</v>
      </c>
      <c r="L61" s="394">
        <f t="shared" si="20"/>
        <v>0</v>
      </c>
      <c r="M61" s="121"/>
      <c r="N61" s="121"/>
      <c r="O61" s="121">
        <f>O60*FRw.w3M</f>
        <v>0</v>
      </c>
      <c r="P61" s="121">
        <f>P60*FRw.w3A</f>
        <v>0</v>
      </c>
      <c r="Q61" s="121">
        <f>Q60*FRw.w3T</f>
        <v>0</v>
      </c>
      <c r="R61" s="157" t="s">
        <v>134</v>
      </c>
      <c r="S61" s="160"/>
      <c r="T61" s="160"/>
      <c r="U61" s="160">
        <f>U60*FRw.w3M</f>
        <v>0</v>
      </c>
      <c r="V61" s="160">
        <f>V60*FRw.w3A</f>
        <v>0</v>
      </c>
      <c r="W61" s="159">
        <f>W60*FRw.w3T</f>
        <v>0</v>
      </c>
      <c r="X61" s="16"/>
      <c r="Y61" s="153"/>
      <c r="Z61" s="16"/>
      <c r="AA61" s="257" t="s">
        <v>117</v>
      </c>
      <c r="AB61" s="159" t="s">
        <v>86</v>
      </c>
      <c r="AC61" s="158">
        <f>E.aRS*Molweight</f>
        <v>0.31709791983764585</v>
      </c>
      <c r="AD61" s="160">
        <f>k.aC.aR*(M.aCS+M.aCA+M.aCP)*Molweight</f>
        <v>3.7464945372412996E-2</v>
      </c>
      <c r="AE61" s="160">
        <f>k.aR.aC*(M.aRS+M.aRA+M.aRP)*Molweight</f>
        <v>0.3220292927649856</v>
      </c>
      <c r="AF61" s="160">
        <f>kesc.aR*VOLUME.aR*(C.aRS+C.aRA+C.aRP)*Molweight</f>
        <v>1.2522916892766901E-5</v>
      </c>
      <c r="AG61" s="160"/>
      <c r="AH61" s="159">
        <f>(kdegS.a*C.aRS+kdegA.a*C.aRA+kdegP.a*C.aRP)*VOLUME.aR*Molweight</f>
        <v>0</v>
      </c>
      <c r="AI61" s="160">
        <f>SUM(AI62:AI64)</f>
        <v>2.6442895211440738E-3</v>
      </c>
      <c r="AJ61" s="160">
        <f>SUM(AJ62:AJ64)</f>
        <v>0</v>
      </c>
      <c r="AK61" s="160">
        <f>SUM(AK67:AK69)</f>
        <v>2.9876760007036467E-2</v>
      </c>
      <c r="AL61" s="160">
        <f>SUM(AL67:AL69)</f>
        <v>0</v>
      </c>
      <c r="AM61" s="160"/>
      <c r="AN61" s="160"/>
      <c r="AO61" s="159"/>
      <c r="AP61" s="708">
        <f>SUM(AC61,AD61,AJ61,AL61)-SUM(AE61,AF61,AH61,AI61,AK61)</f>
        <v>0</v>
      </c>
      <c r="AQ61" s="16"/>
      <c r="AR61" s="43"/>
      <c r="AS61" s="2"/>
      <c r="AT61" s="2"/>
      <c r="AU61" s="2"/>
      <c r="AV61" s="2"/>
      <c r="AW61" s="2"/>
      <c r="AX61" s="2"/>
      <c r="AY61" s="2"/>
      <c r="AZ61" s="2"/>
      <c r="BA61" s="2"/>
      <c r="BB61" s="2"/>
      <c r="BC61" s="2"/>
      <c r="BD61" s="2"/>
      <c r="BE61" s="2"/>
      <c r="BF61" s="2"/>
      <c r="BG61" s="2"/>
      <c r="BH61" s="2"/>
      <c r="BI61" s="2"/>
      <c r="BJ61" s="2"/>
      <c r="BK61" s="2"/>
      <c r="BL61" s="43"/>
      <c r="BM61" s="2"/>
      <c r="BN61" s="2"/>
      <c r="BO61" s="2"/>
      <c r="BP61" s="2"/>
      <c r="BQ61" s="2"/>
      <c r="BR61" s="2"/>
      <c r="BS61" s="2"/>
      <c r="BT61" s="5"/>
      <c r="BU61" s="2"/>
      <c r="BV61" s="2"/>
      <c r="BW61" s="5"/>
      <c r="BX61" s="2"/>
      <c r="BY61" s="2"/>
      <c r="BZ61" s="2"/>
      <c r="CA61" s="2"/>
      <c r="CB61" s="2"/>
      <c r="CC61" s="2"/>
      <c r="CD61" s="2"/>
      <c r="CE61" s="2"/>
    </row>
    <row r="62" spans="1:83" ht="12.75" customHeight="1" x14ac:dyDescent="0.3">
      <c r="A62" s="16"/>
      <c r="B62" s="156" t="s">
        <v>139</v>
      </c>
      <c r="C62" s="240"/>
      <c r="D62" s="379"/>
      <c r="E62" s="241"/>
      <c r="F62" s="379"/>
      <c r="G62" s="241">
        <f>(1-FRw.w3M)*G60</f>
        <v>0</v>
      </c>
      <c r="H62" s="379">
        <f t="shared" si="18"/>
        <v>0</v>
      </c>
      <c r="I62" s="241">
        <f>(1-FRw.w3A)*I60</f>
        <v>0</v>
      </c>
      <c r="J62" s="379">
        <f t="shared" si="19"/>
        <v>0</v>
      </c>
      <c r="K62" s="241">
        <f>(1-FRw.w3T)*K60</f>
        <v>0</v>
      </c>
      <c r="L62" s="394">
        <f t="shared" si="20"/>
        <v>0</v>
      </c>
      <c r="M62" s="121"/>
      <c r="N62" s="121"/>
      <c r="O62" s="121">
        <f>O61*Kp.susp3M</f>
        <v>0</v>
      </c>
      <c r="P62" s="121">
        <f>P61*Kp.susp3A</f>
        <v>0</v>
      </c>
      <c r="Q62" s="121">
        <f>Q61*Kp.susp3T</f>
        <v>0</v>
      </c>
      <c r="R62" s="157" t="s">
        <v>140</v>
      </c>
      <c r="S62" s="160"/>
      <c r="T62" s="160"/>
      <c r="U62" s="160">
        <f>U60*(1-FRw.w3M)</f>
        <v>0</v>
      </c>
      <c r="V62" s="160">
        <f>V60*(1-FRw.w3A)</f>
        <v>0</v>
      </c>
      <c r="W62" s="159">
        <f>W60*(1-FRw.w3T)</f>
        <v>0</v>
      </c>
      <c r="X62" s="16"/>
      <c r="Y62" s="153"/>
      <c r="Z62" s="16"/>
      <c r="AA62" s="257" t="s">
        <v>119</v>
      </c>
      <c r="AB62" s="159" t="s">
        <v>120</v>
      </c>
      <c r="AC62" s="158">
        <f>E.w0RS*Molweight</f>
        <v>0</v>
      </c>
      <c r="AD62" s="160">
        <f>k.w1R.w0R*(M.w1RS+M.w1RA+M.w1RP)*Molweight</f>
        <v>0</v>
      </c>
      <c r="AE62" s="160">
        <f>(k.w0R.w1R+k.w0R.w2R)*(M.w0RS+M.w0RA+M.w0RP)*Molweight</f>
        <v>1.8574597775432258E-2</v>
      </c>
      <c r="AF62" s="160"/>
      <c r="AG62" s="160">
        <f>(kdis.w0S.w0D*M.w0RS+kdis.w0A.w0D*M.w0RA+kdis.w0P.w0D*M.w0RP)*Molweight</f>
        <v>0</v>
      </c>
      <c r="AH62" s="159">
        <f>(kdegS.w0*M.w0RS+kdegA.w0*M.w0RA+kdegP.w0*M.w0RP)*Molweight</f>
        <v>0</v>
      </c>
      <c r="AI62" s="160">
        <f>((k.aRS.w0RS*M.aRS+k.aRA.w0RA*M.aRA+k.aRP.w0RP*M.aRP)+(k.cwRS.w0RS*M.cwRS+k.cwRA.w0RA*M.cwRA+k.cwRP.w0RP*M.cwRP))*Molweight</f>
        <v>1.9542644329583728E-4</v>
      </c>
      <c r="AJ62" s="160"/>
      <c r="AK62" s="160"/>
      <c r="AL62" s="160"/>
      <c r="AM62" s="160"/>
      <c r="AN62" s="160">
        <f>(k.w0RS.sd0RS*M.w0RS+k.w0RA.sd0RA*M.w0RA+k.w0RP.sd0RP*M.w0RP)*Molweight</f>
        <v>1.03863579174522E-2</v>
      </c>
      <c r="AO62" s="159">
        <f>(k.sd0RS.w0RS*M.sd0RS+k.sd0RA.w0RA*M.sd0RA+k.sd0RP.w0RP*M.sd0RP)*Molweight</f>
        <v>0</v>
      </c>
      <c r="AP62" s="708">
        <f>SUM(AC62,AD62,AI62,AM62,AO62)-SUM(AF62,AE62,AH62,AJ62,AN62,AG62)</f>
        <v>-2.8765529249588622E-2</v>
      </c>
      <c r="AQ62" s="16"/>
      <c r="AR62" s="43"/>
      <c r="AS62" s="2"/>
      <c r="AT62" s="2"/>
      <c r="AU62" s="2"/>
      <c r="AV62" s="2"/>
      <c r="AW62" s="2"/>
      <c r="AX62" s="2"/>
      <c r="AY62" s="2"/>
      <c r="AZ62" s="2"/>
      <c r="BA62" s="2"/>
      <c r="BB62" s="2"/>
      <c r="BC62" s="2"/>
      <c r="BD62" s="2"/>
      <c r="BE62" s="2"/>
      <c r="BF62" s="2"/>
      <c r="BG62" s="2"/>
      <c r="BH62" s="2"/>
      <c r="BI62" s="2"/>
      <c r="BJ62" s="2"/>
      <c r="BK62" s="2"/>
      <c r="BL62" s="43"/>
      <c r="BM62" s="2"/>
      <c r="BN62" s="2"/>
      <c r="BO62" s="2"/>
      <c r="BP62" s="2"/>
      <c r="BQ62" s="2"/>
      <c r="BR62" s="2"/>
      <c r="BS62" s="2"/>
      <c r="BT62" s="5"/>
      <c r="BU62" s="2"/>
      <c r="BV62" s="2"/>
      <c r="BW62" s="5"/>
      <c r="BX62" s="2"/>
      <c r="BY62" s="2"/>
      <c r="BZ62" s="2"/>
      <c r="CA62" s="2"/>
      <c r="CB62" s="2"/>
      <c r="CC62" s="2"/>
      <c r="CD62" s="2"/>
      <c r="CE62" s="2"/>
    </row>
    <row r="63" spans="1:83" ht="12.75" customHeight="1" x14ac:dyDescent="0.3">
      <c r="A63" s="16"/>
      <c r="B63" s="156" t="s">
        <v>123</v>
      </c>
      <c r="C63" s="240"/>
      <c r="D63" s="379"/>
      <c r="E63" s="241"/>
      <c r="F63" s="379"/>
      <c r="G63" s="241">
        <f>M.w3MS*Molweight</f>
        <v>1.0076040770509041E-5</v>
      </c>
      <c r="H63" s="379">
        <f t="shared" si="18"/>
        <v>1.9479713801574758E-18</v>
      </c>
      <c r="I63" s="241">
        <f>M.w3AS*Molweight</f>
        <v>2.0783270983986063E-7</v>
      </c>
      <c r="J63" s="379">
        <f t="shared" si="19"/>
        <v>6.0792456990699534E-20</v>
      </c>
      <c r="K63" s="241">
        <f>M.w3TS*Molweight</f>
        <v>3.1537425350479486E-7</v>
      </c>
      <c r="L63" s="394">
        <f t="shared" si="20"/>
        <v>2.4675238875971974E-20</v>
      </c>
      <c r="M63" s="121"/>
      <c r="N63" s="121"/>
      <c r="O63" s="121">
        <f>C.w3MS*Molweight</f>
        <v>8.6596085217121778E-23</v>
      </c>
      <c r="P63" s="121">
        <f>C.w3AS*Molweight</f>
        <v>2.7167674488870674E-24</v>
      </c>
      <c r="Q63" s="121">
        <f>C.w3TS*Molweight</f>
        <v>1.177868360428739E-24</v>
      </c>
      <c r="R63" s="157" t="s">
        <v>210</v>
      </c>
      <c r="S63" s="160"/>
      <c r="T63" s="160"/>
      <c r="U63" s="160"/>
      <c r="V63" s="160"/>
      <c r="W63" s="159"/>
      <c r="X63" s="16"/>
      <c r="Y63" s="153"/>
      <c r="Z63" s="16"/>
      <c r="AA63" s="257" t="s">
        <v>122</v>
      </c>
      <c r="AB63" s="159" t="s">
        <v>87</v>
      </c>
      <c r="AC63" s="158">
        <f>E.w1RS*Molweight</f>
        <v>0.31709791983764585</v>
      </c>
      <c r="AD63" s="160">
        <f>(WATERflow.w0R.w1R*(C.w0RS+C.w0RA+C.w0RP)+WATERflow.w1C.w1R*(C.w1CS+C.w1CA+C.w1CP))*Molweight</f>
        <v>1.8574597775432258E-2</v>
      </c>
      <c r="AE63" s="160">
        <f>(WATERflow.w1R.w0R+WATERflow.w1R.w2R)*(C.w1RS+C.w1RA+C.w1RP)*Molweight</f>
        <v>0.53063933140726205</v>
      </c>
      <c r="AF63" s="160"/>
      <c r="AG63" s="160">
        <f>(kdis.w1S.w1D*M.w1RS+kdis.w1A.w1D*M.w1RA+kdis.w1P.w1D*M.w1RP)*Molweight</f>
        <v>0</v>
      </c>
      <c r="AH63" s="159">
        <f>(kdegS.w1*M.w1RS+kdegA.w1*M.w1RA+kdegP.w1*M.w1RP)*Molweight</f>
        <v>0</v>
      </c>
      <c r="AI63" s="160">
        <f>((k.aRS.w1RS*M.aRS+k.aRA.w1RA*M.aRA+k.aRP.w1RP*M.aRP)+(k.cwRS.w1RS*M.cwRS+k.cwRA.w1RA*M.cwRA+k.cwRP.w1RP*M.cwRP))*Molweight</f>
        <v>2.1496908762542099E-3</v>
      </c>
      <c r="AJ63" s="160"/>
      <c r="AK63" s="160"/>
      <c r="AL63" s="160"/>
      <c r="AM63" s="160">
        <f>(k.s1RS.w1RS*M.s1RS+k.s1RA.w1RA*M.s1RA+k.s1RP.w1RP*M.s1RP+k.s2RS.w1RS*M.s2RS+k.s2RA.w1RA*M.s2RA+k.s2RP.w1RP*M.s2RP+k.s3RS.w1RS*M.s3RS+k.s3RA.w1RA*M.s3RA+k.s3RP.w1RP*M.s3RP)*Molweight</f>
        <v>0.31642082174547481</v>
      </c>
      <c r="AN63" s="160">
        <f>(k.w1RS.sd1RS*M.w1RS+k.w1RA.sd1RA*M.w1RA+k.w1RP.sd1RP*M.w1RP)*Molweight</f>
        <v>1.2555351411469393</v>
      </c>
      <c r="AO63" s="159">
        <f>(k.sd1RS.w1RS*M.sd1RS+k.sd1RA.w1RA*M.sd1RA+k.sd1RP.w1RP*M.sd1RP)*Molweight</f>
        <v>1.1319314423193938</v>
      </c>
      <c r="AP63" s="708">
        <f>SUM(AC63,AD63,AI63,AM63,AO63)-SUM(AF63,AE63,AH63,AJ63,AN63,AG63)</f>
        <v>0</v>
      </c>
      <c r="AQ63" s="16"/>
      <c r="AR63" s="43"/>
      <c r="AS63" s="2"/>
      <c r="AT63" s="2"/>
      <c r="AU63" s="2"/>
      <c r="AV63" s="2"/>
      <c r="AW63" s="2"/>
      <c r="AX63" s="2"/>
      <c r="AY63" s="2"/>
      <c r="AZ63" s="2"/>
      <c r="BA63" s="2"/>
      <c r="BB63" s="2"/>
      <c r="BC63" s="2"/>
      <c r="BD63" s="2"/>
      <c r="BE63" s="2"/>
      <c r="BF63" s="2"/>
      <c r="BG63" s="2"/>
      <c r="BH63" s="2"/>
      <c r="BI63" s="2"/>
      <c r="BJ63" s="2"/>
      <c r="BK63" s="2"/>
      <c r="BL63" s="43"/>
      <c r="BM63" s="2"/>
      <c r="BN63" s="5"/>
      <c r="BO63" s="2"/>
      <c r="BP63" s="2"/>
      <c r="BQ63" s="2"/>
      <c r="BR63" s="2"/>
      <c r="BS63" s="2"/>
      <c r="BT63" s="5"/>
      <c r="BU63" s="2"/>
      <c r="BV63" s="2"/>
      <c r="BW63" s="5"/>
      <c r="BX63" s="2"/>
      <c r="BY63" s="2"/>
      <c r="BZ63" s="2"/>
      <c r="CA63" s="2"/>
      <c r="CB63" s="2"/>
      <c r="CC63" s="2"/>
      <c r="CD63" s="2"/>
      <c r="CE63" s="2"/>
    </row>
    <row r="64" spans="1:83" ht="12.75" customHeight="1" x14ac:dyDescent="0.3">
      <c r="A64" s="16"/>
      <c r="B64" s="156" t="s">
        <v>126</v>
      </c>
      <c r="C64" s="240"/>
      <c r="D64" s="379"/>
      <c r="E64" s="241"/>
      <c r="F64" s="379"/>
      <c r="G64" s="241">
        <f>M.w3MA*Molweight</f>
        <v>4997542718610.6992</v>
      </c>
      <c r="H64" s="379">
        <f t="shared" si="18"/>
        <v>0.96616026162389312</v>
      </c>
      <c r="I64" s="241">
        <f>M.w3AA*Molweight</f>
        <v>3280097024013.2622</v>
      </c>
      <c r="J64" s="379">
        <f t="shared" si="19"/>
        <v>0.95945030698629463</v>
      </c>
      <c r="K64" s="241">
        <f>M.w3TA*Molweight</f>
        <v>12375292128262.625</v>
      </c>
      <c r="L64" s="394">
        <f t="shared" si="20"/>
        <v>0.96825687585867948</v>
      </c>
      <c r="M64" s="121"/>
      <c r="N64" s="121"/>
      <c r="O64" s="121">
        <f>C.w3MA*Molweight</f>
        <v>4.295016713346975E-5</v>
      </c>
      <c r="P64" s="121">
        <f>C.w3AA*Molweight</f>
        <v>4.2877085281219122E-5</v>
      </c>
      <c r="Q64" s="121">
        <f>C.w3TA*Molweight</f>
        <v>4.6219578443557897E-5</v>
      </c>
      <c r="R64" s="157" t="s">
        <v>210</v>
      </c>
      <c r="S64" s="160"/>
      <c r="T64" s="160"/>
      <c r="U64" s="160"/>
      <c r="V64" s="160"/>
      <c r="W64" s="159"/>
      <c r="X64" s="16"/>
      <c r="Y64" s="153"/>
      <c r="Z64" s="16"/>
      <c r="AA64" s="257" t="s">
        <v>124</v>
      </c>
      <c r="AB64" s="159" t="s">
        <v>88</v>
      </c>
      <c r="AC64" s="158">
        <f>E.w2RS*Molweight</f>
        <v>0</v>
      </c>
      <c r="AD64" s="160">
        <f>(k.w1R.w2R*(M.w1RS+M.w1RA+M.w1RP)+k.w2C.w2R*(M.w2CS+M.w2CA+M.w2CP))*Molweight</f>
        <v>1.0592128187872976</v>
      </c>
      <c r="AE64" s="160">
        <f>k.w2R.w2C*(M.w2RS+M.w2RA+M.w2RP)*Molweight</f>
        <v>1.0577516244305667</v>
      </c>
      <c r="AF64" s="160"/>
      <c r="AG64" s="160">
        <f>(kdis.w2S.w2D*M.w2RS+kdis.w2A.w2D*M.w2RA+kdis.w2P.w2D*M.w2RP)*Molweight</f>
        <v>0</v>
      </c>
      <c r="AH64" s="159">
        <f>(kdegS.w2*M.w2RS+kdegA.w2*M.w2RA+kdegP.w2*M.w2RP)*Molweight</f>
        <v>0</v>
      </c>
      <c r="AI64" s="160">
        <f>((k.aRS.w2RS*M.aRS+k.aRA.w2RA*M.aRA+k.aRP.w2RP*M.aRP)+(k.cwRS.w2RS*M.cwRS+k.cwRA.w2RA*M.cwRA+k.cwRP.w2RP*M.cwRP))*Molweight</f>
        <v>2.9917220159402658E-4</v>
      </c>
      <c r="AJ64" s="160"/>
      <c r="AK64" s="160"/>
      <c r="AL64" s="160"/>
      <c r="AM64" s="160"/>
      <c r="AN64" s="160">
        <f>(k.w2RS.sd2RS*M.w2RS+k.w2RA.sd2RA*M.w2RA+k.w2RP.sd2RP*M.w2RP)*Molweight</f>
        <v>1.887546066682446E-2</v>
      </c>
      <c r="AO64" s="159">
        <f>(k.sd2RS.w2RS*M.sd2RS+k.sd2RA.w2RA*M.sd2RA+k.sd2RP.w2RP*M.sd2RP)*Molweight</f>
        <v>1.7115094108499731E-2</v>
      </c>
      <c r="AP64" s="708">
        <f>SUM(AC64,AD64,AI64,AM64,AO64)-SUM(AF64,AE64,AH64,AJ64,AN64,AG64)</f>
        <v>0</v>
      </c>
      <c r="AQ64" s="16"/>
      <c r="AR64" s="43"/>
      <c r="AS64" s="2"/>
      <c r="AT64" s="2"/>
      <c r="AU64" s="2"/>
      <c r="AV64" s="2"/>
      <c r="AW64" s="2"/>
      <c r="AX64" s="2"/>
      <c r="AY64" s="2"/>
      <c r="AZ64" s="2"/>
      <c r="BA64" s="2"/>
      <c r="BB64" s="2"/>
      <c r="BC64" s="2"/>
      <c r="BD64" s="2"/>
      <c r="BE64" s="2"/>
      <c r="BF64" s="2"/>
      <c r="BG64" s="2"/>
      <c r="BH64" s="2"/>
      <c r="BI64" s="2"/>
      <c r="BJ64" s="2"/>
      <c r="BK64" s="2"/>
      <c r="BL64" s="43"/>
      <c r="BM64" s="2"/>
      <c r="BN64" s="44" t="s">
        <v>55</v>
      </c>
      <c r="BO64" s="2"/>
      <c r="BP64" s="2"/>
      <c r="BQ64" s="2"/>
      <c r="BR64" s="2"/>
      <c r="BS64" s="2" t="s">
        <v>56</v>
      </c>
      <c r="BT64" s="108" t="str">
        <f>ChemName</f>
        <v>default substance</v>
      </c>
      <c r="BU64" s="2"/>
      <c r="BV64" s="2" t="s">
        <v>57</v>
      </c>
      <c r="BW64" s="2" t="str">
        <f>CONCATENATE(version!$B$2," ",version!$B$3," ",version!$C$3)</f>
        <v>SimpleBox4plastics vs 4.04-plastic 45387</v>
      </c>
      <c r="BX64" s="2"/>
      <c r="BY64" s="2"/>
      <c r="BZ64" s="2"/>
      <c r="CA64" s="2"/>
      <c r="CB64" s="109"/>
      <c r="CC64" s="2"/>
      <c r="CD64" s="109">
        <f>AF22</f>
        <v>0</v>
      </c>
      <c r="CE64" s="2"/>
    </row>
    <row r="65" spans="1:83" ht="12.75" customHeight="1" x14ac:dyDescent="0.3">
      <c r="A65" s="16"/>
      <c r="B65" s="387" t="s">
        <v>128</v>
      </c>
      <c r="C65" s="240"/>
      <c r="D65" s="379"/>
      <c r="E65" s="241"/>
      <c r="F65" s="379"/>
      <c r="G65" s="241">
        <f>M.w3MP*Molweight</f>
        <v>125360269.12745416</v>
      </c>
      <c r="H65" s="379">
        <f t="shared" si="18"/>
        <v>2.423553278822061E-5</v>
      </c>
      <c r="I65" s="241">
        <f>M.w3AP*Molweight</f>
        <v>40733914.671591692</v>
      </c>
      <c r="J65" s="379">
        <f t="shared" si="19"/>
        <v>1.1914942347831647E-5</v>
      </c>
      <c r="K65" s="241">
        <f>M.w3TP*Molweight</f>
        <v>679446717.0145992</v>
      </c>
      <c r="L65" s="394">
        <f t="shared" si="20"/>
        <v>5.3160680872052443E-5</v>
      </c>
      <c r="M65" s="121"/>
      <c r="N65" s="121"/>
      <c r="O65" s="121">
        <f>C.w3MP*Molweight</f>
        <v>1.0773783865558845E-9</v>
      </c>
      <c r="P65" s="121">
        <f>C.w3AP*Molweight</f>
        <v>5.3246947283126392E-10</v>
      </c>
      <c r="Q65" s="121">
        <f>C.w3TP*Molweight</f>
        <v>2.5376161233038254E-9</v>
      </c>
      <c r="R65" s="157" t="s">
        <v>210</v>
      </c>
      <c r="S65" s="160"/>
      <c r="T65" s="160"/>
      <c r="U65" s="160"/>
      <c r="V65" s="160"/>
      <c r="W65" s="159"/>
      <c r="X65" s="16"/>
      <c r="Y65" s="153"/>
      <c r="Z65" s="16"/>
      <c r="AA65" s="257" t="s">
        <v>127</v>
      </c>
      <c r="AB65" s="159" t="s">
        <v>89</v>
      </c>
      <c r="AC65" s="158"/>
      <c r="AD65" s="160"/>
      <c r="AE65" s="160"/>
      <c r="AF65" s="160">
        <f>kbur.sd1R*(M.sd1RS+M.sd1RA+M.sd1RP)*Molweight</f>
        <v>0.12360369882754546</v>
      </c>
      <c r="AG65" s="160">
        <f>(kdis.sd1S.sd1D*M.sd1RS+kdis.sd1A.sd1D*M.sd1RA+kdis.sd1P.sd1D*M.sd1RP)*Molweight</f>
        <v>0</v>
      </c>
      <c r="AH65" s="159">
        <f>(kdegS.sd1*M.sd1RS+kdegA.sd1*M.sd1RA+kdegP.sd1*M.sd1RP)*Molweight</f>
        <v>0</v>
      </c>
      <c r="AI65" s="160"/>
      <c r="AJ65" s="160"/>
      <c r="AK65" s="160"/>
      <c r="AL65" s="160"/>
      <c r="AM65" s="160"/>
      <c r="AN65" s="160">
        <f>AN63</f>
        <v>1.2555351411469393</v>
      </c>
      <c r="AO65" s="159">
        <f>AO63</f>
        <v>1.1319314423193938</v>
      </c>
      <c r="AP65" s="708">
        <f>SUM(AC65,AD65,AN65)-SUM(AE65,AF65,AH65,AO65,AG65)</f>
        <v>0</v>
      </c>
      <c r="AQ65" s="16"/>
      <c r="AR65" s="43"/>
      <c r="AS65" s="2"/>
      <c r="AT65" s="2"/>
      <c r="AU65" s="2"/>
      <c r="AV65" s="2"/>
      <c r="AW65" s="2"/>
      <c r="AX65" s="2"/>
      <c r="AY65" s="2"/>
      <c r="AZ65" s="2"/>
      <c r="BA65" s="2"/>
      <c r="BB65" s="2"/>
      <c r="BC65" s="2"/>
      <c r="BD65" s="2"/>
      <c r="BE65" s="2"/>
      <c r="BF65" s="2"/>
      <c r="BG65" s="2"/>
      <c r="BH65" s="2"/>
      <c r="BI65" s="2"/>
      <c r="BJ65" s="2"/>
      <c r="BK65" s="2"/>
      <c r="BL65" s="43"/>
      <c r="BM65" s="2"/>
      <c r="BN65" s="72" t="s">
        <v>211</v>
      </c>
      <c r="BO65" s="2"/>
      <c r="BP65" s="2"/>
      <c r="BQ65" s="2"/>
      <c r="BR65" s="2"/>
      <c r="BS65" s="2"/>
      <c r="BT65" s="42"/>
      <c r="BU65" s="2"/>
      <c r="BV65" s="2" t="s">
        <v>59</v>
      </c>
      <c r="BW65" s="6">
        <f ca="1">TODAY()</f>
        <v>45387</v>
      </c>
      <c r="BX65" s="2"/>
      <c r="BY65" s="2"/>
      <c r="BZ65" s="2"/>
      <c r="CA65" s="2"/>
      <c r="CB65" s="2"/>
      <c r="CC65" s="2"/>
      <c r="CD65" s="2"/>
      <c r="CE65" s="2"/>
    </row>
    <row r="66" spans="1:83" ht="12.75" customHeight="1" x14ac:dyDescent="0.3">
      <c r="A66" s="16"/>
      <c r="B66" s="156"/>
      <c r="C66" s="240"/>
      <c r="D66" s="379"/>
      <c r="E66" s="241"/>
      <c r="F66" s="379"/>
      <c r="G66" s="241"/>
      <c r="H66" s="379"/>
      <c r="I66" s="241"/>
      <c r="J66" s="379"/>
      <c r="K66" s="241"/>
      <c r="L66" s="394"/>
      <c r="M66" s="121"/>
      <c r="N66" s="121"/>
      <c r="O66" s="121"/>
      <c r="P66" s="121"/>
      <c r="Q66" s="121"/>
      <c r="R66" s="157"/>
      <c r="S66" s="160"/>
      <c r="T66" s="160"/>
      <c r="U66" s="160"/>
      <c r="V66" s="160"/>
      <c r="W66" s="159"/>
      <c r="X66" s="16"/>
      <c r="Y66" s="153"/>
      <c r="Z66" s="16"/>
      <c r="AA66" s="257" t="s">
        <v>129</v>
      </c>
      <c r="AB66" s="159" t="s">
        <v>90</v>
      </c>
      <c r="AC66" s="158"/>
      <c r="AD66" s="160"/>
      <c r="AE66" s="160"/>
      <c r="AF66" s="160">
        <f>kbur.sd2R*(M.sd2RS+M.sd2RA+M.sd2RP)*Molweight</f>
        <v>1.7603665583247302E-3</v>
      </c>
      <c r="AG66" s="160">
        <f>(kdis.sd2S.sd2D*M.sd2RS+kdis.sd2A.sd2D*M.sd2RA+kdis.sd2P.sd2D*M.sd2RP)*Molweight</f>
        <v>0</v>
      </c>
      <c r="AH66" s="159">
        <f>(kdegS.sd2*M.sd2RS+kdegA.sd2*M.sd2RA+kdegP.sd2*M.sd2RP)*Molweight</f>
        <v>0</v>
      </c>
      <c r="AI66" s="160"/>
      <c r="AJ66" s="160"/>
      <c r="AK66" s="160"/>
      <c r="AL66" s="160"/>
      <c r="AM66" s="160"/>
      <c r="AN66" s="160">
        <f>AN64</f>
        <v>1.887546066682446E-2</v>
      </c>
      <c r="AO66" s="159">
        <f>AO64</f>
        <v>1.7115094108499731E-2</v>
      </c>
      <c r="AP66" s="708">
        <f>SUM(AC66,AD66,AN66)-SUM(AE66,AF66,AH66,AO66,AG66)</f>
        <v>0</v>
      </c>
      <c r="AQ66" s="16"/>
      <c r="AR66" s="43"/>
      <c r="AS66" s="2"/>
      <c r="AT66" s="2"/>
      <c r="AU66" s="2"/>
      <c r="AV66" s="2"/>
      <c r="AW66" s="2"/>
      <c r="AX66" s="2"/>
      <c r="AY66" s="2"/>
      <c r="AZ66" s="2"/>
      <c r="BA66" s="2"/>
      <c r="BB66" s="2"/>
      <c r="BC66" s="2"/>
      <c r="BD66" s="2"/>
      <c r="BE66" s="2"/>
      <c r="BF66" s="2"/>
      <c r="BG66" s="2"/>
      <c r="BH66" s="2"/>
      <c r="BI66" s="2"/>
      <c r="BJ66" s="2"/>
      <c r="BK66" s="2"/>
      <c r="BL66" s="43"/>
      <c r="BM66" s="2"/>
      <c r="BN66" s="2"/>
      <c r="BO66" s="2"/>
      <c r="BP66" s="2"/>
      <c r="BQ66" s="110"/>
      <c r="BR66" s="81"/>
      <c r="BS66" s="2"/>
      <c r="BT66" s="2"/>
      <c r="BU66" s="110"/>
      <c r="BV66" s="110"/>
      <c r="BW66" s="110"/>
      <c r="BX66" s="2"/>
      <c r="BY66" s="2"/>
      <c r="BZ66" s="2"/>
      <c r="CA66" s="2"/>
      <c r="CB66" s="110"/>
      <c r="CC66" s="110"/>
      <c r="CD66" s="110"/>
      <c r="CE66" s="2"/>
    </row>
    <row r="67" spans="1:83" ht="12.75" customHeight="1" x14ac:dyDescent="0.3">
      <c r="A67" s="16"/>
      <c r="B67" s="101" t="s">
        <v>212</v>
      </c>
      <c r="C67" s="240">
        <f>SUM(C68,C71:C73)</f>
        <v>1925385.0715008022</v>
      </c>
      <c r="D67" s="379">
        <f t="shared" ref="D67:D73" si="21">C67/$C$103</f>
        <v>1.1636885976537122E-4</v>
      </c>
      <c r="E67" s="240">
        <f>SUM(E68,E71:E73)</f>
        <v>816972589.50827634</v>
      </c>
      <c r="F67" s="379">
        <f t="shared" ref="F67:F73" si="22">E67/$E$103</f>
        <v>2.4913780248553268E-2</v>
      </c>
      <c r="G67" s="241">
        <f>SUM(G68,G71:G73)</f>
        <v>8606352891.3889256</v>
      </c>
      <c r="H67" s="379">
        <f t="shared" ref="H67:H73" si="23">G67/$G$103</f>
        <v>1.6638409373083756E-3</v>
      </c>
      <c r="I67" s="241">
        <f>SUM(I68,I71:I73)</f>
        <v>5606482958.227644</v>
      </c>
      <c r="J67" s="379">
        <f t="shared" ref="J67:J73" si="24">I67/$I$103</f>
        <v>1.639933744643766E-3</v>
      </c>
      <c r="K67" s="241">
        <f>SUM(K68,K71:K73)</f>
        <v>21688682490.137074</v>
      </c>
      <c r="L67" s="394">
        <f t="shared" ref="L67:L73" si="25">K67/$K$103</f>
        <v>1.6969470887423165E-3</v>
      </c>
      <c r="M67" s="392">
        <f>((M.sd2RD+M.sd2RS+M.sd2RA+M.sd2RP)*Molweight*1000/(VOLUME.sd2R))/ (FRACw.sdR*1000+FRACs.sdR*RHOsolid)</f>
        <v>4.936884798720001E-2</v>
      </c>
      <c r="N67" s="392">
        <f>((M.sd2CD+M.sd2CS+M.sd2CA+M.sd2CP)*Molweight*1000/(VOLUME.sd2C))/ (FRACw.sdC*1000+FRACs.sdC*RHOsolid)</f>
        <v>5.6411802401557685E-3</v>
      </c>
      <c r="O67" s="392">
        <f>((M.sdMD+M.sdMS+M.sdMA+M.sdMP)*Molweight*1000/(VOLUME.sdM))/(FRACw.sdM*1000+FRACs.sdM*RHOsolid)</f>
        <v>5.6896315142767875E-3</v>
      </c>
      <c r="P67" s="392">
        <f xml:space="preserve"> ((M.sdAD+M.sdAS+M.sdAA+M.sdAP)*Molweight*1000/(VOLUME.sdA))/(FRACw.sdA*1000+FRACs.sdA*RHOsolid)</f>
        <v>5.6374891485446383E-3</v>
      </c>
      <c r="Q67" s="392">
        <f>((M.sdTD+M.sdTS+M.sdTA+M.sdTP)*Molweight*1000/(VOLUME.sdT))/(FRACw.sdT*1000+FRACs.sdT*RHOsolid)</f>
        <v>6.2310371299682749E-3</v>
      </c>
      <c r="R67" s="157" t="s">
        <v>151</v>
      </c>
      <c r="S67" s="160"/>
      <c r="T67" s="160"/>
      <c r="U67" s="160"/>
      <c r="V67" s="160"/>
      <c r="W67" s="159"/>
      <c r="X67" s="16"/>
      <c r="Y67" s="153"/>
      <c r="Z67" s="16"/>
      <c r="AA67" s="257" t="s">
        <v>131</v>
      </c>
      <c r="AB67" s="159" t="s">
        <v>91</v>
      </c>
      <c r="AC67" s="158">
        <f>E.s1RS*Molweight</f>
        <v>0</v>
      </c>
      <c r="AD67" s="160"/>
      <c r="AE67" s="160"/>
      <c r="AF67" s="160">
        <f>kleach.s1R*(M.s1RS+M.s1RA)*Molweight</f>
        <v>4.6664813129352126E-5</v>
      </c>
      <c r="AG67" s="160">
        <f>(kdis.s1S.s1D*M.s1RS+kdis.s1A.s1D*M.s1RA+kdis.s1P.s1D*M.s1RP)*Molweight</f>
        <v>0</v>
      </c>
      <c r="AH67" s="159">
        <f>(kdegS.s1*M.s1RS+kdegA.s1*M.s1RA+kdegP.s1*M.s1RP)*Molweight</f>
        <v>0</v>
      </c>
      <c r="AI67" s="160"/>
      <c r="AJ67" s="160"/>
      <c r="AK67" s="160">
        <f>((k.aRS.s1RS*M.aRS+k.aRA.s1RA*M.aRA+k.aRP.s1RP*M.aRP)+(k.cwRS.s1RS*M.cwRS+k.cwRA.s1RA*M.cwRA+k.cwRP.s1RP*M.cwRP))*Molweight</f>
        <v>8.3162115483503586E-3</v>
      </c>
      <c r="AL67" s="160"/>
      <c r="AM67" s="160">
        <f>(k.s1RS.w1RS*M.s1RS+k.s1RA.w1RA*M.s1RA+k.s1RP.w1RP*M.s1RP)*Molweight</f>
        <v>7.5804178406192546E-3</v>
      </c>
      <c r="AN67" s="160"/>
      <c r="AO67" s="159"/>
      <c r="AP67" s="708">
        <f>SUM(AC67,AD67,AK67)-SUM(AE67,AF67,AH67,AL67,AM67,AP66,AG67)</f>
        <v>6.8912889460175184E-4</v>
      </c>
      <c r="AQ67" s="16"/>
      <c r="AR67" s="43"/>
      <c r="AS67" s="2"/>
      <c r="AT67" s="2"/>
      <c r="AU67" s="2"/>
      <c r="AV67" s="2"/>
      <c r="AW67" s="2"/>
      <c r="AX67" s="2"/>
      <c r="AY67" s="2"/>
      <c r="AZ67" s="2"/>
      <c r="BA67" s="2"/>
      <c r="BB67" s="2"/>
      <c r="BC67" s="2"/>
      <c r="BD67" s="2"/>
      <c r="BE67" s="2"/>
      <c r="BF67" s="2"/>
      <c r="BG67" s="2"/>
      <c r="BH67" s="2"/>
      <c r="BI67" s="2"/>
      <c r="BJ67" s="2"/>
      <c r="BK67" s="2"/>
      <c r="BL67" s="43"/>
      <c r="BM67" s="2"/>
      <c r="BN67" s="2"/>
      <c r="BO67" s="2"/>
      <c r="BP67" s="2"/>
      <c r="BQ67" s="110"/>
      <c r="BR67" s="81"/>
      <c r="BS67" s="73" t="s">
        <v>67</v>
      </c>
      <c r="BT67" s="74">
        <f>IF(ISERROR(F12),0,F12)</f>
        <v>0</v>
      </c>
      <c r="BU67" s="110"/>
      <c r="BV67" s="110"/>
      <c r="BW67" s="110"/>
      <c r="BX67" s="2"/>
      <c r="BY67" s="2"/>
      <c r="BZ67" s="2"/>
      <c r="CA67" s="2"/>
      <c r="CB67" s="110"/>
      <c r="CC67" s="110"/>
      <c r="CD67" s="110"/>
      <c r="CE67" s="2"/>
    </row>
    <row r="68" spans="1:83" ht="12.75" customHeight="1" x14ac:dyDescent="0.3">
      <c r="A68" s="16"/>
      <c r="B68" s="376" t="s">
        <v>116</v>
      </c>
      <c r="C68" s="240">
        <f>M.sd2RD*Molweight</f>
        <v>0</v>
      </c>
      <c r="D68" s="379">
        <f t="shared" si="21"/>
        <v>0</v>
      </c>
      <c r="E68" s="240">
        <f>M.sd2CD*Molweight</f>
        <v>0</v>
      </c>
      <c r="F68" s="379">
        <f t="shared" si="22"/>
        <v>0</v>
      </c>
      <c r="G68" s="241">
        <f>M.sdMD*Molweight</f>
        <v>0</v>
      </c>
      <c r="H68" s="379">
        <f t="shared" si="23"/>
        <v>0</v>
      </c>
      <c r="I68" s="241">
        <f>M.sdAD*Molweight</f>
        <v>0</v>
      </c>
      <c r="J68" s="379">
        <f t="shared" si="24"/>
        <v>0</v>
      </c>
      <c r="K68" s="241">
        <f>M.sdTD*Molweight</f>
        <v>0</v>
      </c>
      <c r="L68" s="394">
        <f t="shared" si="25"/>
        <v>0</v>
      </c>
      <c r="M68" s="121">
        <f>C.sd2R*(Molweight*1000)/(FRACw.sdR*1000+FRACs.sdR*RHOsolid)</f>
        <v>0</v>
      </c>
      <c r="N68" s="121">
        <f>C.sd2C*(Molweight*1000)/(FRACw.sdC*1000+FRACs.sdC*RHOsolid)</f>
        <v>0</v>
      </c>
      <c r="O68" s="121">
        <f>C.sdM*(Molweight*1000)/(FRACw.sdM*1000+FRACs.sdM*RHOsolid)</f>
        <v>0</v>
      </c>
      <c r="P68" s="121">
        <f>C.sdA*(Molweight*1000)/(FRACw.sdA*1000+FRACs.sdA*RHOsolid)</f>
        <v>0</v>
      </c>
      <c r="Q68" s="121">
        <f>C.sdT*(Molweight*1000)/(FRACw.sdT*1000+FRACs.sdT*RHOsolid)</f>
        <v>0</v>
      </c>
      <c r="R68" s="157" t="s">
        <v>151</v>
      </c>
      <c r="S68" s="160">
        <f>F.sd2R</f>
        <v>0</v>
      </c>
      <c r="T68" s="160">
        <f>F.sd2C</f>
        <v>0</v>
      </c>
      <c r="U68" s="160">
        <f>F.sdM</f>
        <v>0</v>
      </c>
      <c r="V68" s="160">
        <f>F.sdA</f>
        <v>0</v>
      </c>
      <c r="W68" s="159">
        <f>F.sdT</f>
        <v>0</v>
      </c>
      <c r="X68" s="162"/>
      <c r="Y68" s="153"/>
      <c r="Z68" s="16"/>
      <c r="AA68" s="257" t="s">
        <v>135</v>
      </c>
      <c r="AB68" s="159" t="s">
        <v>92</v>
      </c>
      <c r="AC68" s="158">
        <f>E.s2RS*Molweight</f>
        <v>0.31709791983764585</v>
      </c>
      <c r="AD68" s="160"/>
      <c r="AE68" s="160"/>
      <c r="AF68" s="160">
        <f>kleach.s2R*(M.s2RS+M.s2RA)*Molweight</f>
        <v>1.7243807723675453E-3</v>
      </c>
      <c r="AG68" s="160">
        <f>(kdis.s2S.s2D*M.s2RS+kdis.s2A.s2D*M.s2RA+kdis.s2P.s2D*M.s2RP)*Molweight</f>
        <v>0</v>
      </c>
      <c r="AH68" s="159">
        <f>(kdegS.s2*M.s2RS+kdegA.s2*M.s2RA+kdegP.s2*M.s2RP)*Molweight</f>
        <v>0</v>
      </c>
      <c r="AI68" s="160"/>
      <c r="AJ68" s="160"/>
      <c r="AK68" s="160">
        <f>((k.aRS.s2RS*M.aRS+k.aRA.s2RA*M.aRA+k.aRP.s2RP*M.aRP)+(k.cwRS.s2RS*M.cwRS+k.cwRA.s2RA*M.cwRA+k.cwRP.s2RP*M.cwRP))*Molweight</f>
        <v>1.8480470107445236E-2</v>
      </c>
      <c r="AL68" s="160"/>
      <c r="AM68" s="160">
        <f>(k.s2RS.w1RS*M.s2RS+k.s2RA.w1RA*M.s2RA+k.s2RP.w1RP*M.s2RP)*Molweight</f>
        <v>0.30603284174166329</v>
      </c>
      <c r="AN68" s="160"/>
      <c r="AO68" s="159"/>
      <c r="AP68" s="708">
        <f>SUM(AC68,AD68,AK68)-SUM(AE68,AF68,AH68,AL68,AM68,AP67,AG68)</f>
        <v>2.7132038536458514E-2</v>
      </c>
      <c r="AQ68" s="16"/>
      <c r="AR68" s="43"/>
      <c r="AS68" s="2"/>
      <c r="AT68" s="2"/>
      <c r="AU68" s="2"/>
      <c r="AV68" s="2"/>
      <c r="AW68" s="2"/>
      <c r="AX68" s="2"/>
      <c r="AY68" s="2"/>
      <c r="AZ68" s="2"/>
      <c r="BA68" s="2"/>
      <c r="BB68" s="2"/>
      <c r="BC68" s="2"/>
      <c r="BD68" s="2"/>
      <c r="BE68" s="2"/>
      <c r="BF68" s="2"/>
      <c r="BG68" s="2"/>
      <c r="BH68" s="2"/>
      <c r="BI68" s="2"/>
      <c r="BJ68" s="2"/>
      <c r="BK68" s="2"/>
      <c r="BL68" s="43"/>
      <c r="BM68" s="2"/>
      <c r="BN68" s="2"/>
      <c r="BO68" s="2"/>
      <c r="BP68" s="2"/>
      <c r="BQ68" s="110"/>
      <c r="BR68" s="81"/>
      <c r="BS68" s="2"/>
      <c r="BT68" s="2"/>
      <c r="BU68" s="110"/>
      <c r="BV68" s="110"/>
      <c r="BW68" s="110"/>
      <c r="BX68" s="2"/>
      <c r="BY68" s="2"/>
      <c r="BZ68" s="2"/>
      <c r="CA68" s="2"/>
      <c r="CB68" s="110"/>
      <c r="CC68" s="110"/>
      <c r="CD68" s="110"/>
      <c r="CE68" s="2"/>
    </row>
    <row r="69" spans="1:83" ht="12.75" customHeight="1" x14ac:dyDescent="0.3">
      <c r="A69" s="16"/>
      <c r="B69" s="156" t="s">
        <v>154</v>
      </c>
      <c r="C69" s="240">
        <f>C68*FRACw.sdR</f>
        <v>0</v>
      </c>
      <c r="D69" s="379">
        <f t="shared" si="21"/>
        <v>0</v>
      </c>
      <c r="E69" s="240">
        <f>E68*FRACw.sdC</f>
        <v>0</v>
      </c>
      <c r="F69" s="379">
        <f t="shared" si="22"/>
        <v>0</v>
      </c>
      <c r="G69" s="241">
        <f>FRACw.sdM*G68</f>
        <v>0</v>
      </c>
      <c r="H69" s="379">
        <f t="shared" si="23"/>
        <v>0</v>
      </c>
      <c r="I69" s="241">
        <f>FRACw.sdA*I68</f>
        <v>0</v>
      </c>
      <c r="J69" s="379">
        <f t="shared" si="24"/>
        <v>0</v>
      </c>
      <c r="K69" s="241">
        <f>FRACw.sdT*K68</f>
        <v>0</v>
      </c>
      <c r="L69" s="394">
        <f t="shared" si="25"/>
        <v>0</v>
      </c>
      <c r="M69" s="121">
        <f>M70/Kp.sd2R</f>
        <v>0</v>
      </c>
      <c r="N69" s="121">
        <f>N70/Kp.sd2C</f>
        <v>0</v>
      </c>
      <c r="O69" s="121">
        <f>O70/Kp.sdM</f>
        <v>0</v>
      </c>
      <c r="P69" s="121">
        <f>P70/Kp.sdA</f>
        <v>0</v>
      </c>
      <c r="Q69" s="121">
        <f>Q70/Kp.sdT</f>
        <v>0</v>
      </c>
      <c r="R69" s="157" t="s">
        <v>134</v>
      </c>
      <c r="S69" s="160">
        <f>S68*FRACw.sdR</f>
        <v>0</v>
      </c>
      <c r="T69" s="160">
        <f>T68*FRACw.sdC</f>
        <v>0</v>
      </c>
      <c r="U69" s="160">
        <f>U68*FRACw.sdM</f>
        <v>0</v>
      </c>
      <c r="V69" s="160">
        <f>V68*FRACw.sdA</f>
        <v>0</v>
      </c>
      <c r="W69" s="159">
        <f>W68*FRACw.sdT</f>
        <v>0</v>
      </c>
      <c r="X69" s="162"/>
      <c r="Y69" s="153"/>
      <c r="Z69" s="16"/>
      <c r="AA69" s="257" t="s">
        <v>136</v>
      </c>
      <c r="AB69" s="159" t="s">
        <v>93</v>
      </c>
      <c r="AC69" s="158">
        <f>E.s3RS*Molweight</f>
        <v>0</v>
      </c>
      <c r="AD69" s="160"/>
      <c r="AE69" s="160"/>
      <c r="AF69" s="160">
        <f>kleach.s3R*(M.s3RS+M.s3RA)*Molweight</f>
        <v>1.7283264121982268E-5</v>
      </c>
      <c r="AG69" s="160">
        <f>(kdis.s3S.s3D*M.s3RS+kdis.s3A.s3D*M.s3RA+kdis.s3P.s3D*M.s3RP)*Molweight</f>
        <v>0</v>
      </c>
      <c r="AH69" s="159">
        <f>(kdegS.s3*M.s3RS+kdegA.s3*M.s3RA+kdegP.s3*M.s3RP)*Molweight</f>
        <v>0</v>
      </c>
      <c r="AI69" s="160"/>
      <c r="AJ69" s="160"/>
      <c r="AK69" s="160">
        <f>((k.aRS.s3RS*M.aRS+k.aRA.s3RA*M.aRA+k.aRP.s3RP*M.aRP)+(k.cwRS.s3RS*M.cwRS+k.cwRA.s3RA*M.cwRA+k.cwRP.s3RP*M.cwRP))*Molweight</f>
        <v>3.0800783512408732E-3</v>
      </c>
      <c r="AL69" s="160"/>
      <c r="AM69" s="160">
        <f>(k.s3RS.w1RS*M.s3RS+k.s3RA.w1RA*M.s3RA+k.s3RP.w1RP*M.s3RP)*Molweight</f>
        <v>2.807562163192316E-3</v>
      </c>
      <c r="AN69" s="160"/>
      <c r="AO69" s="159"/>
      <c r="AP69" s="708">
        <f>SUM(AC69,AD69,AK69)-SUM(AE69,AF69,AH69,AL69,AM69,AP68,AG69)</f>
        <v>-2.6876805612531939E-2</v>
      </c>
      <c r="AQ69" s="16"/>
      <c r="AR69" s="43"/>
      <c r="AS69" s="2"/>
      <c r="AT69" s="2"/>
      <c r="AU69" s="2"/>
      <c r="AV69" s="2"/>
      <c r="AW69" s="2"/>
      <c r="AX69" s="2"/>
      <c r="AY69" s="2"/>
      <c r="AZ69" s="2"/>
      <c r="BA69" s="2"/>
      <c r="BB69" s="2"/>
      <c r="BC69" s="2"/>
      <c r="BD69" s="2"/>
      <c r="BE69" s="2"/>
      <c r="BF69" s="2"/>
      <c r="BG69" s="2"/>
      <c r="BH69" s="2"/>
      <c r="BI69" s="2"/>
      <c r="BJ69" s="2"/>
      <c r="BK69" s="2"/>
      <c r="BL69" s="43"/>
      <c r="BM69" s="2"/>
      <c r="BN69" s="125" t="s">
        <v>102</v>
      </c>
      <c r="BO69" s="126"/>
      <c r="BP69" s="127">
        <f>AD22</f>
        <v>0</v>
      </c>
      <c r="BQ69" s="110"/>
      <c r="BR69" s="75"/>
      <c r="BS69" s="110"/>
      <c r="BT69" s="110"/>
      <c r="BU69" s="110"/>
      <c r="BV69" s="110"/>
      <c r="BW69" s="110"/>
      <c r="BX69" s="2"/>
      <c r="BY69" s="2"/>
      <c r="BZ69" s="2"/>
      <c r="CA69" s="2"/>
      <c r="CB69" s="110"/>
      <c r="CC69" s="110"/>
      <c r="CD69" s="110"/>
      <c r="CE69" s="2"/>
    </row>
    <row r="70" spans="1:83" ht="12.75" customHeight="1" x14ac:dyDescent="0.3">
      <c r="A70" s="16"/>
      <c r="B70" s="156" t="s">
        <v>155</v>
      </c>
      <c r="C70" s="240">
        <f>C68*FRACs.sdR</f>
        <v>0</v>
      </c>
      <c r="D70" s="379">
        <f t="shared" si="21"/>
        <v>0</v>
      </c>
      <c r="E70" s="240">
        <f>E68*FRACs.sdC</f>
        <v>0</v>
      </c>
      <c r="F70" s="379">
        <f t="shared" si="22"/>
        <v>0</v>
      </c>
      <c r="G70" s="241">
        <f>(1-FRACw.sdM)*G68</f>
        <v>0</v>
      </c>
      <c r="H70" s="379">
        <f t="shared" si="23"/>
        <v>0</v>
      </c>
      <c r="I70" s="241">
        <f>(1-FRACw.sdA)*I68</f>
        <v>0</v>
      </c>
      <c r="J70" s="379">
        <f t="shared" si="24"/>
        <v>0</v>
      </c>
      <c r="K70" s="241">
        <f>(1-FRACw.sdT)*K68</f>
        <v>0</v>
      </c>
      <c r="L70" s="394">
        <f t="shared" si="25"/>
        <v>0</v>
      </c>
      <c r="M70" s="121">
        <f>C.sd2R*FRACs.sdR/(FRACw.sdR/(Kp.sd2R*RHOsolid/1000)+FRACs.sdR)*(Molweight*1000)/(FRACs.sdR*RHOsolid)</f>
        <v>0</v>
      </c>
      <c r="N70" s="121">
        <f>C.sd2C*FRACs.sdC/(FRACw.sdC/(Kp.sd2C*RHOsolid/1000)+FRACs.sdC)*(Molweight*1000)/(FRACs.sdC*RHOsolid)</f>
        <v>0</v>
      </c>
      <c r="O70" s="121">
        <f>C.sdM*FRACs.sdM/(FRACw.sdM/(Kp.sdM*RHOsolid/1000)+FRACs.sdM)*(Molweight*1000)/(FRACs.sdM*RHOsolid)</f>
        <v>0</v>
      </c>
      <c r="P70" s="121">
        <f>C.sdA*FRACs.sdA/(FRACw.sdA/(Kp.sdA*RHOsolid/1000)+FRACs.sdA)*(Molweight*1000)/(FRACs.sdA*RHOsolid)</f>
        <v>0</v>
      </c>
      <c r="Q70" s="121">
        <f>C.sdT*FRACs.sdT/(FRACw.sdT/(Kp.sdT*RHOsolid/1000)+FRACs.sdT)*(Molweight*1000)/(FRACs.sdT*RHOsolid)</f>
        <v>0</v>
      </c>
      <c r="R70" s="157" t="s">
        <v>140</v>
      </c>
      <c r="S70" s="160">
        <f>S68*(1-FRACw.sdR)</f>
        <v>0</v>
      </c>
      <c r="T70" s="160">
        <f>T68*(1-FRACw.sdC)</f>
        <v>0</v>
      </c>
      <c r="U70" s="160">
        <f>U68*(1-FRACw.sdM)</f>
        <v>0</v>
      </c>
      <c r="V70" s="160">
        <f>V68*(1-FRACw.sdA)</f>
        <v>0</v>
      </c>
      <c r="W70" s="159">
        <f>W68*(1-FRACw.sdT)</f>
        <v>0</v>
      </c>
      <c r="X70" s="162"/>
      <c r="Y70" s="153"/>
      <c r="Z70" s="16"/>
      <c r="AA70" s="706" t="s">
        <v>138</v>
      </c>
      <c r="AB70" s="249"/>
      <c r="AC70" s="708"/>
      <c r="AD70" s="160"/>
      <c r="AE70" s="160"/>
      <c r="AF70" s="160"/>
      <c r="AG70" s="160"/>
      <c r="AH70" s="159"/>
      <c r="AI70" s="160"/>
      <c r="AJ70" s="160"/>
      <c r="AK70" s="160"/>
      <c r="AL70" s="160"/>
      <c r="AM70" s="160"/>
      <c r="AN70" s="160"/>
      <c r="AO70" s="159"/>
      <c r="AP70" s="725"/>
      <c r="AQ70" s="16"/>
      <c r="AR70" s="43"/>
      <c r="AS70" s="2"/>
      <c r="AT70" s="2"/>
      <c r="AU70" s="2"/>
      <c r="AV70" s="2"/>
      <c r="AW70" s="2"/>
      <c r="AX70" s="2"/>
      <c r="AY70" s="2"/>
      <c r="AZ70" s="2"/>
      <c r="BA70" s="2"/>
      <c r="BB70" s="2"/>
      <c r="BC70" s="2"/>
      <c r="BD70" s="2"/>
      <c r="BE70" s="2"/>
      <c r="BF70" s="2"/>
      <c r="BG70" s="2"/>
      <c r="BH70" s="2"/>
      <c r="BI70" s="2"/>
      <c r="BJ70" s="2"/>
      <c r="BK70" s="2"/>
      <c r="BL70" s="43"/>
      <c r="BM70" s="2"/>
      <c r="BN70" s="128">
        <f>AE22</f>
        <v>0</v>
      </c>
      <c r="BO70" s="129"/>
      <c r="BP70" s="129" t="s">
        <v>110</v>
      </c>
      <c r="BQ70" s="110"/>
      <c r="BR70" s="110"/>
      <c r="BS70" s="110"/>
      <c r="BT70" s="110"/>
      <c r="BU70" s="2"/>
      <c r="BV70" s="110"/>
      <c r="BW70" s="110"/>
      <c r="BX70" s="2"/>
      <c r="BY70" s="16" t="s">
        <v>111</v>
      </c>
      <c r="BZ70" s="2"/>
      <c r="CA70" s="2"/>
      <c r="CB70" s="110"/>
      <c r="CC70" s="110"/>
      <c r="CD70" s="110"/>
      <c r="CE70" s="2"/>
    </row>
    <row r="71" spans="1:83" ht="12.75" customHeight="1" x14ac:dyDescent="0.3">
      <c r="A71" s="16"/>
      <c r="B71" s="156" t="s">
        <v>123</v>
      </c>
      <c r="C71" s="240">
        <f>M.sd2RS*Molweight</f>
        <v>2.2284655162006227E-9</v>
      </c>
      <c r="D71" s="379">
        <f t="shared" si="21"/>
        <v>1.3468681926809456E-19</v>
      </c>
      <c r="E71" s="240">
        <f>M.sd2CS*Molweight</f>
        <v>9.7112941832248086E-10</v>
      </c>
      <c r="F71" s="379">
        <f t="shared" si="22"/>
        <v>2.9614830695303941E-20</v>
      </c>
      <c r="G71" s="241">
        <f>M.sdMS*Molweight</f>
        <v>1.5959260596249912E-16</v>
      </c>
      <c r="H71" s="379">
        <f t="shared" si="23"/>
        <v>3.0853569966647915E-29</v>
      </c>
      <c r="I71" s="241">
        <f>M.sdAS*Molweight</f>
        <v>3.3356237654349878E-18</v>
      </c>
      <c r="J71" s="379">
        <f t="shared" si="24"/>
        <v>9.7569225004864952E-31</v>
      </c>
      <c r="K71" s="241">
        <f>M.sdTS*Molweight</f>
        <v>4.9560783223487759E-18</v>
      </c>
      <c r="L71" s="394">
        <f t="shared" si="25"/>
        <v>3.8776918259157506E-31</v>
      </c>
      <c r="M71" s="121">
        <f>C.sd2RS*(Molweight*1000)/(FRACw.sdR*1000+FRACs.sdR*RHOsolid)</f>
        <v>5.7140141441041553E-17</v>
      </c>
      <c r="N71" s="121">
        <f>C.sd2CS*(Molweight*1000)/(FRACw.sdC*1000+FRACs.sdC*RHOsolid)</f>
        <v>6.7056302201914288E-21</v>
      </c>
      <c r="O71" s="121">
        <f>C.sdMS*(Molweight*1000)/(FRACw.sdM*1000+FRACs.sdM*RHOsolid)</f>
        <v>1.055061454937914E-28</v>
      </c>
      <c r="P71" s="121">
        <f>C.sdAS*(Molweight*1000)/(FRACw.sdA*1000+FRACs.sdA*RHOsolid)</f>
        <v>3.3540711567973741E-30</v>
      </c>
      <c r="Q71" s="121">
        <f>C.sdTS*(Molweight*1000)/(FRACw.sdT*1000+FRACs.sdT*RHOsolid)</f>
        <v>1.4238535724624796E-30</v>
      </c>
      <c r="R71" s="157" t="s">
        <v>213</v>
      </c>
      <c r="S71" s="160"/>
      <c r="T71" s="160"/>
      <c r="U71" s="160"/>
      <c r="V71" s="160"/>
      <c r="W71" s="159"/>
      <c r="X71" s="162"/>
      <c r="Y71" s="153"/>
      <c r="Z71" s="16"/>
      <c r="AA71" s="257" t="s">
        <v>117</v>
      </c>
      <c r="AB71" s="159" t="s">
        <v>94</v>
      </c>
      <c r="AC71" s="158">
        <f>E.aCS*Molweight</f>
        <v>0</v>
      </c>
      <c r="AD71" s="160">
        <f>(k.aR.aC*(M.aRS+M.aRA+M.aRP)+k.aM.aC*(M.aMS+M.aMA+M.aMP))*Molweight</f>
        <v>0.33189765658581238</v>
      </c>
      <c r="AE71" s="160">
        <f>(k.aC.aM+k.aC.aR)*(M.aCS+M.aCA+M.aCP)*Molweight</f>
        <v>0.20980274404849916</v>
      </c>
      <c r="AF71" s="160">
        <f>kesc.aC*VOLUME.aC*(C.aCS+C.aCA+C.aCP)*Molweight</f>
        <v>4.5688546790216573E-5</v>
      </c>
      <c r="AG71" s="160"/>
      <c r="AH71" s="159">
        <f>(kdegS.a*C.aCS+kdegA.a*C.aCA+kdegP.a*C.aCP)*VOLUME.aC*Molweight</f>
        <v>0</v>
      </c>
      <c r="AI71" s="160">
        <f>SUM(AI72:AI74,AK77:AK79)</f>
        <v>0.12204922399052301</v>
      </c>
      <c r="AJ71" s="160">
        <f>SUM(AJ72:AJ74,AL77:AL79)</f>
        <v>0</v>
      </c>
      <c r="AK71" s="160"/>
      <c r="AL71" s="160"/>
      <c r="AM71" s="160"/>
      <c r="AN71" s="160"/>
      <c r="AO71" s="159"/>
      <c r="AP71" s="708">
        <f>SUM(AC71,AD71,AJ71,AL71)-SUM(AE71,AF71,AH71,AI71,AK71)</f>
        <v>0</v>
      </c>
      <c r="AQ71" s="16"/>
      <c r="AR71" s="43"/>
      <c r="AS71" s="2"/>
      <c r="AT71" s="2"/>
      <c r="AU71" s="2"/>
      <c r="AV71" s="2"/>
      <c r="AW71" s="2"/>
      <c r="AX71" s="2"/>
      <c r="AY71" s="2"/>
      <c r="AZ71" s="2"/>
      <c r="BA71" s="2"/>
      <c r="BB71" s="2"/>
      <c r="BC71" s="2"/>
      <c r="BD71" s="2"/>
      <c r="BE71" s="2"/>
      <c r="BF71" s="2"/>
      <c r="BG71" s="2"/>
      <c r="BH71" s="2"/>
      <c r="BI71" s="2"/>
      <c r="BJ71" s="2"/>
      <c r="BK71" s="2"/>
      <c r="BL71" s="43"/>
      <c r="BM71" s="2"/>
      <c r="BN71" s="2"/>
      <c r="BO71" s="110"/>
      <c r="BP71" s="110"/>
      <c r="BQ71" s="110"/>
      <c r="BR71" s="110"/>
      <c r="BS71" s="110"/>
      <c r="BT71" s="113"/>
      <c r="BU71" s="110"/>
      <c r="BV71" s="110"/>
      <c r="BW71" s="110"/>
      <c r="BX71" s="2"/>
      <c r="BY71" s="16" t="s">
        <v>115</v>
      </c>
      <c r="BZ71" s="2"/>
      <c r="CA71" s="2"/>
      <c r="CB71" s="110"/>
      <c r="CC71" s="110"/>
      <c r="CD71" s="110"/>
      <c r="CE71" s="2"/>
    </row>
    <row r="72" spans="1:83" ht="12.75" customHeight="1" x14ac:dyDescent="0.3">
      <c r="A72" s="16"/>
      <c r="B72" s="156" t="s">
        <v>126</v>
      </c>
      <c r="C72" s="240">
        <f>M.sd2RA*Molweight</f>
        <v>384097.03493705572</v>
      </c>
      <c r="D72" s="379">
        <f t="shared" si="21"/>
        <v>2.321454272004129E-5</v>
      </c>
      <c r="E72" s="240">
        <f>M.sd2CA*Molweight</f>
        <v>810328993.29105437</v>
      </c>
      <c r="F72" s="379">
        <f t="shared" si="22"/>
        <v>2.4711182146313865E-2</v>
      </c>
      <c r="G72" s="241">
        <f>M.sdMA*Molweight</f>
        <v>8478933685.8100634</v>
      </c>
      <c r="H72" s="379">
        <f t="shared" si="23"/>
        <v>1.6392073563807862E-3</v>
      </c>
      <c r="I72" s="241">
        <f>M.sdAA*Molweight</f>
        <v>5565080023.4405909</v>
      </c>
      <c r="J72" s="379">
        <f t="shared" si="24"/>
        <v>1.6278231094397596E-3</v>
      </c>
      <c r="K72" s="241">
        <f>M.sdTA*Molweight</f>
        <v>20998015883.549618</v>
      </c>
      <c r="L72" s="394">
        <f t="shared" si="25"/>
        <v>1.6429085509992749E-3</v>
      </c>
      <c r="M72" s="121">
        <f>C.sd2RA*(Molweight*1000)/(FRACw.sdR*1000+FRACs.sdR*RHOsolid)</f>
        <v>9.8486419214629563E-3</v>
      </c>
      <c r="N72" s="121">
        <f>C.sd2CA*(Molweight*1000)/(FRACw.sdC*1000+FRACs.sdC*RHOsolid)</f>
        <v>5.5953063342433019E-3</v>
      </c>
      <c r="O72" s="121">
        <f>C.sdMA*(Molweight*1000)/(FRACw.sdM*1000+FRACs.sdM*RHOsolid)</f>
        <v>5.6053950976744692E-3</v>
      </c>
      <c r="P72" s="121">
        <f>C.sdAA*(Molweight*1000)/(FRACw.sdA*1000+FRACs.sdA*RHOsolid)</f>
        <v>5.5958572382509711E-3</v>
      </c>
      <c r="Q72" s="121">
        <f>C.sdTA*(Molweight*1000)/(FRACw.sdT*1000+FRACs.sdT*RHOsolid)</f>
        <v>6.0326124782157922E-3</v>
      </c>
      <c r="R72" s="157" t="s">
        <v>213</v>
      </c>
      <c r="S72" s="160"/>
      <c r="T72" s="160"/>
      <c r="U72" s="160"/>
      <c r="V72" s="160"/>
      <c r="W72" s="159"/>
      <c r="X72" s="162"/>
      <c r="Y72" s="153"/>
      <c r="Z72" s="16"/>
      <c r="AA72" s="257" t="s">
        <v>119</v>
      </c>
      <c r="AB72" s="159" t="s">
        <v>142</v>
      </c>
      <c r="AC72" s="158"/>
      <c r="AD72" s="160">
        <f>k.w1C.w0C*(M.w1CS+M.w1CA+M.w1CP)*Molweight</f>
        <v>0</v>
      </c>
      <c r="AE72" s="160">
        <f>(k.w0C.w1C+k.w0C.w2C)*(M.w0CS+M.w0CA+M.w0CP)*Molweight</f>
        <v>2.1192634617893183E-3</v>
      </c>
      <c r="AF72" s="160"/>
      <c r="AG72" s="160">
        <f>(kdis.w0S.w0D*M.w0CS+kdis.w0A.w0D*M.w0CA+kdis.w0P.w0D*M.w0CP)*Molweight</f>
        <v>0</v>
      </c>
      <c r="AH72" s="159">
        <f>(kdegS.w0*M.w0CS+kdegA.w0*M.w0CA+kdegP.w0*M.w0CP)*Molweight</f>
        <v>0</v>
      </c>
      <c r="AI72" s="160">
        <f>((k.aCS.w0CS*M.aCS+k.aCA.w0CA*M.aCA+k.aCP.w0CP*M.aCP)+(k.cwCS.w0CS*M.cwCS+k.cwCA.w0CA*M.cwCA+k.cwCP.w0CP*M.cwCP))*Molweight</f>
        <v>2.2837596804972191E-4</v>
      </c>
      <c r="AJ72" s="160"/>
      <c r="AK72" s="160"/>
      <c r="AL72" s="160"/>
      <c r="AM72" s="160"/>
      <c r="AN72" s="160">
        <f>(k.w0CS.sd0CS*M.w0CS+k.w0CA.sd0CA*M.w0CA+k.w0CP.sd0CP*M.w0CP)*Molweight</f>
        <v>5.0641437699925035E-4</v>
      </c>
      <c r="AO72" s="159">
        <f>(k.sd0CS.w0CS*M.sd0CS+k.sd0CA.w0CA*M.sd0CA+k.sd0CP.w0CP*M.sd0CP)*Molweight</f>
        <v>0</v>
      </c>
      <c r="AP72" s="708">
        <f>SUM(AC72,AD72,AI72,AM72,AO72)-SUM(AF72,AE72,AH72,AJ72,AN72,AG72)</f>
        <v>-2.397301870738847E-3</v>
      </c>
      <c r="AQ72" s="16"/>
      <c r="AR72" s="43"/>
      <c r="AS72" s="2"/>
      <c r="AT72" s="2"/>
      <c r="AU72" s="2"/>
      <c r="AV72" s="2"/>
      <c r="AW72" s="2"/>
      <c r="AX72" s="2"/>
      <c r="AY72" s="2"/>
      <c r="AZ72" s="2"/>
      <c r="BA72" s="2"/>
      <c r="BB72" s="2"/>
      <c r="BC72" s="2"/>
      <c r="BD72" s="2"/>
      <c r="BE72" s="2"/>
      <c r="BF72" s="2"/>
      <c r="BG72" s="2"/>
      <c r="BH72" s="2"/>
      <c r="BI72" s="2"/>
      <c r="BJ72" s="2"/>
      <c r="BK72" s="2"/>
      <c r="BL72" s="43"/>
      <c r="BM72" s="2"/>
      <c r="BN72" s="2"/>
      <c r="BO72" s="110"/>
      <c r="BP72" s="110"/>
      <c r="BQ72" s="110"/>
      <c r="BR72" s="21">
        <f>AH22</f>
        <v>0</v>
      </c>
      <c r="BS72" s="110"/>
      <c r="BT72" s="110"/>
      <c r="BU72" s="110"/>
      <c r="BV72" s="110"/>
      <c r="BW72" s="110"/>
      <c r="BX72" s="2"/>
      <c r="BY72" s="2"/>
      <c r="BZ72" s="2"/>
      <c r="CA72" s="2"/>
      <c r="CB72" s="110"/>
      <c r="CC72" s="110"/>
      <c r="CD72" s="109"/>
      <c r="CE72" s="2"/>
    </row>
    <row r="73" spans="1:83" ht="12.75" customHeight="1" x14ac:dyDescent="0.3">
      <c r="A73" s="16"/>
      <c r="B73" s="156" t="s">
        <v>128</v>
      </c>
      <c r="C73" s="240">
        <f>M.sd2RP*Molweight</f>
        <v>1541288.0365637443</v>
      </c>
      <c r="D73" s="379">
        <f t="shared" si="21"/>
        <v>9.3154317045329805E-5</v>
      </c>
      <c r="E73" s="240">
        <f>M.sd2CP*Molweight</f>
        <v>6643596.2172220163</v>
      </c>
      <c r="F73" s="379">
        <f t="shared" si="22"/>
        <v>2.0259810223940481E-4</v>
      </c>
      <c r="G73" s="241">
        <f>M.sdMP*Molweight</f>
        <v>127419205.57886173</v>
      </c>
      <c r="H73" s="379">
        <f t="shared" si="23"/>
        <v>2.4633580927589375E-5</v>
      </c>
      <c r="I73" s="241">
        <f>M.sdAP*Molweight</f>
        <v>41402934.787052631</v>
      </c>
      <c r="J73" s="379">
        <f t="shared" si="24"/>
        <v>1.211063520400626E-5</v>
      </c>
      <c r="K73" s="241">
        <f>M.sdTP*Molweight</f>
        <v>690666606.58745396</v>
      </c>
      <c r="L73" s="394">
        <f t="shared" si="25"/>
        <v>5.4038537743041468E-5</v>
      </c>
      <c r="M73" s="121">
        <f>C.sd2RP*(Molweight*1000)/(FRACw.sdR*1000+FRACs.sdR*RHOsolid)</f>
        <v>3.9520206065737001E-2</v>
      </c>
      <c r="N73" s="121">
        <f>C.sd2CP*(Molweight*1000)/(FRACw.sdC*1000+FRACs.sdC*RHOsolid)</f>
        <v>4.5873905912466082E-5</v>
      </c>
      <c r="O73" s="121">
        <f>C.sdMP*(Molweight*1000)/(FRACw.sdM*1000+FRACs.sdM*RHOsolid)</f>
        <v>8.4236416602318314E-5</v>
      </c>
      <c r="P73" s="121">
        <f>C.sdAP*(Molweight*1000)/(FRACw.sdA*1000+FRACs.sdA*RHOsolid)</f>
        <v>4.1631910293667811E-5</v>
      </c>
      <c r="Q73" s="121">
        <f>C.sdTP*(Molweight*1000)/(FRACw.sdT*1000+FRACs.sdT*RHOsolid)</f>
        <v>1.9842465175248265E-4</v>
      </c>
      <c r="R73" s="157" t="s">
        <v>213</v>
      </c>
      <c r="S73" s="160"/>
      <c r="T73" s="160"/>
      <c r="U73" s="160"/>
      <c r="V73" s="160"/>
      <c r="W73" s="159"/>
      <c r="X73" s="162"/>
      <c r="Y73" s="153"/>
      <c r="Z73" s="16"/>
      <c r="AA73" s="257" t="s">
        <v>122</v>
      </c>
      <c r="AB73" s="159" t="s">
        <v>95</v>
      </c>
      <c r="AC73" s="158">
        <f>E.w1CS*Molweight</f>
        <v>0</v>
      </c>
      <c r="AD73" s="160">
        <f>k.w0C.w1C*(M.w0CS+M.w0CA+M.w0CP)*Molweight</f>
        <v>2.1192634617893183E-3</v>
      </c>
      <c r="AE73" s="160">
        <f>(k.w1C.w0C+k.w1C.w1R+k.w1C.w2C)*(M.w1CS+M.w1CA+M.w1CP)*Molweight</f>
        <v>2.9563968371425619E-2</v>
      </c>
      <c r="AF73" s="160"/>
      <c r="AG73" s="160">
        <f>(kdis.w1S.w1D*M.w1CS+kdis.w1A.w1D*M.w1CA+kdis.w1P.w1D*M.w1CP)*Molweight</f>
        <v>0</v>
      </c>
      <c r="AH73" s="159">
        <f>(kdegS.w1*M.w1CS+kdegA.w1*M.w1CA+kdegP.w1*M.w1CP)*Molweight</f>
        <v>0</v>
      </c>
      <c r="AI73" s="160">
        <f>((k.aCS.w1CS*M.aCS+k.aCA.w1CA*M.aCA+k.aCP.w1CP*M.aCP)+(k.cwCS.w1CS*M.cwCS+k.cwCA.w1CA*M.cwCA+k.cwCP.w1CP*M.cwCP))*Molweight</f>
        <v>2.512135648546941E-3</v>
      </c>
      <c r="AJ73" s="160"/>
      <c r="AK73" s="160"/>
      <c r="AL73" s="160"/>
      <c r="AM73" s="160">
        <f>(k.s1CS.w1CS*M.s1CS+k.s1CA.w1CA*M.s1CA+k.s1CP.w1CP*M.s1CP+k.s2CS.w1CS*M.s2CS+k.s2CA.w1CA*M.s2CA+k.s2CP.w1CP*M.s2CP+k.s3CS.w1CS*M.s3CS+k.s3CA.w1CA*M.s3CA+k.s3CP.w1CP*M.s3CP)*Molweight</f>
        <v>2.6370320578127313E-2</v>
      </c>
      <c r="AN73" s="160">
        <f>(k.w1CS.sd1CS*M.w1CS+k.w1CA.sd1CA*M.w1CA+k.w1CP.sd1CP*M.w1CP)*Molweight</f>
        <v>1.4474006546899459E-2</v>
      </c>
      <c r="AO73" s="159">
        <f>(k.sd1CS.w1CS*M.sd1CS+k.sd1CA.w1CA*M.sd1CA+k.sd1CP.w1CP*M.sd1CP)*Molweight</f>
        <v>1.3036255229861512E-2</v>
      </c>
      <c r="AP73" s="708">
        <f>SUM(AC73,AD73,AI73,AM73,AO73)-SUM(AF73,AE73,AH73,AJ73,AN73,AG73)</f>
        <v>0</v>
      </c>
      <c r="AQ73" s="16"/>
      <c r="AR73" s="43"/>
      <c r="AS73" s="2"/>
      <c r="AT73" s="2"/>
      <c r="AU73" s="2"/>
      <c r="AV73" s="2"/>
      <c r="AW73" s="2"/>
      <c r="AX73" s="2"/>
      <c r="AY73" s="2"/>
      <c r="AZ73" s="2"/>
      <c r="BA73" s="2"/>
      <c r="BB73" s="2"/>
      <c r="BC73" s="2"/>
      <c r="BD73" s="2"/>
      <c r="BE73" s="2"/>
      <c r="BF73" s="2"/>
      <c r="BG73" s="2"/>
      <c r="BH73" s="2"/>
      <c r="BI73" s="2"/>
      <c r="BJ73" s="2"/>
      <c r="BK73" s="2"/>
      <c r="BL73" s="43"/>
      <c r="BM73" s="2"/>
      <c r="BN73" s="2"/>
      <c r="BO73" s="2"/>
      <c r="BP73" s="130">
        <f>AC22</f>
        <v>0</v>
      </c>
      <c r="BQ73" s="110"/>
      <c r="BR73" s="110"/>
      <c r="BS73" s="110"/>
      <c r="BT73" s="110"/>
      <c r="BU73" s="110"/>
      <c r="BV73" s="110"/>
      <c r="BW73" s="2"/>
      <c r="BX73" s="2"/>
      <c r="BY73" s="2"/>
      <c r="BZ73" s="2"/>
      <c r="CA73" s="2"/>
      <c r="CB73" s="110"/>
      <c r="CC73" s="110"/>
      <c r="CD73" s="110"/>
      <c r="CE73" s="2"/>
    </row>
    <row r="74" spans="1:83" ht="12.75" customHeight="1" x14ac:dyDescent="0.3">
      <c r="A74" s="16"/>
      <c r="B74" s="156"/>
      <c r="C74" s="240"/>
      <c r="D74" s="379"/>
      <c r="E74" s="241"/>
      <c r="F74" s="379"/>
      <c r="G74" s="241"/>
      <c r="H74" s="379"/>
      <c r="I74" s="241"/>
      <c r="J74" s="379"/>
      <c r="K74" s="241"/>
      <c r="L74" s="394"/>
      <c r="M74" s="121"/>
      <c r="N74" s="121"/>
      <c r="O74" s="121"/>
      <c r="P74" s="121"/>
      <c r="Q74" s="121"/>
      <c r="R74" s="157"/>
      <c r="S74" s="160"/>
      <c r="T74" s="160"/>
      <c r="U74" s="160"/>
      <c r="V74" s="160"/>
      <c r="W74" s="159"/>
      <c r="X74" s="162"/>
      <c r="Y74" s="153"/>
      <c r="Z74" s="16"/>
      <c r="AA74" s="257" t="s">
        <v>124</v>
      </c>
      <c r="AB74" s="159" t="s">
        <v>96</v>
      </c>
      <c r="AC74" s="158">
        <f>E.w2CS*Molweight</f>
        <v>0</v>
      </c>
      <c r="AD74" s="160">
        <f>(k.w2M.w2C*(M.w2MS+M.w2MA+M.w2MP)+k.w2R.w2C*(M.w2RS+M.w2RA+M.w2RP)+k.w1C.w2C*(M.w1CS+M.w1CA+M.w1CP))*Molweight</f>
        <v>1010.2793591342221</v>
      </c>
      <c r="AE74" s="160">
        <f>(k.w2C.w2M+k.w2C.w2R)*(M.w2CS+M.w2CA+M.w2CP)*Molweight</f>
        <v>1009.6235440011612</v>
      </c>
      <c r="AF74" s="160"/>
      <c r="AG74" s="160">
        <f>(kdis.w2S.w2D*M.w2CS+kdis.w2A.w2D*M.w2CA+kdis.w2P.w2D*M.w2CP)*Molweight</f>
        <v>0</v>
      </c>
      <c r="AH74" s="159">
        <f>(kdegS.w2*M.w2CS+kdegA.w2*M.w2CA+kdegP.w2*M.w2CP)*Molweight</f>
        <v>0</v>
      </c>
      <c r="AI74" s="160">
        <f>((k.aCS.w2CS*M.aCS+k.aCA.w2CA*M.aCA+k.aCP.w2CP*M.aCP)+(k.cwCS.w2CS*M.cwCS+k.cwCA.w2CA*M.cwCA+k.cwCP.w2CP*M.cwCP))*Molweight</f>
        <v>9.0353165356739082E-2</v>
      </c>
      <c r="AJ74" s="160"/>
      <c r="AK74" s="160"/>
      <c r="AL74" s="160"/>
      <c r="AM74" s="160"/>
      <c r="AN74" s="160">
        <f>(k.w2CS.sd2CS*M.w2CS+k.w2CA.sd2CA*M.w2CA+k.w2CP.sd2CP*M.w2CP)*Molweight</f>
        <v>7.8797510562140873</v>
      </c>
      <c r="AO74" s="159">
        <f>(k.sd2CS.w2CS*M.sd2CS+k.sd2CA.w2CA*M.sd2CA+k.sd2CP.w2CP*M.sd2CP)*Molweight</f>
        <v>7.1335827577965283</v>
      </c>
      <c r="AP74" s="708">
        <f>SUM(AC74,AD74,AI74,AM74,AO74)-SUM(AF74,AE74,AH74,AJ74,AN74,AG74)</f>
        <v>0</v>
      </c>
      <c r="AQ74" s="16"/>
      <c r="AR74" s="43"/>
      <c r="AS74" s="2"/>
      <c r="AT74" s="2"/>
      <c r="AU74" s="2"/>
      <c r="AV74" s="2"/>
      <c r="AW74" s="2"/>
      <c r="AX74" s="2"/>
      <c r="AY74" s="2"/>
      <c r="AZ74" s="2"/>
      <c r="BA74" s="2"/>
      <c r="BB74" s="2"/>
      <c r="BC74" s="2"/>
      <c r="BD74" s="2"/>
      <c r="BE74" s="2"/>
      <c r="BF74" s="2"/>
      <c r="BG74" s="2"/>
      <c r="BH74" s="2"/>
      <c r="BI74" s="2"/>
      <c r="BJ74" s="2"/>
      <c r="BK74" s="2"/>
      <c r="BL74" s="43"/>
      <c r="BM74" s="2"/>
      <c r="BN74" s="2"/>
      <c r="BO74" s="110"/>
      <c r="BP74" s="110"/>
      <c r="BQ74" s="110"/>
      <c r="BR74" s="110"/>
      <c r="BS74" s="110"/>
      <c r="BT74" s="110"/>
      <c r="BU74" s="110"/>
      <c r="BV74" s="110"/>
      <c r="BW74" s="2"/>
      <c r="BX74" s="133">
        <f>IF(AL28&lt;0,"",AL28)</f>
        <v>0</v>
      </c>
      <c r="BY74" s="110"/>
      <c r="BZ74" s="135">
        <f>IF(AL30&lt;0,"",AL30)</f>
        <v>0</v>
      </c>
      <c r="CA74" s="110"/>
      <c r="CB74" s="133">
        <f>IF(AL29&lt;0,"",AL29)</f>
        <v>0</v>
      </c>
      <c r="CC74" s="137"/>
      <c r="CD74" s="110"/>
      <c r="CE74" s="2"/>
    </row>
    <row r="75" spans="1:83" ht="12.75" customHeight="1" x14ac:dyDescent="0.3">
      <c r="A75" s="16"/>
      <c r="B75" s="101" t="s">
        <v>214</v>
      </c>
      <c r="C75" s="240">
        <f>SUM(C76,C79:C81)</f>
        <v>70634038.451515034</v>
      </c>
      <c r="D75" s="379">
        <f t="shared" ref="D75:D81" si="26">C75/$C$103</f>
        <v>4.2690694120834554E-3</v>
      </c>
      <c r="E75" s="240">
        <f>SUM(E76,E79:E81)</f>
        <v>12848015.997968454</v>
      </c>
      <c r="F75" s="379">
        <f>E75/$E$103</f>
        <v>3.9180341092709349E-4</v>
      </c>
      <c r="G75" s="241"/>
      <c r="H75" s="379"/>
      <c r="I75" s="241"/>
      <c r="J75" s="379"/>
      <c r="K75" s="241"/>
      <c r="L75" s="394"/>
      <c r="M75" s="392">
        <f>((M.s1RD+M.s1RS+M.s1RA+M.s1RP)*Molweight*1000/(VOLUME.s1R))/(FRACw.s1R*1000+(1-FRACa.s1R-FRACw.s1R)*RHOsolid)</f>
        <v>1.3465178633417795E-2</v>
      </c>
      <c r="N75" s="392">
        <f>((M.s1CD+M.s1CS+M.s1CA+M.s1CP)*Molweight*1000/(VOLUME.s1C))/(FRACw.s1C*1000+(1-FRACa.s1C-FRACw.s1C)*RHOsolid)</f>
        <v>1.6060014376455527E-4</v>
      </c>
      <c r="O75" s="121"/>
      <c r="P75" s="121"/>
      <c r="Q75" s="121"/>
      <c r="R75" s="157" t="s">
        <v>151</v>
      </c>
      <c r="S75" s="160"/>
      <c r="T75" s="160"/>
      <c r="U75" s="160"/>
      <c r="V75" s="160"/>
      <c r="W75" s="159"/>
      <c r="X75" s="162"/>
      <c r="Y75" s="153"/>
      <c r="Z75" s="16"/>
      <c r="AA75" s="257" t="s">
        <v>127</v>
      </c>
      <c r="AB75" s="159" t="s">
        <v>97</v>
      </c>
      <c r="AC75" s="158"/>
      <c r="AD75" s="160"/>
      <c r="AE75" s="160"/>
      <c r="AF75" s="160">
        <f>kbur.sd1C*(M.sd1CS+M.sd1CA+M.sd1CP)*Molweight</f>
        <v>1.4377513170379485E-3</v>
      </c>
      <c r="AG75" s="160">
        <f>(kdis.sd1S.sd1D*M.sd1CS+kdis.sd1A.sd1D*M.sd1CA+kdis.sd1P.sd1D*M.sd1CP)*Molweight</f>
        <v>0</v>
      </c>
      <c r="AH75" s="159">
        <f>(kdegS.sd1*M.sd1CS+kdegA.sd1*M.sd1CA+kdegP.sd1*M.sd1CP)*Molweight</f>
        <v>0</v>
      </c>
      <c r="AI75" s="160"/>
      <c r="AJ75" s="160"/>
      <c r="AK75" s="160"/>
      <c r="AL75" s="160"/>
      <c r="AM75" s="160"/>
      <c r="AN75" s="160">
        <f>AN73</f>
        <v>1.4474006546899459E-2</v>
      </c>
      <c r="AO75" s="159">
        <f>AO73</f>
        <v>1.3036255229861512E-2</v>
      </c>
      <c r="AP75" s="708">
        <f>SUM(AC75,AD75,AN75)-SUM(AE75,AF75,AH75,AO75,AG75)</f>
        <v>0</v>
      </c>
      <c r="AQ75" s="16"/>
      <c r="AR75" s="43"/>
      <c r="AS75" s="2"/>
      <c r="AT75" s="2"/>
      <c r="AU75" s="2"/>
      <c r="AV75" s="2"/>
      <c r="AW75" s="2"/>
      <c r="AX75" s="2"/>
      <c r="AY75" s="2"/>
      <c r="AZ75" s="2"/>
      <c r="BA75" s="2"/>
      <c r="BB75" s="2"/>
      <c r="BC75" s="2"/>
      <c r="BD75" s="2"/>
      <c r="BE75" s="2"/>
      <c r="BF75" s="2"/>
      <c r="BG75" s="2"/>
      <c r="BH75" s="2"/>
      <c r="BI75" s="2"/>
      <c r="BJ75" s="2"/>
      <c r="BK75" s="2"/>
      <c r="BL75" s="43"/>
      <c r="BM75" s="2"/>
      <c r="BN75" s="2"/>
      <c r="BO75" s="110"/>
      <c r="BP75" s="110"/>
      <c r="BQ75" s="81"/>
      <c r="BR75" s="110"/>
      <c r="BS75" s="110"/>
      <c r="BT75" s="110"/>
      <c r="BU75" s="110"/>
      <c r="BV75" s="135">
        <f>IF(AJ23&lt;0,"",AJ23)</f>
        <v>0</v>
      </c>
      <c r="BW75" s="2"/>
      <c r="BX75" s="134"/>
      <c r="BY75" s="110"/>
      <c r="BZ75" s="110"/>
      <c r="CA75" s="110"/>
      <c r="CB75" s="2"/>
      <c r="CC75" s="134"/>
      <c r="CD75" s="110"/>
      <c r="CE75" s="2"/>
    </row>
    <row r="76" spans="1:83" ht="12.75" customHeight="1" x14ac:dyDescent="0.3">
      <c r="A76" s="16"/>
      <c r="B76" s="376" t="s">
        <v>116</v>
      </c>
      <c r="C76" s="240">
        <f>M.s1R*Molweight</f>
        <v>0</v>
      </c>
      <c r="D76" s="379">
        <f t="shared" si="26"/>
        <v>0</v>
      </c>
      <c r="E76" s="240">
        <f>M.s1C*Molweight</f>
        <v>0</v>
      </c>
      <c r="F76" s="379">
        <f t="shared" ref="F76:F81" si="27">E76/$E$103</f>
        <v>0</v>
      </c>
      <c r="G76" s="241"/>
      <c r="H76" s="379"/>
      <c r="I76" s="241"/>
      <c r="J76" s="379"/>
      <c r="K76" s="241"/>
      <c r="L76" s="394"/>
      <c r="M76" s="121">
        <f>C.s1R*(Molweight*1000)/(FRACw.s1R*1000+(1-FRACa.s1R-FRACw.s1R)*RHOsolid)</f>
        <v>0</v>
      </c>
      <c r="N76" s="121">
        <f>C.s1C*(Molweight*1000)/(FRACw.s1C*1000+(1-FRACa.s1C-FRACw.s1C)*RHOsolid)</f>
        <v>0</v>
      </c>
      <c r="O76" s="121"/>
      <c r="P76" s="121"/>
      <c r="Q76" s="121"/>
      <c r="R76" s="157" t="s">
        <v>151</v>
      </c>
      <c r="S76" s="160">
        <f>F.s1R</f>
        <v>0</v>
      </c>
      <c r="T76" s="160">
        <f>F.s1C</f>
        <v>0</v>
      </c>
      <c r="U76" s="160"/>
      <c r="V76" s="160"/>
      <c r="W76" s="159"/>
      <c r="X76" s="162"/>
      <c r="Y76" s="153"/>
      <c r="Z76" s="16"/>
      <c r="AA76" s="257" t="s">
        <v>129</v>
      </c>
      <c r="AB76" s="159" t="s">
        <v>98</v>
      </c>
      <c r="AC76" s="158"/>
      <c r="AD76" s="160"/>
      <c r="AE76" s="160"/>
      <c r="AF76" s="160">
        <f>kbur.sd2C*(M.sd2CS+M.sd2CA+M.sd2CP)*Molweight</f>
        <v>0.74616829841755916</v>
      </c>
      <c r="AG76" s="160">
        <f>(kdis.sd2S.sd2D*M.sd2CS+kdis.sd2A.sd2D*M.sd2CA+kdis.sd2P.sd2D*M.sd2CP)*Molweight</f>
        <v>0</v>
      </c>
      <c r="AH76" s="159">
        <f>(kdegS.sd2*M.sd2CS+kdegA.sd2*M.sd2CA+kdegP.sd2*M.sd2CP)*Molweight</f>
        <v>0</v>
      </c>
      <c r="AI76" s="160"/>
      <c r="AJ76" s="160"/>
      <c r="AK76" s="160"/>
      <c r="AL76" s="160"/>
      <c r="AM76" s="160"/>
      <c r="AN76" s="160">
        <f>AN74</f>
        <v>7.8797510562140873</v>
      </c>
      <c r="AO76" s="159">
        <f>AO74</f>
        <v>7.1335827577965283</v>
      </c>
      <c r="AP76" s="708">
        <f>SUM(AC76,AD76,AN76)-SUM(AE76,AF76,AH76,AO76,AG76)</f>
        <v>0</v>
      </c>
      <c r="AQ76" s="16"/>
      <c r="AR76" s="43"/>
      <c r="AS76" s="2"/>
      <c r="AT76" s="2"/>
      <c r="AU76" s="2"/>
      <c r="AV76" s="2"/>
      <c r="AW76" s="2"/>
      <c r="AX76" s="2"/>
      <c r="AY76" s="2"/>
      <c r="AZ76" s="2"/>
      <c r="BA76" s="2"/>
      <c r="BB76" s="2"/>
      <c r="BC76" s="2"/>
      <c r="BD76" s="2"/>
      <c r="BE76" s="2"/>
      <c r="BF76" s="2"/>
      <c r="BG76" s="2"/>
      <c r="BH76" s="2"/>
      <c r="BI76" s="2"/>
      <c r="BJ76" s="2"/>
      <c r="BK76" s="2"/>
      <c r="BL76" s="43"/>
      <c r="BM76" s="2"/>
      <c r="BN76" s="2"/>
      <c r="BO76" s="110"/>
      <c r="BP76" s="110"/>
      <c r="BQ76" s="133">
        <f>IF(AJ25&lt;0,"",AJ25)</f>
        <v>0</v>
      </c>
      <c r="BR76" s="110"/>
      <c r="BS76" s="110"/>
      <c r="BT76" s="135">
        <f>IF(AJ24&lt;0,"",AJ24)</f>
        <v>0</v>
      </c>
      <c r="BU76" s="110"/>
      <c r="BV76" s="2"/>
      <c r="BW76" s="2"/>
      <c r="BX76" s="134"/>
      <c r="BY76" s="110"/>
      <c r="BZ76" s="110"/>
      <c r="CA76" s="110"/>
      <c r="CB76" s="2"/>
      <c r="CC76" s="134"/>
      <c r="CD76" s="110"/>
      <c r="CE76" s="2"/>
    </row>
    <row r="77" spans="1:83" ht="12.75" customHeight="1" x14ac:dyDescent="0.3">
      <c r="A77" s="16"/>
      <c r="B77" s="156" t="s">
        <v>215</v>
      </c>
      <c r="C77" s="240">
        <f>C76*FRwD.s1R</f>
        <v>0</v>
      </c>
      <c r="D77" s="379">
        <f t="shared" si="26"/>
        <v>0</v>
      </c>
      <c r="E77" s="240">
        <f>E76*FRw.s1C</f>
        <v>0</v>
      </c>
      <c r="F77" s="379">
        <f t="shared" si="27"/>
        <v>0</v>
      </c>
      <c r="G77" s="241"/>
      <c r="H77" s="379"/>
      <c r="I77" s="241"/>
      <c r="J77" s="379"/>
      <c r="K77" s="241"/>
      <c r="L77" s="394"/>
      <c r="M77" s="121">
        <f>M78/Kp.s1R</f>
        <v>0</v>
      </c>
      <c r="N77" s="121">
        <f>N78/Kp.s1C</f>
        <v>0</v>
      </c>
      <c r="O77" s="121"/>
      <c r="P77" s="121"/>
      <c r="Q77" s="121"/>
      <c r="R77" s="157" t="s">
        <v>134</v>
      </c>
      <c r="S77" s="160">
        <f>S76*FRACw.s1R</f>
        <v>0</v>
      </c>
      <c r="T77" s="160">
        <f>T76*FRACw.s1C</f>
        <v>0</v>
      </c>
      <c r="U77" s="160"/>
      <c r="V77" s="160"/>
      <c r="W77" s="159"/>
      <c r="X77" s="162"/>
      <c r="Y77" s="153"/>
      <c r="Z77" s="16"/>
      <c r="AA77" s="257" t="s">
        <v>131</v>
      </c>
      <c r="AB77" s="159" t="s">
        <v>99</v>
      </c>
      <c r="AC77" s="158">
        <f>E.s1CS*Molweight</f>
        <v>0</v>
      </c>
      <c r="AD77" s="160"/>
      <c r="AE77" s="160"/>
      <c r="AF77" s="160">
        <f>kleach.s1C*(M.s1CS+M.s1CA)*Molweight</f>
        <v>5.2306950310772244E-5</v>
      </c>
      <c r="AG77" s="160">
        <f>(kdis.s1S.s1D*M.s1CS+kdis.s1A.s1D*M.s1CA+kdis.s1P.s1D*M.s1CP)*Molweight</f>
        <v>0</v>
      </c>
      <c r="AH77" s="159">
        <f>(kdegS.s1*M.s1CS+kdegA.s1*M.s1CA+kdegP.s1*M.s1CP)*Molweight</f>
        <v>0</v>
      </c>
      <c r="AI77" s="160"/>
      <c r="AJ77" s="160"/>
      <c r="AK77" s="160">
        <f>((k.aCS.s1CS*M.aCS+k.aCA.s1CA*M.aCA+k.aCP.s1CP*M.aCP)+(k.cwCS.s1CS*M.cwCS+k.cwCA.s1CA*M.cwCA+k.cwCP.s1CP*M.cwCP))*Molweight</f>
        <v>8.0597914377737775E-3</v>
      </c>
      <c r="AL77" s="160"/>
      <c r="AM77" s="160">
        <f>(k.s1CS.w1CS*M.s1CS+k.s1CA.w1CA*M.s1CA+k.s1CP.w1CP*M.s1CP)*Molweight</f>
        <v>7.3401941135077539E-3</v>
      </c>
      <c r="AN77" s="160"/>
      <c r="AO77" s="159"/>
      <c r="AP77" s="708">
        <f>SUM(AC77,AD77,AK77)-SUM(AE77,AF77,AH77,AL77,AM77,AP76,AG77)</f>
        <v>6.6729037395525138E-4</v>
      </c>
      <c r="AQ77" s="16"/>
      <c r="AR77" s="43"/>
      <c r="AS77" s="2"/>
      <c r="AT77" s="2"/>
      <c r="AU77" s="2"/>
      <c r="AV77" s="2"/>
      <c r="AW77" s="2"/>
      <c r="AX77" s="2"/>
      <c r="AY77" s="2"/>
      <c r="AZ77" s="2"/>
      <c r="BA77" s="2"/>
      <c r="BB77" s="2"/>
      <c r="BC77" s="2"/>
      <c r="BD77" s="2"/>
      <c r="BE77" s="2"/>
      <c r="BF77" s="2"/>
      <c r="BG77" s="2"/>
      <c r="BH77" s="2"/>
      <c r="BI77" s="2"/>
      <c r="BJ77" s="2"/>
      <c r="BK77" s="2"/>
      <c r="BL77" s="43"/>
      <c r="BM77" s="2"/>
      <c r="BN77" s="2"/>
      <c r="BO77" s="110"/>
      <c r="BP77" s="110"/>
      <c r="BQ77" s="2"/>
      <c r="BR77" s="2"/>
      <c r="BS77" s="52"/>
      <c r="BT77" s="110"/>
      <c r="BU77" s="134"/>
      <c r="BV77" s="135"/>
      <c r="BW77" s="86"/>
      <c r="BX77" s="133"/>
      <c r="BY77" s="110"/>
      <c r="BZ77" s="135"/>
      <c r="CA77" s="133"/>
      <c r="CB77" s="82"/>
      <c r="CC77" s="137"/>
      <c r="CD77" s="110"/>
      <c r="CE77" s="2"/>
    </row>
    <row r="78" spans="1:83" ht="12.75" customHeight="1" x14ac:dyDescent="0.3">
      <c r="A78" s="16"/>
      <c r="B78" s="156" t="s">
        <v>155</v>
      </c>
      <c r="C78" s="240">
        <f>C76*FRs.s1R</f>
        <v>0</v>
      </c>
      <c r="D78" s="379">
        <f t="shared" si="26"/>
        <v>0</v>
      </c>
      <c r="E78" s="240">
        <f>E76*FRs.s1C</f>
        <v>0</v>
      </c>
      <c r="F78" s="379">
        <f t="shared" si="27"/>
        <v>0</v>
      </c>
      <c r="G78" s="241"/>
      <c r="H78" s="379"/>
      <c r="I78" s="241"/>
      <c r="J78" s="379"/>
      <c r="K78" s="241"/>
      <c r="L78" s="394"/>
      <c r="M78" s="121">
        <f>C.s1R*FRs.s1R*(Molweight*1000)/(FRACs.s1R*RHOsolid)</f>
        <v>0</v>
      </c>
      <c r="N78" s="121">
        <f>C.s1C*FRs.s1C*(Molweight*1000)/(FRACs.s1C*RHOsolid)</f>
        <v>0</v>
      </c>
      <c r="O78" s="121"/>
      <c r="P78" s="121"/>
      <c r="Q78" s="121"/>
      <c r="R78" s="157" t="s">
        <v>140</v>
      </c>
      <c r="S78" s="160">
        <f>S76*(1-FRACw.s1R)</f>
        <v>0</v>
      </c>
      <c r="T78" s="160">
        <f>T76*(1-FRACw.s1C)</f>
        <v>0</v>
      </c>
      <c r="U78" s="160"/>
      <c r="V78" s="160"/>
      <c r="W78" s="159"/>
      <c r="X78" s="162"/>
      <c r="Y78" s="153"/>
      <c r="Z78" s="16"/>
      <c r="AA78" s="257" t="s">
        <v>135</v>
      </c>
      <c r="AB78" s="159" t="s">
        <v>100</v>
      </c>
      <c r="AC78" s="158">
        <f>E.s2CS*Molweight</f>
        <v>0</v>
      </c>
      <c r="AD78" s="160"/>
      <c r="AE78" s="160"/>
      <c r="AF78" s="160">
        <f>kleach.s2C*(M.s2CS+M.s2CA)*Molweight</f>
        <v>1.1624467345079175E-4</v>
      </c>
      <c r="AG78" s="160">
        <f>(kdis.s2S.s2D*M.s2CS+kdis.s2A.s2D*M.s2CA+kdis.s2P.s2D*M.s2CP)*Molweight</f>
        <v>0</v>
      </c>
      <c r="AH78" s="159">
        <f>(kdegS.s2*M.s2CS+kdegA.s2*M.s2CA+kdegP.s2*M.s2CP)*Molweight</f>
        <v>0</v>
      </c>
      <c r="AI78" s="160"/>
      <c r="AJ78" s="160"/>
      <c r="AK78" s="160">
        <f>((k.aCS.s2CS*M.aCS+k.aCA.s2CA*M.aCA+k.aCP.s2CP*M.aCP)+(k.cwCS.s2CS*M.cwCS+k.cwCA.s2CA*M.cwCA+k.cwCP.s2CP*M.cwCP))*Molweight</f>
        <v>1.7910647639497283E-2</v>
      </c>
      <c r="AL78" s="160"/>
      <c r="AM78" s="160">
        <f>(k.s2CS.w1CS*M.s2CS+k.s2CA.w1CA*M.s2CA+k.s2CP.w1CP*M.s2CP)*Molweight</f>
        <v>1.631153605220928E-2</v>
      </c>
      <c r="AN78" s="160"/>
      <c r="AO78" s="159"/>
      <c r="AP78" s="708">
        <f>SUM(AC78,AD78,AK78)-SUM(AE78,AF78,AH78,AL78,AM78,AP77,AG78)</f>
        <v>8.15576539881957E-4</v>
      </c>
      <c r="AQ78" s="16"/>
      <c r="AR78" s="43"/>
      <c r="AS78" s="2"/>
      <c r="AT78" s="2"/>
      <c r="AU78" s="2"/>
      <c r="AV78" s="2"/>
      <c r="AW78" s="2"/>
      <c r="AX78" s="2"/>
      <c r="AY78" s="2"/>
      <c r="AZ78" s="2"/>
      <c r="BA78" s="2"/>
      <c r="BB78" s="2"/>
      <c r="BC78" s="2"/>
      <c r="BD78" s="2"/>
      <c r="BE78" s="2"/>
      <c r="BF78" s="2"/>
      <c r="BG78" s="2"/>
      <c r="BH78" s="2"/>
      <c r="BI78" s="2"/>
      <c r="BJ78" s="2"/>
      <c r="BK78" s="2"/>
      <c r="BL78" s="43"/>
      <c r="BM78" s="2"/>
      <c r="BN78" s="2"/>
      <c r="BO78" s="110"/>
      <c r="BP78" s="110"/>
      <c r="BQ78" s="110"/>
      <c r="BR78" s="110"/>
      <c r="BS78" s="110"/>
      <c r="BT78" s="110"/>
      <c r="BU78" s="134"/>
      <c r="BV78" s="136"/>
      <c r="BW78" s="5"/>
      <c r="BX78" s="74"/>
      <c r="BY78" s="86"/>
      <c r="BZ78" s="134"/>
      <c r="CA78" s="137"/>
      <c r="CB78" s="73"/>
      <c r="CC78" s="74"/>
      <c r="CD78" s="109"/>
      <c r="CE78" s="2"/>
    </row>
    <row r="79" spans="1:83" ht="12.75" customHeight="1" x14ac:dyDescent="0.3">
      <c r="A79" s="16"/>
      <c r="B79" s="156" t="s">
        <v>123</v>
      </c>
      <c r="C79" s="240">
        <f>M.s1RS*Molweight</f>
        <v>0.25439012243523429</v>
      </c>
      <c r="D79" s="379">
        <f t="shared" si="26"/>
        <v>1.5375152182044464E-11</v>
      </c>
      <c r="E79" s="240">
        <f>M.s1CS*Molweight</f>
        <v>4.4659882163802657E-2</v>
      </c>
      <c r="F79" s="379">
        <f t="shared" si="27"/>
        <v>1.3619141014571228E-12</v>
      </c>
      <c r="G79" s="241"/>
      <c r="H79" s="379"/>
      <c r="I79" s="241"/>
      <c r="J79" s="379"/>
      <c r="K79" s="241"/>
      <c r="L79" s="394"/>
      <c r="M79" s="121">
        <f>C.s1RS*(Molweight*1000)/(FRACw.s1R*1000+(1-FRACa.s1R-FRACw.s1R)*RHOsolid)</f>
        <v>4.8495152142811996E-11</v>
      </c>
      <c r="N79" s="121">
        <f>C.s1CS*(Molweight*1000)/(FRACw.s1C*1000+(1-FRACa.s1C-FRACw.s1C)*RHOsolid)</f>
        <v>5.5824833166061693E-13</v>
      </c>
      <c r="O79" s="121"/>
      <c r="P79" s="121"/>
      <c r="Q79" s="121"/>
      <c r="R79" s="157" t="s">
        <v>213</v>
      </c>
      <c r="S79" s="160"/>
      <c r="T79" s="160"/>
      <c r="U79" s="160"/>
      <c r="V79" s="160"/>
      <c r="W79" s="159"/>
      <c r="X79" s="162"/>
      <c r="Y79" s="153"/>
      <c r="Z79" s="16"/>
      <c r="AA79" s="257" t="s">
        <v>136</v>
      </c>
      <c r="AB79" s="159" t="s">
        <v>101</v>
      </c>
      <c r="AC79" s="158">
        <f>E.s3CS*Molweight</f>
        <v>0</v>
      </c>
      <c r="AD79" s="160"/>
      <c r="AE79" s="160"/>
      <c r="AF79" s="160">
        <f>kleach.s3C*(M.s3CS+M.s3CA)*Molweight</f>
        <v>1.9372944559545268E-5</v>
      </c>
      <c r="AG79" s="160">
        <f>(kdis.s3S.s3D*M.s3CS+kdis.s3A.s3D*M.s3CA+kdis.s3P.s3D*M.s3CP)*Molweight</f>
        <v>0</v>
      </c>
      <c r="AH79" s="159">
        <f>(kdegS.s3*M.s3CS+kdegA.s3*M.s3CA+kdegP.s3*M.s3CP)*Molweight</f>
        <v>0</v>
      </c>
      <c r="AI79" s="160"/>
      <c r="AJ79" s="160"/>
      <c r="AK79" s="160">
        <f>((k.aCS.s3CS*M.aCS+k.aCA.s3CA*M.aCA+k.aCP.s3CP*M.aCP)+(k.cwCS.s3CS*M.cwCS+k.cwCA.s3CA*M.cwCA+k.cwCP.s3CP*M.cwCP))*Molweight</f>
        <v>2.9851079399162124E-3</v>
      </c>
      <c r="AL79" s="160"/>
      <c r="AM79" s="160">
        <f>(k.s3CS.w1CS*M.s3CS+k.s3CA.w1CA*M.s3CA+k.s3CP.w1CP*M.s3CP)*Molweight</f>
        <v>2.7185904124102777E-3</v>
      </c>
      <c r="AN79" s="160"/>
      <c r="AO79" s="159"/>
      <c r="AP79" s="708">
        <f>SUM(AC79,AD79,AK79)-SUM(AE79,AF79,AH79,AL79,AM79,AP78,AG79)</f>
        <v>-5.6843195693556756E-4</v>
      </c>
      <c r="AQ79" s="16"/>
      <c r="AR79" s="43"/>
      <c r="AS79" s="2"/>
      <c r="AT79" s="2"/>
      <c r="AU79" s="2"/>
      <c r="AV79" s="2"/>
      <c r="AW79" s="2"/>
      <c r="AX79" s="2"/>
      <c r="AY79" s="2"/>
      <c r="AZ79" s="2"/>
      <c r="BA79" s="2"/>
      <c r="BB79" s="2"/>
      <c r="BC79" s="2"/>
      <c r="BD79" s="2"/>
      <c r="BE79" s="2"/>
      <c r="BF79" s="2"/>
      <c r="BG79" s="2"/>
      <c r="BH79" s="2"/>
      <c r="BI79" s="2"/>
      <c r="BJ79" s="2"/>
      <c r="BK79" s="2"/>
      <c r="BL79" s="43"/>
      <c r="BM79" s="2"/>
      <c r="BN79" s="2"/>
      <c r="BO79" s="110"/>
      <c r="BP79" s="110"/>
      <c r="BQ79" s="133"/>
      <c r="BR79" s="110"/>
      <c r="BS79" s="2"/>
      <c r="BT79" s="245">
        <f>AM24</f>
        <v>0</v>
      </c>
      <c r="BU79" s="134"/>
      <c r="BV79" s="137"/>
      <c r="BW79" s="110"/>
      <c r="BX79" s="2"/>
      <c r="BY79" s="110"/>
      <c r="BZ79" s="137"/>
      <c r="CA79" s="134"/>
      <c r="CB79" s="2"/>
      <c r="CC79" s="2"/>
      <c r="CD79" s="75"/>
      <c r="CE79" s="2"/>
    </row>
    <row r="80" spans="1:83" ht="12.75" customHeight="1" x14ac:dyDescent="0.3">
      <c r="A80" s="16"/>
      <c r="B80" s="156" t="s">
        <v>126</v>
      </c>
      <c r="C80" s="240">
        <f>M.s1RA*Molweight</f>
        <v>49106.518617760317</v>
      </c>
      <c r="D80" s="379">
        <f t="shared" si="26"/>
        <v>2.9679619226201945E-6</v>
      </c>
      <c r="E80" s="240">
        <f>M.s1CA*Molweight</f>
        <v>55044.117384131925</v>
      </c>
      <c r="F80" s="379">
        <f t="shared" si="27"/>
        <v>1.6785839110088539E-6</v>
      </c>
      <c r="G80" s="241"/>
      <c r="H80" s="379"/>
      <c r="I80" s="241"/>
      <c r="J80" s="379"/>
      <c r="K80" s="241"/>
      <c r="L80" s="394"/>
      <c r="M80" s="121">
        <f>C.s1RA*(Molweight*1000)/(FRACw.s1R*1000+(1-FRACa.s1R-FRACw.s1R)*RHOsolid)</f>
        <v>9.3613229506519427E-6</v>
      </c>
      <c r="N80" s="121">
        <f>C.s1CA*(Molweight*1000)/(FRACw.s1C*1000+(1-FRACa.s1C-FRACw.s1C)*RHOsolid)</f>
        <v>6.8805122648371958E-7</v>
      </c>
      <c r="O80" s="121"/>
      <c r="P80" s="121"/>
      <c r="Q80" s="121"/>
      <c r="R80" s="157" t="s">
        <v>213</v>
      </c>
      <c r="S80" s="160"/>
      <c r="T80" s="160"/>
      <c r="U80" s="160"/>
      <c r="V80" s="160"/>
      <c r="W80" s="159"/>
      <c r="X80" s="162"/>
      <c r="Y80" s="153"/>
      <c r="Z80" s="16"/>
      <c r="AA80" s="706" t="s">
        <v>158</v>
      </c>
      <c r="AB80" s="249"/>
      <c r="AC80" s="708"/>
      <c r="AD80" s="160"/>
      <c r="AE80" s="160"/>
      <c r="AF80" s="160"/>
      <c r="AG80" s="160"/>
      <c r="AH80" s="159"/>
      <c r="AI80" s="160"/>
      <c r="AJ80" s="160"/>
      <c r="AK80" s="160"/>
      <c r="AL80" s="160"/>
      <c r="AM80" s="160"/>
      <c r="AN80" s="160"/>
      <c r="AO80" s="159"/>
      <c r="AP80" s="725"/>
      <c r="AQ80" s="16"/>
      <c r="AR80" s="43"/>
      <c r="AS80" s="2"/>
      <c r="AT80" s="2"/>
      <c r="AU80" s="2"/>
      <c r="AV80" s="2"/>
      <c r="AW80" s="2"/>
      <c r="AX80" s="2"/>
      <c r="AY80" s="2"/>
      <c r="AZ80" s="2"/>
      <c r="BA80" s="2"/>
      <c r="BB80" s="2"/>
      <c r="BC80" s="2"/>
      <c r="BD80" s="2"/>
      <c r="BE80" s="2"/>
      <c r="BF80" s="2"/>
      <c r="BG80" s="2"/>
      <c r="BH80" s="2"/>
      <c r="BI80" s="2"/>
      <c r="BJ80" s="2"/>
      <c r="BK80" s="2"/>
      <c r="BL80" s="43"/>
      <c r="BM80" s="2"/>
      <c r="BN80" s="2"/>
      <c r="BO80" s="110"/>
      <c r="BP80" s="110"/>
      <c r="BQ80" s="133">
        <f>IF(AI25&lt;0,"",AI25)</f>
        <v>0</v>
      </c>
      <c r="BR80" s="110"/>
      <c r="BS80" s="110"/>
      <c r="BT80" s="135">
        <f>IF(AI24&lt;0,"",AI24)</f>
        <v>0</v>
      </c>
      <c r="BU80" s="134"/>
      <c r="BV80" s="135">
        <f>IF(AI23&lt;0,"",AI23)</f>
        <v>0</v>
      </c>
      <c r="BW80" s="111"/>
      <c r="BX80" s="133">
        <f>IF(AK28&lt;0,"",AK28)</f>
        <v>0</v>
      </c>
      <c r="BY80" s="110"/>
      <c r="BZ80" s="135">
        <f>IF(AK30&lt;0,"",AK30)</f>
        <v>0</v>
      </c>
      <c r="CA80" s="134"/>
      <c r="CB80" s="133">
        <f>IF(AK29&lt;0,"",AK29)</f>
        <v>0</v>
      </c>
      <c r="CC80" s="137"/>
      <c r="CD80" s="110"/>
      <c r="CE80" s="2"/>
    </row>
    <row r="81" spans="1:83" ht="12.75" customHeight="1" x14ac:dyDescent="0.3">
      <c r="A81" s="16"/>
      <c r="B81" s="156" t="s">
        <v>128</v>
      </c>
      <c r="C81" s="240">
        <f>M.s1RP*Molweight</f>
        <v>70584931.678507149</v>
      </c>
      <c r="D81" s="379">
        <f t="shared" si="26"/>
        <v>4.2661014347856827E-3</v>
      </c>
      <c r="E81" s="240">
        <f>M.s1CP*Molweight</f>
        <v>12792971.835924439</v>
      </c>
      <c r="F81" s="379">
        <f t="shared" si="27"/>
        <v>3.9012482565417052E-4</v>
      </c>
      <c r="G81" s="241"/>
      <c r="H81" s="379"/>
      <c r="I81" s="241"/>
      <c r="J81" s="379"/>
      <c r="K81" s="241"/>
      <c r="L81" s="394"/>
      <c r="M81" s="121">
        <f>C.s1RP*(Molweight*1000)/(FRACw.s1R*1000+(1-FRACa.s1R-FRACw.s1R)*RHOsolid)</f>
        <v>1.3455817261971993E-2</v>
      </c>
      <c r="N81" s="121">
        <f>C.s1CP*(Molweight*1000)/(FRACw.s1C*1000+(1-FRACa.s1C-FRACw.s1C)*RHOsolid)</f>
        <v>1.5991209197982324E-4</v>
      </c>
      <c r="O81" s="121"/>
      <c r="P81" s="121"/>
      <c r="Q81" s="121"/>
      <c r="R81" s="157" t="s">
        <v>213</v>
      </c>
      <c r="S81" s="160"/>
      <c r="T81" s="160"/>
      <c r="U81" s="160"/>
      <c r="V81" s="160"/>
      <c r="W81" s="159"/>
      <c r="X81" s="162"/>
      <c r="Y81" s="153"/>
      <c r="Z81" s="16"/>
      <c r="AA81" s="257" t="s">
        <v>117</v>
      </c>
      <c r="AB81" s="159" t="s">
        <v>160</v>
      </c>
      <c r="AC81" s="158">
        <f>E.aMS*Molweight</f>
        <v>0</v>
      </c>
      <c r="AD81" s="160">
        <f>(k.aC.aM*(M.aCS+M.aCA+M.aCP)+k.aA.aM*(M.aAS+M.aAA+M.aAP)+k.aT.aM*(M.aTS+M.aTA+M.aTP))*Molweight</f>
        <v>0.19272655476378461</v>
      </c>
      <c r="AE81" s="160">
        <f>(k.aM.aA+k.aM.aC+k.aM.aT)*(M.aMS+M.aMA+M.aMP)*Molweight</f>
        <v>8.9615552958944203E-2</v>
      </c>
      <c r="AF81" s="160">
        <f>kesc.aM*VOLUME.aM*(C.aMS+C.aMA+C.aMP)*Molweight</f>
        <v>2.8189352391793728E-5</v>
      </c>
      <c r="AG81" s="160"/>
      <c r="AH81" s="159">
        <f>(kdegS.a*C.aMS+kdegA.a*C.aMA+kdegP.a*C.aMP)*VOLUME.aM*Molweight</f>
        <v>0</v>
      </c>
      <c r="AI81" s="160">
        <f>SUM(AI82,AK85)</f>
        <v>0.10308281245244859</v>
      </c>
      <c r="AJ81" s="160">
        <f>SUM(AJ82,AL85)</f>
        <v>0</v>
      </c>
      <c r="AK81" s="160"/>
      <c r="AL81" s="160"/>
      <c r="AM81" s="160"/>
      <c r="AN81" s="160"/>
      <c r="AO81" s="159"/>
      <c r="AP81" s="708">
        <f>SUM(AC81,AD81,AJ81,AL81)-SUM(AE81,AF81,AH81,AI81,AK81)</f>
        <v>0</v>
      </c>
      <c r="AQ81" s="16"/>
      <c r="AR81" s="43"/>
      <c r="AS81" s="2"/>
      <c r="AT81" s="2"/>
      <c r="AU81" s="2"/>
      <c r="AV81" s="2"/>
      <c r="AW81" s="2"/>
      <c r="AX81" s="2"/>
      <c r="AY81" s="2"/>
      <c r="AZ81" s="2"/>
      <c r="BA81" s="2"/>
      <c r="BB81" s="2"/>
      <c r="BC81" s="2"/>
      <c r="BD81" s="2"/>
      <c r="BE81" s="2"/>
      <c r="BF81" s="2"/>
      <c r="BG81" s="2"/>
      <c r="BH81" s="2"/>
      <c r="BI81" s="2"/>
      <c r="BJ81" s="2"/>
      <c r="BK81" s="2"/>
      <c r="BL81" s="43"/>
      <c r="BM81" s="2"/>
      <c r="BN81" s="131">
        <f>AE23</f>
        <v>0</v>
      </c>
      <c r="BO81" s="110"/>
      <c r="BP81" s="110"/>
      <c r="BQ81" s="134"/>
      <c r="BR81" s="110"/>
      <c r="BS81" s="110"/>
      <c r="BT81" s="134"/>
      <c r="BU81" s="247"/>
      <c r="BV81" s="134"/>
      <c r="BW81" s="52"/>
      <c r="BX81" s="134"/>
      <c r="BY81" s="110"/>
      <c r="BZ81" s="134"/>
      <c r="CA81" s="134"/>
      <c r="CB81" s="52"/>
      <c r="CC81" s="138"/>
      <c r="CD81" s="110"/>
      <c r="CE81" s="2"/>
    </row>
    <row r="82" spans="1:83" ht="12.75" customHeight="1" x14ac:dyDescent="0.3">
      <c r="A82" s="16"/>
      <c r="B82" s="156"/>
      <c r="C82" s="240"/>
      <c r="D82" s="379"/>
      <c r="E82" s="241"/>
      <c r="F82" s="379"/>
      <c r="G82" s="241"/>
      <c r="H82" s="379"/>
      <c r="I82" s="241"/>
      <c r="J82" s="379"/>
      <c r="K82" s="241"/>
      <c r="L82" s="394"/>
      <c r="M82" s="121"/>
      <c r="N82" s="121"/>
      <c r="O82" s="121"/>
      <c r="P82" s="121"/>
      <c r="Q82" s="121"/>
      <c r="R82" s="157"/>
      <c r="S82" s="160"/>
      <c r="T82" s="160"/>
      <c r="U82" s="160"/>
      <c r="V82" s="160"/>
      <c r="W82" s="159"/>
      <c r="X82" s="162"/>
      <c r="Y82" s="153"/>
      <c r="Z82" s="16"/>
      <c r="AA82" s="257" t="s">
        <v>162</v>
      </c>
      <c r="AB82" s="159" t="s">
        <v>163</v>
      </c>
      <c r="AC82" s="158">
        <f>E.w2MS*Molweight</f>
        <v>0</v>
      </c>
      <c r="AD82" s="160">
        <f>(k.w2C.w2M*(M.w2CS+M.w2CA+M.w2CP)+k.w2A.w2M*(M.w2AS+M.w2AA+M.w2AP)+k.w2T.w2M*(M.w2TS+M.w2TA+M.w2TP)+k.w3M.w2M*(M.w3MS+M.w3MA+M.w3MP))*Molweight</f>
        <v>48951.076107248024</v>
      </c>
      <c r="AE82" s="160">
        <f>((k.w2M.w2C+k.w2M.w2A+k.w2M.w2T)*(M.w2MS+M.w2MA+M.w2MP)+k.w2MS.w3MS*M.w2MS+k.w2MA.w3MA*M.w2MA+k.w2MP.w3MP*M.w2MP)*Molweight</f>
        <v>48951.178958905803</v>
      </c>
      <c r="AF82" s="160"/>
      <c r="AG82" s="160">
        <f>(kdis.w2S.w2D*M.w2MS+kdis.w2A.w2D*M.w2MA+kdis.w2P.w2D*M.w2MP)*Molweight</f>
        <v>0</v>
      </c>
      <c r="AH82" s="159">
        <f>(kdegS.w2*C.w2MS+kdegA.w2*C.w2MA+kdegP.w2*C.w2MP)*VOLUME.w2M*Molweight</f>
        <v>0</v>
      </c>
      <c r="AI82" s="160">
        <f>((k.aMS.w2MS*M.aMS+k.aMA.w2MA*M.aMA+k.aMP.w2MP*M.aMP)+(k.cwMS.w2MS*M.cwMS+k.cwMA.w2MA*M.cwMA+k.cwMP.w2MP*M.cwMP))*Molweight</f>
        <v>6.8472779272914661E-2</v>
      </c>
      <c r="AJ82" s="160"/>
      <c r="AK82" s="160"/>
      <c r="AL82" s="160"/>
      <c r="AM82" s="160">
        <f>(k.sMS.w2MS*M.sMS+k.sMA.w2MA*M.sMA+k.sMP.w2MP*M.sMP)*Molweight</f>
        <v>3.4378878502250437E-2</v>
      </c>
      <c r="AN82" s="160"/>
      <c r="AO82" s="159"/>
      <c r="AP82" s="708">
        <f>SUM(AC82,AD82,AI82,AM82)-SUM(AE82,AF82,AH82,AJ82,AG82)</f>
        <v>0</v>
      </c>
      <c r="AQ82" s="16"/>
      <c r="AR82" s="43"/>
      <c r="AS82" s="2"/>
      <c r="AT82" s="2"/>
      <c r="AU82" s="2"/>
      <c r="AV82" s="2"/>
      <c r="AW82" s="2"/>
      <c r="AX82" s="2"/>
      <c r="AY82" s="2"/>
      <c r="AZ82" s="2"/>
      <c r="BA82" s="2"/>
      <c r="BB82" s="2"/>
      <c r="BC82" s="2"/>
      <c r="BD82" s="2"/>
      <c r="BE82" s="2"/>
      <c r="BF82" s="2"/>
      <c r="BG82" s="2"/>
      <c r="BH82" s="2"/>
      <c r="BI82" s="2"/>
      <c r="BJ82" s="2"/>
      <c r="BK82" s="2"/>
      <c r="BL82" s="43"/>
      <c r="BM82" s="2"/>
      <c r="BN82" s="131">
        <f>AE24</f>
        <v>0</v>
      </c>
      <c r="BO82" s="110"/>
      <c r="BP82" s="110"/>
      <c r="BQ82" s="134"/>
      <c r="BR82" s="110"/>
      <c r="BS82" s="127">
        <f>AD24</f>
        <v>0</v>
      </c>
      <c r="BT82" s="110"/>
      <c r="BU82" s="134"/>
      <c r="BV82" s="134"/>
      <c r="BW82" s="110"/>
      <c r="BX82" s="134"/>
      <c r="BY82" s="110"/>
      <c r="BZ82" s="134"/>
      <c r="CA82" s="134"/>
      <c r="CB82" s="110"/>
      <c r="CC82" s="134"/>
      <c r="CD82" s="110"/>
      <c r="CE82" s="2"/>
    </row>
    <row r="83" spans="1:83" ht="12.75" customHeight="1" x14ac:dyDescent="0.3">
      <c r="A83" s="16"/>
      <c r="B83" s="101" t="s">
        <v>216</v>
      </c>
      <c r="C83" s="240">
        <f>SUM(C84,C87:C89)</f>
        <v>16384678333.182163</v>
      </c>
      <c r="D83" s="379">
        <f t="shared" ref="D83:D89" si="28">C83/$C$103</f>
        <v>0.99027792594682384</v>
      </c>
      <c r="E83" s="240">
        <f>SUM(E84,E87:E89)</f>
        <v>113984506.8771732</v>
      </c>
      <c r="F83" s="379">
        <f>E83/$E$103</f>
        <v>3.4759855992069775E-3</v>
      </c>
      <c r="G83" s="241"/>
      <c r="H83" s="379"/>
      <c r="I83" s="241"/>
      <c r="J83" s="379"/>
      <c r="K83" s="241"/>
      <c r="L83" s="394"/>
      <c r="M83" s="392">
        <f>((M.s2RD+M.s2RS+M.s2RA+M.s2RP)*Molweight*1000/(VOLUME.s2R))/(FRACw.s2R*1000+(1-FRACa.s2R-FRACw.s2R)*RHOsolid)</f>
        <v>0.35138929278931502</v>
      </c>
      <c r="N83" s="392">
        <f>((M.s2CD+M.s2CS+M.s2CA+M.s2CP)*Molweight*1000/(VOLUME.s2C))/(FRACw.s2C*1000+(1-FRACa.s2C-FRACw.s2C)*RHOsolid)</f>
        <v>1.6029065669429489E-4</v>
      </c>
      <c r="O83" s="121"/>
      <c r="P83" s="121"/>
      <c r="Q83" s="121"/>
      <c r="R83" s="157" t="s">
        <v>151</v>
      </c>
      <c r="S83" s="160"/>
      <c r="T83" s="160"/>
      <c r="U83" s="160"/>
      <c r="V83" s="160"/>
      <c r="W83" s="159"/>
      <c r="X83" s="162"/>
      <c r="Y83" s="153"/>
      <c r="Z83" s="16"/>
      <c r="AA83" s="257" t="s">
        <v>165</v>
      </c>
      <c r="AB83" s="159" t="s">
        <v>166</v>
      </c>
      <c r="AC83" s="158"/>
      <c r="AD83" s="160">
        <f>(k.w2MS.w3MS*M.w2MS+k.w2MA.w3MA*M.w2MA+k.w2MP.w3MP*M.w2MP+k.w3A.w3M*(M.w3AS+M.w3AA+M.w3AP)+k.w3T.w3M*(M.w3TS+M.w3TA+M.w3TP))*Molweight</f>
        <v>47941.993302585339</v>
      </c>
      <c r="AE83" s="160">
        <f>(k.w3M.w2M+k.w3M.w3A+k.w3M.w3T)*(M.w3MS+M.w3MA+M.w3MP)*Molweight</f>
        <v>47941.967621793614</v>
      </c>
      <c r="AF83" s="160"/>
      <c r="AG83" s="160">
        <f>(kdis.w2S.w2D*M.w3MS+kdis.w2A.w2D*M.w3MA+kdis.w2P.w2D*M.w3MP)*Molweight</f>
        <v>0</v>
      </c>
      <c r="AH83" s="159">
        <f>(kdegS.w3*C.w3MS+kdegA.w3*C.w3MA+kdegP.w3*C.w3MP)*VOLUME.w3M*Molweight</f>
        <v>0</v>
      </c>
      <c r="AI83" s="160"/>
      <c r="AJ83" s="160"/>
      <c r="AK83" s="160"/>
      <c r="AL83" s="160"/>
      <c r="AM83" s="160"/>
      <c r="AN83" s="160">
        <f>(k.w3MS.sdMS*M.w3MS+k.w3MA.sdMA*M.w3MA+k.w3MP.sdMP*M.w3MP)*Molweight</f>
        <v>83.008804893797489</v>
      </c>
      <c r="AO83" s="159">
        <f>(k.sdMS.w3MS*M.sdMS+k.sdMA.w3MA*M.sdMA+k.sdMP.w3MP*M.sdMP)*Molweight</f>
        <v>82.983124102080865</v>
      </c>
      <c r="AP83" s="708">
        <f>SUM(AC83,AD83,AI83,AM83,AO83)-SUM(AE83,AF83,AH83,AJ83,AN83,AG83)</f>
        <v>0</v>
      </c>
      <c r="AQ83" s="16"/>
      <c r="AR83" s="43"/>
      <c r="AS83" s="2"/>
      <c r="AT83" s="2"/>
      <c r="AU83" s="2"/>
      <c r="AV83" s="2"/>
      <c r="AW83" s="2"/>
      <c r="AX83" s="2"/>
      <c r="AY83" s="2"/>
      <c r="AZ83" s="2"/>
      <c r="BA83" s="2"/>
      <c r="BB83" s="2"/>
      <c r="BC83" s="2"/>
      <c r="BD83" s="2"/>
      <c r="BE83" s="2"/>
      <c r="BF83" s="2"/>
      <c r="BG83" s="2"/>
      <c r="BH83" s="2"/>
      <c r="BI83" s="2"/>
      <c r="BJ83" s="2"/>
      <c r="BK83" s="2"/>
      <c r="BL83" s="43"/>
      <c r="BM83" s="2"/>
      <c r="BN83" s="131">
        <f>AE25</f>
        <v>0</v>
      </c>
      <c r="BO83" s="129"/>
      <c r="BP83" s="127">
        <f>AD25</f>
        <v>0</v>
      </c>
      <c r="BQ83" s="246"/>
      <c r="BR83" s="131"/>
      <c r="BS83" s="132"/>
      <c r="BT83" s="52">
        <f>AH24</f>
        <v>0</v>
      </c>
      <c r="BU83" s="110"/>
      <c r="BV83" s="739">
        <f>AH23</f>
        <v>0</v>
      </c>
      <c r="BW83" s="110"/>
      <c r="BX83" s="134"/>
      <c r="BY83" s="110"/>
      <c r="BZ83" s="2"/>
      <c r="CA83" s="110"/>
      <c r="CB83" s="2"/>
      <c r="CC83" s="138"/>
      <c r="CD83" s="110"/>
      <c r="CE83" s="2"/>
    </row>
    <row r="84" spans="1:83" ht="12.75" customHeight="1" x14ac:dyDescent="0.3">
      <c r="A84" s="16"/>
      <c r="B84" s="376" t="s">
        <v>116</v>
      </c>
      <c r="C84" s="240">
        <f>M.s2R*Molweight</f>
        <v>0</v>
      </c>
      <c r="D84" s="379">
        <f t="shared" si="28"/>
        <v>0</v>
      </c>
      <c r="E84" s="240">
        <f>M.s2C*Molweight</f>
        <v>0</v>
      </c>
      <c r="F84" s="379">
        <f t="shared" ref="F84:F89" si="29">E84/$E$103</f>
        <v>0</v>
      </c>
      <c r="G84" s="160"/>
      <c r="H84" s="379"/>
      <c r="I84" s="241"/>
      <c r="J84" s="379"/>
      <c r="K84" s="241"/>
      <c r="L84" s="394"/>
      <c r="M84" s="121">
        <f>C.s2R*(Molweight*1000)/(FRACw.s2R*1000+(1-FRACa.s2R-FRACw.s2R)*RHOsolid)</f>
        <v>0</v>
      </c>
      <c r="N84" s="121">
        <f>C.s2C*(Molweight*1000)/(FRACw.s2C*1000+(1-FRACa.s2C-FRACw.s2C)*RHOsolid)</f>
        <v>0</v>
      </c>
      <c r="O84" s="121"/>
      <c r="P84" s="121"/>
      <c r="Q84" s="121"/>
      <c r="R84" s="157" t="s">
        <v>151</v>
      </c>
      <c r="S84" s="160">
        <f>F.s2R</f>
        <v>0</v>
      </c>
      <c r="T84" s="160">
        <f>F.s2C</f>
        <v>0</v>
      </c>
      <c r="U84" s="160"/>
      <c r="V84" s="160"/>
      <c r="W84" s="159"/>
      <c r="X84" s="162"/>
      <c r="Y84" s="153"/>
      <c r="Z84" s="16"/>
      <c r="AA84" s="257" t="s">
        <v>181</v>
      </c>
      <c r="AB84" s="159" t="s">
        <v>167</v>
      </c>
      <c r="AC84" s="158"/>
      <c r="AD84" s="160"/>
      <c r="AE84" s="160"/>
      <c r="AF84" s="160">
        <f>kbur.sdM*(M.sdMS+M.sdMA+M.sdMP)*Molweight</f>
        <v>2.5680791716655656E-2</v>
      </c>
      <c r="AG84" s="160">
        <f>(kdis.sd2S.sd2D*M.sdMS+kdis.sd2A.sd2D*M.sdMA+kdis.sd2P.sd2D*M.sdMP)*Molweight</f>
        <v>0</v>
      </c>
      <c r="AH84" s="159">
        <f>(kdegS.sd2*C.sdMS+kdegA.sd2*C.sdMA+kdegP.sd2*C.sdMP)*VOLUME.sdM*Molweight</f>
        <v>0</v>
      </c>
      <c r="AI84" s="160"/>
      <c r="AJ84" s="160"/>
      <c r="AK84" s="160"/>
      <c r="AL84" s="160"/>
      <c r="AM84" s="160"/>
      <c r="AN84" s="160">
        <f>AN83</f>
        <v>83.008804893797489</v>
      </c>
      <c r="AO84" s="159">
        <f>AO83</f>
        <v>82.983124102080865</v>
      </c>
      <c r="AP84" s="708">
        <f>SUM(AC84,AD84,AN84)-SUM(AE84,AF84,AH84,AO84,AG84)</f>
        <v>0</v>
      </c>
      <c r="AQ84" s="16"/>
      <c r="AR84" s="43"/>
      <c r="AS84" s="2"/>
      <c r="AT84" s="2"/>
      <c r="AU84" s="2"/>
      <c r="AV84" s="2"/>
      <c r="AW84" s="2"/>
      <c r="AX84" s="2"/>
      <c r="AY84" s="2"/>
      <c r="AZ84" s="2"/>
      <c r="BA84" s="2"/>
      <c r="BB84" s="2"/>
      <c r="BC84" s="2"/>
      <c r="BD84" s="2"/>
      <c r="BE84" s="2"/>
      <c r="BF84" s="2"/>
      <c r="BG84" s="2"/>
      <c r="BH84" s="2"/>
      <c r="BI84" s="2"/>
      <c r="BJ84" s="2"/>
      <c r="BK84" s="2"/>
      <c r="BL84" s="43"/>
      <c r="BM84" s="2"/>
      <c r="BN84" s="125"/>
      <c r="BO84" s="126"/>
      <c r="BP84" s="126"/>
      <c r="BQ84" s="126"/>
      <c r="BR84" s="129"/>
      <c r="BS84" s="110"/>
      <c r="BT84" s="110"/>
      <c r="BU84" s="134"/>
      <c r="BV84" s="248">
        <f>AC23</f>
        <v>0</v>
      </c>
      <c r="BW84" s="52"/>
      <c r="BX84" s="133"/>
      <c r="BY84" s="2"/>
      <c r="BZ84" s="81"/>
      <c r="CA84" s="110"/>
      <c r="CB84" s="110"/>
      <c r="CC84" s="137"/>
      <c r="CD84" s="110"/>
      <c r="CE84" s="2"/>
    </row>
    <row r="85" spans="1:83" ht="12.75" customHeight="1" x14ac:dyDescent="0.3">
      <c r="A85" s="16"/>
      <c r="B85" s="156" t="s">
        <v>215</v>
      </c>
      <c r="C85" s="240">
        <f>C84*FRwD.s2R</f>
        <v>0</v>
      </c>
      <c r="D85" s="379">
        <f t="shared" si="28"/>
        <v>0</v>
      </c>
      <c r="E85" s="240">
        <f>E84*FRw.s2C</f>
        <v>0</v>
      </c>
      <c r="F85" s="379">
        <f t="shared" si="29"/>
        <v>0</v>
      </c>
      <c r="G85" s="241"/>
      <c r="H85" s="379"/>
      <c r="I85" s="241"/>
      <c r="J85" s="379"/>
      <c r="K85" s="241"/>
      <c r="L85" s="394"/>
      <c r="M85" s="121">
        <f>M86/Kp.s2R</f>
        <v>0</v>
      </c>
      <c r="N85" s="121">
        <f>N86/Kp.s2C</f>
        <v>0</v>
      </c>
      <c r="O85" s="121"/>
      <c r="P85" s="121"/>
      <c r="Q85" s="121"/>
      <c r="R85" s="157" t="s">
        <v>134</v>
      </c>
      <c r="S85" s="160">
        <f>S84*FRACw.s2R</f>
        <v>0</v>
      </c>
      <c r="T85" s="160">
        <f>T84*FRACw.s2C</f>
        <v>0</v>
      </c>
      <c r="U85" s="160"/>
      <c r="V85" s="160"/>
      <c r="W85" s="159"/>
      <c r="X85" s="162"/>
      <c r="Y85" s="153"/>
      <c r="Z85" s="16"/>
      <c r="AA85" s="257" t="s">
        <v>182</v>
      </c>
      <c r="AB85" s="159" t="s">
        <v>168</v>
      </c>
      <c r="AC85" s="158">
        <f>E.sMS*Molweight</f>
        <v>0</v>
      </c>
      <c r="AD85" s="160"/>
      <c r="AE85" s="160"/>
      <c r="AF85" s="160">
        <f>kleach.sM*(M.sMS+M.sMA)*Molweight</f>
        <v>2.3115467728349498E-4</v>
      </c>
      <c r="AG85" s="160">
        <f>(kdis.s1S.s1D*M.sMS+kdis.s1A.s1D*M.sMA+kdis.s1P.s1D*M.sMP)*Molweight</f>
        <v>0</v>
      </c>
      <c r="AH85" s="159">
        <f>(kdegS.s1*C.sMS+kdegA.s1*C.sMA+kdegP.s1*C.sMP)*VOLUME.sM*Molweight</f>
        <v>0</v>
      </c>
      <c r="AI85" s="160"/>
      <c r="AJ85" s="160"/>
      <c r="AK85" s="160">
        <f>((k.aMS.sMS*M.aMS+k.aMA.sMA*M.aMA+k.aMP.sMP*M.aMP)+(k.cwMS.sMS*M.cwMS+k.cwMA.sMA*M.cwMA+k.cwMP.sMP*M.cwMP))*Molweight</f>
        <v>3.4610033179533928E-2</v>
      </c>
      <c r="AL85" s="160"/>
      <c r="AM85" s="160">
        <f>AM82</f>
        <v>3.4378878502250437E-2</v>
      </c>
      <c r="AN85" s="160"/>
      <c r="AO85" s="159"/>
      <c r="AP85" s="708">
        <f>SUM(AC85,AD85,AK85)-SUM(AE85,AF85,AH85,AL85,AM85,AG85)</f>
        <v>0</v>
      </c>
      <c r="AQ85" s="16"/>
      <c r="AR85" s="43"/>
      <c r="AS85" s="2"/>
      <c r="AT85" s="2"/>
      <c r="AU85" s="2"/>
      <c r="AV85" s="2"/>
      <c r="AW85" s="2"/>
      <c r="AX85" s="2"/>
      <c r="AY85" s="2"/>
      <c r="AZ85" s="2"/>
      <c r="BA85" s="2"/>
      <c r="BB85" s="2"/>
      <c r="BC85" s="2"/>
      <c r="BD85" s="2"/>
      <c r="BE85" s="2"/>
      <c r="BF85" s="2"/>
      <c r="BG85" s="2"/>
      <c r="BH85" s="2"/>
      <c r="BI85" s="2"/>
      <c r="BJ85" s="2"/>
      <c r="BK85" s="2"/>
      <c r="BL85" s="43"/>
      <c r="BM85" s="2"/>
      <c r="BN85" s="125"/>
      <c r="BO85" s="129"/>
      <c r="BP85" s="127"/>
      <c r="BQ85" s="110"/>
      <c r="BR85" s="126"/>
      <c r="BS85" s="248">
        <f>AC24</f>
        <v>0</v>
      </c>
      <c r="BT85" s="39" t="s">
        <v>145</v>
      </c>
      <c r="BU85" s="137"/>
      <c r="BV85" s="95" t="s">
        <v>146</v>
      </c>
      <c r="BW85" s="110"/>
      <c r="BX85" s="2"/>
      <c r="BY85" s="110"/>
      <c r="BZ85" s="2"/>
      <c r="CA85" s="110"/>
      <c r="CB85" s="110"/>
      <c r="CC85" s="52"/>
      <c r="CD85" s="2"/>
      <c r="CE85" s="2"/>
    </row>
    <row r="86" spans="1:83" ht="12.75" customHeight="1" x14ac:dyDescent="0.3">
      <c r="A86" s="16"/>
      <c r="B86" s="156" t="s">
        <v>155</v>
      </c>
      <c r="C86" s="240">
        <f>C84*FRs.s2R</f>
        <v>0</v>
      </c>
      <c r="D86" s="379">
        <f t="shared" si="28"/>
        <v>0</v>
      </c>
      <c r="E86" s="240">
        <f>E84*FRs.s2C</f>
        <v>0</v>
      </c>
      <c r="F86" s="379">
        <f t="shared" si="29"/>
        <v>0</v>
      </c>
      <c r="G86" s="241"/>
      <c r="H86" s="379"/>
      <c r="I86" s="241"/>
      <c r="J86" s="379"/>
      <c r="K86" s="241"/>
      <c r="L86" s="394"/>
      <c r="M86" s="121">
        <f>C.s2R*FRs.s2R*(Molweight*1000)/(FRACs.s2R*RHOsolid)</f>
        <v>0</v>
      </c>
      <c r="N86" s="121">
        <f>C.s2C*FRs.s2C*(Molweight*1000)/(FRACs.s2C*RHOsolid)</f>
        <v>0</v>
      </c>
      <c r="O86" s="121"/>
      <c r="P86" s="121"/>
      <c r="Q86" s="121"/>
      <c r="R86" s="157" t="s">
        <v>140</v>
      </c>
      <c r="S86" s="160">
        <f>S84*(1-FRACw.s2R)</f>
        <v>0</v>
      </c>
      <c r="T86" s="160">
        <f>T84*(1-FRACw.s2C)</f>
        <v>0</v>
      </c>
      <c r="U86" s="160"/>
      <c r="V86" s="160"/>
      <c r="W86" s="159"/>
      <c r="X86" s="162"/>
      <c r="Y86" s="153"/>
      <c r="Z86" s="16"/>
      <c r="AA86" s="706" t="s">
        <v>183</v>
      </c>
      <c r="AB86" s="249"/>
      <c r="AC86" s="708"/>
      <c r="AD86" s="160"/>
      <c r="AE86" s="160"/>
      <c r="AF86" s="160"/>
      <c r="AG86" s="160"/>
      <c r="AH86" s="159"/>
      <c r="AI86" s="160"/>
      <c r="AJ86" s="160"/>
      <c r="AK86" s="160"/>
      <c r="AL86" s="160"/>
      <c r="AM86" s="160"/>
      <c r="AN86" s="160"/>
      <c r="AO86" s="159"/>
      <c r="AP86" s="725"/>
      <c r="AQ86" s="16"/>
      <c r="AR86" s="43"/>
      <c r="AS86" s="2"/>
      <c r="AT86" s="2"/>
      <c r="AU86" s="2"/>
      <c r="AV86" s="2"/>
      <c r="AW86" s="2"/>
      <c r="AX86" s="2"/>
      <c r="AY86" s="2"/>
      <c r="AZ86" s="2"/>
      <c r="BA86" s="2"/>
      <c r="BB86" s="2"/>
      <c r="BC86" s="2"/>
      <c r="BD86" s="2"/>
      <c r="BE86" s="2"/>
      <c r="BF86" s="2"/>
      <c r="BG86" s="2"/>
      <c r="BH86" s="2"/>
      <c r="BI86" s="2"/>
      <c r="BJ86" s="2"/>
      <c r="BK86" s="2"/>
      <c r="BL86" s="43"/>
      <c r="BM86" s="2"/>
      <c r="BN86" s="110"/>
      <c r="BO86" s="126"/>
      <c r="BP86" s="130">
        <f>AC25</f>
        <v>0</v>
      </c>
      <c r="BQ86" s="126"/>
      <c r="BR86" s="129"/>
      <c r="BS86" s="137">
        <f>IF(AO26&lt;0,"",AO26)</f>
        <v>0</v>
      </c>
      <c r="BT86" s="79">
        <f>IF(ISERROR(F36),0,F36)</f>
        <v>0</v>
      </c>
      <c r="BU86" s="110"/>
      <c r="BV86" s="79">
        <f>IF(ISERROR(E20),0,E20)</f>
        <v>0</v>
      </c>
      <c r="BW86" s="2"/>
      <c r="BX86" s="73" t="s">
        <v>147</v>
      </c>
      <c r="BY86" s="39"/>
      <c r="BZ86" s="73" t="s">
        <v>148</v>
      </c>
      <c r="CA86" s="110"/>
      <c r="CB86" s="110"/>
      <c r="CC86" s="73" t="s">
        <v>149</v>
      </c>
      <c r="CD86" s="91"/>
      <c r="CE86" s="2"/>
    </row>
    <row r="87" spans="1:83" ht="12.75" customHeight="1" x14ac:dyDescent="0.3">
      <c r="A87" s="16"/>
      <c r="B87" s="156" t="s">
        <v>123</v>
      </c>
      <c r="C87" s="240">
        <f>M.s2RS*Molweight</f>
        <v>15.88859426969044</v>
      </c>
      <c r="D87" s="379">
        <f t="shared" si="28"/>
        <v>9.602949694614984E-10</v>
      </c>
      <c r="E87" s="240">
        <f>M.s2CS*Molweight</f>
        <v>9.9244553722822343E-2</v>
      </c>
      <c r="F87" s="379">
        <f t="shared" si="29"/>
        <v>3.0264870989176397E-12</v>
      </c>
      <c r="G87" s="241"/>
      <c r="H87" s="379"/>
      <c r="I87" s="241"/>
      <c r="J87" s="379"/>
      <c r="K87" s="241"/>
      <c r="L87" s="394"/>
      <c r="M87" s="121">
        <f>C.s2RS*(Molweight*1000)/(FRACw.s2R*1000+(1-FRACa.s2R-FRACw.s2R)*RHOsolid)</f>
        <v>3.4075016856059114E-10</v>
      </c>
      <c r="N87" s="121">
        <f>C.s2CS*(Molweight*1000)/(FRACw.s2C*1000+(1-FRACa.s2C-FRACw.s2C)*RHOsolid)</f>
        <v>1.3956260482580719E-13</v>
      </c>
      <c r="O87" s="121"/>
      <c r="P87" s="121"/>
      <c r="Q87" s="121"/>
      <c r="R87" s="157" t="s">
        <v>151</v>
      </c>
      <c r="S87" s="160"/>
      <c r="T87" s="160"/>
      <c r="U87" s="160"/>
      <c r="V87" s="160"/>
      <c r="W87" s="159"/>
      <c r="X87" s="162"/>
      <c r="Y87" s="153"/>
      <c r="Z87" s="16"/>
      <c r="AA87" s="257" t="s">
        <v>117</v>
      </c>
      <c r="AB87" s="159" t="s">
        <v>169</v>
      </c>
      <c r="AC87" s="158">
        <f>E.aAS*Molweight</f>
        <v>0</v>
      </c>
      <c r="AD87" s="160">
        <f>k.aM.aA*(M.aMS+M.aMA+M.aMP)*Molweight</f>
        <v>2.9189497104953433E-2</v>
      </c>
      <c r="AE87" s="160">
        <f>k.aA.aM*(M.aAS+M.aAA+M.aAP)*Molweight</f>
        <v>1.0917333484932594E-2</v>
      </c>
      <c r="AF87" s="160">
        <f>kesc.aA*VOLUME.aA*(C.aAS+C.aAA+C.aAP)*Molweight</f>
        <v>5.7764842658408399E-6</v>
      </c>
      <c r="AG87" s="160"/>
      <c r="AH87" s="159">
        <f>(kdegS.a*C.aAS+kdegA.a*C.aAA+kdegP.a*C.aAP)*VOLUME.aA*Molweight</f>
        <v>0</v>
      </c>
      <c r="AI87" s="160">
        <f>SUM(AI88,AK91)</f>
        <v>1.8266387135755003E-2</v>
      </c>
      <c r="AJ87" s="160">
        <f>SUM(AJ88,AL91)</f>
        <v>0</v>
      </c>
      <c r="AK87" s="160"/>
      <c r="AL87" s="160"/>
      <c r="AM87" s="160"/>
      <c r="AN87" s="160"/>
      <c r="AO87" s="159"/>
      <c r="AP87" s="708">
        <f>SUM(AC87,AD87,AJ87,AL87)-SUM(AE87,AF87,AH87,AI87,AK87)</f>
        <v>0</v>
      </c>
      <c r="AQ87" s="16"/>
      <c r="AR87" s="43"/>
      <c r="AS87" s="2"/>
      <c r="AT87" s="2"/>
      <c r="AU87" s="2"/>
      <c r="AV87" s="2"/>
      <c r="AW87" s="2"/>
      <c r="AX87" s="2"/>
      <c r="AY87" s="2"/>
      <c r="AZ87" s="2"/>
      <c r="BA87" s="2"/>
      <c r="BB87" s="2"/>
      <c r="BC87" s="2"/>
      <c r="BD87" s="2"/>
      <c r="BE87" s="2"/>
      <c r="BF87" s="2"/>
      <c r="BG87" s="2"/>
      <c r="BH87" s="2"/>
      <c r="BI87" s="2"/>
      <c r="BJ87" s="2"/>
      <c r="BK87" s="2"/>
      <c r="BL87" s="43"/>
      <c r="BM87" s="2"/>
      <c r="BN87" s="2"/>
      <c r="BO87" s="81"/>
      <c r="BP87" s="110"/>
      <c r="BQ87" s="2"/>
      <c r="BR87" s="110"/>
      <c r="BS87" s="140"/>
      <c r="BT87" s="110"/>
      <c r="BU87" s="110"/>
      <c r="BV87" s="134"/>
      <c r="BW87" s="2"/>
      <c r="BX87" s="93">
        <f>IF(ISERROR(F76),0,F76)</f>
        <v>0</v>
      </c>
      <c r="BY87" s="39"/>
      <c r="BZ87" s="93">
        <f>IF(ISERROR(F92),0,F92)</f>
        <v>0</v>
      </c>
      <c r="CA87" s="110"/>
      <c r="CB87" s="110"/>
      <c r="CC87" s="93">
        <f>IF(ISERROR(F84),0,F84)</f>
        <v>0</v>
      </c>
      <c r="CD87" s="2"/>
      <c r="CE87" s="2"/>
    </row>
    <row r="88" spans="1:83" ht="12.75" customHeight="1" x14ac:dyDescent="0.3">
      <c r="A88" s="16"/>
      <c r="B88" s="156" t="s">
        <v>126</v>
      </c>
      <c r="C88" s="240">
        <f>M.s2RA*Molweight</f>
        <v>3987678.5905492883</v>
      </c>
      <c r="D88" s="379">
        <f t="shared" si="28"/>
        <v>2.4101236555827839E-4</v>
      </c>
      <c r="E88" s="240">
        <f>M.s2CA*Molweight</f>
        <v>268820.01866543904</v>
      </c>
      <c r="F88" s="379">
        <f t="shared" si="29"/>
        <v>8.1977326503374553E-6</v>
      </c>
      <c r="G88" s="241"/>
      <c r="H88" s="379"/>
      <c r="I88" s="241"/>
      <c r="J88" s="379"/>
      <c r="K88" s="241"/>
      <c r="L88" s="394"/>
      <c r="M88" s="121">
        <f>C.s2RA*(Molweight*1000)/(FRACw.s2R*1000+(1-FRACa.s2R-FRACw.s2R)*RHOsolid)</f>
        <v>8.5520602315789646E-5</v>
      </c>
      <c r="N88" s="121">
        <f>C.s2CA*(Molweight*1000)/(FRACw.s2C*1000+(1-FRACa.s2C-FRACw.s2C)*RHOsolid)</f>
        <v>3.7802801893846694E-7</v>
      </c>
      <c r="O88" s="121"/>
      <c r="P88" s="121"/>
      <c r="Q88" s="121"/>
      <c r="R88" s="157" t="s">
        <v>151</v>
      </c>
      <c r="S88" s="160"/>
      <c r="T88" s="160"/>
      <c r="U88" s="160"/>
      <c r="V88" s="160"/>
      <c r="W88" s="159"/>
      <c r="X88" s="162"/>
      <c r="Y88" s="153"/>
      <c r="Z88" s="16"/>
      <c r="AA88" s="257" t="s">
        <v>162</v>
      </c>
      <c r="AB88" s="159" t="s">
        <v>170</v>
      </c>
      <c r="AC88" s="158">
        <f>E.w2AS*Molweight</f>
        <v>0</v>
      </c>
      <c r="AD88" s="160">
        <f>(k.w2M.w2A*(M.w2MS+M.w2MA+M.w2MP)+k.w3A.w2A*(M.w3AS+M.w3AA+M.w3AP))*Molweight</f>
        <v>35872.10159460795</v>
      </c>
      <c r="AE88" s="160">
        <f>(k.w2A.w2M*(M.w2AS+M.w2AA+M.w2AP)+k.w2AS.w3AS*M.w2AS+k.w2AA.w3AA*M.w2AA+k.w2AP.w3AP*M.w2AP)*Molweight</f>
        <v>35872.119833856123</v>
      </c>
      <c r="AF88" s="160"/>
      <c r="AG88" s="160">
        <f>(kdis.w2S.w2D*M.w2AS+kdis.w2A.w2D*M.w2AA+kdis.w2P.w2D*M.w2AP)*Molweight</f>
        <v>0</v>
      </c>
      <c r="AH88" s="159">
        <f>(kdegS.w2*C.w2AS+kdegA.w2*C.w2AA+kdegP.w2*C.w2AP)*VOLUME.w2A*Molweight</f>
        <v>0</v>
      </c>
      <c r="AI88" s="160">
        <f>((k.aAS.w2AS*M.aAS+k.aAA.w2AA*M.aAA+k.aAP.w2AP*M.aAP)+(k.cwAS.w2AS*M.cwAS+k.cwAA.w2AA*M.cwAA+k.cwAP.w2AP*M.cwAP))*Molweight</f>
        <v>1.4209217043721236E-2</v>
      </c>
      <c r="AJ88" s="160"/>
      <c r="AK88" s="160"/>
      <c r="AL88" s="160"/>
      <c r="AM88" s="160">
        <f>(k.sAS.w2AS*M.sAS+k.sAA.w2AA*M.sAA+k.sAP.w2AP*M.sAP)*Molweight</f>
        <v>4.0300311276668319E-3</v>
      </c>
      <c r="AN88" s="160"/>
      <c r="AO88" s="159"/>
      <c r="AP88" s="708">
        <f>SUM(AC88,AD88,AI88,AM88)-SUM(AE88,AF88,AH88,AJ88,AG88)</f>
        <v>0</v>
      </c>
      <c r="AQ88" s="16"/>
      <c r="AR88" s="43"/>
      <c r="AS88" s="2"/>
      <c r="AT88" s="2"/>
      <c r="AU88" s="2"/>
      <c r="AV88" s="2"/>
      <c r="AW88" s="2"/>
      <c r="AX88" s="2"/>
      <c r="AY88" s="2"/>
      <c r="AZ88" s="2"/>
      <c r="BA88" s="2"/>
      <c r="BB88" s="2"/>
      <c r="BC88" s="2"/>
      <c r="BD88" s="2"/>
      <c r="BE88" s="2"/>
      <c r="BF88" s="2"/>
      <c r="BG88" s="2"/>
      <c r="BH88" s="2"/>
      <c r="BI88" s="2"/>
      <c r="BJ88" s="2"/>
      <c r="BK88" s="2"/>
      <c r="BL88" s="43"/>
      <c r="BM88" s="2"/>
      <c r="BN88" s="2"/>
      <c r="BO88" s="2"/>
      <c r="BP88" s="2"/>
      <c r="BQ88" s="2"/>
      <c r="BR88" s="2"/>
      <c r="BS88" s="137">
        <f>IF(AN26&lt;0,"",AN26)</f>
        <v>0</v>
      </c>
      <c r="BT88" s="21">
        <f>AH26</f>
        <v>0</v>
      </c>
      <c r="BU88" s="110"/>
      <c r="BV88" s="110"/>
      <c r="BW88" s="110"/>
      <c r="BX88" s="2"/>
      <c r="BY88" s="39"/>
      <c r="BZ88" s="110"/>
      <c r="CA88" s="110"/>
      <c r="CB88" s="110"/>
      <c r="CC88" s="110"/>
      <c r="CD88" s="2"/>
      <c r="CE88" s="2"/>
    </row>
    <row r="89" spans="1:83" ht="12.75" customHeight="1" x14ac:dyDescent="0.3">
      <c r="A89" s="16"/>
      <c r="B89" s="156" t="s">
        <v>128</v>
      </c>
      <c r="C89" s="240">
        <f>M.s2RP*Molweight</f>
        <v>16380690638.70302</v>
      </c>
      <c r="D89" s="379">
        <f t="shared" si="28"/>
        <v>0.9900369126209706</v>
      </c>
      <c r="E89" s="240">
        <f>M.s2CP*Molweight</f>
        <v>113715686.7592632</v>
      </c>
      <c r="F89" s="379">
        <f t="shared" si="29"/>
        <v>3.4677878635301527E-3</v>
      </c>
      <c r="G89" s="241"/>
      <c r="H89" s="379"/>
      <c r="I89" s="241"/>
      <c r="J89" s="379"/>
      <c r="K89" s="241"/>
      <c r="L89" s="394"/>
      <c r="M89" s="121">
        <f>C.s2RP*(Molweight*1000)/(FRACw.s2R*1000+(1-FRACa.s2R-FRACw.s2R)*RHOsolid)</f>
        <v>0.35130377184624906</v>
      </c>
      <c r="N89" s="121">
        <f>C.s2CP*(Molweight*1000)/(FRACw.s2C*1000+(1-FRACa.s2C-FRACw.s2C)*RHOsolid)</f>
        <v>1.5991262853579384E-4</v>
      </c>
      <c r="O89" s="121"/>
      <c r="P89" s="121"/>
      <c r="Q89" s="121"/>
      <c r="R89" s="157" t="s">
        <v>151</v>
      </c>
      <c r="S89" s="160"/>
      <c r="T89" s="160"/>
      <c r="U89" s="160"/>
      <c r="V89" s="160"/>
      <c r="W89" s="159"/>
      <c r="X89" s="162"/>
      <c r="Y89" s="153"/>
      <c r="Z89" s="16"/>
      <c r="AA89" s="257" t="s">
        <v>165</v>
      </c>
      <c r="AB89" s="159" t="s">
        <v>171</v>
      </c>
      <c r="AC89" s="158"/>
      <c r="AD89" s="160">
        <f>(k.w2AS.w3AS*M.w2AS+k.w2AA.w3AA*M.w2AA+k.w2AP.w3AP*M.w2AP+k.w3M.w3A*(M.w3MS+M.w3MA+M.w3MP))*Molweight</f>
        <v>35872.119833856123</v>
      </c>
      <c r="AE89" s="160">
        <f>(k.w3A.w2A+k.w3A.w3M)*(M.w3AS+M.w3AA+M.w3AP)*Molweight</f>
        <v>35872.107981828893</v>
      </c>
      <c r="AF89" s="160"/>
      <c r="AG89" s="160">
        <f>(kdis.w2S.w2D*M.w3AS+kdis.w2A.w2D*M.w3AA+kdis.w2P.w2D*M.w3AP)*Molweight</f>
        <v>0</v>
      </c>
      <c r="AH89" s="159">
        <f>(kdegS.w3*C.w3AS+kdegA.w3*C.w3AA+kdegP.w3*C.w3AP)*VOLUME.w3A*Molweight</f>
        <v>0</v>
      </c>
      <c r="AI89" s="160"/>
      <c r="AJ89" s="160"/>
      <c r="AK89" s="160"/>
      <c r="AL89" s="160"/>
      <c r="AM89" s="160"/>
      <c r="AN89" s="160">
        <f>(k.w3AS.sdAS*M.w3AS+k.w3AA.sdAA*M.w3AA+k.w3AP.sdAP*M.w3AP)*Molweight</f>
        <v>54.074874211300568</v>
      </c>
      <c r="AO89" s="159">
        <f>(k.sdAS.w3AS*M.sdAS+k.sdAA.w3AA*M.sdAA+k.sdAP.w3AP*M.sdAP)*Molweight</f>
        <v>54.063022184076182</v>
      </c>
      <c r="AP89" s="708">
        <f>SUM(AC89,AD89,AI89,AM89,AO89)-SUM(AE89,AF89,AH89,AJ89,AN89,AG89)</f>
        <v>0</v>
      </c>
      <c r="AQ89" s="16"/>
      <c r="AR89" s="43"/>
      <c r="AS89" s="2"/>
      <c r="AT89" s="2"/>
      <c r="AU89" s="2"/>
      <c r="AV89" s="2"/>
      <c r="AW89" s="2"/>
      <c r="AX89" s="2"/>
      <c r="AY89" s="2"/>
      <c r="AZ89" s="2"/>
      <c r="BA89" s="2"/>
      <c r="BB89" s="2"/>
      <c r="BC89" s="2"/>
      <c r="BD89" s="2"/>
      <c r="BE89" s="2"/>
      <c r="BF89" s="2"/>
      <c r="BG89" s="2"/>
      <c r="BH89" s="2"/>
      <c r="BI89" s="2"/>
      <c r="BJ89" s="2"/>
      <c r="BK89" s="2"/>
      <c r="BL89" s="43"/>
      <c r="BM89" s="2"/>
      <c r="BN89" s="2"/>
      <c r="BO89" s="110"/>
      <c r="BP89" s="2"/>
      <c r="BQ89" s="83"/>
      <c r="BR89" s="2"/>
      <c r="BS89" s="39"/>
      <c r="BT89" s="52"/>
      <c r="BU89" s="110"/>
      <c r="BV89" s="2"/>
      <c r="BW89" s="110"/>
      <c r="BX89" s="21">
        <f>AH28</f>
        <v>0</v>
      </c>
      <c r="BY89" s="39"/>
      <c r="BZ89" s="52">
        <f>AH30</f>
        <v>0</v>
      </c>
      <c r="CA89" s="2"/>
      <c r="CB89" s="110"/>
      <c r="CC89" s="21">
        <f>AH29</f>
        <v>0</v>
      </c>
      <c r="CD89" s="2"/>
      <c r="CE89" s="2"/>
    </row>
    <row r="90" spans="1:83" ht="12.75" customHeight="1" x14ac:dyDescent="0.3">
      <c r="A90" s="16"/>
      <c r="B90" s="156"/>
      <c r="C90" s="240"/>
      <c r="D90" s="379"/>
      <c r="E90" s="241"/>
      <c r="F90" s="379"/>
      <c r="G90" s="241"/>
      <c r="H90" s="379"/>
      <c r="I90" s="241"/>
      <c r="J90" s="379"/>
      <c r="K90" s="241"/>
      <c r="L90" s="394"/>
      <c r="M90" s="121"/>
      <c r="N90" s="121"/>
      <c r="O90" s="121"/>
      <c r="P90" s="121"/>
      <c r="Q90" s="121"/>
      <c r="R90" s="157"/>
      <c r="S90" s="160"/>
      <c r="T90" s="160"/>
      <c r="U90" s="160"/>
      <c r="V90" s="160"/>
      <c r="W90" s="159"/>
      <c r="X90" s="162"/>
      <c r="Y90" s="153"/>
      <c r="Z90" s="16"/>
      <c r="AA90" s="257" t="s">
        <v>181</v>
      </c>
      <c r="AB90" s="159" t="s">
        <v>172</v>
      </c>
      <c r="AC90" s="158"/>
      <c r="AD90" s="160"/>
      <c r="AE90" s="160"/>
      <c r="AF90" s="160">
        <f>kbur.sdA*(M.sdAS+M.sdAA+M.sdAP)*Molweight</f>
        <v>1.1852027224394521E-2</v>
      </c>
      <c r="AG90" s="160">
        <f>(kdis.sd2S.sd2D*M.sdAS+kdis.sd2A.sd2D*M.sdAA+kdis.sd2P.sd2D*M.sdAP)*Molweight</f>
        <v>0</v>
      </c>
      <c r="AH90" s="159">
        <f>(kdegS.sd2*C.sdAS+kdegA.sd2*C.sdAA+kdegP.sd2*C.sdAP)*VOLUME.sdA*Molweight</f>
        <v>0</v>
      </c>
      <c r="AI90" s="160"/>
      <c r="AJ90" s="160"/>
      <c r="AK90" s="160"/>
      <c r="AL90" s="160"/>
      <c r="AM90" s="160"/>
      <c r="AN90" s="160">
        <f>AN89</f>
        <v>54.074874211300568</v>
      </c>
      <c r="AO90" s="159">
        <f>AO89</f>
        <v>54.063022184076182</v>
      </c>
      <c r="AP90" s="708">
        <f>SUM(AC90,AD90,AN90)-SUM(AE90,AF90,AH90,AO90,AG90)</f>
        <v>0</v>
      </c>
      <c r="AQ90" s="16"/>
      <c r="AR90" s="43"/>
      <c r="AS90" s="2"/>
      <c r="AT90" s="2"/>
      <c r="AU90" s="2"/>
      <c r="AV90" s="2"/>
      <c r="AW90" s="2"/>
      <c r="AX90" s="2"/>
      <c r="AY90" s="2"/>
      <c r="AZ90" s="2"/>
      <c r="BA90" s="2"/>
      <c r="BB90" s="2"/>
      <c r="BC90" s="2"/>
      <c r="BD90" s="2"/>
      <c r="BE90" s="2"/>
      <c r="BF90" s="2"/>
      <c r="BG90" s="2"/>
      <c r="BH90" s="2"/>
      <c r="BI90" s="2"/>
      <c r="BJ90" s="2"/>
      <c r="BK90" s="2"/>
      <c r="BL90" s="43"/>
      <c r="BM90" s="2"/>
      <c r="BN90" s="2"/>
      <c r="BO90" s="110"/>
      <c r="BP90" s="2"/>
      <c r="BQ90" s="2"/>
      <c r="BR90" s="110"/>
      <c r="BS90" s="39" t="s">
        <v>157</v>
      </c>
      <c r="BT90" s="2"/>
      <c r="BU90" s="110"/>
      <c r="BV90" s="110"/>
      <c r="BW90" s="110"/>
      <c r="BX90" s="110"/>
      <c r="BY90" s="110"/>
      <c r="BZ90" s="110"/>
      <c r="CA90" s="110"/>
      <c r="CB90" s="110"/>
      <c r="CC90" s="110"/>
      <c r="CD90" s="110"/>
      <c r="CE90" s="2"/>
    </row>
    <row r="91" spans="1:83" ht="12.75" customHeight="1" x14ac:dyDescent="0.3">
      <c r="A91" s="16"/>
      <c r="B91" s="101" t="s">
        <v>217</v>
      </c>
      <c r="C91" s="240">
        <f>SUM(C92,C95:C97)</f>
        <v>26160754.982042603</v>
      </c>
      <c r="D91" s="379">
        <f t="shared" ref="D91:D97" si="30">C91/$C$103</f>
        <v>1.5811368192901686E-3</v>
      </c>
      <c r="E91" s="240">
        <f>SUM(E92,E95:E97)</f>
        <v>4758524.4436920201</v>
      </c>
      <c r="F91" s="379">
        <f>E91/$E$103</f>
        <v>1.4511237441744204E-4</v>
      </c>
      <c r="G91" s="241">
        <f>SUM(G92,G95:G97)</f>
        <v>3809685.7330096853</v>
      </c>
      <c r="H91" s="379">
        <f t="shared" ref="H91:H97" si="31">G91/$G$103</f>
        <v>7.3651535799831883E-7</v>
      </c>
      <c r="I91" s="241">
        <f>SUM(I92,I95:I97)</f>
        <v>118348.8893463626</v>
      </c>
      <c r="J91" s="379">
        <f t="shared" ref="J91:J97" si="32">I91/$I$103</f>
        <v>3.4617841296634616E-8</v>
      </c>
      <c r="K91" s="241">
        <f>SUM(K92,K95:K97)</f>
        <v>87915.70442096499</v>
      </c>
      <c r="L91" s="394">
        <f t="shared" ref="L91:L97" si="33">K91/$K$103</f>
        <v>6.8786243119991226E-9</v>
      </c>
      <c r="M91" s="392">
        <f>((M.s3RD+M.s3RS+M.s3RA+M.s3RP)*Molweight*1000/(VOLUME.s3R))/(FRACw.s3R*1000+(1-FRACa.s3R-FRACw.s3R)*RHOsolid)</f>
        <v>1.3465178633417797E-2</v>
      </c>
      <c r="N91" s="392">
        <f>((M.s3CD+M.s3CS+M.s3CA+M.s3CP)*Molweight*1000/(VOLUME.s3C))/(FRACw.s3C*1000+(1-FRACa.s3C-FRACw.s3C)*RHOsolid)</f>
        <v>1.6060014376455533E-4</v>
      </c>
      <c r="O91" s="392">
        <f>((M.sMD+M.sMS+M.sMA+M.sMP)*Molweight*1000/(VOLUME.sM))/(FRACw.sM*1000+(1-FRACa.sM-FRACw.sM)*RHOsolid)</f>
        <v>1.1555794859135858E-6</v>
      </c>
      <c r="P91" s="392">
        <f>((M.sAD+M.sAS+M.sAA+M.sAP)*Molweight*1000/(VOLUME.sA))/(FRACw.sA*1000+(1-FRACa.sA-FRACw.sA)*RHOsolid)</f>
        <v>8.1902345568417006E-8</v>
      </c>
      <c r="Q91" s="392">
        <f>((M.sTD+M.sTS+M.sTA+M.sTP)*Molweight*1000/(VOLUME.sT))/(FRACw.sT*1000+(1-FRACa.sT-FRACw.sT)*RHOsolid)</f>
        <v>2.7040585750392911E-8</v>
      </c>
      <c r="R91" s="157" t="s">
        <v>151</v>
      </c>
      <c r="S91" s="160"/>
      <c r="T91" s="160"/>
      <c r="U91" s="160"/>
      <c r="V91" s="160"/>
      <c r="W91" s="159"/>
      <c r="X91" s="162"/>
      <c r="Y91" s="153"/>
      <c r="Z91" s="16"/>
      <c r="AA91" s="257" t="s">
        <v>182</v>
      </c>
      <c r="AB91" s="159" t="s">
        <v>173</v>
      </c>
      <c r="AC91" s="158">
        <f>E.sAS*Molweight</f>
        <v>0</v>
      </c>
      <c r="AD91" s="160"/>
      <c r="AE91" s="160"/>
      <c r="AF91" s="160">
        <f>kleach.sA*(M.sAS+M.sAA)*Molweight</f>
        <v>2.713896436693595E-5</v>
      </c>
      <c r="AG91" s="160">
        <f>(kdis.s1S.s1D*M.sAS+kdis.s1A.s1D*M.sAA+kdis.s1P.s1D*M.sAP)*Molweight</f>
        <v>0</v>
      </c>
      <c r="AH91" s="159">
        <f>(kdegS.s1*C.sAS+kdegA.s1*C.sAA+kdegP.s1*C.sAP)*VOLUME.sA*Molweight</f>
        <v>0</v>
      </c>
      <c r="AI91" s="160"/>
      <c r="AJ91" s="160"/>
      <c r="AK91" s="160">
        <f>((k.aAS.sAS*M.aAS+k.aAA.sAA*M.aAA+k.aAP.sAP*M.aAP)+(k.cwAS.sAS*M.cwAS+k.cwAA.sAA*M.cwAA+k.cwAP.sAP*M.cwAP))*Molweight</f>
        <v>4.0571700920337675E-3</v>
      </c>
      <c r="AL91" s="160"/>
      <c r="AM91" s="160">
        <f>AM88</f>
        <v>4.0300311276668319E-3</v>
      </c>
      <c r="AN91" s="160"/>
      <c r="AO91" s="159"/>
      <c r="AP91" s="708">
        <f>SUM(AC91,AD91,AK91)-SUM(AE91,AF91,AH91,AL91,AM91,AP90,AG91)</f>
        <v>0</v>
      </c>
      <c r="AQ91" s="16"/>
      <c r="AR91" s="43"/>
      <c r="AS91" s="2"/>
      <c r="AT91" s="2"/>
      <c r="AU91" s="2"/>
      <c r="AV91" s="2"/>
      <c r="AW91" s="2"/>
      <c r="AX91" s="2"/>
      <c r="AY91" s="2"/>
      <c r="AZ91" s="2"/>
      <c r="BA91" s="2"/>
      <c r="BB91" s="2"/>
      <c r="BC91" s="2"/>
      <c r="BD91" s="2"/>
      <c r="BE91" s="2"/>
      <c r="BF91" s="2"/>
      <c r="BG91" s="2"/>
      <c r="BH91" s="2"/>
      <c r="BI91" s="2"/>
      <c r="BJ91" s="2"/>
      <c r="BK91" s="2"/>
      <c r="BL91" s="43"/>
      <c r="BM91" s="2"/>
      <c r="BN91" s="2"/>
      <c r="BO91" s="110"/>
      <c r="BP91" s="2"/>
      <c r="BQ91" s="110"/>
      <c r="BR91" s="2"/>
      <c r="BS91" s="2"/>
      <c r="BT91" s="92">
        <f>IF(ISERROR(F44),0,F44)</f>
        <v>0</v>
      </c>
      <c r="BU91" s="110"/>
      <c r="BV91" s="110"/>
      <c r="BW91" s="110"/>
      <c r="BX91" s="110"/>
      <c r="BY91" s="110"/>
      <c r="BZ91" s="2"/>
      <c r="CA91" s="110"/>
      <c r="CB91" s="2"/>
      <c r="CC91" s="2"/>
      <c r="CD91" s="2"/>
      <c r="CE91" s="2"/>
    </row>
    <row r="92" spans="1:83" ht="12.75" customHeight="1" x14ac:dyDescent="0.3">
      <c r="A92" s="16"/>
      <c r="B92" s="376" t="s">
        <v>116</v>
      </c>
      <c r="C92" s="240">
        <f>M.s3R*Molweight</f>
        <v>0</v>
      </c>
      <c r="D92" s="379">
        <f t="shared" si="30"/>
        <v>0</v>
      </c>
      <c r="E92" s="240">
        <f>M.s3C*Molweight</f>
        <v>0</v>
      </c>
      <c r="F92" s="379">
        <f t="shared" ref="F92:F97" si="34">E92/$E$103</f>
        <v>0</v>
      </c>
      <c r="G92" s="241">
        <f>M.sMD*Molweight</f>
        <v>0</v>
      </c>
      <c r="H92" s="379">
        <f t="shared" si="31"/>
        <v>0</v>
      </c>
      <c r="I92" s="241">
        <f>M.sAD*Molweight</f>
        <v>0</v>
      </c>
      <c r="J92" s="379">
        <f t="shared" si="32"/>
        <v>0</v>
      </c>
      <c r="K92" s="241">
        <f>M.sTD*Molweight</f>
        <v>0</v>
      </c>
      <c r="L92" s="394">
        <f t="shared" si="33"/>
        <v>0</v>
      </c>
      <c r="M92" s="121">
        <f>C.s3R*(Molweight*1000)/(FRACw.s3R*1000+(1-FRACa.s3R-FRACw.s3R)*RHOsolid)</f>
        <v>0</v>
      </c>
      <c r="N92" s="121">
        <f>C.s3C*(Molweight*1000)/(FRACw.s3C*1000+(1-FRACa.s3C-FRACw.s3C)*RHOsolid)</f>
        <v>0</v>
      </c>
      <c r="O92" s="121">
        <f>C.sM*(Molweight*1000)/(FRACw.sM*1000+(1-FRACa.sM-FRACw.sM)*RHOsolid)</f>
        <v>0</v>
      </c>
      <c r="P92" s="121">
        <f>C.sA*(Molweight*1000)/(FRACw.sA*1000+(1-FRACa.sA-FRACw.sA)*RHOsolid)</f>
        <v>0</v>
      </c>
      <c r="Q92" s="121">
        <f>C.sT*(Molweight*1000)/(FRACw.sT*1000+(1-FRACa.sT-FRACw.sT)*RHOsolid)</f>
        <v>0</v>
      </c>
      <c r="R92" s="157" t="s">
        <v>151</v>
      </c>
      <c r="S92" s="160">
        <f>F.s3R</f>
        <v>0</v>
      </c>
      <c r="T92" s="160">
        <f>F.s3C</f>
        <v>0</v>
      </c>
      <c r="U92" s="160">
        <f>F.sM</f>
        <v>0</v>
      </c>
      <c r="V92" s="160">
        <f>F.sA</f>
        <v>0</v>
      </c>
      <c r="W92" s="159">
        <f>F.sT</f>
        <v>0</v>
      </c>
      <c r="X92" s="162"/>
      <c r="Y92" s="153"/>
      <c r="Z92" s="16"/>
      <c r="AA92" s="706" t="s">
        <v>186</v>
      </c>
      <c r="AB92" s="249"/>
      <c r="AC92" s="708"/>
      <c r="AD92" s="160"/>
      <c r="AE92" s="160"/>
      <c r="AF92" s="160"/>
      <c r="AG92" s="160"/>
      <c r="AH92" s="159"/>
      <c r="AI92" s="160"/>
      <c r="AJ92" s="160"/>
      <c r="AK92" s="160"/>
      <c r="AL92" s="160"/>
      <c r="AM92" s="160"/>
      <c r="AN92" s="160"/>
      <c r="AO92" s="159"/>
      <c r="AP92" s="725"/>
      <c r="AQ92" s="16"/>
      <c r="AR92" s="43"/>
      <c r="AS92" s="2"/>
      <c r="AT92" s="2"/>
      <c r="AU92" s="2"/>
      <c r="AV92" s="2"/>
      <c r="AW92" s="2"/>
      <c r="AX92" s="2"/>
      <c r="AY92" s="2"/>
      <c r="AZ92" s="2"/>
      <c r="BA92" s="2"/>
      <c r="BB92" s="2"/>
      <c r="BC92" s="2"/>
      <c r="BD92" s="2"/>
      <c r="BE92" s="2"/>
      <c r="BF92" s="2"/>
      <c r="BG92" s="2"/>
      <c r="BH92" s="2"/>
      <c r="BI92" s="2"/>
      <c r="BJ92" s="2"/>
      <c r="BK92" s="2"/>
      <c r="BL92" s="43"/>
      <c r="BM92" s="2"/>
      <c r="BN92" s="2"/>
      <c r="BO92" s="110"/>
      <c r="BP92" s="2"/>
      <c r="BQ92" s="21">
        <f>AH25</f>
        <v>0</v>
      </c>
      <c r="BR92" s="110"/>
      <c r="BS92" s="110"/>
      <c r="BT92" s="110"/>
      <c r="BU92" s="110"/>
      <c r="BV92" s="110"/>
      <c r="BW92" s="52"/>
      <c r="BX92" s="2"/>
      <c r="BY92" s="52"/>
      <c r="BZ92" s="52"/>
      <c r="CA92" s="2"/>
      <c r="CB92" s="52"/>
      <c r="CC92" s="110"/>
      <c r="CD92" s="110"/>
      <c r="CE92" s="2"/>
    </row>
    <row r="93" spans="1:83" ht="12.75" customHeight="1" x14ac:dyDescent="0.3">
      <c r="A93" s="16"/>
      <c r="B93" s="156" t="s">
        <v>215</v>
      </c>
      <c r="C93" s="240">
        <f>C92*FRwD.s3R</f>
        <v>0</v>
      </c>
      <c r="D93" s="379">
        <f t="shared" si="30"/>
        <v>0</v>
      </c>
      <c r="E93" s="240">
        <f>E92*FRw.s3C</f>
        <v>0</v>
      </c>
      <c r="F93" s="379">
        <f t="shared" si="34"/>
        <v>0</v>
      </c>
      <c r="G93" s="241">
        <f>FRw.sM*G92</f>
        <v>0</v>
      </c>
      <c r="H93" s="379">
        <f t="shared" si="31"/>
        <v>0</v>
      </c>
      <c r="I93" s="241">
        <f>FRw.sA*I92</f>
        <v>0</v>
      </c>
      <c r="J93" s="379">
        <f t="shared" si="32"/>
        <v>0</v>
      </c>
      <c r="K93" s="241">
        <f>FRw.sT*K92</f>
        <v>0</v>
      </c>
      <c r="L93" s="394">
        <f t="shared" si="33"/>
        <v>0</v>
      </c>
      <c r="M93" s="121">
        <f>M94/Kp.s3R</f>
        <v>0</v>
      </c>
      <c r="N93" s="121">
        <f>N94/Kp.s3C</f>
        <v>0</v>
      </c>
      <c r="O93" s="121">
        <f>O94/Kp.sM</f>
        <v>0</v>
      </c>
      <c r="P93" s="121">
        <f>P94/Kp.sA</f>
        <v>0</v>
      </c>
      <c r="Q93" s="121">
        <f>Q94/Kp.sT</f>
        <v>0</v>
      </c>
      <c r="R93" s="157" t="s">
        <v>134</v>
      </c>
      <c r="S93" s="160">
        <f>S92*FRACw.s3R</f>
        <v>0</v>
      </c>
      <c r="T93" s="160">
        <f>T92*FRACw.s3C</f>
        <v>0</v>
      </c>
      <c r="U93" s="160">
        <f>U92*FRACw.sM</f>
        <v>0</v>
      </c>
      <c r="V93" s="160">
        <f>V92*FRACw.sA</f>
        <v>0</v>
      </c>
      <c r="W93" s="159">
        <f>W92*FRACw.sT</f>
        <v>0</v>
      </c>
      <c r="X93" s="162"/>
      <c r="Y93" s="153"/>
      <c r="Z93" s="16"/>
      <c r="AA93" s="257" t="s">
        <v>117</v>
      </c>
      <c r="AB93" s="159" t="s">
        <v>174</v>
      </c>
      <c r="AC93" s="158">
        <f>E.aTS*Molweight</f>
        <v>0</v>
      </c>
      <c r="AD93" s="160">
        <f>k.aM.aT*(M.aMS+M.aMA+M.aMP)*Molweight</f>
        <v>5.0557692033164008E-2</v>
      </c>
      <c r="AE93" s="160">
        <f>k.aT.aM*(M.aTS+M.aTA+M.aTP)*Molweight</f>
        <v>9.4714226027658131E-3</v>
      </c>
      <c r="AF93" s="160">
        <f>kesc.aT*VOLUME.aT*(C.aTS+C.aTA+C.aTP)*Molweight</f>
        <v>8.680062657679387E-6</v>
      </c>
      <c r="AG93" s="160"/>
      <c r="AH93" s="159">
        <f>(kdegS.a*C.aTS+kdegA.a*C.aTA+kdegP.a*C.aTP)*VOLUME.aT*Molweight</f>
        <v>0</v>
      </c>
      <c r="AI93" s="160">
        <f>SUM(AI94,AK97)</f>
        <v>4.107758936774053E-2</v>
      </c>
      <c r="AJ93" s="160">
        <f>SUM(AJ94,AL97)</f>
        <v>0</v>
      </c>
      <c r="AK93" s="160"/>
      <c r="AL93" s="160"/>
      <c r="AM93" s="160"/>
      <c r="AN93" s="160"/>
      <c r="AO93" s="159"/>
      <c r="AP93" s="708">
        <f>SUM(AC93,AD93,AJ93,AL93)-SUM(AE93,AF93,AH93,AI93,AK93)</f>
        <v>0</v>
      </c>
      <c r="AQ93" s="16"/>
      <c r="AR93" s="43"/>
      <c r="AS93" s="2"/>
      <c r="AT93" s="2"/>
      <c r="AU93" s="2"/>
      <c r="AV93" s="2"/>
      <c r="AW93" s="2"/>
      <c r="AX93" s="2"/>
      <c r="AY93" s="2"/>
      <c r="AZ93" s="2"/>
      <c r="BA93" s="2"/>
      <c r="BB93" s="2"/>
      <c r="BC93" s="2"/>
      <c r="BD93" s="2"/>
      <c r="BE93" s="2"/>
      <c r="BF93" s="2"/>
      <c r="BG93" s="2"/>
      <c r="BH93" s="2"/>
      <c r="BI93" s="2"/>
      <c r="BJ93" s="2"/>
      <c r="BK93" s="2"/>
      <c r="BL93" s="43"/>
      <c r="BM93" s="2"/>
      <c r="BN93" s="2"/>
      <c r="BO93" s="113"/>
      <c r="BP93" s="2"/>
      <c r="BQ93" s="95" t="s">
        <v>164</v>
      </c>
      <c r="BR93" s="2"/>
      <c r="BS93" s="110"/>
      <c r="BT93" s="110"/>
      <c r="BU93" s="110"/>
      <c r="BV93" s="110"/>
      <c r="BW93" s="2"/>
      <c r="BX93" s="2"/>
      <c r="BY93" s="110"/>
      <c r="BZ93" s="110"/>
      <c r="CA93" s="110"/>
      <c r="CB93" s="110"/>
      <c r="CC93" s="110"/>
      <c r="CD93" s="110"/>
      <c r="CE93" s="2"/>
    </row>
    <row r="94" spans="1:83" ht="12.75" customHeight="1" x14ac:dyDescent="0.3">
      <c r="A94" s="16"/>
      <c r="B94" s="156" t="s">
        <v>155</v>
      </c>
      <c r="C94" s="240">
        <f>C92*FRs.s3R</f>
        <v>0</v>
      </c>
      <c r="D94" s="379">
        <f t="shared" si="30"/>
        <v>0</v>
      </c>
      <c r="E94" s="240">
        <f>E92*FRs.s3C</f>
        <v>0</v>
      </c>
      <c r="F94" s="379">
        <f t="shared" si="34"/>
        <v>0</v>
      </c>
      <c r="G94" s="241">
        <f>(1-FRw.sM)*G92</f>
        <v>0</v>
      </c>
      <c r="H94" s="379">
        <f t="shared" si="31"/>
        <v>0</v>
      </c>
      <c r="I94" s="241">
        <f>(1-FRw.sA)*I92</f>
        <v>0</v>
      </c>
      <c r="J94" s="379">
        <f t="shared" si="32"/>
        <v>0</v>
      </c>
      <c r="K94" s="241">
        <f>(1-FRw.sT)*K92</f>
        <v>0</v>
      </c>
      <c r="L94" s="394">
        <f t="shared" si="33"/>
        <v>0</v>
      </c>
      <c r="M94" s="121">
        <f>C.s3R*FRs.s3R*(Molweight*1000)/(FRACs.s3R*RHOsolid)</f>
        <v>0</v>
      </c>
      <c r="N94" s="121">
        <f>C.s3C*FRs.s3C*(Molweight*1000)/(FRACs.s3C*RHOsolid)</f>
        <v>0</v>
      </c>
      <c r="O94" s="121">
        <f>C.sM*FRs.sM*(Molweight*1000)/(FRACs.sM*RHOsolid)</f>
        <v>0</v>
      </c>
      <c r="P94" s="121">
        <f>C.sA*FRs.sA*(Molweight*1000)/(FRACs.sA*RHOsolid)</f>
        <v>0</v>
      </c>
      <c r="Q94" s="121">
        <f>C.sT*FRs.sT*(Molweight*1000)/(FRACs.sT*RHOsolid)</f>
        <v>0</v>
      </c>
      <c r="R94" s="157" t="s">
        <v>140</v>
      </c>
      <c r="S94" s="160">
        <f>S92*(1-FRACw.s3R)</f>
        <v>0</v>
      </c>
      <c r="T94" s="160">
        <f>T92*(1-FRACw.s3C)</f>
        <v>0</v>
      </c>
      <c r="U94" s="160">
        <f>U92*(1-FRACw.sM)</f>
        <v>0</v>
      </c>
      <c r="V94" s="160">
        <f>V92*(1-FRACw.sA)</f>
        <v>0</v>
      </c>
      <c r="W94" s="159">
        <f>W92*(1-FRACw.sT)</f>
        <v>0</v>
      </c>
      <c r="X94" s="162"/>
      <c r="Y94" s="153"/>
      <c r="Z94" s="16"/>
      <c r="AA94" s="257" t="s">
        <v>162</v>
      </c>
      <c r="AB94" s="159" t="s">
        <v>175</v>
      </c>
      <c r="AC94" s="158">
        <f>E.w2TS*Molweight</f>
        <v>0</v>
      </c>
      <c r="AD94" s="160">
        <f>(k.w2M.w2T*(M.w2MS+M.w2MA+M.w2MP)+k.w3T.w2T*(M.w3TS+M.w3TA+M.w3TP))*Molweight</f>
        <v>93745.688164982203</v>
      </c>
      <c r="AE94" s="160">
        <f>(k.w2T.w2M*(M.w2TS+M.w2TA+M.w2TP)+k.w2TS.w3TS*M.w2TS+k.w2TA.w3TA*M.w2TA+k.w2TP.w3TP*M.w2TP)*Molweight</f>
        <v>93745.72918966724</v>
      </c>
      <c r="AF94" s="160"/>
      <c r="AG94" s="160">
        <f>(kdis.w2S.w2D*M.w2TS+kdis.w2A.w2D*M.w2TA+kdis.w2P.w2D*M.w2TP)*Molweight</f>
        <v>0</v>
      </c>
      <c r="AH94" s="159">
        <f>(kdegS.w2*C.w2TS+kdegA.w2*C.w2TA+kdegP.w2*C.w2TP)*VOLUME.w2T*Molweight</f>
        <v>0</v>
      </c>
      <c r="AI94" s="160">
        <f>((k.aTS.w2TS*M.aTS+k.aTA.w2TA*M.aTA+k.aTP.w2TP*M.aTP)+(k.cwTS.w2TS*M.cwTS+k.cwTA.w2TA*M.cwTA+k.cwTP.w2TP*M.cwTP))*Molweight</f>
        <v>3.3171313001424341E-2</v>
      </c>
      <c r="AJ94" s="160"/>
      <c r="AK94" s="160"/>
      <c r="AL94" s="160"/>
      <c r="AM94" s="160">
        <f>(k.sTS.w2TS*M.sTS+k.sTA.w2TA*M.sTA+k.sTP.w2TP*M.sTP)*Molweight</f>
        <v>7.8533720321827434E-3</v>
      </c>
      <c r="AN94" s="160"/>
      <c r="AO94" s="159"/>
      <c r="AP94" s="708">
        <f>SUM(AC94,AD94,AI94,AM94)-SUM(AE94,AF94,AH94,AJ94,AG94)</f>
        <v>0</v>
      </c>
      <c r="AQ94" s="16"/>
      <c r="AR94" s="43"/>
      <c r="AS94" s="2"/>
      <c r="AT94" s="2"/>
      <c r="AU94" s="2"/>
      <c r="AV94" s="2"/>
      <c r="AW94" s="2"/>
      <c r="AX94" s="2"/>
      <c r="AY94" s="2"/>
      <c r="AZ94" s="2"/>
      <c r="BA94" s="2"/>
      <c r="BB94" s="2"/>
      <c r="BC94" s="2"/>
      <c r="BD94" s="2"/>
      <c r="BE94" s="2"/>
      <c r="BF94" s="2"/>
      <c r="BG94" s="2"/>
      <c r="BH94" s="2"/>
      <c r="BI94" s="2"/>
      <c r="BJ94" s="2"/>
      <c r="BK94" s="2"/>
      <c r="BL94" s="43"/>
      <c r="BM94" s="2"/>
      <c r="BN94" s="2"/>
      <c r="BO94" s="110"/>
      <c r="BP94" s="135">
        <f>IF(AO27&lt;0,"",AO27)</f>
        <v>0</v>
      </c>
      <c r="BQ94" s="93">
        <f>IF(ISERROR(F52),0,F52)</f>
        <v>0</v>
      </c>
      <c r="BR94" s="110"/>
      <c r="BS94" s="110"/>
      <c r="BT94" s="110"/>
      <c r="BU94" s="110"/>
      <c r="BV94" s="110"/>
      <c r="BW94" s="110"/>
      <c r="BX94" s="110"/>
      <c r="BY94" s="110"/>
      <c r="BZ94" s="110"/>
      <c r="CA94" s="110"/>
      <c r="CB94" s="110"/>
      <c r="CC94" s="110"/>
      <c r="CD94" s="110"/>
      <c r="CE94" s="2"/>
    </row>
    <row r="95" spans="1:83" ht="12.75" customHeight="1" x14ac:dyDescent="0.3">
      <c r="A95" s="16"/>
      <c r="B95" s="156" t="s">
        <v>123</v>
      </c>
      <c r="C95" s="240">
        <f>M.s3RS*Molweight</f>
        <v>9.4218563864901572E-2</v>
      </c>
      <c r="D95" s="379">
        <f t="shared" si="30"/>
        <v>5.6945008081646148E-12</v>
      </c>
      <c r="E95" s="240">
        <f>M.s3CS*Molweight</f>
        <v>1.6540697097704688E-2</v>
      </c>
      <c r="F95" s="379">
        <f t="shared" si="34"/>
        <v>5.0441263016930476E-13</v>
      </c>
      <c r="G95" s="241">
        <f>M.sMS*Molweight</f>
        <v>1.2732592526098558E-2</v>
      </c>
      <c r="H95" s="379">
        <f t="shared" si="31"/>
        <v>2.4615547317593814E-15</v>
      </c>
      <c r="I95" s="241">
        <f>M.sAS*Molweight</f>
        <v>1.3534584810877417E-4</v>
      </c>
      <c r="J95" s="379">
        <f t="shared" si="32"/>
        <v>3.9589565359380886E-17</v>
      </c>
      <c r="K95" s="241">
        <f>M.sTS*Molweight</f>
        <v>2.0770730331149247E-4</v>
      </c>
      <c r="L95" s="394">
        <f t="shared" si="33"/>
        <v>1.6251254718918008E-17</v>
      </c>
      <c r="M95" s="121">
        <f>C.s3RS*(Molweight*1000)/(FRACw.s3R*1000+(1-FRACa.s3R-FRACw.s3R)*RHOsolid)</f>
        <v>4.8495152142811996E-11</v>
      </c>
      <c r="N95" s="121">
        <f>C.s3CS*(Molweight*1000)/(FRACw.s3C*1000+(1-FRACa.s3C-FRACw.s3C)*RHOsolid)</f>
        <v>5.5824833166061714E-13</v>
      </c>
      <c r="O95" s="121">
        <f>C.sMS*(Molweight*1000)/(FRACw.sM*1000+(1-FRACa.sM-FRACw.sM)*RHOsolid)</f>
        <v>3.8621355557410568E-15</v>
      </c>
      <c r="P95" s="121">
        <f>C.sAS*(Molweight*1000)/(FRACw.sA*1000+(1-FRACa.sA-FRACw.sA)*RHOsolid)</f>
        <v>9.3664946788078991E-17</v>
      </c>
      <c r="Q95" s="121">
        <f>C.sTS*(Molweight*1000)/(FRACw.sT*1000+(1-FRACa.sT-FRACw.sT)*RHOsolid)</f>
        <v>6.3885368185003432E-17</v>
      </c>
      <c r="R95" s="157" t="s">
        <v>213</v>
      </c>
      <c r="S95" s="160"/>
      <c r="T95" s="160"/>
      <c r="U95" s="160"/>
      <c r="V95" s="160"/>
      <c r="W95" s="159"/>
      <c r="X95" s="162"/>
      <c r="Y95" s="153"/>
      <c r="Z95" s="16"/>
      <c r="AA95" s="257" t="s">
        <v>165</v>
      </c>
      <c r="AB95" s="159" t="s">
        <v>176</v>
      </c>
      <c r="AC95" s="158"/>
      <c r="AD95" s="160">
        <f>(k.w2TS.w3TS*M.w2TS+k.w2TA.w3TA*M.w2TA+k.w2TP.w3TP*M.w2TP+k.w3M.w3T*(M.w3MS+M.w3MA+M.w3MP))*Molweight</f>
        <v>93745.715674726613</v>
      </c>
      <c r="AE95" s="160">
        <f>(k.w3T.w2T+k.w3T.w3M)*(M.w3TS+M.w3TA+M.w3TP)*Molweight</f>
        <v>93745.688164982203</v>
      </c>
      <c r="AF95" s="160"/>
      <c r="AG95" s="160">
        <f>(kdis.w2S.w2D*M.w3TS+kdis.w2A.w2D*M.w3TA+kdis.w2P.w2D*M.w3TP)*Molweight</f>
        <v>0</v>
      </c>
      <c r="AH95" s="159">
        <f>(kdegS.w3*C.w3TS+kdegA.w3*C.w3TA+kdegP.w3*C.w3TP)*VOLUME.w3T*Molweight</f>
        <v>0</v>
      </c>
      <c r="AI95" s="160"/>
      <c r="AJ95" s="160"/>
      <c r="AK95" s="160"/>
      <c r="AL95" s="160"/>
      <c r="AM95" s="160"/>
      <c r="AN95" s="160">
        <f>(k.w3TS.sdTS*M.w3TS+k.w3TA.sdTA*M.w3TA+k.w3TP.sdTP*M.w3TP)*Molweight</f>
        <v>209.17034159532884</v>
      </c>
      <c r="AO95" s="159">
        <f>(k.sdTS.w3TS*M.sdTS+k.sdTA.w3TA*M.sdTA+k.sdTP.w3TP*M.sdTP)*Molweight</f>
        <v>209.14283185092228</v>
      </c>
      <c r="AP95" s="708">
        <f>SUM(AC95,AD95,AI95,AM95,AO95)-SUM(AE95,AF95,AH95,AJ95,AN95,AG95)</f>
        <v>0</v>
      </c>
      <c r="AQ95" s="16"/>
      <c r="AR95" s="43"/>
      <c r="AS95" s="2"/>
      <c r="AT95" s="2"/>
      <c r="AU95" s="2"/>
      <c r="AV95" s="2"/>
      <c r="AW95" s="2"/>
      <c r="AX95" s="2"/>
      <c r="AY95" s="2"/>
      <c r="AZ95" s="2"/>
      <c r="BA95" s="2"/>
      <c r="BB95" s="2"/>
      <c r="BC95" s="2"/>
      <c r="BD95" s="2"/>
      <c r="BE95" s="2"/>
      <c r="BF95" s="2"/>
      <c r="BG95" s="2"/>
      <c r="BH95" s="2"/>
      <c r="BI95" s="2"/>
      <c r="BJ95" s="2"/>
      <c r="BK95" s="2"/>
      <c r="BL95" s="43"/>
      <c r="BM95" s="2"/>
      <c r="BN95" s="110"/>
      <c r="BO95" s="2"/>
      <c r="BP95" s="138"/>
      <c r="BQ95" s="2"/>
      <c r="BR95" s="110"/>
      <c r="BS95" s="110"/>
      <c r="BT95" s="110"/>
      <c r="BU95" s="80"/>
      <c r="BV95" s="110"/>
      <c r="BW95" s="110"/>
      <c r="BX95" s="110"/>
      <c r="BY95" s="110"/>
      <c r="BZ95" s="110"/>
      <c r="CA95" s="110"/>
      <c r="CB95" s="139">
        <f>AC29</f>
        <v>0</v>
      </c>
      <c r="CC95" s="110"/>
      <c r="CD95" s="110"/>
      <c r="CE95" s="2"/>
    </row>
    <row r="96" spans="1:83" ht="12.75" customHeight="1" x14ac:dyDescent="0.3">
      <c r="A96" s="16"/>
      <c r="B96" s="156" t="s">
        <v>126</v>
      </c>
      <c r="C96" s="240">
        <f>M.s3RA*Molweight</f>
        <v>18187.599488059375</v>
      </c>
      <c r="D96" s="379">
        <f t="shared" si="30"/>
        <v>1.0992451565259978E-6</v>
      </c>
      <c r="E96" s="240">
        <f>M.s3CA*Molweight</f>
        <v>20386.710142271077</v>
      </c>
      <c r="F96" s="379">
        <f t="shared" si="34"/>
        <v>6.2169774481809384E-7</v>
      </c>
      <c r="G96" s="241">
        <f>M.sMA*Molweight</f>
        <v>243250.9403057482</v>
      </c>
      <c r="H96" s="379">
        <f t="shared" si="31"/>
        <v>4.7026990134742525E-8</v>
      </c>
      <c r="I96" s="241">
        <f>M.sAA*Molweight</f>
        <v>79965.593760797667</v>
      </c>
      <c r="J96" s="379">
        <f t="shared" si="32"/>
        <v>2.3390470745364278E-8</v>
      </c>
      <c r="K96" s="241">
        <f>M.sTA*Molweight</f>
        <v>29977.665012091737</v>
      </c>
      <c r="L96" s="394">
        <f t="shared" si="33"/>
        <v>2.3454864716976163E-9</v>
      </c>
      <c r="M96" s="121">
        <f>C.s3RA*(Molweight*1000)/(FRACw.s3R*1000+(1-FRACa.s3R-FRACw.s3R)*RHOsolid)</f>
        <v>9.3613229506519427E-6</v>
      </c>
      <c r="N96" s="121">
        <f>C.s3CA*(Molweight*1000)/(FRACw.s3C*1000+(1-FRACa.s3C-FRACw.s3C)*RHOsolid)</f>
        <v>6.8805122648371936E-7</v>
      </c>
      <c r="O96" s="121">
        <f>C.sMA*(Molweight*1000)/(FRACw.sM*1000+(1-FRACa.sM-FRACw.sM)*RHOsolid)</f>
        <v>7.3784510389114089E-8</v>
      </c>
      <c r="P96" s="121">
        <f>C.sAA*(Molweight*1000)/(FRACw.sA*1000+(1-FRACa.sA-FRACw.sA)*RHOsolid)</f>
        <v>5.5339511253147163E-8</v>
      </c>
      <c r="Q96" s="121">
        <f>C.sTA*(Molweight*1000)/(FRACw.sT*1000+(1-FRACa.sT-FRACw.sT)*RHOsolid)</f>
        <v>9.220350638090496E-9</v>
      </c>
      <c r="R96" s="157" t="s">
        <v>213</v>
      </c>
      <c r="S96" s="160"/>
      <c r="T96" s="160"/>
      <c r="U96" s="160"/>
      <c r="V96" s="160"/>
      <c r="W96" s="159"/>
      <c r="X96" s="162"/>
      <c r="Y96" s="153"/>
      <c r="Z96" s="16"/>
      <c r="AA96" s="257" t="s">
        <v>181</v>
      </c>
      <c r="AB96" s="159" t="s">
        <v>177</v>
      </c>
      <c r="AC96" s="158"/>
      <c r="AD96" s="160"/>
      <c r="AE96" s="160"/>
      <c r="AF96" s="160">
        <f>kbur.sdT*(M.sdTS+M.sdTA+M.sdTP)*Molweight</f>
        <v>2.7509744406566689E-2</v>
      </c>
      <c r="AG96" s="160">
        <f>(kdis.sd2S.sd2D*M.sdTS+kdis.sd2A.sd2D*M.sdTA+kdis.sd2P.sd2D*M.sdTP)*Molweight</f>
        <v>0</v>
      </c>
      <c r="AH96" s="159">
        <f>(kdegS.sd2*C.sdTS+kdegA.sd2*C.sdTA+kdegP.sd2*C.sdTP)*VOLUME.sdT*Molweight</f>
        <v>0</v>
      </c>
      <c r="AI96" s="160"/>
      <c r="AJ96" s="160"/>
      <c r="AK96" s="160"/>
      <c r="AL96" s="160"/>
      <c r="AM96" s="160"/>
      <c r="AN96" s="160">
        <f>AN95</f>
        <v>209.17034159532884</v>
      </c>
      <c r="AO96" s="159">
        <f>AO95</f>
        <v>209.14283185092228</v>
      </c>
      <c r="AP96" s="708">
        <f>SUM(AC96,AD96,AN96)-SUM(AE96,AF96,AH96,AO96,AG96)</f>
        <v>0</v>
      </c>
      <c r="AQ96" s="16"/>
      <c r="AR96" s="43"/>
      <c r="AS96" s="2"/>
      <c r="AT96" s="2"/>
      <c r="AU96" s="2"/>
      <c r="AV96" s="2"/>
      <c r="AW96" s="2"/>
      <c r="AX96" s="2"/>
      <c r="AY96" s="2"/>
      <c r="AZ96" s="2"/>
      <c r="BA96" s="2"/>
      <c r="BB96" s="2"/>
      <c r="BC96" s="2"/>
      <c r="BD96" s="2"/>
      <c r="BE96" s="2"/>
      <c r="BF96" s="2"/>
      <c r="BG96" s="2"/>
      <c r="BH96" s="2"/>
      <c r="BI96" s="2"/>
      <c r="BJ96" s="2"/>
      <c r="BK96" s="2"/>
      <c r="BL96" s="43"/>
      <c r="BM96" s="2"/>
      <c r="BN96" s="2"/>
      <c r="BO96" s="110"/>
      <c r="BP96" s="137"/>
      <c r="BQ96" s="52"/>
      <c r="BR96" s="81"/>
      <c r="BS96" s="110"/>
      <c r="BT96" s="110"/>
      <c r="BU96" s="110"/>
      <c r="BV96" s="2"/>
      <c r="BW96" s="110"/>
      <c r="BX96" s="110"/>
      <c r="BY96" s="2"/>
      <c r="BZ96" s="130">
        <f>AC30</f>
        <v>0</v>
      </c>
      <c r="CA96" s="110"/>
      <c r="CB96" s="110"/>
      <c r="CC96" s="110"/>
      <c r="CD96" s="110"/>
      <c r="CE96" s="2"/>
    </row>
    <row r="97" spans="1:83" ht="12.75" customHeight="1" x14ac:dyDescent="0.3">
      <c r="A97" s="16"/>
      <c r="B97" s="156" t="s">
        <v>128</v>
      </c>
      <c r="C97" s="240">
        <f>M.s3RP*Molweight</f>
        <v>26142567.288335979</v>
      </c>
      <c r="D97" s="379">
        <f t="shared" si="30"/>
        <v>1.5800375684391417E-3</v>
      </c>
      <c r="E97" s="240">
        <f>M.s3CP*Molweight</f>
        <v>4738137.7170090517</v>
      </c>
      <c r="F97" s="379">
        <f t="shared" si="34"/>
        <v>1.4449067616821131E-4</v>
      </c>
      <c r="G97" s="241">
        <f>M.sMP*Molweight</f>
        <v>3566434.7799713444</v>
      </c>
      <c r="H97" s="379">
        <f t="shared" si="31"/>
        <v>6.8948836540202149E-7</v>
      </c>
      <c r="I97" s="241">
        <f>M.sAP*Molweight</f>
        <v>38383.295450219084</v>
      </c>
      <c r="J97" s="379">
        <f t="shared" si="32"/>
        <v>1.1227370511680769E-8</v>
      </c>
      <c r="K97" s="241">
        <f>M.sTP*Molweight</f>
        <v>57938.039201165942</v>
      </c>
      <c r="L97" s="394">
        <f t="shared" si="33"/>
        <v>4.5331378240502515E-9</v>
      </c>
      <c r="M97" s="121">
        <f>C.s3RP*(Molweight*1000)/(FRACw.s3R*1000+(1-FRACa.s3R-FRACw.s3R)*RHOsolid)</f>
        <v>1.3455817261971993E-2</v>
      </c>
      <c r="N97" s="121">
        <f>C.s3CP*(Molweight*1000)/(FRACw.s3C*1000+(1-FRACa.s3C-FRACw.s3C)*RHOsolid)</f>
        <v>1.5991209197982326E-4</v>
      </c>
      <c r="O97" s="121">
        <f>C.sMP*(Molweight*1000)/(FRACw.sM*1000+(1-FRACa.sM-FRACw.sM)*RHOsolid)</f>
        <v>1.0817949716623364E-6</v>
      </c>
      <c r="P97" s="121">
        <f>C.sAP*(Molweight*1000)/(FRACw.sA*1000+(1-FRACa.sA-FRACw.sA)*RHOsolid)</f>
        <v>2.6562834221604903E-8</v>
      </c>
      <c r="Q97" s="121">
        <f>C.sTP*(Molweight*1000)/(FRACw.sT*1000+(1-FRACa.sT-FRACw.sT)*RHOsolid)</f>
        <v>1.7820235048417047E-8</v>
      </c>
      <c r="R97" s="157" t="s">
        <v>213</v>
      </c>
      <c r="S97" s="160"/>
      <c r="T97" s="160"/>
      <c r="U97" s="160"/>
      <c r="V97" s="160"/>
      <c r="W97" s="159"/>
      <c r="X97" s="162"/>
      <c r="Y97" s="153"/>
      <c r="Z97" s="16"/>
      <c r="AA97" s="257" t="s">
        <v>182</v>
      </c>
      <c r="AB97" s="159" t="s">
        <v>178</v>
      </c>
      <c r="AC97" s="158">
        <f>E.sTS*Molweight</f>
        <v>0</v>
      </c>
      <c r="AD97" s="160"/>
      <c r="AE97" s="160"/>
      <c r="AF97" s="160">
        <f>kleach.sT*(M.sTS+M.sTA)*Molweight</f>
        <v>5.2904334133447162E-5</v>
      </c>
      <c r="AG97" s="160">
        <f>(kdis.s1S.s1D*M.sTS+kdis.s1A.s1D*M.sTA+kdis.s1P.s1D*M.sTP)*Molweight</f>
        <v>0</v>
      </c>
      <c r="AH97" s="159">
        <f>(kdegS.s1*C.sTS+kdegA.s1*C.sTA+kdegP.s1*C.sTP)*VOLUME.sT*Molweight</f>
        <v>0</v>
      </c>
      <c r="AI97" s="160"/>
      <c r="AJ97" s="160"/>
      <c r="AK97" s="160">
        <f>((k.aTS.sTS*M.aTS+k.aTA.sTA*M.aTA+k.aTP.sTP*M.aTP)+(k.cwTS.sTS*M.cwTS+k.cwTA.sTA*M.cwTA+k.cwTP.sTP*M.cwTP))*Molweight</f>
        <v>7.9062763663161929E-3</v>
      </c>
      <c r="AL97" s="160"/>
      <c r="AM97" s="160">
        <f>AM94</f>
        <v>7.8533720321827434E-3</v>
      </c>
      <c r="AN97" s="160"/>
      <c r="AO97" s="159"/>
      <c r="AP97" s="708">
        <f>SUM(AC97,AD97,AK97)-SUM(AE97,AF97,AH97,AL97,AM97,AP96,AG97)</f>
        <v>0</v>
      </c>
      <c r="AQ97" s="16"/>
      <c r="AR97" s="43"/>
      <c r="AS97" s="2"/>
      <c r="AT97" s="2"/>
      <c r="AU97" s="2"/>
      <c r="AV97" s="2"/>
      <c r="AW97" s="2"/>
      <c r="AX97" s="2"/>
      <c r="AY97" s="2"/>
      <c r="AZ97" s="2"/>
      <c r="BA97" s="2"/>
      <c r="BB97" s="2"/>
      <c r="BC97" s="2"/>
      <c r="BD97" s="2"/>
      <c r="BE97" s="2"/>
      <c r="BF97" s="2"/>
      <c r="BG97" s="2"/>
      <c r="BH97" s="2"/>
      <c r="BI97" s="2"/>
      <c r="BJ97" s="2"/>
      <c r="BK97" s="2"/>
      <c r="BL97" s="43"/>
      <c r="BM97" s="2"/>
      <c r="BN97" s="2"/>
      <c r="BO97" s="110"/>
      <c r="BP97" s="135">
        <f>IF(AN27&lt;0,"",AN27)</f>
        <v>0</v>
      </c>
      <c r="BQ97" s="52">
        <f>AH27</f>
        <v>0</v>
      </c>
      <c r="BR97" s="83"/>
      <c r="BS97" s="81"/>
      <c r="BT97" s="110"/>
      <c r="BU97" s="110"/>
      <c r="BV97" s="139">
        <f>AC28</f>
        <v>0</v>
      </c>
      <c r="BW97" s="110"/>
      <c r="BX97" s="110"/>
      <c r="BY97" s="110"/>
      <c r="BZ97" s="110"/>
      <c r="CA97" s="110"/>
      <c r="CB97" s="110"/>
      <c r="CC97" s="110"/>
      <c r="CD97" s="110"/>
      <c r="CE97" s="2"/>
    </row>
    <row r="98" spans="1:83" ht="12.75" customHeight="1" thickBot="1" x14ac:dyDescent="0.35">
      <c r="A98" s="16"/>
      <c r="B98" s="155"/>
      <c r="C98" s="391"/>
      <c r="D98" s="393"/>
      <c r="E98" s="242"/>
      <c r="F98" s="393"/>
      <c r="G98" s="242"/>
      <c r="H98" s="393"/>
      <c r="I98" s="242"/>
      <c r="J98" s="393"/>
      <c r="K98" s="242"/>
      <c r="L98" s="395"/>
      <c r="M98" s="396"/>
      <c r="N98" s="396"/>
      <c r="O98" s="396"/>
      <c r="P98" s="396"/>
      <c r="Q98" s="396"/>
      <c r="R98" s="651"/>
      <c r="S98" s="299"/>
      <c r="T98" s="299"/>
      <c r="U98" s="299"/>
      <c r="V98" s="299"/>
      <c r="W98" s="651"/>
      <c r="X98" s="162"/>
      <c r="Y98" s="153"/>
      <c r="Z98" s="16"/>
      <c r="AA98" s="726"/>
      <c r="AB98" s="727"/>
      <c r="AC98" s="711">
        <f>SUM(AC60:AC97)</f>
        <v>0.9512937595129376</v>
      </c>
      <c r="AD98" s="712"/>
      <c r="AE98" s="712"/>
      <c r="AF98" s="713">
        <f>SUM(AF60:AF97)</f>
        <v>0.94040098722480625</v>
      </c>
      <c r="AG98" s="713"/>
      <c r="AH98" s="714">
        <f>SUM(AH60:AH97)</f>
        <v>0</v>
      </c>
      <c r="AI98" s="728"/>
      <c r="AJ98" s="729"/>
      <c r="AK98" s="729"/>
      <c r="AL98" s="728"/>
      <c r="AM98" s="728"/>
      <c r="AN98" s="728"/>
      <c r="AO98" s="419"/>
      <c r="AP98" s="730">
        <f>SUM(AP61:AP97)</f>
        <v>-2.9304034344897499E-2</v>
      </c>
      <c r="AQ98" s="16"/>
      <c r="AR98" s="43"/>
      <c r="AS98" s="2"/>
      <c r="AT98" s="2"/>
      <c r="AU98" s="2"/>
      <c r="AV98" s="2"/>
      <c r="AW98" s="2"/>
      <c r="AX98" s="2"/>
      <c r="AY98" s="2"/>
      <c r="AZ98" s="2"/>
      <c r="BA98" s="2"/>
      <c r="BB98" s="2"/>
      <c r="BC98" s="2"/>
      <c r="BD98" s="2"/>
      <c r="BE98" s="2"/>
      <c r="BF98" s="2"/>
      <c r="BG98" s="2"/>
      <c r="BH98" s="2"/>
      <c r="BI98" s="2"/>
      <c r="BJ98" s="2"/>
      <c r="BK98" s="2"/>
      <c r="BL98" s="43"/>
      <c r="BM98" s="2"/>
      <c r="BN98" s="2"/>
      <c r="BO98" s="39"/>
      <c r="BP98" s="39" t="s">
        <v>184</v>
      </c>
      <c r="BQ98" s="110"/>
      <c r="BR98" s="110"/>
      <c r="BS98" s="110"/>
      <c r="BT98" s="110"/>
      <c r="BU98" s="110"/>
      <c r="BV98" s="110"/>
      <c r="BW98" s="110"/>
      <c r="BX98" s="110"/>
      <c r="BY98" s="110"/>
      <c r="BZ98" s="110"/>
      <c r="CA98" s="110"/>
      <c r="CB98" s="110"/>
      <c r="CC98" s="110"/>
      <c r="CD98" s="110"/>
      <c r="CE98" s="2"/>
    </row>
    <row r="99" spans="1:83" ht="12.75" customHeight="1" x14ac:dyDescent="0.3">
      <c r="A99" s="249"/>
      <c r="B99" s="590" t="s">
        <v>218</v>
      </c>
      <c r="C99" s="241">
        <f>SUM(C12,C20,C28,C36,C44,C52,C68,C76,C84,C92)</f>
        <v>0</v>
      </c>
      <c r="D99" s="379">
        <f>C99/$C$103</f>
        <v>0</v>
      </c>
      <c r="E99" s="241">
        <f>SUM(E12,E20,E28,E36,E44,E52,E68,E76,E84,E92)</f>
        <v>0</v>
      </c>
      <c r="F99" s="379">
        <f>E99/$E$103</f>
        <v>0</v>
      </c>
      <c r="G99" s="241">
        <f>SUM(G12,G52,G60,G68,G92)</f>
        <v>0</v>
      </c>
      <c r="H99" s="379">
        <f>G99/$G$103</f>
        <v>0</v>
      </c>
      <c r="I99" s="241">
        <f>SUM(I12,I52,I60,I68,I92)</f>
        <v>0</v>
      </c>
      <c r="J99" s="379">
        <f>I99/$I$103</f>
        <v>0</v>
      </c>
      <c r="K99" s="241">
        <f>SUM(K12,K52,K60,K68,K92)</f>
        <v>0</v>
      </c>
      <c r="L99" s="394">
        <f>K99/$K$103</f>
        <v>0</v>
      </c>
      <c r="M99" s="417">
        <f xml:space="preserve"> (M.aRG+M.w0RD+M.w1RD+M.w2RD+M.sd0RD+M.sd1RD+M.sd2RD+M.s1RD+M.s2RD+M.s3RD)*Molweight/(VOLUME.aR+VOLUME.cwR+VOLUME.w0R+VOLUME.w1R+VOLUME.w2R+VOLUME.sd0R+VOLUME.sd1R+VOLUME.sd2R+VOLUME.s1R+VOLUME.s2R+VOLUME.s3R)</f>
        <v>0</v>
      </c>
      <c r="N99" s="417">
        <f xml:space="preserve"> (M.aCG+M.w0CD+M.w1CD+M.w2CD+M.sd0CD+M.sd1CD+M.sd2CD+M.s1CD+M.s2CD+M.s3CD)*Molweight/(VOLUME.aC+VOLUME.cwC+VOLUME.w0C+VOLUME.w1C+VOLUME.w2C+VOLUME.sd0C+VOLUME.sd1C+VOLUME.sd2C+VOLUME.s1C+VOLUME.s2C+VOLUME.s3C)</f>
        <v>0</v>
      </c>
      <c r="O99" s="417">
        <f xml:space="preserve"> (M.aMG+M.w2MD+M.w3MD+M.sdMD+M.sMD)*Molweight/(VOLUME.aM+VOLUME.cwM+VOLUME.w2M+VOLUME.w3M+VOLUME.sdM+VOLUME.sM)</f>
        <v>0</v>
      </c>
      <c r="P99" s="417">
        <f xml:space="preserve"> (M.aAG+M.w2AD+M.w3AD+M.sdAD+M.sAD)*Molweight/(VOLUME.aA+VOLUME.cwA+VOLUME.w2A+VOLUME.w3A+VOLUME.sdA+VOLUME.sA)</f>
        <v>0</v>
      </c>
      <c r="Q99" s="417">
        <f xml:space="preserve"> (M.aTG+M.w2TD+M.w3TD+M.sdTD+M.sTD)*Molweight/(VOLUME.aT+VOLUME.cwT+VOLUME.w2T+VOLUME.w3T+VOLUME.sdT+VOLUME.sT)</f>
        <v>0</v>
      </c>
      <c r="R99" s="157" t="s">
        <v>134</v>
      </c>
      <c r="S99" s="160">
        <f>SUM(S12,S20,S36,S44,S52,S68,S76,S84,S92)</f>
        <v>0</v>
      </c>
      <c r="T99" s="160">
        <f>SUM(T12,T20,T36,T44,T52,T68,T76,T84,T92)</f>
        <v>0</v>
      </c>
      <c r="U99" s="160">
        <f>SUM(U12,U20,U36,U44,U52,U68,U76,U84,U92)</f>
        <v>0</v>
      </c>
      <c r="V99" s="160">
        <f>SUM(V12,V20,V36,V44,V52,V68,V76,V84,V92)</f>
        <v>0</v>
      </c>
      <c r="W99" s="596">
        <f>SUM(W12,W20,W36,W44,W52,W68,W76,W84,W92)</f>
        <v>0</v>
      </c>
      <c r="X99" s="162"/>
      <c r="Y99" s="153"/>
      <c r="Z99" s="16"/>
      <c r="AA99" s="16"/>
      <c r="AB99" s="16"/>
      <c r="AC99" s="16"/>
      <c r="AD99" s="16"/>
      <c r="AE99" s="16"/>
      <c r="AF99" s="16"/>
      <c r="AG99" s="16"/>
      <c r="AH99" s="16"/>
      <c r="AI99" s="16"/>
      <c r="AJ99" s="16"/>
      <c r="AK99" s="16"/>
      <c r="AL99" s="16"/>
      <c r="AM99" s="16"/>
      <c r="AN99" s="16"/>
      <c r="AO99" s="16"/>
      <c r="AP99" s="16"/>
      <c r="AQ99" s="16"/>
      <c r="AR99" s="43"/>
      <c r="AS99" s="2"/>
      <c r="AT99" s="2"/>
      <c r="AU99" s="2"/>
      <c r="AV99" s="2"/>
      <c r="AW99" s="2"/>
      <c r="AX99" s="2"/>
      <c r="AY99" s="2"/>
      <c r="AZ99" s="2"/>
      <c r="BA99" s="2"/>
      <c r="BB99" s="2"/>
      <c r="BC99" s="2"/>
      <c r="BD99" s="2"/>
      <c r="BE99" s="2"/>
      <c r="BF99" s="2"/>
      <c r="BG99" s="2"/>
      <c r="BH99" s="2"/>
      <c r="BI99" s="2"/>
      <c r="BJ99" s="2"/>
      <c r="BK99" s="2"/>
      <c r="BL99" s="43"/>
      <c r="BM99" s="2"/>
      <c r="BN99" s="110"/>
      <c r="BO99" s="2"/>
      <c r="BP99" s="52"/>
      <c r="BQ99" s="74">
        <f>IF(ISERROR(F68),0,F68)</f>
        <v>0</v>
      </c>
      <c r="BR99" s="110"/>
      <c r="BS99" s="110"/>
      <c r="BT99" s="110"/>
      <c r="BU99" s="110"/>
      <c r="BV99" s="2"/>
      <c r="BW99" s="110"/>
      <c r="BX99" s="2"/>
      <c r="BY99" s="110"/>
      <c r="BZ99" s="2"/>
      <c r="CA99" s="2"/>
      <c r="CB99" s="110"/>
      <c r="CC99" s="2"/>
      <c r="CD99" s="110"/>
      <c r="CE99" s="2"/>
    </row>
    <row r="100" spans="1:83" ht="12.75" customHeight="1" x14ac:dyDescent="0.3">
      <c r="A100" s="249"/>
      <c r="B100" s="590" t="s">
        <v>219</v>
      </c>
      <c r="C100" s="386">
        <f>SUM(C15,C23,C31,C39,C47,C55,C71,C79,C87,C95)</f>
        <v>11400.550766319368</v>
      </c>
      <c r="D100" s="379">
        <f>C100/$C$103</f>
        <v>6.8904091602813756E-7</v>
      </c>
      <c r="E100" s="386">
        <f>SUM(E15,E23,E31,E39,E47,E55,E71,E79,E87,E95)</f>
        <v>3503.584090901446</v>
      </c>
      <c r="F100" s="379">
        <f>E100/$E$103</f>
        <v>1.0684265940376649E-7</v>
      </c>
      <c r="G100" s="386">
        <f>SUM(G15,G55,G71,G63,G95)</f>
        <v>185.62758664264814</v>
      </c>
      <c r="H100" s="379">
        <f>G100/$G$103</f>
        <v>3.5886836346069376E-11</v>
      </c>
      <c r="I100" s="386">
        <f>SUM(I15,I55,I71,I63,I95)</f>
        <v>2.8918424496526485</v>
      </c>
      <c r="J100" s="379">
        <f>I100/$I$103</f>
        <v>8.4588324850235081E-13</v>
      </c>
      <c r="K100" s="386">
        <f>SUM(K15,K55,K71,K63,K95)</f>
        <v>4.5203203192282091</v>
      </c>
      <c r="L100" s="394">
        <f>K100/$K$103</f>
        <v>3.5367498276510427E-13</v>
      </c>
      <c r="M100" s="417">
        <f xml:space="preserve"> (M.aRS+M.cwRS+M.w0RS+M.w1RS+M.w2RS+M.sd0RS+M.sd1RS+M.sd2RS+M.s1RS+M.s2RS+M.s3RS)*Molweight/(VOLUME.aR+VOLUME.cwR+VOLUME.w0R+VOLUME.w1R+VOLUME.w2R+VOLUME.sd0R+VOLUME.sd1R+VOLUME.sd2R+VOLUME.s1R+VOLUME.s2R+VOLUME.s3R)</f>
        <v>4.9634966205520279E-11</v>
      </c>
      <c r="N100" s="417">
        <f xml:space="preserve"> (M.aCS+M.cwCS+M.w0CS+M.w1CS+M.w2CS+M.sd0CS+M.sd1CS+M.sd2CS+M.s1CS+M.s2CS+M.s3CS)*Molweight/(VOLUME.aC+VOLUME.cwC+VOLUME.w0C+VOLUME.w1C+VOLUME.w2C+VOLUME.sd0C+VOLUME.sd1C+VOLUME.sd2C+VOLUME.s1C+VOLUME.s2C+VOLUME.s3C)</f>
        <v>4.4105255992252433E-13</v>
      </c>
      <c r="O100" s="417">
        <f xml:space="preserve"> (M.aMS+M.cwMS+M.w2MS+M.w3MS+M.sdMS+M.sMS)*Molweight/(VOLUME.aM+VOLUME.cwM+VOLUME.w2M+VOLUME.w3M+VOLUME.sdM+VOLUME.sM)</f>
        <v>9.3841540312027168E-16</v>
      </c>
      <c r="P100" s="417">
        <f xml:space="preserve"> (M.aAS+M.cwAS+M.w2AS+M.w3AS+M.sdAS+M.sAS)*Molweight/(VOLUME.aA+VOLUME.cwA+VOLUME.w2A+VOLUME.w3A+VOLUME.sdA+VOLUME.sA)</f>
        <v>2.3791065627986436E-17</v>
      </c>
      <c r="Q100" s="417">
        <f xml:space="preserve"> (M.aTS+M.cwTS+M.w2TS+M.w3TS+M.sdTS+M.sTS)*Molweight/(VOLUME.aT+VOLUME.cwT+VOLUME.w2T+VOLUME.w3T+VOLUME.sdT+VOLUME.sT)</f>
        <v>1.1183940087693043E-17</v>
      </c>
      <c r="R100" s="157" t="s">
        <v>134</v>
      </c>
      <c r="S100" s="20"/>
      <c r="T100" s="20"/>
      <c r="U100" s="20"/>
      <c r="V100" s="20"/>
      <c r="W100" s="597"/>
      <c r="X100" s="162"/>
      <c r="Y100" s="153"/>
      <c r="Z100" s="16"/>
      <c r="AA100" s="16"/>
      <c r="AB100" s="16"/>
      <c r="AC100" s="16"/>
      <c r="AD100" s="16"/>
      <c r="AE100" s="16"/>
      <c r="AF100" s="16"/>
      <c r="AG100" s="16"/>
      <c r="AH100" s="16"/>
      <c r="AI100" s="16"/>
      <c r="AJ100" s="16"/>
      <c r="AK100" s="16"/>
      <c r="AL100" s="16"/>
      <c r="AM100" s="16"/>
      <c r="AN100" s="16"/>
      <c r="AO100" s="16"/>
      <c r="AP100" s="16"/>
      <c r="AQ100" s="16"/>
      <c r="AR100" s="43"/>
      <c r="AS100" s="2"/>
      <c r="AT100" s="2"/>
      <c r="AU100" s="2"/>
      <c r="AV100" s="2"/>
      <c r="AW100" s="2"/>
      <c r="AX100" s="2"/>
      <c r="AY100" s="2"/>
      <c r="AZ100" s="2"/>
      <c r="BA100" s="2"/>
      <c r="BB100" s="2"/>
      <c r="BC100" s="2"/>
      <c r="BD100" s="2"/>
      <c r="BE100" s="2"/>
      <c r="BF100" s="2"/>
      <c r="BG100" s="2"/>
      <c r="BH100" s="2"/>
      <c r="BI100" s="2"/>
      <c r="BJ100" s="2"/>
      <c r="BK100" s="2"/>
      <c r="BL100" s="43"/>
      <c r="BM100" s="2"/>
      <c r="BN100" s="110"/>
      <c r="BO100" s="2"/>
      <c r="BP100" s="2"/>
      <c r="BQ100" s="2"/>
      <c r="BR100" s="110"/>
      <c r="BS100" s="110"/>
      <c r="BT100" s="110"/>
      <c r="BU100" s="110"/>
      <c r="BV100" s="110"/>
      <c r="BW100" s="110"/>
      <c r="BX100" s="110"/>
      <c r="BY100" s="110"/>
      <c r="BZ100" s="110"/>
      <c r="CA100" s="110"/>
      <c r="CB100" s="110"/>
      <c r="CC100" s="2"/>
      <c r="CD100" s="110"/>
      <c r="CE100" s="2"/>
    </row>
    <row r="101" spans="1:83" ht="12.75" customHeight="1" x14ac:dyDescent="0.3">
      <c r="A101" s="249"/>
      <c r="B101" s="591" t="s">
        <v>220</v>
      </c>
      <c r="C101" s="386">
        <f>SUM(C16,C24,C32,C40,C48,C56,C72,C80,C88,C96)</f>
        <v>25452140.773153428</v>
      </c>
      <c r="D101" s="379">
        <f>C101/$C$103</f>
        <v>1.5383086968940095E-3</v>
      </c>
      <c r="E101" s="386">
        <f>SUM(E16,E24,E32,E40,E48,E56,E72,E80,E88,E96)</f>
        <v>32653369839.131474</v>
      </c>
      <c r="F101" s="379">
        <f>E101/$E$103</f>
        <v>0.99577255221806604</v>
      </c>
      <c r="G101" s="386">
        <f>SUM(G16,G56,G64,G72,G96)</f>
        <v>5172323110566.4814</v>
      </c>
      <c r="H101" s="379">
        <f>G101/$G$103</f>
        <v>0.99995004166716794</v>
      </c>
      <c r="I101" s="386">
        <f>SUM(I16,I56,I64,I72,I96)</f>
        <v>3418642318684.8813</v>
      </c>
      <c r="J101" s="379">
        <f>I101/$I$103</f>
        <v>0.99997573185362132</v>
      </c>
      <c r="K101" s="386">
        <f>SUM(K16,K56,K64,K72,K96)</f>
        <v>12779621295796.213</v>
      </c>
      <c r="L101" s="394">
        <f>K101/$K$103</f>
        <v>0.99989204798366871</v>
      </c>
      <c r="M101" s="417">
        <f xml:space="preserve"> (M.aRA+M.cwRA+M.w0RA+M.w1RA+M.w2RA+M.sd0RA+M.sd1RA+M.sd2RA+M.s1RA+M.s2RA+M.s3RA)*Molweight/(VOLUME.aR+VOLUME.cwR+VOLUME.w0R+VOLUME.w1R+VOLUME.w2R+VOLUME.sd0R+VOLUME.sd1R+VOLUME.sd2R+VOLUME.s1R+VOLUME.s2R+VOLUME.s3R)</f>
        <v>1.1081185225417606E-7</v>
      </c>
      <c r="N101" s="417">
        <f xml:space="preserve"> (M.aCA+M.cwCA+M.w0CA+M.w1CA+M.w2CA+M.sd0CA+M.sd1CA+M.sd2CA+M.s1CA+M.s2CA+M.s3CA)*Molweight/(VOLUME.aC+VOLUME.cwC+VOLUME.w0C+VOLUME.w1C+VOLUME.w2C+VOLUME.sd0C+VOLUME.sd1C+VOLUME.sd2C+VOLUME.s1C+VOLUME.s2C+VOLUME.s3C)</f>
        <v>4.1106055924407384E-6</v>
      </c>
      <c r="O101" s="417">
        <f xml:space="preserve"> (M.aMA+M.cwMA+M.w2MA+M.w3MA+M.sdMA+M.sMA)*Molweight/(VOLUME.aM+VOLUME.cwM+VOLUME.w2M+VOLUME.w3M+VOLUME.sdM+VOLUME.sM)</f>
        <v>2.6147986754870514E-5</v>
      </c>
      <c r="P101" s="417">
        <f xml:space="preserve"> (M.aAA+M.cwAA+M.w2AA+M.w3AA+M.sdAA+M.sAA)*Molweight/(VOLUME.aA+VOLUME.cwA+VOLUME.w2A+VOLUME.w3A+VOLUME.sdA+VOLUME.sA)</f>
        <v>2.8125025888672807E-5</v>
      </c>
      <c r="Q101" s="417">
        <f xml:space="preserve"> (M.aTA+M.cwTA+M.w2TA+M.w3TA+M.sdTA+M.sTA)*Molweight/(VOLUME.aT+VOLUME.cwT+VOLUME.w2T+VOLUME.w3T+VOLUME.sdT+VOLUME.sT)</f>
        <v>3.1618670541470386E-5</v>
      </c>
      <c r="R101" s="157" t="s">
        <v>221</v>
      </c>
      <c r="S101" s="20"/>
      <c r="T101" s="20"/>
      <c r="U101" s="20"/>
      <c r="V101" s="20"/>
      <c r="W101" s="597"/>
      <c r="X101" s="162"/>
      <c r="Y101" s="153"/>
      <c r="Z101" s="16"/>
      <c r="AA101" s="16"/>
      <c r="AB101" s="16"/>
      <c r="AC101" s="16"/>
      <c r="AD101" s="16"/>
      <c r="AE101" s="16"/>
      <c r="AF101" s="16"/>
      <c r="AG101" s="16"/>
      <c r="AH101" s="16"/>
      <c r="AI101" s="16"/>
      <c r="AJ101" s="16"/>
      <c r="AK101" s="16"/>
      <c r="AL101" s="16"/>
      <c r="AM101" s="16"/>
      <c r="AN101" s="16"/>
      <c r="AO101" s="16"/>
      <c r="AP101" s="16"/>
      <c r="AQ101" s="16"/>
      <c r="AR101" s="43"/>
      <c r="AS101" s="2"/>
      <c r="AT101" s="2"/>
      <c r="AU101" s="2"/>
      <c r="AV101" s="2"/>
      <c r="AW101" s="2"/>
      <c r="AX101" s="2"/>
      <c r="AY101" s="2"/>
      <c r="AZ101" s="2"/>
      <c r="BA101" s="2"/>
      <c r="BB101" s="2"/>
      <c r="BC101" s="2"/>
      <c r="BD101" s="2"/>
      <c r="BE101" s="2"/>
      <c r="BF101" s="2"/>
      <c r="BG101" s="2"/>
      <c r="BH101" s="2"/>
      <c r="BI101" s="2"/>
      <c r="BJ101" s="2"/>
      <c r="BK101" s="2"/>
      <c r="BL101" s="43"/>
      <c r="BM101" s="2"/>
      <c r="BN101" s="110"/>
      <c r="BO101" s="110"/>
      <c r="BP101" s="2"/>
      <c r="BQ101" s="2"/>
      <c r="BR101" s="110"/>
      <c r="BS101" s="110"/>
      <c r="BT101" s="110"/>
      <c r="BU101" s="110"/>
      <c r="BV101" s="110"/>
      <c r="BW101" s="110"/>
      <c r="BX101" s="110"/>
      <c r="BY101" s="110"/>
      <c r="BZ101" s="110"/>
      <c r="CA101" s="110"/>
      <c r="CB101" s="110"/>
      <c r="CC101" s="110"/>
      <c r="CD101" s="110"/>
      <c r="CE101" s="2"/>
    </row>
    <row r="102" spans="1:83" ht="12.75" customHeight="1" x14ac:dyDescent="0.3">
      <c r="A102" s="249"/>
      <c r="B102" s="591" t="s">
        <v>222</v>
      </c>
      <c r="C102" s="386">
        <f>SUM(C17,C25,C33,C41,C49,C57,C73,C81,C89,C97)</f>
        <v>16520071710.829113</v>
      </c>
      <c r="D102" s="379">
        <f>C102/$C$103</f>
        <v>0.99846100226219003</v>
      </c>
      <c r="E102" s="386">
        <f>SUM(E17,E25,E33,E41,E49,E57,E73,E81,E89,E97)</f>
        <v>138622948.40198255</v>
      </c>
      <c r="F102" s="379">
        <f>E102/$E$103</f>
        <v>4.2273409392746151E-3</v>
      </c>
      <c r="G102" s="386">
        <f>SUM(G17,G57,G65,G73,G97)</f>
        <v>258413363.75478312</v>
      </c>
      <c r="H102" s="379">
        <f>G102/$G$103</f>
        <v>4.9958296945151199E-5</v>
      </c>
      <c r="I102" s="386">
        <f>SUM(I17,I57,I65,I73,I97)</f>
        <v>82966122.748311743</v>
      </c>
      <c r="J102" s="379">
        <f>I102/$I$103</f>
        <v>2.4268145532761063E-5</v>
      </c>
      <c r="K102" s="386">
        <f>SUM(K17,K57,K65,K73,K97)</f>
        <v>1379734827.4694557</v>
      </c>
      <c r="L102" s="394">
        <f>K102/$K$103</f>
        <v>1.0795201597770626E-4</v>
      </c>
      <c r="M102" s="417">
        <f xml:space="preserve"> (M.aRP+M.cwRP+M.w0RP+M.w1RP+M.w2RP+M.sd0RP+M.sd1RP+M.sd2RP+M.s1RP+M.s2RP+M.s3RP)*Molweight/(VOLUME.aR+VOLUME.cwR+VOLUME.w0R+VOLUME.w1R+VOLUME.w2R+VOLUME.sd0R+VOLUME.sd1R+VOLUME.sd2R+VOLUME.s1R+VOLUME.s2R+VOLUME.s3R)</f>
        <v>7.192399892663261E-5</v>
      </c>
      <c r="N102" s="417">
        <f xml:space="preserve"> (M.aCP+M.cwCP+M.w0CP+M.w1CP+M.w2CP+M.sd0CP+M.sd1CP+M.sd2CP+M.s1CP+M.s2CP+M.s3CP)*Molweight/(VOLUME.aC+VOLUME.cwC+VOLUME.w0C+VOLUME.w1C+VOLUME.w2C+VOLUME.sd0C+VOLUME.sd1C+VOLUME.sd2C+VOLUME.s1C+VOLUME.s2C+VOLUME.s3C)</f>
        <v>1.7450703242853107E-8</v>
      </c>
      <c r="O102" s="417">
        <f xml:space="preserve"> (M.aMP+M.cwMP+M.w2MP+M.w3MP+M.sdMP+M.sMP)*Molweight/(VOLUME.aM+VOLUME.cwM+VOLUME.w2M+VOLUME.w3M+VOLUME.sdM+VOLUME.sM)</f>
        <v>1.3063741510923455E-9</v>
      </c>
      <c r="P102" s="417">
        <f xml:space="preserve"> (M.aAP+M.cwAP+M.w2AP+M.w3AP+M.sdAP+M.sAP)*Molweight/(VOLUME.aA+VOLUME.cwA+VOLUME.w2A+VOLUME.w3A+VOLUME.sdA+VOLUME.sA)</f>
        <v>6.8255878581551016E-10</v>
      </c>
      <c r="Q102" s="417">
        <f xml:space="preserve"> (M.aTP+M.cwTP+M.w2TP+M.w3TP+M.sdTP+M.sTP)*Molweight/(VOLUME.aT+VOLUME.cwT+VOLUME.w2T+VOLUME.w3T+VOLUME.sdT+VOLUME.sT)</f>
        <v>3.4136677398022374E-9</v>
      </c>
      <c r="R102" s="157" t="s">
        <v>221</v>
      </c>
      <c r="S102" s="20"/>
      <c r="T102" s="20"/>
      <c r="U102" s="20"/>
      <c r="V102" s="20"/>
      <c r="W102" s="597"/>
      <c r="X102" s="162"/>
      <c r="Y102" s="153"/>
      <c r="Z102" s="16"/>
      <c r="AA102" s="16"/>
      <c r="AB102" s="16"/>
      <c r="AC102" s="16"/>
      <c r="AD102" s="16"/>
      <c r="AE102" s="16"/>
      <c r="AF102" s="16"/>
      <c r="AG102" s="16"/>
      <c r="AH102" s="16"/>
      <c r="AI102" s="16"/>
      <c r="AJ102" s="16"/>
      <c r="AK102" s="16"/>
      <c r="AL102" s="16"/>
      <c r="AM102" s="16"/>
      <c r="AN102" s="16"/>
      <c r="AO102" s="16"/>
      <c r="AP102" s="16"/>
      <c r="AQ102" s="16"/>
      <c r="AR102" s="43"/>
      <c r="AS102" s="2"/>
      <c r="AT102" s="2"/>
      <c r="AU102" s="2"/>
      <c r="AV102" s="2"/>
      <c r="AW102" s="2"/>
      <c r="AX102" s="2"/>
      <c r="AY102" s="2"/>
      <c r="AZ102" s="2"/>
      <c r="BA102" s="2"/>
      <c r="BB102" s="2"/>
      <c r="BC102" s="2"/>
      <c r="BD102" s="2"/>
      <c r="BE102" s="2"/>
      <c r="BF102" s="2"/>
      <c r="BG102" s="2"/>
      <c r="BH102" s="2"/>
      <c r="BI102" s="2"/>
      <c r="BJ102" s="2"/>
      <c r="BK102" s="2"/>
      <c r="BL102" s="43"/>
      <c r="BM102" s="2"/>
      <c r="BN102" s="110"/>
      <c r="BO102" s="2"/>
      <c r="BP102" s="2"/>
      <c r="BQ102" s="2"/>
      <c r="BR102" s="2"/>
      <c r="BS102" s="2"/>
      <c r="BT102" s="2"/>
      <c r="BU102" s="2"/>
      <c r="BV102" s="110"/>
      <c r="BW102" s="110"/>
      <c r="BX102" s="110"/>
      <c r="BY102" s="110"/>
      <c r="BZ102" s="110"/>
      <c r="CA102" s="110"/>
      <c r="CB102" s="110"/>
      <c r="CC102" s="110"/>
      <c r="CD102" s="110"/>
      <c r="CE102" s="2"/>
    </row>
    <row r="103" spans="1:83" ht="12.75" customHeight="1" thickBot="1" x14ac:dyDescent="0.35">
      <c r="A103" s="249"/>
      <c r="B103" s="595" t="s">
        <v>223</v>
      </c>
      <c r="C103" s="594">
        <f>SUM(C99:C102)</f>
        <v>16545535252.153032</v>
      </c>
      <c r="D103" s="592"/>
      <c r="E103" s="594">
        <f>SUM(E99:E102)</f>
        <v>32791996291.117546</v>
      </c>
      <c r="F103" s="592"/>
      <c r="G103" s="594">
        <f>SUM(G99:G102)</f>
        <v>5172581524115.8643</v>
      </c>
      <c r="H103" s="592"/>
      <c r="I103" s="594">
        <f>SUM(I99:I102)</f>
        <v>3418725284810.5215</v>
      </c>
      <c r="J103" s="592"/>
      <c r="K103" s="594">
        <f>SUM(K99:K102)</f>
        <v>12781001030628.201</v>
      </c>
      <c r="L103" s="593"/>
      <c r="M103" s="588">
        <f xml:space="preserve"> (M.aRG+M.aRS+M.aRA+M.aRP+M.cwRS+M.cwRA+M.cwRP+M.w0RD+M.w0RS+M.w0RA+M.w0RP+M.w1RD+M.w1RS+M.w1RA+M.w1RP+M.w2RD+M.w2RS+M.w2RA+M.w2RP+M.sd0RD+M.sd0RS+M.sd0RA+M.sd0RP+M.sd1RD+M.sd1RS+M.sd1RA+M.sd1RP+M.sd2RD+M.sd2RS+M.sd2RA+M.sd2RP+M.s1RD+M.s1RS+M.s1RA+M.s1RP+M.s2RD+M.s2RS+M.s2RP+M.s2RA+M.s3RD+M.s3RS+M.s3RA+M.s3RP)*Molweight/(VOLUME.aR+VOLUME.cwR+VOLUME.w0R+VOLUME.w1R+VOLUME.w2R+VOLUME.sd0R+VOLUME.sd1R+VOLUME.sd2R+VOLUME.s1R+VOLUME.s2R+VOLUME.s3R)</f>
        <v>7.2034860413852994E-5</v>
      </c>
      <c r="N103" s="589">
        <f xml:space="preserve"> (M.aCG+M.aCS+M.aCA+M.aCP+M.cwCS+M.cwCA+M.cwCP+M.w0CD+M.w0CS+M.w0CA+M.w0CP+M.w1CD+M.w1CS+M.w1CA+M.w1CP+M.w2CD+M.w2CS+M.w2CA+M.w2CP+M.sd0CD+M.sd0CS+M.sd0CA+M.sd0CP+M.sd1CD+M.sd1CS+M.sd1CA+M.sd1CP+M.sd2CD+M.sd2CS+M.sd2CA+M.sd2CP+M.s1CD+M.s1CS+M.s1CA+M.s1CP+M.s2CD+M.s2CS+M.s2CP+M.s2CA+M.s3CD+M.s3CS+M.s3CA+M.s3CP)*Molweight/(VOLUME.aC+VOLUME.cwC+VOLUME.w0C+VOLUME.w1C+VOLUME.w2C+VOLUME.sd0C+VOLUME.sd1C+VOLUME.sd2C+VOLUME.s1C+VOLUME.s2C+VOLUME.s3C)</f>
        <v>4.1280567367361505E-6</v>
      </c>
      <c r="O103" s="589">
        <f xml:space="preserve"> (M.aMG+M.aMS+M.aMA+M.aMP+M.cwMS+M.cwMA+M.cwMP+M.w2MD+M.w2MS+M.w2MA+M.w2MP+M.w3MD+M.w3MS+M.w3MA+M.w3MP+M.sdMD+M.sdMS+M.sdMA+M.sdMP+M.sMD+M.sMS+M.sMA+M.sMP)*Molweight/(VOLUME.aM+VOLUME.cwM+VOLUME.w2M+VOLUME.w3M+VOLUME.sdM+VOLUME.sM)</f>
        <v>2.6149293129960019E-5</v>
      </c>
      <c r="P103" s="589">
        <f xml:space="preserve"> (M.aAG+M.aAS+M.aAA+M.aAP+M.cwAS+M.cwAA+M.cwAP+M.w2AD+M.w2AS+M.w2AA+M.w2AP+M.w3AD+M.w3AS+M.w3AA+M.w3AP+M.sdAD+M.sdAS+M.sdAA+M.sdAP+M.sAD+M.sAS+M.sAA+M.sAP)*Molweight/(VOLUME.aA+VOLUME.cwA+VOLUME.w2A+VOLUME.w3A+VOLUME.sdA+VOLUME.sA)</f>
        <v>2.812570844748241E-5</v>
      </c>
      <c r="Q103" s="589">
        <f xml:space="preserve"> (M.aTG+M.aTS+M.aTA+M.aTP+M.cwTS+M.cwTA+M.cwTP+M.w2TD+M.w2TS+M.w2TA+M.w2TP+M.w3TD+M.w3TS+M.w3TA+M.w3TP+M.sdTD+M.sdTS+M.sdTA+M.sdTP+M.sTD+M.sTS+M.sTA+M.sTP)*Molweight/(VOLUME.aT+VOLUME.cwT+VOLUME.w2T+VOLUME.w3T+VOLUME.sdT+VOLUME.sT)</f>
        <v>3.1622084209221373E-5</v>
      </c>
      <c r="R103" s="419" t="s">
        <v>221</v>
      </c>
      <c r="S103" s="390"/>
      <c r="T103" s="390"/>
      <c r="U103" s="390"/>
      <c r="V103" s="390"/>
      <c r="W103" s="598"/>
      <c r="X103" s="162"/>
      <c r="Y103" s="153"/>
      <c r="Z103" s="16"/>
      <c r="AA103" s="16"/>
      <c r="AB103" s="16"/>
      <c r="AC103" s="16"/>
      <c r="AD103" s="16"/>
      <c r="AE103" s="16"/>
      <c r="AF103" s="16"/>
      <c r="AG103" s="16"/>
      <c r="AH103" s="16"/>
      <c r="AI103" s="16"/>
      <c r="AJ103" s="16"/>
      <c r="AK103" s="16"/>
      <c r="AL103" s="16"/>
      <c r="AM103" s="16"/>
      <c r="AN103" s="16"/>
      <c r="AO103" s="16"/>
      <c r="AP103" s="16"/>
      <c r="AQ103" s="16"/>
      <c r="AR103" s="43"/>
      <c r="AS103" s="2"/>
      <c r="AT103" s="2"/>
      <c r="AU103" s="2"/>
      <c r="AV103" s="2"/>
      <c r="AW103" s="2"/>
      <c r="AX103" s="2"/>
      <c r="AY103" s="2"/>
      <c r="AZ103" s="2"/>
      <c r="BA103" s="2"/>
      <c r="BB103" s="2"/>
      <c r="BC103" s="2"/>
      <c r="BD103" s="2"/>
      <c r="BE103" s="2"/>
      <c r="BF103" s="2"/>
      <c r="BG103" s="2"/>
      <c r="BH103" s="2"/>
      <c r="BI103" s="2"/>
      <c r="BJ103" s="2"/>
      <c r="BK103" s="2"/>
      <c r="BL103" s="43"/>
      <c r="BM103" s="2"/>
      <c r="BN103" s="110"/>
      <c r="BO103" s="110"/>
      <c r="BP103" s="52">
        <f>AF27</f>
        <v>0</v>
      </c>
      <c r="BQ103" s="110"/>
      <c r="BR103" s="110"/>
      <c r="BS103" s="21">
        <f>AF26</f>
        <v>0</v>
      </c>
      <c r="BT103" s="110"/>
      <c r="BU103" s="110"/>
      <c r="BV103" s="110"/>
      <c r="BW103" s="21">
        <f>AF28</f>
        <v>0</v>
      </c>
      <c r="BX103" s="2"/>
      <c r="BY103" s="110"/>
      <c r="BZ103" s="21">
        <f>AF30</f>
        <v>0</v>
      </c>
      <c r="CA103" s="110"/>
      <c r="CB103" s="109">
        <f>AF29</f>
        <v>0</v>
      </c>
      <c r="CC103" s="110"/>
      <c r="CD103" s="110"/>
      <c r="CE103" s="2"/>
    </row>
    <row r="104" spans="1:83" ht="12.75" customHeight="1" x14ac:dyDescent="0.3">
      <c r="A104" s="16"/>
      <c r="B104" s="95"/>
      <c r="C104" s="20"/>
      <c r="D104" s="20"/>
      <c r="E104" s="20"/>
      <c r="F104" s="20"/>
      <c r="G104" s="20"/>
      <c r="H104" s="377"/>
      <c r="I104" s="20"/>
      <c r="J104" s="20"/>
      <c r="K104" s="20"/>
      <c r="L104" s="20"/>
      <c r="M104" s="20"/>
      <c r="N104" s="20"/>
      <c r="O104" s="20"/>
      <c r="P104" s="20"/>
      <c r="Q104" s="20"/>
      <c r="R104" s="20"/>
      <c r="S104" s="20"/>
      <c r="T104" s="20"/>
      <c r="U104" s="20"/>
      <c r="V104" s="20"/>
      <c r="W104" s="20"/>
      <c r="X104" s="162"/>
      <c r="Y104" s="153"/>
      <c r="Z104" s="16"/>
      <c r="AA104" s="16"/>
      <c r="AB104" s="16"/>
      <c r="AC104" s="16"/>
      <c r="AD104" s="16"/>
      <c r="AE104" s="16"/>
      <c r="AF104" s="16"/>
      <c r="AG104" s="16"/>
      <c r="AH104" s="16"/>
      <c r="AI104" s="16"/>
      <c r="AJ104" s="16"/>
      <c r="AK104" s="16"/>
      <c r="AL104" s="16"/>
      <c r="AM104" s="16"/>
      <c r="AN104" s="16"/>
      <c r="AO104" s="16"/>
      <c r="AP104" s="16"/>
      <c r="AQ104" s="16"/>
      <c r="AR104" s="43"/>
      <c r="AS104" s="2"/>
      <c r="AT104" s="2"/>
      <c r="AU104" s="2"/>
      <c r="AV104" s="2"/>
      <c r="AW104" s="2"/>
      <c r="AX104" s="2"/>
      <c r="AY104" s="2"/>
      <c r="AZ104" s="2"/>
      <c r="BA104" s="2"/>
      <c r="BB104" s="2"/>
      <c r="BC104" s="2"/>
      <c r="BD104" s="2"/>
      <c r="BE104" s="2"/>
      <c r="BF104" s="2"/>
      <c r="BG104" s="2"/>
      <c r="BH104" s="2"/>
      <c r="BI104" s="2"/>
      <c r="BJ104" s="2"/>
      <c r="BK104" s="2"/>
      <c r="BL104" s="43"/>
      <c r="BM104" s="2"/>
      <c r="BN104" s="2"/>
      <c r="BO104" s="110"/>
      <c r="BP104" s="52"/>
      <c r="BQ104" s="110"/>
      <c r="BR104" s="110"/>
      <c r="BS104" s="21"/>
      <c r="BT104" s="110"/>
      <c r="BU104" s="110"/>
      <c r="BV104" s="110"/>
      <c r="BW104" s="111"/>
      <c r="BX104" s="2"/>
      <c r="BY104" s="110"/>
      <c r="BZ104" s="111"/>
      <c r="CA104" s="110"/>
      <c r="CB104" s="52"/>
      <c r="CC104" s="2"/>
      <c r="CD104" s="110"/>
      <c r="CE104" s="2"/>
    </row>
    <row r="105" spans="1:83" ht="12.75" customHeight="1" x14ac:dyDescent="0.3">
      <c r="A105" s="16"/>
      <c r="B105" s="95"/>
      <c r="C105" s="20"/>
      <c r="D105" s="20"/>
      <c r="E105" s="20"/>
      <c r="F105" s="20"/>
      <c r="G105" s="20"/>
      <c r="H105" s="20"/>
      <c r="I105" s="20"/>
      <c r="J105" s="20"/>
      <c r="K105" s="20"/>
      <c r="L105" s="20"/>
      <c r="M105" s="587">
        <f>C99/(VOLUME.aR+VOLUME.cwR+VOLUME.s1R+VOLUME.s2R+VOLUME.s3R+VOLUME.sd0R+VOLUME.sd1R+VOLUME.sd2R+VOLUME.w0R+VOLUME.w1R+VOLUME.w2R)</f>
        <v>0</v>
      </c>
      <c r="N105" s="587">
        <f>E99/(VOLUME.aC+VOLUME.cwC+VOLUME.s1C+VOLUME.s2C+VOLUME.s3C+VOLUME.sd0C+VOLUME.sd1C+VOLUME.sd2C+VOLUME.w0C+VOLUME.w1C+VOLUME.w2C)</f>
        <v>0</v>
      </c>
      <c r="O105" s="587">
        <f>G99/(VOLUME.aM+VOLUME.cwM+VOLUME.sdM+VOLUME.sM+VOLUME.w2M+VOLUME.w3M)</f>
        <v>0</v>
      </c>
      <c r="P105" s="587">
        <f>I99/(VOLUME.aA+VOLUME.cwA+VOLUME.sdA+VOLUME.sA+VOLUME.w2A+VOLUME.w3A)</f>
        <v>0</v>
      </c>
      <c r="Q105" s="587">
        <f>K99/(VOLUME.aT+VOLUME.cwT+VOLUME.sdT+VOLUME.sT+VOLUME.w2T+VOLUME.w3T)</f>
        <v>0</v>
      </c>
      <c r="R105" s="20"/>
      <c r="S105" s="20"/>
      <c r="T105" s="20"/>
      <c r="U105" s="20"/>
      <c r="V105" s="20"/>
      <c r="W105" s="20"/>
      <c r="X105" s="162"/>
      <c r="Y105" s="153"/>
      <c r="Z105" s="16"/>
      <c r="AA105" s="16"/>
      <c r="AB105" s="16"/>
      <c r="AC105" s="16"/>
      <c r="AD105" s="16"/>
      <c r="AE105" s="16"/>
      <c r="AF105" s="16"/>
      <c r="AG105" s="16"/>
      <c r="AH105" s="16"/>
      <c r="AI105" s="16"/>
      <c r="AJ105" s="16"/>
      <c r="AK105" s="16"/>
      <c r="AL105" s="16"/>
      <c r="AM105" s="16"/>
      <c r="AN105" s="16"/>
      <c r="AO105" s="16"/>
      <c r="AP105" s="16"/>
      <c r="AQ105" s="16"/>
      <c r="AR105" s="43"/>
      <c r="AS105" s="2"/>
      <c r="AT105" s="2"/>
      <c r="AU105" s="2"/>
      <c r="AV105" s="2"/>
      <c r="AW105" s="2"/>
      <c r="AX105" s="2"/>
      <c r="AY105" s="2"/>
      <c r="AZ105" s="2"/>
      <c r="BA105" s="2"/>
      <c r="BB105" s="2"/>
      <c r="BC105" s="2"/>
      <c r="BD105" s="2"/>
      <c r="BE105" s="2"/>
      <c r="BF105" s="2"/>
      <c r="BG105" s="2"/>
      <c r="BH105" s="2"/>
      <c r="BI105" s="2"/>
      <c r="BJ105" s="2"/>
      <c r="BK105" s="2"/>
      <c r="BL105" s="43"/>
      <c r="BM105" s="2"/>
      <c r="BN105" s="2"/>
      <c r="BO105" s="110"/>
      <c r="BP105" s="52"/>
      <c r="BQ105" s="110"/>
      <c r="BR105" s="110"/>
      <c r="BS105" s="21"/>
      <c r="BT105" s="110"/>
      <c r="BU105" s="110"/>
      <c r="BV105" s="110"/>
      <c r="BW105" s="111"/>
      <c r="BX105" s="2"/>
      <c r="BY105" s="110"/>
      <c r="BZ105" s="111"/>
      <c r="CA105" s="110"/>
      <c r="CB105" s="52"/>
      <c r="CC105" s="2"/>
      <c r="CD105" s="110"/>
      <c r="CE105" s="2"/>
    </row>
    <row r="106" spans="1:83" ht="12.75" customHeight="1" x14ac:dyDescent="0.3">
      <c r="A106" s="16"/>
      <c r="B106" s="95"/>
      <c r="C106" s="20"/>
      <c r="D106" s="20"/>
      <c r="E106" s="20"/>
      <c r="F106" s="20"/>
      <c r="G106" s="20"/>
      <c r="H106" s="20"/>
      <c r="I106" s="20"/>
      <c r="J106" s="20"/>
      <c r="K106" s="20"/>
      <c r="L106" s="20"/>
      <c r="M106" s="587">
        <f>C100/(VOLUME.aR+VOLUME.cwR+VOLUME.s1R+VOLUME.s2R+VOLUME.s3R+VOLUME.sd0R+VOLUME.sd1R+VOLUME.sd2R+VOLUME.w0R+VOLUME.w1R+VOLUME.w2R)</f>
        <v>4.9634966205520292E-11</v>
      </c>
      <c r="N106" s="587">
        <f>E100/(VOLUME.aC+VOLUME.cwC+VOLUME.s1C+VOLUME.s2C+VOLUME.s3C+VOLUME.sd0C+VOLUME.sd1C+VOLUME.sd2C+VOLUME.w0C+VOLUME.w1C+VOLUME.w2C)</f>
        <v>4.4105255992252444E-13</v>
      </c>
      <c r="O106" s="587">
        <f>G100/(VOLUME.aM+VOLUME.cwM+VOLUME.sdM+VOLUME.sM+VOLUME.w2M+VOLUME.w3M)</f>
        <v>9.3841540312027187E-16</v>
      </c>
      <c r="P106" s="587">
        <f>I100/(VOLUME.aA+VOLUME.cwA+VOLUME.sdA+VOLUME.sA+VOLUME.w2A+VOLUME.w3A)</f>
        <v>2.3791065627986427E-17</v>
      </c>
      <c r="Q106" s="587">
        <f>K100/(VOLUME.aT+VOLUME.cwT+VOLUME.sdT+VOLUME.sT+VOLUME.w2T+VOLUME.w3T)</f>
        <v>1.1183940087693043E-17</v>
      </c>
      <c r="R106" s="20"/>
      <c r="S106" s="20"/>
      <c r="T106" s="20"/>
      <c r="U106" s="20"/>
      <c r="V106" s="20"/>
      <c r="W106" s="20"/>
      <c r="X106" s="162"/>
      <c r="Y106" s="153"/>
      <c r="Z106" s="16"/>
      <c r="AA106" s="16"/>
      <c r="AB106" s="16"/>
      <c r="AC106" s="16"/>
      <c r="AD106" s="16"/>
      <c r="AE106" s="16"/>
      <c r="AF106" s="16"/>
      <c r="AG106" s="16"/>
      <c r="AH106" s="16"/>
      <c r="AI106" s="16"/>
      <c r="AJ106" s="16"/>
      <c r="AK106" s="16"/>
      <c r="AL106" s="16"/>
      <c r="AM106" s="16"/>
      <c r="AN106" s="16"/>
      <c r="AO106" s="16"/>
      <c r="AP106" s="16"/>
      <c r="AQ106" s="16"/>
      <c r="AR106" s="43"/>
      <c r="AS106" s="2"/>
      <c r="AT106" s="2"/>
      <c r="AU106" s="2"/>
      <c r="AV106" s="2"/>
      <c r="AW106" s="2"/>
      <c r="AX106" s="2"/>
      <c r="AY106" s="2"/>
      <c r="AZ106" s="2"/>
      <c r="BA106" s="2"/>
      <c r="BB106" s="2"/>
      <c r="BC106" s="2"/>
      <c r="BD106" s="2"/>
      <c r="BE106" s="2"/>
      <c r="BF106" s="2"/>
      <c r="BG106" s="2"/>
      <c r="BH106" s="2"/>
      <c r="BI106" s="2"/>
      <c r="BJ106" s="2"/>
      <c r="BK106" s="2"/>
      <c r="BL106" s="43"/>
      <c r="BM106" s="2"/>
      <c r="BN106" s="84" t="s">
        <v>187</v>
      </c>
      <c r="BO106" s="114"/>
      <c r="BP106" s="114"/>
      <c r="BQ106" s="114"/>
      <c r="BR106" s="115"/>
      <c r="BS106" s="2"/>
      <c r="BT106" s="124" t="s">
        <v>188</v>
      </c>
      <c r="BU106" s="114"/>
      <c r="BV106" s="114"/>
      <c r="BW106" s="122"/>
      <c r="BX106" s="123"/>
      <c r="BY106" s="2"/>
      <c r="BZ106" s="2"/>
      <c r="CA106" s="2"/>
      <c r="CB106" s="2"/>
      <c r="CC106" s="2"/>
      <c r="CD106" s="2"/>
      <c r="CE106" s="2"/>
    </row>
    <row r="107" spans="1:83" ht="12.75" customHeight="1" x14ac:dyDescent="0.3">
      <c r="A107" s="16"/>
      <c r="B107" s="95"/>
      <c r="C107" s="20"/>
      <c r="D107" s="20"/>
      <c r="E107" s="20"/>
      <c r="F107" s="20"/>
      <c r="G107" s="20"/>
      <c r="H107" s="20"/>
      <c r="I107" s="20"/>
      <c r="J107" s="20"/>
      <c r="K107" s="20"/>
      <c r="L107" s="20"/>
      <c r="M107" s="587">
        <f>C101/(VOLUME.aR+VOLUME.cwR+VOLUME.s1R+VOLUME.s2R+VOLUME.s3R+VOLUME.sd0R+VOLUME.sd1R+VOLUME.sd2R+VOLUME.w0R+VOLUME.w1R+VOLUME.w2R)</f>
        <v>1.1081185225417606E-7</v>
      </c>
      <c r="N107" s="587">
        <f>E101/(VOLUME.aC+VOLUME.cwC+VOLUME.s1C+VOLUME.s2C+VOLUME.s3C+VOLUME.sd0C+VOLUME.sd1C+VOLUME.sd2C+VOLUME.w0C+VOLUME.w1C+VOLUME.w2C)</f>
        <v>4.1106055924407392E-6</v>
      </c>
      <c r="O107" s="587">
        <f>G101/(VOLUME.aM+VOLUME.cwM+VOLUME.sdM+VOLUME.sM+VOLUME.w2M+VOLUME.w3M)</f>
        <v>2.6147986754870517E-5</v>
      </c>
      <c r="P107" s="587">
        <f>I101/(VOLUME.aA+VOLUME.cwA+VOLUME.sdA+VOLUME.sA+VOLUME.w2A+VOLUME.w3A)</f>
        <v>2.81250258886728E-5</v>
      </c>
      <c r="Q107" s="587">
        <f>K101/(VOLUME.aT+VOLUME.cwT+VOLUME.sdT+VOLUME.sT+VOLUME.w2T+VOLUME.w3T)</f>
        <v>3.1618670541470379E-5</v>
      </c>
      <c r="R107" s="20"/>
      <c r="S107" s="20"/>
      <c r="T107" s="20"/>
      <c r="U107" s="20"/>
      <c r="V107" s="20"/>
      <c r="W107" s="20"/>
      <c r="X107" s="162"/>
      <c r="Y107" s="153"/>
      <c r="Z107" s="16"/>
      <c r="AA107" s="16"/>
      <c r="AB107" s="16"/>
      <c r="AC107" s="16"/>
      <c r="AD107" s="16"/>
      <c r="AE107" s="16"/>
      <c r="AF107" s="16"/>
      <c r="AG107" s="16"/>
      <c r="AH107" s="16"/>
      <c r="AI107" s="16"/>
      <c r="AJ107" s="16"/>
      <c r="AK107" s="16"/>
      <c r="AL107" s="16"/>
      <c r="AM107" s="16"/>
      <c r="AN107" s="16"/>
      <c r="AO107" s="16"/>
      <c r="AP107" s="16"/>
      <c r="AQ107" s="16"/>
      <c r="AR107" s="43"/>
      <c r="AS107" s="2"/>
      <c r="AT107" s="2"/>
      <c r="AU107" s="2"/>
      <c r="AV107" s="2"/>
      <c r="AW107" s="2"/>
      <c r="AX107" s="2"/>
      <c r="AY107" s="2"/>
      <c r="AZ107" s="2"/>
      <c r="BA107" s="2"/>
      <c r="BB107" s="2"/>
      <c r="BC107" s="2"/>
      <c r="BD107" s="2"/>
      <c r="BE107" s="2"/>
      <c r="BF107" s="2"/>
      <c r="BG107" s="2"/>
      <c r="BH107" s="2"/>
      <c r="BI107" s="2"/>
      <c r="BJ107" s="2"/>
      <c r="BK107" s="2"/>
      <c r="BL107" s="43"/>
      <c r="BM107" s="2"/>
      <c r="BN107" s="116"/>
      <c r="BO107" s="2" t="s">
        <v>189</v>
      </c>
      <c r="BP107" s="2"/>
      <c r="BQ107" s="110"/>
      <c r="BR107" s="118"/>
      <c r="BS107" s="2"/>
      <c r="BT107" s="85" t="s">
        <v>190</v>
      </c>
      <c r="BU107" s="2"/>
      <c r="BV107" s="2"/>
      <c r="BW107" s="86">
        <f>N12</f>
        <v>0</v>
      </c>
      <c r="BX107" s="117" t="s">
        <v>113</v>
      </c>
      <c r="BY107" s="2"/>
      <c r="BZ107" s="2"/>
      <c r="CA107" s="2"/>
      <c r="CB107" s="2"/>
      <c r="CC107" s="2"/>
      <c r="CD107" s="2"/>
      <c r="CE107" s="2"/>
    </row>
    <row r="108" spans="1:83" ht="12.75" customHeight="1" x14ac:dyDescent="0.3">
      <c r="A108" s="16"/>
      <c r="B108" s="95"/>
      <c r="C108" s="20"/>
      <c r="D108" s="20"/>
      <c r="E108" s="20"/>
      <c r="F108" s="20"/>
      <c r="G108" s="20"/>
      <c r="H108" s="20"/>
      <c r="I108" s="20"/>
      <c r="J108" s="20"/>
      <c r="K108" s="20"/>
      <c r="L108" s="20"/>
      <c r="M108" s="587">
        <f>C102/(VOLUME.aR+VOLUME.cwR+VOLUME.s1R+VOLUME.s2R+VOLUME.s3R+VOLUME.sd0R+VOLUME.sd1R+VOLUME.sd2R+VOLUME.w0R+VOLUME.w1R+VOLUME.w2R)</f>
        <v>7.192399892663261E-5</v>
      </c>
      <c r="N108" s="587">
        <f>E102/(VOLUME.aC+VOLUME.cwC+VOLUME.s1C+VOLUME.s2C+VOLUME.s3C+VOLUME.sd0C+VOLUME.sd1C+VOLUME.sd2C+VOLUME.w0C+VOLUME.w1C+VOLUME.w2C)</f>
        <v>1.7450703242853107E-8</v>
      </c>
      <c r="O108" s="587">
        <f>G102/(VOLUME.aM+VOLUME.cwM+VOLUME.sdM+VOLUME.sM+VOLUME.w2M+VOLUME.w3M)</f>
        <v>1.3063741510923453E-9</v>
      </c>
      <c r="P108" s="587">
        <f>I102/(VOLUME.aA+VOLUME.cwA+VOLUME.sdA+VOLUME.sA+VOLUME.w2A+VOLUME.w3A)</f>
        <v>6.8255878581551016E-10</v>
      </c>
      <c r="Q108" s="587">
        <f>K102/(VOLUME.aT+VOLUME.cwT+VOLUME.sdT+VOLUME.sT+VOLUME.w2T+VOLUME.w3T)</f>
        <v>3.4136677398022374E-9</v>
      </c>
      <c r="R108" s="20"/>
      <c r="S108" s="20"/>
      <c r="T108" s="20"/>
      <c r="U108" s="20"/>
      <c r="V108" s="20"/>
      <c r="W108" s="20"/>
      <c r="X108" s="162"/>
      <c r="Y108" s="153"/>
      <c r="Z108" s="16"/>
      <c r="AA108" s="16"/>
      <c r="AB108" s="16"/>
      <c r="AC108" s="16"/>
      <c r="AD108" s="16"/>
      <c r="AE108" s="16"/>
      <c r="AF108" s="16"/>
      <c r="AG108" s="16"/>
      <c r="AH108" s="16"/>
      <c r="AI108" s="16"/>
      <c r="AJ108" s="16"/>
      <c r="AK108" s="16"/>
      <c r="AL108" s="16"/>
      <c r="AM108" s="16"/>
      <c r="AN108" s="16"/>
      <c r="AO108" s="16"/>
      <c r="AP108" s="16"/>
      <c r="AQ108" s="16"/>
      <c r="AR108" s="43"/>
      <c r="AS108" s="2"/>
      <c r="AT108" s="2"/>
      <c r="AU108" s="2"/>
      <c r="AV108" s="2"/>
      <c r="AW108" s="2"/>
      <c r="AX108" s="2"/>
      <c r="AY108" s="2"/>
      <c r="AZ108" s="2"/>
      <c r="BA108" s="2"/>
      <c r="BB108" s="2"/>
      <c r="BC108" s="2"/>
      <c r="BD108" s="2"/>
      <c r="BE108" s="2"/>
      <c r="BF108" s="2"/>
      <c r="BG108" s="2"/>
      <c r="BH108" s="2"/>
      <c r="BI108" s="2"/>
      <c r="BJ108" s="2"/>
      <c r="BK108" s="2"/>
      <c r="BL108" s="43"/>
      <c r="BM108" s="2"/>
      <c r="BN108" s="116"/>
      <c r="BO108" s="2"/>
      <c r="BP108" s="2"/>
      <c r="BQ108" s="2"/>
      <c r="BR108" s="117"/>
      <c r="BS108" s="2"/>
      <c r="BT108" s="116"/>
      <c r="BU108" s="110"/>
      <c r="BV108" s="110"/>
      <c r="BW108" s="86"/>
      <c r="BX108" s="117"/>
      <c r="BY108" s="2"/>
      <c r="BZ108" s="2"/>
      <c r="CA108" s="2"/>
      <c r="CB108" s="2"/>
      <c r="CC108" s="2"/>
      <c r="CD108" s="2"/>
      <c r="CE108" s="2"/>
    </row>
    <row r="109" spans="1:83" ht="12.75" customHeight="1" x14ac:dyDescent="0.3">
      <c r="A109" s="16"/>
      <c r="B109" s="95"/>
      <c r="C109" s="20"/>
      <c r="D109" s="20"/>
      <c r="E109" s="20"/>
      <c r="F109" s="20"/>
      <c r="G109" s="20"/>
      <c r="H109" s="20"/>
      <c r="I109" s="20"/>
      <c r="J109" s="20"/>
      <c r="K109" s="20"/>
      <c r="L109" s="20"/>
      <c r="M109" s="587">
        <f>C103/(VOLUME.aR+VOLUME.cwR+VOLUME.s1R+VOLUME.s2R+VOLUME.s3R+VOLUME.sd0R+VOLUME.sd1R+VOLUME.sd2R+VOLUME.w0R+VOLUME.w1R+VOLUME.w2R)</f>
        <v>7.2034860413852994E-5</v>
      </c>
      <c r="N109" s="587">
        <f>E103/(VOLUME.aC+VOLUME.cwC+VOLUME.s1C+VOLUME.s2C+VOLUME.s3C+VOLUME.sd0C+VOLUME.sd1C+VOLUME.sd2C+VOLUME.w0C+VOLUME.w1C+VOLUME.w2C)</f>
        <v>4.1280567367361522E-6</v>
      </c>
      <c r="O109" s="587">
        <f>G103/(VOLUME.aM+VOLUME.cwM+VOLUME.sdM+VOLUME.sM+VOLUME.w2M+VOLUME.w3M)</f>
        <v>2.6149293129960029E-5</v>
      </c>
      <c r="P109" s="587">
        <f>I103/(VOLUME.aA+VOLUME.cwA+VOLUME.sdA+VOLUME.sA+VOLUME.w2A+VOLUME.w3A)</f>
        <v>2.8125708447482406E-5</v>
      </c>
      <c r="Q109" s="587">
        <f>K103/(VOLUME.aT+VOLUME.cwT+VOLUME.sdT+VOLUME.sT+VOLUME.w2T+VOLUME.w3T)</f>
        <v>3.1622084209221366E-5</v>
      </c>
      <c r="R109" s="20"/>
      <c r="S109" s="20"/>
      <c r="T109" s="20"/>
      <c r="U109" s="20"/>
      <c r="V109" s="20"/>
      <c r="W109" s="20"/>
      <c r="X109" s="162"/>
      <c r="Y109" s="153"/>
      <c r="Z109" s="16"/>
      <c r="AA109" s="16"/>
      <c r="AB109" s="16"/>
      <c r="AC109" s="16"/>
      <c r="AD109" s="16"/>
      <c r="AE109" s="16"/>
      <c r="AF109" s="16"/>
      <c r="AG109" s="16"/>
      <c r="AH109" s="16"/>
      <c r="AI109" s="16"/>
      <c r="AJ109" s="16"/>
      <c r="AK109" s="16"/>
      <c r="AL109" s="16"/>
      <c r="AM109" s="16"/>
      <c r="AN109" s="16"/>
      <c r="AO109" s="16"/>
      <c r="AP109" s="16"/>
      <c r="AQ109" s="16"/>
      <c r="AR109" s="43"/>
      <c r="AS109" s="2"/>
      <c r="AT109" s="2"/>
      <c r="AU109" s="2"/>
      <c r="AV109" s="2"/>
      <c r="AW109" s="2"/>
      <c r="AX109" s="2"/>
      <c r="AY109" s="2"/>
      <c r="AZ109" s="2"/>
      <c r="BA109" s="2"/>
      <c r="BB109" s="2"/>
      <c r="BC109" s="2"/>
      <c r="BD109" s="2"/>
      <c r="BE109" s="2"/>
      <c r="BF109" s="2"/>
      <c r="BG109" s="2"/>
      <c r="BH109" s="2"/>
      <c r="BI109" s="2"/>
      <c r="BJ109" s="2"/>
      <c r="BK109" s="2"/>
      <c r="BL109" s="43"/>
      <c r="BM109" s="2"/>
      <c r="BN109" s="116"/>
      <c r="BO109" s="2" t="s">
        <v>224</v>
      </c>
      <c r="BP109" s="2"/>
      <c r="BQ109" s="2"/>
      <c r="BR109" s="117"/>
      <c r="BS109" s="2"/>
      <c r="BT109" s="87" t="s">
        <v>192</v>
      </c>
      <c r="BU109" s="110"/>
      <c r="BV109" s="110"/>
      <c r="BW109" s="86">
        <f>N20</f>
        <v>0</v>
      </c>
      <c r="BX109" s="249" t="s">
        <v>134</v>
      </c>
      <c r="BY109" s="2"/>
      <c r="BZ109" s="2"/>
      <c r="CA109" s="2"/>
      <c r="CB109" s="2"/>
      <c r="CC109" s="2"/>
      <c r="CD109" s="2"/>
      <c r="CE109" s="2"/>
    </row>
    <row r="110" spans="1:83" ht="12.75" customHeight="1" x14ac:dyDescent="0.3">
      <c r="A110" s="16"/>
      <c r="B110" s="95"/>
      <c r="C110" s="20"/>
      <c r="D110" s="20"/>
      <c r="E110" s="20"/>
      <c r="F110" s="20"/>
      <c r="G110" s="20"/>
      <c r="H110" s="20"/>
      <c r="I110" s="20"/>
      <c r="J110" s="20"/>
      <c r="K110" s="20"/>
      <c r="L110" s="20"/>
      <c r="M110" s="20"/>
      <c r="N110" s="20"/>
      <c r="O110" s="20"/>
      <c r="P110" s="20"/>
      <c r="Q110" s="20"/>
      <c r="R110" s="20"/>
      <c r="S110" s="20"/>
      <c r="T110" s="20"/>
      <c r="U110" s="20"/>
      <c r="V110" s="20"/>
      <c r="W110" s="20"/>
      <c r="X110" s="162"/>
      <c r="Y110" s="153"/>
      <c r="Z110" s="16"/>
      <c r="AA110" s="16"/>
      <c r="AB110" s="16"/>
      <c r="AC110" s="16"/>
      <c r="AD110" s="16"/>
      <c r="AE110" s="16"/>
      <c r="AF110" s="16"/>
      <c r="AG110" s="16"/>
      <c r="AH110" s="16"/>
      <c r="AI110" s="16"/>
      <c r="AJ110" s="16"/>
      <c r="AK110" s="16"/>
      <c r="AL110" s="16"/>
      <c r="AM110" s="16"/>
      <c r="AN110" s="16"/>
      <c r="AO110" s="16"/>
      <c r="AP110" s="16"/>
      <c r="AQ110" s="16"/>
      <c r="AR110" s="43"/>
      <c r="AS110" s="2"/>
      <c r="AT110" s="2"/>
      <c r="AU110" s="2"/>
      <c r="AV110" s="2"/>
      <c r="AW110" s="2"/>
      <c r="AX110" s="2"/>
      <c r="AY110" s="2"/>
      <c r="AZ110" s="2"/>
      <c r="BA110" s="2"/>
      <c r="BB110" s="2"/>
      <c r="BC110" s="2"/>
      <c r="BD110" s="2"/>
      <c r="BE110" s="2"/>
      <c r="BF110" s="2"/>
      <c r="BG110" s="2"/>
      <c r="BH110" s="2"/>
      <c r="BI110" s="2"/>
      <c r="BJ110" s="2"/>
      <c r="BK110" s="2"/>
      <c r="BL110" s="43"/>
      <c r="BM110" s="2"/>
      <c r="BN110" s="116"/>
      <c r="BO110" s="2"/>
      <c r="BP110" s="2"/>
      <c r="BQ110" s="2"/>
      <c r="BR110" s="117"/>
      <c r="BS110" s="2"/>
      <c r="BT110" s="87" t="s">
        <v>193</v>
      </c>
      <c r="BU110" s="2"/>
      <c r="BV110" s="2"/>
      <c r="BW110" s="86">
        <f>N36</f>
        <v>0</v>
      </c>
      <c r="BX110" s="117" t="s">
        <v>134</v>
      </c>
      <c r="BY110" s="2"/>
      <c r="BZ110" s="2"/>
      <c r="CA110" s="2"/>
      <c r="CB110" s="2"/>
      <c r="CC110" s="2"/>
      <c r="CD110" s="2"/>
      <c r="CE110" s="2"/>
    </row>
    <row r="111" spans="1:83" ht="12.75" customHeight="1" x14ac:dyDescent="0.3">
      <c r="A111" s="16"/>
      <c r="B111" s="95"/>
      <c r="C111" s="20"/>
      <c r="D111" s="20"/>
      <c r="E111" s="20"/>
      <c r="F111" s="20"/>
      <c r="G111" s="20"/>
      <c r="H111" s="20"/>
      <c r="I111" s="20"/>
      <c r="J111" s="20"/>
      <c r="K111" s="20"/>
      <c r="L111" s="20"/>
      <c r="M111" s="20"/>
      <c r="N111" s="20"/>
      <c r="O111" s="20"/>
      <c r="P111" s="20"/>
      <c r="Q111" s="20"/>
      <c r="R111" s="20"/>
      <c r="S111" s="20"/>
      <c r="T111" s="20"/>
      <c r="U111" s="20"/>
      <c r="V111" s="20"/>
      <c r="W111" s="20"/>
      <c r="X111" s="162"/>
      <c r="Y111" s="153"/>
      <c r="Z111" s="16"/>
      <c r="AA111" s="16"/>
      <c r="AB111" s="16"/>
      <c r="AC111" s="16"/>
      <c r="AD111" s="16"/>
      <c r="AE111" s="16"/>
      <c r="AF111" s="16"/>
      <c r="AG111" s="16"/>
      <c r="AH111" s="16"/>
      <c r="AI111" s="16"/>
      <c r="AJ111" s="16"/>
      <c r="AK111" s="16"/>
      <c r="AL111" s="16"/>
      <c r="AM111" s="16"/>
      <c r="AN111" s="16"/>
      <c r="AO111" s="16"/>
      <c r="AP111" s="16"/>
      <c r="AQ111" s="16"/>
      <c r="AR111" s="43"/>
      <c r="AS111" s="2"/>
      <c r="AT111" s="2"/>
      <c r="AU111" s="2"/>
      <c r="AV111" s="2"/>
      <c r="AW111" s="2"/>
      <c r="AX111" s="2"/>
      <c r="AY111" s="2"/>
      <c r="AZ111" s="2"/>
      <c r="BA111" s="2"/>
      <c r="BB111" s="2"/>
      <c r="BC111" s="2"/>
      <c r="BD111" s="2"/>
      <c r="BE111" s="2"/>
      <c r="BF111" s="2"/>
      <c r="BG111" s="2"/>
      <c r="BH111" s="2"/>
      <c r="BI111" s="2"/>
      <c r="BJ111" s="2"/>
      <c r="BK111" s="2"/>
      <c r="BL111" s="43"/>
      <c r="BM111" s="2"/>
      <c r="BN111" s="116"/>
      <c r="BO111" s="2" t="s">
        <v>194</v>
      </c>
      <c r="BP111" s="2"/>
      <c r="BQ111" s="2"/>
      <c r="BR111" s="117"/>
      <c r="BS111" s="2"/>
      <c r="BT111" s="87" t="s">
        <v>195</v>
      </c>
      <c r="BU111" s="2"/>
      <c r="BV111" s="2"/>
      <c r="BW111" s="86">
        <f>N52</f>
        <v>0</v>
      </c>
      <c r="BX111" s="117" t="s">
        <v>134</v>
      </c>
      <c r="BY111" s="2"/>
      <c r="BZ111" s="2"/>
      <c r="CA111" s="2"/>
      <c r="CB111" s="2"/>
      <c r="CC111" s="2"/>
      <c r="CD111" s="2"/>
      <c r="CE111" s="2"/>
    </row>
    <row r="112" spans="1:83" ht="12.75" customHeight="1" x14ac:dyDescent="0.3">
      <c r="A112" s="16"/>
      <c r="B112" s="95"/>
      <c r="C112" s="20"/>
      <c r="D112" s="20"/>
      <c r="E112" s="20"/>
      <c r="F112" s="20"/>
      <c r="G112" s="20"/>
      <c r="H112" s="20"/>
      <c r="I112" s="20"/>
      <c r="J112" s="20"/>
      <c r="K112" s="20"/>
      <c r="L112" s="20"/>
      <c r="M112" s="20"/>
      <c r="N112" s="20"/>
      <c r="O112" s="20"/>
      <c r="P112" s="20"/>
      <c r="Q112" s="20"/>
      <c r="R112" s="20"/>
      <c r="S112" s="20"/>
      <c r="T112" s="20"/>
      <c r="U112" s="20"/>
      <c r="V112" s="20"/>
      <c r="W112" s="20"/>
      <c r="X112" s="162"/>
      <c r="Y112" s="153"/>
      <c r="Z112" s="16"/>
      <c r="AA112" s="16"/>
      <c r="AB112" s="16"/>
      <c r="AC112" s="16"/>
      <c r="AD112" s="16"/>
      <c r="AE112" s="16"/>
      <c r="AF112" s="16"/>
      <c r="AG112" s="16"/>
      <c r="AH112" s="16"/>
      <c r="AI112" s="16"/>
      <c r="AJ112" s="16"/>
      <c r="AK112" s="16"/>
      <c r="AL112" s="16"/>
      <c r="AM112" s="16"/>
      <c r="AN112" s="16"/>
      <c r="AO112" s="16"/>
      <c r="AP112" s="16"/>
      <c r="AQ112" s="16"/>
      <c r="AR112" s="43"/>
      <c r="AS112" s="2"/>
      <c r="AT112" s="2"/>
      <c r="AU112" s="2"/>
      <c r="AV112" s="2"/>
      <c r="AW112" s="2"/>
      <c r="AX112" s="2"/>
      <c r="AY112" s="2"/>
      <c r="AZ112" s="2"/>
      <c r="BA112" s="2"/>
      <c r="BB112" s="2"/>
      <c r="BC112" s="2"/>
      <c r="BD112" s="2"/>
      <c r="BE112" s="2"/>
      <c r="BF112" s="2"/>
      <c r="BG112" s="2"/>
      <c r="BH112" s="2"/>
      <c r="BI112" s="2"/>
      <c r="BJ112" s="2"/>
      <c r="BK112" s="2"/>
      <c r="BL112" s="43"/>
      <c r="BM112" s="2"/>
      <c r="BN112" s="116"/>
      <c r="BO112" s="2"/>
      <c r="BP112" s="2"/>
      <c r="BQ112" s="2"/>
      <c r="BR112" s="117"/>
      <c r="BS112" s="2"/>
      <c r="BT112" s="87"/>
      <c r="BU112" s="2"/>
      <c r="BV112" s="2"/>
      <c r="BW112" s="86"/>
      <c r="BX112" s="117"/>
      <c r="BY112" s="2"/>
      <c r="BZ112" s="2"/>
      <c r="CA112" s="2"/>
      <c r="CB112" s="2"/>
      <c r="CC112" s="2"/>
      <c r="CD112" s="2"/>
      <c r="CE112" s="2"/>
    </row>
    <row r="113" spans="1:83" ht="12.75" customHeight="1" x14ac:dyDescent="0.3">
      <c r="A113" s="16"/>
      <c r="B113" s="95"/>
      <c r="C113" s="20"/>
      <c r="D113" s="20"/>
      <c r="E113" s="20"/>
      <c r="F113" s="20"/>
      <c r="G113" s="20"/>
      <c r="H113" s="20"/>
      <c r="I113" s="20"/>
      <c r="J113" s="20"/>
      <c r="K113" s="20"/>
      <c r="L113" s="20"/>
      <c r="M113" s="20"/>
      <c r="N113" s="20"/>
      <c r="O113" s="20"/>
      <c r="P113" s="20"/>
      <c r="Q113" s="20"/>
      <c r="R113" s="20"/>
      <c r="S113" s="20"/>
      <c r="T113" s="20"/>
      <c r="U113" s="20"/>
      <c r="V113" s="20"/>
      <c r="W113" s="20"/>
      <c r="X113" s="162"/>
      <c r="Y113" s="153"/>
      <c r="Z113" s="16"/>
      <c r="AA113" s="16"/>
      <c r="AB113" s="16"/>
      <c r="AC113" s="16"/>
      <c r="AD113" s="16"/>
      <c r="AE113" s="16"/>
      <c r="AF113" s="16"/>
      <c r="AG113" s="16"/>
      <c r="AH113" s="16"/>
      <c r="AI113" s="16"/>
      <c r="AJ113" s="16"/>
      <c r="AK113" s="16"/>
      <c r="AL113" s="16"/>
      <c r="AM113" s="16"/>
      <c r="AN113" s="16"/>
      <c r="AO113" s="16"/>
      <c r="AP113" s="16"/>
      <c r="AQ113" s="16"/>
      <c r="AR113" s="43"/>
      <c r="AS113" s="2"/>
      <c r="AT113" s="2"/>
      <c r="AU113" s="2"/>
      <c r="AV113" s="2"/>
      <c r="AW113" s="2"/>
      <c r="AX113" s="2"/>
      <c r="AY113" s="2"/>
      <c r="AZ113" s="2"/>
      <c r="BA113" s="2"/>
      <c r="BB113" s="2"/>
      <c r="BC113" s="2"/>
      <c r="BD113" s="2"/>
      <c r="BE113" s="2"/>
      <c r="BF113" s="2"/>
      <c r="BG113" s="2"/>
      <c r="BH113" s="2"/>
      <c r="BI113" s="2"/>
      <c r="BJ113" s="2"/>
      <c r="BK113" s="2"/>
      <c r="BL113" s="43"/>
      <c r="BM113" s="2"/>
      <c r="BN113" s="116"/>
      <c r="BO113" s="2" t="s">
        <v>198</v>
      </c>
      <c r="BP113" s="2"/>
      <c r="BQ113" s="2"/>
      <c r="BR113" s="117"/>
      <c r="BS113" s="2"/>
      <c r="BT113" s="87" t="s">
        <v>199</v>
      </c>
      <c r="BU113" s="2"/>
      <c r="BV113" s="2"/>
      <c r="BW113" s="86">
        <f>N44</f>
        <v>0</v>
      </c>
      <c r="BX113" s="117" t="s">
        <v>151</v>
      </c>
      <c r="BY113" s="2"/>
      <c r="BZ113" s="2"/>
      <c r="CA113" s="2"/>
      <c r="CB113" s="2"/>
      <c r="CC113" s="2"/>
      <c r="CD113" s="2"/>
      <c r="CE113" s="2"/>
    </row>
    <row r="114" spans="1:83" ht="12.75" customHeight="1" x14ac:dyDescent="0.3">
      <c r="A114" s="16"/>
      <c r="B114" s="95"/>
      <c r="C114" s="20"/>
      <c r="D114" s="20"/>
      <c r="E114" s="20"/>
      <c r="F114" s="20"/>
      <c r="G114" s="20"/>
      <c r="H114" s="20"/>
      <c r="I114" s="20"/>
      <c r="J114" s="20"/>
      <c r="K114" s="20"/>
      <c r="L114" s="20"/>
      <c r="M114" s="20"/>
      <c r="N114" s="20"/>
      <c r="O114" s="20"/>
      <c r="P114" s="20"/>
      <c r="Q114" s="20"/>
      <c r="R114" s="20"/>
      <c r="S114" s="20"/>
      <c r="T114" s="20"/>
      <c r="U114" s="20"/>
      <c r="V114" s="20"/>
      <c r="W114" s="20"/>
      <c r="X114" s="162"/>
      <c r="Y114" s="153"/>
      <c r="Z114" s="16"/>
      <c r="AA114" s="16"/>
      <c r="AB114" s="16"/>
      <c r="AC114" s="16"/>
      <c r="AD114" s="16"/>
      <c r="AE114" s="16"/>
      <c r="AF114" s="16"/>
      <c r="AG114" s="16"/>
      <c r="AH114" s="16"/>
      <c r="AI114" s="16"/>
      <c r="AJ114" s="16"/>
      <c r="AK114" s="16"/>
      <c r="AL114" s="16"/>
      <c r="AM114" s="16"/>
      <c r="AN114" s="16"/>
      <c r="AO114" s="16"/>
      <c r="AP114" s="16"/>
      <c r="AQ114" s="16"/>
      <c r="AR114" s="43"/>
      <c r="AS114" s="2"/>
      <c r="AT114" s="2"/>
      <c r="AU114" s="2"/>
      <c r="AV114" s="2"/>
      <c r="AW114" s="2"/>
      <c r="AX114" s="2"/>
      <c r="AY114" s="2"/>
      <c r="AZ114" s="2"/>
      <c r="BA114" s="2"/>
      <c r="BB114" s="2"/>
      <c r="BC114" s="2"/>
      <c r="BD114" s="2"/>
      <c r="BE114" s="2"/>
      <c r="BF114" s="2"/>
      <c r="BG114" s="2"/>
      <c r="BH114" s="2"/>
      <c r="BI114" s="2"/>
      <c r="BJ114" s="2"/>
      <c r="BK114" s="2"/>
      <c r="BL114" s="43"/>
      <c r="BM114" s="2"/>
      <c r="BN114" s="116"/>
      <c r="BO114" s="2"/>
      <c r="BP114" s="2"/>
      <c r="BQ114" s="2"/>
      <c r="BR114" s="117"/>
      <c r="BS114" s="2"/>
      <c r="BT114" s="87" t="s">
        <v>200</v>
      </c>
      <c r="BU114" s="2"/>
      <c r="BV114" s="2"/>
      <c r="BW114" s="86">
        <f>N68</f>
        <v>0</v>
      </c>
      <c r="BX114" s="117" t="s">
        <v>151</v>
      </c>
      <c r="BY114" s="2"/>
      <c r="BZ114" s="2"/>
      <c r="CA114" s="2"/>
      <c r="CB114" s="2"/>
      <c r="CC114" s="2"/>
      <c r="CD114" s="2"/>
      <c r="CE114" s="2"/>
    </row>
    <row r="115" spans="1:83" ht="12.75" customHeight="1" x14ac:dyDescent="0.3">
      <c r="A115" s="16"/>
      <c r="B115" s="95"/>
      <c r="C115" s="20"/>
      <c r="D115" s="20"/>
      <c r="E115" s="20"/>
      <c r="F115" s="20"/>
      <c r="G115" s="20"/>
      <c r="H115" s="20"/>
      <c r="I115" s="20"/>
      <c r="J115" s="20"/>
      <c r="K115" s="20"/>
      <c r="L115" s="20"/>
      <c r="M115" s="20"/>
      <c r="N115" s="20"/>
      <c r="O115" s="20"/>
      <c r="P115" s="20"/>
      <c r="Q115" s="20"/>
      <c r="R115" s="20"/>
      <c r="S115" s="20"/>
      <c r="T115" s="20"/>
      <c r="U115" s="20"/>
      <c r="V115" s="20"/>
      <c r="W115" s="20"/>
      <c r="X115" s="162"/>
      <c r="Y115" s="153"/>
      <c r="Z115" s="16"/>
      <c r="AA115" s="16"/>
      <c r="AB115" s="16"/>
      <c r="AC115" s="16"/>
      <c r="AD115" s="16"/>
      <c r="AE115" s="16"/>
      <c r="AF115" s="16"/>
      <c r="AG115" s="16"/>
      <c r="AH115" s="16"/>
      <c r="AI115" s="16"/>
      <c r="AJ115" s="16"/>
      <c r="AK115" s="16"/>
      <c r="AL115" s="16"/>
      <c r="AM115" s="16"/>
      <c r="AN115" s="16"/>
      <c r="AO115" s="16"/>
      <c r="AP115" s="16"/>
      <c r="AQ115" s="16"/>
      <c r="AR115" s="43"/>
      <c r="AS115" s="2"/>
      <c r="AT115" s="2"/>
      <c r="AU115" s="2"/>
      <c r="AV115" s="2"/>
      <c r="AW115" s="2"/>
      <c r="AX115" s="2"/>
      <c r="AY115" s="2"/>
      <c r="AZ115" s="2"/>
      <c r="BA115" s="2"/>
      <c r="BB115" s="2"/>
      <c r="BC115" s="2"/>
      <c r="BD115" s="2"/>
      <c r="BE115" s="2"/>
      <c r="BF115" s="2"/>
      <c r="BG115" s="2"/>
      <c r="BH115" s="2"/>
      <c r="BI115" s="2"/>
      <c r="BJ115" s="2"/>
      <c r="BK115" s="2"/>
      <c r="BL115" s="43"/>
      <c r="BM115" s="2"/>
      <c r="BN115" s="116"/>
      <c r="BO115" s="2" t="s">
        <v>201</v>
      </c>
      <c r="BP115" s="2"/>
      <c r="BQ115" s="2"/>
      <c r="BR115" s="117"/>
      <c r="BS115" s="2"/>
      <c r="BT115" s="116"/>
      <c r="BU115" s="2"/>
      <c r="BV115" s="2"/>
      <c r="BW115" s="86"/>
      <c r="BX115" s="117"/>
      <c r="BY115" s="2"/>
      <c r="BZ115" s="2"/>
      <c r="CA115" s="2"/>
      <c r="CB115" s="2"/>
      <c r="CC115" s="2"/>
      <c r="CD115" s="2"/>
      <c r="CE115" s="2"/>
    </row>
    <row r="116" spans="1:83" ht="12.75" customHeight="1" x14ac:dyDescent="0.3">
      <c r="A116" s="16"/>
      <c r="B116" s="95"/>
      <c r="C116" s="20"/>
      <c r="D116" s="20"/>
      <c r="E116" s="20"/>
      <c r="F116" s="20"/>
      <c r="G116" s="20"/>
      <c r="H116" s="20"/>
      <c r="I116" s="20"/>
      <c r="J116" s="20"/>
      <c r="K116" s="20"/>
      <c r="L116" s="20"/>
      <c r="M116" s="20"/>
      <c r="N116" s="20"/>
      <c r="O116" s="20"/>
      <c r="P116" s="20"/>
      <c r="Q116" s="20"/>
      <c r="R116" s="20"/>
      <c r="S116" s="20"/>
      <c r="T116" s="20"/>
      <c r="U116" s="20"/>
      <c r="V116" s="20"/>
      <c r="W116" s="20"/>
      <c r="X116" s="162"/>
      <c r="Y116" s="153"/>
      <c r="Z116" s="16"/>
      <c r="AA116" s="16"/>
      <c r="AB116" s="16"/>
      <c r="AC116" s="16"/>
      <c r="AD116" s="16"/>
      <c r="AE116" s="16"/>
      <c r="AF116" s="16"/>
      <c r="AG116" s="16"/>
      <c r="AH116" s="16"/>
      <c r="AI116" s="16"/>
      <c r="AJ116" s="16"/>
      <c r="AK116" s="16"/>
      <c r="AL116" s="16"/>
      <c r="AM116" s="16"/>
      <c r="AN116" s="16"/>
      <c r="AO116" s="16"/>
      <c r="AP116" s="16"/>
      <c r="AQ116" s="16"/>
      <c r="AR116" s="43"/>
      <c r="AS116" s="2"/>
      <c r="AT116" s="2"/>
      <c r="AU116" s="2"/>
      <c r="AV116" s="2"/>
      <c r="AW116" s="2"/>
      <c r="AX116" s="2"/>
      <c r="AY116" s="2"/>
      <c r="AZ116" s="2"/>
      <c r="BA116" s="2"/>
      <c r="BB116" s="2"/>
      <c r="BC116" s="2"/>
      <c r="BD116" s="2"/>
      <c r="BE116" s="2"/>
      <c r="BF116" s="2"/>
      <c r="BG116" s="2"/>
      <c r="BH116" s="2"/>
      <c r="BI116" s="2"/>
      <c r="BJ116" s="2"/>
      <c r="BK116" s="2"/>
      <c r="BL116" s="43"/>
      <c r="BM116" s="2"/>
      <c r="BN116" s="116"/>
      <c r="BO116" s="2"/>
      <c r="BP116" s="2"/>
      <c r="BQ116" s="2"/>
      <c r="BR116" s="117"/>
      <c r="BS116" s="2"/>
      <c r="BT116" s="87" t="s">
        <v>202</v>
      </c>
      <c r="BU116" s="2"/>
      <c r="BV116" s="2"/>
      <c r="BW116" s="86">
        <f>N76</f>
        <v>0</v>
      </c>
      <c r="BX116" s="117" t="s">
        <v>151</v>
      </c>
      <c r="BY116" s="2"/>
      <c r="BZ116" s="2"/>
      <c r="CA116" s="2"/>
      <c r="CB116" s="2"/>
      <c r="CC116" s="2"/>
      <c r="CD116" s="2"/>
      <c r="CE116" s="2"/>
    </row>
    <row r="117" spans="1:83" ht="12.75" customHeight="1" x14ac:dyDescent="0.3">
      <c r="A117" s="16"/>
      <c r="B117" s="95"/>
      <c r="C117" s="20"/>
      <c r="D117" s="20"/>
      <c r="E117" s="20"/>
      <c r="F117" s="20"/>
      <c r="G117" s="20"/>
      <c r="H117" s="20"/>
      <c r="I117" s="20"/>
      <c r="J117" s="20"/>
      <c r="K117" s="20"/>
      <c r="L117" s="20"/>
      <c r="M117" s="20"/>
      <c r="N117" s="20"/>
      <c r="O117" s="20"/>
      <c r="P117" s="20"/>
      <c r="Q117" s="20"/>
      <c r="R117" s="20"/>
      <c r="S117" s="20"/>
      <c r="T117" s="20"/>
      <c r="U117" s="20"/>
      <c r="V117" s="20"/>
      <c r="W117" s="20"/>
      <c r="X117" s="162"/>
      <c r="Y117" s="153"/>
      <c r="Z117" s="16"/>
      <c r="AA117" s="16"/>
      <c r="AB117" s="16"/>
      <c r="AC117" s="16"/>
      <c r="AD117" s="16"/>
      <c r="AE117" s="16"/>
      <c r="AF117" s="16"/>
      <c r="AG117" s="16"/>
      <c r="AH117" s="16"/>
      <c r="AI117" s="16"/>
      <c r="AJ117" s="16"/>
      <c r="AK117" s="16"/>
      <c r="AL117" s="16"/>
      <c r="AM117" s="16"/>
      <c r="AN117" s="16"/>
      <c r="AO117" s="16"/>
      <c r="AP117" s="16"/>
      <c r="AQ117" s="16"/>
      <c r="AR117" s="43"/>
      <c r="AS117" s="2"/>
      <c r="AT117" s="2"/>
      <c r="AU117" s="2"/>
      <c r="AV117" s="2"/>
      <c r="AW117" s="2"/>
      <c r="AX117" s="2"/>
      <c r="AY117" s="2"/>
      <c r="AZ117" s="2"/>
      <c r="BA117" s="2"/>
      <c r="BB117" s="2"/>
      <c r="BC117" s="2"/>
      <c r="BD117" s="2"/>
      <c r="BE117" s="2"/>
      <c r="BF117" s="2"/>
      <c r="BG117" s="2"/>
      <c r="BH117" s="2"/>
      <c r="BI117" s="2"/>
      <c r="BJ117" s="2"/>
      <c r="BK117" s="2"/>
      <c r="BL117" s="43"/>
      <c r="BM117" s="2"/>
      <c r="BN117" s="116"/>
      <c r="BO117" s="2" t="s">
        <v>72</v>
      </c>
      <c r="BP117" s="2"/>
      <c r="BQ117" s="2"/>
      <c r="BR117" s="117"/>
      <c r="BS117" s="2"/>
      <c r="BT117" s="85" t="s">
        <v>203</v>
      </c>
      <c r="BU117" s="2"/>
      <c r="BV117" s="2"/>
      <c r="BW117" s="86">
        <f>N84</f>
        <v>0</v>
      </c>
      <c r="BX117" s="117" t="s">
        <v>151</v>
      </c>
      <c r="BY117" s="2"/>
      <c r="BZ117" s="2"/>
      <c r="CA117" s="2"/>
      <c r="CB117" s="2"/>
      <c r="CC117" s="2"/>
      <c r="CD117" s="2"/>
      <c r="CE117" s="2"/>
    </row>
    <row r="118" spans="1:83" ht="12.75" customHeight="1" x14ac:dyDescent="0.3">
      <c r="A118" s="16"/>
      <c r="B118" s="95"/>
      <c r="C118" s="20"/>
      <c r="D118" s="20"/>
      <c r="E118" s="20"/>
      <c r="F118" s="20"/>
      <c r="G118" s="20"/>
      <c r="H118" s="20"/>
      <c r="I118" s="20"/>
      <c r="J118" s="20"/>
      <c r="K118" s="20"/>
      <c r="L118" s="20"/>
      <c r="M118" s="20"/>
      <c r="N118" s="20"/>
      <c r="O118" s="20"/>
      <c r="P118" s="20"/>
      <c r="Q118" s="20"/>
      <c r="R118" s="20"/>
      <c r="S118" s="20"/>
      <c r="T118" s="20"/>
      <c r="U118" s="20"/>
      <c r="V118" s="20"/>
      <c r="W118" s="20"/>
      <c r="X118" s="162"/>
      <c r="Y118" s="153"/>
      <c r="Z118" s="16"/>
      <c r="AA118" s="16"/>
      <c r="AB118" s="16"/>
      <c r="AC118" s="16"/>
      <c r="AD118" s="16"/>
      <c r="AE118" s="16"/>
      <c r="AF118" s="16"/>
      <c r="AG118" s="16"/>
      <c r="AH118" s="16"/>
      <c r="AI118" s="16"/>
      <c r="AJ118" s="16"/>
      <c r="AK118" s="16"/>
      <c r="AL118" s="16"/>
      <c r="AM118" s="16"/>
      <c r="AN118" s="16"/>
      <c r="AO118" s="16"/>
      <c r="AP118" s="16"/>
      <c r="AQ118" s="16"/>
      <c r="AR118" s="43"/>
      <c r="AS118" s="2"/>
      <c r="AT118" s="2"/>
      <c r="AU118" s="2"/>
      <c r="AV118" s="2"/>
      <c r="AW118" s="2"/>
      <c r="AX118" s="2"/>
      <c r="AY118" s="2"/>
      <c r="AZ118" s="2"/>
      <c r="BA118" s="2"/>
      <c r="BB118" s="2"/>
      <c r="BC118" s="2"/>
      <c r="BD118" s="2"/>
      <c r="BE118" s="2"/>
      <c r="BF118" s="2"/>
      <c r="BG118" s="2"/>
      <c r="BH118" s="2"/>
      <c r="BI118" s="2"/>
      <c r="BJ118" s="2"/>
      <c r="BK118" s="2"/>
      <c r="BL118" s="43"/>
      <c r="BM118" s="2"/>
      <c r="BN118" s="116"/>
      <c r="BO118" s="2"/>
      <c r="BP118" s="2"/>
      <c r="BQ118" s="2"/>
      <c r="BR118" s="117"/>
      <c r="BS118" s="2"/>
      <c r="BT118" s="85" t="s">
        <v>204</v>
      </c>
      <c r="BU118" s="2"/>
      <c r="BV118" s="2"/>
      <c r="BW118" s="86">
        <f>N92</f>
        <v>0</v>
      </c>
      <c r="BX118" s="117" t="s">
        <v>151</v>
      </c>
      <c r="BY118" s="2"/>
      <c r="BZ118" s="2"/>
      <c r="CA118" s="2"/>
      <c r="CB118" s="2"/>
      <c r="CC118" s="2"/>
      <c r="CD118" s="2"/>
      <c r="CE118" s="2"/>
    </row>
    <row r="119" spans="1:83" ht="12.75" customHeight="1" x14ac:dyDescent="0.3">
      <c r="A119" s="16"/>
      <c r="B119" s="95"/>
      <c r="C119" s="20"/>
      <c r="D119" s="20"/>
      <c r="E119" s="20"/>
      <c r="F119" s="20"/>
      <c r="G119" s="20"/>
      <c r="H119" s="20"/>
      <c r="I119" s="20"/>
      <c r="J119" s="20"/>
      <c r="K119" s="20"/>
      <c r="L119" s="20"/>
      <c r="M119" s="20"/>
      <c r="N119" s="20"/>
      <c r="O119" s="20"/>
      <c r="P119" s="20"/>
      <c r="Q119" s="20"/>
      <c r="R119" s="20"/>
      <c r="S119" s="20"/>
      <c r="T119" s="20"/>
      <c r="U119" s="20"/>
      <c r="V119" s="20"/>
      <c r="W119" s="20"/>
      <c r="X119" s="162"/>
      <c r="Y119" s="153"/>
      <c r="Z119" s="16"/>
      <c r="AA119" s="16"/>
      <c r="AB119" s="16"/>
      <c r="AC119" s="16"/>
      <c r="AD119" s="16"/>
      <c r="AE119" s="16"/>
      <c r="AF119" s="16"/>
      <c r="AG119" s="16"/>
      <c r="AH119" s="16"/>
      <c r="AI119" s="16"/>
      <c r="AJ119" s="16"/>
      <c r="AK119" s="16"/>
      <c r="AL119" s="16"/>
      <c r="AM119" s="16"/>
      <c r="AN119" s="16"/>
      <c r="AO119" s="16"/>
      <c r="AP119" s="16"/>
      <c r="AQ119" s="16"/>
      <c r="AR119" s="43"/>
      <c r="AS119" s="2"/>
      <c r="AT119" s="2"/>
      <c r="AU119" s="2"/>
      <c r="AV119" s="2"/>
      <c r="AW119" s="2"/>
      <c r="AX119" s="2"/>
      <c r="AY119" s="2"/>
      <c r="AZ119" s="2"/>
      <c r="BA119" s="2"/>
      <c r="BB119" s="2"/>
      <c r="BC119" s="2"/>
      <c r="BD119" s="2"/>
      <c r="BE119" s="2"/>
      <c r="BF119" s="2"/>
      <c r="BG119" s="2"/>
      <c r="BH119" s="2"/>
      <c r="BI119" s="2"/>
      <c r="BJ119" s="2"/>
      <c r="BK119" s="2"/>
      <c r="BL119" s="43"/>
      <c r="BM119" s="2"/>
      <c r="BN119" s="88">
        <v>0.12130000000000001</v>
      </c>
      <c r="BO119" s="5" t="s">
        <v>208</v>
      </c>
      <c r="BP119" s="2"/>
      <c r="BQ119" s="2"/>
      <c r="BR119" s="117"/>
      <c r="BS119" s="2"/>
      <c r="BT119" s="89"/>
      <c r="BU119" s="77"/>
      <c r="BV119" s="77"/>
      <c r="BW119" s="90"/>
      <c r="BX119" s="119"/>
      <c r="BY119" s="2"/>
      <c r="BZ119" s="2"/>
      <c r="CA119" s="2"/>
      <c r="CB119" s="2"/>
      <c r="CC119" s="2"/>
      <c r="CD119" s="2"/>
      <c r="CE119" s="2"/>
    </row>
    <row r="120" spans="1:83" ht="12.75" customHeight="1" x14ac:dyDescent="0.3">
      <c r="A120" s="16"/>
      <c r="B120" s="95"/>
      <c r="C120" s="20"/>
      <c r="D120" s="20"/>
      <c r="E120" s="20"/>
      <c r="F120" s="20"/>
      <c r="G120" s="20"/>
      <c r="H120" s="20"/>
      <c r="I120" s="20"/>
      <c r="J120" s="20"/>
      <c r="K120" s="20"/>
      <c r="L120" s="20"/>
      <c r="M120" s="20"/>
      <c r="N120" s="20"/>
      <c r="O120" s="20"/>
      <c r="P120" s="20"/>
      <c r="Q120" s="20"/>
      <c r="R120" s="20"/>
      <c r="S120" s="20"/>
      <c r="T120" s="20"/>
      <c r="U120" s="20"/>
      <c r="V120" s="20"/>
      <c r="W120" s="20"/>
      <c r="X120" s="162"/>
      <c r="Y120" s="153"/>
      <c r="Z120" s="16"/>
      <c r="AA120" s="16"/>
      <c r="AB120" s="16"/>
      <c r="AC120" s="16"/>
      <c r="AD120" s="16"/>
      <c r="AE120" s="16"/>
      <c r="AF120" s="16"/>
      <c r="AG120" s="16"/>
      <c r="AH120" s="16"/>
      <c r="AI120" s="16"/>
      <c r="AJ120" s="16"/>
      <c r="AK120" s="16"/>
      <c r="AL120" s="16"/>
      <c r="AM120" s="16"/>
      <c r="AN120" s="16"/>
      <c r="AO120" s="16"/>
      <c r="AP120" s="16"/>
      <c r="AQ120" s="16"/>
      <c r="AR120" s="43"/>
      <c r="AS120" s="2"/>
      <c r="AT120" s="2"/>
      <c r="AU120" s="2"/>
      <c r="AV120" s="2"/>
      <c r="AW120" s="2"/>
      <c r="AX120" s="2"/>
      <c r="AY120" s="2"/>
      <c r="AZ120" s="2"/>
      <c r="BA120" s="2"/>
      <c r="BB120" s="2"/>
      <c r="BC120" s="2"/>
      <c r="BD120" s="2"/>
      <c r="BE120" s="2"/>
      <c r="BF120" s="2"/>
      <c r="BG120" s="2"/>
      <c r="BH120" s="2"/>
      <c r="BI120" s="2"/>
      <c r="BJ120" s="2"/>
      <c r="BK120" s="2"/>
      <c r="BL120" s="43"/>
      <c r="BM120" s="2"/>
      <c r="BN120" s="112"/>
      <c r="BO120" s="77"/>
      <c r="BP120" s="77"/>
      <c r="BQ120" s="77"/>
      <c r="BR120" s="119"/>
      <c r="BS120" s="2"/>
      <c r="BT120" s="5"/>
      <c r="BU120" s="2"/>
      <c r="BV120" s="2"/>
      <c r="BW120" s="86"/>
      <c r="BX120" s="2"/>
      <c r="BY120" s="2"/>
      <c r="BZ120" s="2"/>
      <c r="CA120" s="2"/>
      <c r="CB120" s="2"/>
      <c r="CC120" s="2"/>
      <c r="CD120" s="2"/>
      <c r="CE120" s="2"/>
    </row>
    <row r="121" spans="1:83" ht="12.75" customHeight="1" x14ac:dyDescent="0.3">
      <c r="A121" s="16"/>
      <c r="B121" s="95"/>
      <c r="C121" s="20"/>
      <c r="D121" s="20"/>
      <c r="E121" s="20"/>
      <c r="F121" s="20"/>
      <c r="G121" s="20"/>
      <c r="H121" s="20"/>
      <c r="I121" s="20"/>
      <c r="J121" s="20"/>
      <c r="K121" s="20"/>
      <c r="L121" s="20"/>
      <c r="M121" s="20"/>
      <c r="N121" s="20"/>
      <c r="O121" s="20"/>
      <c r="P121" s="20"/>
      <c r="Q121" s="20"/>
      <c r="R121" s="20"/>
      <c r="S121" s="20"/>
      <c r="T121" s="20"/>
      <c r="U121" s="20"/>
      <c r="V121" s="20"/>
      <c r="W121" s="20"/>
      <c r="X121" s="162"/>
      <c r="Y121" s="153"/>
      <c r="Z121" s="16"/>
      <c r="AA121" s="16"/>
      <c r="AB121" s="16"/>
      <c r="AC121" s="16"/>
      <c r="AD121" s="16"/>
      <c r="AE121" s="16"/>
      <c r="AF121" s="16"/>
      <c r="AG121" s="16"/>
      <c r="AH121" s="16"/>
      <c r="AI121" s="16"/>
      <c r="AJ121" s="16"/>
      <c r="AK121" s="16"/>
      <c r="AL121" s="16"/>
      <c r="AM121" s="16"/>
      <c r="AN121" s="16"/>
      <c r="AO121" s="16"/>
      <c r="AP121" s="16"/>
      <c r="AQ121" s="16"/>
      <c r="AR121" s="43"/>
      <c r="AS121" s="2"/>
      <c r="AT121" s="2"/>
      <c r="AU121" s="2"/>
      <c r="AV121" s="2"/>
      <c r="AW121" s="2"/>
      <c r="AX121" s="2"/>
      <c r="AY121" s="2"/>
      <c r="AZ121" s="2"/>
      <c r="BA121" s="2"/>
      <c r="BB121" s="2"/>
      <c r="BC121" s="2"/>
      <c r="BD121" s="2"/>
      <c r="BE121" s="2"/>
      <c r="BF121" s="2"/>
      <c r="BG121" s="2"/>
      <c r="BH121" s="2"/>
      <c r="BI121" s="2"/>
      <c r="BJ121" s="2"/>
      <c r="BK121" s="2"/>
      <c r="BL121" s="43"/>
      <c r="BM121" s="2"/>
      <c r="BN121" s="2"/>
      <c r="BO121" s="2"/>
      <c r="BP121" s="2"/>
      <c r="BQ121" s="2"/>
      <c r="BR121" s="2"/>
      <c r="BS121" s="2"/>
      <c r="BT121" s="2"/>
      <c r="BU121" s="2"/>
      <c r="BV121" s="2"/>
      <c r="BW121" s="2"/>
      <c r="BX121" s="2"/>
      <c r="BY121" s="2"/>
      <c r="BZ121" s="2"/>
      <c r="CA121" s="2"/>
      <c r="CB121" s="2"/>
      <c r="CC121" s="2"/>
      <c r="CD121" s="2"/>
      <c r="CE121" s="2"/>
    </row>
    <row r="122" spans="1:83" ht="12.75" customHeight="1" x14ac:dyDescent="0.3">
      <c r="A122" s="16"/>
      <c r="B122" s="95"/>
      <c r="C122" s="20"/>
      <c r="D122" s="20"/>
      <c r="E122" s="20"/>
      <c r="F122" s="20"/>
      <c r="G122" s="20"/>
      <c r="H122" s="20"/>
      <c r="I122" s="20"/>
      <c r="J122" s="20"/>
      <c r="K122" s="20"/>
      <c r="L122" s="20"/>
      <c r="M122" s="20"/>
      <c r="N122" s="20"/>
      <c r="O122" s="20"/>
      <c r="P122" s="20"/>
      <c r="Q122" s="20"/>
      <c r="R122" s="20"/>
      <c r="S122" s="20"/>
      <c r="T122" s="20"/>
      <c r="U122" s="20"/>
      <c r="V122" s="20"/>
      <c r="W122" s="20"/>
      <c r="X122" s="162"/>
      <c r="Y122" s="153"/>
      <c r="Z122" s="16"/>
      <c r="AA122" s="16"/>
      <c r="AB122" s="16"/>
      <c r="AC122" s="16"/>
      <c r="AD122" s="16"/>
      <c r="AE122" s="16"/>
      <c r="AF122" s="16"/>
      <c r="AG122" s="16"/>
      <c r="AH122" s="16"/>
      <c r="AI122" s="16"/>
      <c r="AJ122" s="16"/>
      <c r="AK122" s="16"/>
      <c r="AL122" s="16"/>
      <c r="AM122" s="16"/>
      <c r="AN122" s="16"/>
      <c r="AO122" s="16"/>
      <c r="AP122" s="16"/>
      <c r="AQ122" s="16"/>
      <c r="AR122" s="43"/>
      <c r="AS122" s="2"/>
      <c r="AT122" s="2"/>
      <c r="AU122" s="2"/>
      <c r="AV122" s="2"/>
      <c r="AW122" s="2"/>
      <c r="AX122" s="2"/>
      <c r="AY122" s="2"/>
      <c r="AZ122" s="2"/>
      <c r="BA122" s="2"/>
      <c r="BB122" s="2"/>
      <c r="BC122" s="2"/>
      <c r="BD122" s="2"/>
      <c r="BE122" s="2"/>
      <c r="BF122" s="2"/>
      <c r="BG122" s="2"/>
      <c r="BH122" s="2"/>
      <c r="BI122" s="2"/>
      <c r="BJ122" s="2"/>
      <c r="BK122" s="2"/>
      <c r="BL122" s="43"/>
      <c r="BM122" s="2"/>
      <c r="BN122" s="2"/>
      <c r="BO122" s="2"/>
      <c r="BP122" s="2"/>
      <c r="BQ122" s="2"/>
      <c r="BR122" s="2"/>
      <c r="BS122" s="2"/>
      <c r="BT122" s="2"/>
      <c r="BU122" s="2"/>
      <c r="BV122" s="2"/>
      <c r="BW122" s="2"/>
      <c r="BX122" s="2"/>
      <c r="BY122" s="2"/>
      <c r="BZ122" s="2"/>
      <c r="CA122" s="2"/>
      <c r="CB122" s="2"/>
      <c r="CC122" s="2"/>
      <c r="CD122" s="2"/>
      <c r="CE122" s="2"/>
    </row>
    <row r="123" spans="1:83" ht="12.75" customHeight="1" x14ac:dyDescent="0.3">
      <c r="A123" s="16"/>
      <c r="B123" s="95"/>
      <c r="C123" s="20"/>
      <c r="D123" s="20"/>
      <c r="E123" s="20"/>
      <c r="F123" s="20"/>
      <c r="G123" s="20"/>
      <c r="H123" s="20"/>
      <c r="I123" s="20"/>
      <c r="J123" s="20"/>
      <c r="K123" s="20"/>
      <c r="L123" s="20"/>
      <c r="M123" s="20"/>
      <c r="N123" s="20"/>
      <c r="O123" s="20"/>
      <c r="P123" s="20"/>
      <c r="Q123" s="20"/>
      <c r="R123" s="20"/>
      <c r="S123" s="20"/>
      <c r="T123" s="20"/>
      <c r="U123" s="20"/>
      <c r="V123" s="20"/>
      <c r="W123" s="20"/>
      <c r="X123" s="162"/>
      <c r="Y123" s="153"/>
      <c r="Z123" s="16"/>
      <c r="AA123" s="16"/>
      <c r="AB123" s="16"/>
      <c r="AC123" s="16"/>
      <c r="AD123" s="16"/>
      <c r="AE123" s="16"/>
      <c r="AF123" s="16"/>
      <c r="AG123" s="16"/>
      <c r="AH123" s="16"/>
      <c r="AI123" s="16"/>
      <c r="AJ123" s="16"/>
      <c r="AK123" s="16"/>
      <c r="AL123" s="16"/>
      <c r="AM123" s="16"/>
      <c r="AN123" s="16"/>
      <c r="AO123" s="16"/>
      <c r="AP123" s="16"/>
      <c r="AQ123" s="16"/>
      <c r="AR123" s="43"/>
      <c r="AS123" s="2"/>
      <c r="AT123" s="2"/>
      <c r="AU123" s="2"/>
      <c r="AV123" s="2"/>
      <c r="AW123" s="2"/>
      <c r="AX123" s="2"/>
      <c r="AY123" s="2"/>
      <c r="AZ123" s="2"/>
      <c r="BA123" s="2"/>
      <c r="BB123" s="2"/>
      <c r="BC123" s="2"/>
      <c r="BD123" s="2"/>
      <c r="BE123" s="2"/>
      <c r="BF123" s="2"/>
      <c r="BG123" s="2"/>
      <c r="BH123" s="2"/>
      <c r="BI123" s="2"/>
      <c r="BJ123" s="2"/>
      <c r="BK123" s="2"/>
      <c r="BL123" s="43"/>
      <c r="BM123" s="2"/>
      <c r="BN123" s="2"/>
      <c r="BO123" s="2"/>
      <c r="BP123" s="2"/>
      <c r="BQ123" s="2"/>
      <c r="BR123" s="2"/>
      <c r="BS123" s="2"/>
      <c r="BT123" s="2"/>
      <c r="BU123" s="2"/>
      <c r="BV123" s="2"/>
      <c r="BW123" s="2"/>
      <c r="BX123" s="2"/>
      <c r="BY123" s="2"/>
      <c r="BZ123" s="2"/>
      <c r="CA123" s="2"/>
      <c r="CB123" s="2"/>
      <c r="CC123" s="2"/>
      <c r="CD123" s="2"/>
      <c r="CE123" s="2"/>
    </row>
    <row r="124" spans="1:83" ht="12.75" customHeight="1" x14ac:dyDescent="0.3">
      <c r="A124" s="16"/>
      <c r="B124" s="95"/>
      <c r="C124" s="20"/>
      <c r="D124" s="20"/>
      <c r="E124" s="20"/>
      <c r="F124" s="20"/>
      <c r="G124" s="20"/>
      <c r="H124" s="20"/>
      <c r="I124" s="20"/>
      <c r="J124" s="20"/>
      <c r="K124" s="20"/>
      <c r="L124" s="20"/>
      <c r="M124" s="20"/>
      <c r="N124" s="20"/>
      <c r="O124" s="20"/>
      <c r="P124" s="20"/>
      <c r="Q124" s="20"/>
      <c r="R124" s="20"/>
      <c r="S124" s="20"/>
      <c r="T124" s="20"/>
      <c r="U124" s="20"/>
      <c r="V124" s="20"/>
      <c r="W124" s="20"/>
      <c r="X124" s="16"/>
      <c r="Y124" s="153"/>
      <c r="Z124" s="16"/>
      <c r="AA124" s="16"/>
      <c r="AB124" s="16"/>
      <c r="AC124" s="16"/>
      <c r="AD124" s="16"/>
      <c r="AE124" s="16"/>
      <c r="AF124" s="16"/>
      <c r="AG124" s="16"/>
      <c r="AH124" s="16"/>
      <c r="AI124" s="16"/>
      <c r="AJ124" s="16"/>
      <c r="AK124" s="16"/>
      <c r="AL124" s="16"/>
      <c r="AM124" s="16"/>
      <c r="AN124" s="16"/>
      <c r="AO124" s="16"/>
      <c r="AP124" s="16"/>
      <c r="AQ124" s="16"/>
      <c r="AR124" s="43"/>
      <c r="AS124" s="2"/>
      <c r="AT124" s="2"/>
      <c r="AU124" s="2"/>
      <c r="AV124" s="2"/>
      <c r="AW124" s="2"/>
      <c r="AX124" s="2"/>
      <c r="AY124" s="2"/>
      <c r="AZ124" s="2"/>
      <c r="BA124" s="2"/>
      <c r="BB124" s="2"/>
      <c r="BC124" s="2"/>
      <c r="BD124" s="2"/>
      <c r="BE124" s="2"/>
      <c r="BF124" s="2"/>
      <c r="BG124" s="2"/>
      <c r="BH124" s="2"/>
      <c r="BI124" s="2"/>
      <c r="BJ124" s="2"/>
      <c r="BK124" s="2"/>
      <c r="BL124" s="43"/>
      <c r="BM124" s="2"/>
      <c r="BN124" s="5"/>
      <c r="BO124" s="2"/>
      <c r="BP124" s="2"/>
      <c r="BQ124" s="2"/>
      <c r="BR124" s="2"/>
      <c r="BS124" s="2"/>
      <c r="BT124" s="2"/>
      <c r="BU124" s="2"/>
      <c r="BV124" s="2"/>
      <c r="BW124" s="2"/>
      <c r="BX124" s="2"/>
      <c r="BY124" s="2"/>
      <c r="BZ124" s="2"/>
      <c r="CA124" s="2"/>
      <c r="CB124" s="2"/>
      <c r="CC124" s="2"/>
      <c r="CD124" s="2"/>
      <c r="CE124" s="2"/>
    </row>
    <row r="125" spans="1:83" ht="12.75" customHeight="1" x14ac:dyDescent="0.3">
      <c r="A125" s="16"/>
      <c r="B125" s="95"/>
      <c r="C125" s="20"/>
      <c r="D125" s="20"/>
      <c r="E125" s="20"/>
      <c r="F125" s="20"/>
      <c r="G125" s="20"/>
      <c r="H125" s="20"/>
      <c r="I125" s="20"/>
      <c r="J125" s="20"/>
      <c r="K125" s="20"/>
      <c r="L125" s="20"/>
      <c r="M125" s="20"/>
      <c r="N125" s="20"/>
      <c r="O125" s="20"/>
      <c r="P125" s="20"/>
      <c r="Q125" s="20"/>
      <c r="R125" s="20"/>
      <c r="S125" s="20"/>
      <c r="T125" s="20"/>
      <c r="U125" s="20"/>
      <c r="V125" s="20"/>
      <c r="W125" s="20"/>
      <c r="X125" s="16"/>
      <c r="Y125" s="153"/>
      <c r="Z125" s="16"/>
      <c r="AA125" s="16"/>
      <c r="AB125" s="16"/>
      <c r="AC125" s="16"/>
      <c r="AD125" s="16"/>
      <c r="AE125" s="16"/>
      <c r="AF125" s="16"/>
      <c r="AG125" s="16"/>
      <c r="AH125" s="16"/>
      <c r="AI125" s="16"/>
      <c r="AJ125" s="16"/>
      <c r="AK125" s="16"/>
      <c r="AL125" s="16"/>
      <c r="AM125" s="16"/>
      <c r="AN125" s="16"/>
      <c r="AO125" s="16"/>
      <c r="AP125" s="16"/>
      <c r="AQ125" s="16"/>
      <c r="AR125" s="43"/>
      <c r="AS125" s="2"/>
      <c r="AT125" s="2"/>
      <c r="AU125" s="2"/>
      <c r="AV125" s="2"/>
      <c r="AW125" s="2"/>
      <c r="AX125" s="2"/>
      <c r="AY125" s="2"/>
      <c r="AZ125" s="2"/>
      <c r="BA125" s="2"/>
      <c r="BB125" s="2"/>
      <c r="BC125" s="2"/>
      <c r="BD125" s="2"/>
      <c r="BE125" s="2"/>
      <c r="BF125" s="2"/>
      <c r="BG125" s="2"/>
      <c r="BH125" s="2"/>
      <c r="BI125" s="2"/>
      <c r="BJ125" s="2"/>
      <c r="BK125" s="2"/>
      <c r="BL125" s="43"/>
      <c r="BM125" s="2"/>
      <c r="BN125" s="44" t="s">
        <v>225</v>
      </c>
      <c r="BO125" s="5"/>
      <c r="BP125" s="5"/>
      <c r="BQ125" s="2"/>
      <c r="BR125" s="2"/>
      <c r="BS125" s="2"/>
      <c r="BT125" s="2"/>
      <c r="BU125" s="2"/>
      <c r="BV125" s="2"/>
      <c r="BW125" s="5"/>
      <c r="BX125" s="2"/>
      <c r="BY125" s="2"/>
      <c r="BZ125" s="2"/>
      <c r="CA125" s="2"/>
      <c r="CB125" s="2"/>
      <c r="CC125" s="2"/>
      <c r="CD125" s="2"/>
      <c r="CE125" s="2"/>
    </row>
    <row r="126" spans="1:83" ht="12.75" customHeight="1" x14ac:dyDescent="0.3">
      <c r="A126" s="16"/>
      <c r="B126" s="95"/>
      <c r="C126" s="20"/>
      <c r="D126" s="20"/>
      <c r="E126" s="20"/>
      <c r="F126" s="20"/>
      <c r="G126" s="20"/>
      <c r="H126" s="20"/>
      <c r="I126" s="20"/>
      <c r="J126" s="20"/>
      <c r="K126" s="20"/>
      <c r="L126" s="20"/>
      <c r="M126" s="20"/>
      <c r="N126" s="20"/>
      <c r="O126" s="20"/>
      <c r="P126" s="20"/>
      <c r="Q126" s="20"/>
      <c r="R126" s="20"/>
      <c r="S126" s="20"/>
      <c r="T126" s="20"/>
      <c r="U126" s="20"/>
      <c r="V126" s="20"/>
      <c r="W126" s="20"/>
      <c r="X126" s="16"/>
      <c r="Y126" s="153"/>
      <c r="Z126" s="16"/>
      <c r="AA126" s="16"/>
      <c r="AB126" s="16"/>
      <c r="AC126" s="16"/>
      <c r="AD126" s="16"/>
      <c r="AE126" s="16"/>
      <c r="AF126" s="16"/>
      <c r="AG126" s="16"/>
      <c r="AH126" s="16"/>
      <c r="AI126" s="16"/>
      <c r="AJ126" s="16"/>
      <c r="AK126" s="16"/>
      <c r="AL126" s="16"/>
      <c r="AM126" s="16"/>
      <c r="AN126" s="16"/>
      <c r="AO126" s="16"/>
      <c r="AP126" s="16"/>
      <c r="AQ126" s="16"/>
      <c r="AR126" s="43"/>
      <c r="AS126" s="2"/>
      <c r="AT126" s="2"/>
      <c r="AU126" s="2"/>
      <c r="AV126" s="2"/>
      <c r="AW126" s="2"/>
      <c r="AX126" s="2"/>
      <c r="AY126" s="2"/>
      <c r="AZ126" s="2"/>
      <c r="BA126" s="2"/>
      <c r="BB126" s="2"/>
      <c r="BC126" s="2"/>
      <c r="BD126" s="2"/>
      <c r="BE126" s="2"/>
      <c r="BF126" s="2"/>
      <c r="BG126" s="2"/>
      <c r="BH126" s="2"/>
      <c r="BI126" s="2"/>
      <c r="BJ126" s="2"/>
      <c r="BK126" s="2"/>
      <c r="BL126" s="43"/>
      <c r="BM126" s="2"/>
      <c r="BN126" s="72" t="s">
        <v>226</v>
      </c>
      <c r="BO126" s="72" t="s">
        <v>227</v>
      </c>
      <c r="BP126" s="2"/>
      <c r="BQ126" s="110"/>
      <c r="BR126" s="110"/>
      <c r="BS126" s="111">
        <f>AF32</f>
        <v>0</v>
      </c>
      <c r="BT126" s="72"/>
      <c r="BU126" s="72" t="s">
        <v>228</v>
      </c>
      <c r="BV126" s="2"/>
      <c r="BW126" s="110"/>
      <c r="BX126" s="110"/>
      <c r="BY126" s="111">
        <f>AF38</f>
        <v>0</v>
      </c>
      <c r="BZ126" s="72"/>
      <c r="CA126" s="72" t="s">
        <v>229</v>
      </c>
      <c r="CB126" s="2"/>
      <c r="CC126" s="110"/>
      <c r="CD126" s="110"/>
      <c r="CE126" s="111">
        <f>AF44</f>
        <v>0</v>
      </c>
    </row>
    <row r="127" spans="1:83" ht="12.75" customHeight="1" x14ac:dyDescent="0.3">
      <c r="A127" s="16"/>
      <c r="B127" s="95"/>
      <c r="C127" s="20"/>
      <c r="D127" s="20"/>
      <c r="E127" s="20"/>
      <c r="F127" s="20"/>
      <c r="G127" s="20"/>
      <c r="H127" s="20"/>
      <c r="I127" s="20"/>
      <c r="J127" s="20"/>
      <c r="K127" s="20"/>
      <c r="L127" s="20"/>
      <c r="M127" s="20"/>
      <c r="N127" s="20"/>
      <c r="O127" s="20"/>
      <c r="P127" s="20"/>
      <c r="Q127" s="20"/>
      <c r="R127" s="20"/>
      <c r="S127" s="20"/>
      <c r="T127" s="20"/>
      <c r="U127" s="20"/>
      <c r="V127" s="20"/>
      <c r="W127" s="20"/>
      <c r="X127" s="16"/>
      <c r="Y127" s="153"/>
      <c r="Z127" s="16"/>
      <c r="AA127" s="16"/>
      <c r="AB127" s="16"/>
      <c r="AC127" s="16"/>
      <c r="AD127" s="16"/>
      <c r="AE127" s="16"/>
      <c r="AF127" s="16"/>
      <c r="AG127" s="16"/>
      <c r="AH127" s="16"/>
      <c r="AI127" s="16"/>
      <c r="AJ127" s="16"/>
      <c r="AK127" s="16"/>
      <c r="AL127" s="16"/>
      <c r="AM127" s="16"/>
      <c r="AN127" s="16"/>
      <c r="AO127" s="16"/>
      <c r="AP127" s="16"/>
      <c r="AQ127" s="16"/>
      <c r="AR127" s="43"/>
      <c r="AS127" s="2"/>
      <c r="AT127" s="2"/>
      <c r="AU127" s="2"/>
      <c r="AV127" s="2"/>
      <c r="AW127" s="2"/>
      <c r="AX127" s="2"/>
      <c r="AY127" s="2"/>
      <c r="AZ127" s="2"/>
      <c r="BA127" s="2"/>
      <c r="BB127" s="2"/>
      <c r="BC127" s="2"/>
      <c r="BD127" s="2"/>
      <c r="BE127" s="2"/>
      <c r="BF127" s="2"/>
      <c r="BG127" s="2"/>
      <c r="BH127" s="2"/>
      <c r="BI127" s="2"/>
      <c r="BJ127" s="2"/>
      <c r="BK127" s="2"/>
      <c r="BL127" s="43"/>
      <c r="BM127" s="2"/>
      <c r="BN127" s="2"/>
      <c r="BO127" s="110"/>
      <c r="BP127" s="110"/>
      <c r="BQ127" s="110"/>
      <c r="BR127" s="113"/>
      <c r="BS127" s="110"/>
      <c r="BT127" s="2"/>
      <c r="BU127" s="110"/>
      <c r="BV127" s="110"/>
      <c r="BW127" s="110"/>
      <c r="BX127" s="113"/>
      <c r="BY127" s="110"/>
      <c r="BZ127" s="2"/>
      <c r="CA127" s="110"/>
      <c r="CB127" s="110"/>
      <c r="CC127" s="110"/>
      <c r="CD127" s="113"/>
      <c r="CE127" s="110"/>
    </row>
    <row r="128" spans="1:83" ht="12.75" customHeight="1" x14ac:dyDescent="0.3">
      <c r="A128" s="16"/>
      <c r="B128" s="95"/>
      <c r="C128" s="20"/>
      <c r="D128" s="20"/>
      <c r="E128" s="20"/>
      <c r="F128" s="20"/>
      <c r="G128" s="20"/>
      <c r="H128" s="20"/>
      <c r="I128" s="20"/>
      <c r="J128" s="20"/>
      <c r="K128" s="20"/>
      <c r="L128" s="20"/>
      <c r="M128" s="20"/>
      <c r="N128" s="20"/>
      <c r="O128" s="20"/>
      <c r="P128" s="20"/>
      <c r="Q128" s="20"/>
      <c r="R128" s="20"/>
      <c r="S128" s="20"/>
      <c r="T128" s="20"/>
      <c r="U128" s="20"/>
      <c r="V128" s="20"/>
      <c r="W128" s="20"/>
      <c r="X128" s="16"/>
      <c r="Y128" s="153"/>
      <c r="Z128" s="16"/>
      <c r="AA128" s="16"/>
      <c r="AB128" s="16"/>
      <c r="AC128" s="16"/>
      <c r="AD128" s="16"/>
      <c r="AE128" s="16"/>
      <c r="AF128" s="16"/>
      <c r="AG128" s="16"/>
      <c r="AH128" s="16"/>
      <c r="AI128" s="16"/>
      <c r="AJ128" s="16"/>
      <c r="AK128" s="16"/>
      <c r="AL128" s="16"/>
      <c r="AM128" s="16"/>
      <c r="AN128" s="16"/>
      <c r="AO128" s="16"/>
      <c r="AP128" s="16"/>
      <c r="AQ128" s="16"/>
      <c r="AR128" s="43"/>
      <c r="AS128" s="2"/>
      <c r="AT128" s="2"/>
      <c r="AU128" s="2"/>
      <c r="AV128" s="2"/>
      <c r="AW128" s="2"/>
      <c r="AX128" s="2"/>
      <c r="AY128" s="2"/>
      <c r="AZ128" s="2"/>
      <c r="BA128" s="2"/>
      <c r="BB128" s="2"/>
      <c r="BC128" s="2"/>
      <c r="BD128" s="2"/>
      <c r="BE128" s="2"/>
      <c r="BF128" s="2"/>
      <c r="BG128" s="2"/>
      <c r="BH128" s="2"/>
      <c r="BI128" s="2"/>
      <c r="BJ128" s="2"/>
      <c r="BK128" s="2"/>
      <c r="BL128" s="43"/>
      <c r="BM128" s="2"/>
      <c r="BN128" s="281"/>
      <c r="BO128" s="281"/>
      <c r="BP128" s="281"/>
      <c r="BQ128" s="281"/>
      <c r="BR128" s="281"/>
      <c r="BS128" s="281"/>
      <c r="BT128" s="2"/>
      <c r="BU128" s="110"/>
      <c r="BV128" s="110"/>
      <c r="BW128" s="110"/>
      <c r="BX128" s="110"/>
      <c r="BY128" s="110"/>
      <c r="BZ128" s="2"/>
      <c r="CA128" s="110"/>
      <c r="CB128" s="110"/>
      <c r="CC128" s="110"/>
      <c r="CD128" s="110"/>
      <c r="CE128" s="110"/>
    </row>
    <row r="129" spans="1:83" ht="12.75" customHeight="1" x14ac:dyDescent="0.3">
      <c r="A129" s="16"/>
      <c r="B129" s="95"/>
      <c r="C129" s="20"/>
      <c r="D129" s="20"/>
      <c r="E129" s="20"/>
      <c r="F129" s="20"/>
      <c r="G129" s="20"/>
      <c r="H129" s="20"/>
      <c r="I129" s="20"/>
      <c r="J129" s="20"/>
      <c r="K129" s="20"/>
      <c r="L129" s="20"/>
      <c r="M129" s="20"/>
      <c r="N129" s="20"/>
      <c r="O129" s="20"/>
      <c r="P129" s="20"/>
      <c r="Q129" s="20"/>
      <c r="R129" s="20"/>
      <c r="S129" s="20"/>
      <c r="T129" s="20"/>
      <c r="U129" s="20"/>
      <c r="V129" s="20"/>
      <c r="W129" s="20"/>
      <c r="X129" s="16"/>
      <c r="Y129" s="153"/>
      <c r="Z129" s="16"/>
      <c r="AA129" s="16"/>
      <c r="AB129" s="16"/>
      <c r="AC129" s="16"/>
      <c r="AD129" s="16"/>
      <c r="AE129" s="16"/>
      <c r="AF129" s="16"/>
      <c r="AG129" s="16"/>
      <c r="AH129" s="16"/>
      <c r="AI129" s="16"/>
      <c r="AJ129" s="16"/>
      <c r="AK129" s="16"/>
      <c r="AL129" s="16"/>
      <c r="AM129" s="16"/>
      <c r="AN129" s="16"/>
      <c r="AO129" s="16"/>
      <c r="AP129" s="16"/>
      <c r="AQ129" s="16"/>
      <c r="AR129" s="43"/>
      <c r="AS129" s="2"/>
      <c r="AT129" s="2"/>
      <c r="AU129" s="2"/>
      <c r="AV129" s="2"/>
      <c r="AW129" s="2"/>
      <c r="AX129" s="2"/>
      <c r="AY129" s="2"/>
      <c r="AZ129" s="2"/>
      <c r="BA129" s="2"/>
      <c r="BB129" s="2"/>
      <c r="BC129" s="2"/>
      <c r="BD129" s="2"/>
      <c r="BE129" s="2"/>
      <c r="BF129" s="2"/>
      <c r="BG129" s="2"/>
      <c r="BH129" s="2"/>
      <c r="BI129" s="2"/>
      <c r="BJ129" s="2"/>
      <c r="BK129" s="2"/>
      <c r="BL129" s="43"/>
      <c r="BM129" s="2"/>
      <c r="BN129" s="281"/>
      <c r="BO129" s="281"/>
      <c r="BP129" s="281"/>
      <c r="BQ129" s="281"/>
      <c r="BR129" s="281"/>
      <c r="BS129" s="281"/>
      <c r="BT129" s="2"/>
      <c r="BU129" s="110"/>
      <c r="BV129" s="110"/>
      <c r="BW129" s="110"/>
      <c r="BX129" s="110"/>
      <c r="BY129" s="110"/>
      <c r="BZ129" s="2"/>
      <c r="CA129" s="110"/>
      <c r="CB129" s="110"/>
      <c r="CC129" s="110"/>
      <c r="CD129" s="110"/>
      <c r="CE129" s="110"/>
    </row>
    <row r="130" spans="1:83" ht="12.75" customHeight="1" x14ac:dyDescent="0.3">
      <c r="A130" s="16"/>
      <c r="B130" s="95"/>
      <c r="C130" s="20"/>
      <c r="D130" s="20"/>
      <c r="E130" s="20"/>
      <c r="F130" s="20"/>
      <c r="G130" s="20"/>
      <c r="H130" s="20"/>
      <c r="I130" s="20"/>
      <c r="J130" s="20"/>
      <c r="K130" s="20"/>
      <c r="L130" s="20"/>
      <c r="M130" s="20"/>
      <c r="N130" s="20"/>
      <c r="O130" s="20"/>
      <c r="P130" s="20"/>
      <c r="Q130" s="20"/>
      <c r="R130" s="20"/>
      <c r="S130" s="20"/>
      <c r="T130" s="20"/>
      <c r="U130" s="20"/>
      <c r="V130" s="20"/>
      <c r="W130" s="20"/>
      <c r="X130" s="16"/>
      <c r="Y130" s="153"/>
      <c r="Z130" s="16"/>
      <c r="AA130" s="16"/>
      <c r="AB130" s="16"/>
      <c r="AC130" s="16"/>
      <c r="AD130" s="16"/>
      <c r="AE130" s="16"/>
      <c r="AF130" s="16"/>
      <c r="AG130" s="16"/>
      <c r="AH130" s="16"/>
      <c r="AI130" s="16"/>
      <c r="AJ130" s="16"/>
      <c r="AK130" s="16"/>
      <c r="AL130" s="16"/>
      <c r="AM130" s="16"/>
      <c r="AN130" s="16"/>
      <c r="AO130" s="16"/>
      <c r="AP130" s="16"/>
      <c r="AQ130" s="16"/>
      <c r="AR130" s="43"/>
      <c r="AS130" s="2"/>
      <c r="AT130" s="2"/>
      <c r="AU130" s="2"/>
      <c r="AV130" s="2"/>
      <c r="AW130" s="2"/>
      <c r="AX130" s="2"/>
      <c r="AY130" s="2"/>
      <c r="AZ130" s="2"/>
      <c r="BA130" s="2"/>
      <c r="BB130" s="2"/>
      <c r="BC130" s="2"/>
      <c r="BD130" s="2"/>
      <c r="BE130" s="2"/>
      <c r="BF130" s="2"/>
      <c r="BG130" s="2"/>
      <c r="BH130" s="2"/>
      <c r="BI130" s="2"/>
      <c r="BJ130" s="2"/>
      <c r="BK130" s="2"/>
      <c r="BL130" s="43"/>
      <c r="BM130" s="2"/>
      <c r="BN130" s="281"/>
      <c r="BO130" s="281"/>
      <c r="BP130" s="281"/>
      <c r="BQ130" s="281"/>
      <c r="BR130" s="281"/>
      <c r="BS130" s="281"/>
      <c r="BT130" s="2"/>
      <c r="BU130" s="110"/>
      <c r="BV130" s="110"/>
      <c r="BW130" s="110"/>
      <c r="BX130" s="110"/>
      <c r="BY130" s="110"/>
      <c r="BZ130" s="2"/>
      <c r="CA130" s="110"/>
      <c r="CB130" s="110"/>
      <c r="CC130" s="110"/>
      <c r="CD130" s="110"/>
      <c r="CE130" s="110"/>
    </row>
    <row r="131" spans="1:83" ht="12.75" customHeight="1" x14ac:dyDescent="0.3">
      <c r="A131" s="16"/>
      <c r="B131" s="95"/>
      <c r="C131" s="20"/>
      <c r="D131" s="20"/>
      <c r="E131" s="20"/>
      <c r="F131" s="20"/>
      <c r="G131" s="20"/>
      <c r="H131" s="20"/>
      <c r="I131" s="20"/>
      <c r="J131" s="20"/>
      <c r="K131" s="20"/>
      <c r="L131" s="20"/>
      <c r="M131" s="20"/>
      <c r="N131" s="20"/>
      <c r="O131" s="20"/>
      <c r="P131" s="20"/>
      <c r="Q131" s="20"/>
      <c r="R131" s="20"/>
      <c r="S131" s="20"/>
      <c r="T131" s="20"/>
      <c r="U131" s="20"/>
      <c r="V131" s="20"/>
      <c r="W131" s="20"/>
      <c r="X131" s="16"/>
      <c r="Y131" s="153"/>
      <c r="Z131" s="16"/>
      <c r="AA131" s="16"/>
      <c r="AB131" s="16"/>
      <c r="AC131" s="16"/>
      <c r="AD131" s="16"/>
      <c r="AE131" s="16"/>
      <c r="AF131" s="16"/>
      <c r="AG131" s="16"/>
      <c r="AH131" s="16"/>
      <c r="AI131" s="16"/>
      <c r="AJ131" s="16"/>
      <c r="AK131" s="16"/>
      <c r="AL131" s="16"/>
      <c r="AM131" s="16"/>
      <c r="AN131" s="16"/>
      <c r="AO131" s="16"/>
      <c r="AP131" s="16"/>
      <c r="AQ131" s="16"/>
      <c r="AR131" s="43"/>
      <c r="AS131" s="2"/>
      <c r="AT131" s="2"/>
      <c r="AU131" s="2"/>
      <c r="AV131" s="2"/>
      <c r="AW131" s="2"/>
      <c r="AX131" s="2"/>
      <c r="AY131" s="2"/>
      <c r="AZ131" s="2"/>
      <c r="BA131" s="2"/>
      <c r="BB131" s="2"/>
      <c r="BC131" s="2"/>
      <c r="BD131" s="2"/>
      <c r="BE131" s="2"/>
      <c r="BF131" s="2"/>
      <c r="BG131" s="2"/>
      <c r="BH131" s="2"/>
      <c r="BI131" s="2"/>
      <c r="BJ131" s="2"/>
      <c r="BK131" s="2"/>
      <c r="BL131" s="43"/>
      <c r="BM131" s="2"/>
      <c r="BN131" s="281"/>
      <c r="BO131" s="282">
        <f>AC32</f>
        <v>0</v>
      </c>
      <c r="BP131" s="281"/>
      <c r="BQ131" s="281"/>
      <c r="BR131" s="281"/>
      <c r="BS131" s="281"/>
      <c r="BT131" s="2"/>
      <c r="BU131" s="252">
        <f>AC38</f>
        <v>0</v>
      </c>
      <c r="BV131" s="110"/>
      <c r="BW131" s="110"/>
      <c r="BX131" s="110"/>
      <c r="BY131" s="110"/>
      <c r="BZ131" s="2"/>
      <c r="CA131" s="252">
        <f>AC44</f>
        <v>0</v>
      </c>
      <c r="CB131" s="110"/>
      <c r="CC131" s="110"/>
      <c r="CD131" s="110"/>
      <c r="CE131" s="110"/>
    </row>
    <row r="132" spans="1:83" ht="12.75" customHeight="1" x14ac:dyDescent="0.3">
      <c r="A132" s="16"/>
      <c r="B132" s="95"/>
      <c r="C132" s="20"/>
      <c r="D132" s="20"/>
      <c r="E132" s="20"/>
      <c r="F132" s="20"/>
      <c r="G132" s="20"/>
      <c r="H132" s="20"/>
      <c r="I132" s="20"/>
      <c r="J132" s="20"/>
      <c r="K132" s="20"/>
      <c r="L132" s="20"/>
      <c r="M132" s="20"/>
      <c r="N132" s="20"/>
      <c r="O132" s="20"/>
      <c r="P132" s="20"/>
      <c r="Q132" s="20"/>
      <c r="R132" s="20"/>
      <c r="S132" s="20"/>
      <c r="T132" s="20"/>
      <c r="U132" s="20"/>
      <c r="V132" s="20"/>
      <c r="W132" s="20"/>
      <c r="X132" s="16"/>
      <c r="Y132" s="153"/>
      <c r="Z132" s="16"/>
      <c r="AA132" s="16"/>
      <c r="AB132" s="16"/>
      <c r="AC132" s="16"/>
      <c r="AD132" s="16"/>
      <c r="AE132" s="16"/>
      <c r="AF132" s="16"/>
      <c r="AG132" s="16"/>
      <c r="AH132" s="16"/>
      <c r="AI132" s="16"/>
      <c r="AJ132" s="16"/>
      <c r="AK132" s="16"/>
      <c r="AL132" s="16"/>
      <c r="AM132" s="16"/>
      <c r="AN132" s="16"/>
      <c r="AO132" s="16"/>
      <c r="AP132" s="16"/>
      <c r="AQ132" s="16"/>
      <c r="AR132" s="43"/>
      <c r="AS132" s="2"/>
      <c r="AT132" s="2"/>
      <c r="AU132" s="2"/>
      <c r="AV132" s="2"/>
      <c r="AW132" s="2"/>
      <c r="AX132" s="2"/>
      <c r="AY132" s="2"/>
      <c r="AZ132" s="2"/>
      <c r="BA132" s="2"/>
      <c r="BB132" s="2"/>
      <c r="BC132" s="2"/>
      <c r="BD132" s="2"/>
      <c r="BE132" s="2"/>
      <c r="BF132" s="2"/>
      <c r="BG132" s="2"/>
      <c r="BH132" s="2"/>
      <c r="BI132" s="2"/>
      <c r="BJ132" s="2"/>
      <c r="BK132" s="2"/>
      <c r="BL132" s="43"/>
      <c r="BM132" s="2"/>
      <c r="BN132" s="281"/>
      <c r="BO132" s="283"/>
      <c r="BP132" s="281"/>
      <c r="BQ132" s="284" t="s">
        <v>67</v>
      </c>
      <c r="BR132" s="74">
        <f>IF(ISERROR(H12),0,H12)</f>
        <v>0</v>
      </c>
      <c r="BS132" s="281"/>
      <c r="BT132" s="2"/>
      <c r="BU132" s="103"/>
      <c r="BV132" s="110"/>
      <c r="BW132" s="73" t="s">
        <v>67</v>
      </c>
      <c r="BX132" s="74">
        <f>IF(ISERROR(J12),0,J12)</f>
        <v>0</v>
      </c>
      <c r="BY132" s="110"/>
      <c r="BZ132" s="2"/>
      <c r="CA132" s="103"/>
      <c r="CB132" s="110"/>
      <c r="CC132" s="73" t="s">
        <v>67</v>
      </c>
      <c r="CD132" s="74">
        <f>IF(ISERROR(L12),0,L12)</f>
        <v>0</v>
      </c>
      <c r="CE132" s="110"/>
    </row>
    <row r="133" spans="1:83" ht="12.75" customHeight="1" x14ac:dyDescent="0.3">
      <c r="A133" s="16"/>
      <c r="B133" s="95"/>
      <c r="C133" s="20"/>
      <c r="D133" s="20"/>
      <c r="E133" s="20"/>
      <c r="F133" s="20"/>
      <c r="G133" s="20"/>
      <c r="H133" s="20"/>
      <c r="I133" s="20"/>
      <c r="J133" s="20"/>
      <c r="K133" s="20"/>
      <c r="L133" s="20"/>
      <c r="M133" s="20"/>
      <c r="N133" s="20"/>
      <c r="O133" s="20"/>
      <c r="P133" s="20"/>
      <c r="Q133" s="20"/>
      <c r="R133" s="20"/>
      <c r="S133" s="20"/>
      <c r="T133" s="20"/>
      <c r="U133" s="20"/>
      <c r="V133" s="20"/>
      <c r="W133" s="20"/>
      <c r="X133" s="16"/>
      <c r="Y133" s="153"/>
      <c r="Z133" s="16"/>
      <c r="AA133" s="16"/>
      <c r="AB133" s="16"/>
      <c r="AC133" s="16"/>
      <c r="AD133" s="16"/>
      <c r="AE133" s="16"/>
      <c r="AF133" s="16"/>
      <c r="AG133" s="16"/>
      <c r="AH133" s="16"/>
      <c r="AI133" s="16"/>
      <c r="AJ133" s="16"/>
      <c r="AK133" s="16"/>
      <c r="AL133" s="16"/>
      <c r="AM133" s="16"/>
      <c r="AN133" s="16"/>
      <c r="AO133" s="16"/>
      <c r="AP133" s="16"/>
      <c r="AQ133" s="16"/>
      <c r="AR133" s="43"/>
      <c r="AS133" s="2"/>
      <c r="AT133" s="2"/>
      <c r="AU133" s="2"/>
      <c r="AV133" s="2"/>
      <c r="AW133" s="2"/>
      <c r="AX133" s="2"/>
      <c r="AY133" s="2"/>
      <c r="AZ133" s="2"/>
      <c r="BA133" s="2"/>
      <c r="BB133" s="2"/>
      <c r="BC133" s="2"/>
      <c r="BD133" s="2"/>
      <c r="BE133" s="2"/>
      <c r="BF133" s="2"/>
      <c r="BG133" s="2"/>
      <c r="BH133" s="2"/>
      <c r="BI133" s="2"/>
      <c r="BJ133" s="2"/>
      <c r="BK133" s="2"/>
      <c r="BL133" s="43"/>
      <c r="BM133" s="2"/>
      <c r="BN133" s="281"/>
      <c r="BO133" s="283"/>
      <c r="BP133" s="281"/>
      <c r="BQ133" s="281"/>
      <c r="BR133" s="281"/>
      <c r="BS133" s="281"/>
      <c r="BT133" s="2"/>
      <c r="BU133" s="250"/>
      <c r="BV133" s="2"/>
      <c r="BW133" s="110"/>
      <c r="BX133" s="110"/>
      <c r="BY133" s="110"/>
      <c r="BZ133" s="2"/>
      <c r="CA133" s="250"/>
      <c r="CB133" s="2"/>
      <c r="CC133" s="110"/>
      <c r="CD133" s="110"/>
      <c r="CE133" s="110"/>
    </row>
    <row r="134" spans="1:83" ht="12.75" customHeight="1" x14ac:dyDescent="0.3">
      <c r="A134" s="16"/>
      <c r="B134" s="95"/>
      <c r="C134" s="20"/>
      <c r="D134" s="20"/>
      <c r="E134" s="20"/>
      <c r="F134" s="20"/>
      <c r="G134" s="20"/>
      <c r="H134" s="20"/>
      <c r="I134" s="20"/>
      <c r="J134" s="20"/>
      <c r="K134" s="20"/>
      <c r="L134" s="20"/>
      <c r="M134" s="20"/>
      <c r="N134" s="20"/>
      <c r="O134" s="20"/>
      <c r="P134" s="20"/>
      <c r="Q134" s="20"/>
      <c r="R134" s="20"/>
      <c r="S134" s="20"/>
      <c r="T134" s="20"/>
      <c r="U134" s="20"/>
      <c r="V134" s="20"/>
      <c r="W134" s="20"/>
      <c r="X134" s="16"/>
      <c r="Y134" s="153"/>
      <c r="Z134" s="16"/>
      <c r="AA134" s="16"/>
      <c r="AB134" s="16"/>
      <c r="AC134" s="16"/>
      <c r="AD134" s="16"/>
      <c r="AE134" s="16"/>
      <c r="AF134" s="16"/>
      <c r="AG134" s="16"/>
      <c r="AH134" s="16"/>
      <c r="AI134" s="16"/>
      <c r="AJ134" s="16"/>
      <c r="AK134" s="16"/>
      <c r="AL134" s="16"/>
      <c r="AM134" s="16"/>
      <c r="AN134" s="16"/>
      <c r="AO134" s="16"/>
      <c r="AP134" s="16"/>
      <c r="AQ134" s="16"/>
      <c r="AR134" s="43"/>
      <c r="AS134" s="2"/>
      <c r="AT134" s="2"/>
      <c r="AU134" s="2"/>
      <c r="AV134" s="2"/>
      <c r="AW134" s="2"/>
      <c r="AX134" s="2"/>
      <c r="AY134" s="2"/>
      <c r="AZ134" s="2"/>
      <c r="BA134" s="2"/>
      <c r="BB134" s="2"/>
      <c r="BC134" s="2"/>
      <c r="BD134" s="2"/>
      <c r="BE134" s="2"/>
      <c r="BF134" s="2"/>
      <c r="BG134" s="2"/>
      <c r="BH134" s="2"/>
      <c r="BI134" s="2"/>
      <c r="BJ134" s="2"/>
      <c r="BK134" s="2"/>
      <c r="BL134" s="43"/>
      <c r="BM134" s="2"/>
      <c r="BN134" s="285" t="s">
        <v>230</v>
      </c>
      <c r="BO134" s="286">
        <f>AD32</f>
        <v>0</v>
      </c>
      <c r="BP134" s="281"/>
      <c r="BQ134" s="281">
        <f>AH32</f>
        <v>0</v>
      </c>
      <c r="BR134" s="281"/>
      <c r="BS134" s="281"/>
      <c r="BT134" s="253" t="s">
        <v>231</v>
      </c>
      <c r="BU134" s="246">
        <f>AD38</f>
        <v>0</v>
      </c>
      <c r="BV134" s="110"/>
      <c r="BW134" s="52">
        <f>AH38</f>
        <v>0</v>
      </c>
      <c r="BX134" s="110"/>
      <c r="BY134" s="110"/>
      <c r="BZ134" s="253" t="s">
        <v>231</v>
      </c>
      <c r="CA134" s="246">
        <f>AD44</f>
        <v>0</v>
      </c>
      <c r="CB134" s="110"/>
      <c r="CC134" s="52">
        <f>AH44</f>
        <v>0</v>
      </c>
      <c r="CD134" s="110"/>
      <c r="CE134" s="110"/>
    </row>
    <row r="135" spans="1:83" ht="12.75" customHeight="1" x14ac:dyDescent="0.3">
      <c r="A135" s="16"/>
      <c r="B135" s="95"/>
      <c r="C135" s="20"/>
      <c r="D135" s="20"/>
      <c r="E135" s="20"/>
      <c r="F135" s="20"/>
      <c r="G135" s="20"/>
      <c r="H135" s="20"/>
      <c r="I135" s="20"/>
      <c r="J135" s="20"/>
      <c r="K135" s="20"/>
      <c r="L135" s="20"/>
      <c r="M135" s="20"/>
      <c r="N135" s="20"/>
      <c r="O135" s="20"/>
      <c r="P135" s="20"/>
      <c r="Q135" s="20"/>
      <c r="R135" s="20"/>
      <c r="S135" s="20"/>
      <c r="T135" s="20"/>
      <c r="U135" s="20"/>
      <c r="V135" s="20"/>
      <c r="W135" s="20"/>
      <c r="X135" s="16"/>
      <c r="Y135" s="153"/>
      <c r="Z135" s="16"/>
      <c r="AA135" s="16"/>
      <c r="AB135" s="16"/>
      <c r="AC135" s="16"/>
      <c r="AD135" s="16"/>
      <c r="AE135" s="16"/>
      <c r="AF135" s="16"/>
      <c r="AG135" s="16"/>
      <c r="AH135" s="16"/>
      <c r="AI135" s="16"/>
      <c r="AJ135" s="16"/>
      <c r="AK135" s="16"/>
      <c r="AL135" s="16"/>
      <c r="AM135" s="16"/>
      <c r="AN135" s="16"/>
      <c r="AO135" s="16"/>
      <c r="AP135" s="16"/>
      <c r="AQ135" s="16"/>
      <c r="AR135" s="43"/>
      <c r="AS135" s="2"/>
      <c r="AT135" s="2"/>
      <c r="AU135" s="2"/>
      <c r="AV135" s="2"/>
      <c r="AW135" s="2"/>
      <c r="AX135" s="2"/>
      <c r="AY135" s="2"/>
      <c r="AZ135" s="2"/>
      <c r="BA135" s="2"/>
      <c r="BB135" s="2"/>
      <c r="BC135" s="2"/>
      <c r="BD135" s="2"/>
      <c r="BE135" s="2"/>
      <c r="BF135" s="2"/>
      <c r="BG135" s="2"/>
      <c r="BH135" s="2"/>
      <c r="BI135" s="2"/>
      <c r="BJ135" s="2"/>
      <c r="BK135" s="2"/>
      <c r="BL135" s="43"/>
      <c r="BM135" s="2"/>
      <c r="BN135" s="285">
        <f>AE32</f>
        <v>0</v>
      </c>
      <c r="BO135" s="286" t="s">
        <v>230</v>
      </c>
      <c r="BP135" s="281"/>
      <c r="BQ135" s="281"/>
      <c r="BR135" s="281"/>
      <c r="BS135" s="289">
        <f>k.sM.aM*M.sM*Molweight</f>
        <v>0</v>
      </c>
      <c r="BT135" s="128">
        <f>AE38</f>
        <v>0</v>
      </c>
      <c r="BU135" s="125" t="s">
        <v>231</v>
      </c>
      <c r="BV135" s="110"/>
      <c r="BW135" s="110"/>
      <c r="BX135" s="110"/>
      <c r="BY135" s="289">
        <f>k.sA.aA*M.sA*Molweight</f>
        <v>0</v>
      </c>
      <c r="BZ135" s="128">
        <f>AE44</f>
        <v>0</v>
      </c>
      <c r="CA135" s="125" t="s">
        <v>231</v>
      </c>
      <c r="CB135" s="110"/>
      <c r="CC135" s="110"/>
      <c r="CD135" s="110"/>
      <c r="CE135" s="289">
        <f>k.sT.aT*M.sT*Molweight</f>
        <v>0</v>
      </c>
    </row>
    <row r="136" spans="1:83" ht="12.75" customHeight="1" x14ac:dyDescent="0.3">
      <c r="A136" s="16"/>
      <c r="B136" s="95"/>
      <c r="C136" s="20"/>
      <c r="D136" s="20"/>
      <c r="E136" s="20"/>
      <c r="F136" s="20"/>
      <c r="G136" s="20"/>
      <c r="H136" s="20"/>
      <c r="I136" s="20"/>
      <c r="J136" s="20"/>
      <c r="K136" s="20"/>
      <c r="L136" s="20"/>
      <c r="M136" s="20"/>
      <c r="N136" s="20"/>
      <c r="O136" s="20"/>
      <c r="P136" s="20"/>
      <c r="Q136" s="20"/>
      <c r="R136" s="20"/>
      <c r="S136" s="20"/>
      <c r="T136" s="20"/>
      <c r="U136" s="20"/>
      <c r="V136" s="20"/>
      <c r="W136" s="20"/>
      <c r="X136" s="16"/>
      <c r="Y136" s="153"/>
      <c r="Z136" s="16"/>
      <c r="AA136" s="16"/>
      <c r="AB136" s="16"/>
      <c r="AC136" s="16"/>
      <c r="AD136" s="16"/>
      <c r="AE136" s="16"/>
      <c r="AF136" s="16"/>
      <c r="AG136" s="16"/>
      <c r="AH136" s="16"/>
      <c r="AI136" s="16"/>
      <c r="AJ136" s="16"/>
      <c r="AK136" s="16"/>
      <c r="AL136" s="16"/>
      <c r="AM136" s="16"/>
      <c r="AN136" s="16"/>
      <c r="AO136" s="16"/>
      <c r="AP136" s="16"/>
      <c r="AQ136" s="16"/>
      <c r="AR136" s="43"/>
      <c r="AS136" s="2"/>
      <c r="AT136" s="2"/>
      <c r="AU136" s="2"/>
      <c r="AV136" s="2"/>
      <c r="AW136" s="2"/>
      <c r="AX136" s="2"/>
      <c r="AY136" s="2"/>
      <c r="AZ136" s="2"/>
      <c r="BA136" s="2"/>
      <c r="BB136" s="2"/>
      <c r="BC136" s="2"/>
      <c r="BD136" s="2"/>
      <c r="BE136" s="2"/>
      <c r="BF136" s="2"/>
      <c r="BG136" s="2"/>
      <c r="BH136" s="2"/>
      <c r="BI136" s="2"/>
      <c r="BJ136" s="2"/>
      <c r="BK136" s="2"/>
      <c r="BL136" s="43"/>
      <c r="BM136" s="2"/>
      <c r="BN136" s="281"/>
      <c r="BO136" s="281"/>
      <c r="BP136" s="287">
        <f>k.w2M.aM*M.w2M*Molweight</f>
        <v>0</v>
      </c>
      <c r="BQ136" s="281"/>
      <c r="BR136" s="281"/>
      <c r="BS136" s="281"/>
      <c r="BT136" s="2"/>
      <c r="BU136" s="110"/>
      <c r="BV136" s="287">
        <f>k.w2A.aA*M.w2A*Molweight</f>
        <v>0</v>
      </c>
      <c r="BW136" s="110"/>
      <c r="BX136" s="110"/>
      <c r="BY136" s="110"/>
      <c r="BZ136" s="2"/>
      <c r="CA136" s="110"/>
      <c r="CB136" s="287">
        <f>k.w2T.aT*M.w2T*Molweight</f>
        <v>0</v>
      </c>
      <c r="CC136" s="110"/>
      <c r="CD136" s="110"/>
      <c r="CE136" s="110"/>
    </row>
    <row r="137" spans="1:83" ht="12.75" customHeight="1" x14ac:dyDescent="0.3">
      <c r="A137" s="16"/>
      <c r="B137" s="95"/>
      <c r="C137" s="20"/>
      <c r="D137" s="20"/>
      <c r="E137" s="20"/>
      <c r="F137" s="20"/>
      <c r="G137" s="20"/>
      <c r="H137" s="20"/>
      <c r="I137" s="20"/>
      <c r="J137" s="20"/>
      <c r="K137" s="20"/>
      <c r="L137" s="20"/>
      <c r="M137" s="20"/>
      <c r="N137" s="20"/>
      <c r="O137" s="20"/>
      <c r="P137" s="20"/>
      <c r="Q137" s="20"/>
      <c r="R137" s="20"/>
      <c r="S137" s="20"/>
      <c r="T137" s="20"/>
      <c r="U137" s="20"/>
      <c r="V137" s="20"/>
      <c r="W137" s="20"/>
      <c r="X137" s="16"/>
      <c r="Y137" s="153"/>
      <c r="Z137" s="16"/>
      <c r="AA137" s="16"/>
      <c r="AB137" s="16"/>
      <c r="AC137" s="16"/>
      <c r="AD137" s="16"/>
      <c r="AE137" s="16"/>
      <c r="AF137" s="16"/>
      <c r="AG137" s="16"/>
      <c r="AH137" s="16"/>
      <c r="AI137" s="16"/>
      <c r="AJ137" s="16"/>
      <c r="AK137" s="16"/>
      <c r="AL137" s="16"/>
      <c r="AM137" s="16"/>
      <c r="AN137" s="16"/>
      <c r="AO137" s="16"/>
      <c r="AP137" s="16"/>
      <c r="AQ137" s="16"/>
      <c r="AR137" s="43"/>
      <c r="AS137" s="2"/>
      <c r="AT137" s="2"/>
      <c r="AU137" s="2"/>
      <c r="AV137" s="2"/>
      <c r="AW137" s="2"/>
      <c r="AX137" s="2"/>
      <c r="AY137" s="2"/>
      <c r="AZ137" s="2"/>
      <c r="BA137" s="2"/>
      <c r="BB137" s="2"/>
      <c r="BC137" s="2"/>
      <c r="BD137" s="2"/>
      <c r="BE137" s="2"/>
      <c r="BF137" s="2"/>
      <c r="BG137" s="2"/>
      <c r="BH137" s="2"/>
      <c r="BI137" s="2"/>
      <c r="BJ137" s="2"/>
      <c r="BK137" s="2"/>
      <c r="BL137" s="43"/>
      <c r="BM137" s="2"/>
      <c r="BN137" s="281"/>
      <c r="BO137" s="281"/>
      <c r="BP137" s="281"/>
      <c r="BQ137" s="281"/>
      <c r="BR137" s="281"/>
      <c r="BS137" s="281"/>
      <c r="BT137" s="2"/>
      <c r="BU137" s="110"/>
      <c r="BV137" s="110"/>
      <c r="BW137" s="110"/>
      <c r="BX137" s="110"/>
      <c r="BY137" s="110"/>
      <c r="BZ137" s="2"/>
      <c r="CA137" s="110"/>
      <c r="CB137" s="110"/>
      <c r="CC137" s="110"/>
      <c r="CD137" s="110"/>
      <c r="CE137" s="110"/>
    </row>
    <row r="138" spans="1:83" ht="12.75" customHeight="1" x14ac:dyDescent="0.3">
      <c r="A138" s="16"/>
      <c r="B138" s="95"/>
      <c r="C138" s="20"/>
      <c r="D138" s="20"/>
      <c r="E138" s="20"/>
      <c r="F138" s="20"/>
      <c r="G138" s="20"/>
      <c r="H138" s="20"/>
      <c r="I138" s="20"/>
      <c r="J138" s="20"/>
      <c r="K138" s="20"/>
      <c r="L138" s="20"/>
      <c r="M138" s="20"/>
      <c r="N138" s="20"/>
      <c r="O138" s="20"/>
      <c r="P138" s="20"/>
      <c r="Q138" s="20"/>
      <c r="R138" s="20"/>
      <c r="S138" s="20"/>
      <c r="T138" s="20"/>
      <c r="U138" s="20"/>
      <c r="V138" s="20"/>
      <c r="W138" s="20"/>
      <c r="X138" s="16"/>
      <c r="Y138" s="16"/>
      <c r="Z138" s="16"/>
      <c r="AA138" s="16"/>
      <c r="AB138" s="16"/>
      <c r="AC138" s="16"/>
      <c r="AD138" s="16"/>
      <c r="AE138" s="16"/>
      <c r="AF138" s="16"/>
      <c r="AG138" s="16"/>
      <c r="AH138" s="16"/>
      <c r="AI138" s="16"/>
      <c r="AJ138" s="16"/>
      <c r="AK138" s="16"/>
      <c r="AL138" s="16"/>
      <c r="AM138" s="16"/>
      <c r="AN138" s="16"/>
      <c r="AO138" s="16"/>
      <c r="AP138" s="16"/>
      <c r="AQ138" s="16"/>
      <c r="AR138" s="43"/>
      <c r="AS138" s="2"/>
      <c r="AT138" s="2"/>
      <c r="AU138" s="2"/>
      <c r="AV138" s="2"/>
      <c r="AW138" s="2"/>
      <c r="AX138" s="2"/>
      <c r="AY138" s="2"/>
      <c r="AZ138" s="2"/>
      <c r="BA138" s="2"/>
      <c r="BB138" s="2"/>
      <c r="BC138" s="2"/>
      <c r="BD138" s="2"/>
      <c r="BE138" s="2"/>
      <c r="BF138" s="2"/>
      <c r="BG138" s="2"/>
      <c r="BH138" s="2"/>
      <c r="BI138" s="2"/>
      <c r="BJ138" s="2"/>
      <c r="BK138" s="2"/>
      <c r="BL138" s="43"/>
      <c r="BM138" s="2"/>
      <c r="BN138" s="281"/>
      <c r="BO138" s="281"/>
      <c r="BP138" s="281"/>
      <c r="BQ138" s="281"/>
      <c r="BR138" s="281"/>
      <c r="BS138" s="281"/>
      <c r="BT138" s="2"/>
      <c r="BU138" s="110"/>
      <c r="BV138" s="2"/>
      <c r="BW138" s="110"/>
      <c r="BX138" s="110"/>
      <c r="BY138" s="110"/>
      <c r="BZ138" s="2"/>
      <c r="CA138" s="110"/>
      <c r="CB138" s="2"/>
      <c r="CC138" s="110"/>
      <c r="CD138" s="110"/>
      <c r="CE138" s="110"/>
    </row>
    <row r="139" spans="1:83" ht="12.75" customHeight="1" x14ac:dyDescent="0.3">
      <c r="A139" s="16"/>
      <c r="B139" s="95"/>
      <c r="C139" s="20"/>
      <c r="D139" s="20"/>
      <c r="E139" s="20"/>
      <c r="F139" s="20"/>
      <c r="G139" s="20"/>
      <c r="H139" s="20"/>
      <c r="I139" s="20"/>
      <c r="J139" s="20"/>
      <c r="K139" s="20"/>
      <c r="L139" s="20"/>
      <c r="M139" s="20"/>
      <c r="N139" s="20"/>
      <c r="O139" s="20"/>
      <c r="P139" s="20"/>
      <c r="Q139" s="20"/>
      <c r="R139" s="20"/>
      <c r="S139" s="20"/>
      <c r="T139" s="20"/>
      <c r="U139" s="20"/>
      <c r="V139" s="20"/>
      <c r="W139" s="20"/>
      <c r="X139" s="16"/>
      <c r="Y139" s="16"/>
      <c r="Z139" s="16"/>
      <c r="AA139" s="16"/>
      <c r="AB139" s="16"/>
      <c r="AC139" s="16"/>
      <c r="AD139" s="16"/>
      <c r="AE139" s="16"/>
      <c r="AF139" s="16"/>
      <c r="AG139" s="16"/>
      <c r="AH139" s="16"/>
      <c r="AI139" s="16"/>
      <c r="AJ139" s="16"/>
      <c r="AK139" s="16"/>
      <c r="AL139" s="16"/>
      <c r="AM139" s="16"/>
      <c r="AN139" s="16"/>
      <c r="AO139" s="16"/>
      <c r="AP139" s="16"/>
      <c r="AQ139" s="16"/>
      <c r="AR139" s="43"/>
      <c r="AS139" s="2"/>
      <c r="AT139" s="2"/>
      <c r="AU139" s="2"/>
      <c r="AV139" s="2"/>
      <c r="AW139" s="2"/>
      <c r="AX139" s="2"/>
      <c r="AY139" s="2"/>
      <c r="AZ139" s="2"/>
      <c r="BA139" s="2"/>
      <c r="BB139" s="2"/>
      <c r="BC139" s="2"/>
      <c r="BD139" s="2"/>
      <c r="BE139" s="2"/>
      <c r="BF139" s="2"/>
      <c r="BG139" s="2"/>
      <c r="BH139" s="2"/>
      <c r="BI139" s="2"/>
      <c r="BJ139" s="2"/>
      <c r="BK139" s="2"/>
      <c r="BL139" s="43"/>
      <c r="BM139" s="2"/>
      <c r="BN139" s="281"/>
      <c r="BO139" s="281"/>
      <c r="BP139" s="281"/>
      <c r="BQ139" s="288">
        <f>AM33</f>
        <v>0</v>
      </c>
      <c r="BR139" s="281"/>
      <c r="BS139" s="289">
        <f>IF(AK36&lt;0,"",AK36)</f>
        <v>0</v>
      </c>
      <c r="BT139" s="2"/>
      <c r="BU139" s="110"/>
      <c r="BV139" s="2"/>
      <c r="BW139" s="251">
        <f>AM39</f>
        <v>0</v>
      </c>
      <c r="BX139" s="110"/>
      <c r="BY139" s="135">
        <f>IF(AK42&lt;0,"",AK42)</f>
        <v>0</v>
      </c>
      <c r="BZ139" s="2"/>
      <c r="CA139" s="110"/>
      <c r="CB139" s="2"/>
      <c r="CC139" s="251">
        <f>AM45</f>
        <v>0</v>
      </c>
      <c r="CD139" s="110"/>
      <c r="CE139" s="135">
        <f>IF(AK48&lt;0,"",AK48)</f>
        <v>0</v>
      </c>
    </row>
    <row r="140" spans="1:83" ht="12.75" customHeight="1" x14ac:dyDescent="0.3">
      <c r="A140" s="16"/>
      <c r="B140" s="95"/>
      <c r="C140" s="20"/>
      <c r="D140" s="20"/>
      <c r="E140" s="20"/>
      <c r="F140" s="20"/>
      <c r="G140" s="20"/>
      <c r="H140" s="20"/>
      <c r="I140" s="20"/>
      <c r="J140" s="20"/>
      <c r="K140" s="20"/>
      <c r="L140" s="20"/>
      <c r="M140" s="20"/>
      <c r="N140" s="20"/>
      <c r="O140" s="20"/>
      <c r="P140" s="20"/>
      <c r="Q140" s="20"/>
      <c r="R140" s="20"/>
      <c r="S140" s="20"/>
      <c r="T140" s="20"/>
      <c r="U140" s="20"/>
      <c r="V140" s="20"/>
      <c r="W140" s="20"/>
      <c r="X140" s="16"/>
      <c r="Y140" s="16"/>
      <c r="Z140" s="16"/>
      <c r="AA140" s="16"/>
      <c r="AB140" s="16"/>
      <c r="AC140" s="16"/>
      <c r="AD140" s="16"/>
      <c r="AE140" s="16"/>
      <c r="AF140" s="16"/>
      <c r="AG140" s="16"/>
      <c r="AH140" s="16"/>
      <c r="AI140" s="16"/>
      <c r="AJ140" s="16"/>
      <c r="AK140" s="16"/>
      <c r="AL140" s="16"/>
      <c r="AM140" s="16"/>
      <c r="AN140" s="16"/>
      <c r="AO140" s="16"/>
      <c r="AP140" s="16"/>
      <c r="AQ140" s="16"/>
      <c r="AR140" s="43"/>
      <c r="AS140" s="2"/>
      <c r="AT140" s="2"/>
      <c r="AU140" s="2"/>
      <c r="AV140" s="2"/>
      <c r="AW140" s="2"/>
      <c r="AX140" s="2"/>
      <c r="AY140" s="2"/>
      <c r="AZ140" s="2"/>
      <c r="BA140" s="2"/>
      <c r="BB140" s="2"/>
      <c r="BC140" s="2"/>
      <c r="BD140" s="2"/>
      <c r="BE140" s="2"/>
      <c r="BF140" s="2"/>
      <c r="BG140" s="2"/>
      <c r="BH140" s="2"/>
      <c r="BI140" s="2"/>
      <c r="BJ140" s="2"/>
      <c r="BK140" s="2"/>
      <c r="BL140" s="43"/>
      <c r="BM140" s="2"/>
      <c r="BN140" s="281"/>
      <c r="BO140" s="282">
        <f>AC33</f>
        <v>0</v>
      </c>
      <c r="BP140" s="287">
        <f>IF(AI33&lt;0,"",AI33)</f>
        <v>0</v>
      </c>
      <c r="BQ140" s="281"/>
      <c r="BR140" s="281"/>
      <c r="BS140" s="281"/>
      <c r="BT140" s="2"/>
      <c r="BU140" s="252">
        <f>AC39</f>
        <v>0</v>
      </c>
      <c r="BV140" s="133">
        <f>IF(AI39&lt;0,"",AI39)</f>
        <v>0</v>
      </c>
      <c r="BW140" s="2"/>
      <c r="BX140" s="110"/>
      <c r="BY140" s="110"/>
      <c r="BZ140" s="2"/>
      <c r="CA140" s="252">
        <f>AC45</f>
        <v>0</v>
      </c>
      <c r="CB140" s="133">
        <f>IF(AI45&lt;0,"",AI45)</f>
        <v>0</v>
      </c>
      <c r="CC140" s="2"/>
      <c r="CD140" s="110"/>
      <c r="CE140" s="110"/>
    </row>
    <row r="141" spans="1:83" ht="12.75" customHeight="1" x14ac:dyDescent="0.3">
      <c r="A141" s="16"/>
      <c r="B141" s="95"/>
      <c r="C141" s="20"/>
      <c r="D141" s="20"/>
      <c r="E141" s="20"/>
      <c r="F141" s="20"/>
      <c r="G141" s="20"/>
      <c r="H141" s="20"/>
      <c r="I141" s="20"/>
      <c r="J141" s="20"/>
      <c r="K141" s="20"/>
      <c r="L141" s="20"/>
      <c r="M141" s="20"/>
      <c r="N141" s="20"/>
      <c r="O141" s="20"/>
      <c r="P141" s="20"/>
      <c r="Q141" s="20"/>
      <c r="R141" s="20"/>
      <c r="S141" s="20"/>
      <c r="T141" s="20"/>
      <c r="U141" s="20"/>
      <c r="V141" s="20"/>
      <c r="W141" s="20"/>
      <c r="X141" s="16"/>
      <c r="Y141" s="16"/>
      <c r="Z141" s="16"/>
      <c r="AA141" s="16"/>
      <c r="AB141" s="16"/>
      <c r="AC141" s="16"/>
      <c r="AD141" s="16"/>
      <c r="AE141" s="16"/>
      <c r="AF141" s="16"/>
      <c r="AG141" s="16"/>
      <c r="AH141" s="16"/>
      <c r="AI141" s="16"/>
      <c r="AJ141" s="16"/>
      <c r="AK141" s="16"/>
      <c r="AL141" s="16"/>
      <c r="AM141" s="16"/>
      <c r="AN141" s="16"/>
      <c r="AO141" s="16"/>
      <c r="AP141" s="16"/>
      <c r="AQ141" s="16"/>
      <c r="AR141" s="43"/>
      <c r="AS141" s="2"/>
      <c r="AT141" s="2"/>
      <c r="AU141" s="2"/>
      <c r="AV141" s="2"/>
      <c r="AW141" s="2"/>
      <c r="AX141" s="2"/>
      <c r="AY141" s="2"/>
      <c r="AZ141" s="2"/>
      <c r="BA141" s="2"/>
      <c r="BB141" s="2"/>
      <c r="BC141" s="2"/>
      <c r="BD141" s="2"/>
      <c r="BE141" s="2"/>
      <c r="BF141" s="2"/>
      <c r="BG141" s="2"/>
      <c r="BH141" s="2"/>
      <c r="BI141" s="2"/>
      <c r="BJ141" s="2"/>
      <c r="BK141" s="2"/>
      <c r="BL141" s="43"/>
      <c r="BM141" s="2"/>
      <c r="BN141" s="281"/>
      <c r="BO141" s="290">
        <f>AD33</f>
        <v>0</v>
      </c>
      <c r="BP141" s="281"/>
      <c r="BQ141" s="284" t="s">
        <v>232</v>
      </c>
      <c r="BR141" s="281"/>
      <c r="BS141" s="281"/>
      <c r="BT141" s="2"/>
      <c r="BU141" s="131">
        <f>AD39</f>
        <v>0</v>
      </c>
      <c r="BV141" s="110"/>
      <c r="BW141" s="95" t="s">
        <v>232</v>
      </c>
      <c r="BX141" s="110"/>
      <c r="BY141" s="110"/>
      <c r="BZ141" s="2"/>
      <c r="CA141" s="131">
        <f>AD45</f>
        <v>0</v>
      </c>
      <c r="CB141" s="110"/>
      <c r="CC141" s="95" t="s">
        <v>232</v>
      </c>
      <c r="CD141" s="110"/>
      <c r="CE141" s="110"/>
    </row>
    <row r="142" spans="1:83" ht="12.75" customHeight="1" x14ac:dyDescent="0.3">
      <c r="A142" s="16"/>
      <c r="B142" s="95"/>
      <c r="C142" s="20"/>
      <c r="D142" s="20"/>
      <c r="E142" s="20"/>
      <c r="F142" s="20"/>
      <c r="G142" s="20"/>
      <c r="H142" s="20"/>
      <c r="I142" s="20"/>
      <c r="J142" s="20"/>
      <c r="K142" s="20"/>
      <c r="L142" s="20"/>
      <c r="M142" s="20"/>
      <c r="N142" s="20"/>
      <c r="O142" s="20"/>
      <c r="P142" s="20"/>
      <c r="Q142" s="20"/>
      <c r="R142" s="20"/>
      <c r="S142" s="20"/>
      <c r="T142" s="20"/>
      <c r="U142" s="20"/>
      <c r="V142" s="20"/>
      <c r="W142" s="20"/>
      <c r="X142" s="16"/>
      <c r="Y142" s="16"/>
      <c r="Z142" s="16"/>
      <c r="AA142" s="16"/>
      <c r="AB142" s="16"/>
      <c r="AC142" s="16"/>
      <c r="AD142" s="16"/>
      <c r="AE142" s="16"/>
      <c r="AF142" s="16"/>
      <c r="AG142" s="16"/>
      <c r="AH142" s="16"/>
      <c r="AI142" s="16"/>
      <c r="AJ142" s="16"/>
      <c r="AK142" s="16"/>
      <c r="AL142" s="16"/>
      <c r="AM142" s="16"/>
      <c r="AN142" s="16"/>
      <c r="AO142" s="16"/>
      <c r="AP142" s="16"/>
      <c r="AQ142" s="16"/>
      <c r="AR142" s="43"/>
      <c r="AS142" s="2"/>
      <c r="AT142" s="2"/>
      <c r="AU142" s="2"/>
      <c r="AV142" s="2"/>
      <c r="AW142" s="2"/>
      <c r="AX142" s="2"/>
      <c r="AY142" s="2"/>
      <c r="AZ142" s="2"/>
      <c r="BA142" s="2"/>
      <c r="BB142" s="2"/>
      <c r="BC142" s="2"/>
      <c r="BD142" s="2"/>
      <c r="BE142" s="2"/>
      <c r="BF142" s="2"/>
      <c r="BG142" s="2"/>
      <c r="BH142" s="2"/>
      <c r="BI142" s="2"/>
      <c r="BJ142" s="2"/>
      <c r="BK142" s="2"/>
      <c r="BL142" s="43"/>
      <c r="BM142" s="2"/>
      <c r="BN142" s="285">
        <f>AE33</f>
        <v>0</v>
      </c>
      <c r="BO142" s="281"/>
      <c r="BP142" s="291"/>
      <c r="BQ142" s="93">
        <f>IF(ISERROR(H52),0,H52)</f>
        <v>0</v>
      </c>
      <c r="BR142" s="281"/>
      <c r="BS142" s="281"/>
      <c r="BT142" s="128">
        <f>AE39</f>
        <v>0</v>
      </c>
      <c r="BU142" s="110"/>
      <c r="BV142" s="94"/>
      <c r="BW142" s="93">
        <f>IF(ISERROR(J52),0,J52)</f>
        <v>0</v>
      </c>
      <c r="BX142" s="120"/>
      <c r="BY142" s="110"/>
      <c r="BZ142" s="128">
        <f>AE45</f>
        <v>0</v>
      </c>
      <c r="CA142" s="110"/>
      <c r="CB142" s="94"/>
      <c r="CC142" s="93">
        <f>IF(ISERROR(L52),0,L52)</f>
        <v>0</v>
      </c>
      <c r="CD142" s="120"/>
      <c r="CE142" s="110"/>
    </row>
    <row r="143" spans="1:83" ht="12.75" customHeight="1" x14ac:dyDescent="0.3">
      <c r="A143" s="16"/>
      <c r="B143" s="95"/>
      <c r="C143" s="20"/>
      <c r="D143" s="20"/>
      <c r="E143" s="20"/>
      <c r="F143" s="20"/>
      <c r="G143" s="20"/>
      <c r="H143" s="20"/>
      <c r="I143" s="20"/>
      <c r="J143" s="20"/>
      <c r="K143" s="20"/>
      <c r="L143" s="20"/>
      <c r="M143" s="20"/>
      <c r="N143" s="20"/>
      <c r="O143" s="20"/>
      <c r="P143" s="20"/>
      <c r="Q143" s="20"/>
      <c r="R143" s="20"/>
      <c r="S143" s="20"/>
      <c r="T143" s="20"/>
      <c r="U143" s="20"/>
      <c r="V143" s="20"/>
      <c r="W143" s="20"/>
      <c r="X143" s="16"/>
      <c r="Y143" s="16"/>
      <c r="Z143" s="16"/>
      <c r="AA143" s="16"/>
      <c r="AB143" s="16"/>
      <c r="AC143" s="16"/>
      <c r="AD143" s="16"/>
      <c r="AE143" s="16"/>
      <c r="AF143" s="16"/>
      <c r="AG143" s="16"/>
      <c r="AH143" s="16"/>
      <c r="AI143" s="16"/>
      <c r="AJ143" s="16"/>
      <c r="AK143" s="16"/>
      <c r="AL143" s="16"/>
      <c r="AM143" s="16"/>
      <c r="AN143" s="16"/>
      <c r="AO143" s="16"/>
      <c r="AP143" s="16"/>
      <c r="AQ143" s="16"/>
      <c r="AR143" s="43"/>
      <c r="AS143" s="2"/>
      <c r="AT143" s="2"/>
      <c r="AU143" s="2"/>
      <c r="AV143" s="2"/>
      <c r="AW143" s="2"/>
      <c r="AX143" s="2"/>
      <c r="AY143" s="2"/>
      <c r="AZ143" s="2"/>
      <c r="BA143" s="2"/>
      <c r="BB143" s="2"/>
      <c r="BC143" s="2"/>
      <c r="BD143" s="2"/>
      <c r="BE143" s="2"/>
      <c r="BF143" s="2"/>
      <c r="BG143" s="2"/>
      <c r="BH143" s="2"/>
      <c r="BI143" s="2"/>
      <c r="BJ143" s="2"/>
      <c r="BK143" s="2"/>
      <c r="BL143" s="43"/>
      <c r="BM143" s="2"/>
      <c r="BN143" s="281"/>
      <c r="BO143" s="281"/>
      <c r="BP143" s="292">
        <f>k.w3M.w2M*M.w3M*Molweight</f>
        <v>0</v>
      </c>
      <c r="BQ143" s="281">
        <f>AH33</f>
        <v>0</v>
      </c>
      <c r="BR143" s="281"/>
      <c r="BS143" s="281"/>
      <c r="BT143" s="2"/>
      <c r="BU143" s="110"/>
      <c r="BV143" s="292">
        <f>k.w3A.w2A*M.w3A*Molweight</f>
        <v>0</v>
      </c>
      <c r="BW143" s="2">
        <f>AH39</f>
        <v>0</v>
      </c>
      <c r="BX143" s="110"/>
      <c r="BY143" s="110"/>
      <c r="BZ143" s="2"/>
      <c r="CA143" s="110"/>
      <c r="CB143" s="292">
        <f>k.w3T.w2T*M.w3T*Molweight</f>
        <v>0</v>
      </c>
      <c r="CC143" s="2">
        <f>AH45</f>
        <v>0</v>
      </c>
      <c r="CD143" s="110"/>
      <c r="CE143" s="110"/>
    </row>
    <row r="144" spans="1:83" ht="12.75" customHeight="1" x14ac:dyDescent="0.3">
      <c r="A144" s="16"/>
      <c r="B144" s="95"/>
      <c r="C144" s="20"/>
      <c r="D144" s="20"/>
      <c r="E144" s="20"/>
      <c r="F144" s="20"/>
      <c r="G144" s="20"/>
      <c r="H144" s="20"/>
      <c r="I144" s="20"/>
      <c r="J144" s="20"/>
      <c r="K144" s="20"/>
      <c r="L144" s="20"/>
      <c r="M144" s="20"/>
      <c r="N144" s="20"/>
      <c r="O144" s="20"/>
      <c r="P144" s="20"/>
      <c r="Q144" s="20"/>
      <c r="R144" s="20"/>
      <c r="S144" s="20"/>
      <c r="T144" s="20"/>
      <c r="U144" s="20"/>
      <c r="V144" s="20"/>
      <c r="W144" s="20"/>
      <c r="X144" s="16"/>
      <c r="Y144" s="16"/>
      <c r="Z144" s="16"/>
      <c r="AA144" s="16"/>
      <c r="AB144" s="16"/>
      <c r="AC144" s="16"/>
      <c r="AD144" s="16"/>
      <c r="AE144" s="16"/>
      <c r="AF144" s="16"/>
      <c r="AG144" s="16"/>
      <c r="AH144" s="16"/>
      <c r="AI144" s="16"/>
      <c r="AJ144" s="16"/>
      <c r="AK144" s="16"/>
      <c r="AL144" s="16"/>
      <c r="AM144" s="16"/>
      <c r="AN144" s="16"/>
      <c r="AO144" s="16"/>
      <c r="AP144" s="16"/>
      <c r="AQ144" s="16"/>
      <c r="AR144" s="43"/>
      <c r="AS144" s="2"/>
      <c r="AT144" s="2"/>
      <c r="AU144" s="2"/>
      <c r="AV144" s="2"/>
      <c r="AW144" s="2"/>
      <c r="AX144" s="2"/>
      <c r="AY144" s="2"/>
      <c r="AZ144" s="2"/>
      <c r="BA144" s="2"/>
      <c r="BB144" s="2"/>
      <c r="BC144" s="2"/>
      <c r="BD144" s="2"/>
      <c r="BE144" s="2"/>
      <c r="BF144" s="2"/>
      <c r="BG144" s="2"/>
      <c r="BH144" s="2"/>
      <c r="BI144" s="2"/>
      <c r="BJ144" s="2"/>
      <c r="BK144" s="2"/>
      <c r="BL144" s="43"/>
      <c r="BM144" s="2"/>
      <c r="BN144" s="281"/>
      <c r="BO144" s="281"/>
      <c r="BP144" s="281"/>
      <c r="BQ144" s="281"/>
      <c r="BR144" s="281"/>
      <c r="BS144" s="281"/>
      <c r="BT144" s="2"/>
      <c r="BU144" s="110"/>
      <c r="BV144" s="110"/>
      <c r="BW144" s="2"/>
      <c r="BX144" s="2"/>
      <c r="BY144" s="110"/>
      <c r="BZ144" s="2"/>
      <c r="CA144" s="110"/>
      <c r="CB144" s="110"/>
      <c r="CC144" s="2"/>
      <c r="CD144" s="2"/>
      <c r="CE144" s="110"/>
    </row>
    <row r="145" spans="1:83" ht="12.75" customHeight="1" x14ac:dyDescent="0.3">
      <c r="A145" s="16"/>
      <c r="B145" s="95"/>
      <c r="C145" s="20"/>
      <c r="D145" s="20"/>
      <c r="E145" s="20"/>
      <c r="F145" s="20"/>
      <c r="G145" s="20"/>
      <c r="H145" s="20"/>
      <c r="I145" s="20"/>
      <c r="J145" s="20"/>
      <c r="K145" s="20"/>
      <c r="L145" s="20"/>
      <c r="M145" s="20"/>
      <c r="N145" s="20"/>
      <c r="O145" s="20"/>
      <c r="P145" s="20"/>
      <c r="Q145" s="20"/>
      <c r="R145" s="20"/>
      <c r="S145" s="20"/>
      <c r="T145" s="20"/>
      <c r="U145" s="20"/>
      <c r="V145" s="20"/>
      <c r="W145" s="20"/>
      <c r="X145" s="16"/>
      <c r="Y145" s="16"/>
      <c r="Z145" s="16"/>
      <c r="AA145" s="16"/>
      <c r="AB145" s="16"/>
      <c r="AC145" s="16"/>
      <c r="AD145" s="16"/>
      <c r="AE145" s="16"/>
      <c r="AF145" s="16"/>
      <c r="AG145" s="16"/>
      <c r="AH145" s="16"/>
      <c r="AI145" s="16"/>
      <c r="AJ145" s="16"/>
      <c r="AK145" s="16"/>
      <c r="AL145" s="16"/>
      <c r="AM145" s="16"/>
      <c r="AN145" s="16"/>
      <c r="AO145" s="16"/>
      <c r="AP145" s="16"/>
      <c r="AQ145" s="16"/>
      <c r="AR145" s="43"/>
      <c r="AS145" s="2"/>
      <c r="AT145" s="2"/>
      <c r="AU145" s="2"/>
      <c r="AV145" s="2"/>
      <c r="AW145" s="2"/>
      <c r="AX145" s="2"/>
      <c r="AY145" s="2"/>
      <c r="AZ145" s="2"/>
      <c r="BA145" s="2"/>
      <c r="BB145" s="2"/>
      <c r="BC145" s="2"/>
      <c r="BD145" s="2"/>
      <c r="BE145" s="2"/>
      <c r="BF145" s="2"/>
      <c r="BG145" s="2"/>
      <c r="BH145" s="2"/>
      <c r="BI145" s="2"/>
      <c r="BJ145" s="2"/>
      <c r="BK145" s="2"/>
      <c r="BL145" s="43"/>
      <c r="BM145" s="2"/>
      <c r="BN145" s="281"/>
      <c r="BO145" s="281"/>
      <c r="BP145" s="292">
        <f>k.w2M.w3M*M.w2M*Molweight</f>
        <v>0</v>
      </c>
      <c r="BQ145" s="293"/>
      <c r="BR145" s="281"/>
      <c r="BS145" s="281"/>
      <c r="BT145" s="2"/>
      <c r="BU145" s="110"/>
      <c r="BV145" s="292">
        <f>k.w2A.w3A*M.w2A*Molweight</f>
        <v>0</v>
      </c>
      <c r="BW145" s="75"/>
      <c r="BX145" s="2"/>
      <c r="BY145" s="110"/>
      <c r="BZ145" s="2"/>
      <c r="CA145" s="110"/>
      <c r="CB145" s="292">
        <f>k.w2T.w3T*M.w2T*Molweight</f>
        <v>0</v>
      </c>
      <c r="CC145" s="75"/>
      <c r="CD145" s="2"/>
      <c r="CE145" s="110"/>
    </row>
    <row r="146" spans="1:83" ht="12.75" customHeight="1" x14ac:dyDescent="0.3">
      <c r="A146" s="16"/>
      <c r="B146" s="95"/>
      <c r="C146" s="20"/>
      <c r="D146" s="20"/>
      <c r="E146" s="20"/>
      <c r="F146" s="20"/>
      <c r="G146" s="20"/>
      <c r="H146" s="20"/>
      <c r="I146" s="20"/>
      <c r="J146" s="20"/>
      <c r="K146" s="20"/>
      <c r="L146" s="20"/>
      <c r="M146" s="20"/>
      <c r="N146" s="20"/>
      <c r="O146" s="20"/>
      <c r="P146" s="20"/>
      <c r="Q146" s="20"/>
      <c r="R146" s="20"/>
      <c r="S146" s="20"/>
      <c r="T146" s="20"/>
      <c r="U146" s="20"/>
      <c r="V146" s="20"/>
      <c r="W146" s="20"/>
      <c r="X146" s="16"/>
      <c r="Y146" s="16"/>
      <c r="Z146" s="16"/>
      <c r="AA146" s="16"/>
      <c r="AB146" s="16"/>
      <c r="AC146" s="16"/>
      <c r="AD146" s="16"/>
      <c r="AE146" s="16"/>
      <c r="AF146" s="16"/>
      <c r="AG146" s="16"/>
      <c r="AH146" s="16"/>
      <c r="AI146" s="16"/>
      <c r="AJ146" s="16"/>
      <c r="AK146" s="16"/>
      <c r="AL146" s="16"/>
      <c r="AM146" s="16"/>
      <c r="AN146" s="16"/>
      <c r="AO146" s="16"/>
      <c r="AP146" s="16"/>
      <c r="AQ146" s="16"/>
      <c r="AR146" s="43"/>
      <c r="AS146" s="2"/>
      <c r="AT146" s="2"/>
      <c r="AU146" s="2"/>
      <c r="AV146" s="2"/>
      <c r="AW146" s="2"/>
      <c r="AX146" s="2"/>
      <c r="AY146" s="2"/>
      <c r="AZ146" s="2"/>
      <c r="BA146" s="2"/>
      <c r="BB146" s="2"/>
      <c r="BC146" s="2"/>
      <c r="BD146" s="2"/>
      <c r="BE146" s="2"/>
      <c r="BF146" s="2"/>
      <c r="BG146" s="2"/>
      <c r="BH146" s="2"/>
      <c r="BI146" s="2"/>
      <c r="BJ146" s="2"/>
      <c r="BK146" s="2"/>
      <c r="BL146" s="43"/>
      <c r="BM146" s="2"/>
      <c r="BN146" s="281"/>
      <c r="BO146" s="294"/>
      <c r="BP146" s="281"/>
      <c r="BQ146" s="281"/>
      <c r="BR146" s="281"/>
      <c r="BS146" s="281"/>
      <c r="BT146" s="2"/>
      <c r="BU146" s="139"/>
      <c r="BV146" s="110"/>
      <c r="BW146" s="110"/>
      <c r="BX146" s="110"/>
      <c r="BY146" s="110"/>
      <c r="BZ146" s="2"/>
      <c r="CA146" s="139"/>
      <c r="CB146" s="110"/>
      <c r="CC146" s="110"/>
      <c r="CD146" s="110"/>
      <c r="CE146" s="110"/>
    </row>
    <row r="147" spans="1:83" ht="12.75" customHeight="1" x14ac:dyDescent="0.3">
      <c r="A147" s="16"/>
      <c r="B147" s="95"/>
      <c r="C147" s="35"/>
      <c r="D147" s="35"/>
      <c r="E147" s="35"/>
      <c r="F147" s="35"/>
      <c r="G147" s="35"/>
      <c r="H147" s="35"/>
      <c r="I147" s="35"/>
      <c r="J147" s="35"/>
      <c r="K147" s="35"/>
      <c r="L147" s="35"/>
      <c r="M147" s="35"/>
      <c r="N147" s="35"/>
      <c r="O147" s="35"/>
      <c r="P147" s="35"/>
      <c r="Q147" s="35"/>
      <c r="R147" s="35"/>
      <c r="S147" s="35"/>
      <c r="T147" s="35"/>
      <c r="U147" s="35"/>
      <c r="V147" s="35"/>
      <c r="W147" s="35"/>
      <c r="X147" s="16"/>
      <c r="Y147" s="16"/>
      <c r="Z147" s="16"/>
      <c r="AA147" s="16"/>
      <c r="AB147" s="16"/>
      <c r="AC147" s="16"/>
      <c r="AD147" s="16"/>
      <c r="AE147" s="16"/>
      <c r="AF147" s="16"/>
      <c r="AG147" s="16"/>
      <c r="AH147" s="16"/>
      <c r="AI147" s="16"/>
      <c r="AJ147" s="16"/>
      <c r="AK147" s="16"/>
      <c r="AL147" s="16"/>
      <c r="AM147" s="16"/>
      <c r="AN147" s="16"/>
      <c r="AO147" s="16"/>
      <c r="AP147" s="16"/>
      <c r="AQ147" s="16"/>
      <c r="AR147" s="43"/>
      <c r="AS147" s="2"/>
      <c r="AT147" s="2"/>
      <c r="AU147" s="2"/>
      <c r="AV147" s="2"/>
      <c r="AW147" s="2"/>
      <c r="AX147" s="2"/>
      <c r="AY147" s="2"/>
      <c r="AZ147" s="2"/>
      <c r="BA147" s="2"/>
      <c r="BB147" s="2"/>
      <c r="BC147" s="2"/>
      <c r="BD147" s="2"/>
      <c r="BE147" s="2"/>
      <c r="BF147" s="2"/>
      <c r="BG147" s="2"/>
      <c r="BH147" s="2"/>
      <c r="BI147" s="2"/>
      <c r="BJ147" s="2"/>
      <c r="BK147" s="2"/>
      <c r="BL147" s="43"/>
      <c r="BM147" s="2"/>
      <c r="BN147" s="281"/>
      <c r="BO147" s="281"/>
      <c r="BP147" s="281"/>
      <c r="BQ147" s="284" t="s">
        <v>233</v>
      </c>
      <c r="BR147" s="284" t="s">
        <v>234</v>
      </c>
      <c r="BS147" s="74">
        <f>IF(ISERROR(H92),0,H92)</f>
        <v>0</v>
      </c>
      <c r="BT147" s="2"/>
      <c r="BU147" s="2"/>
      <c r="BV147" s="110"/>
      <c r="BW147" s="95" t="s">
        <v>233</v>
      </c>
      <c r="BX147" s="73" t="s">
        <v>234</v>
      </c>
      <c r="BY147" s="74">
        <f>IF(ISERROR(J92),0,J92)</f>
        <v>0</v>
      </c>
      <c r="BZ147" s="2"/>
      <c r="CA147" s="2"/>
      <c r="CB147" s="110"/>
      <c r="CC147" s="95" t="s">
        <v>233</v>
      </c>
      <c r="CD147" s="73" t="s">
        <v>234</v>
      </c>
      <c r="CE147" s="74">
        <f>IF(ISERROR(L92),0,L92)</f>
        <v>0</v>
      </c>
    </row>
    <row r="148" spans="1:83" ht="12.75" customHeight="1" x14ac:dyDescent="0.3">
      <c r="A148" s="16"/>
      <c r="B148" s="95"/>
      <c r="C148" s="35"/>
      <c r="D148" s="35"/>
      <c r="E148" s="35"/>
      <c r="F148" s="35"/>
      <c r="G148" s="35"/>
      <c r="H148" s="35"/>
      <c r="I148" s="35"/>
      <c r="J148" s="35"/>
      <c r="K148" s="35"/>
      <c r="L148" s="35"/>
      <c r="M148" s="35"/>
      <c r="N148" s="35"/>
      <c r="O148" s="35"/>
      <c r="P148" s="35"/>
      <c r="Q148" s="35"/>
      <c r="R148" s="35"/>
      <c r="S148" s="35"/>
      <c r="T148" s="35"/>
      <c r="U148" s="35"/>
      <c r="V148" s="35"/>
      <c r="W148" s="35"/>
      <c r="X148" s="16"/>
      <c r="Y148" s="16"/>
      <c r="Z148" s="16"/>
      <c r="AA148" s="16"/>
      <c r="AB148" s="16"/>
      <c r="AC148" s="16"/>
      <c r="AD148" s="16"/>
      <c r="AE148" s="16"/>
      <c r="AF148" s="16"/>
      <c r="AG148" s="16"/>
      <c r="AH148" s="16"/>
      <c r="AI148" s="16"/>
      <c r="AJ148" s="16"/>
      <c r="AK148" s="16"/>
      <c r="AL148" s="16"/>
      <c r="AM148" s="16"/>
      <c r="AN148" s="16"/>
      <c r="AO148" s="16"/>
      <c r="AP148" s="16"/>
      <c r="AQ148" s="16"/>
      <c r="AR148" s="43"/>
      <c r="AS148" s="2"/>
      <c r="AT148" s="2"/>
      <c r="AU148" s="2"/>
      <c r="AV148" s="2"/>
      <c r="AW148" s="2"/>
      <c r="AX148" s="2"/>
      <c r="AY148" s="2"/>
      <c r="AZ148" s="2"/>
      <c r="BA148" s="2"/>
      <c r="BB148" s="2"/>
      <c r="BC148" s="2"/>
      <c r="BD148" s="2"/>
      <c r="BE148" s="2"/>
      <c r="BF148" s="2"/>
      <c r="BG148" s="2"/>
      <c r="BH148" s="2"/>
      <c r="BI148" s="2"/>
      <c r="BJ148" s="2"/>
      <c r="BK148" s="2"/>
      <c r="BL148" s="43"/>
      <c r="BM148" s="2"/>
      <c r="BN148" s="285" t="s">
        <v>235</v>
      </c>
      <c r="BO148" s="286">
        <f>AD34</f>
        <v>0</v>
      </c>
      <c r="BP148" s="281"/>
      <c r="BQ148" s="93">
        <f>IF(ISERROR(H60),0,H60)</f>
        <v>0</v>
      </c>
      <c r="BR148" s="281"/>
      <c r="BS148" s="281"/>
      <c r="BT148" s="253" t="s">
        <v>235</v>
      </c>
      <c r="BU148" s="246">
        <f>AD40</f>
        <v>0</v>
      </c>
      <c r="BV148" s="110"/>
      <c r="BW148" s="93">
        <f>IF(ISERROR(J60),0,J60)</f>
        <v>0</v>
      </c>
      <c r="BX148" s="110"/>
      <c r="BY148" s="110"/>
      <c r="BZ148" s="253" t="s">
        <v>235</v>
      </c>
      <c r="CA148" s="246">
        <f>AD46</f>
        <v>0</v>
      </c>
      <c r="CB148" s="110"/>
      <c r="CC148" s="93">
        <f>IF(ISERROR(L60),0,L60)</f>
        <v>0</v>
      </c>
      <c r="CD148" s="110"/>
      <c r="CE148" s="110"/>
    </row>
    <row r="149" spans="1:83" ht="12.75" customHeight="1" x14ac:dyDescent="0.3">
      <c r="A149" s="16"/>
      <c r="B149" s="95"/>
      <c r="C149" s="35"/>
      <c r="D149" s="35"/>
      <c r="E149" s="35"/>
      <c r="F149" s="35"/>
      <c r="G149" s="35"/>
      <c r="H149" s="35"/>
      <c r="I149" s="35"/>
      <c r="J149" s="35"/>
      <c r="K149" s="35"/>
      <c r="L149" s="35"/>
      <c r="M149" s="35"/>
      <c r="N149" s="35"/>
      <c r="O149" s="35"/>
      <c r="P149" s="35"/>
      <c r="Q149" s="35"/>
      <c r="R149" s="35"/>
      <c r="S149" s="35"/>
      <c r="T149" s="35"/>
      <c r="U149" s="35"/>
      <c r="V149" s="35"/>
      <c r="W149" s="35"/>
      <c r="X149" s="16"/>
      <c r="Y149" s="16"/>
      <c r="Z149" s="16"/>
      <c r="AA149" s="16"/>
      <c r="AB149" s="16"/>
      <c r="AC149" s="16"/>
      <c r="AD149" s="16"/>
      <c r="AE149" s="16"/>
      <c r="AF149" s="16"/>
      <c r="AG149" s="16"/>
      <c r="AH149" s="16"/>
      <c r="AI149" s="16"/>
      <c r="AJ149" s="16"/>
      <c r="AK149" s="16"/>
      <c r="AL149" s="16"/>
      <c r="AM149" s="16"/>
      <c r="AN149" s="16"/>
      <c r="AO149" s="16"/>
      <c r="AP149" s="16"/>
      <c r="AQ149" s="16"/>
      <c r="AR149" s="43"/>
      <c r="AS149" s="2"/>
      <c r="AT149" s="2"/>
      <c r="AU149" s="2"/>
      <c r="AV149" s="2"/>
      <c r="AW149" s="2"/>
      <c r="AX149" s="2"/>
      <c r="AY149" s="2"/>
      <c r="AZ149" s="2"/>
      <c r="BA149" s="2"/>
      <c r="BB149" s="2"/>
      <c r="BC149" s="2"/>
      <c r="BD149" s="2"/>
      <c r="BE149" s="2"/>
      <c r="BF149" s="2"/>
      <c r="BG149" s="2"/>
      <c r="BH149" s="2"/>
      <c r="BI149" s="2"/>
      <c r="BJ149" s="2"/>
      <c r="BK149" s="2"/>
      <c r="BL149" s="43"/>
      <c r="BM149" s="2"/>
      <c r="BN149" s="285">
        <f>AE34</f>
        <v>0</v>
      </c>
      <c r="BO149" s="286" t="s">
        <v>235</v>
      </c>
      <c r="BP149" s="281">
        <f>AH34</f>
        <v>0</v>
      </c>
      <c r="BQ149" s="281"/>
      <c r="BR149" s="295"/>
      <c r="BS149" s="281"/>
      <c r="BT149" s="128">
        <f>AE40</f>
        <v>0</v>
      </c>
      <c r="BU149" s="125" t="s">
        <v>235</v>
      </c>
      <c r="BV149" s="52">
        <f>AH40</f>
        <v>0</v>
      </c>
      <c r="BW149" s="2"/>
      <c r="BX149" s="111"/>
      <c r="BY149" s="110"/>
      <c r="BZ149" s="128">
        <f>AE46</f>
        <v>0</v>
      </c>
      <c r="CA149" s="125" t="s">
        <v>235</v>
      </c>
      <c r="CB149" s="52">
        <f>AH46</f>
        <v>0</v>
      </c>
      <c r="CC149" s="2"/>
      <c r="CD149" s="111"/>
      <c r="CE149" s="110"/>
    </row>
    <row r="150" spans="1:83" ht="12.75" customHeight="1" x14ac:dyDescent="0.3">
      <c r="A150" s="16"/>
      <c r="B150" s="95"/>
      <c r="C150" s="35"/>
      <c r="D150" s="35"/>
      <c r="E150" s="35"/>
      <c r="F150" s="35"/>
      <c r="G150" s="35"/>
      <c r="H150" s="35"/>
      <c r="I150" s="35"/>
      <c r="J150" s="35"/>
      <c r="K150" s="35"/>
      <c r="L150" s="35"/>
      <c r="M150" s="35"/>
      <c r="N150" s="35"/>
      <c r="O150" s="35"/>
      <c r="P150" s="35"/>
      <c r="Q150" s="35"/>
      <c r="R150" s="35"/>
      <c r="S150" s="35"/>
      <c r="T150" s="35"/>
      <c r="U150" s="35"/>
      <c r="V150" s="35"/>
      <c r="W150" s="35"/>
      <c r="X150" s="16"/>
      <c r="Y150" s="16"/>
      <c r="Z150" s="16"/>
      <c r="AA150" s="16"/>
      <c r="AB150" s="16"/>
      <c r="AC150" s="16"/>
      <c r="AD150" s="16"/>
      <c r="AE150" s="16"/>
      <c r="AF150" s="16"/>
      <c r="AG150" s="16"/>
      <c r="AH150" s="16"/>
      <c r="AI150" s="16"/>
      <c r="AJ150" s="16"/>
      <c r="AK150" s="16"/>
      <c r="AL150" s="16"/>
      <c r="AM150" s="16"/>
      <c r="AN150" s="16"/>
      <c r="AO150" s="16"/>
      <c r="AP150" s="16"/>
      <c r="AQ150" s="16"/>
      <c r="AR150" s="43"/>
      <c r="AS150" s="2"/>
      <c r="AT150" s="2"/>
      <c r="AU150" s="2"/>
      <c r="AV150" s="2"/>
      <c r="AW150" s="2"/>
      <c r="AX150" s="2"/>
      <c r="AY150" s="2"/>
      <c r="AZ150" s="2"/>
      <c r="BA150" s="2"/>
      <c r="BB150" s="2"/>
      <c r="BC150" s="2"/>
      <c r="BD150" s="2"/>
      <c r="BE150" s="2"/>
      <c r="BF150" s="2"/>
      <c r="BG150" s="2"/>
      <c r="BH150" s="2"/>
      <c r="BI150" s="2"/>
      <c r="BJ150" s="2"/>
      <c r="BK150" s="2"/>
      <c r="BL150" s="43"/>
      <c r="BM150" s="2"/>
      <c r="BN150" s="281"/>
      <c r="BO150" s="281"/>
      <c r="BP150" s="281"/>
      <c r="BQ150" s="287">
        <f>k.sdM.w3M*M.sdM*Molweight</f>
        <v>0</v>
      </c>
      <c r="BR150" s="281">
        <f>AH36</f>
        <v>0</v>
      </c>
      <c r="BS150" s="281"/>
      <c r="BT150" s="2"/>
      <c r="BU150" s="110"/>
      <c r="BV150" s="110"/>
      <c r="BW150" s="287">
        <f>k.sdA.w3A*M.sdA*Molweight</f>
        <v>0</v>
      </c>
      <c r="BX150" s="52">
        <f>AK42</f>
        <v>0</v>
      </c>
      <c r="BY150" s="110"/>
      <c r="BZ150" s="2"/>
      <c r="CA150" s="110"/>
      <c r="CB150" s="110"/>
      <c r="CC150" s="287">
        <f>k.sdT.w3T*M.sdT*Molweight</f>
        <v>0</v>
      </c>
      <c r="CD150" s="52">
        <f>AH48</f>
        <v>0</v>
      </c>
      <c r="CE150" s="110"/>
    </row>
    <row r="151" spans="1:83" ht="12.75" customHeight="1" x14ac:dyDescent="0.3">
      <c r="A151" s="16"/>
      <c r="B151" s="95"/>
      <c r="C151" s="35"/>
      <c r="D151" s="35"/>
      <c r="E151" s="35"/>
      <c r="F151" s="35"/>
      <c r="G151" s="35"/>
      <c r="H151" s="35"/>
      <c r="I151" s="35"/>
      <c r="J151" s="35"/>
      <c r="K151" s="35"/>
      <c r="L151" s="35"/>
      <c r="M151" s="35"/>
      <c r="N151" s="35"/>
      <c r="O151" s="35"/>
      <c r="P151" s="35"/>
      <c r="Q151" s="35"/>
      <c r="R151" s="35"/>
      <c r="S151" s="35"/>
      <c r="T151" s="35"/>
      <c r="U151" s="35"/>
      <c r="V151" s="35"/>
      <c r="W151" s="35"/>
      <c r="X151" s="16"/>
      <c r="Y151" s="16"/>
      <c r="Z151" s="16"/>
      <c r="AA151" s="16"/>
      <c r="AB151" s="16"/>
      <c r="AC151" s="16"/>
      <c r="AD151" s="16"/>
      <c r="AE151" s="16"/>
      <c r="AF151" s="16"/>
      <c r="AG151" s="16"/>
      <c r="AH151" s="16"/>
      <c r="AI151" s="16"/>
      <c r="AJ151" s="16"/>
      <c r="AK151" s="16"/>
      <c r="AL151" s="16"/>
      <c r="AM151" s="16"/>
      <c r="AN151" s="16"/>
      <c r="AO151" s="16"/>
      <c r="AP151" s="16"/>
      <c r="AQ151" s="16"/>
      <c r="AR151" s="43"/>
      <c r="AS151" s="2"/>
      <c r="AT151" s="2"/>
      <c r="AU151" s="2"/>
      <c r="AV151" s="2"/>
      <c r="AW151" s="2"/>
      <c r="AX151" s="2"/>
      <c r="AY151" s="2"/>
      <c r="AZ151" s="2"/>
      <c r="BA151" s="2"/>
      <c r="BB151" s="2"/>
      <c r="BC151" s="2"/>
      <c r="BD151" s="2"/>
      <c r="BE151" s="2"/>
      <c r="BF151" s="2"/>
      <c r="BG151" s="2"/>
      <c r="BH151" s="2"/>
      <c r="BI151" s="2"/>
      <c r="BJ151" s="2"/>
      <c r="BK151" s="2"/>
      <c r="BL151" s="43"/>
      <c r="BM151" s="2"/>
      <c r="BN151" s="281"/>
      <c r="BO151" s="281"/>
      <c r="BP151" s="281"/>
      <c r="BQ151" s="281"/>
      <c r="BR151" s="281"/>
      <c r="BS151" s="281"/>
      <c r="BT151" s="2"/>
      <c r="BU151" s="110"/>
      <c r="BV151" s="2"/>
      <c r="BW151" s="110"/>
      <c r="BX151" s="2"/>
      <c r="BY151" s="110"/>
      <c r="BZ151" s="2"/>
      <c r="CA151" s="110"/>
      <c r="CB151" s="2"/>
      <c r="CC151" s="110"/>
      <c r="CD151" s="2"/>
      <c r="CE151" s="110"/>
    </row>
    <row r="152" spans="1:83" ht="12.75" customHeight="1" x14ac:dyDescent="0.3">
      <c r="A152" s="16"/>
      <c r="B152" s="95"/>
      <c r="C152" s="35"/>
      <c r="D152" s="35"/>
      <c r="E152" s="35"/>
      <c r="F152" s="35"/>
      <c r="G152" s="35"/>
      <c r="H152" s="35"/>
      <c r="I152" s="35"/>
      <c r="J152" s="35"/>
      <c r="K152" s="35"/>
      <c r="L152" s="35"/>
      <c r="M152" s="35"/>
      <c r="N152" s="35"/>
      <c r="O152" s="35"/>
      <c r="P152" s="35"/>
      <c r="Q152" s="35"/>
      <c r="R152" s="35"/>
      <c r="S152" s="35"/>
      <c r="T152" s="35"/>
      <c r="U152" s="35"/>
      <c r="V152" s="35"/>
      <c r="W152" s="35"/>
      <c r="X152" s="16"/>
      <c r="Y152" s="16"/>
      <c r="Z152" s="16"/>
      <c r="AA152" s="16"/>
      <c r="AB152" s="16"/>
      <c r="AC152" s="16"/>
      <c r="AD152" s="16"/>
      <c r="AE152" s="16"/>
      <c r="AF152" s="16"/>
      <c r="AG152" s="16"/>
      <c r="AH152" s="16"/>
      <c r="AI152" s="16"/>
      <c r="AJ152" s="16"/>
      <c r="AK152" s="16"/>
      <c r="AL152" s="16"/>
      <c r="AM152" s="16"/>
      <c r="AN152" s="16"/>
      <c r="AO152" s="16"/>
      <c r="AP152" s="16"/>
      <c r="AQ152" s="16"/>
      <c r="AR152" s="43"/>
      <c r="AS152" s="2"/>
      <c r="AT152" s="2"/>
      <c r="AU152" s="2"/>
      <c r="AV152" s="2"/>
      <c r="AW152" s="2"/>
      <c r="AX152" s="2"/>
      <c r="AY152" s="2"/>
      <c r="AZ152" s="2"/>
      <c r="BA152" s="2"/>
      <c r="BB152" s="2"/>
      <c r="BC152" s="2"/>
      <c r="BD152" s="2"/>
      <c r="BE152" s="2"/>
      <c r="BF152" s="2"/>
      <c r="BG152" s="2"/>
      <c r="BH152" s="2"/>
      <c r="BI152" s="2"/>
      <c r="BJ152" s="2"/>
      <c r="BK152" s="2"/>
      <c r="BL152" s="43"/>
      <c r="BM152" s="2"/>
      <c r="BN152" s="281"/>
      <c r="BO152" s="281"/>
      <c r="BP152" s="281"/>
      <c r="BQ152" s="281"/>
      <c r="BR152" s="293"/>
      <c r="BS152" s="281"/>
      <c r="BT152" s="2"/>
      <c r="BU152" s="110"/>
      <c r="BV152" s="110"/>
      <c r="BW152" s="110"/>
      <c r="BX152" s="75"/>
      <c r="BY152" s="110"/>
      <c r="BZ152" s="2"/>
      <c r="CA152" s="110"/>
      <c r="CB152" s="110"/>
      <c r="CC152" s="110"/>
      <c r="CD152" s="75"/>
      <c r="CE152" s="110"/>
    </row>
    <row r="153" spans="1:83" ht="12.75" customHeight="1" x14ac:dyDescent="0.3">
      <c r="A153" s="16"/>
      <c r="B153" s="95"/>
      <c r="C153" s="35"/>
      <c r="D153" s="35"/>
      <c r="E153" s="35"/>
      <c r="F153" s="35"/>
      <c r="G153" s="35"/>
      <c r="H153" s="35"/>
      <c r="I153" s="35"/>
      <c r="J153" s="35"/>
      <c r="K153" s="35"/>
      <c r="L153" s="35"/>
      <c r="M153" s="35"/>
      <c r="N153" s="35"/>
      <c r="O153" s="35"/>
      <c r="P153" s="35"/>
      <c r="Q153" s="35"/>
      <c r="R153" s="35"/>
      <c r="S153" s="35"/>
      <c r="T153" s="35"/>
      <c r="U153" s="35"/>
      <c r="V153" s="35"/>
      <c r="W153" s="35"/>
      <c r="X153" s="16"/>
      <c r="Y153" s="16"/>
      <c r="Z153" s="16"/>
      <c r="AA153" s="16"/>
      <c r="AB153" s="16"/>
      <c r="AC153" s="16"/>
      <c r="AD153" s="16"/>
      <c r="AE153" s="16"/>
      <c r="AF153" s="16"/>
      <c r="AG153" s="16"/>
      <c r="AH153" s="16"/>
      <c r="AI153" s="16"/>
      <c r="AJ153" s="16"/>
      <c r="AK153" s="16"/>
      <c r="AL153" s="16"/>
      <c r="AM153" s="16"/>
      <c r="AN153" s="16"/>
      <c r="AO153" s="16"/>
      <c r="AP153" s="16"/>
      <c r="AQ153" s="16"/>
      <c r="AR153" s="43"/>
      <c r="AS153" s="2"/>
      <c r="AT153" s="2"/>
      <c r="AU153" s="2"/>
      <c r="AV153" s="2"/>
      <c r="AW153" s="2"/>
      <c r="AX153" s="2"/>
      <c r="AY153" s="2"/>
      <c r="AZ153" s="2"/>
      <c r="BA153" s="2"/>
      <c r="BB153" s="2"/>
      <c r="BC153" s="2"/>
      <c r="BD153" s="2"/>
      <c r="BE153" s="2"/>
      <c r="BF153" s="2"/>
      <c r="BG153" s="2"/>
      <c r="BH153" s="2"/>
      <c r="BI153" s="2"/>
      <c r="BJ153" s="2"/>
      <c r="BK153" s="2"/>
      <c r="BL153" s="43"/>
      <c r="BM153" s="2"/>
      <c r="BN153" s="281"/>
      <c r="BO153" s="281"/>
      <c r="BP153" s="281"/>
      <c r="BQ153" s="287">
        <f>IF(AN35&lt;0,"",AN35)</f>
        <v>0</v>
      </c>
      <c r="BR153" s="282">
        <f>AC36</f>
        <v>0</v>
      </c>
      <c r="BS153" s="281"/>
      <c r="BT153" s="2"/>
      <c r="BU153" s="110"/>
      <c r="BV153" s="110"/>
      <c r="BW153" s="133">
        <f>IF(AN41&lt;0,"",AN41)</f>
        <v>0</v>
      </c>
      <c r="BX153" s="252">
        <f>AC42</f>
        <v>0</v>
      </c>
      <c r="BY153" s="110"/>
      <c r="BZ153" s="2"/>
      <c r="CA153" s="110"/>
      <c r="CB153" s="110"/>
      <c r="CC153" s="133">
        <f>IF(AN47&lt;0,"",AN47)</f>
        <v>0</v>
      </c>
      <c r="CD153" s="252">
        <f>AC48</f>
        <v>0</v>
      </c>
      <c r="CE153" s="110"/>
    </row>
    <row r="154" spans="1:83" ht="12.75" customHeight="1" x14ac:dyDescent="0.3">
      <c r="A154" s="16"/>
      <c r="B154" s="95"/>
      <c r="C154" s="35"/>
      <c r="D154" s="35"/>
      <c r="E154" s="35"/>
      <c r="F154" s="35"/>
      <c r="G154" s="35"/>
      <c r="H154" s="35"/>
      <c r="I154" s="35"/>
      <c r="J154" s="35"/>
      <c r="K154" s="35"/>
      <c r="L154" s="35"/>
      <c r="M154" s="35"/>
      <c r="N154" s="35"/>
      <c r="O154" s="35"/>
      <c r="P154" s="35"/>
      <c r="Q154" s="35"/>
      <c r="R154" s="35"/>
      <c r="S154" s="35"/>
      <c r="T154" s="35"/>
      <c r="U154" s="35"/>
      <c r="V154" s="35"/>
      <c r="W154" s="35"/>
      <c r="X154" s="16"/>
      <c r="Y154" s="16"/>
      <c r="Z154" s="16"/>
      <c r="AA154" s="16"/>
      <c r="AB154" s="16"/>
      <c r="AC154" s="16"/>
      <c r="AD154" s="16"/>
      <c r="AE154" s="16"/>
      <c r="AF154" s="16"/>
      <c r="AG154" s="16"/>
      <c r="AH154" s="16"/>
      <c r="AI154" s="16"/>
      <c r="AJ154" s="16"/>
      <c r="AK154" s="16"/>
      <c r="AL154" s="16"/>
      <c r="AM154" s="16"/>
      <c r="AN154" s="16"/>
      <c r="AO154" s="16"/>
      <c r="AP154" s="16"/>
      <c r="AQ154" s="16"/>
      <c r="AR154" s="43"/>
      <c r="AS154" s="2"/>
      <c r="AT154" s="2"/>
      <c r="AU154" s="2"/>
      <c r="AV154" s="2"/>
      <c r="AW154" s="2"/>
      <c r="AX154" s="2"/>
      <c r="AY154" s="2"/>
      <c r="AZ154" s="2"/>
      <c r="BA154" s="2"/>
      <c r="BB154" s="2"/>
      <c r="BC154" s="2"/>
      <c r="BD154" s="2"/>
      <c r="BE154" s="2"/>
      <c r="BF154" s="2"/>
      <c r="BG154" s="2"/>
      <c r="BH154" s="2"/>
      <c r="BI154" s="2"/>
      <c r="BJ154" s="2"/>
      <c r="BK154" s="2"/>
      <c r="BL154" s="43"/>
      <c r="BM154" s="2"/>
      <c r="BN154" s="281"/>
      <c r="BO154" s="281"/>
      <c r="BP154" s="284" t="s">
        <v>184</v>
      </c>
      <c r="BQ154" s="281"/>
      <c r="BR154" s="281"/>
      <c r="BS154" s="281"/>
      <c r="BT154" s="2"/>
      <c r="BU154" s="110"/>
      <c r="BV154" s="73" t="s">
        <v>184</v>
      </c>
      <c r="BW154" s="2"/>
      <c r="BX154" s="110"/>
      <c r="BY154" s="110"/>
      <c r="BZ154" s="2"/>
      <c r="CA154" s="110"/>
      <c r="CB154" s="73" t="s">
        <v>184</v>
      </c>
      <c r="CC154" s="2"/>
      <c r="CD154" s="110"/>
      <c r="CE154" s="110"/>
    </row>
    <row r="155" spans="1:83" ht="12.75" customHeight="1" x14ac:dyDescent="0.3">
      <c r="A155" s="16"/>
      <c r="B155" s="95"/>
      <c r="C155" s="35"/>
      <c r="D155" s="35"/>
      <c r="E155" s="35"/>
      <c r="F155" s="35"/>
      <c r="G155" s="35"/>
      <c r="H155" s="35"/>
      <c r="I155" s="35"/>
      <c r="J155" s="35"/>
      <c r="K155" s="35"/>
      <c r="L155" s="35"/>
      <c r="M155" s="35"/>
      <c r="N155" s="35"/>
      <c r="O155" s="35"/>
      <c r="P155" s="35"/>
      <c r="Q155" s="35"/>
      <c r="R155" s="35"/>
      <c r="S155" s="35"/>
      <c r="T155" s="35"/>
      <c r="U155" s="35"/>
      <c r="V155" s="35"/>
      <c r="W155" s="35"/>
      <c r="X155" s="16"/>
      <c r="Y155" s="16"/>
      <c r="Z155" s="16"/>
      <c r="AA155" s="16"/>
      <c r="AB155" s="16"/>
      <c r="AC155" s="16"/>
      <c r="AD155" s="16"/>
      <c r="AE155" s="16"/>
      <c r="AF155" s="16"/>
      <c r="AG155" s="16"/>
      <c r="AH155" s="16"/>
      <c r="AI155" s="16"/>
      <c r="AJ155" s="16"/>
      <c r="AK155" s="16"/>
      <c r="AL155" s="16"/>
      <c r="AM155" s="16"/>
      <c r="AN155" s="16"/>
      <c r="AO155" s="16"/>
      <c r="AP155" s="16"/>
      <c r="AQ155" s="16"/>
      <c r="AR155" s="43"/>
      <c r="AS155" s="2"/>
      <c r="AT155" s="2"/>
      <c r="AU155" s="2"/>
      <c r="AV155" s="2"/>
      <c r="AW155" s="2"/>
      <c r="AX155" s="2"/>
      <c r="AY155" s="2"/>
      <c r="AZ155" s="2"/>
      <c r="BA155" s="2"/>
      <c r="BB155" s="2"/>
      <c r="BC155" s="2"/>
      <c r="BD155" s="2"/>
      <c r="BE155" s="2"/>
      <c r="BF155" s="2"/>
      <c r="BG155" s="2"/>
      <c r="BH155" s="2"/>
      <c r="BI155" s="2"/>
      <c r="BJ155" s="2"/>
      <c r="BK155" s="2"/>
      <c r="BL155" s="43"/>
      <c r="BM155" s="2"/>
      <c r="BN155" s="281"/>
      <c r="BO155" s="281"/>
      <c r="BP155" s="93">
        <f>IF(ISERROR(H68),0,H68)</f>
        <v>0</v>
      </c>
      <c r="BQ155" s="281"/>
      <c r="BR155" s="281"/>
      <c r="BS155" s="281"/>
      <c r="BT155" s="2"/>
      <c r="BU155" s="2"/>
      <c r="BV155" s="93">
        <f>IF(ISERROR(J68),0,J68)</f>
        <v>0</v>
      </c>
      <c r="BW155" s="2"/>
      <c r="BX155" s="110"/>
      <c r="BY155" s="110"/>
      <c r="BZ155" s="2"/>
      <c r="CA155" s="2"/>
      <c r="CB155" s="93">
        <f>IF(ISERROR(L68),0,L68)</f>
        <v>0</v>
      </c>
      <c r="CC155" s="2"/>
      <c r="CD155" s="110"/>
      <c r="CE155" s="110"/>
    </row>
    <row r="156" spans="1:83" ht="12.75" customHeight="1" x14ac:dyDescent="0.3">
      <c r="A156" s="16"/>
      <c r="B156" s="95"/>
      <c r="C156" s="35"/>
      <c r="D156" s="35"/>
      <c r="E156" s="35"/>
      <c r="F156" s="35"/>
      <c r="G156" s="35"/>
      <c r="H156" s="35"/>
      <c r="I156" s="35"/>
      <c r="J156" s="35"/>
      <c r="K156" s="35"/>
      <c r="L156" s="35"/>
      <c r="M156" s="35"/>
      <c r="N156" s="35"/>
      <c r="O156" s="35"/>
      <c r="P156" s="35"/>
      <c r="Q156" s="35"/>
      <c r="R156" s="35"/>
      <c r="S156" s="35"/>
      <c r="T156" s="35"/>
      <c r="U156" s="35"/>
      <c r="V156" s="35"/>
      <c r="W156" s="35"/>
      <c r="X156" s="16"/>
      <c r="Y156" s="16"/>
      <c r="Z156" s="16"/>
      <c r="AA156" s="16"/>
      <c r="AB156" s="16"/>
      <c r="AC156" s="16"/>
      <c r="AD156" s="16"/>
      <c r="AE156" s="16"/>
      <c r="AF156" s="16"/>
      <c r="AG156" s="16"/>
      <c r="AH156" s="16"/>
      <c r="AI156" s="16"/>
      <c r="AJ156" s="16"/>
      <c r="AK156" s="16"/>
      <c r="AL156" s="16"/>
      <c r="AM156" s="16"/>
      <c r="AN156" s="16"/>
      <c r="AO156" s="16"/>
      <c r="AP156" s="16"/>
      <c r="AQ156" s="16"/>
      <c r="AR156" s="43"/>
      <c r="AS156" s="2"/>
      <c r="AT156" s="2"/>
      <c r="AU156" s="2"/>
      <c r="AV156" s="2"/>
      <c r="AW156" s="2"/>
      <c r="AX156" s="2"/>
      <c r="AY156" s="2"/>
      <c r="AZ156" s="2"/>
      <c r="BA156" s="2"/>
      <c r="BB156" s="2"/>
      <c r="BC156" s="2"/>
      <c r="BD156" s="2"/>
      <c r="BE156" s="2"/>
      <c r="BF156" s="2"/>
      <c r="BG156" s="2"/>
      <c r="BH156" s="2"/>
      <c r="BI156" s="2"/>
      <c r="BJ156" s="2"/>
      <c r="BK156" s="2"/>
      <c r="BL156" s="43"/>
      <c r="BM156" s="2"/>
      <c r="BN156" s="281"/>
      <c r="BO156" s="281">
        <f>AH35</f>
        <v>0</v>
      </c>
      <c r="BP156" s="281"/>
      <c r="BQ156" s="281"/>
      <c r="BR156" s="281"/>
      <c r="BS156" s="281"/>
      <c r="BT156" s="2"/>
      <c r="BU156" s="52">
        <f>AH41</f>
        <v>0</v>
      </c>
      <c r="BV156" s="110"/>
      <c r="BW156" s="110"/>
      <c r="BX156" s="110"/>
      <c r="BY156" s="110"/>
      <c r="BZ156" s="2"/>
      <c r="CA156" s="52">
        <f>AH47</f>
        <v>0</v>
      </c>
      <c r="CB156" s="110"/>
      <c r="CC156" s="110"/>
      <c r="CD156" s="110"/>
      <c r="CE156" s="110"/>
    </row>
    <row r="157" spans="1:83" ht="12.75" customHeight="1" x14ac:dyDescent="0.3">
      <c r="A157" s="16"/>
      <c r="B157" s="95"/>
      <c r="C157" s="35"/>
      <c r="D157" s="35"/>
      <c r="E157" s="35"/>
      <c r="F157" s="35"/>
      <c r="G157" s="35"/>
      <c r="H157" s="35"/>
      <c r="I157" s="35"/>
      <c r="J157" s="35"/>
      <c r="K157" s="35"/>
      <c r="L157" s="35"/>
      <c r="M157" s="35"/>
      <c r="N157" s="35"/>
      <c r="O157" s="35"/>
      <c r="P157" s="35"/>
      <c r="Q157" s="35"/>
      <c r="R157" s="35"/>
      <c r="S157" s="35"/>
      <c r="T157" s="35"/>
      <c r="U157" s="35"/>
      <c r="V157" s="35"/>
      <c r="W157" s="35"/>
      <c r="X157" s="16"/>
      <c r="Y157" s="16"/>
      <c r="Z157" s="16"/>
      <c r="AA157" s="16"/>
      <c r="AB157" s="16"/>
      <c r="AC157" s="16"/>
      <c r="AD157" s="16"/>
      <c r="AE157" s="16"/>
      <c r="AF157" s="16"/>
      <c r="AG157" s="16"/>
      <c r="AH157" s="16"/>
      <c r="AI157" s="16"/>
      <c r="AJ157" s="16"/>
      <c r="AK157" s="16"/>
      <c r="AL157" s="16"/>
      <c r="AM157" s="16"/>
      <c r="AN157" s="16"/>
      <c r="AO157" s="16"/>
      <c r="AP157" s="16"/>
      <c r="AQ157" s="16"/>
      <c r="AR157" s="43"/>
      <c r="AS157" s="2"/>
      <c r="AT157" s="2"/>
      <c r="AU157" s="2"/>
      <c r="AV157" s="2"/>
      <c r="AW157" s="2"/>
      <c r="AX157" s="2"/>
      <c r="AY157" s="2"/>
      <c r="AZ157" s="2"/>
      <c r="BA157" s="2"/>
      <c r="BB157" s="2"/>
      <c r="BC157" s="2"/>
      <c r="BD157" s="2"/>
      <c r="BE157" s="2"/>
      <c r="BF157" s="2"/>
      <c r="BG157" s="2"/>
      <c r="BH157" s="2"/>
      <c r="BI157" s="2"/>
      <c r="BJ157" s="2"/>
      <c r="BK157" s="2"/>
      <c r="BL157" s="43"/>
      <c r="BM157" s="2"/>
      <c r="BN157" s="281"/>
      <c r="BO157" s="281"/>
      <c r="BP157" s="281"/>
      <c r="BQ157" s="281"/>
      <c r="BR157" s="281"/>
      <c r="BS157" s="281"/>
      <c r="BT157" s="2"/>
      <c r="BU157" s="2"/>
      <c r="BV157" s="110"/>
      <c r="BW157" s="110"/>
      <c r="BX157" s="110"/>
      <c r="BY157" s="110"/>
      <c r="BZ157" s="2"/>
      <c r="CA157" s="2"/>
      <c r="CB157" s="110"/>
      <c r="CC157" s="110"/>
      <c r="CD157" s="110"/>
      <c r="CE157" s="110"/>
    </row>
    <row r="158" spans="1:83" ht="12.75" customHeight="1" x14ac:dyDescent="0.3">
      <c r="A158" s="16"/>
      <c r="B158" s="95"/>
      <c r="C158" s="35"/>
      <c r="D158" s="35"/>
      <c r="E158" s="35"/>
      <c r="F158" s="35"/>
      <c r="G158" s="35"/>
      <c r="H158" s="35"/>
      <c r="I158" s="35"/>
      <c r="J158" s="35"/>
      <c r="K158" s="35"/>
      <c r="L158" s="35"/>
      <c r="M158" s="35"/>
      <c r="N158" s="35"/>
      <c r="O158" s="35"/>
      <c r="P158" s="35"/>
      <c r="Q158" s="35"/>
      <c r="R158" s="35"/>
      <c r="S158" s="35"/>
      <c r="T158" s="35"/>
      <c r="U158" s="35"/>
      <c r="V158" s="35"/>
      <c r="W158" s="35"/>
      <c r="X158" s="16"/>
      <c r="Y158" s="16"/>
      <c r="Z158" s="16"/>
      <c r="AA158" s="16"/>
      <c r="AB158" s="16"/>
      <c r="AC158" s="16"/>
      <c r="AD158" s="16"/>
      <c r="AE158" s="16"/>
      <c r="AF158" s="16"/>
      <c r="AG158" s="16"/>
      <c r="AH158" s="16"/>
      <c r="AI158" s="16"/>
      <c r="AJ158" s="16"/>
      <c r="AK158" s="16"/>
      <c r="AL158" s="16"/>
      <c r="AM158" s="16"/>
      <c r="AN158" s="16"/>
      <c r="AO158" s="16"/>
      <c r="AP158" s="16"/>
      <c r="AQ158" s="16"/>
      <c r="AR158" s="43"/>
      <c r="AS158" s="2"/>
      <c r="AT158" s="2"/>
      <c r="AU158" s="2"/>
      <c r="AV158" s="2"/>
      <c r="AW158" s="2"/>
      <c r="AX158" s="2"/>
      <c r="AY158" s="2"/>
      <c r="AZ158" s="2"/>
      <c r="BA158" s="2"/>
      <c r="BB158" s="2"/>
      <c r="BC158" s="2"/>
      <c r="BD158" s="2"/>
      <c r="BE158" s="2"/>
      <c r="BF158" s="2"/>
      <c r="BG158" s="2"/>
      <c r="BH158" s="2"/>
      <c r="BI158" s="2"/>
      <c r="BJ158" s="2"/>
      <c r="BK158" s="2"/>
      <c r="BL158" s="43"/>
      <c r="BM158" s="2"/>
      <c r="BN158" s="281"/>
      <c r="BO158" s="281"/>
      <c r="BP158" s="281"/>
      <c r="BQ158" s="281"/>
      <c r="BR158" s="281"/>
      <c r="BS158" s="281"/>
      <c r="BT158" s="2"/>
      <c r="BU158" s="2"/>
      <c r="BV158" s="2"/>
      <c r="BW158" s="2"/>
      <c r="BX158" s="2"/>
      <c r="BY158" s="2"/>
      <c r="BZ158" s="2"/>
      <c r="CA158" s="2"/>
      <c r="CB158" s="2"/>
      <c r="CC158" s="2"/>
      <c r="CD158" s="2"/>
      <c r="CE158" s="2"/>
    </row>
    <row r="159" spans="1:83" ht="12.75" customHeight="1" x14ac:dyDescent="0.3">
      <c r="A159" s="16"/>
      <c r="B159" s="95"/>
      <c r="C159" s="35"/>
      <c r="D159" s="35"/>
      <c r="E159" s="35"/>
      <c r="F159" s="35"/>
      <c r="G159" s="35"/>
      <c r="H159" s="35"/>
      <c r="I159" s="35"/>
      <c r="J159" s="35"/>
      <c r="K159" s="35"/>
      <c r="L159" s="35"/>
      <c r="M159" s="35"/>
      <c r="N159" s="35"/>
      <c r="O159" s="35"/>
      <c r="P159" s="35"/>
      <c r="Q159" s="35"/>
      <c r="R159" s="35"/>
      <c r="S159" s="35"/>
      <c r="T159" s="35"/>
      <c r="U159" s="35"/>
      <c r="V159" s="35"/>
      <c r="W159" s="35"/>
      <c r="X159" s="16"/>
      <c r="Y159" s="16"/>
      <c r="Z159" s="16"/>
      <c r="AA159" s="16"/>
      <c r="AB159" s="16"/>
      <c r="AC159" s="16"/>
      <c r="AD159" s="16"/>
      <c r="AE159" s="16"/>
      <c r="AF159" s="16"/>
      <c r="AG159" s="16"/>
      <c r="AH159" s="16"/>
      <c r="AI159" s="16"/>
      <c r="AJ159" s="16"/>
      <c r="AK159" s="16"/>
      <c r="AL159" s="16"/>
      <c r="AM159" s="16"/>
      <c r="AN159" s="16"/>
      <c r="AO159" s="16"/>
      <c r="AP159" s="16"/>
      <c r="AQ159" s="16"/>
      <c r="AR159" s="43"/>
      <c r="AS159" s="2"/>
      <c r="AT159" s="2"/>
      <c r="AU159" s="2"/>
      <c r="AV159" s="2"/>
      <c r="AW159" s="2"/>
      <c r="AX159" s="2"/>
      <c r="AY159" s="2"/>
      <c r="AZ159" s="2"/>
      <c r="BA159" s="2"/>
      <c r="BB159" s="2"/>
      <c r="BC159" s="2"/>
      <c r="BD159" s="2"/>
      <c r="BE159" s="2"/>
      <c r="BF159" s="2"/>
      <c r="BG159" s="2"/>
      <c r="BH159" s="2"/>
      <c r="BI159" s="2"/>
      <c r="BJ159" s="2"/>
      <c r="BK159" s="2"/>
      <c r="BL159" s="43"/>
      <c r="BM159" s="2"/>
      <c r="BN159" s="281"/>
      <c r="BO159" s="281"/>
      <c r="BP159" s="281">
        <f>AF35</f>
        <v>0</v>
      </c>
      <c r="BQ159" s="281"/>
      <c r="BR159" s="281">
        <f>AF36</f>
        <v>0</v>
      </c>
      <c r="BS159" s="281"/>
      <c r="BT159" s="110"/>
      <c r="BU159" s="110"/>
      <c r="BV159" s="52">
        <f>AF41</f>
        <v>0</v>
      </c>
      <c r="BW159" s="110"/>
      <c r="BX159" s="52">
        <f>AF42</f>
        <v>0</v>
      </c>
      <c r="BY159" s="110"/>
      <c r="BZ159" s="110"/>
      <c r="CA159" s="110"/>
      <c r="CB159" s="52">
        <f>AF47</f>
        <v>0</v>
      </c>
      <c r="CC159" s="110"/>
      <c r="CD159" s="52">
        <f>AF48</f>
        <v>0</v>
      </c>
      <c r="CE159" s="110"/>
    </row>
    <row r="160" spans="1:83" ht="12.75" customHeight="1" x14ac:dyDescent="0.3">
      <c r="A160" s="16"/>
      <c r="B160" s="95"/>
      <c r="C160" s="35"/>
      <c r="D160" s="35"/>
      <c r="E160" s="35"/>
      <c r="F160" s="35"/>
      <c r="G160" s="35"/>
      <c r="H160" s="35"/>
      <c r="I160" s="35"/>
      <c r="J160" s="35"/>
      <c r="K160" s="35"/>
      <c r="L160" s="35"/>
      <c r="M160" s="35"/>
      <c r="N160" s="35"/>
      <c r="O160" s="35"/>
      <c r="P160" s="35"/>
      <c r="Q160" s="35"/>
      <c r="R160" s="35"/>
      <c r="S160" s="35"/>
      <c r="T160" s="35"/>
      <c r="U160" s="35"/>
      <c r="V160" s="35"/>
      <c r="W160" s="35"/>
      <c r="X160" s="16"/>
      <c r="Y160" s="16"/>
      <c r="Z160" s="16"/>
      <c r="AA160" s="16"/>
      <c r="AB160" s="16"/>
      <c r="AC160" s="16"/>
      <c r="AD160" s="16"/>
      <c r="AE160" s="16"/>
      <c r="AF160" s="16"/>
      <c r="AG160" s="16"/>
      <c r="AH160" s="16"/>
      <c r="AI160" s="16"/>
      <c r="AJ160" s="16"/>
      <c r="AK160" s="16"/>
      <c r="AL160" s="16"/>
      <c r="AM160" s="16"/>
      <c r="AN160" s="16"/>
      <c r="AO160" s="16"/>
      <c r="AP160" s="16"/>
      <c r="AQ160" s="16"/>
      <c r="AR160" s="43"/>
      <c r="AS160" s="2"/>
      <c r="AT160" s="2"/>
      <c r="AU160" s="2"/>
      <c r="AV160" s="2"/>
      <c r="AW160" s="2"/>
      <c r="AX160" s="2"/>
      <c r="AY160" s="2"/>
      <c r="AZ160" s="2"/>
      <c r="BA160" s="2"/>
      <c r="BB160" s="2"/>
      <c r="BC160" s="2"/>
      <c r="BD160" s="2"/>
      <c r="BE160" s="2"/>
      <c r="BF160" s="2"/>
      <c r="BG160" s="2"/>
      <c r="BH160" s="2"/>
      <c r="BI160" s="2"/>
      <c r="BJ160" s="2"/>
      <c r="BK160" s="2"/>
      <c r="BL160" s="43"/>
      <c r="BM160" s="2"/>
      <c r="BN160" s="2"/>
      <c r="BO160" s="2"/>
      <c r="BP160" s="2"/>
      <c r="BQ160" s="2"/>
      <c r="BR160" s="2"/>
      <c r="BS160" s="2"/>
      <c r="BT160" s="2"/>
      <c r="BU160" s="2"/>
      <c r="BV160" s="2"/>
      <c r="BW160" s="2"/>
      <c r="BX160" s="2"/>
      <c r="BY160" s="2"/>
      <c r="BZ160" s="2"/>
      <c r="CA160" s="2"/>
      <c r="CB160" s="2"/>
      <c r="CC160" s="2"/>
      <c r="CD160" s="2"/>
      <c r="CE160" s="2"/>
    </row>
    <row r="161" spans="1:83" ht="12.75" customHeight="1" x14ac:dyDescent="0.3">
      <c r="A161" s="16"/>
      <c r="B161" s="95"/>
      <c r="C161" s="35"/>
      <c r="D161" s="35"/>
      <c r="E161" s="35"/>
      <c r="F161" s="35"/>
      <c r="G161" s="35"/>
      <c r="H161" s="35"/>
      <c r="I161" s="35"/>
      <c r="J161" s="35"/>
      <c r="K161" s="35"/>
      <c r="L161" s="35"/>
      <c r="M161" s="35"/>
      <c r="N161" s="35"/>
      <c r="O161" s="35"/>
      <c r="P161" s="35"/>
      <c r="Q161" s="35"/>
      <c r="R161" s="35"/>
      <c r="S161" s="35"/>
      <c r="T161" s="35"/>
      <c r="U161" s="35"/>
      <c r="V161" s="35"/>
      <c r="W161" s="35"/>
      <c r="X161" s="16"/>
      <c r="Y161" s="16"/>
      <c r="Z161" s="16"/>
      <c r="AA161" s="16"/>
      <c r="AB161" s="16"/>
      <c r="AC161" s="16"/>
      <c r="AD161" s="16"/>
      <c r="AE161" s="16"/>
      <c r="AF161" s="16"/>
      <c r="AG161" s="16"/>
      <c r="AH161" s="16"/>
      <c r="AI161" s="16"/>
      <c r="AJ161" s="16"/>
      <c r="AK161" s="16"/>
      <c r="AL161" s="16"/>
      <c r="AM161" s="16"/>
      <c r="AN161" s="16"/>
      <c r="AO161" s="16"/>
      <c r="AP161" s="16"/>
      <c r="AQ161" s="16"/>
      <c r="AR161" s="43"/>
      <c r="AS161" s="2"/>
      <c r="AT161" s="2"/>
      <c r="AU161" s="2"/>
      <c r="AV161" s="2"/>
      <c r="AW161" s="2"/>
      <c r="AX161" s="2"/>
      <c r="AY161" s="2"/>
      <c r="AZ161" s="2"/>
      <c r="BA161" s="2"/>
      <c r="BB161" s="2"/>
      <c r="BC161" s="2"/>
      <c r="BD161" s="2"/>
      <c r="BE161" s="2"/>
      <c r="BF161" s="2"/>
      <c r="BG161" s="2"/>
      <c r="BH161" s="2"/>
      <c r="BI161" s="2"/>
      <c r="BJ161" s="2"/>
      <c r="BK161" s="2"/>
      <c r="BL161" s="43"/>
      <c r="BM161" s="2"/>
      <c r="BN161" s="84" t="s">
        <v>187</v>
      </c>
      <c r="BO161" s="114"/>
      <c r="BP161" s="114"/>
      <c r="BQ161" s="114"/>
      <c r="BR161" s="115"/>
      <c r="BS161" s="255" t="s">
        <v>56</v>
      </c>
      <c r="BT161" s="256" t="str">
        <f>ChemName</f>
        <v>default substance</v>
      </c>
      <c r="BU161" s="114"/>
      <c r="BV161" s="115"/>
      <c r="BW161" s="2"/>
      <c r="BX161" s="254"/>
      <c r="BY161" s="124" t="s">
        <v>236</v>
      </c>
      <c r="BZ161" s="114"/>
      <c r="CA161" s="114"/>
      <c r="CB161" s="115"/>
      <c r="CC161" s="2"/>
      <c r="CD161" s="2"/>
      <c r="CE161" s="2"/>
    </row>
    <row r="162" spans="1:83" ht="12.75" customHeight="1" x14ac:dyDescent="0.3">
      <c r="A162" s="16"/>
      <c r="B162" s="95"/>
      <c r="C162" s="35"/>
      <c r="D162" s="35"/>
      <c r="E162" s="35"/>
      <c r="F162" s="35"/>
      <c r="G162" s="35"/>
      <c r="H162" s="35"/>
      <c r="I162" s="35"/>
      <c r="J162" s="35"/>
      <c r="K162" s="35"/>
      <c r="L162" s="35"/>
      <c r="M162" s="35"/>
      <c r="N162" s="35"/>
      <c r="O162" s="35"/>
      <c r="P162" s="35"/>
      <c r="Q162" s="35"/>
      <c r="R162" s="35"/>
      <c r="S162" s="35"/>
      <c r="T162" s="35"/>
      <c r="U162" s="35"/>
      <c r="V162" s="35"/>
      <c r="W162" s="35"/>
      <c r="X162" s="16"/>
      <c r="Y162" s="16"/>
      <c r="Z162" s="16"/>
      <c r="AA162" s="16"/>
      <c r="AB162" s="16"/>
      <c r="AC162" s="16"/>
      <c r="AD162" s="16"/>
      <c r="AE162" s="16"/>
      <c r="AF162" s="16"/>
      <c r="AG162" s="16"/>
      <c r="AH162" s="16"/>
      <c r="AI162" s="16"/>
      <c r="AJ162" s="16"/>
      <c r="AK162" s="16"/>
      <c r="AL162" s="16"/>
      <c r="AM162" s="16"/>
      <c r="AN162" s="16"/>
      <c r="AO162" s="16"/>
      <c r="AP162" s="16"/>
      <c r="AQ162" s="16"/>
      <c r="AR162" s="43"/>
      <c r="AS162" s="2"/>
      <c r="AT162" s="2"/>
      <c r="AU162" s="2"/>
      <c r="AV162" s="2"/>
      <c r="AW162" s="2"/>
      <c r="AX162" s="2"/>
      <c r="AY162" s="2"/>
      <c r="AZ162" s="2"/>
      <c r="BA162" s="2"/>
      <c r="BB162" s="2"/>
      <c r="BC162" s="2"/>
      <c r="BD162" s="2"/>
      <c r="BE162" s="2"/>
      <c r="BF162" s="2"/>
      <c r="BG162" s="2"/>
      <c r="BH162" s="2"/>
      <c r="BI162" s="2"/>
      <c r="BJ162" s="2"/>
      <c r="BK162" s="2"/>
      <c r="BL162" s="43"/>
      <c r="BM162" s="2"/>
      <c r="BN162" s="116"/>
      <c r="BO162" s="2"/>
      <c r="BP162" s="2"/>
      <c r="BQ162" s="2"/>
      <c r="BR162" s="117"/>
      <c r="BS162" s="257" t="s">
        <v>237</v>
      </c>
      <c r="BT162" s="224" t="str">
        <f>ChemClass</f>
        <v>neutral</v>
      </c>
      <c r="BU162" s="2"/>
      <c r="BV162" s="117"/>
      <c r="BW162" s="2"/>
      <c r="BX162" s="2"/>
      <c r="BY162" s="85" t="s">
        <v>190</v>
      </c>
      <c r="BZ162" s="2"/>
      <c r="CA162" s="86">
        <f>G12</f>
        <v>0</v>
      </c>
      <c r="CB162" s="117" t="s">
        <v>113</v>
      </c>
      <c r="CC162" s="2"/>
      <c r="CD162" s="2"/>
      <c r="CE162" s="2"/>
    </row>
    <row r="163" spans="1:83" ht="12.75" customHeight="1" x14ac:dyDescent="0.3">
      <c r="A163" s="16"/>
      <c r="B163" s="95"/>
      <c r="C163" s="35"/>
      <c r="D163" s="35"/>
      <c r="E163" s="35"/>
      <c r="F163" s="35"/>
      <c r="G163" s="35"/>
      <c r="H163" s="35"/>
      <c r="I163" s="35"/>
      <c r="J163" s="35"/>
      <c r="K163" s="35"/>
      <c r="L163" s="35"/>
      <c r="M163" s="35"/>
      <c r="N163" s="35"/>
      <c r="O163" s="35"/>
      <c r="P163" s="35"/>
      <c r="Q163" s="35"/>
      <c r="R163" s="35"/>
      <c r="S163" s="35"/>
      <c r="T163" s="35"/>
      <c r="U163" s="35"/>
      <c r="V163" s="35"/>
      <c r="W163" s="35"/>
      <c r="X163" s="16"/>
      <c r="Y163" s="16"/>
      <c r="Z163" s="16"/>
      <c r="AA163" s="16"/>
      <c r="AB163" s="16"/>
      <c r="AC163" s="16"/>
      <c r="AD163" s="16"/>
      <c r="AE163" s="16"/>
      <c r="AF163" s="16"/>
      <c r="AG163" s="16"/>
      <c r="AH163" s="16"/>
      <c r="AI163" s="16"/>
      <c r="AJ163" s="16"/>
      <c r="AK163" s="16"/>
      <c r="AL163" s="16"/>
      <c r="AM163" s="16"/>
      <c r="AN163" s="16"/>
      <c r="AO163" s="16"/>
      <c r="AP163" s="16"/>
      <c r="AQ163" s="16"/>
      <c r="AR163" s="43"/>
      <c r="AS163" s="2"/>
      <c r="AT163" s="2"/>
      <c r="AU163" s="2"/>
      <c r="AV163" s="2"/>
      <c r="AW163" s="2"/>
      <c r="AX163" s="2"/>
      <c r="AY163" s="2"/>
      <c r="AZ163" s="2"/>
      <c r="BA163" s="2"/>
      <c r="BB163" s="2"/>
      <c r="BC163" s="2"/>
      <c r="BD163" s="2"/>
      <c r="BE163" s="2"/>
      <c r="BF163" s="2"/>
      <c r="BG163" s="2"/>
      <c r="BH163" s="2"/>
      <c r="BI163" s="2"/>
      <c r="BJ163" s="2"/>
      <c r="BK163" s="2"/>
      <c r="BL163" s="43"/>
      <c r="BM163" s="2"/>
      <c r="BN163" s="116"/>
      <c r="BO163" s="2" t="s">
        <v>189</v>
      </c>
      <c r="BP163" s="2"/>
      <c r="BQ163" s="110"/>
      <c r="BR163" s="118"/>
      <c r="BS163" s="116" t="s">
        <v>57</v>
      </c>
      <c r="BT163" s="2" t="str">
        <f>CONCATENATE(version!$B$2," ",version!$B$3," ",version!$C$3)</f>
        <v>SimpleBox4plastics vs 4.04-plastic 45387</v>
      </c>
      <c r="BU163" s="2"/>
      <c r="BV163" s="117"/>
      <c r="BW163" s="2"/>
      <c r="BX163" s="2"/>
      <c r="BY163" s="87" t="s">
        <v>238</v>
      </c>
      <c r="BZ163" s="2"/>
      <c r="CA163" s="86">
        <f>G52</f>
        <v>0</v>
      </c>
      <c r="CB163" s="117" t="s">
        <v>134</v>
      </c>
      <c r="CC163" s="2"/>
      <c r="CD163" s="2"/>
      <c r="CE163" s="2"/>
    </row>
    <row r="164" spans="1:83" ht="12.75" customHeight="1" x14ac:dyDescent="0.3">
      <c r="A164" s="16"/>
      <c r="B164" s="95"/>
      <c r="C164" s="35"/>
      <c r="D164" s="35"/>
      <c r="E164" s="35"/>
      <c r="F164" s="35"/>
      <c r="G164" s="35"/>
      <c r="H164" s="35"/>
      <c r="I164" s="35"/>
      <c r="J164" s="35"/>
      <c r="K164" s="35"/>
      <c r="L164" s="35"/>
      <c r="M164" s="35"/>
      <c r="N164" s="35"/>
      <c r="O164" s="35"/>
      <c r="P164" s="35"/>
      <c r="Q164" s="35"/>
      <c r="R164" s="35"/>
      <c r="S164" s="35"/>
      <c r="T164" s="35"/>
      <c r="U164" s="35"/>
      <c r="V164" s="35"/>
      <c r="W164" s="35"/>
      <c r="X164" s="16"/>
      <c r="Y164" s="16"/>
      <c r="Z164" s="16"/>
      <c r="AA164" s="16"/>
      <c r="AB164" s="16"/>
      <c r="AC164" s="16"/>
      <c r="AD164" s="16"/>
      <c r="AE164" s="16"/>
      <c r="AF164" s="16"/>
      <c r="AG164" s="16"/>
      <c r="AH164" s="16"/>
      <c r="AI164" s="16"/>
      <c r="AJ164" s="16"/>
      <c r="AK164" s="16"/>
      <c r="AL164" s="16"/>
      <c r="AM164" s="16"/>
      <c r="AN164" s="16"/>
      <c r="AO164" s="16"/>
      <c r="AP164" s="16"/>
      <c r="AQ164" s="16"/>
      <c r="AR164" s="43"/>
      <c r="AS164" s="2"/>
      <c r="AT164" s="2"/>
      <c r="AU164" s="2"/>
      <c r="AV164" s="2"/>
      <c r="AW164" s="2"/>
      <c r="AX164" s="2"/>
      <c r="AY164" s="2"/>
      <c r="AZ164" s="2"/>
      <c r="BA164" s="2"/>
      <c r="BB164" s="2"/>
      <c r="BC164" s="2"/>
      <c r="BD164" s="2"/>
      <c r="BE164" s="2"/>
      <c r="BF164" s="2"/>
      <c r="BG164" s="2"/>
      <c r="BH164" s="2"/>
      <c r="BI164" s="2"/>
      <c r="BJ164" s="2"/>
      <c r="BK164" s="2"/>
      <c r="BL164" s="43"/>
      <c r="BM164" s="2"/>
      <c r="BN164" s="116"/>
      <c r="BO164" s="2"/>
      <c r="BP164" s="2"/>
      <c r="BQ164" s="2"/>
      <c r="BR164" s="117"/>
      <c r="BS164" s="112" t="s">
        <v>59</v>
      </c>
      <c r="BT164" s="258">
        <f ca="1">TODAY()</f>
        <v>45387</v>
      </c>
      <c r="BU164" s="77"/>
      <c r="BV164" s="119"/>
      <c r="BW164" s="2"/>
      <c r="BX164" s="2"/>
      <c r="BY164" s="87" t="s">
        <v>239</v>
      </c>
      <c r="BZ164" s="2"/>
      <c r="CA164" s="86">
        <f>G60</f>
        <v>0</v>
      </c>
      <c r="CB164" s="249" t="s">
        <v>134</v>
      </c>
      <c r="CC164" s="2"/>
      <c r="CD164" s="2"/>
      <c r="CE164" s="2"/>
    </row>
    <row r="165" spans="1:83" ht="12.75" customHeight="1" x14ac:dyDescent="0.3">
      <c r="A165" s="16"/>
      <c r="B165" s="95"/>
      <c r="C165" s="35"/>
      <c r="D165" s="35"/>
      <c r="E165" s="35"/>
      <c r="F165" s="35"/>
      <c r="G165" s="35"/>
      <c r="H165" s="35"/>
      <c r="I165" s="35"/>
      <c r="J165" s="35"/>
      <c r="K165" s="35"/>
      <c r="L165" s="35"/>
      <c r="M165" s="35"/>
      <c r="N165" s="35"/>
      <c r="O165" s="35"/>
      <c r="P165" s="35"/>
      <c r="Q165" s="35"/>
      <c r="R165" s="35"/>
      <c r="S165" s="35"/>
      <c r="T165" s="35"/>
      <c r="U165" s="35"/>
      <c r="V165" s="35"/>
      <c r="W165" s="35"/>
      <c r="X165" s="16"/>
      <c r="Y165" s="16"/>
      <c r="Z165" s="16"/>
      <c r="AA165" s="16"/>
      <c r="AB165" s="16"/>
      <c r="AC165" s="16"/>
      <c r="AD165" s="16"/>
      <c r="AE165" s="16"/>
      <c r="AF165" s="16"/>
      <c r="AG165" s="16"/>
      <c r="AH165" s="16"/>
      <c r="AI165" s="16"/>
      <c r="AJ165" s="16"/>
      <c r="AK165" s="16"/>
      <c r="AL165" s="16"/>
      <c r="AM165" s="16"/>
      <c r="AN165" s="16"/>
      <c r="AO165" s="16"/>
      <c r="AP165" s="16"/>
      <c r="AQ165" s="16"/>
      <c r="AR165" s="43"/>
      <c r="AS165" s="2"/>
      <c r="AT165" s="2"/>
      <c r="AU165" s="2"/>
      <c r="AV165" s="2"/>
      <c r="AW165" s="2"/>
      <c r="AX165" s="2"/>
      <c r="AY165" s="2"/>
      <c r="AZ165" s="2"/>
      <c r="BA165" s="2"/>
      <c r="BB165" s="2"/>
      <c r="BC165" s="2"/>
      <c r="BD165" s="2"/>
      <c r="BE165" s="2"/>
      <c r="BF165" s="2"/>
      <c r="BG165" s="2"/>
      <c r="BH165" s="2"/>
      <c r="BI165" s="2"/>
      <c r="BJ165" s="2"/>
      <c r="BK165" s="2"/>
      <c r="BL165" s="43"/>
      <c r="BM165" s="2"/>
      <c r="BN165" s="116"/>
      <c r="BO165" s="2" t="s">
        <v>224</v>
      </c>
      <c r="BP165" s="2"/>
      <c r="BQ165" s="2"/>
      <c r="BR165" s="117"/>
      <c r="BS165" s="2"/>
      <c r="BT165" s="42"/>
      <c r="BU165" s="2"/>
      <c r="BV165" s="2"/>
      <c r="BW165" s="2"/>
      <c r="BX165" s="2"/>
      <c r="BY165" s="87" t="s">
        <v>200</v>
      </c>
      <c r="BZ165" s="2"/>
      <c r="CA165" s="86">
        <f>G68</f>
        <v>0</v>
      </c>
      <c r="CB165" s="117" t="s">
        <v>134</v>
      </c>
      <c r="CC165" s="2"/>
      <c r="CD165" s="2"/>
      <c r="CE165" s="2"/>
    </row>
    <row r="166" spans="1:83" ht="12.75" customHeight="1" x14ac:dyDescent="0.3">
      <c r="A166" s="16"/>
      <c r="B166" s="95"/>
      <c r="C166" s="35"/>
      <c r="D166" s="35"/>
      <c r="E166" s="35"/>
      <c r="F166" s="35"/>
      <c r="G166" s="35"/>
      <c r="H166" s="35"/>
      <c r="I166" s="35"/>
      <c r="J166" s="35"/>
      <c r="K166" s="35"/>
      <c r="L166" s="35"/>
      <c r="M166" s="35"/>
      <c r="N166" s="35"/>
      <c r="O166" s="35"/>
      <c r="P166" s="35"/>
      <c r="Q166" s="35"/>
      <c r="R166" s="35"/>
      <c r="S166" s="35"/>
      <c r="T166" s="35"/>
      <c r="U166" s="35"/>
      <c r="V166" s="35"/>
      <c r="W166" s="35"/>
      <c r="X166" s="16"/>
      <c r="Y166" s="16"/>
      <c r="Z166" s="16"/>
      <c r="AA166" s="16"/>
      <c r="AB166" s="16"/>
      <c r="AC166" s="16"/>
      <c r="AD166" s="16"/>
      <c r="AE166" s="16"/>
      <c r="AF166" s="16"/>
      <c r="AG166" s="16"/>
      <c r="AH166" s="16"/>
      <c r="AI166" s="16"/>
      <c r="AJ166" s="16"/>
      <c r="AK166" s="16"/>
      <c r="AL166" s="16"/>
      <c r="AM166" s="16"/>
      <c r="AN166" s="16"/>
      <c r="AO166" s="16"/>
      <c r="AP166" s="16"/>
      <c r="AQ166" s="16"/>
      <c r="AR166" s="43"/>
      <c r="AS166" s="2"/>
      <c r="AT166" s="2"/>
      <c r="AU166" s="2"/>
      <c r="AV166" s="2"/>
      <c r="AW166" s="2"/>
      <c r="AX166" s="2"/>
      <c r="AY166" s="2"/>
      <c r="AZ166" s="2"/>
      <c r="BA166" s="2"/>
      <c r="BB166" s="2"/>
      <c r="BC166" s="2"/>
      <c r="BD166" s="2"/>
      <c r="BE166" s="2"/>
      <c r="BF166" s="2"/>
      <c r="BG166" s="2"/>
      <c r="BH166" s="2"/>
      <c r="BI166" s="2"/>
      <c r="BJ166" s="2"/>
      <c r="BK166" s="2"/>
      <c r="BL166" s="43"/>
      <c r="BM166" s="2"/>
      <c r="BN166" s="116"/>
      <c r="BO166" s="2"/>
      <c r="BP166" s="2"/>
      <c r="BQ166" s="2"/>
      <c r="BR166" s="117"/>
      <c r="BS166" s="2"/>
      <c r="BT166" s="2"/>
      <c r="BU166" s="2"/>
      <c r="BV166" s="2"/>
      <c r="BW166" s="2"/>
      <c r="BX166" s="2"/>
      <c r="BY166" s="96" t="s">
        <v>240</v>
      </c>
      <c r="BZ166" s="77"/>
      <c r="CA166" s="90">
        <f>G92</f>
        <v>0</v>
      </c>
      <c r="CB166" s="119" t="s">
        <v>151</v>
      </c>
      <c r="CC166" s="2"/>
      <c r="CD166" s="2"/>
      <c r="CE166" s="2"/>
    </row>
    <row r="167" spans="1:83" ht="12.75" customHeight="1" x14ac:dyDescent="0.3">
      <c r="A167" s="16"/>
      <c r="B167" s="95"/>
      <c r="C167" s="35"/>
      <c r="D167" s="35"/>
      <c r="E167" s="35"/>
      <c r="F167" s="35"/>
      <c r="G167" s="35"/>
      <c r="H167" s="35"/>
      <c r="I167" s="35"/>
      <c r="J167" s="35"/>
      <c r="K167" s="35"/>
      <c r="L167" s="35"/>
      <c r="M167" s="35"/>
      <c r="N167" s="35"/>
      <c r="O167" s="35"/>
      <c r="P167" s="35"/>
      <c r="Q167" s="35"/>
      <c r="R167" s="35"/>
      <c r="S167" s="35"/>
      <c r="T167" s="35"/>
      <c r="U167" s="35"/>
      <c r="V167" s="35"/>
      <c r="W167" s="35"/>
      <c r="X167" s="16"/>
      <c r="Y167" s="16"/>
      <c r="Z167" s="16"/>
      <c r="AA167" s="16"/>
      <c r="AB167" s="16"/>
      <c r="AC167" s="16"/>
      <c r="AD167" s="16"/>
      <c r="AE167" s="16"/>
      <c r="AF167" s="16"/>
      <c r="AG167" s="16"/>
      <c r="AH167" s="16"/>
      <c r="AI167" s="16"/>
      <c r="AJ167" s="16"/>
      <c r="AK167" s="16"/>
      <c r="AL167" s="16"/>
      <c r="AM167" s="16"/>
      <c r="AN167" s="16"/>
      <c r="AO167" s="16"/>
      <c r="AP167" s="16"/>
      <c r="AQ167" s="16"/>
      <c r="AR167" s="43"/>
      <c r="AS167" s="2"/>
      <c r="AT167" s="2"/>
      <c r="AU167" s="2"/>
      <c r="AV167" s="2"/>
      <c r="AW167" s="2"/>
      <c r="AX167" s="2"/>
      <c r="AY167" s="2"/>
      <c r="AZ167" s="2"/>
      <c r="BA167" s="2"/>
      <c r="BB167" s="2"/>
      <c r="BC167" s="2"/>
      <c r="BD167" s="2"/>
      <c r="BE167" s="2"/>
      <c r="BF167" s="2"/>
      <c r="BG167" s="2"/>
      <c r="BH167" s="2"/>
      <c r="BI167" s="2"/>
      <c r="BJ167" s="2"/>
      <c r="BK167" s="2"/>
      <c r="BL167" s="43"/>
      <c r="BM167" s="2"/>
      <c r="BN167" s="116"/>
      <c r="BO167" s="2" t="s">
        <v>194</v>
      </c>
      <c r="BP167" s="2"/>
      <c r="BQ167" s="2"/>
      <c r="BR167" s="117"/>
      <c r="BS167" s="2"/>
      <c r="BT167" s="2"/>
      <c r="BU167" s="2"/>
      <c r="BV167" s="2"/>
      <c r="BW167" s="2"/>
      <c r="BX167" s="2"/>
      <c r="BY167" s="124" t="s">
        <v>241</v>
      </c>
      <c r="BZ167" s="114"/>
      <c r="CA167" s="114"/>
      <c r="CB167" s="115"/>
      <c r="CC167" s="2"/>
      <c r="CD167" s="2"/>
      <c r="CE167" s="2"/>
    </row>
    <row r="168" spans="1:83" ht="12.75" customHeight="1" x14ac:dyDescent="0.3">
      <c r="A168" s="16"/>
      <c r="B168" s="95"/>
      <c r="C168" s="35"/>
      <c r="D168" s="35"/>
      <c r="E168" s="35"/>
      <c r="F168" s="35"/>
      <c r="G168" s="35"/>
      <c r="H168" s="35"/>
      <c r="I168" s="35"/>
      <c r="J168" s="35"/>
      <c r="K168" s="35"/>
      <c r="L168" s="35"/>
      <c r="M168" s="35"/>
      <c r="N168" s="35"/>
      <c r="O168" s="35"/>
      <c r="P168" s="35"/>
      <c r="Q168" s="35"/>
      <c r="R168" s="35"/>
      <c r="S168" s="35"/>
      <c r="T168" s="35"/>
      <c r="U168" s="35"/>
      <c r="V168" s="35"/>
      <c r="W168" s="35"/>
      <c r="X168" s="16"/>
      <c r="Y168" s="16"/>
      <c r="Z168" s="16"/>
      <c r="AA168" s="16"/>
      <c r="AB168" s="16"/>
      <c r="AC168" s="16"/>
      <c r="AD168" s="16"/>
      <c r="AE168" s="16"/>
      <c r="AF168" s="16"/>
      <c r="AG168" s="16"/>
      <c r="AH168" s="16"/>
      <c r="AI168" s="16"/>
      <c r="AJ168" s="16"/>
      <c r="AK168" s="16"/>
      <c r="AL168" s="16"/>
      <c r="AM168" s="16"/>
      <c r="AN168" s="16"/>
      <c r="AO168" s="16"/>
      <c r="AP168" s="16"/>
      <c r="AQ168" s="16"/>
      <c r="AR168" s="43"/>
      <c r="AS168" s="2"/>
      <c r="AT168" s="2"/>
      <c r="AU168" s="2"/>
      <c r="AV168" s="2"/>
      <c r="AW168" s="2"/>
      <c r="AX168" s="2"/>
      <c r="AY168" s="2"/>
      <c r="AZ168" s="2"/>
      <c r="BA168" s="2"/>
      <c r="BB168" s="2"/>
      <c r="BC168" s="2"/>
      <c r="BD168" s="2"/>
      <c r="BE168" s="2"/>
      <c r="BF168" s="2"/>
      <c r="BG168" s="2"/>
      <c r="BH168" s="2"/>
      <c r="BI168" s="2"/>
      <c r="BJ168" s="2"/>
      <c r="BK168" s="2"/>
      <c r="BL168" s="43"/>
      <c r="BM168" s="2"/>
      <c r="BN168" s="116"/>
      <c r="BO168" s="2"/>
      <c r="BP168" s="2"/>
      <c r="BQ168" s="2"/>
      <c r="BR168" s="117"/>
      <c r="BS168" s="2"/>
      <c r="BT168" s="2"/>
      <c r="BU168" s="2"/>
      <c r="BV168" s="2"/>
      <c r="BW168" s="2"/>
      <c r="BX168" s="2"/>
      <c r="BY168" s="85" t="s">
        <v>190</v>
      </c>
      <c r="BZ168" s="2"/>
      <c r="CA168" s="86">
        <f>I12</f>
        <v>0</v>
      </c>
      <c r="CB168" s="117" t="s">
        <v>113</v>
      </c>
      <c r="CC168" s="2"/>
      <c r="CD168" s="2"/>
      <c r="CE168" s="2"/>
    </row>
    <row r="169" spans="1:83" ht="12.75" customHeight="1" x14ac:dyDescent="0.3">
      <c r="A169" s="16"/>
      <c r="B169" s="95"/>
      <c r="C169" s="35"/>
      <c r="D169" s="35"/>
      <c r="E169" s="35"/>
      <c r="F169" s="35"/>
      <c r="G169" s="35"/>
      <c r="H169" s="35"/>
      <c r="I169" s="35"/>
      <c r="J169" s="35"/>
      <c r="K169" s="35"/>
      <c r="L169" s="35"/>
      <c r="M169" s="35"/>
      <c r="N169" s="35"/>
      <c r="O169" s="35"/>
      <c r="P169" s="35"/>
      <c r="Q169" s="35"/>
      <c r="R169" s="35"/>
      <c r="S169" s="35"/>
      <c r="T169" s="35"/>
      <c r="U169" s="35"/>
      <c r="V169" s="35"/>
      <c r="W169" s="35"/>
      <c r="X169" s="16"/>
      <c r="Y169" s="16"/>
      <c r="Z169" s="16"/>
      <c r="AA169" s="16"/>
      <c r="AB169" s="16"/>
      <c r="AC169" s="16"/>
      <c r="AD169" s="16"/>
      <c r="AE169" s="16"/>
      <c r="AF169" s="16"/>
      <c r="AG169" s="16"/>
      <c r="AH169" s="16"/>
      <c r="AI169" s="16"/>
      <c r="AJ169" s="16"/>
      <c r="AK169" s="16"/>
      <c r="AL169" s="16"/>
      <c r="AM169" s="16"/>
      <c r="AN169" s="16"/>
      <c r="AO169" s="16"/>
      <c r="AP169" s="16"/>
      <c r="AQ169" s="16"/>
      <c r="AR169" s="43"/>
      <c r="AS169" s="2"/>
      <c r="AT169" s="2"/>
      <c r="AU169" s="2"/>
      <c r="AV169" s="2"/>
      <c r="AW169" s="2"/>
      <c r="AX169" s="2"/>
      <c r="AY169" s="2"/>
      <c r="AZ169" s="2"/>
      <c r="BA169" s="2"/>
      <c r="BB169" s="2"/>
      <c r="BC169" s="2"/>
      <c r="BD169" s="2"/>
      <c r="BE169" s="2"/>
      <c r="BF169" s="2"/>
      <c r="BG169" s="2"/>
      <c r="BH169" s="2"/>
      <c r="BI169" s="2"/>
      <c r="BJ169" s="2"/>
      <c r="BK169" s="2"/>
      <c r="BL169" s="43"/>
      <c r="BM169" s="2"/>
      <c r="BN169" s="116"/>
      <c r="BO169" s="2" t="s">
        <v>198</v>
      </c>
      <c r="BP169" s="2"/>
      <c r="BQ169" s="2"/>
      <c r="BR169" s="117"/>
      <c r="BS169" s="2"/>
      <c r="BT169" s="2"/>
      <c r="BU169" s="2"/>
      <c r="BV169" s="2"/>
      <c r="BW169" s="2"/>
      <c r="BX169" s="2"/>
      <c r="BY169" s="87" t="s">
        <v>238</v>
      </c>
      <c r="BZ169" s="2"/>
      <c r="CA169" s="86">
        <f>I52</f>
        <v>0</v>
      </c>
      <c r="CB169" s="117" t="s">
        <v>134</v>
      </c>
      <c r="CC169" s="2"/>
      <c r="CD169" s="2"/>
      <c r="CE169" s="2"/>
    </row>
    <row r="170" spans="1:83" ht="12.75" customHeight="1" x14ac:dyDescent="0.3">
      <c r="A170" s="16"/>
      <c r="B170" s="95"/>
      <c r="C170" s="35"/>
      <c r="D170" s="35"/>
      <c r="E170" s="35"/>
      <c r="F170" s="35"/>
      <c r="G170" s="35"/>
      <c r="H170" s="35"/>
      <c r="I170" s="35"/>
      <c r="J170" s="35"/>
      <c r="K170" s="35"/>
      <c r="L170" s="35"/>
      <c r="M170" s="35"/>
      <c r="N170" s="35"/>
      <c r="O170" s="35"/>
      <c r="P170" s="35"/>
      <c r="Q170" s="35"/>
      <c r="R170" s="35"/>
      <c r="S170" s="35"/>
      <c r="T170" s="35"/>
      <c r="U170" s="35"/>
      <c r="V170" s="35"/>
      <c r="W170" s="35"/>
      <c r="X170" s="16"/>
      <c r="Y170" s="16"/>
      <c r="Z170" s="16"/>
      <c r="AA170" s="16"/>
      <c r="AB170" s="16"/>
      <c r="AC170" s="16"/>
      <c r="AD170" s="16"/>
      <c r="AE170" s="16"/>
      <c r="AF170" s="16"/>
      <c r="AG170" s="16"/>
      <c r="AH170" s="16"/>
      <c r="AI170" s="16"/>
      <c r="AJ170" s="16"/>
      <c r="AK170" s="16"/>
      <c r="AL170" s="16"/>
      <c r="AM170" s="16"/>
      <c r="AN170" s="16"/>
      <c r="AO170" s="16"/>
      <c r="AP170" s="16"/>
      <c r="AQ170" s="16"/>
      <c r="AR170" s="43"/>
      <c r="AS170" s="2"/>
      <c r="AT170" s="2"/>
      <c r="AU170" s="2"/>
      <c r="AV170" s="2"/>
      <c r="AW170" s="2"/>
      <c r="AX170" s="2"/>
      <c r="AY170" s="2"/>
      <c r="AZ170" s="2"/>
      <c r="BA170" s="2"/>
      <c r="BB170" s="2"/>
      <c r="BC170" s="2"/>
      <c r="BD170" s="2"/>
      <c r="BE170" s="2"/>
      <c r="BF170" s="2"/>
      <c r="BG170" s="2"/>
      <c r="BH170" s="2"/>
      <c r="BI170" s="2"/>
      <c r="BJ170" s="2"/>
      <c r="BK170" s="2"/>
      <c r="BL170" s="43"/>
      <c r="BM170" s="2"/>
      <c r="BN170" s="116"/>
      <c r="BO170" s="2"/>
      <c r="BP170" s="2"/>
      <c r="BQ170" s="2"/>
      <c r="BR170" s="117"/>
      <c r="BS170" s="2"/>
      <c r="BT170" s="2"/>
      <c r="BU170" s="2"/>
      <c r="BV170" s="2"/>
      <c r="BW170" s="2"/>
      <c r="BX170" s="2"/>
      <c r="BY170" s="87" t="s">
        <v>239</v>
      </c>
      <c r="BZ170" s="2"/>
      <c r="CA170" s="86">
        <f>I60</f>
        <v>0</v>
      </c>
      <c r="CB170" s="249" t="s">
        <v>134</v>
      </c>
      <c r="CC170" s="2"/>
      <c r="CD170" s="2"/>
      <c r="CE170" s="2"/>
    </row>
    <row r="171" spans="1:83" ht="12.75" customHeight="1" x14ac:dyDescent="0.3">
      <c r="A171" s="16"/>
      <c r="B171" s="95"/>
      <c r="C171" s="35"/>
      <c r="D171" s="35"/>
      <c r="E171" s="35"/>
      <c r="F171" s="35"/>
      <c r="G171" s="35"/>
      <c r="H171" s="35"/>
      <c r="I171" s="35"/>
      <c r="J171" s="35"/>
      <c r="K171" s="35"/>
      <c r="L171" s="35"/>
      <c r="M171" s="35"/>
      <c r="N171" s="35"/>
      <c r="O171" s="35"/>
      <c r="P171" s="35"/>
      <c r="Q171" s="35"/>
      <c r="R171" s="35"/>
      <c r="S171" s="35"/>
      <c r="T171" s="35"/>
      <c r="U171" s="35"/>
      <c r="V171" s="35"/>
      <c r="W171" s="35"/>
      <c r="X171" s="16"/>
      <c r="Y171" s="16"/>
      <c r="Z171" s="16"/>
      <c r="AA171" s="16"/>
      <c r="AB171" s="16"/>
      <c r="AC171" s="16"/>
      <c r="AD171" s="16"/>
      <c r="AE171" s="16"/>
      <c r="AF171" s="16"/>
      <c r="AG171" s="16"/>
      <c r="AH171" s="16"/>
      <c r="AI171" s="16"/>
      <c r="AJ171" s="16"/>
      <c r="AK171" s="16"/>
      <c r="AL171" s="16"/>
      <c r="AM171" s="16"/>
      <c r="AN171" s="16"/>
      <c r="AO171" s="16"/>
      <c r="AP171" s="16"/>
      <c r="AQ171" s="16"/>
      <c r="AR171" s="43"/>
      <c r="AS171" s="2"/>
      <c r="AT171" s="2"/>
      <c r="AU171" s="2"/>
      <c r="AV171" s="2"/>
      <c r="AW171" s="2"/>
      <c r="AX171" s="2"/>
      <c r="AY171" s="2"/>
      <c r="AZ171" s="2"/>
      <c r="BA171" s="2"/>
      <c r="BB171" s="2"/>
      <c r="BC171" s="2"/>
      <c r="BD171" s="2"/>
      <c r="BE171" s="2"/>
      <c r="BF171" s="2"/>
      <c r="BG171" s="2"/>
      <c r="BH171" s="2"/>
      <c r="BI171" s="2"/>
      <c r="BJ171" s="2"/>
      <c r="BK171" s="2"/>
      <c r="BL171" s="43"/>
      <c r="BM171" s="2"/>
      <c r="BN171" s="116"/>
      <c r="BO171" s="2" t="s">
        <v>201</v>
      </c>
      <c r="BP171" s="2"/>
      <c r="BQ171" s="2"/>
      <c r="BR171" s="117"/>
      <c r="BS171" s="2"/>
      <c r="BT171" s="2"/>
      <c r="BU171" s="2"/>
      <c r="BV171" s="2"/>
      <c r="BW171" s="2"/>
      <c r="BX171" s="2"/>
      <c r="BY171" s="87" t="s">
        <v>200</v>
      </c>
      <c r="BZ171" s="2"/>
      <c r="CA171" s="86">
        <f>I68</f>
        <v>0</v>
      </c>
      <c r="CB171" s="117" t="s">
        <v>134</v>
      </c>
      <c r="CC171" s="2"/>
      <c r="CD171" s="2"/>
      <c r="CE171" s="2"/>
    </row>
    <row r="172" spans="1:83" ht="12.75" customHeight="1" x14ac:dyDescent="0.3">
      <c r="A172" s="16"/>
      <c r="B172" s="95"/>
      <c r="C172" s="35"/>
      <c r="D172" s="35"/>
      <c r="E172" s="35"/>
      <c r="F172" s="35"/>
      <c r="G172" s="35"/>
      <c r="H172" s="35"/>
      <c r="I172" s="35"/>
      <c r="J172" s="35"/>
      <c r="K172" s="35"/>
      <c r="L172" s="35"/>
      <c r="M172" s="35"/>
      <c r="N172" s="35"/>
      <c r="O172" s="35"/>
      <c r="P172" s="35"/>
      <c r="Q172" s="35"/>
      <c r="R172" s="35"/>
      <c r="S172" s="35"/>
      <c r="T172" s="35"/>
      <c r="U172" s="35"/>
      <c r="V172" s="35"/>
      <c r="W172" s="35"/>
      <c r="X172" s="16"/>
      <c r="Y172" s="16"/>
      <c r="Z172" s="16"/>
      <c r="AA172" s="16"/>
      <c r="AB172" s="16"/>
      <c r="AC172" s="16"/>
      <c r="AD172" s="16"/>
      <c r="AE172" s="16"/>
      <c r="AF172" s="16"/>
      <c r="AG172" s="16"/>
      <c r="AH172" s="16"/>
      <c r="AI172" s="16"/>
      <c r="AJ172" s="16"/>
      <c r="AK172" s="16"/>
      <c r="AL172" s="16"/>
      <c r="AM172" s="16"/>
      <c r="AN172" s="16"/>
      <c r="AO172" s="16"/>
      <c r="AP172" s="16"/>
      <c r="AQ172" s="16"/>
      <c r="AR172" s="43"/>
      <c r="AS172" s="2"/>
      <c r="AT172" s="2"/>
      <c r="AU172" s="2"/>
      <c r="AV172" s="2"/>
      <c r="AW172" s="2"/>
      <c r="AX172" s="2"/>
      <c r="AY172" s="2"/>
      <c r="AZ172" s="2"/>
      <c r="BA172" s="2"/>
      <c r="BB172" s="2"/>
      <c r="BC172" s="2"/>
      <c r="BD172" s="2"/>
      <c r="BE172" s="2"/>
      <c r="BF172" s="2"/>
      <c r="BG172" s="2"/>
      <c r="BH172" s="2"/>
      <c r="BI172" s="2"/>
      <c r="BJ172" s="2"/>
      <c r="BK172" s="2"/>
      <c r="BL172" s="43"/>
      <c r="BM172" s="2"/>
      <c r="BN172" s="116"/>
      <c r="BO172" s="2"/>
      <c r="BP172" s="2"/>
      <c r="BQ172" s="2"/>
      <c r="BR172" s="117"/>
      <c r="BS172" s="2"/>
      <c r="BT172" s="2"/>
      <c r="BU172" s="2"/>
      <c r="BV172" s="2"/>
      <c r="BW172" s="2"/>
      <c r="BX172" s="2"/>
      <c r="BY172" s="96" t="s">
        <v>240</v>
      </c>
      <c r="BZ172" s="77"/>
      <c r="CA172" s="90">
        <f>I92</f>
        <v>0</v>
      </c>
      <c r="CB172" s="119" t="s">
        <v>151</v>
      </c>
      <c r="CC172" s="2"/>
      <c r="CD172" s="2"/>
      <c r="CE172" s="2"/>
    </row>
    <row r="173" spans="1:83" ht="12.75" customHeight="1" x14ac:dyDescent="0.3">
      <c r="A173" s="16"/>
      <c r="B173" s="95"/>
      <c r="C173" s="35"/>
      <c r="D173" s="35"/>
      <c r="E173" s="35"/>
      <c r="F173" s="35"/>
      <c r="G173" s="35"/>
      <c r="H173" s="35"/>
      <c r="I173" s="35"/>
      <c r="J173" s="35"/>
      <c r="K173" s="35"/>
      <c r="L173" s="35"/>
      <c r="M173" s="35"/>
      <c r="N173" s="35"/>
      <c r="O173" s="35"/>
      <c r="P173" s="35"/>
      <c r="Q173" s="35"/>
      <c r="R173" s="35"/>
      <c r="S173" s="35"/>
      <c r="T173" s="35"/>
      <c r="U173" s="35"/>
      <c r="V173" s="35"/>
      <c r="W173" s="35"/>
      <c r="X173" s="16"/>
      <c r="Y173" s="16"/>
      <c r="Z173" s="16"/>
      <c r="AA173" s="16"/>
      <c r="AB173" s="16"/>
      <c r="AC173" s="16"/>
      <c r="AD173" s="16"/>
      <c r="AE173" s="16"/>
      <c r="AF173" s="16"/>
      <c r="AG173" s="16"/>
      <c r="AH173" s="16"/>
      <c r="AI173" s="16"/>
      <c r="AJ173" s="16"/>
      <c r="AK173" s="16"/>
      <c r="AL173" s="16"/>
      <c r="AM173" s="16"/>
      <c r="AN173" s="16"/>
      <c r="AO173" s="16"/>
      <c r="AP173" s="16"/>
      <c r="AQ173" s="16"/>
      <c r="AR173" s="43"/>
      <c r="AS173" s="2"/>
      <c r="AT173" s="2"/>
      <c r="AU173" s="2"/>
      <c r="AV173" s="2"/>
      <c r="AW173" s="2"/>
      <c r="AX173" s="2"/>
      <c r="AY173" s="2"/>
      <c r="AZ173" s="2"/>
      <c r="BA173" s="2"/>
      <c r="BB173" s="2"/>
      <c r="BC173" s="2"/>
      <c r="BD173" s="2"/>
      <c r="BE173" s="2"/>
      <c r="BF173" s="2"/>
      <c r="BG173" s="2"/>
      <c r="BH173" s="2"/>
      <c r="BI173" s="2"/>
      <c r="BJ173" s="2"/>
      <c r="BK173" s="2"/>
      <c r="BL173" s="43"/>
      <c r="BM173" s="2"/>
      <c r="BN173" s="116"/>
      <c r="BO173" s="2" t="s">
        <v>72</v>
      </c>
      <c r="BP173" s="2"/>
      <c r="BQ173" s="2"/>
      <c r="BR173" s="117"/>
      <c r="BS173" s="2"/>
      <c r="BT173" s="2"/>
      <c r="BU173" s="2"/>
      <c r="BV173" s="2"/>
      <c r="BW173" s="2"/>
      <c r="BX173" s="2"/>
      <c r="BY173" s="124" t="s">
        <v>242</v>
      </c>
      <c r="BZ173" s="114"/>
      <c r="CA173" s="259"/>
      <c r="CB173" s="115"/>
      <c r="CC173" s="2"/>
      <c r="CD173" s="2"/>
      <c r="CE173" s="2"/>
    </row>
    <row r="174" spans="1:83" ht="12.75" customHeight="1" x14ac:dyDescent="0.3">
      <c r="A174" s="16"/>
      <c r="B174" s="95"/>
      <c r="C174" s="35"/>
      <c r="D174" s="35"/>
      <c r="E174" s="35"/>
      <c r="F174" s="35"/>
      <c r="G174" s="35"/>
      <c r="H174" s="35"/>
      <c r="I174" s="35"/>
      <c r="J174" s="35"/>
      <c r="K174" s="35"/>
      <c r="L174" s="35"/>
      <c r="M174" s="35"/>
      <c r="N174" s="35"/>
      <c r="O174" s="35"/>
      <c r="P174" s="35"/>
      <c r="Q174" s="35"/>
      <c r="R174" s="35"/>
      <c r="S174" s="35"/>
      <c r="T174" s="35"/>
      <c r="U174" s="35"/>
      <c r="V174" s="35"/>
      <c r="W174" s="35"/>
      <c r="X174" s="16"/>
      <c r="Y174" s="16"/>
      <c r="Z174" s="16"/>
      <c r="AA174" s="16"/>
      <c r="AB174" s="16"/>
      <c r="AC174" s="16"/>
      <c r="AD174" s="16"/>
      <c r="AE174" s="16"/>
      <c r="AF174" s="16"/>
      <c r="AG174" s="16"/>
      <c r="AH174" s="16"/>
      <c r="AI174" s="16"/>
      <c r="AJ174" s="16"/>
      <c r="AK174" s="16"/>
      <c r="AL174" s="16"/>
      <c r="AM174" s="16"/>
      <c r="AN174" s="16"/>
      <c r="AO174" s="16"/>
      <c r="AP174" s="16"/>
      <c r="AQ174" s="16"/>
      <c r="AR174" s="43"/>
      <c r="AS174" s="2"/>
      <c r="AT174" s="2"/>
      <c r="AU174" s="2"/>
      <c r="AV174" s="2"/>
      <c r="AW174" s="2"/>
      <c r="AX174" s="2"/>
      <c r="AY174" s="2"/>
      <c r="AZ174" s="2"/>
      <c r="BA174" s="2"/>
      <c r="BB174" s="2"/>
      <c r="BC174" s="2"/>
      <c r="BD174" s="2"/>
      <c r="BE174" s="2"/>
      <c r="BF174" s="2"/>
      <c r="BG174" s="2"/>
      <c r="BH174" s="2"/>
      <c r="BI174" s="2"/>
      <c r="BJ174" s="2"/>
      <c r="BK174" s="2"/>
      <c r="BL174" s="43"/>
      <c r="BM174" s="2"/>
      <c r="BN174" s="116"/>
      <c r="BO174" s="2"/>
      <c r="BP174" s="2"/>
      <c r="BQ174" s="2"/>
      <c r="BR174" s="117"/>
      <c r="BS174" s="2"/>
      <c r="BT174" s="2"/>
      <c r="BU174" s="2"/>
      <c r="BV174" s="2"/>
      <c r="BW174" s="2"/>
      <c r="BX174" s="2"/>
      <c r="BY174" s="85" t="s">
        <v>190</v>
      </c>
      <c r="BZ174" s="2"/>
      <c r="CA174" s="86">
        <f>K12</f>
        <v>0</v>
      </c>
      <c r="CB174" s="117" t="s">
        <v>113</v>
      </c>
      <c r="CC174" s="2"/>
      <c r="CD174" s="2"/>
      <c r="CE174" s="2"/>
    </row>
    <row r="175" spans="1:83" ht="12.75" customHeight="1" x14ac:dyDescent="0.3">
      <c r="A175" s="16"/>
      <c r="B175" s="95"/>
      <c r="C175" s="35"/>
      <c r="D175" s="35"/>
      <c r="E175" s="35"/>
      <c r="F175" s="35"/>
      <c r="G175" s="35"/>
      <c r="H175" s="35"/>
      <c r="I175" s="35"/>
      <c r="J175" s="35"/>
      <c r="K175" s="35"/>
      <c r="L175" s="35"/>
      <c r="M175" s="35"/>
      <c r="N175" s="35"/>
      <c r="O175" s="35"/>
      <c r="P175" s="35"/>
      <c r="Q175" s="35"/>
      <c r="R175" s="35"/>
      <c r="S175" s="35"/>
      <c r="T175" s="35"/>
      <c r="U175" s="35"/>
      <c r="V175" s="35"/>
      <c r="W175" s="35"/>
      <c r="X175" s="16"/>
      <c r="Y175" s="16"/>
      <c r="Z175" s="16"/>
      <c r="AA175" s="16"/>
      <c r="AB175" s="16"/>
      <c r="AC175" s="16"/>
      <c r="AD175" s="16"/>
      <c r="AE175" s="16"/>
      <c r="AF175" s="16"/>
      <c r="AG175" s="16"/>
      <c r="AH175" s="16"/>
      <c r="AI175" s="16"/>
      <c r="AJ175" s="16"/>
      <c r="AK175" s="16"/>
      <c r="AL175" s="16"/>
      <c r="AM175" s="16"/>
      <c r="AN175" s="16"/>
      <c r="AO175" s="16"/>
      <c r="AP175" s="16"/>
      <c r="AQ175" s="16"/>
      <c r="AR175" s="43"/>
      <c r="AS175" s="2"/>
      <c r="AT175" s="2"/>
      <c r="AU175" s="2"/>
      <c r="AV175" s="2"/>
      <c r="AW175" s="2"/>
      <c r="AX175" s="2"/>
      <c r="AY175" s="2"/>
      <c r="AZ175" s="2"/>
      <c r="BA175" s="2"/>
      <c r="BB175" s="2"/>
      <c r="BC175" s="2"/>
      <c r="BD175" s="2"/>
      <c r="BE175" s="2"/>
      <c r="BF175" s="2"/>
      <c r="BG175" s="2"/>
      <c r="BH175" s="2"/>
      <c r="BI175" s="2"/>
      <c r="BJ175" s="2"/>
      <c r="BK175" s="2"/>
      <c r="BL175" s="43"/>
      <c r="BM175" s="2"/>
      <c r="BN175" s="88">
        <v>0.12130000000000001</v>
      </c>
      <c r="BO175" s="5" t="s">
        <v>208</v>
      </c>
      <c r="BP175" s="2"/>
      <c r="BQ175" s="2"/>
      <c r="BR175" s="117"/>
      <c r="BS175" s="2"/>
      <c r="BT175" s="2"/>
      <c r="BU175" s="2"/>
      <c r="BV175" s="2"/>
      <c r="BW175" s="2"/>
      <c r="BX175" s="2"/>
      <c r="BY175" s="87" t="s">
        <v>238</v>
      </c>
      <c r="BZ175" s="2"/>
      <c r="CA175" s="86">
        <f>K52</f>
        <v>0</v>
      </c>
      <c r="CB175" s="117" t="s">
        <v>134</v>
      </c>
      <c r="CC175" s="2"/>
      <c r="CD175" s="2"/>
      <c r="CE175" s="2"/>
    </row>
    <row r="176" spans="1:83" ht="12.75" customHeight="1" x14ac:dyDescent="0.3">
      <c r="A176" s="16"/>
      <c r="B176" s="95"/>
      <c r="C176" s="35"/>
      <c r="D176" s="35"/>
      <c r="E176" s="35"/>
      <c r="F176" s="35"/>
      <c r="G176" s="35"/>
      <c r="H176" s="35"/>
      <c r="I176" s="35"/>
      <c r="J176" s="35"/>
      <c r="K176" s="35"/>
      <c r="L176" s="35"/>
      <c r="M176" s="35"/>
      <c r="N176" s="35"/>
      <c r="O176" s="35"/>
      <c r="P176" s="35"/>
      <c r="Q176" s="35"/>
      <c r="R176" s="35"/>
      <c r="S176" s="35"/>
      <c r="T176" s="35"/>
      <c r="U176" s="35"/>
      <c r="V176" s="35"/>
      <c r="W176" s="35"/>
      <c r="X176" s="16"/>
      <c r="Y176" s="16"/>
      <c r="Z176" s="16"/>
      <c r="AA176" s="16"/>
      <c r="AB176" s="16"/>
      <c r="AC176" s="16"/>
      <c r="AD176" s="16"/>
      <c r="AE176" s="16"/>
      <c r="AF176" s="16"/>
      <c r="AG176" s="16"/>
      <c r="AH176" s="16"/>
      <c r="AI176" s="16"/>
      <c r="AJ176" s="16"/>
      <c r="AK176" s="16"/>
      <c r="AL176" s="16"/>
      <c r="AM176" s="16"/>
      <c r="AN176" s="16"/>
      <c r="AO176" s="16"/>
      <c r="AP176" s="16"/>
      <c r="AQ176" s="16"/>
      <c r="AR176" s="43"/>
      <c r="AS176" s="2"/>
      <c r="AT176" s="2"/>
      <c r="AU176" s="2"/>
      <c r="AV176" s="2"/>
      <c r="AW176" s="2"/>
      <c r="AX176" s="2"/>
      <c r="AY176" s="2"/>
      <c r="AZ176" s="2"/>
      <c r="BA176" s="2"/>
      <c r="BB176" s="2"/>
      <c r="BC176" s="2"/>
      <c r="BD176" s="2"/>
      <c r="BE176" s="2"/>
      <c r="BF176" s="2"/>
      <c r="BG176" s="2"/>
      <c r="BH176" s="2"/>
      <c r="BI176" s="2"/>
      <c r="BJ176" s="2"/>
      <c r="BK176" s="2"/>
      <c r="BL176" s="43"/>
      <c r="BM176" s="2"/>
      <c r="BN176" s="112"/>
      <c r="BO176" s="77"/>
      <c r="BP176" s="77"/>
      <c r="BQ176" s="77"/>
      <c r="BR176" s="119"/>
      <c r="BS176" s="2"/>
      <c r="BT176" s="2"/>
      <c r="BU176" s="2"/>
      <c r="BV176" s="2"/>
      <c r="BW176" s="2"/>
      <c r="BX176" s="2"/>
      <c r="BY176" s="87" t="s">
        <v>239</v>
      </c>
      <c r="BZ176" s="2"/>
      <c r="CA176" s="86">
        <f>K60</f>
        <v>0</v>
      </c>
      <c r="CB176" s="249" t="s">
        <v>134</v>
      </c>
      <c r="CC176" s="2"/>
      <c r="CD176" s="2"/>
      <c r="CE176" s="2"/>
    </row>
    <row r="177" spans="1:83" ht="12.75" customHeight="1" x14ac:dyDescent="0.3">
      <c r="A177" s="16"/>
      <c r="B177" s="95"/>
      <c r="C177" s="35"/>
      <c r="D177" s="35"/>
      <c r="E177" s="35"/>
      <c r="F177" s="35"/>
      <c r="G177" s="35"/>
      <c r="H177" s="35"/>
      <c r="I177" s="35"/>
      <c r="J177" s="35"/>
      <c r="K177" s="35"/>
      <c r="L177" s="35"/>
      <c r="M177" s="35"/>
      <c r="N177" s="35"/>
      <c r="O177" s="35"/>
      <c r="P177" s="35"/>
      <c r="Q177" s="35"/>
      <c r="R177" s="35"/>
      <c r="S177" s="35"/>
      <c r="T177" s="35"/>
      <c r="U177" s="35"/>
      <c r="V177" s="35"/>
      <c r="W177" s="35"/>
      <c r="X177" s="16"/>
      <c r="Y177" s="16"/>
      <c r="Z177" s="16"/>
      <c r="AA177" s="16"/>
      <c r="AB177" s="16"/>
      <c r="AC177" s="16"/>
      <c r="AD177" s="16"/>
      <c r="AE177" s="16"/>
      <c r="AF177" s="16"/>
      <c r="AG177" s="16"/>
      <c r="AH177" s="16"/>
      <c r="AI177" s="16"/>
      <c r="AJ177" s="16"/>
      <c r="AK177" s="16"/>
      <c r="AL177" s="16"/>
      <c r="AM177" s="16"/>
      <c r="AN177" s="16"/>
      <c r="AO177" s="16"/>
      <c r="AP177" s="16"/>
      <c r="AQ177" s="16"/>
      <c r="AR177" s="43"/>
      <c r="AS177"/>
      <c r="AT177" s="11"/>
      <c r="AU177" s="11"/>
      <c r="AV177" s="11"/>
      <c r="AW177" s="11"/>
      <c r="AX177" s="11"/>
      <c r="AY177" s="11"/>
      <c r="AZ177" s="11"/>
      <c r="BA177" s="11"/>
      <c r="BB177" s="11"/>
      <c r="BC177" s="11"/>
      <c r="BD177" s="11"/>
      <c r="BE177" s="11"/>
      <c r="BF177" s="11"/>
      <c r="BG177" s="11"/>
      <c r="BH177" s="11"/>
      <c r="BI177" s="11"/>
      <c r="BJ177" s="11"/>
      <c r="BK177" s="11"/>
      <c r="BL177"/>
      <c r="BM177" s="2"/>
      <c r="BN177" s="2"/>
      <c r="BO177" s="2"/>
      <c r="BP177" s="2"/>
      <c r="BQ177" s="2"/>
      <c r="BR177" s="2"/>
      <c r="BS177" s="2"/>
      <c r="BT177" s="2"/>
      <c r="BU177" s="2"/>
      <c r="BV177" s="2"/>
      <c r="BW177" s="2"/>
      <c r="BX177" s="2"/>
      <c r="BY177" s="87" t="s">
        <v>200</v>
      </c>
      <c r="BZ177" s="2"/>
      <c r="CA177" s="86">
        <f>K68</f>
        <v>0</v>
      </c>
      <c r="CB177" s="117" t="s">
        <v>134</v>
      </c>
      <c r="CC177" s="2"/>
      <c r="CD177" s="2"/>
      <c r="CE177" s="2"/>
    </row>
    <row r="178" spans="1:83" ht="12.75" customHeight="1" x14ac:dyDescent="0.3">
      <c r="A178" s="16"/>
      <c r="B178" s="95"/>
      <c r="C178" s="35"/>
      <c r="D178" s="35"/>
      <c r="E178" s="35"/>
      <c r="F178" s="35"/>
      <c r="G178" s="35"/>
      <c r="H178" s="35"/>
      <c r="I178" s="35"/>
      <c r="J178" s="35"/>
      <c r="K178" s="35"/>
      <c r="L178" s="35"/>
      <c r="M178" s="35"/>
      <c r="N178" s="35"/>
      <c r="O178" s="35"/>
      <c r="P178" s="35"/>
      <c r="Q178" s="35"/>
      <c r="R178" s="35"/>
      <c r="S178" s="35"/>
      <c r="T178" s="35"/>
      <c r="U178" s="35"/>
      <c r="V178" s="35"/>
      <c r="W178" s="35"/>
      <c r="X178" s="16"/>
      <c r="Y178" s="16"/>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2"/>
      <c r="BN178" s="2"/>
      <c r="BO178" s="2"/>
      <c r="BP178" s="2"/>
      <c r="BQ178" s="2"/>
      <c r="BR178" s="2"/>
      <c r="BS178" s="2"/>
      <c r="BT178" s="2"/>
      <c r="BU178" s="2"/>
      <c r="BV178" s="2"/>
      <c r="BW178" s="2"/>
      <c r="BX178" s="2"/>
      <c r="BY178" s="96" t="s">
        <v>240</v>
      </c>
      <c r="BZ178" s="77"/>
      <c r="CA178" s="90">
        <f>K92</f>
        <v>0</v>
      </c>
      <c r="CB178" s="119" t="s">
        <v>151</v>
      </c>
      <c r="CC178" s="2"/>
      <c r="CD178" s="2"/>
      <c r="CE178" s="2"/>
    </row>
    <row r="179" spans="1:83" ht="12.75" customHeight="1" x14ac:dyDescent="0.3">
      <c r="A179" s="16"/>
      <c r="B179" s="95"/>
      <c r="C179" s="35"/>
      <c r="D179" s="35"/>
      <c r="E179" s="35"/>
      <c r="F179" s="35"/>
      <c r="G179" s="35"/>
      <c r="H179" s="35"/>
      <c r="I179" s="35"/>
      <c r="J179" s="35"/>
      <c r="K179" s="35"/>
      <c r="L179" s="35"/>
      <c r="M179" s="35"/>
      <c r="N179" s="35"/>
      <c r="O179" s="35"/>
      <c r="P179" s="35"/>
      <c r="Q179" s="35"/>
      <c r="R179" s="35"/>
      <c r="S179" s="35"/>
      <c r="T179" s="35"/>
      <c r="U179" s="35"/>
      <c r="V179" s="35"/>
      <c r="W179" s="35"/>
      <c r="X179" s="16"/>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1"/>
      <c r="CA179" s="11"/>
      <c r="CB179" s="11"/>
      <c r="CC179" s="11"/>
      <c r="CD179" s="11"/>
      <c r="CE179" s="11"/>
    </row>
    <row r="180" spans="1:83" ht="12.75" customHeight="1" x14ac:dyDescent="0.3">
      <c r="A180" s="16"/>
      <c r="B180" s="95"/>
      <c r="C180" s="35"/>
      <c r="D180" s="35"/>
      <c r="E180" s="35"/>
      <c r="F180" s="35"/>
      <c r="G180" s="35"/>
      <c r="H180" s="35"/>
      <c r="I180" s="35"/>
      <c r="J180" s="35"/>
      <c r="K180" s="35"/>
      <c r="L180" s="35"/>
      <c r="M180" s="35"/>
      <c r="N180" s="35"/>
      <c r="O180" s="35"/>
      <c r="P180" s="35"/>
      <c r="Q180" s="35"/>
      <c r="R180" s="35"/>
      <c r="S180" s="35"/>
      <c r="T180" s="35"/>
      <c r="U180" s="35"/>
      <c r="V180" s="35"/>
      <c r="W180" s="35"/>
      <c r="X180" s="16"/>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1"/>
      <c r="CA180" s="11"/>
      <c r="CB180" s="11"/>
      <c r="CC180" s="11"/>
      <c r="CD180" s="11"/>
      <c r="CE180" s="11"/>
    </row>
    <row r="181" spans="1:83" ht="12.75" customHeight="1" x14ac:dyDescent="0.3">
      <c r="A181" s="16"/>
      <c r="B181" s="95"/>
      <c r="C181" s="35"/>
      <c r="D181" s="35"/>
      <c r="E181" s="35"/>
      <c r="F181" s="35"/>
      <c r="G181" s="35"/>
      <c r="H181" s="35"/>
      <c r="I181" s="35"/>
      <c r="J181" s="35"/>
      <c r="K181" s="35"/>
      <c r="L181" s="35"/>
      <c r="M181" s="35"/>
      <c r="N181" s="35"/>
      <c r="O181" s="35"/>
      <c r="P181" s="35"/>
      <c r="Q181" s="35"/>
      <c r="R181" s="35"/>
      <c r="S181" s="35"/>
      <c r="T181" s="35"/>
      <c r="U181" s="35"/>
      <c r="V181" s="35"/>
      <c r="W181" s="35"/>
      <c r="X181" s="16"/>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c r="BW181" s="11"/>
      <c r="BX181" s="11"/>
      <c r="BY181" s="11"/>
      <c r="BZ181" s="11"/>
      <c r="CA181" s="11"/>
      <c r="CB181" s="11"/>
      <c r="CC181" s="11"/>
      <c r="CD181" s="11"/>
      <c r="CE181" s="11"/>
    </row>
    <row r="182" spans="1:83" ht="12.75" customHeight="1" x14ac:dyDescent="0.3">
      <c r="A182" s="16"/>
      <c r="B182" s="95"/>
      <c r="C182" s="35"/>
      <c r="D182" s="35"/>
      <c r="E182" s="35"/>
      <c r="F182" s="35"/>
      <c r="G182" s="35"/>
      <c r="H182" s="35"/>
      <c r="I182" s="35"/>
      <c r="J182" s="35"/>
      <c r="K182" s="35"/>
      <c r="L182" s="35"/>
      <c r="M182" s="35"/>
      <c r="N182" s="35"/>
      <c r="O182" s="35"/>
      <c r="P182" s="35"/>
      <c r="Q182" s="35"/>
      <c r="R182" s="35"/>
      <c r="S182" s="35"/>
      <c r="T182" s="35"/>
      <c r="U182" s="35"/>
      <c r="V182" s="35"/>
      <c r="W182" s="35"/>
      <c r="X182" s="16"/>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1"/>
      <c r="CA182" s="11"/>
      <c r="CB182" s="11"/>
      <c r="CC182" s="11"/>
      <c r="CD182" s="11"/>
      <c r="CE182" s="11"/>
    </row>
    <row r="183" spans="1:83" ht="12.75" customHeight="1" x14ac:dyDescent="0.3">
      <c r="A183" s="16"/>
      <c r="B183" s="95"/>
      <c r="C183" s="35"/>
      <c r="D183" s="35"/>
      <c r="E183" s="35"/>
      <c r="F183" s="35"/>
      <c r="G183" s="35"/>
      <c r="H183" s="35"/>
      <c r="I183" s="35"/>
      <c r="J183" s="35"/>
      <c r="K183" s="35"/>
      <c r="L183" s="35"/>
      <c r="M183" s="35"/>
      <c r="N183" s="35"/>
      <c r="O183" s="35"/>
      <c r="P183" s="35"/>
      <c r="Q183" s="35"/>
      <c r="R183" s="35"/>
      <c r="S183" s="35"/>
      <c r="T183" s="35"/>
      <c r="U183" s="35"/>
      <c r="V183" s="35"/>
      <c r="W183" s="35"/>
      <c r="X183" s="16"/>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c r="BU183" s="11"/>
      <c r="BV183" s="11"/>
      <c r="BW183" s="11"/>
      <c r="BX183" s="11"/>
      <c r="BY183" s="11"/>
      <c r="BZ183" s="11"/>
      <c r="CA183" s="11"/>
      <c r="CB183" s="11"/>
      <c r="CC183" s="11"/>
      <c r="CD183" s="11"/>
      <c r="CE183" s="11"/>
    </row>
    <row r="184" spans="1:83" ht="12.75" customHeight="1" x14ac:dyDescent="0.3">
      <c r="A184" s="16"/>
      <c r="B184" s="95"/>
      <c r="C184" s="35"/>
      <c r="D184" s="35"/>
      <c r="E184" s="35"/>
      <c r="F184" s="35"/>
      <c r="G184" s="35"/>
      <c r="H184" s="35"/>
      <c r="I184" s="35"/>
      <c r="J184" s="35"/>
      <c r="K184" s="35"/>
      <c r="L184" s="35"/>
      <c r="M184" s="35"/>
      <c r="N184" s="35"/>
      <c r="O184" s="35"/>
      <c r="P184" s="35"/>
      <c r="Q184" s="35"/>
      <c r="R184" s="35"/>
      <c r="S184" s="35"/>
      <c r="T184" s="35"/>
      <c r="U184" s="35"/>
      <c r="V184" s="35"/>
      <c r="W184" s="35"/>
      <c r="X184" s="16"/>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U184" s="11"/>
      <c r="BV184" s="11"/>
      <c r="BW184" s="11"/>
      <c r="BX184" s="11"/>
      <c r="BY184" s="11"/>
      <c r="BZ184" s="11"/>
      <c r="CA184" s="11"/>
      <c r="CB184" s="11"/>
      <c r="CC184" s="11"/>
      <c r="CD184" s="11"/>
      <c r="CE184" s="11"/>
    </row>
    <row r="185" spans="1:83" ht="12.75" customHeight="1" x14ac:dyDescent="0.3">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1"/>
      <c r="CA185" s="11"/>
      <c r="CB185" s="11"/>
      <c r="CC185" s="11"/>
      <c r="CD185" s="11"/>
      <c r="CE185" s="11"/>
    </row>
    <row r="186" spans="1:83" ht="12.75" customHeight="1" x14ac:dyDescent="0.3">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1"/>
      <c r="CA186" s="11"/>
      <c r="CB186" s="11"/>
      <c r="CC186" s="11"/>
      <c r="CD186" s="11"/>
      <c r="CE186" s="11"/>
    </row>
    <row r="187" spans="1:83" ht="12.75" customHeight="1" x14ac:dyDescent="0.3">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c r="BU187" s="11"/>
      <c r="BV187" s="11"/>
      <c r="BW187" s="11"/>
      <c r="BX187" s="11"/>
      <c r="BY187" s="11"/>
      <c r="BZ187" s="11"/>
      <c r="CA187" s="11"/>
      <c r="CB187" s="11"/>
      <c r="CC187" s="11"/>
      <c r="CD187" s="11"/>
      <c r="CE187" s="11"/>
    </row>
    <row r="188" spans="1:83" ht="12.75" customHeight="1" x14ac:dyDescent="0.3">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c r="BU188" s="11"/>
      <c r="BV188" s="11"/>
      <c r="BW188" s="11"/>
      <c r="BX188" s="11"/>
      <c r="BY188" s="11"/>
      <c r="BZ188" s="11"/>
      <c r="CA188" s="11"/>
      <c r="CB188" s="11"/>
      <c r="CC188" s="11"/>
      <c r="CD188" s="11"/>
      <c r="CE188" s="11"/>
    </row>
    <row r="189" spans="1:83" ht="12.75" customHeight="1" x14ac:dyDescent="0.3">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U189" s="11"/>
      <c r="BV189" s="11"/>
      <c r="BW189" s="11"/>
      <c r="BX189" s="11"/>
      <c r="BY189" s="11"/>
      <c r="BZ189" s="11"/>
      <c r="CA189" s="11"/>
      <c r="CB189" s="11"/>
      <c r="CC189" s="11"/>
      <c r="CD189" s="11"/>
      <c r="CE189" s="11"/>
    </row>
    <row r="190" spans="1:83" ht="12.75" customHeight="1" x14ac:dyDescent="0.3">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c r="BU190" s="11"/>
      <c r="BV190" s="11"/>
      <c r="BW190" s="11"/>
      <c r="BX190" s="11"/>
      <c r="BY190" s="11"/>
      <c r="BZ190" s="11"/>
      <c r="CA190" s="11"/>
      <c r="CB190" s="11"/>
      <c r="CC190" s="11"/>
      <c r="CD190" s="11"/>
      <c r="CE190" s="11"/>
    </row>
    <row r="191" spans="1:83" ht="12.75" customHeight="1" x14ac:dyDescent="0.3">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1"/>
      <c r="CA191" s="11"/>
      <c r="CB191" s="11"/>
      <c r="CC191" s="11"/>
      <c r="CD191" s="11"/>
      <c r="CE191" s="11"/>
    </row>
    <row r="192" spans="1:83" ht="12.75" customHeight="1" x14ac:dyDescent="0.3">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c r="BU192" s="11"/>
      <c r="BV192" s="11"/>
      <c r="BW192" s="11"/>
      <c r="BX192" s="11"/>
      <c r="BY192" s="11"/>
      <c r="BZ192" s="11"/>
      <c r="CA192" s="11"/>
      <c r="CB192" s="11"/>
      <c r="CC192" s="11"/>
      <c r="CD192" s="11"/>
      <c r="CE192" s="11"/>
    </row>
    <row r="193" spans="1:24" ht="12.75" customHeight="1" x14ac:dyDescent="0.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row>
    <row r="194" spans="1:24" ht="12.75" customHeight="1" x14ac:dyDescent="0.3">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row>
    <row r="195" spans="1:24" ht="12.75" customHeight="1" x14ac:dyDescent="0.3">
      <c r="A195" s="11"/>
      <c r="B195" s="16"/>
      <c r="C195" s="16"/>
      <c r="D195" s="16"/>
      <c r="E195" s="16"/>
      <c r="F195" s="16"/>
      <c r="G195" s="16"/>
      <c r="H195" s="16"/>
      <c r="I195" s="16"/>
      <c r="J195" s="16"/>
      <c r="K195" s="16"/>
      <c r="L195" s="16"/>
      <c r="M195" s="16"/>
      <c r="N195" s="16"/>
      <c r="O195" s="16"/>
      <c r="P195" s="16"/>
      <c r="Q195" s="16"/>
      <c r="R195" s="16"/>
      <c r="S195" s="16"/>
      <c r="T195" s="16"/>
      <c r="U195" s="16"/>
      <c r="V195" s="16"/>
      <c r="W195" s="16"/>
      <c r="X195" s="16"/>
    </row>
    <row r="196" spans="1:24" ht="12.75" customHeight="1" x14ac:dyDescent="0.3">
      <c r="A196" s="11"/>
      <c r="B196" s="16"/>
      <c r="C196" s="16"/>
      <c r="D196" s="16"/>
      <c r="E196" s="16"/>
      <c r="F196" s="16"/>
      <c r="G196" s="16"/>
      <c r="H196" s="16"/>
      <c r="I196" s="16"/>
      <c r="J196" s="16"/>
      <c r="K196" s="16"/>
      <c r="L196" s="16"/>
      <c r="M196" s="16"/>
      <c r="N196" s="16"/>
      <c r="O196" s="16"/>
      <c r="P196" s="16"/>
      <c r="Q196" s="16"/>
      <c r="R196" s="16"/>
      <c r="S196" s="16"/>
      <c r="T196" s="16"/>
      <c r="U196" s="16"/>
      <c r="V196" s="16"/>
      <c r="W196" s="16"/>
      <c r="X196" s="16"/>
    </row>
    <row r="197" spans="1:24" ht="12.75" customHeight="1" x14ac:dyDescent="0.3">
      <c r="A197" s="11"/>
      <c r="B197" s="16"/>
      <c r="C197" s="16"/>
      <c r="D197" s="16"/>
      <c r="E197" s="16"/>
      <c r="F197" s="16"/>
      <c r="G197" s="16"/>
      <c r="H197" s="16"/>
      <c r="I197" s="16"/>
      <c r="J197" s="16"/>
      <c r="K197" s="16"/>
      <c r="L197" s="16"/>
      <c r="M197" s="16"/>
      <c r="N197" s="16"/>
      <c r="O197" s="16"/>
      <c r="P197" s="16"/>
      <c r="Q197" s="16"/>
      <c r="R197" s="16"/>
      <c r="S197" s="16"/>
      <c r="T197" s="16"/>
      <c r="U197" s="16"/>
      <c r="V197" s="16"/>
      <c r="W197" s="16"/>
      <c r="X197" s="16"/>
    </row>
    <row r="198" spans="1:24" ht="12.75" customHeight="1" x14ac:dyDescent="0.3">
      <c r="A198" s="11"/>
      <c r="B198" s="16"/>
      <c r="C198" s="16"/>
      <c r="D198" s="16"/>
      <c r="E198" s="16"/>
      <c r="F198" s="16"/>
      <c r="G198" s="16"/>
      <c r="H198" s="16"/>
      <c r="I198" s="16"/>
      <c r="J198" s="16"/>
      <c r="K198" s="16"/>
      <c r="L198" s="16"/>
      <c r="M198" s="16"/>
      <c r="N198" s="16"/>
      <c r="O198" s="16"/>
      <c r="P198" s="16"/>
      <c r="Q198" s="16"/>
      <c r="R198" s="16"/>
      <c r="S198" s="16"/>
      <c r="T198" s="16"/>
      <c r="U198" s="16"/>
      <c r="V198" s="16"/>
      <c r="W198" s="16"/>
      <c r="X198" s="16"/>
    </row>
    <row r="199" spans="1:24" ht="12.75" customHeight="1" x14ac:dyDescent="0.3">
      <c r="A199" s="11"/>
      <c r="B199" s="16"/>
      <c r="C199" s="16"/>
      <c r="D199" s="16"/>
      <c r="E199" s="16"/>
      <c r="F199" s="16"/>
      <c r="G199" s="16"/>
      <c r="H199" s="16"/>
      <c r="I199" s="16"/>
      <c r="J199" s="16"/>
      <c r="K199" s="16"/>
      <c r="L199" s="16"/>
      <c r="M199" s="16"/>
      <c r="N199" s="16"/>
      <c r="O199" s="16"/>
      <c r="P199" s="16"/>
      <c r="Q199" s="16"/>
      <c r="R199" s="16"/>
      <c r="S199" s="16"/>
      <c r="T199" s="16"/>
      <c r="U199" s="16"/>
      <c r="V199" s="16"/>
      <c r="W199" s="16"/>
      <c r="X199" s="16"/>
    </row>
    <row r="200" spans="1:24" ht="12.75" customHeight="1" x14ac:dyDescent="0.3">
      <c r="A200" s="11"/>
      <c r="B200" s="16"/>
      <c r="C200" s="16"/>
      <c r="D200" s="16"/>
      <c r="E200" s="16"/>
      <c r="F200" s="16"/>
      <c r="G200" s="16"/>
      <c r="H200" s="16"/>
      <c r="I200" s="16"/>
      <c r="J200" s="16"/>
      <c r="K200" s="16"/>
      <c r="L200" s="16"/>
      <c r="M200" s="16"/>
      <c r="N200" s="16"/>
      <c r="O200" s="16"/>
      <c r="P200" s="16"/>
      <c r="Q200" s="16"/>
      <c r="R200" s="16"/>
      <c r="S200" s="16"/>
      <c r="T200" s="16"/>
      <c r="U200" s="16"/>
      <c r="V200" s="16"/>
      <c r="W200" s="16"/>
      <c r="X200" s="16"/>
    </row>
    <row r="201" spans="1:24" ht="12.75" customHeight="1" x14ac:dyDescent="0.3">
      <c r="A201" s="11"/>
      <c r="B201" s="16"/>
      <c r="C201" s="16"/>
      <c r="D201" s="16"/>
      <c r="E201" s="16"/>
      <c r="F201" s="16"/>
      <c r="G201" s="16"/>
      <c r="H201" s="16"/>
      <c r="I201" s="16"/>
      <c r="J201" s="16"/>
      <c r="K201" s="16"/>
      <c r="L201" s="16"/>
      <c r="M201" s="16"/>
      <c r="N201" s="16"/>
      <c r="O201" s="16"/>
      <c r="P201" s="16"/>
      <c r="Q201" s="16"/>
      <c r="R201" s="16"/>
      <c r="S201" s="16"/>
      <c r="T201" s="16"/>
      <c r="U201" s="16"/>
      <c r="V201" s="16"/>
      <c r="W201" s="16"/>
      <c r="X201" s="16"/>
    </row>
    <row r="202" spans="1:24" ht="12.75" customHeight="1" x14ac:dyDescent="0.3">
      <c r="A202" s="11"/>
      <c r="B202" s="16"/>
      <c r="C202" s="16"/>
      <c r="D202" s="16"/>
      <c r="E202" s="16"/>
      <c r="F202" s="16"/>
      <c r="G202" s="16"/>
      <c r="H202" s="16"/>
      <c r="I202" s="16"/>
      <c r="J202" s="16"/>
      <c r="K202" s="16"/>
      <c r="L202" s="16"/>
      <c r="M202" s="16"/>
      <c r="N202" s="16"/>
      <c r="O202" s="16"/>
      <c r="P202" s="16"/>
      <c r="Q202" s="16"/>
      <c r="R202" s="16"/>
      <c r="S202" s="16"/>
      <c r="T202" s="16"/>
      <c r="U202" s="16"/>
      <c r="V202" s="16"/>
      <c r="W202" s="16"/>
      <c r="X202" s="16"/>
    </row>
    <row r="203" spans="1:24" ht="12.75" customHeight="1" x14ac:dyDescent="0.3">
      <c r="A203" s="11"/>
      <c r="B203" s="16"/>
      <c r="C203" s="16"/>
      <c r="D203" s="16"/>
      <c r="E203" s="16"/>
      <c r="F203" s="16"/>
      <c r="G203" s="16"/>
      <c r="H203" s="16"/>
      <c r="I203" s="16"/>
      <c r="J203" s="16"/>
      <c r="K203" s="16"/>
      <c r="L203" s="16"/>
      <c r="M203" s="16"/>
      <c r="N203" s="16"/>
      <c r="O203" s="16"/>
      <c r="P203" s="16"/>
      <c r="Q203" s="16"/>
      <c r="R203" s="16"/>
      <c r="S203" s="16"/>
      <c r="T203" s="16"/>
      <c r="U203" s="16"/>
      <c r="V203" s="16"/>
      <c r="W203" s="16"/>
      <c r="X203" s="11"/>
    </row>
    <row r="204" spans="1:24" ht="12.75" customHeight="1" x14ac:dyDescent="0.3">
      <c r="A204" s="11"/>
      <c r="B204" s="16"/>
      <c r="C204" s="16"/>
      <c r="D204" s="16"/>
      <c r="E204" s="16"/>
      <c r="F204" s="16"/>
      <c r="G204" s="16"/>
      <c r="H204" s="16"/>
      <c r="I204" s="16"/>
      <c r="J204" s="16"/>
      <c r="K204" s="16"/>
      <c r="L204" s="16"/>
      <c r="M204" s="16"/>
      <c r="N204" s="16"/>
      <c r="O204" s="16"/>
      <c r="P204" s="16"/>
      <c r="Q204" s="16"/>
      <c r="R204" s="16"/>
      <c r="S204" s="16"/>
      <c r="T204" s="16"/>
      <c r="U204" s="16"/>
      <c r="V204" s="16"/>
      <c r="W204" s="16"/>
      <c r="X204" s="11"/>
    </row>
    <row r="205" spans="1:24" ht="12.75" customHeight="1" x14ac:dyDescent="0.3">
      <c r="A205" s="11"/>
      <c r="B205" s="16"/>
      <c r="C205" s="16"/>
      <c r="D205" s="16"/>
      <c r="E205" s="16"/>
      <c r="F205" s="16"/>
      <c r="G205" s="16"/>
      <c r="H205" s="16"/>
      <c r="I205" s="16"/>
      <c r="J205" s="16"/>
      <c r="K205" s="16"/>
      <c r="L205" s="16"/>
      <c r="M205" s="16"/>
      <c r="N205" s="16"/>
      <c r="O205" s="16"/>
      <c r="P205" s="16"/>
      <c r="Q205" s="16"/>
      <c r="R205" s="16"/>
      <c r="S205" s="16"/>
      <c r="T205" s="16"/>
      <c r="U205" s="16"/>
      <c r="V205" s="16"/>
      <c r="W205" s="16"/>
      <c r="X205" s="11"/>
    </row>
    <row r="206" spans="1:24" ht="12.75" customHeight="1" x14ac:dyDescent="0.3">
      <c r="A206" s="11"/>
      <c r="B206" s="16"/>
      <c r="C206" s="16"/>
      <c r="D206" s="16"/>
      <c r="E206" s="16"/>
      <c r="F206" s="16"/>
      <c r="G206" s="16"/>
      <c r="H206" s="16"/>
      <c r="I206" s="16"/>
      <c r="J206" s="16"/>
      <c r="K206" s="16"/>
      <c r="L206" s="16"/>
      <c r="M206" s="16"/>
      <c r="N206" s="16"/>
      <c r="O206" s="16"/>
      <c r="P206" s="16"/>
      <c r="Q206" s="16"/>
      <c r="R206" s="16"/>
      <c r="S206" s="16"/>
      <c r="T206" s="16"/>
      <c r="U206" s="16"/>
      <c r="V206" s="16"/>
      <c r="W206" s="16"/>
      <c r="X206" s="11"/>
    </row>
    <row r="207" spans="1:24" ht="12.75" customHeight="1" x14ac:dyDescent="0.3">
      <c r="A207" s="11"/>
      <c r="B207" s="16"/>
      <c r="C207" s="16"/>
      <c r="D207" s="16"/>
      <c r="E207" s="16"/>
      <c r="F207" s="16"/>
      <c r="G207" s="16"/>
      <c r="H207" s="16"/>
      <c r="I207" s="16"/>
      <c r="J207" s="16"/>
      <c r="K207" s="16"/>
      <c r="L207" s="16"/>
      <c r="M207" s="16"/>
      <c r="N207" s="16"/>
      <c r="O207" s="16"/>
      <c r="P207" s="16"/>
      <c r="Q207" s="16"/>
      <c r="R207" s="16"/>
      <c r="S207" s="16"/>
      <c r="T207" s="16"/>
      <c r="U207" s="16"/>
      <c r="V207" s="16"/>
      <c r="W207" s="16"/>
      <c r="X207" s="11"/>
    </row>
    <row r="208" spans="1:24" ht="12.75" customHeight="1" x14ac:dyDescent="0.3">
      <c r="A208" s="11"/>
      <c r="B208" s="16"/>
      <c r="C208" s="16"/>
      <c r="D208" s="16"/>
      <c r="E208" s="16"/>
      <c r="F208" s="16"/>
      <c r="G208" s="16"/>
      <c r="H208" s="16"/>
      <c r="I208" s="16"/>
      <c r="J208" s="16"/>
      <c r="K208" s="16"/>
      <c r="L208" s="16"/>
      <c r="M208" s="16"/>
      <c r="N208" s="16"/>
      <c r="O208" s="16"/>
      <c r="P208" s="16"/>
      <c r="Q208" s="16"/>
      <c r="R208" s="16"/>
      <c r="S208" s="16"/>
      <c r="T208" s="16"/>
      <c r="U208" s="16"/>
      <c r="V208" s="16"/>
      <c r="W208" s="16"/>
      <c r="X208" s="11"/>
    </row>
    <row r="209" spans="2:23" ht="12.75" customHeight="1" x14ac:dyDescent="0.3">
      <c r="B209" s="16"/>
      <c r="C209" s="16"/>
      <c r="D209" s="16"/>
      <c r="E209" s="16"/>
      <c r="F209" s="16"/>
      <c r="G209" s="16"/>
      <c r="H209" s="16"/>
      <c r="I209" s="16"/>
      <c r="J209" s="16"/>
      <c r="K209" s="16"/>
      <c r="L209" s="16"/>
      <c r="M209" s="16"/>
      <c r="N209" s="16"/>
      <c r="O209" s="16"/>
      <c r="P209" s="16"/>
      <c r="Q209" s="16"/>
      <c r="R209" s="16"/>
      <c r="S209" s="16"/>
      <c r="T209" s="16"/>
      <c r="U209" s="16"/>
      <c r="V209" s="16"/>
      <c r="W209" s="16"/>
    </row>
    <row r="210" spans="2:23" ht="12.75" customHeight="1" x14ac:dyDescent="0.3">
      <c r="B210" s="16"/>
      <c r="C210" s="16"/>
      <c r="D210" s="16"/>
      <c r="E210" s="16"/>
      <c r="F210" s="16"/>
      <c r="G210" s="16"/>
      <c r="H210" s="16"/>
      <c r="I210" s="16"/>
      <c r="J210" s="16"/>
      <c r="K210" s="16"/>
      <c r="L210" s="16"/>
      <c r="M210" s="16"/>
      <c r="N210" s="16"/>
      <c r="O210" s="16"/>
      <c r="P210" s="16"/>
      <c r="Q210" s="16"/>
      <c r="R210" s="16"/>
      <c r="S210" s="16"/>
      <c r="T210" s="16"/>
      <c r="U210" s="16"/>
      <c r="V210" s="16"/>
      <c r="W210" s="16"/>
    </row>
    <row r="211" spans="2:23" ht="12.75" customHeight="1" x14ac:dyDescent="0.3">
      <c r="B211" s="16"/>
      <c r="C211" s="16"/>
      <c r="D211" s="16"/>
      <c r="E211" s="16"/>
      <c r="F211" s="16"/>
      <c r="G211" s="16"/>
      <c r="H211" s="16"/>
      <c r="I211" s="16"/>
      <c r="J211" s="16"/>
      <c r="K211" s="16"/>
      <c r="L211" s="16"/>
      <c r="M211" s="16"/>
      <c r="N211" s="16"/>
      <c r="O211" s="16"/>
      <c r="P211" s="16"/>
      <c r="Q211" s="16"/>
      <c r="R211" s="16"/>
      <c r="S211" s="16"/>
      <c r="T211" s="16"/>
      <c r="U211" s="16"/>
      <c r="V211" s="16"/>
      <c r="W211" s="16"/>
    </row>
    <row r="212" spans="2:23" ht="12.75" customHeight="1" x14ac:dyDescent="0.3">
      <c r="B212" s="16"/>
      <c r="C212" s="16"/>
      <c r="D212" s="16"/>
      <c r="E212" s="16"/>
      <c r="F212" s="16"/>
      <c r="G212" s="16"/>
      <c r="H212" s="16"/>
      <c r="I212" s="16"/>
      <c r="J212" s="16"/>
      <c r="K212" s="16"/>
      <c r="L212" s="16"/>
      <c r="M212" s="16"/>
      <c r="N212" s="16"/>
      <c r="O212" s="16"/>
      <c r="P212" s="16"/>
      <c r="Q212" s="16"/>
      <c r="R212" s="16"/>
      <c r="S212" s="16"/>
      <c r="T212" s="16"/>
      <c r="U212" s="16"/>
      <c r="V212" s="16"/>
      <c r="W212" s="16"/>
    </row>
    <row r="213" spans="2:23" ht="12.75" customHeight="1" x14ac:dyDescent="0.3">
      <c r="B213" s="16"/>
      <c r="C213" s="16"/>
      <c r="D213" s="16"/>
      <c r="E213" s="16"/>
      <c r="F213" s="16"/>
      <c r="G213" s="16"/>
      <c r="H213" s="16"/>
      <c r="I213" s="16"/>
      <c r="J213" s="16"/>
      <c r="K213" s="16"/>
      <c r="L213" s="16"/>
      <c r="M213" s="16"/>
      <c r="N213" s="16"/>
      <c r="O213" s="16"/>
      <c r="P213" s="16"/>
      <c r="Q213" s="16"/>
      <c r="R213" s="16"/>
      <c r="S213" s="16"/>
      <c r="T213" s="16"/>
      <c r="U213" s="16"/>
      <c r="V213" s="16"/>
      <c r="W213" s="16"/>
    </row>
    <row r="214" spans="2:23" ht="12.75" customHeight="1" x14ac:dyDescent="0.3">
      <c r="B214" s="16"/>
      <c r="C214" s="16"/>
      <c r="D214" s="16"/>
      <c r="E214" s="16"/>
      <c r="F214" s="16"/>
      <c r="G214" s="16"/>
      <c r="H214" s="16"/>
      <c r="I214" s="16"/>
      <c r="J214" s="16"/>
      <c r="K214" s="16"/>
      <c r="L214" s="16"/>
      <c r="M214" s="16"/>
      <c r="N214" s="16"/>
      <c r="O214" s="16"/>
      <c r="P214" s="16"/>
      <c r="Q214" s="16"/>
      <c r="R214" s="16"/>
      <c r="S214" s="16"/>
      <c r="T214" s="16"/>
      <c r="U214" s="16"/>
      <c r="V214" s="16"/>
      <c r="W214" s="16"/>
    </row>
    <row r="215" spans="2:23" ht="12.75" customHeight="1" x14ac:dyDescent="0.3">
      <c r="B215" s="16"/>
      <c r="C215" s="16"/>
      <c r="D215" s="16"/>
      <c r="E215" s="16"/>
      <c r="F215" s="16"/>
      <c r="G215" s="16"/>
      <c r="H215" s="16"/>
      <c r="I215" s="16"/>
      <c r="J215" s="16"/>
      <c r="K215" s="16"/>
      <c r="L215" s="16"/>
      <c r="M215" s="16"/>
      <c r="N215" s="16"/>
      <c r="O215" s="16"/>
      <c r="P215" s="16"/>
      <c r="Q215" s="16"/>
      <c r="R215" s="16"/>
      <c r="S215" s="16"/>
      <c r="T215" s="16"/>
      <c r="U215" s="16"/>
      <c r="V215" s="16"/>
      <c r="W215" s="16"/>
    </row>
    <row r="216" spans="2:23" ht="12.75" customHeight="1" x14ac:dyDescent="0.3">
      <c r="B216" s="16"/>
      <c r="C216" s="16"/>
      <c r="D216" s="16"/>
      <c r="E216" s="16"/>
      <c r="F216" s="16"/>
      <c r="G216" s="16"/>
      <c r="H216" s="16"/>
      <c r="I216" s="16"/>
      <c r="J216" s="16"/>
      <c r="K216" s="16"/>
      <c r="L216" s="16"/>
      <c r="M216" s="16"/>
      <c r="N216" s="16"/>
      <c r="O216" s="16"/>
      <c r="P216" s="16"/>
      <c r="Q216" s="16"/>
      <c r="R216" s="16"/>
      <c r="S216" s="16"/>
      <c r="T216" s="16"/>
      <c r="U216" s="16"/>
      <c r="V216" s="16"/>
      <c r="W216" s="16"/>
    </row>
    <row r="217" spans="2:23" ht="12.75" customHeight="1" x14ac:dyDescent="0.3">
      <c r="B217" s="16"/>
      <c r="C217" s="16"/>
      <c r="D217" s="16"/>
      <c r="E217" s="16"/>
      <c r="F217" s="16"/>
      <c r="G217" s="16"/>
      <c r="H217" s="16"/>
      <c r="I217" s="16"/>
      <c r="J217" s="16"/>
      <c r="K217" s="16"/>
      <c r="L217" s="16"/>
      <c r="M217" s="16"/>
      <c r="N217" s="16"/>
      <c r="O217" s="16"/>
      <c r="P217" s="16"/>
      <c r="Q217" s="16"/>
      <c r="R217" s="16"/>
      <c r="S217" s="16"/>
      <c r="T217" s="16"/>
      <c r="U217" s="16"/>
      <c r="V217" s="16"/>
      <c r="W217" s="16"/>
    </row>
    <row r="218" spans="2:23" ht="12.75" customHeight="1" x14ac:dyDescent="0.3">
      <c r="B218" s="16"/>
      <c r="C218" s="16"/>
      <c r="D218" s="16"/>
      <c r="E218" s="16"/>
      <c r="F218" s="16"/>
      <c r="G218" s="16"/>
      <c r="H218" s="16"/>
      <c r="I218" s="16"/>
      <c r="J218" s="16"/>
      <c r="K218" s="16"/>
      <c r="L218" s="16"/>
      <c r="M218" s="16"/>
      <c r="N218" s="16"/>
      <c r="O218" s="16"/>
      <c r="P218" s="16"/>
      <c r="Q218" s="16"/>
      <c r="R218" s="16"/>
      <c r="S218" s="16"/>
      <c r="T218" s="16"/>
      <c r="U218" s="16"/>
      <c r="V218" s="16"/>
      <c r="W218" s="16"/>
    </row>
    <row r="219" spans="2:23" ht="12.75" customHeight="1" x14ac:dyDescent="0.3">
      <c r="B219" s="16"/>
      <c r="C219" s="16"/>
      <c r="D219" s="16"/>
      <c r="E219" s="16"/>
      <c r="F219" s="16"/>
      <c r="G219" s="16"/>
      <c r="H219" s="16"/>
      <c r="I219" s="16"/>
      <c r="J219" s="16"/>
      <c r="K219" s="16"/>
      <c r="L219" s="16"/>
      <c r="M219" s="16"/>
      <c r="N219" s="16"/>
      <c r="O219" s="16"/>
      <c r="P219" s="16"/>
      <c r="Q219" s="16"/>
      <c r="R219" s="16"/>
      <c r="S219" s="16"/>
      <c r="T219" s="16"/>
      <c r="U219" s="16"/>
      <c r="V219" s="16"/>
      <c r="W219" s="16"/>
    </row>
    <row r="220" spans="2:23" ht="12.75" customHeight="1" x14ac:dyDescent="0.3">
      <c r="B220" s="16"/>
      <c r="C220" s="16"/>
      <c r="D220" s="16"/>
      <c r="E220" s="16"/>
      <c r="F220" s="16"/>
      <c r="G220" s="16"/>
      <c r="H220" s="16"/>
      <c r="I220" s="16"/>
      <c r="J220" s="16"/>
      <c r="K220" s="16"/>
      <c r="L220" s="16"/>
      <c r="M220" s="16"/>
      <c r="N220" s="16"/>
      <c r="O220" s="16"/>
      <c r="P220" s="16"/>
      <c r="Q220" s="16"/>
      <c r="R220" s="16"/>
      <c r="S220" s="16"/>
      <c r="T220" s="16"/>
      <c r="U220" s="16"/>
      <c r="V220" s="16"/>
      <c r="W220" s="16"/>
    </row>
    <row r="221" spans="2:23" ht="12.75" customHeight="1" x14ac:dyDescent="0.3">
      <c r="B221" s="16"/>
      <c r="C221" s="16"/>
      <c r="D221" s="16"/>
      <c r="E221" s="16"/>
      <c r="F221" s="16"/>
      <c r="G221" s="16"/>
      <c r="H221" s="16"/>
      <c r="I221" s="16"/>
      <c r="J221" s="16"/>
      <c r="K221" s="16"/>
      <c r="L221" s="16"/>
      <c r="M221" s="16"/>
      <c r="N221" s="16"/>
      <c r="O221" s="16"/>
      <c r="P221" s="16"/>
      <c r="Q221" s="16"/>
      <c r="R221" s="16"/>
      <c r="S221" s="16"/>
      <c r="T221" s="16"/>
      <c r="U221" s="16"/>
      <c r="V221" s="16"/>
      <c r="W221" s="16"/>
    </row>
    <row r="222" spans="2:23" ht="12.75" customHeight="1" x14ac:dyDescent="0.3">
      <c r="B222" s="16"/>
      <c r="C222" s="16"/>
      <c r="D222" s="16"/>
      <c r="E222" s="16"/>
      <c r="F222" s="16"/>
      <c r="G222" s="16"/>
      <c r="H222" s="16"/>
      <c r="I222" s="16"/>
      <c r="J222" s="16"/>
      <c r="K222" s="16"/>
      <c r="L222" s="16"/>
      <c r="M222" s="16"/>
      <c r="N222" s="16"/>
      <c r="O222" s="16"/>
      <c r="P222" s="16"/>
      <c r="Q222" s="16"/>
      <c r="R222" s="16"/>
      <c r="S222" s="16"/>
      <c r="T222" s="16"/>
      <c r="U222" s="16"/>
      <c r="V222" s="16"/>
      <c r="W222" s="16"/>
    </row>
    <row r="223" spans="2:23" ht="12.75" customHeight="1" x14ac:dyDescent="0.3">
      <c r="B223" s="16"/>
      <c r="C223" s="16"/>
      <c r="D223" s="16"/>
      <c r="E223" s="16"/>
      <c r="F223" s="16"/>
      <c r="G223" s="16"/>
      <c r="H223" s="16"/>
      <c r="I223" s="16"/>
      <c r="J223" s="16"/>
      <c r="K223" s="16"/>
      <c r="L223" s="16"/>
      <c r="M223" s="16"/>
      <c r="N223" s="16"/>
      <c r="O223" s="16"/>
      <c r="P223" s="16"/>
      <c r="Q223" s="16"/>
      <c r="R223" s="16"/>
      <c r="S223" s="16"/>
      <c r="T223" s="16"/>
      <c r="U223" s="16"/>
      <c r="V223" s="16"/>
      <c r="W223" s="16"/>
    </row>
    <row r="224" spans="2:23" ht="12.75" customHeight="1" x14ac:dyDescent="0.3">
      <c r="B224" s="16"/>
      <c r="C224" s="16"/>
      <c r="D224" s="16"/>
      <c r="E224" s="16"/>
      <c r="F224" s="16"/>
      <c r="G224" s="16"/>
      <c r="H224" s="16"/>
      <c r="I224" s="16"/>
      <c r="J224" s="16"/>
      <c r="K224" s="16"/>
      <c r="L224" s="16"/>
      <c r="M224" s="16"/>
      <c r="N224" s="16"/>
      <c r="O224" s="16"/>
      <c r="P224" s="16"/>
      <c r="Q224" s="16"/>
      <c r="R224" s="16"/>
      <c r="S224" s="16"/>
      <c r="T224" s="16"/>
      <c r="U224" s="16"/>
      <c r="V224" s="16"/>
      <c r="W224" s="16"/>
    </row>
    <row r="225" spans="2:23" ht="12.75" customHeight="1" x14ac:dyDescent="0.3">
      <c r="B225" s="16"/>
      <c r="C225" s="16"/>
      <c r="D225" s="16"/>
      <c r="E225" s="16"/>
      <c r="F225" s="16"/>
      <c r="G225" s="16"/>
      <c r="H225" s="16"/>
      <c r="I225" s="16"/>
      <c r="J225" s="16"/>
      <c r="K225" s="16"/>
      <c r="L225" s="16"/>
      <c r="M225" s="16"/>
      <c r="N225" s="16"/>
      <c r="O225" s="16"/>
      <c r="P225" s="16"/>
      <c r="Q225" s="16"/>
      <c r="R225" s="16"/>
      <c r="S225" s="16"/>
      <c r="T225" s="16"/>
      <c r="U225" s="16"/>
      <c r="V225" s="16"/>
      <c r="W225" s="16"/>
    </row>
  </sheetData>
  <printOptions verticalCentered="1"/>
  <pageMargins left="1" right="0.25" top="1" bottom="1" header="0.5" footer="0.5"/>
  <pageSetup paperSize="9" scale="19" fitToWidth="0"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2:W78"/>
  <sheetViews>
    <sheetView zoomScale="75" zoomScaleNormal="100" workbookViewId="0">
      <selection activeCell="A2" sqref="A2"/>
    </sheetView>
  </sheetViews>
  <sheetFormatPr defaultRowHeight="13.8" x14ac:dyDescent="0.3"/>
  <cols>
    <col min="1" max="1" width="24.44140625" customWidth="1"/>
    <col min="3" max="3" width="10.6640625" customWidth="1"/>
    <col min="8" max="8" width="11.109375" customWidth="1"/>
    <col min="9" max="9" width="29.88671875" customWidth="1"/>
    <col min="17" max="17" width="28.33203125" customWidth="1"/>
  </cols>
  <sheetData>
    <row r="2" spans="1:23" x14ac:dyDescent="0.3">
      <c r="A2" s="647" t="s">
        <v>243</v>
      </c>
      <c r="B2" s="514"/>
      <c r="C2" s="514"/>
      <c r="D2" s="514"/>
      <c r="E2" s="514"/>
      <c r="F2" s="514"/>
      <c r="G2" s="648"/>
      <c r="I2" s="647" t="s">
        <v>244</v>
      </c>
      <c r="J2" s="514"/>
      <c r="K2" s="514"/>
      <c r="L2" s="514"/>
      <c r="M2" s="514"/>
      <c r="N2" s="514"/>
      <c r="O2" s="648"/>
      <c r="Q2" s="652" t="s">
        <v>245</v>
      </c>
      <c r="R2" s="546"/>
      <c r="S2" s="546"/>
      <c r="T2" s="514"/>
      <c r="U2" s="514"/>
      <c r="V2" s="514"/>
      <c r="W2" s="648"/>
    </row>
    <row r="3" spans="1:23" x14ac:dyDescent="0.3">
      <c r="A3" s="340"/>
      <c r="B3" t="s">
        <v>246</v>
      </c>
      <c r="C3" t="s">
        <v>247</v>
      </c>
      <c r="D3" t="s">
        <v>248</v>
      </c>
      <c r="E3" t="s">
        <v>249</v>
      </c>
      <c r="F3" t="s">
        <v>250</v>
      </c>
      <c r="G3" s="649"/>
      <c r="I3" s="340"/>
      <c r="J3" t="s">
        <v>246</v>
      </c>
      <c r="K3" t="s">
        <v>247</v>
      </c>
      <c r="L3" t="s">
        <v>248</v>
      </c>
      <c r="M3" t="s">
        <v>249</v>
      </c>
      <c r="N3" t="s">
        <v>250</v>
      </c>
      <c r="O3" s="649"/>
      <c r="Q3" s="653" t="s">
        <v>251</v>
      </c>
      <c r="R3" s="655">
        <v>450</v>
      </c>
      <c r="S3" s="654" t="s">
        <v>252</v>
      </c>
      <c r="W3" s="649"/>
    </row>
    <row r="4" spans="1:23" ht="15" x14ac:dyDescent="0.3">
      <c r="A4" s="385" t="s">
        <v>112</v>
      </c>
      <c r="B4">
        <f>J4+J18+J32</f>
        <v>1.4943958192709073E-7</v>
      </c>
      <c r="C4">
        <f>K4+K18+K32</f>
        <v>1.7367271367134049E-8</v>
      </c>
      <c r="D4">
        <f>L4+L18+L32</f>
        <v>1.0002189419312965E-9</v>
      </c>
      <c r="E4">
        <f>M4+M18+M32</f>
        <v>3.7633054683341437E-10</v>
      </c>
      <c r="F4">
        <f>N4+N18+N32</f>
        <v>1.869446083030516E-10</v>
      </c>
      <c r="G4" s="157" t="s">
        <v>253</v>
      </c>
      <c r="I4" s="385" t="s">
        <v>112</v>
      </c>
      <c r="J4">
        <f>'all species output'!$M15</f>
        <v>4.2210206505101223E-8</v>
      </c>
      <c r="K4">
        <f>'all species output'!$N15</f>
        <v>4.8589964809535175E-10</v>
      </c>
      <c r="L4">
        <f>'all species output'!$O15</f>
        <v>2.3911640916597576E-12</v>
      </c>
      <c r="M4">
        <f>'all species output'!$P15</f>
        <v>6.7986499884286192E-14</v>
      </c>
      <c r="N4">
        <f>'all species output'!$Q15</f>
        <v>3.54154565882851E-14</v>
      </c>
      <c r="O4" s="157" t="s">
        <v>113</v>
      </c>
      <c r="Q4" s="340"/>
      <c r="R4" t="s">
        <v>246</v>
      </c>
      <c r="S4" t="s">
        <v>247</v>
      </c>
      <c r="T4" t="s">
        <v>248</v>
      </c>
      <c r="U4" t="s">
        <v>249</v>
      </c>
      <c r="V4" t="s">
        <v>250</v>
      </c>
      <c r="W4" s="649"/>
    </row>
    <row r="5" spans="1:23" ht="15" x14ac:dyDescent="0.3">
      <c r="A5" s="101" t="s">
        <v>133</v>
      </c>
      <c r="B5">
        <f t="shared" ref="B5:C9" si="0">J5+J19+J33</f>
        <v>1.3559541123197571E-4</v>
      </c>
      <c r="C5">
        <f t="shared" si="0"/>
        <v>1.0144305137232444E-6</v>
      </c>
      <c r="G5" s="157" t="s">
        <v>210</v>
      </c>
      <c r="I5" s="101" t="s">
        <v>133</v>
      </c>
      <c r="J5">
        <f>'all species output'!$M23</f>
        <v>1.1883858628205023E-11</v>
      </c>
      <c r="K5">
        <f>'all species output'!$N23</f>
        <v>1.3669589153090395E-13</v>
      </c>
      <c r="O5" s="157" t="s">
        <v>134</v>
      </c>
      <c r="Q5" s="385" t="s">
        <v>112</v>
      </c>
      <c r="R5">
        <f>IF((RadP.a*2)&lt;bioavai.cutoff.diameter*0.000000001,'nano micro output'!B4,IF((RadA.w*2)&lt;bioavai.cutoff.diameter*0.000000001,'nano micro output'!J4+'nano micro output'!J18,IF((RadS*2)&lt;bioavai.cutoff.diameter*0.000000001,'nano micro output'!J4,0)))</f>
        <v>1.4939680322811894E-7</v>
      </c>
      <c r="S5">
        <f>IF((RadP.a*2)&lt;bioavai.cutoff.diameter*0.000000001,'nano micro output'!C4,IF((RadA.w*2)&lt;bioavai.cutoff.diameter*0.000000001,'nano micro output'!K4+'nano micro output'!K18,IF((RadS*2)&lt;bioavai.cutoff.diameter*0.000000001,'nano micro output'!K4,0)))</f>
        <v>1.7366562556948739E-8</v>
      </c>
      <c r="T5">
        <f>IF((RadP.a*2)&lt;bioavai.cutoff.diameter*0.000000001,'nano micro output'!D4,IF((RadA.w*2)&lt;bioavai.cutoff.diameter*0.000000001,'nano micro output'!L4+'nano micro output'!L18,IF((RadS*2)&lt;bioavai.cutoff.diameter*0.000000001,'nano micro output'!L4,0)))</f>
        <v>1.0002150960275044E-9</v>
      </c>
      <c r="U5">
        <f>IF((RadP.a*2)&lt;bioavai.cutoff.diameter*0.000000001,'nano micro output'!E4,IF((RadA.w*2)&lt;bioavai.cutoff.diameter*0.000000001,'nano micro output'!M4+'nano micro output'!M18,IF((RadS*2)&lt;bioavai.cutoff.diameter*0.000000001,'nano micro output'!M4,0)))</f>
        <v>3.7633026534189611E-10</v>
      </c>
      <c r="V5">
        <f>IF((RadP.a*2)&lt;bioavai.cutoff.diameter*0.000000001,'nano micro output'!F4,IF((RadA.w*2)&lt;bioavai.cutoff.diameter*0.000000001,'nano micro output'!N4+'nano micro output'!N18,IF((RadS*2)&lt;bioavai.cutoff.diameter*0.000000001,'nano micro output'!N4,0)))</f>
        <v>1.8694457466443466E-10</v>
      </c>
      <c r="W5" s="157" t="s">
        <v>113</v>
      </c>
    </row>
    <row r="6" spans="1:23" ht="15" x14ac:dyDescent="0.3">
      <c r="A6" s="101" t="s">
        <v>150</v>
      </c>
      <c r="B6">
        <f t="shared" si="0"/>
        <v>0.16096654847557856</v>
      </c>
      <c r="C6">
        <f t="shared" si="0"/>
        <v>5.1840918346757105E-4</v>
      </c>
      <c r="G6" s="157" t="s">
        <v>213</v>
      </c>
      <c r="I6" s="101" t="s">
        <v>150</v>
      </c>
      <c r="J6">
        <f>'all species output'!$M31</f>
        <v>3.9589672886045446E-16</v>
      </c>
      <c r="K6">
        <f>'all species output'!$N31</f>
        <v>1.6654607390586004E-18</v>
      </c>
      <c r="O6" s="157" t="s">
        <v>151</v>
      </c>
      <c r="Q6" s="101" t="s">
        <v>133</v>
      </c>
      <c r="R6">
        <f>IF((RadP.w*2)&lt;bioavai.cutoff.diameter*0.000000001,'nano micro output'!B5,IF((RadA.w*2)&lt;bioavai.cutoff.diameter*0.000000001,'nano micro output'!J5+'nano micro output'!J19,IF((RadS*2)&lt;bioavai.cutoff.diameter*0.000000001,'nano micro output'!J5,0)))</f>
        <v>1.3520307250266492E-4</v>
      </c>
      <c r="S6">
        <f>IF((RadP.w*2)&lt;bioavai.cutoff.diameter*0.000000001,'nano micro output'!C5,IF((RadA.w*2)&lt;bioavai.cutoff.diameter*0.000000001,'nano micro output'!K5+'nano micro output'!K19,IF((RadS*2)&lt;bioavai.cutoff.diameter*0.000000001,'nano micro output'!K5,0)))</f>
        <v>1.0141474685336602E-6</v>
      </c>
      <c r="W6" s="157" t="s">
        <v>134</v>
      </c>
    </row>
    <row r="7" spans="1:23" ht="15" x14ac:dyDescent="0.3">
      <c r="A7" s="101" t="s">
        <v>180</v>
      </c>
      <c r="B7">
        <f t="shared" si="0"/>
        <v>3.8736913298438244E-4</v>
      </c>
      <c r="C7">
        <f t="shared" si="0"/>
        <v>1.4151422021593125E-6</v>
      </c>
      <c r="G7" s="157" t="s">
        <v>210</v>
      </c>
      <c r="I7" s="101" t="s">
        <v>180</v>
      </c>
      <c r="J7">
        <f>'all species output'!$M39</f>
        <v>8.9794924123909677E-8</v>
      </c>
      <c r="K7">
        <f>'all species output'!$N39</f>
        <v>3.8386635214428145E-12</v>
      </c>
      <c r="O7" s="157" t="s">
        <v>134</v>
      </c>
      <c r="Q7" s="101" t="s">
        <v>150</v>
      </c>
      <c r="R7">
        <f>IF((RadP.w*2)&lt;bioavai.cutoff.diameter*0.000000001,'nano micro output'!B6,IF((RadA.w*2)&lt;bioavai.cutoff.diameter*0.000000001,'nano micro output'!J6+'nano micro output'!J20,IF((RadS*2)&lt;bioavai.cutoff.diameter*0.000000001,'nano micro output'!J6,0)))</f>
        <v>5.8779934428669044E-2</v>
      </c>
      <c r="S7">
        <f>IF((RadP.w*2)&lt;bioavai.cutoff.diameter*0.000000001,'nano micro output'!C6,IF((RadA.w*2)&lt;bioavai.cutoff.diameter*0.000000001,'nano micro output'!K6+'nano micro output'!K20,IF((RadS*2)&lt;bioavai.cutoff.diameter*0.000000001,'nano micro output'!K6,0)))</f>
        <v>4.4414641367828447E-4</v>
      </c>
      <c r="W7" s="157" t="s">
        <v>151</v>
      </c>
    </row>
    <row r="8" spans="1:23" ht="15" x14ac:dyDescent="0.3">
      <c r="A8" s="101" t="s">
        <v>185</v>
      </c>
      <c r="B8">
        <f t="shared" si="0"/>
        <v>0.1741450480018038</v>
      </c>
      <c r="C8">
        <f t="shared" si="0"/>
        <v>1.3380050376057422E-4</v>
      </c>
      <c r="G8" s="157" t="s">
        <v>213</v>
      </c>
      <c r="I8" s="101" t="s">
        <v>185</v>
      </c>
      <c r="J8">
        <f>'all species output'!$M47</f>
        <v>2.991265404582748E-12</v>
      </c>
      <c r="K8">
        <f>'all species output'!$N47</f>
        <v>4.6768273199809088E-17</v>
      </c>
      <c r="O8" s="157" t="s">
        <v>151</v>
      </c>
      <c r="Q8" s="101" t="s">
        <v>180</v>
      </c>
      <c r="R8">
        <f>IF((RadP.w*2)&lt;bioavai.cutoff.diameter*0.000000001,'nano micro output'!B7,IF((RadA.w*2)&lt;bioavai.cutoff.diameter*0.000000001,'nano micro output'!J7+'nano micro output'!J21,IF((RadS*2)&lt;bioavai.cutoff.diameter*0.000000001,'nano micro output'!J7,0)))</f>
        <v>3.8121365266715652E-4</v>
      </c>
      <c r="S8">
        <f>IF((RadP.w*2)&lt;bioavai.cutoff.diameter*0.000000001,'nano micro output'!C7,IF((RadA.w*2)&lt;bioavai.cutoff.diameter*0.000000001,'nano micro output'!K7+'nano micro output'!K21,IF((RadS*2)&lt;bioavai.cutoff.diameter*0.000000001,'nano micro output'!K7,0)))</f>
        <v>1.4123658246321383E-6</v>
      </c>
      <c r="W8" s="157" t="s">
        <v>134</v>
      </c>
    </row>
    <row r="9" spans="1:23" ht="15" x14ac:dyDescent="0.3">
      <c r="A9" s="101" t="s">
        <v>196</v>
      </c>
      <c r="B9">
        <f t="shared" si="0"/>
        <v>7.7216351185626302E-5</v>
      </c>
      <c r="C9">
        <f t="shared" si="0"/>
        <v>4.2873450824337199E-5</v>
      </c>
      <c r="D9">
        <f t="shared" ref="D9:F11" si="1">L9+L23+L37</f>
        <v>4.2877575169218957E-5</v>
      </c>
      <c r="E9">
        <f t="shared" si="1"/>
        <v>5.2149376306440339E-5</v>
      </c>
      <c r="F9">
        <f t="shared" si="1"/>
        <v>4.2951334611460504E-5</v>
      </c>
      <c r="G9" s="157" t="s">
        <v>210</v>
      </c>
      <c r="I9" s="101" t="s">
        <v>196</v>
      </c>
      <c r="J9">
        <f>'all species output'!$M55</f>
        <v>1.71520225015798E-11</v>
      </c>
      <c r="K9">
        <f>'all species output'!$N55</f>
        <v>5.5037677972642322E-15</v>
      </c>
      <c r="L9">
        <f>'all species output'!$O55</f>
        <v>3.3369045158879926E-17</v>
      </c>
      <c r="M9">
        <f>'all species output'!$P55</f>
        <v>8.9437289801067103E-19</v>
      </c>
      <c r="N9">
        <f>'all species output'!$Q55</f>
        <v>5.2006515907003276E-19</v>
      </c>
      <c r="O9" s="157" t="s">
        <v>134</v>
      </c>
      <c r="Q9" s="101" t="s">
        <v>185</v>
      </c>
      <c r="R9">
        <f>IF((RadP.w*2)&lt;bioavai.cutoff.diameter*0.000000001,'nano micro output'!B8,IF((RadA.w*2)&lt;bioavai.cutoff.diameter*0.000000001,'nano micro output'!J8+'nano micro output'!J22,IF((RadS*2)&lt;bioavai.cutoff.diameter*0.000000001,'nano micro output'!J8,0)))</f>
        <v>1.6312185826757284E-2</v>
      </c>
      <c r="S9">
        <f>IF((RadP.w*2)&lt;bioavai.cutoff.diameter*0.000000001,'nano micro output'!C8,IF((RadA.w*2)&lt;bioavai.cutoff.diameter*0.000000001,'nano micro output'!K8+'nano micro output'!K22,IF((RadS*2)&lt;bioavai.cutoff.diameter*0.000000001,'nano micro output'!K8,0)))</f>
        <v>6.1442112619502671E-5</v>
      </c>
      <c r="W9" s="157" t="s">
        <v>151</v>
      </c>
    </row>
    <row r="10" spans="1:23" ht="15" x14ac:dyDescent="0.3">
      <c r="A10" s="101" t="s">
        <v>209</v>
      </c>
      <c r="D10">
        <f t="shared" si="1"/>
        <v>4.2951244511856308E-5</v>
      </c>
      <c r="E10">
        <f t="shared" si="1"/>
        <v>4.2877617750691953E-5</v>
      </c>
      <c r="F10">
        <f t="shared" si="1"/>
        <v>4.6222116059681199E-5</v>
      </c>
      <c r="G10" s="157" t="s">
        <v>210</v>
      </c>
      <c r="I10" s="101" t="s">
        <v>209</v>
      </c>
      <c r="L10">
        <f>'all species output'!$O63</f>
        <v>8.6596085217121778E-23</v>
      </c>
      <c r="M10">
        <f>'all species output'!$P63</f>
        <v>2.7167674488870674E-24</v>
      </c>
      <c r="N10">
        <f>'all species output'!$Q63</f>
        <v>1.177868360428739E-24</v>
      </c>
      <c r="O10" s="157" t="s">
        <v>134</v>
      </c>
      <c r="Q10" s="101" t="s">
        <v>196</v>
      </c>
      <c r="R10">
        <f>IF((RadP.w*2)&lt;bioavai.cutoff.diameter*0.000000001,'nano micro output'!B9,IF((RadA.w*2)&lt;bioavai.cutoff.diameter*0.000000001,'nano micro output'!J9+'nano micro output'!J23,IF((RadS*2)&lt;bioavai.cutoff.diameter*0.000000001,'nano micro output'!J9,0)))</f>
        <v>7.6702588541544491E-5</v>
      </c>
      <c r="S10">
        <f>IF((RadP.w*2)&lt;bioavai.cutoff.diameter*0.000000001,'nano micro output'!C9,IF((RadA.w*2)&lt;bioavai.cutoff.diameter*0.000000001,'nano micro output'!K9+'nano micro output'!K23,IF((RadS*2)&lt;bioavai.cutoff.diameter*0.000000001,'nano micro output'!K9,0)))</f>
        <v>4.2872864100011527E-5</v>
      </c>
      <c r="T10">
        <f>IF((RadP.w*2)&lt;bioavai.cutoff.diameter*0.000000001,'nano micro output'!D9,IF((RadA.w*2)&lt;bioavai.cutoff.diameter*0.000000001,'nano micro output'!L9+'nano micro output'!L23,IF((RadS*2)&lt;bioavai.cutoff.diameter*0.000000001,'nano micro output'!L9,0)))</f>
        <v>4.287704212228834E-5</v>
      </c>
      <c r="U10">
        <f>IF((RadP.w*2)&lt;bioavai.cutoff.diameter*0.000000001,'nano micro output'!E9,IF((RadA.w*2)&lt;bioavai.cutoff.diameter*0.000000001,'nano micro output'!M9+'nano micro output'!M23,IF((RadS*2)&lt;bioavai.cutoff.diameter*0.000000001,'nano micro output'!M9,0)))</f>
        <v>5.214906615350612E-5</v>
      </c>
      <c r="V10">
        <f>IF((RadP.w*2)&lt;bioavai.cutoff.diameter*0.000000001,'nano micro output'!F9,IF((RadA.w*2)&lt;bioavai.cutoff.diameter*0.000000001,'nano micro output'!N9+'nano micro output'!N23,IF((RadS*2)&lt;bioavai.cutoff.diameter*0.000000001,'nano micro output'!N9,0)))</f>
        <v>4.2950263063469032E-5</v>
      </c>
      <c r="W10" s="157" t="s">
        <v>134</v>
      </c>
    </row>
    <row r="11" spans="1:23" ht="15" x14ac:dyDescent="0.3">
      <c r="A11" s="101" t="s">
        <v>212</v>
      </c>
      <c r="B11">
        <f t="shared" ref="B11:C14" si="2">J11+J25+J39</f>
        <v>4.9368847987200017E-2</v>
      </c>
      <c r="C11">
        <f t="shared" si="2"/>
        <v>5.6411802401557676E-3</v>
      </c>
      <c r="D11">
        <f t="shared" si="1"/>
        <v>5.6896315142767875E-3</v>
      </c>
      <c r="E11">
        <f t="shared" si="1"/>
        <v>5.6374891485446391E-3</v>
      </c>
      <c r="F11">
        <f t="shared" si="1"/>
        <v>6.2310371299682749E-3</v>
      </c>
      <c r="G11" s="157" t="s">
        <v>213</v>
      </c>
      <c r="I11" s="101" t="s">
        <v>212</v>
      </c>
      <c r="J11">
        <f>'all species output'!$M71</f>
        <v>5.7140141441041553E-17</v>
      </c>
      <c r="K11">
        <f>'all species output'!$N71</f>
        <v>6.7056302201914288E-21</v>
      </c>
      <c r="L11">
        <f>'all species output'!$O71</f>
        <v>1.055061454937914E-28</v>
      </c>
      <c r="M11">
        <f>'all species output'!$P71</f>
        <v>3.3540711567973741E-30</v>
      </c>
      <c r="N11">
        <f>'all species output'!$Q71</f>
        <v>1.4238535724624796E-30</v>
      </c>
      <c r="O11" s="157" t="s">
        <v>151</v>
      </c>
      <c r="Q11" s="101" t="s">
        <v>209</v>
      </c>
      <c r="R11">
        <f>IF((RadP.w*2)&lt;bioavai.cutoff.diameter*0.000000001,'nano micro output'!B10,IF((RadA.w*2)&lt;bioavai.cutoff.diameter*0.000000001,'nano micro output'!J10+'nano micro output'!J24,IF((RadS*2)&lt;bioavai.cutoff.diameter*0.000000001,'nano micro output'!J10,0)))</f>
        <v>0</v>
      </c>
      <c r="S11">
        <f>IF((RadP.w*2)&lt;bioavai.cutoff.diameter*0.000000001,'nano micro output'!C10,IF((RadA.w*2)&lt;bioavai.cutoff.diameter*0.000000001,'nano micro output'!K10+'nano micro output'!K24,IF((RadS*2)&lt;bioavai.cutoff.diameter*0.000000001,'nano micro output'!K10,0)))</f>
        <v>0</v>
      </c>
      <c r="T11">
        <f>IF((RadP.w*2)&lt;bioavai.cutoff.diameter*0.000000001,'nano micro output'!D10,IF((RadA.w*2)&lt;bioavai.cutoff.diameter*0.000000001,'nano micro output'!L10+'nano micro output'!L24,IF((RadS*2)&lt;bioavai.cutoff.diameter*0.000000001,'nano micro output'!L10,0)))</f>
        <v>4.295016713346975E-5</v>
      </c>
      <c r="U11">
        <f>IF((RadP.w*2)&lt;bioavai.cutoff.diameter*0.000000001,'nano micro output'!E10,IF((RadA.w*2)&lt;bioavai.cutoff.diameter*0.000000001,'nano micro output'!M10+'nano micro output'!M24,IF((RadS*2)&lt;bioavai.cutoff.diameter*0.000000001,'nano micro output'!M10,0)))</f>
        <v>4.2877085281219122E-5</v>
      </c>
      <c r="V11">
        <f>IF((RadP.w*2)&lt;bioavai.cutoff.diameter*0.000000001,'nano micro output'!F10,IF((RadA.w*2)&lt;bioavai.cutoff.diameter*0.000000001,'nano micro output'!N10+'nano micro output'!N24,IF((RadS*2)&lt;bioavai.cutoff.diameter*0.000000001,'nano micro output'!N10,0)))</f>
        <v>4.6219578443557897E-5</v>
      </c>
      <c r="W11" s="157" t="s">
        <v>134</v>
      </c>
    </row>
    <row r="12" spans="1:23" ht="15" x14ac:dyDescent="0.3">
      <c r="A12" s="101" t="s">
        <v>214</v>
      </c>
      <c r="B12">
        <f t="shared" si="2"/>
        <v>1.3465178633417797E-2</v>
      </c>
      <c r="C12">
        <f t="shared" si="2"/>
        <v>1.6060014376455527E-4</v>
      </c>
      <c r="G12" s="157" t="s">
        <v>213</v>
      </c>
      <c r="I12" s="101" t="s">
        <v>214</v>
      </c>
      <c r="J12">
        <f>'all species output'!$M79</f>
        <v>4.8495152142811996E-11</v>
      </c>
      <c r="K12">
        <f>'all species output'!$N79</f>
        <v>5.5824833166061693E-13</v>
      </c>
      <c r="O12" s="157" t="s">
        <v>151</v>
      </c>
      <c r="Q12" s="101" t="s">
        <v>212</v>
      </c>
      <c r="R12">
        <f>IF((RadP.w*2)&lt;bioavai.cutoff.diameter*0.000000001,'nano micro output'!B11,IF((RadA.w*2)&lt;bioavai.cutoff.diameter*0.000000001,'nano micro output'!J11+'nano micro output'!J25,IF((RadS*2)&lt;bioavai.cutoff.diameter*0.000000001,'nano micro output'!J11,0)))</f>
        <v>9.8486419214630135E-3</v>
      </c>
      <c r="S12">
        <f>IF((RadP.w*2)&lt;bioavai.cutoff.diameter*0.000000001,'nano micro output'!C11,IF((RadA.w*2)&lt;bioavai.cutoff.diameter*0.000000001,'nano micro output'!K11+'nano micro output'!K25,IF((RadS*2)&lt;bioavai.cutoff.diameter*0.000000001,'nano micro output'!K11,0)))</f>
        <v>5.5953063342433019E-3</v>
      </c>
      <c r="T12">
        <f>IF((RadP.w*2)&lt;bioavai.cutoff.diameter*0.000000001,'nano micro output'!D11,IF((RadA.w*2)&lt;bioavai.cutoff.diameter*0.000000001,'nano micro output'!L11+'nano micro output'!L25,IF((RadS*2)&lt;bioavai.cutoff.diameter*0.000000001,'nano micro output'!L11,0)))</f>
        <v>5.6053950976744692E-3</v>
      </c>
      <c r="U12">
        <f>IF((RadP.w*2)&lt;bioavai.cutoff.diameter*0.000000001,'nano micro output'!E11,IF((RadA.w*2)&lt;bioavai.cutoff.diameter*0.000000001,'nano micro output'!M11+'nano micro output'!M25,IF((RadS*2)&lt;bioavai.cutoff.diameter*0.000000001,'nano micro output'!M11,0)))</f>
        <v>5.5958572382509711E-3</v>
      </c>
      <c r="V12">
        <f>IF((RadP.w*2)&lt;bioavai.cutoff.diameter*0.000000001,'nano micro output'!F11,IF((RadA.w*2)&lt;bioavai.cutoff.diameter*0.000000001,'nano micro output'!N11+'nano micro output'!N25,IF((RadS*2)&lt;bioavai.cutoff.diameter*0.000000001,'nano micro output'!N11,0)))</f>
        <v>6.0326124782157922E-3</v>
      </c>
      <c r="W12" s="157" t="s">
        <v>151</v>
      </c>
    </row>
    <row r="13" spans="1:23" ht="15" x14ac:dyDescent="0.3">
      <c r="A13" s="101" t="s">
        <v>216</v>
      </c>
      <c r="B13">
        <f t="shared" si="2"/>
        <v>0.35138929278931502</v>
      </c>
      <c r="C13">
        <f t="shared" si="2"/>
        <v>1.6029065669429492E-4</v>
      </c>
      <c r="G13" s="157" t="s">
        <v>213</v>
      </c>
      <c r="I13" s="101" t="s">
        <v>216</v>
      </c>
      <c r="J13">
        <f>'all species output'!$M87</f>
        <v>3.4075016856059114E-10</v>
      </c>
      <c r="K13">
        <f>'all species output'!$N87</f>
        <v>1.3956260482580719E-13</v>
      </c>
      <c r="O13" s="157" t="s">
        <v>151</v>
      </c>
      <c r="Q13" s="101" t="s">
        <v>214</v>
      </c>
      <c r="R13">
        <f>IF((RadP.w*2)&lt;bioavai.cutoff.diameter*0.000000001,'nano micro output'!B12,IF((RadA.w*2)&lt;bioavai.cutoff.diameter*0.000000001,'nano micro output'!J12+'nano micro output'!J26,IF((RadS*2)&lt;bioavai.cutoff.diameter*0.000000001,'nano micro output'!J12,0)))</f>
        <v>9.3613714458040862E-6</v>
      </c>
      <c r="S13">
        <f>IF((RadP.w*2)&lt;bioavai.cutoff.diameter*0.000000001,'nano micro output'!C12,IF((RadA.w*2)&lt;bioavai.cutoff.diameter*0.000000001,'nano micro output'!K12+'nano micro output'!K26,IF((RadS*2)&lt;bioavai.cutoff.diameter*0.000000001,'nano micro output'!K12,0)))</f>
        <v>6.8805178473205123E-7</v>
      </c>
      <c r="W13" s="157" t="s">
        <v>151</v>
      </c>
    </row>
    <row r="14" spans="1:23" ht="15" x14ac:dyDescent="0.3">
      <c r="A14" s="650" t="s">
        <v>217</v>
      </c>
      <c r="B14" s="420">
        <f t="shared" si="2"/>
        <v>1.3465178633417797E-2</v>
      </c>
      <c r="C14" s="420">
        <f t="shared" si="2"/>
        <v>1.606001437645553E-4</v>
      </c>
      <c r="D14" s="420">
        <f>L14+L28+L42</f>
        <v>1.155579485913586E-6</v>
      </c>
      <c r="E14" s="420">
        <f>M14+M28+M42</f>
        <v>8.1902345568417019E-8</v>
      </c>
      <c r="F14" s="420">
        <f>N14+N28+N42</f>
        <v>2.7040585750392914E-8</v>
      </c>
      <c r="G14" s="651" t="s">
        <v>213</v>
      </c>
      <c r="I14" s="650" t="s">
        <v>217</v>
      </c>
      <c r="J14" s="420">
        <f>'all species output'!$M95</f>
        <v>4.8495152142811996E-11</v>
      </c>
      <c r="K14" s="420">
        <f>'all species output'!$N95</f>
        <v>5.5824833166061714E-13</v>
      </c>
      <c r="L14" s="420">
        <f>'all species output'!$O95</f>
        <v>3.8621355557410568E-15</v>
      </c>
      <c r="M14" s="420">
        <f>'all species output'!$P95</f>
        <v>9.3664946788078991E-17</v>
      </c>
      <c r="N14" s="420">
        <f>'all species output'!$Q95</f>
        <v>6.3885368185003432E-17</v>
      </c>
      <c r="O14" s="651" t="s">
        <v>151</v>
      </c>
      <c r="Q14" s="101" t="s">
        <v>216</v>
      </c>
      <c r="R14">
        <f>IF((RadP.w*2)&lt;bioavai.cutoff.diameter*0.000000001,'nano micro output'!B13,IF((RadA.w*2)&lt;bioavai.cutoff.diameter*0.000000001,'nano micro output'!J13+'nano micro output'!J27,IF((RadS*2)&lt;bioavai.cutoff.diameter*0.000000001,'nano micro output'!J13,0)))</f>
        <v>8.5520943065958206E-5</v>
      </c>
      <c r="S14">
        <f>IF((RadP.w*2)&lt;bioavai.cutoff.diameter*0.000000001,'nano micro output'!C13,IF((RadA.w*2)&lt;bioavai.cutoff.diameter*0.000000001,'nano micro output'!K13+'nano micro output'!K27,IF((RadS*2)&lt;bioavai.cutoff.diameter*0.000000001,'nano micro output'!K13,0)))</f>
        <v>3.7802815850107176E-7</v>
      </c>
      <c r="W14" s="157" t="s">
        <v>151</v>
      </c>
    </row>
    <row r="15" spans="1:23" ht="15" x14ac:dyDescent="0.3">
      <c r="Q15" s="650" t="s">
        <v>217</v>
      </c>
      <c r="R15" s="420">
        <f>IF((RadP.w*2)&lt;bioavai.cutoff.diameter*0.000000001,'nano micro output'!B14,IF((RadA.w*2)&lt;bioavai.cutoff.diameter*0.000000001,'nano micro output'!J14+'nano micro output'!J28,IF((RadS*2)&lt;bioavai.cutoff.diameter*0.000000001,'nano micro output'!J14,0)))</f>
        <v>9.3613714458040862E-6</v>
      </c>
      <c r="S15" s="420">
        <f>IF((RadP.w*2)&lt;bioavai.cutoff.diameter*0.000000001,'nano micro output'!C14,IF((RadA.w*2)&lt;bioavai.cutoff.diameter*0.000000001,'nano micro output'!K14+'nano micro output'!K28,IF((RadS*2)&lt;bioavai.cutoff.diameter*0.000000001,'nano micro output'!K14,0)))</f>
        <v>6.8805178473205101E-7</v>
      </c>
      <c r="T15" s="420">
        <f>IF((RadP.w*2)&lt;bioavai.cutoff.diameter*0.000000001,'nano micro output'!D14,IF((RadA.w*2)&lt;bioavai.cutoff.diameter*0.000000001,'nano micro output'!L14+'nano micro output'!L28,IF((RadS*2)&lt;bioavai.cutoff.diameter*0.000000001,'nano micro output'!L14,0)))</f>
        <v>7.3784514251249645E-8</v>
      </c>
      <c r="U15" s="420">
        <f>IF((RadP.w*2)&lt;bioavai.cutoff.diameter*0.000000001,'nano micro output'!E14,IF((RadA.w*2)&lt;bioavai.cutoff.diameter*0.000000001,'nano micro output'!M14+'nano micro output'!M28,IF((RadS*2)&lt;bioavai.cutoff.diameter*0.000000001,'nano micro output'!M14,0)))</f>
        <v>5.5339511346812112E-8</v>
      </c>
      <c r="V15" s="420">
        <f>IF((RadP.w*2)&lt;bioavai.cutoff.diameter*0.000000001,'nano micro output'!F14,IF((RadA.w*2)&lt;bioavai.cutoff.diameter*0.000000001,'nano micro output'!N14+'nano micro output'!N28,IF((RadS*2)&lt;bioavai.cutoff.diameter*0.000000001,'nano micro output'!N14,0)))</f>
        <v>9.220350701975865E-9</v>
      </c>
      <c r="W15" s="651" t="s">
        <v>151</v>
      </c>
    </row>
    <row r="16" spans="1:23" x14ac:dyDescent="0.3">
      <c r="I16" s="647" t="s">
        <v>254</v>
      </c>
      <c r="J16" s="514"/>
      <c r="K16" s="514"/>
      <c r="L16" s="514"/>
      <c r="M16" s="514"/>
      <c r="N16" s="514"/>
      <c r="O16" s="648"/>
    </row>
    <row r="17" spans="9:15" x14ac:dyDescent="0.3">
      <c r="I17" s="340"/>
      <c r="J17" t="s">
        <v>246</v>
      </c>
      <c r="K17" t="s">
        <v>247</v>
      </c>
      <c r="L17" t="s">
        <v>248</v>
      </c>
      <c r="M17" t="s">
        <v>249</v>
      </c>
      <c r="N17" t="s">
        <v>250</v>
      </c>
      <c r="O17" s="649"/>
    </row>
    <row r="18" spans="9:15" ht="15" x14ac:dyDescent="0.3">
      <c r="I18" s="385" t="s">
        <v>112</v>
      </c>
      <c r="J18">
        <f>'all species output'!$M16</f>
        <v>1.0718659672301772E-7</v>
      </c>
      <c r="K18">
        <f>'all species output'!$N16</f>
        <v>1.6880662908853388E-8</v>
      </c>
      <c r="L18">
        <f>'all species output'!$O16</f>
        <v>9.9782393193584469E-10</v>
      </c>
      <c r="M18">
        <f>'all species output'!$P16</f>
        <v>3.7626227884201184E-10</v>
      </c>
      <c r="N18">
        <f>'all species output'!$Q16</f>
        <v>1.8690915920784636E-10</v>
      </c>
      <c r="O18" s="157" t="s">
        <v>113</v>
      </c>
    </row>
    <row r="19" spans="9:15" ht="15" x14ac:dyDescent="0.3">
      <c r="I19" s="101" t="s">
        <v>133</v>
      </c>
      <c r="J19">
        <f>'all species output'!$M24</f>
        <v>1.3520306061880631E-4</v>
      </c>
      <c r="K19">
        <f>'all species output'!$N24</f>
        <v>1.0141473318377685E-6</v>
      </c>
      <c r="O19" s="157" t="s">
        <v>134</v>
      </c>
    </row>
    <row r="20" spans="9:15" ht="15" x14ac:dyDescent="0.3">
      <c r="I20" s="101" t="s">
        <v>150</v>
      </c>
      <c r="J20">
        <f>'all species output'!$M32</f>
        <v>5.8779934428668648E-2</v>
      </c>
      <c r="K20">
        <f>'all species output'!$N32</f>
        <v>4.4414641367828279E-4</v>
      </c>
      <c r="O20" s="157" t="s">
        <v>151</v>
      </c>
    </row>
    <row r="21" spans="9:15" ht="15" x14ac:dyDescent="0.3">
      <c r="I21" s="101" t="s">
        <v>180</v>
      </c>
      <c r="J21">
        <f>'all species output'!$M40</f>
        <v>3.8112385774303261E-4</v>
      </c>
      <c r="K21">
        <f>'all species output'!$N40</f>
        <v>1.4123619859686168E-6</v>
      </c>
      <c r="O21" s="157" t="s">
        <v>134</v>
      </c>
    </row>
    <row r="22" spans="9:15" ht="15" x14ac:dyDescent="0.3">
      <c r="I22" s="101" t="s">
        <v>185</v>
      </c>
      <c r="J22">
        <f>'all species output'!$M48</f>
        <v>1.6312185823766017E-2</v>
      </c>
      <c r="K22">
        <f>'all species output'!$N48</f>
        <v>6.1442112619455901E-5</v>
      </c>
      <c r="O22" s="157" t="s">
        <v>151</v>
      </c>
    </row>
    <row r="23" spans="9:15" ht="15" x14ac:dyDescent="0.3">
      <c r="I23" s="101" t="s">
        <v>196</v>
      </c>
      <c r="J23">
        <f>'all species output'!$M56</f>
        <v>7.6702571389521986E-5</v>
      </c>
      <c r="K23">
        <f>'all species output'!$N56</f>
        <v>4.2872864094507758E-5</v>
      </c>
      <c r="L23">
        <f>'all species output'!$O56</f>
        <v>4.2877042122254974E-5</v>
      </c>
      <c r="M23">
        <f>'all species output'!$P56</f>
        <v>5.2149066153505225E-5</v>
      </c>
      <c r="N23">
        <f>'all species output'!$Q56</f>
        <v>4.2950263063468511E-5</v>
      </c>
      <c r="O23" s="157" t="s">
        <v>134</v>
      </c>
    </row>
    <row r="24" spans="9:15" ht="15" x14ac:dyDescent="0.3">
      <c r="I24" s="101" t="s">
        <v>209</v>
      </c>
      <c r="L24">
        <f>'all species output'!$O64</f>
        <v>4.295016713346975E-5</v>
      </c>
      <c r="M24">
        <f>'all species output'!$P64</f>
        <v>4.2877085281219122E-5</v>
      </c>
      <c r="N24">
        <f>'all species output'!$Q64</f>
        <v>4.6219578443557897E-5</v>
      </c>
      <c r="O24" s="157" t="s">
        <v>134</v>
      </c>
    </row>
    <row r="25" spans="9:15" ht="15" x14ac:dyDescent="0.3">
      <c r="I25" s="101" t="s">
        <v>212</v>
      </c>
      <c r="J25">
        <f>'all species output'!$M72</f>
        <v>9.8486419214629563E-3</v>
      </c>
      <c r="K25">
        <f>'all species output'!$N72</f>
        <v>5.5953063342433019E-3</v>
      </c>
      <c r="L25">
        <f>'all species output'!$O72</f>
        <v>5.6053950976744692E-3</v>
      </c>
      <c r="M25">
        <f>'all species output'!$P72</f>
        <v>5.5958572382509711E-3</v>
      </c>
      <c r="N25">
        <f>'all species output'!$Q72</f>
        <v>6.0326124782157922E-3</v>
      </c>
      <c r="O25" s="157" t="s">
        <v>151</v>
      </c>
    </row>
    <row r="26" spans="9:15" ht="15" x14ac:dyDescent="0.3">
      <c r="I26" s="101" t="s">
        <v>214</v>
      </c>
      <c r="J26">
        <f>'all species output'!$M80</f>
        <v>9.3613229506519427E-6</v>
      </c>
      <c r="K26">
        <f>'all species output'!$N80</f>
        <v>6.8805122648371958E-7</v>
      </c>
      <c r="O26" s="157" t="s">
        <v>151</v>
      </c>
    </row>
    <row r="27" spans="9:15" ht="15" x14ac:dyDescent="0.3">
      <c r="I27" s="101" t="s">
        <v>216</v>
      </c>
      <c r="J27">
        <f>'all species output'!$M88</f>
        <v>8.5520602315789646E-5</v>
      </c>
      <c r="K27">
        <f>'all species output'!$N88</f>
        <v>3.7802801893846694E-7</v>
      </c>
      <c r="O27" s="157" t="s">
        <v>151</v>
      </c>
    </row>
    <row r="28" spans="9:15" ht="15" x14ac:dyDescent="0.3">
      <c r="I28" s="650" t="s">
        <v>217</v>
      </c>
      <c r="J28" s="420">
        <f>'all species output'!$M96</f>
        <v>9.3613229506519427E-6</v>
      </c>
      <c r="K28" s="420">
        <f>'all species output'!$N96</f>
        <v>6.8805122648371936E-7</v>
      </c>
      <c r="L28" s="420">
        <f>'all species output'!$O96</f>
        <v>7.3784510389114089E-8</v>
      </c>
      <c r="M28" s="420">
        <f>'all species output'!$P96</f>
        <v>5.5339511253147163E-8</v>
      </c>
      <c r="N28" s="420">
        <f>'all species output'!$Q96</f>
        <v>9.220350638090496E-9</v>
      </c>
      <c r="O28" s="651" t="s">
        <v>151</v>
      </c>
    </row>
    <row r="30" spans="9:15" x14ac:dyDescent="0.3">
      <c r="I30" s="647" t="s">
        <v>255</v>
      </c>
      <c r="J30" s="514"/>
      <c r="K30" s="514"/>
      <c r="L30" s="514"/>
      <c r="M30" s="514"/>
      <c r="N30" s="514"/>
      <c r="O30" s="648"/>
    </row>
    <row r="31" spans="9:15" x14ac:dyDescent="0.3">
      <c r="I31" s="340"/>
      <c r="J31" t="s">
        <v>246</v>
      </c>
      <c r="K31" t="s">
        <v>247</v>
      </c>
      <c r="L31" t="s">
        <v>248</v>
      </c>
      <c r="M31" t="s">
        <v>249</v>
      </c>
      <c r="N31" t="s">
        <v>250</v>
      </c>
      <c r="O31" s="649"/>
    </row>
    <row r="32" spans="9:15" ht="15" x14ac:dyDescent="0.3">
      <c r="I32" s="385" t="s">
        <v>112</v>
      </c>
      <c r="J32">
        <f>'all species output'!$M17</f>
        <v>4.2778698971786121E-11</v>
      </c>
      <c r="K32">
        <f>'all species output'!$N17</f>
        <v>7.0881018531047947E-13</v>
      </c>
      <c r="L32">
        <f>'all species output'!$O17</f>
        <v>3.8459037920697144E-15</v>
      </c>
      <c r="M32">
        <f>'all species output'!$P17</f>
        <v>2.8149151826439699E-16</v>
      </c>
      <c r="N32">
        <f>'all species output'!$Q17</f>
        <v>3.3638616958111235E-17</v>
      </c>
      <c r="O32" s="157" t="s">
        <v>113</v>
      </c>
    </row>
    <row r="33" spans="9:15" ht="15" x14ac:dyDescent="0.3">
      <c r="I33" s="101" t="s">
        <v>133</v>
      </c>
      <c r="J33">
        <f>'all species output'!$M25</f>
        <v>3.9233872931079558E-7</v>
      </c>
      <c r="K33">
        <f>'all species output'!$N25</f>
        <v>2.8304518958413458E-10</v>
      </c>
      <c r="O33" s="157" t="s">
        <v>134</v>
      </c>
    </row>
    <row r="34" spans="9:15" ht="15" x14ac:dyDescent="0.3">
      <c r="I34" s="101" t="s">
        <v>150</v>
      </c>
      <c r="J34">
        <f>'all species output'!$M33</f>
        <v>0.10218661404690953</v>
      </c>
      <c r="K34">
        <f>'all species output'!$N33</f>
        <v>7.4262769789286529E-5</v>
      </c>
      <c r="O34" s="157" t="s">
        <v>151</v>
      </c>
    </row>
    <row r="35" spans="9:15" ht="15" x14ac:dyDescent="0.3">
      <c r="I35" s="101" t="s">
        <v>180</v>
      </c>
      <c r="J35">
        <f>'all species output'!$M41</f>
        <v>6.1554803172259133E-6</v>
      </c>
      <c r="K35">
        <f>'all species output'!$N41</f>
        <v>2.776377527174293E-9</v>
      </c>
      <c r="O35" s="157" t="s">
        <v>134</v>
      </c>
    </row>
    <row r="36" spans="9:15" ht="15" x14ac:dyDescent="0.3">
      <c r="I36" s="101" t="s">
        <v>185</v>
      </c>
      <c r="J36">
        <f>'all species output'!$M49</f>
        <v>0.15783286217504652</v>
      </c>
      <c r="K36">
        <f>'all species output'!$N49</f>
        <v>7.2358391141071559E-5</v>
      </c>
      <c r="O36" s="157" t="s">
        <v>151</v>
      </c>
    </row>
    <row r="37" spans="9:15" ht="15" x14ac:dyDescent="0.3">
      <c r="I37" s="101" t="s">
        <v>196</v>
      </c>
      <c r="J37">
        <f>'all species output'!$M57</f>
        <v>5.1376264408180747E-7</v>
      </c>
      <c r="K37">
        <f>'all species output'!$N57</f>
        <v>5.8672432567498305E-10</v>
      </c>
      <c r="L37">
        <f>'all species output'!$O57</f>
        <v>5.3304693061640332E-10</v>
      </c>
      <c r="M37">
        <f>'all species output'!$P57</f>
        <v>3.1015293421718124E-10</v>
      </c>
      <c r="N37">
        <f>'all species output'!$Q57</f>
        <v>1.0715479914747688E-9</v>
      </c>
      <c r="O37" s="157" t="s">
        <v>134</v>
      </c>
    </row>
    <row r="38" spans="9:15" ht="15" x14ac:dyDescent="0.3">
      <c r="I38" s="101" t="s">
        <v>209</v>
      </c>
      <c r="L38">
        <f>'all species output'!$O65</f>
        <v>1.0773783865558845E-9</v>
      </c>
      <c r="M38">
        <f>'all species output'!$P65</f>
        <v>5.3246947283126392E-10</v>
      </c>
      <c r="N38">
        <f>'all species output'!$Q65</f>
        <v>2.5376161233038254E-9</v>
      </c>
      <c r="O38" s="157" t="s">
        <v>134</v>
      </c>
    </row>
    <row r="39" spans="9:15" ht="15" x14ac:dyDescent="0.3">
      <c r="I39" s="101" t="s">
        <v>212</v>
      </c>
      <c r="J39">
        <f>'all species output'!$M73</f>
        <v>3.9520206065737001E-2</v>
      </c>
      <c r="K39">
        <f>'all species output'!$N73</f>
        <v>4.5873905912466082E-5</v>
      </c>
      <c r="L39">
        <f>'all species output'!$O73</f>
        <v>8.4236416602318314E-5</v>
      </c>
      <c r="M39">
        <f>'all species output'!$P73</f>
        <v>4.1631910293667811E-5</v>
      </c>
      <c r="N39">
        <f>'all species output'!$Q73</f>
        <v>1.9842465175248265E-4</v>
      </c>
      <c r="O39" s="157" t="s">
        <v>151</v>
      </c>
    </row>
    <row r="40" spans="9:15" ht="15" x14ac:dyDescent="0.3">
      <c r="I40" s="101" t="s">
        <v>214</v>
      </c>
      <c r="J40">
        <f>'all species output'!$M81</f>
        <v>1.3455817261971993E-2</v>
      </c>
      <c r="K40">
        <f>'all species output'!$N81</f>
        <v>1.5991209197982324E-4</v>
      </c>
      <c r="O40" s="157" t="s">
        <v>151</v>
      </c>
    </row>
    <row r="41" spans="9:15" ht="15" x14ac:dyDescent="0.3">
      <c r="I41" s="101" t="s">
        <v>216</v>
      </c>
      <c r="J41">
        <f>'all species output'!$M89</f>
        <v>0.35130377184624906</v>
      </c>
      <c r="K41">
        <f>'all species output'!$N89</f>
        <v>1.5991262853579384E-4</v>
      </c>
      <c r="O41" s="157" t="s">
        <v>151</v>
      </c>
    </row>
    <row r="42" spans="9:15" ht="15" x14ac:dyDescent="0.3">
      <c r="I42" s="650" t="s">
        <v>217</v>
      </c>
      <c r="J42" s="420">
        <f>'all species output'!$M97</f>
        <v>1.3455817261971993E-2</v>
      </c>
      <c r="K42" s="420">
        <f>'all species output'!$N97</f>
        <v>1.5991209197982326E-4</v>
      </c>
      <c r="L42" s="420">
        <f>'all species output'!$O97</f>
        <v>1.0817949716623364E-6</v>
      </c>
      <c r="M42" s="420">
        <f>'all species output'!$P97</f>
        <v>2.6562834221604903E-8</v>
      </c>
      <c r="N42" s="420">
        <f>'all species output'!$Q97</f>
        <v>1.7820235048417047E-8</v>
      </c>
      <c r="O42" s="651" t="s">
        <v>151</v>
      </c>
    </row>
    <row r="75" spans="1:1" x14ac:dyDescent="0.3">
      <c r="A75" s="165"/>
    </row>
    <row r="76" spans="1:1" x14ac:dyDescent="0.3">
      <c r="A76" s="165"/>
    </row>
    <row r="77" spans="1:1" x14ac:dyDescent="0.3">
      <c r="A77" s="165"/>
    </row>
    <row r="78" spans="1:1" x14ac:dyDescent="0.3">
      <c r="A78" s="165"/>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AM409"/>
  <sheetViews>
    <sheetView topLeftCell="A67" zoomScaleNormal="100" workbookViewId="0">
      <selection activeCell="G79" sqref="G79"/>
    </sheetView>
  </sheetViews>
  <sheetFormatPr defaultColWidth="9.109375" defaultRowHeight="12.75" customHeight="1" x14ac:dyDescent="0.3"/>
  <cols>
    <col min="1" max="5" width="1.6640625" customWidth="1" collapsed="1"/>
    <col min="6" max="6" width="65.6640625" customWidth="1" collapsed="1"/>
    <col min="7" max="7" width="16" style="165" bestFit="1" customWidth="1" collapsed="1"/>
    <col min="8" max="8" width="11.44140625" style="165" bestFit="1" customWidth="1" collapsed="1"/>
    <col min="9" max="9" width="8" style="13" customWidth="1" collapsed="1"/>
    <col min="10" max="10" width="8.6640625" customWidth="1" collapsed="1"/>
    <col min="11" max="11" width="8.88671875" customWidth="1" collapsed="1"/>
    <col min="12" max="12" width="9.6640625" customWidth="1" collapsed="1"/>
    <col min="13" max="13" width="9.109375" collapsed="1"/>
    <col min="14" max="14" width="67.33203125" customWidth="1" collapsed="1"/>
    <col min="15" max="15" width="9.109375" style="25" collapsed="1"/>
    <col min="16" max="17" width="23.88671875" style="25" customWidth="1" collapsed="1"/>
    <col min="18" max="18" width="10.44140625" style="25" bestFit="1" customWidth="1" collapsed="1"/>
    <col min="19" max="19" width="11.44140625" bestFit="1" customWidth="1" collapsed="1"/>
    <col min="20" max="24" width="10.44140625" bestFit="1" customWidth="1" collapsed="1"/>
    <col min="25" max="25" width="11.44140625" bestFit="1" customWidth="1" collapsed="1"/>
    <col min="26" max="34" width="9.109375" style="25" collapsed="1"/>
    <col min="35" max="39" width="9.109375" style="25"/>
    <col min="40" max="16384" width="9.109375" style="25" collapsed="1"/>
  </cols>
  <sheetData>
    <row r="1" spans="1:34" s="24" customFormat="1" ht="12.75" customHeight="1" x14ac:dyDescent="0.3">
      <c r="A1" s="38" t="s">
        <v>256</v>
      </c>
      <c r="B1" s="16"/>
      <c r="C1" s="16"/>
      <c r="D1" s="16"/>
      <c r="E1" s="16"/>
      <c r="F1" s="16"/>
      <c r="G1" s="16"/>
      <c r="H1" s="35"/>
      <c r="I1" s="12"/>
      <c r="J1" s="16"/>
      <c r="K1" s="16"/>
      <c r="L1" s="16"/>
      <c r="M1" s="16"/>
      <c r="N1" s="16"/>
      <c r="O1" s="207"/>
      <c r="P1" s="207"/>
      <c r="Q1" s="11"/>
      <c r="R1" s="11"/>
      <c r="S1"/>
      <c r="T1"/>
      <c r="U1"/>
      <c r="V1"/>
      <c r="W1"/>
      <c r="X1"/>
      <c r="Y1"/>
      <c r="Z1" s="11"/>
      <c r="AA1" s="11"/>
      <c r="AB1" s="11"/>
      <c r="AC1" s="11"/>
      <c r="AD1" s="11"/>
      <c r="AE1" s="11"/>
      <c r="AF1" s="11"/>
      <c r="AG1" s="11"/>
      <c r="AH1" s="11"/>
    </row>
    <row r="2" spans="1:34" s="24" customFormat="1" ht="12.75" customHeight="1" x14ac:dyDescent="0.3">
      <c r="A2" s="20"/>
      <c r="B2" s="16"/>
      <c r="C2" s="16"/>
      <c r="D2" s="16"/>
      <c r="E2" s="16"/>
      <c r="F2" s="16"/>
      <c r="G2" s="16"/>
      <c r="H2" s="35"/>
      <c r="I2" s="12"/>
      <c r="J2" s="16"/>
      <c r="K2" s="16"/>
      <c r="L2" s="16"/>
      <c r="M2" s="16"/>
      <c r="N2" s="16"/>
      <c r="O2" s="207"/>
      <c r="P2" s="207"/>
      <c r="Q2" s="11"/>
      <c r="R2" s="11"/>
      <c r="S2"/>
      <c r="T2"/>
      <c r="U2"/>
      <c r="V2"/>
      <c r="W2"/>
      <c r="X2"/>
      <c r="Y2"/>
      <c r="Z2" s="11"/>
      <c r="AA2" s="11"/>
      <c r="AB2" s="11"/>
      <c r="AC2" s="11"/>
      <c r="AD2" s="11"/>
      <c r="AE2" s="11"/>
      <c r="AF2" s="11"/>
      <c r="AG2" s="11"/>
      <c r="AH2" s="11"/>
    </row>
    <row r="3" spans="1:34" customFormat="1" ht="12.75" customHeight="1" x14ac:dyDescent="0.3">
      <c r="A3" s="145" t="s">
        <v>257</v>
      </c>
      <c r="B3" s="144"/>
      <c r="C3" s="144"/>
      <c r="D3" s="144"/>
      <c r="E3" s="144"/>
      <c r="F3" s="144"/>
      <c r="G3" s="145" t="s">
        <v>258</v>
      </c>
      <c r="H3" s="145"/>
      <c r="I3" s="147" t="s">
        <v>259</v>
      </c>
      <c r="J3" s="147"/>
      <c r="K3" s="147" t="s">
        <v>260</v>
      </c>
      <c r="L3" s="147" t="s">
        <v>261</v>
      </c>
      <c r="M3" s="144"/>
      <c r="N3" s="145" t="s">
        <v>262</v>
      </c>
      <c r="O3" s="228" t="s">
        <v>263</v>
      </c>
      <c r="P3" s="353" t="s">
        <v>264</v>
      </c>
    </row>
    <row r="4" spans="1:34" s="24" customFormat="1" ht="12.75" customHeight="1" x14ac:dyDescent="0.3">
      <c r="A4" s="35"/>
      <c r="B4" s="16"/>
      <c r="C4" s="16"/>
      <c r="D4" s="16"/>
      <c r="E4" s="16"/>
      <c r="F4" s="16"/>
      <c r="G4" s="35"/>
      <c r="H4" s="35"/>
      <c r="I4" s="166"/>
      <c r="J4" s="148"/>
      <c r="K4" s="148"/>
      <c r="L4" s="148"/>
      <c r="M4" s="16"/>
      <c r="N4" s="35"/>
      <c r="O4" s="207"/>
      <c r="P4" s="207"/>
      <c r="Q4" s="11"/>
      <c r="R4" s="11"/>
      <c r="S4"/>
      <c r="T4"/>
      <c r="U4"/>
      <c r="V4"/>
      <c r="W4"/>
      <c r="X4"/>
      <c r="Y4"/>
      <c r="Z4" s="11"/>
      <c r="AA4" s="11"/>
      <c r="AB4" s="11"/>
      <c r="AC4" s="11"/>
      <c r="AD4" s="11"/>
      <c r="AE4" s="11"/>
      <c r="AF4" s="11"/>
      <c r="AG4" s="11"/>
      <c r="AH4" s="11"/>
    </row>
    <row r="5" spans="1:34" s="24" customFormat="1" ht="24.9" customHeight="1" x14ac:dyDescent="0.3">
      <c r="A5" s="141" t="s">
        <v>61</v>
      </c>
      <c r="B5" s="16"/>
      <c r="C5" s="16"/>
      <c r="D5" s="16"/>
      <c r="E5" s="16"/>
      <c r="F5" s="16"/>
      <c r="G5" s="141" t="s">
        <v>265</v>
      </c>
      <c r="H5" s="774" t="s">
        <v>267</v>
      </c>
      <c r="I5" s="775"/>
      <c r="J5" s="661" t="str">
        <f>IF(HLOOKUP(CaseName,CaseData,MATCH($G5,cases!$G$3:$G$1259,0)-1,FALSE)="","",HLOOKUP(CaseName,CaseData,MATCH($G5,cases!$G$3:$G$1259,0)-1,FALSE))</f>
        <v/>
      </c>
      <c r="K5" s="149" t="s">
        <v>267</v>
      </c>
      <c r="L5" s="150" t="str">
        <f>IF(ISBLANK(I6),IF(ISBLANK(H5),IF(J5="",K5,J5),H5),VLOOKUP(ChemRowNr,substances!A9:B4019,2,0))</f>
        <v>default substance</v>
      </c>
      <c r="M5" s="16"/>
      <c r="N5" s="142"/>
      <c r="O5" s="207"/>
      <c r="P5" s="207"/>
      <c r="Q5" s="11"/>
      <c r="R5" s="11"/>
      <c r="S5"/>
      <c r="T5"/>
      <c r="U5"/>
      <c r="V5"/>
      <c r="W5"/>
      <c r="X5"/>
      <c r="Y5"/>
      <c r="Z5" s="11"/>
      <c r="AA5" s="11"/>
      <c r="AB5" s="11"/>
      <c r="AC5" s="11"/>
      <c r="AD5" s="11"/>
      <c r="AE5" s="11"/>
      <c r="AF5" s="11"/>
      <c r="AG5" s="11"/>
      <c r="AH5" s="11"/>
    </row>
    <row r="6" spans="1:34" s="24" customFormat="1" ht="12.75" customHeight="1" x14ac:dyDescent="0.3">
      <c r="A6" s="35"/>
      <c r="B6" s="16"/>
      <c r="C6" s="16"/>
      <c r="D6" s="16"/>
      <c r="E6" s="16"/>
      <c r="F6" s="16"/>
      <c r="G6" s="35" t="s">
        <v>268</v>
      </c>
      <c r="H6" s="776"/>
      <c r="I6" s="777"/>
      <c r="J6" s="660"/>
      <c r="K6" s="156">
        <f>VLOOKUP(ChemName,ChemData,27,FALSE)</f>
        <v>1</v>
      </c>
      <c r="L6" s="223">
        <f>IF(ISBLANK(I6),IF(J6=0,K6,J6),I6)</f>
        <v>1</v>
      </c>
      <c r="M6" s="16"/>
      <c r="N6" s="35"/>
      <c r="O6" s="207"/>
      <c r="P6" s="207"/>
      <c r="Q6" s="11"/>
      <c r="R6" s="11"/>
      <c r="S6"/>
      <c r="T6"/>
      <c r="U6"/>
      <c r="V6"/>
      <c r="W6"/>
      <c r="X6"/>
      <c r="Y6"/>
      <c r="Z6" s="11"/>
      <c r="AA6" s="11"/>
      <c r="AB6" s="11"/>
      <c r="AC6" s="11"/>
      <c r="AD6" s="11"/>
      <c r="AE6" s="11"/>
      <c r="AF6" s="11"/>
      <c r="AG6" s="11"/>
      <c r="AH6" s="11"/>
    </row>
    <row r="7" spans="1:34" s="24" customFormat="1" ht="12.75" customHeight="1" x14ac:dyDescent="0.3">
      <c r="A7" s="35"/>
      <c r="B7" s="35"/>
      <c r="C7" s="35"/>
      <c r="D7" s="35"/>
      <c r="E7" s="35"/>
      <c r="F7" s="35"/>
      <c r="G7" s="35"/>
      <c r="H7" s="35"/>
      <c r="I7" s="35"/>
      <c r="J7" s="662"/>
      <c r="K7" s="35"/>
      <c r="L7" s="35"/>
      <c r="M7" s="16"/>
      <c r="N7" s="208"/>
      <c r="O7" s="207"/>
      <c r="P7" s="207"/>
      <c r="Q7" s="11"/>
      <c r="R7" s="11"/>
      <c r="S7"/>
      <c r="T7"/>
      <c r="U7"/>
      <c r="V7"/>
      <c r="W7"/>
      <c r="X7"/>
      <c r="Y7"/>
      <c r="Z7" s="11"/>
      <c r="AA7" s="11"/>
      <c r="AB7" s="11"/>
      <c r="AC7" s="11"/>
      <c r="AD7" s="11"/>
      <c r="AE7" s="11"/>
      <c r="AF7" s="11"/>
      <c r="AG7" s="11"/>
      <c r="AH7" s="11"/>
    </row>
    <row r="8" spans="1:34" s="24" customFormat="1" ht="24.9" customHeight="1" x14ac:dyDescent="0.3">
      <c r="A8" s="142" t="s">
        <v>63</v>
      </c>
      <c r="B8" s="142"/>
      <c r="C8" s="142"/>
      <c r="D8" s="142"/>
      <c r="E8" s="142"/>
      <c r="F8" s="142"/>
      <c r="G8" s="141" t="s">
        <v>269</v>
      </c>
      <c r="H8" s="772" t="s">
        <v>270</v>
      </c>
      <c r="I8" s="773"/>
      <c r="J8" s="661" t="str">
        <f>IF(HLOOKUP(CaseName,CaseData,MATCH($G8,cases!$G$3:$G$1259,0)-1,FALSE)="","",HLOOKUP(CaseName,CaseData,MATCH($G8,cases!$G$3:$G$1259,0)-1,FALSE))</f>
        <v/>
      </c>
      <c r="K8" s="149" t="s">
        <v>270</v>
      </c>
      <c r="L8" s="150" t="str">
        <f>IF(ISBLANK(H8),IF(J8=0,K8,J8),H8)</f>
        <v>default scenario</v>
      </c>
      <c r="M8" s="16"/>
      <c r="N8" s="142"/>
      <c r="O8" s="207"/>
      <c r="P8" s="207"/>
      <c r="Q8" s="11"/>
      <c r="R8" s="11"/>
      <c r="S8"/>
      <c r="T8"/>
      <c r="U8"/>
      <c r="V8"/>
      <c r="W8"/>
      <c r="X8"/>
      <c r="Y8"/>
      <c r="Z8" s="11"/>
      <c r="AA8" s="11"/>
      <c r="AB8" s="11"/>
      <c r="AC8" s="11"/>
      <c r="AD8" s="11"/>
      <c r="AE8" s="11"/>
      <c r="AF8" s="11"/>
      <c r="AG8" s="11"/>
      <c r="AH8" s="11"/>
    </row>
    <row r="9" spans="1:34" s="24" customFormat="1" ht="12.75" customHeight="1" x14ac:dyDescent="0.3">
      <c r="A9" s="35"/>
      <c r="B9" s="16"/>
      <c r="C9" s="16"/>
      <c r="D9" s="16"/>
      <c r="E9" s="16"/>
      <c r="F9" s="16"/>
      <c r="G9" s="35"/>
      <c r="H9" s="35"/>
      <c r="I9" s="166"/>
      <c r="J9" s="663"/>
      <c r="K9" s="148"/>
      <c r="L9" s="148"/>
      <c r="M9" s="16"/>
      <c r="N9" s="35"/>
      <c r="O9" s="207"/>
      <c r="P9" s="207"/>
      <c r="Q9" s="11"/>
      <c r="R9" s="11"/>
      <c r="S9"/>
      <c r="T9"/>
      <c r="U9"/>
      <c r="V9"/>
      <c r="W9"/>
      <c r="X9"/>
      <c r="Y9"/>
      <c r="Z9" s="11"/>
      <c r="AA9" s="11"/>
      <c r="AB9" s="11"/>
      <c r="AC9" s="11"/>
      <c r="AD9" s="11"/>
      <c r="AE9" s="11"/>
      <c r="AF9" s="11"/>
      <c r="AG9" s="11"/>
      <c r="AH9" s="11"/>
    </row>
    <row r="10" spans="1:34" s="24" customFormat="1" ht="24.9" customHeight="1" x14ac:dyDescent="0.3">
      <c r="A10" s="141" t="s">
        <v>65</v>
      </c>
      <c r="B10" s="16"/>
      <c r="C10" s="16"/>
      <c r="D10" s="16"/>
      <c r="E10" s="16"/>
      <c r="F10" s="16"/>
      <c r="G10" s="141" t="s">
        <v>271</v>
      </c>
      <c r="H10" s="772" t="s">
        <v>272</v>
      </c>
      <c r="I10" s="773"/>
      <c r="J10" s="661" t="str">
        <f>IF(HLOOKUP(CaseName,CaseData,MATCH($G10,cases!$G$3:$G$1259,0)-1,FALSE)="","",HLOOKUP(CaseName,CaseData,MATCH($G10,cases!$G$3:$G$1259,0)-1,FALSE))</f>
        <v/>
      </c>
      <c r="K10" s="149" t="s">
        <v>272</v>
      </c>
      <c r="L10" s="150" t="str">
        <f>IF(ISBLANK(H10),IF(ISBLANK(J10),K10,J10),H10)</f>
        <v>defaults only</v>
      </c>
      <c r="M10" s="151"/>
      <c r="N10" s="142"/>
      <c r="O10" s="207"/>
      <c r="P10" s="207"/>
      <c r="Q10" s="11"/>
      <c r="R10" s="11"/>
      <c r="S10"/>
      <c r="T10"/>
      <c r="U10"/>
      <c r="V10"/>
      <c r="W10"/>
      <c r="X10"/>
      <c r="Y10"/>
      <c r="Z10" s="11"/>
      <c r="AA10" s="11"/>
      <c r="AB10" s="11"/>
      <c r="AC10" s="11"/>
      <c r="AD10" s="11"/>
      <c r="AE10" s="11"/>
      <c r="AF10" s="11"/>
      <c r="AG10" s="11"/>
      <c r="AH10" s="11"/>
    </row>
    <row r="11" spans="1:34" s="24" customFormat="1" ht="12.75" customHeight="1" x14ac:dyDescent="0.3">
      <c r="A11" s="16"/>
      <c r="B11" s="16"/>
      <c r="C11" s="16"/>
      <c r="D11" s="16"/>
      <c r="E11" s="16"/>
      <c r="F11" s="16"/>
      <c r="G11" s="35"/>
      <c r="H11" s="35"/>
      <c r="I11" s="167"/>
      <c r="J11" s="16"/>
      <c r="K11" s="16"/>
      <c r="L11" s="16"/>
      <c r="M11" s="16"/>
      <c r="N11" s="16"/>
      <c r="O11" s="207"/>
      <c r="P11" s="207"/>
      <c r="Q11" s="11"/>
      <c r="R11" s="11"/>
      <c r="S11"/>
      <c r="T11"/>
      <c r="U11"/>
      <c r="V11"/>
      <c r="W11"/>
      <c r="X11"/>
      <c r="Y11"/>
      <c r="Z11" s="11"/>
      <c r="AA11" s="533"/>
      <c r="AB11" s="533"/>
      <c r="AC11" s="533"/>
      <c r="AD11" s="533"/>
      <c r="AE11" s="533"/>
      <c r="AF11" s="533"/>
      <c r="AG11" s="533"/>
      <c r="AH11" s="11"/>
    </row>
    <row r="12" spans="1:34" s="548" customFormat="1" ht="12.75" customHeight="1" x14ac:dyDescent="0.3">
      <c r="A12" s="488" t="s">
        <v>273</v>
      </c>
      <c r="B12" s="488"/>
      <c r="C12" s="488"/>
      <c r="D12" s="488"/>
      <c r="E12" s="488"/>
      <c r="F12" s="488"/>
      <c r="G12" s="493" t="s">
        <v>258</v>
      </c>
      <c r="H12" s="493" t="s">
        <v>274</v>
      </c>
      <c r="I12" s="556" t="s">
        <v>259</v>
      </c>
      <c r="J12" s="557" t="s">
        <v>275</v>
      </c>
      <c r="K12" s="494" t="s">
        <v>260</v>
      </c>
      <c r="L12" s="494" t="s">
        <v>261</v>
      </c>
      <c r="M12" s="488"/>
      <c r="N12" s="493" t="s">
        <v>262</v>
      </c>
      <c r="O12" s="489" t="s">
        <v>263</v>
      </c>
      <c r="P12" s="488" t="s">
        <v>264</v>
      </c>
      <c r="Q12" s="549"/>
      <c r="R12" s="549"/>
      <c r="S12" s="354"/>
      <c r="T12" s="354"/>
      <c r="U12" s="354"/>
      <c r="V12" s="354"/>
      <c r="W12" s="354"/>
      <c r="X12" s="354"/>
      <c r="Y12" s="354"/>
      <c r="Z12" s="549"/>
      <c r="AA12" s="549"/>
      <c r="AB12" s="549"/>
      <c r="AC12" s="549"/>
      <c r="AD12" s="549"/>
      <c r="AE12" s="549"/>
      <c r="AF12" s="549"/>
      <c r="AG12" s="549"/>
      <c r="AH12" s="549"/>
    </row>
    <row r="13" spans="1:34" s="11" customFormat="1" ht="12.75" customHeight="1" x14ac:dyDescent="0.3">
      <c r="A13" s="492"/>
      <c r="B13" s="474"/>
      <c r="C13" s="474"/>
      <c r="D13" s="474"/>
      <c r="E13" s="474"/>
      <c r="F13" s="474"/>
      <c r="G13" s="474"/>
      <c r="H13" s="474"/>
      <c r="I13" s="491"/>
      <c r="J13" s="491"/>
      <c r="K13" s="510"/>
      <c r="L13" s="510"/>
      <c r="M13" s="474"/>
      <c r="N13" s="474"/>
      <c r="O13" s="490"/>
      <c r="P13" s="490"/>
      <c r="S13"/>
      <c r="T13"/>
      <c r="U13"/>
      <c r="V13"/>
      <c r="W13"/>
      <c r="X13"/>
      <c r="Y13"/>
    </row>
    <row r="14" spans="1:34" s="11" customFormat="1" ht="12.75" customHeight="1" x14ac:dyDescent="0.3">
      <c r="A14" s="474"/>
      <c r="B14" s="474" t="s">
        <v>276</v>
      </c>
      <c r="C14" s="474"/>
      <c r="D14" s="474"/>
      <c r="E14" s="474"/>
      <c r="F14" s="497"/>
      <c r="G14" s="600" t="s">
        <v>277</v>
      </c>
      <c r="H14" s="498" t="s">
        <v>278</v>
      </c>
      <c r="I14" s="477"/>
      <c r="J14" s="476" t="str">
        <f>IF(HLOOKUP(CaseName,CaseData,MATCH($G14,cases!$G$3:$G$1259,0)-1,FALSE)="",IF(ISBLANK(VLOOKUP(ChemName,ChemData,MATCH(G14,substances!$3:$3,FALSE)-1,FALSE)),"",VLOOKUP(ChemName,ChemData,MATCH(G14,substances!$3:$3,FALSE)-1,FALSE)),HLOOKUP(CaseName,CaseData,MATCH($G14,cases!$G$3:$G$1259,0)-1,FALSE))</f>
        <v/>
      </c>
      <c r="K14" s="551">
        <v>10</v>
      </c>
      <c r="L14" s="466">
        <f>IF(ISBLANK(I14), IF(ISNUMBER(J14)=FALSE, K14*10^-9, J14*10^-9), I14*10^-9)</f>
        <v>1E-8</v>
      </c>
      <c r="M14" s="474" t="s">
        <v>279</v>
      </c>
      <c r="N14" s="474"/>
      <c r="O14" s="490">
        <f>MATCH(G14,substances!$3:$3,FALSE)</f>
        <v>30</v>
      </c>
      <c r="P14" s="490"/>
      <c r="S14"/>
      <c r="T14"/>
      <c r="U14"/>
      <c r="V14"/>
      <c r="W14"/>
      <c r="X14"/>
      <c r="Y14"/>
    </row>
    <row r="15" spans="1:34" s="11" customFormat="1" ht="12.75" customHeight="1" x14ac:dyDescent="0.3">
      <c r="A15" s="474"/>
      <c r="B15" s="474" t="s">
        <v>280</v>
      </c>
      <c r="C15" s="474"/>
      <c r="D15" s="474"/>
      <c r="E15" s="474"/>
      <c r="F15" s="497"/>
      <c r="G15" s="600" t="s">
        <v>281</v>
      </c>
      <c r="H15" s="498" t="s">
        <v>282</v>
      </c>
      <c r="I15" s="477"/>
      <c r="J15" s="476" t="str">
        <f>IF(HLOOKUP(CaseName,CaseData,MATCH($G15,cases!$G$3:$G$1259,0)-1,FALSE)="",IF(ISBLANK(VLOOKUP(ChemName,ChemData,MATCH(G15,substances!$3:$3,FALSE)-1,FALSE)),"",VLOOKUP(ChemName,ChemData,MATCH(G15,substances!$3:$3,FALSE)-1,FALSE)),HLOOKUP(CaseName,CaseData,MATCH($G15,cases!$G$3:$G$1259,0)-1,FALSE))</f>
        <v/>
      </c>
      <c r="K15" s="551">
        <f>4.23*10^3</f>
        <v>4230</v>
      </c>
      <c r="L15" s="466">
        <f>IF(ISBLANK(I15), IF(ISNUMBER(J15)=FALSE, K15, J15), I15)</f>
        <v>4230</v>
      </c>
      <c r="M15" s="474" t="s">
        <v>283</v>
      </c>
      <c r="N15" s="474"/>
      <c r="O15" s="490"/>
      <c r="P15" s="490"/>
      <c r="S15"/>
      <c r="T15"/>
      <c r="U15"/>
      <c r="V15"/>
      <c r="W15"/>
      <c r="X15"/>
      <c r="Y15"/>
    </row>
    <row r="16" spans="1:34" s="11" customFormat="1" ht="12.75" customHeight="1" x14ac:dyDescent="0.3">
      <c r="A16" s="474"/>
      <c r="B16" s="474" t="s">
        <v>284</v>
      </c>
      <c r="C16" s="490"/>
      <c r="D16" s="474"/>
      <c r="E16" s="474"/>
      <c r="F16" s="474"/>
      <c r="G16" s="601" t="s">
        <v>285</v>
      </c>
      <c r="H16" s="474" t="s">
        <v>286</v>
      </c>
      <c r="I16" s="477"/>
      <c r="J16" s="476" t="str">
        <f>IF(HLOOKUP(CaseName,CaseData,MATCH($G16,cases!$G$3:$G$1259,0)-1,FALSE)="",IF(ISBLANK(VLOOKUP(ChemName,ChemData,MATCH(G16,substances!$3:$3,FALSE)-1,FALSE)),"",VLOOKUP(ChemName,ChemData,MATCH(G16,substances!$3:$3,FALSE)-1,FALSE)),HLOOKUP(CaseName,CaseData,MATCH($G16,cases!$G$3:$G$1259,0)-1,FALSE))</f>
        <v/>
      </c>
      <c r="K16" s="544">
        <f>6.9*10^-21</f>
        <v>6.9000000000000004E-21</v>
      </c>
      <c r="L16" s="243">
        <f>IF(ISBLANK(I16),IF(ISNUMBER(J16)=FALSE,K16,J16),I16)</f>
        <v>6.9000000000000004E-21</v>
      </c>
      <c r="M16" s="474" t="s">
        <v>286</v>
      </c>
      <c r="N16" s="474"/>
      <c r="O16" s="490"/>
      <c r="P16" s="490"/>
    </row>
    <row r="17" spans="1:34" s="11" customFormat="1" ht="12.75" customHeight="1" x14ac:dyDescent="0.3">
      <c r="A17" s="474"/>
      <c r="B17" s="474"/>
      <c r="C17" s="474"/>
      <c r="D17" s="497"/>
      <c r="E17" s="498"/>
      <c r="F17" s="498"/>
      <c r="G17" s="499"/>
      <c r="H17" s="474"/>
      <c r="I17" s="479"/>
      <c r="J17" s="550"/>
      <c r="K17" s="544"/>
      <c r="L17" s="510"/>
      <c r="M17" s="474"/>
      <c r="N17" s="474"/>
      <c r="O17" s="490"/>
      <c r="P17" s="490"/>
      <c r="S17"/>
      <c r="T17"/>
      <c r="U17"/>
      <c r="V17"/>
      <c r="W17"/>
      <c r="X17"/>
      <c r="Y17"/>
    </row>
    <row r="18" spans="1:34" s="549" customFormat="1" ht="12.75" customHeight="1" x14ac:dyDescent="0.3">
      <c r="A18" s="488" t="s">
        <v>287</v>
      </c>
      <c r="B18" s="488"/>
      <c r="C18" s="488"/>
      <c r="D18" s="488"/>
      <c r="E18" s="488"/>
      <c r="F18" s="501"/>
      <c r="G18" s="502"/>
      <c r="H18" s="502"/>
      <c r="I18" s="552"/>
      <c r="J18" s="553"/>
      <c r="K18" s="554"/>
      <c r="L18" s="555"/>
      <c r="M18" s="488"/>
      <c r="N18" s="488"/>
      <c r="O18" s="500"/>
      <c r="P18" s="490"/>
      <c r="Q18" s="11"/>
      <c r="R18" s="11"/>
      <c r="S18"/>
      <c r="T18"/>
      <c r="U18"/>
      <c r="V18"/>
      <c r="W18"/>
      <c r="X18"/>
      <c r="Y18"/>
      <c r="Z18" s="11"/>
      <c r="AA18" s="11"/>
      <c r="AB18" s="11"/>
      <c r="AC18" s="11"/>
      <c r="AD18" s="11"/>
      <c r="AE18" s="11"/>
      <c r="AF18" s="11"/>
      <c r="AG18" s="11"/>
      <c r="AH18" s="11"/>
    </row>
    <row r="19" spans="1:34" s="11" customFormat="1" ht="12.75" customHeight="1" x14ac:dyDescent="0.3">
      <c r="A19" s="474"/>
      <c r="B19" s="474"/>
      <c r="C19" s="503"/>
      <c r="D19" s="503"/>
      <c r="E19" s="503"/>
      <c r="F19" s="504"/>
      <c r="G19" s="498"/>
      <c r="H19" s="498"/>
      <c r="I19" s="483"/>
      <c r="J19" s="550"/>
      <c r="K19" s="544"/>
      <c r="L19" s="510"/>
      <c r="M19" s="474"/>
      <c r="N19" s="474"/>
      <c r="O19" s="490"/>
      <c r="P19" s="490"/>
      <c r="S19"/>
      <c r="T19"/>
      <c r="U19"/>
      <c r="V19"/>
      <c r="W19"/>
      <c r="X19"/>
      <c r="Y19"/>
    </row>
    <row r="20" spans="1:34" s="11" customFormat="1" ht="12.75" customHeight="1" x14ac:dyDescent="0.3">
      <c r="A20" s="474"/>
      <c r="B20" s="474"/>
      <c r="C20" s="505" t="s">
        <v>288</v>
      </c>
      <c r="D20" s="503"/>
      <c r="E20" s="503"/>
      <c r="F20" s="503"/>
      <c r="G20" s="493" t="s">
        <v>258</v>
      </c>
      <c r="H20" s="493" t="s">
        <v>274</v>
      </c>
      <c r="I20" s="556" t="s">
        <v>259</v>
      </c>
      <c r="J20" s="557" t="s">
        <v>275</v>
      </c>
      <c r="K20" s="558" t="s">
        <v>260</v>
      </c>
      <c r="L20" s="494" t="s">
        <v>261</v>
      </c>
      <c r="M20" s="488"/>
      <c r="N20" s="493" t="s">
        <v>262</v>
      </c>
      <c r="O20" s="490"/>
      <c r="P20" s="490"/>
      <c r="S20"/>
      <c r="T20"/>
      <c r="U20"/>
      <c r="V20"/>
      <c r="W20"/>
      <c r="X20"/>
      <c r="Y20"/>
    </row>
    <row r="21" spans="1:34" s="11" customFormat="1" ht="12.75" customHeight="1" x14ac:dyDescent="0.3">
      <c r="A21" s="474"/>
      <c r="B21" s="474"/>
      <c r="C21" s="474" t="s">
        <v>289</v>
      </c>
      <c r="D21" s="474"/>
      <c r="E21" s="474"/>
      <c r="F21" s="474"/>
      <c r="G21" s="602" t="s">
        <v>290</v>
      </c>
      <c r="H21" s="475" t="s">
        <v>291</v>
      </c>
      <c r="I21" s="478"/>
      <c r="J21" s="476" t="str">
        <f>IF(HLOOKUP(CaseName,CaseData,MATCH($G21,cases!$G$3:$G$1259,0)-1,FALSE)="",IF(ISBLANK(VLOOKUP(ChemName,ChemData,MATCH(G21,substances!$3:$3,FALSE)-1,FALSE)),"",VLOOKUP(ChemName,ChemData,MATCH(G21,substances!$3:$3,FALSE)-1,FALSE)),HLOOKUP(CaseName,CaseData,MATCH($G21,cases!$G$3:$G$1259,0)-1,FALSE))</f>
        <v/>
      </c>
      <c r="K21" s="544">
        <v>0.1</v>
      </c>
      <c r="L21" s="466">
        <f t="shared" ref="L21:L40" si="0">IF(ISBLANK(I21), IF(ISNUMBER(J21)=FALSE, K21, J21), I21)</f>
        <v>0.1</v>
      </c>
      <c r="M21" s="475" t="s">
        <v>292</v>
      </c>
      <c r="N21" s="474"/>
      <c r="O21" s="490"/>
      <c r="P21" s="490"/>
      <c r="S21"/>
      <c r="T21"/>
      <c r="U21"/>
      <c r="V21"/>
      <c r="W21"/>
      <c r="X21"/>
      <c r="Y21"/>
    </row>
    <row r="22" spans="1:34" s="11" customFormat="1" ht="12.75" customHeight="1" x14ac:dyDescent="0.3">
      <c r="A22" s="474"/>
      <c r="B22" s="474"/>
      <c r="C22" s="474" t="s">
        <v>293</v>
      </c>
      <c r="D22" s="474"/>
      <c r="E22" s="474"/>
      <c r="F22" s="474"/>
      <c r="G22" s="602" t="s">
        <v>294</v>
      </c>
      <c r="H22" s="475" t="s">
        <v>291</v>
      </c>
      <c r="I22" s="478"/>
      <c r="J22" s="476" t="str">
        <f>IF(HLOOKUP(CaseName,CaseData,MATCH($G22,cases!$G$3:$G$1259,0)-1,FALSE)="",IF(ISBLANK(VLOOKUP(ChemName,ChemData,MATCH(G22,substances!$3:$3,FALSE)-1,FALSE)),"",VLOOKUP(ChemName,ChemData,MATCH(G22,substances!$3:$3,FALSE)-1,FALSE)),HLOOKUP(CaseName,CaseData,MATCH($G22,cases!$G$3:$G$1259,0)-1,FALSE))</f>
        <v/>
      </c>
      <c r="K22" s="544">
        <v>0.1</v>
      </c>
      <c r="L22" s="466">
        <f t="shared" si="0"/>
        <v>0.1</v>
      </c>
      <c r="M22" s="475" t="s">
        <v>292</v>
      </c>
      <c r="N22" s="474"/>
      <c r="O22" s="490"/>
      <c r="P22" s="490"/>
      <c r="S22"/>
      <c r="T22"/>
      <c r="U22"/>
      <c r="V22"/>
      <c r="W22"/>
      <c r="X22"/>
      <c r="Y22"/>
    </row>
    <row r="23" spans="1:34" s="11" customFormat="1" ht="12.75" customHeight="1" x14ac:dyDescent="0.3">
      <c r="A23" s="474"/>
      <c r="B23" s="474"/>
      <c r="C23" s="474" t="s">
        <v>295</v>
      </c>
      <c r="D23" s="474"/>
      <c r="E23" s="474"/>
      <c r="F23" s="474"/>
      <c r="G23" s="603" t="s">
        <v>296</v>
      </c>
      <c r="H23" s="475" t="s">
        <v>291</v>
      </c>
      <c r="I23" s="477"/>
      <c r="J23" s="476" t="str">
        <f>IF(HLOOKUP(CaseName,CaseData,MATCH($G23,cases!$G$3:$G$1259,0)-1,FALSE)="",IF(ISBLANK(VLOOKUP(ChemName,ChemData,MATCH(G23,substances!$3:$3,FALSE)-1,FALSE)),"",VLOOKUP(ChemName,ChemData,MATCH(G23,substances!$3:$3,FALSE)-1,FALSE)),HLOOKUP(CaseName,CaseData,MATCH($G23,cases!$G$3:$G$1259,0)-1,FALSE))</f>
        <v/>
      </c>
      <c r="K23" s="544">
        <v>0.1</v>
      </c>
      <c r="L23" s="466">
        <f t="shared" si="0"/>
        <v>0.1</v>
      </c>
      <c r="M23" s="475" t="s">
        <v>292</v>
      </c>
      <c r="N23" s="474"/>
      <c r="O23" s="490"/>
      <c r="P23" s="490"/>
      <c r="S23"/>
      <c r="T23"/>
      <c r="U23"/>
      <c r="V23"/>
      <c r="W23"/>
      <c r="X23"/>
      <c r="Y23"/>
    </row>
    <row r="24" spans="1:34" s="11" customFormat="1" ht="12.75" customHeight="1" x14ac:dyDescent="0.3">
      <c r="A24" s="474"/>
      <c r="B24" s="474"/>
      <c r="C24" s="474" t="s">
        <v>297</v>
      </c>
      <c r="D24" s="474"/>
      <c r="E24" s="474"/>
      <c r="F24" s="474"/>
      <c r="G24" s="603" t="s">
        <v>298</v>
      </c>
      <c r="H24" s="475" t="s">
        <v>291</v>
      </c>
      <c r="I24" s="477"/>
      <c r="J24" s="476" t="str">
        <f>IF(HLOOKUP(CaseName,CaseData,MATCH($G24,cases!$G$3:$G$1259,0)-1,FALSE)="",IF(ISBLANK(VLOOKUP(ChemName,ChemData,MATCH(G24,substances!$3:$3,FALSE)-1,FALSE)),"",VLOOKUP(ChemName,ChemData,MATCH(G24,substances!$3:$3,FALSE)-1,FALSE)),HLOOKUP(CaseName,CaseData,MATCH($G24,cases!$G$3:$G$1259,0)-1,FALSE))</f>
        <v/>
      </c>
      <c r="K24" s="544">
        <v>0.1</v>
      </c>
      <c r="L24" s="466">
        <f t="shared" si="0"/>
        <v>0.1</v>
      </c>
      <c r="M24" s="475" t="s">
        <v>292</v>
      </c>
      <c r="N24" s="474"/>
      <c r="O24" s="490"/>
      <c r="P24" s="490"/>
      <c r="S24"/>
      <c r="T24"/>
      <c r="U24"/>
      <c r="V24"/>
      <c r="W24"/>
      <c r="X24"/>
      <c r="Y24"/>
    </row>
    <row r="25" spans="1:34" s="11" customFormat="1" ht="12.75" customHeight="1" x14ac:dyDescent="0.3">
      <c r="A25" s="474"/>
      <c r="B25" s="474"/>
      <c r="C25" s="474" t="s">
        <v>299</v>
      </c>
      <c r="D25" s="474"/>
      <c r="E25" s="474"/>
      <c r="F25" s="474"/>
      <c r="G25" s="603" t="s">
        <v>300</v>
      </c>
      <c r="H25" s="475" t="s">
        <v>291</v>
      </c>
      <c r="I25" s="478"/>
      <c r="J25" s="476" t="str">
        <f>IF(HLOOKUP(CaseName,CaseData,MATCH($G25,cases!$G$3:$G$1259,0)-1,FALSE)="",IF(ISBLANK(VLOOKUP(ChemName,ChemData,MATCH(G25,substances!$3:$3,FALSE)-1,FALSE)),"",VLOOKUP(ChemName,ChemData,MATCH(G25,substances!$3:$3,FALSE)-1,FALSE)),HLOOKUP(CaseName,CaseData,MATCH($G25,cases!$G$3:$G$1259,0)-1,FALSE))</f>
        <v/>
      </c>
      <c r="K25" s="544">
        <v>1</v>
      </c>
      <c r="L25" s="466">
        <f t="shared" si="0"/>
        <v>1</v>
      </c>
      <c r="M25" s="475" t="s">
        <v>292</v>
      </c>
      <c r="N25" s="474"/>
      <c r="O25" s="490"/>
      <c r="P25" s="490"/>
      <c r="S25"/>
      <c r="T25"/>
      <c r="U25"/>
      <c r="V25"/>
      <c r="W25"/>
      <c r="X25"/>
      <c r="Y25"/>
    </row>
    <row r="26" spans="1:34" s="11" customFormat="1" ht="12.75" customHeight="1" x14ac:dyDescent="0.3">
      <c r="A26" s="474"/>
      <c r="B26" s="474"/>
      <c r="C26" s="474" t="s">
        <v>301</v>
      </c>
      <c r="D26" s="474"/>
      <c r="E26" s="474"/>
      <c r="F26" s="474"/>
      <c r="G26" s="603" t="s">
        <v>302</v>
      </c>
      <c r="H26" s="475" t="s">
        <v>291</v>
      </c>
      <c r="I26" s="478"/>
      <c r="J26" s="476" t="str">
        <f>IF(HLOOKUP(CaseName,CaseData,MATCH($G26,cases!$G$3:$G$1259,0)-1,FALSE)="",IF(ISBLANK(VLOOKUP(ChemName,ChemData,MATCH(G26,substances!$3:$3,FALSE)-1,FALSE)),"",VLOOKUP(ChemName,ChemData,MATCH(G26,substances!$3:$3,FALSE)-1,FALSE)),HLOOKUP(CaseName,CaseData,MATCH($G26,cases!$G$3:$G$1259,0)-1,FALSE))</f>
        <v/>
      </c>
      <c r="K26" s="544">
        <v>1</v>
      </c>
      <c r="L26" s="466">
        <f t="shared" si="0"/>
        <v>1</v>
      </c>
      <c r="M26" s="475" t="s">
        <v>292</v>
      </c>
      <c r="N26" s="474"/>
      <c r="O26" s="490"/>
      <c r="P26" s="490"/>
      <c r="S26"/>
      <c r="T26"/>
      <c r="U26"/>
      <c r="V26"/>
      <c r="W26"/>
      <c r="X26"/>
      <c r="Y26"/>
    </row>
    <row r="27" spans="1:34" s="11" customFormat="1" ht="12.75" customHeight="1" x14ac:dyDescent="0.3">
      <c r="A27" s="474"/>
      <c r="B27" s="474"/>
      <c r="C27" s="474" t="s">
        <v>303</v>
      </c>
      <c r="D27" s="474"/>
      <c r="E27" s="474"/>
      <c r="F27" s="474"/>
      <c r="G27" s="603" t="s">
        <v>304</v>
      </c>
      <c r="H27" s="475" t="s">
        <v>291</v>
      </c>
      <c r="I27" s="478"/>
      <c r="J27" s="476" t="str">
        <f>IF(HLOOKUP(CaseName,CaseData,MATCH($G27,cases!$G$3:$G$1259,0)-1,FALSE)="",IF(ISBLANK(VLOOKUP(ChemName,ChemData,MATCH(G27,substances!$3:$3,FALSE)-1,FALSE)),"",VLOOKUP(ChemName,ChemData,MATCH(G27,substances!$3:$3,FALSE)-1,FALSE)),HLOOKUP(CaseName,CaseData,MATCH($G27,cases!$G$3:$G$1259,0)-1,FALSE))</f>
        <v/>
      </c>
      <c r="K27" s="544">
        <v>1</v>
      </c>
      <c r="L27" s="466">
        <f t="shared" si="0"/>
        <v>1</v>
      </c>
      <c r="M27" s="475" t="s">
        <v>292</v>
      </c>
      <c r="N27" s="474"/>
      <c r="O27" s="490"/>
      <c r="P27" s="490"/>
      <c r="S27"/>
      <c r="T27"/>
      <c r="U27"/>
      <c r="V27"/>
      <c r="W27"/>
      <c r="X27"/>
      <c r="Y27"/>
    </row>
    <row r="28" spans="1:34" s="11" customFormat="1" ht="12.75" customHeight="1" x14ac:dyDescent="0.3">
      <c r="A28" s="474"/>
      <c r="B28" s="474"/>
      <c r="C28" s="474" t="s">
        <v>305</v>
      </c>
      <c r="D28" s="474"/>
      <c r="E28" s="474"/>
      <c r="F28" s="474"/>
      <c r="G28" s="603" t="s">
        <v>306</v>
      </c>
      <c r="H28" s="475" t="s">
        <v>291</v>
      </c>
      <c r="I28" s="478"/>
      <c r="J28" s="476" t="str">
        <f>IF(HLOOKUP(CaseName,CaseData,MATCH($G28,cases!$G$3:$G$1259,0)-1,FALSE)="",IF(ISBLANK(VLOOKUP(ChemName,ChemData,MATCH(G28,substances!$3:$3,FALSE)-1,FALSE)),"",VLOOKUP(ChemName,ChemData,MATCH(G28,substances!$3:$3,FALSE)-1,FALSE)),HLOOKUP(CaseName,CaseData,MATCH($G28,cases!$G$3:$G$1259,0)-1,FALSE))</f>
        <v/>
      </c>
      <c r="K28" s="544">
        <v>1</v>
      </c>
      <c r="L28" s="466">
        <f t="shared" si="0"/>
        <v>1</v>
      </c>
      <c r="M28" s="475" t="s">
        <v>292</v>
      </c>
      <c r="N28" s="474"/>
      <c r="O28" s="490"/>
      <c r="P28" s="490"/>
      <c r="S28"/>
      <c r="T28"/>
      <c r="U28"/>
      <c r="V28"/>
      <c r="W28"/>
      <c r="X28"/>
      <c r="Y28"/>
    </row>
    <row r="29" spans="1:34" s="11" customFormat="1" ht="12.75" customHeight="1" x14ac:dyDescent="0.3">
      <c r="A29" s="474"/>
      <c r="B29" s="474"/>
      <c r="C29" s="474" t="s">
        <v>307</v>
      </c>
      <c r="D29" s="474"/>
      <c r="E29" s="474"/>
      <c r="F29" s="474"/>
      <c r="G29" s="603" t="s">
        <v>308</v>
      </c>
      <c r="H29" s="475" t="s">
        <v>291</v>
      </c>
      <c r="I29" s="477"/>
      <c r="J29" s="476" t="str">
        <f>IF(HLOOKUP(CaseName,CaseData,MATCH($G29,cases!$G$3:$G$1259,0)-1,FALSE)="",IF(ISBLANK(VLOOKUP(ChemName,ChemData,MATCH(G29,substances!$3:$3,FALSE)-1,FALSE)),"",VLOOKUP(ChemName,ChemData,MATCH(G29,substances!$3:$3,FALSE)-1,FALSE)),HLOOKUP(CaseName,CaseData,MATCH($G29,cases!$G$3:$G$1259,0)-1,FALSE))</f>
        <v/>
      </c>
      <c r="K29" s="544">
        <v>0.1</v>
      </c>
      <c r="L29" s="466">
        <f t="shared" si="0"/>
        <v>0.1</v>
      </c>
      <c r="M29" s="475" t="s">
        <v>292</v>
      </c>
      <c r="N29" s="474"/>
      <c r="O29" s="490"/>
      <c r="P29" s="490"/>
      <c r="S29"/>
      <c r="T29"/>
      <c r="U29"/>
      <c r="V29"/>
      <c r="W29"/>
      <c r="X29"/>
      <c r="Y29"/>
    </row>
    <row r="30" spans="1:34" s="11" customFormat="1" ht="12.75" customHeight="1" x14ac:dyDescent="0.3">
      <c r="A30" s="474"/>
      <c r="B30" s="474"/>
      <c r="C30" s="474" t="s">
        <v>309</v>
      </c>
      <c r="D30" s="474"/>
      <c r="E30" s="474"/>
      <c r="F30" s="474"/>
      <c r="G30" s="603" t="s">
        <v>310</v>
      </c>
      <c r="H30" s="475" t="s">
        <v>291</v>
      </c>
      <c r="I30" s="477"/>
      <c r="J30" s="476" t="str">
        <f>IF(HLOOKUP(CaseName,CaseData,MATCH($G30,cases!$G$3:$G$1259,0)-1,FALSE)="",IF(ISBLANK(VLOOKUP(ChemName,ChemData,MATCH(G30,substances!$3:$3,FALSE)-1,FALSE)),"",VLOOKUP(ChemName,ChemData,MATCH(G30,substances!$3:$3,FALSE)-1,FALSE)),HLOOKUP(CaseName,CaseData,MATCH($G30,cases!$G$3:$G$1259,0)-1,FALSE))</f>
        <v/>
      </c>
      <c r="K30" s="544">
        <v>0.1</v>
      </c>
      <c r="L30" s="466">
        <f t="shared" si="0"/>
        <v>0.1</v>
      </c>
      <c r="M30" s="475" t="s">
        <v>292</v>
      </c>
      <c r="N30" s="474"/>
      <c r="O30" s="490"/>
      <c r="P30" s="490"/>
      <c r="S30"/>
      <c r="T30"/>
      <c r="U30"/>
      <c r="V30"/>
      <c r="W30"/>
      <c r="X30"/>
      <c r="Y30"/>
    </row>
    <row r="31" spans="1:34" s="11" customFormat="1" ht="12.75" customHeight="1" x14ac:dyDescent="0.3">
      <c r="A31" s="474"/>
      <c r="B31" s="474"/>
      <c r="C31" s="474" t="s">
        <v>311</v>
      </c>
      <c r="D31" s="474"/>
      <c r="E31" s="474"/>
      <c r="F31" s="474"/>
      <c r="G31" s="603" t="s">
        <v>312</v>
      </c>
      <c r="H31" s="475" t="s">
        <v>291</v>
      </c>
      <c r="I31" s="477"/>
      <c r="J31" s="476" t="str">
        <f>IF(HLOOKUP(CaseName,CaseData,MATCH($G31,cases!$G$3:$G$1259,0)-1,FALSE)="",IF(ISBLANK(VLOOKUP(ChemName,ChemData,MATCH(G31,substances!$3:$3,FALSE)-1,FALSE)),"",VLOOKUP(ChemName,ChemData,MATCH(G31,substances!$3:$3,FALSE)-1,FALSE)),HLOOKUP(CaseName,CaseData,MATCH($G31,cases!$G$3:$G$1259,0)-1,FALSE))</f>
        <v/>
      </c>
      <c r="K31" s="544">
        <v>0.1</v>
      </c>
      <c r="L31" s="466">
        <f t="shared" si="0"/>
        <v>0.1</v>
      </c>
      <c r="M31" s="475" t="s">
        <v>292</v>
      </c>
      <c r="N31" s="474"/>
      <c r="O31" s="490"/>
      <c r="P31" s="490"/>
      <c r="S31"/>
      <c r="T31"/>
      <c r="U31"/>
      <c r="V31"/>
      <c r="W31"/>
      <c r="X31"/>
      <c r="Y31"/>
    </row>
    <row r="32" spans="1:34" s="11" customFormat="1" ht="12.75" customHeight="1" x14ac:dyDescent="0.3">
      <c r="A32" s="474"/>
      <c r="B32" s="474"/>
      <c r="C32" s="474" t="s">
        <v>313</v>
      </c>
      <c r="D32" s="474"/>
      <c r="E32" s="474"/>
      <c r="F32" s="474"/>
      <c r="G32" s="603" t="s">
        <v>314</v>
      </c>
      <c r="H32" s="475" t="s">
        <v>291</v>
      </c>
      <c r="I32" s="477"/>
      <c r="J32" s="476" t="str">
        <f>IF(HLOOKUP(CaseName,CaseData,MATCH($G32,cases!$G$3:$G$1259,0)-1,FALSE)="",IF(ISBLANK(VLOOKUP(ChemName,ChemData,MATCH(G32,substances!$3:$3,FALSE)-1,FALSE)),"",VLOOKUP(ChemName,ChemData,MATCH(G32,substances!$3:$3,FALSE)-1,FALSE)),HLOOKUP(CaseName,CaseData,MATCH($G32,cases!$G$3:$G$1259,0)-1,FALSE))</f>
        <v/>
      </c>
      <c r="K32" s="544">
        <v>0.1</v>
      </c>
      <c r="L32" s="466">
        <f t="shared" si="0"/>
        <v>0.1</v>
      </c>
      <c r="M32" s="475" t="s">
        <v>292</v>
      </c>
      <c r="N32" s="474"/>
      <c r="O32" s="490"/>
      <c r="P32" s="490"/>
      <c r="S32"/>
      <c r="T32"/>
      <c r="U32"/>
      <c r="V32"/>
      <c r="W32"/>
      <c r="X32"/>
      <c r="Y32"/>
    </row>
    <row r="33" spans="1:25" s="11" customFormat="1" ht="12.75" customHeight="1" x14ac:dyDescent="0.3">
      <c r="A33" s="474"/>
      <c r="B33" s="474"/>
      <c r="C33" s="474" t="s">
        <v>315</v>
      </c>
      <c r="D33" s="474"/>
      <c r="E33" s="474"/>
      <c r="F33" s="474"/>
      <c r="G33" s="603" t="s">
        <v>316</v>
      </c>
      <c r="H33" s="475" t="s">
        <v>291</v>
      </c>
      <c r="I33" s="477"/>
      <c r="J33" s="476" t="str">
        <f>IF(HLOOKUP(CaseName,CaseData,MATCH($G33,cases!$G$3:$G$1259,0)-1,FALSE)="",IF(ISBLANK(VLOOKUP(ChemName,ChemData,MATCH(G33,substances!$3:$3,FALSE)-1,FALSE)),"",VLOOKUP(ChemName,ChemData,MATCH(G33,substances!$3:$3,FALSE)-1,FALSE)),HLOOKUP(CaseName,CaseData,MATCH($G33,cases!$G$3:$G$1259,0)-1,FALSE))</f>
        <v/>
      </c>
      <c r="K33" s="544">
        <v>0.1</v>
      </c>
      <c r="L33" s="466">
        <f t="shared" si="0"/>
        <v>0.1</v>
      </c>
      <c r="M33" s="475" t="s">
        <v>292</v>
      </c>
      <c r="N33" s="474"/>
      <c r="O33" s="490"/>
      <c r="P33" s="490"/>
      <c r="S33"/>
      <c r="T33"/>
      <c r="U33"/>
      <c r="V33"/>
      <c r="W33"/>
      <c r="X33"/>
      <c r="Y33"/>
    </row>
    <row r="34" spans="1:25" s="11" customFormat="1" ht="12.75" customHeight="1" x14ac:dyDescent="0.3">
      <c r="A34" s="474"/>
      <c r="B34" s="474"/>
      <c r="C34" s="474" t="s">
        <v>317</v>
      </c>
      <c r="D34" s="474"/>
      <c r="E34" s="474"/>
      <c r="F34" s="474"/>
      <c r="G34" s="603" t="s">
        <v>318</v>
      </c>
      <c r="H34" s="475" t="s">
        <v>291</v>
      </c>
      <c r="I34" s="477"/>
      <c r="J34" s="476" t="str">
        <f>IF(HLOOKUP(CaseName,CaseData,MATCH($G34,cases!$G$3:$G$1259,0)-1,FALSE)="",IF(ISBLANK(VLOOKUP(ChemName,ChemData,MATCH(G34,substances!$3:$3,FALSE)-1,FALSE)),"",VLOOKUP(ChemName,ChemData,MATCH(G34,substances!$3:$3,FALSE)-1,FALSE)),HLOOKUP(CaseName,CaseData,MATCH($G34,cases!$G$3:$G$1259,0)-1,FALSE))</f>
        <v/>
      </c>
      <c r="K34" s="544">
        <v>0.1</v>
      </c>
      <c r="L34" s="466">
        <f t="shared" si="0"/>
        <v>0.1</v>
      </c>
      <c r="M34" s="475" t="s">
        <v>292</v>
      </c>
      <c r="N34" s="474"/>
      <c r="O34" s="490"/>
      <c r="P34" s="490"/>
      <c r="S34"/>
      <c r="T34"/>
      <c r="U34"/>
      <c r="V34"/>
      <c r="W34"/>
      <c r="X34"/>
      <c r="Y34"/>
    </row>
    <row r="35" spans="1:25" s="11" customFormat="1" ht="12.75" customHeight="1" x14ac:dyDescent="0.3">
      <c r="A35" s="474"/>
      <c r="B35" s="474"/>
      <c r="C35" s="474" t="s">
        <v>319</v>
      </c>
      <c r="D35" s="474"/>
      <c r="E35" s="474"/>
      <c r="F35" s="474"/>
      <c r="G35" s="603" t="s">
        <v>320</v>
      </c>
      <c r="H35" s="475" t="s">
        <v>291</v>
      </c>
      <c r="I35" s="478"/>
      <c r="J35" s="476" t="str">
        <f>IF(HLOOKUP(CaseName,CaseData,MATCH($G35,cases!$G$3:$G$1259,0)-1,FALSE)="",IF(ISBLANK(VLOOKUP(ChemName,ChemData,MATCH(G35,substances!$3:$3,FALSE)-1,FALSE)),"",VLOOKUP(ChemName,ChemData,MATCH(G35,substances!$3:$3,FALSE)-1,FALSE)),HLOOKUP(CaseName,CaseData,MATCH($G35,cases!$G$3:$G$1259,0)-1,FALSE))</f>
        <v/>
      </c>
      <c r="K35" s="544">
        <v>0.1</v>
      </c>
      <c r="L35" s="466">
        <f t="shared" si="0"/>
        <v>0.1</v>
      </c>
      <c r="M35" s="475" t="s">
        <v>292</v>
      </c>
      <c r="N35" s="474"/>
      <c r="O35" s="490"/>
      <c r="P35" s="490"/>
      <c r="S35"/>
      <c r="T35"/>
      <c r="U35"/>
      <c r="V35"/>
      <c r="W35"/>
      <c r="X35"/>
      <c r="Y35"/>
    </row>
    <row r="36" spans="1:25" s="11" customFormat="1" ht="12.75" customHeight="1" x14ac:dyDescent="0.3">
      <c r="A36" s="474"/>
      <c r="B36" s="474"/>
      <c r="C36" s="474" t="s">
        <v>321</v>
      </c>
      <c r="D36" s="474"/>
      <c r="E36" s="474"/>
      <c r="F36" s="474"/>
      <c r="G36" s="603" t="s">
        <v>322</v>
      </c>
      <c r="H36" s="475" t="s">
        <v>291</v>
      </c>
      <c r="I36" s="478"/>
      <c r="J36" s="476" t="str">
        <f>IF(HLOOKUP(CaseName,CaseData,MATCH($G36,cases!$G$3:$G$1259,0)-1,FALSE)="",IF(ISBLANK(VLOOKUP(ChemName,ChemData,MATCH(G36,substances!$3:$3,FALSE)-1,FALSE)),"",VLOOKUP(ChemName,ChemData,MATCH(G36,substances!$3:$3,FALSE)-1,FALSE)),HLOOKUP(CaseName,CaseData,MATCH($G36,cases!$G$3:$G$1259,0)-1,FALSE))</f>
        <v/>
      </c>
      <c r="K36" s="544">
        <v>0.1</v>
      </c>
      <c r="L36" s="466">
        <f t="shared" si="0"/>
        <v>0.1</v>
      </c>
      <c r="M36" s="475" t="s">
        <v>292</v>
      </c>
      <c r="N36" s="474"/>
      <c r="O36" s="490"/>
      <c r="P36" s="490"/>
      <c r="S36"/>
      <c r="T36"/>
      <c r="U36"/>
      <c r="V36"/>
      <c r="W36"/>
      <c r="X36"/>
      <c r="Y36"/>
    </row>
    <row r="37" spans="1:25" s="11" customFormat="1" ht="12.75" customHeight="1" x14ac:dyDescent="0.3">
      <c r="A37" s="474"/>
      <c r="B37" s="474"/>
      <c r="C37" s="474" t="s">
        <v>323</v>
      </c>
      <c r="D37" s="474"/>
      <c r="E37" s="474"/>
      <c r="F37" s="474"/>
      <c r="G37" s="603" t="s">
        <v>324</v>
      </c>
      <c r="H37" s="475" t="s">
        <v>291</v>
      </c>
      <c r="I37" s="477"/>
      <c r="J37" s="476" t="str">
        <f>IF(HLOOKUP(CaseName,CaseData,MATCH($G37,cases!$G$3:$G$1259,0)-1,FALSE)="",IF(ISBLANK(VLOOKUP(ChemName,ChemData,MATCH(G37,substances!$3:$3,FALSE)-1,FALSE)),"",VLOOKUP(ChemName,ChemData,MATCH(G37,substances!$3:$3,FALSE)-1,FALSE)),HLOOKUP(CaseName,CaseData,MATCH($G37,cases!$G$3:$G$1259,0)-1,FALSE))</f>
        <v/>
      </c>
      <c r="K37" s="544">
        <v>0.1</v>
      </c>
      <c r="L37" s="466">
        <f t="shared" si="0"/>
        <v>0.1</v>
      </c>
      <c r="M37" s="475" t="s">
        <v>292</v>
      </c>
      <c r="N37" s="474"/>
      <c r="O37" s="490"/>
      <c r="P37" s="490"/>
      <c r="S37"/>
      <c r="T37"/>
      <c r="U37"/>
      <c r="V37"/>
      <c r="W37"/>
      <c r="X37"/>
      <c r="Y37"/>
    </row>
    <row r="38" spans="1:25" s="11" customFormat="1" ht="12.75" customHeight="1" x14ac:dyDescent="0.3">
      <c r="A38" s="474"/>
      <c r="B38" s="474"/>
      <c r="C38" s="474" t="s">
        <v>325</v>
      </c>
      <c r="D38" s="474"/>
      <c r="E38" s="474"/>
      <c r="F38" s="474"/>
      <c r="G38" s="603" t="s">
        <v>326</v>
      </c>
      <c r="H38" s="475" t="s">
        <v>291</v>
      </c>
      <c r="I38" s="477"/>
      <c r="J38" s="476" t="str">
        <f>IF(HLOOKUP(CaseName,CaseData,MATCH($G38,cases!$G$3:$G$1259,0)-1,FALSE)="",IF(ISBLANK(VLOOKUP(ChemName,ChemData,MATCH(G38,substances!$3:$3,FALSE)-1,FALSE)),"",VLOOKUP(ChemName,ChemData,MATCH(G38,substances!$3:$3,FALSE)-1,FALSE)),HLOOKUP(CaseName,CaseData,MATCH($G38,cases!$G$3:$G$1259,0)-1,FALSE))</f>
        <v/>
      </c>
      <c r="K38" s="544">
        <v>0.1</v>
      </c>
      <c r="L38" s="466">
        <f t="shared" si="0"/>
        <v>0.1</v>
      </c>
      <c r="M38" s="475" t="s">
        <v>292</v>
      </c>
      <c r="N38" s="474"/>
      <c r="O38" s="490"/>
      <c r="P38" s="490"/>
      <c r="S38"/>
      <c r="T38"/>
      <c r="U38"/>
      <c r="V38"/>
      <c r="W38"/>
      <c r="X38"/>
      <c r="Y38"/>
    </row>
    <row r="39" spans="1:25" s="11" customFormat="1" ht="12.75" customHeight="1" x14ac:dyDescent="0.3">
      <c r="A39" s="474"/>
      <c r="B39" s="474"/>
      <c r="C39" s="474" t="s">
        <v>327</v>
      </c>
      <c r="D39" s="474"/>
      <c r="E39" s="474"/>
      <c r="F39" s="474"/>
      <c r="G39" s="603" t="s">
        <v>328</v>
      </c>
      <c r="H39" s="475" t="s">
        <v>291</v>
      </c>
      <c r="I39" s="478"/>
      <c r="J39" s="476" t="str">
        <f>IF(HLOOKUP(CaseName,CaseData,MATCH($G39,cases!$G$3:$G$1259,0)-1,FALSE)="",IF(ISBLANK(VLOOKUP(ChemName,ChemData,MATCH(G39,substances!$3:$3,FALSE)-1,FALSE)),"",VLOOKUP(ChemName,ChemData,MATCH(G39,substances!$3:$3,FALSE)-1,FALSE)),HLOOKUP(CaseName,CaseData,MATCH($G39,cases!$G$3:$G$1259,0)-1,FALSE))</f>
        <v/>
      </c>
      <c r="K39" s="544">
        <v>1</v>
      </c>
      <c r="L39" s="466">
        <f t="shared" si="0"/>
        <v>1</v>
      </c>
      <c r="M39" s="475" t="s">
        <v>292</v>
      </c>
      <c r="N39" s="474"/>
      <c r="O39" s="490"/>
      <c r="P39" s="490"/>
      <c r="S39"/>
      <c r="T39"/>
      <c r="U39"/>
      <c r="V39"/>
      <c r="W39"/>
      <c r="X39"/>
      <c r="Y39"/>
    </row>
    <row r="40" spans="1:25" s="11" customFormat="1" ht="12.75" customHeight="1" x14ac:dyDescent="0.3">
      <c r="A40" s="474"/>
      <c r="B40" s="474"/>
      <c r="C40" s="503" t="s">
        <v>329</v>
      </c>
      <c r="D40" s="503"/>
      <c r="E40" s="503"/>
      <c r="F40" s="503"/>
      <c r="G40" s="604" t="s">
        <v>330</v>
      </c>
      <c r="H40" s="506" t="s">
        <v>291</v>
      </c>
      <c r="I40" s="495"/>
      <c r="J40" s="615" t="str">
        <f>IF(HLOOKUP(CaseName,CaseData,MATCH($G40,cases!$G$3:$G$1259,0)-1,FALSE)="",IF(ISBLANK(VLOOKUP(ChemName,ChemData,MATCH(G40,substances!$3:$3,FALSE)-1,FALSE)),"",VLOOKUP(ChemName,ChemData,MATCH(G40,substances!$3:$3,FALSE)-1,FALSE)),HLOOKUP(CaseName,CaseData,MATCH($G40,cases!$G$3:$G$1259,0)-1,FALSE))</f>
        <v/>
      </c>
      <c r="K40" s="559">
        <v>1</v>
      </c>
      <c r="L40" s="467">
        <f t="shared" si="0"/>
        <v>1</v>
      </c>
      <c r="M40" s="506" t="s">
        <v>292</v>
      </c>
      <c r="N40" s="503"/>
      <c r="O40" s="490"/>
      <c r="P40" s="490"/>
      <c r="S40"/>
      <c r="T40"/>
      <c r="U40"/>
      <c r="V40"/>
      <c r="W40"/>
      <c r="X40"/>
      <c r="Y40"/>
    </row>
    <row r="41" spans="1:25" s="11" customFormat="1" ht="12.75" customHeight="1" x14ac:dyDescent="0.3">
      <c r="A41" s="474"/>
      <c r="B41" s="474"/>
      <c r="C41" s="488"/>
      <c r="D41" s="488"/>
      <c r="E41" s="488"/>
      <c r="F41" s="488"/>
      <c r="G41" s="475"/>
      <c r="H41" s="475"/>
      <c r="I41" s="483"/>
      <c r="J41" s="550"/>
      <c r="K41" s="544"/>
      <c r="L41" s="510"/>
      <c r="M41" s="474"/>
      <c r="N41" s="474"/>
      <c r="O41" s="490"/>
      <c r="P41" s="490"/>
      <c r="S41"/>
      <c r="T41"/>
      <c r="U41"/>
      <c r="V41"/>
      <c r="W41"/>
      <c r="X41"/>
      <c r="Y41"/>
    </row>
    <row r="42" spans="1:25" s="11" customFormat="1" ht="12.75" customHeight="1" x14ac:dyDescent="0.3">
      <c r="A42" s="474"/>
      <c r="B42" s="474"/>
      <c r="C42" s="505" t="s">
        <v>331</v>
      </c>
      <c r="D42" s="503"/>
      <c r="E42" s="503"/>
      <c r="F42" s="503"/>
      <c r="G42" s="493" t="s">
        <v>258</v>
      </c>
      <c r="H42" s="493" t="s">
        <v>274</v>
      </c>
      <c r="I42" s="556" t="s">
        <v>259</v>
      </c>
      <c r="J42" s="557" t="s">
        <v>275</v>
      </c>
      <c r="K42" s="558" t="s">
        <v>260</v>
      </c>
      <c r="L42" s="560" t="s">
        <v>261</v>
      </c>
      <c r="M42" s="488"/>
      <c r="N42" s="493" t="s">
        <v>262</v>
      </c>
      <c r="O42" s="490"/>
      <c r="P42" s="490"/>
      <c r="S42"/>
      <c r="T42"/>
      <c r="U42"/>
      <c r="V42"/>
      <c r="W42"/>
      <c r="X42"/>
      <c r="Y42"/>
    </row>
    <row r="43" spans="1:25" s="11" customFormat="1" ht="12.75" customHeight="1" x14ac:dyDescent="0.3">
      <c r="A43" s="474"/>
      <c r="B43" s="474"/>
      <c r="C43" s="601" t="s">
        <v>332</v>
      </c>
      <c r="D43" s="474"/>
      <c r="E43" s="474"/>
      <c r="F43" s="474"/>
      <c r="G43" s="475"/>
      <c r="H43" s="475"/>
      <c r="I43" s="619"/>
      <c r="J43" s="620"/>
      <c r="K43" s="621"/>
      <c r="L43" s="656"/>
      <c r="M43" s="474"/>
      <c r="N43" s="475"/>
      <c r="O43" s="490"/>
      <c r="P43" s="490"/>
      <c r="S43"/>
      <c r="T43"/>
      <c r="U43"/>
      <c r="V43"/>
      <c r="W43"/>
      <c r="X43"/>
      <c r="Y43"/>
    </row>
    <row r="44" spans="1:25" s="11" customFormat="1" ht="12.75" customHeight="1" x14ac:dyDescent="0.3">
      <c r="A44" s="474"/>
      <c r="B44" s="474"/>
      <c r="C44" s="474" t="s">
        <v>333</v>
      </c>
      <c r="D44" s="474"/>
      <c r="E44" s="474"/>
      <c r="F44" s="474"/>
      <c r="G44" s="603" t="s">
        <v>334</v>
      </c>
      <c r="H44" s="475" t="s">
        <v>335</v>
      </c>
      <c r="I44" s="478"/>
      <c r="J44" s="476" t="str">
        <f>IF(HLOOKUP(CaseName,CaseData,MATCH($G44,cases!$G$3:$G$1259,0)-1,FALSE)="",IF(ISBLANK(VLOOKUP(ChemName,ChemData,MATCH(G44,substances!$3:$3,FALSE)-1,FALSE)),"",VLOOKUP(ChemName,ChemData,MATCH(G44,substances!$3:$3,FALSE)-1,FALSE)),HLOOKUP(CaseName,CaseData,MATCH($G44,cases!$G$3:$G$1259,0)-1,FALSE))</f>
        <v/>
      </c>
      <c r="K44" s="561">
        <v>0</v>
      </c>
      <c r="L44" s="466">
        <f t="shared" ref="L44:L74" si="1">IF(ISBLANK(I44), IF(ISNUMBER(J44)=FALSE, K44, J44), I44)</f>
        <v>0</v>
      </c>
      <c r="M44" s="475" t="s">
        <v>336</v>
      </c>
      <c r="N44" s="474"/>
      <c r="O44" s="490"/>
      <c r="P44" s="490"/>
      <c r="S44"/>
      <c r="T44"/>
      <c r="U44"/>
      <c r="V44"/>
      <c r="W44"/>
      <c r="X44"/>
      <c r="Y44"/>
    </row>
    <row r="45" spans="1:25" s="11" customFormat="1" ht="12.75" customHeight="1" x14ac:dyDescent="0.3">
      <c r="A45" s="474"/>
      <c r="B45" s="474"/>
      <c r="C45" s="474" t="s">
        <v>337</v>
      </c>
      <c r="D45" s="474"/>
      <c r="E45" s="474"/>
      <c r="F45" s="474"/>
      <c r="G45" s="603" t="s">
        <v>338</v>
      </c>
      <c r="H45" s="475" t="s">
        <v>335</v>
      </c>
      <c r="I45" s="478"/>
      <c r="J45" s="476" t="str">
        <f>IF(HLOOKUP(CaseName,CaseData,MATCH($G45,cases!$G$3:$G$1259,0)-1,FALSE)="",IF(ISBLANK(VLOOKUP(ChemName,ChemData,MATCH(G45,substances!$3:$3,FALSE)-1,FALSE)),"",VLOOKUP(ChemName,ChemData,MATCH(G45,substances!$3:$3,FALSE)-1,FALSE)),HLOOKUP(CaseName,CaseData,MATCH($G45,cases!$G$3:$G$1259,0)-1,FALSE))</f>
        <v/>
      </c>
      <c r="K45" s="561">
        <v>0</v>
      </c>
      <c r="L45" s="466">
        <f t="shared" ref="L45:L53" si="2">IF(ISBLANK(I45), IF(ISNUMBER(J45)=FALSE, K45, J45), I45)</f>
        <v>0</v>
      </c>
      <c r="M45" s="475" t="s">
        <v>336</v>
      </c>
      <c r="N45" s="474"/>
      <c r="O45" s="490"/>
      <c r="P45" s="490"/>
      <c r="S45"/>
      <c r="T45"/>
      <c r="U45"/>
      <c r="V45"/>
      <c r="W45"/>
      <c r="X45"/>
      <c r="Y45"/>
    </row>
    <row r="46" spans="1:25" s="11" customFormat="1" ht="12.75" customHeight="1" x14ac:dyDescent="0.3">
      <c r="A46" s="474"/>
      <c r="B46" s="474"/>
      <c r="C46" s="474" t="s">
        <v>339</v>
      </c>
      <c r="D46" s="474"/>
      <c r="E46" s="474"/>
      <c r="F46" s="474"/>
      <c r="G46" s="603" t="s">
        <v>340</v>
      </c>
      <c r="H46" s="475" t="s">
        <v>335</v>
      </c>
      <c r="I46" s="478"/>
      <c r="J46" s="476" t="str">
        <f>IF(HLOOKUP(CaseName,CaseData,MATCH($G46,cases!$G$3:$G$1259,0)-1,FALSE)="",IF(ISBLANK(VLOOKUP(ChemName,ChemData,MATCH(G46,substances!$3:$3,FALSE)-1,FALSE)),"",VLOOKUP(ChemName,ChemData,MATCH(G46,substances!$3:$3,FALSE)-1,FALSE)),HLOOKUP(CaseName,CaseData,MATCH($G46,cases!$G$3:$G$1259,0)-1,FALSE))</f>
        <v/>
      </c>
      <c r="K46" s="561">
        <v>0</v>
      </c>
      <c r="L46" s="466">
        <f t="shared" si="2"/>
        <v>0</v>
      </c>
      <c r="M46" s="475" t="s">
        <v>336</v>
      </c>
      <c r="N46" s="474"/>
      <c r="O46" s="490"/>
      <c r="P46" s="490"/>
      <c r="S46"/>
      <c r="T46"/>
      <c r="U46"/>
      <c r="V46"/>
      <c r="W46"/>
      <c r="X46"/>
      <c r="Y46"/>
    </row>
    <row r="47" spans="1:25" s="11" customFormat="1" ht="12.75" customHeight="1" x14ac:dyDescent="0.3">
      <c r="A47" s="474"/>
      <c r="B47" s="474"/>
      <c r="C47" s="474" t="s">
        <v>341</v>
      </c>
      <c r="D47" s="474"/>
      <c r="E47" s="474"/>
      <c r="F47" s="474"/>
      <c r="G47" s="603" t="s">
        <v>342</v>
      </c>
      <c r="H47" s="475" t="s">
        <v>335</v>
      </c>
      <c r="I47" s="478"/>
      <c r="J47" s="476" t="str">
        <f>IF(HLOOKUP(CaseName,CaseData,MATCH($G47,cases!$G$3:$G$1259,0)-1,FALSE)="",IF(ISBLANK(VLOOKUP(ChemName,ChemData,MATCH(G47,substances!$3:$3,FALSE)-1,FALSE)),"",VLOOKUP(ChemName,ChemData,MATCH(G47,substances!$3:$3,FALSE)-1,FALSE)),HLOOKUP(CaseName,CaseData,MATCH($G47,cases!$G$3:$G$1259,0)-1,FALSE))</f>
        <v/>
      </c>
      <c r="K47" s="561">
        <v>0</v>
      </c>
      <c r="L47" s="466">
        <f t="shared" si="2"/>
        <v>0</v>
      </c>
      <c r="M47" s="475" t="s">
        <v>336</v>
      </c>
      <c r="N47" s="474"/>
      <c r="O47" s="490"/>
      <c r="P47" s="490"/>
      <c r="S47"/>
      <c r="T47"/>
      <c r="U47"/>
      <c r="V47"/>
      <c r="W47"/>
      <c r="X47"/>
      <c r="Y47"/>
    </row>
    <row r="48" spans="1:25" s="11" customFormat="1" ht="12.75" customHeight="1" x14ac:dyDescent="0.3">
      <c r="A48" s="474"/>
      <c r="B48" s="474"/>
      <c r="C48" s="474" t="s">
        <v>343</v>
      </c>
      <c r="D48" s="474"/>
      <c r="E48" s="474"/>
      <c r="F48" s="474"/>
      <c r="G48" s="603" t="s">
        <v>344</v>
      </c>
      <c r="H48" s="475" t="s">
        <v>335</v>
      </c>
      <c r="I48" s="478"/>
      <c r="J48" s="476" t="str">
        <f>IF(HLOOKUP(CaseName,CaseData,MATCH($G48,cases!$G$3:$G$1259,0)-1,FALSE)="",IF(ISBLANK(VLOOKUP(ChemName,ChemData,MATCH(G48,substances!$3:$3,FALSE)-1,FALSE)),"",VLOOKUP(ChemName,ChemData,MATCH(G48,substances!$3:$3,FALSE)-1,FALSE)),HLOOKUP(CaseName,CaseData,MATCH($G48,cases!$G$3:$G$1259,0)-1,FALSE))</f>
        <v/>
      </c>
      <c r="K48" s="561">
        <v>0</v>
      </c>
      <c r="L48" s="466">
        <f t="shared" si="2"/>
        <v>0</v>
      </c>
      <c r="M48" s="475" t="s">
        <v>336</v>
      </c>
      <c r="N48" s="474"/>
      <c r="O48" s="490"/>
      <c r="P48" s="490"/>
      <c r="S48"/>
      <c r="T48"/>
      <c r="U48"/>
      <c r="V48"/>
      <c r="W48"/>
      <c r="X48"/>
      <c r="Y48"/>
    </row>
    <row r="49" spans="1:25" s="11" customFormat="1" ht="12.75" customHeight="1" x14ac:dyDescent="0.3">
      <c r="A49" s="474"/>
      <c r="B49" s="474"/>
      <c r="C49" s="474" t="s">
        <v>345</v>
      </c>
      <c r="D49" s="474"/>
      <c r="E49" s="474"/>
      <c r="F49" s="474"/>
      <c r="G49" s="603" t="s">
        <v>346</v>
      </c>
      <c r="H49" s="475" t="s">
        <v>335</v>
      </c>
      <c r="I49" s="478"/>
      <c r="J49" s="476" t="str">
        <f>IF(HLOOKUP(CaseName,CaseData,MATCH($G49,cases!$G$3:$G$1259,0)-1,FALSE)="",IF(ISBLANK(VLOOKUP(ChemName,ChemData,MATCH(G49,substances!$3:$3,FALSE)-1,FALSE)),"",VLOOKUP(ChemName,ChemData,MATCH(G49,substances!$3:$3,FALSE)-1,FALSE)),HLOOKUP(CaseName,CaseData,MATCH($G49,cases!$G$3:$G$1259,0)-1,FALSE))</f>
        <v/>
      </c>
      <c r="K49" s="561">
        <v>0</v>
      </c>
      <c r="L49" s="466">
        <f t="shared" si="2"/>
        <v>0</v>
      </c>
      <c r="M49" s="475" t="s">
        <v>336</v>
      </c>
      <c r="N49" s="474"/>
      <c r="O49" s="490"/>
      <c r="P49" s="490"/>
      <c r="S49"/>
      <c r="T49"/>
      <c r="U49"/>
      <c r="V49"/>
      <c r="W49"/>
      <c r="X49"/>
      <c r="Y49"/>
    </row>
    <row r="50" spans="1:25" s="11" customFormat="1" ht="12.75" customHeight="1" x14ac:dyDescent="0.3">
      <c r="A50" s="474"/>
      <c r="B50" s="474"/>
      <c r="C50" s="474" t="s">
        <v>347</v>
      </c>
      <c r="D50" s="474"/>
      <c r="E50" s="474"/>
      <c r="F50" s="474"/>
      <c r="G50" s="603" t="s">
        <v>348</v>
      </c>
      <c r="H50" s="475" t="s">
        <v>335</v>
      </c>
      <c r="I50" s="478"/>
      <c r="J50" s="476" t="str">
        <f>IF(HLOOKUP(CaseName,CaseData,MATCH($G50,cases!$G$3:$G$1259,0)-1,FALSE)="",IF(ISBLANK(VLOOKUP(ChemName,ChemData,MATCH(G50,substances!$3:$3,FALSE)-1,FALSE)),"",VLOOKUP(ChemName,ChemData,MATCH(G50,substances!$3:$3,FALSE)-1,FALSE)),HLOOKUP(CaseName,CaseData,MATCH($G50,cases!$G$3:$G$1259,0)-1,FALSE))</f>
        <v/>
      </c>
      <c r="K50" s="561">
        <v>0</v>
      </c>
      <c r="L50" s="466">
        <f t="shared" si="2"/>
        <v>0</v>
      </c>
      <c r="M50" s="475" t="s">
        <v>336</v>
      </c>
      <c r="N50" s="474"/>
      <c r="O50" s="490"/>
      <c r="P50" s="490"/>
      <c r="S50"/>
      <c r="T50"/>
      <c r="U50"/>
      <c r="V50"/>
      <c r="W50"/>
      <c r="X50"/>
      <c r="Y50"/>
    </row>
    <row r="51" spans="1:25" s="11" customFormat="1" ht="12.75" customHeight="1" x14ac:dyDescent="0.3">
      <c r="A51" s="474"/>
      <c r="B51" s="474"/>
      <c r="C51" s="474" t="s">
        <v>349</v>
      </c>
      <c r="D51" s="474"/>
      <c r="E51" s="474"/>
      <c r="F51" s="474"/>
      <c r="G51" s="603" t="s">
        <v>350</v>
      </c>
      <c r="H51" s="475" t="s">
        <v>335</v>
      </c>
      <c r="I51" s="478"/>
      <c r="J51" s="476" t="str">
        <f>IF(HLOOKUP(CaseName,CaseData,MATCH($G51,cases!$G$3:$G$1259,0)-1,FALSE)="",IF(ISBLANK(VLOOKUP(ChemName,ChemData,MATCH(G51,substances!$3:$3,FALSE)-1,FALSE)),"",VLOOKUP(ChemName,ChemData,MATCH(G51,substances!$3:$3,FALSE)-1,FALSE)),HLOOKUP(CaseName,CaseData,MATCH($G51,cases!$G$3:$G$1259,0)-1,FALSE))</f>
        <v/>
      </c>
      <c r="K51" s="561">
        <v>0</v>
      </c>
      <c r="L51" s="466">
        <f t="shared" si="2"/>
        <v>0</v>
      </c>
      <c r="M51" s="475" t="s">
        <v>336</v>
      </c>
      <c r="N51" s="474"/>
      <c r="O51" s="490"/>
      <c r="P51" s="490"/>
      <c r="S51"/>
      <c r="T51"/>
      <c r="U51"/>
      <c r="V51"/>
      <c r="W51"/>
      <c r="X51"/>
      <c r="Y51"/>
    </row>
    <row r="52" spans="1:25" s="11" customFormat="1" ht="12.75" customHeight="1" x14ac:dyDescent="0.3">
      <c r="A52" s="474"/>
      <c r="B52" s="474"/>
      <c r="C52" s="474" t="s">
        <v>351</v>
      </c>
      <c r="D52" s="474"/>
      <c r="E52" s="474"/>
      <c r="F52" s="474"/>
      <c r="G52" s="603" t="s">
        <v>352</v>
      </c>
      <c r="H52" s="475" t="s">
        <v>335</v>
      </c>
      <c r="I52" s="478"/>
      <c r="J52" s="476" t="str">
        <f>IF(HLOOKUP(CaseName,CaseData,MATCH($G52,cases!$G$3:$G$1259,0)-1,FALSE)="",IF(ISBLANK(VLOOKUP(ChemName,ChemData,MATCH(G52,substances!$3:$3,FALSE)-1,FALSE)),"",VLOOKUP(ChemName,ChemData,MATCH(G52,substances!$3:$3,FALSE)-1,FALSE)),HLOOKUP(CaseName,CaseData,MATCH($G52,cases!$G$3:$G$1259,0)-1,FALSE))</f>
        <v/>
      </c>
      <c r="K52" s="561">
        <v>0</v>
      </c>
      <c r="L52" s="466">
        <f t="shared" si="2"/>
        <v>0</v>
      </c>
      <c r="M52" s="475" t="s">
        <v>336</v>
      </c>
      <c r="N52" s="474"/>
      <c r="O52" s="490"/>
      <c r="P52" s="490"/>
      <c r="S52"/>
      <c r="T52"/>
      <c r="U52"/>
      <c r="V52"/>
      <c r="W52"/>
      <c r="X52"/>
      <c r="Y52"/>
    </row>
    <row r="53" spans="1:25" s="11" customFormat="1" ht="12.75" customHeight="1" x14ac:dyDescent="0.3">
      <c r="A53" s="474"/>
      <c r="B53" s="474"/>
      <c r="C53" s="474" t="s">
        <v>353</v>
      </c>
      <c r="D53" s="474"/>
      <c r="E53" s="474"/>
      <c r="F53" s="474"/>
      <c r="G53" s="603" t="s">
        <v>354</v>
      </c>
      <c r="H53" s="475" t="s">
        <v>335</v>
      </c>
      <c r="I53" s="478"/>
      <c r="J53" s="476" t="str">
        <f>IF(HLOOKUP(CaseName,CaseData,MATCH($G53,cases!$G$3:$G$1259,0)-1,FALSE)="",IF(ISBLANK(VLOOKUP(ChemName,ChemData,MATCH(G53,substances!$3:$3,FALSE)-1,FALSE)),"",VLOOKUP(ChemName,ChemData,MATCH(G53,substances!$3:$3,FALSE)-1,FALSE)),HLOOKUP(CaseName,CaseData,MATCH($G53,cases!$G$3:$G$1259,0)-1,FALSE))</f>
        <v/>
      </c>
      <c r="K53" s="561">
        <v>0</v>
      </c>
      <c r="L53" s="466">
        <f t="shared" si="2"/>
        <v>0</v>
      </c>
      <c r="M53" s="475" t="s">
        <v>336</v>
      </c>
      <c r="N53" s="474"/>
      <c r="O53" s="490"/>
      <c r="P53" s="490"/>
      <c r="S53"/>
      <c r="T53"/>
      <c r="U53"/>
      <c r="V53"/>
      <c r="W53"/>
      <c r="X53"/>
      <c r="Y53"/>
    </row>
    <row r="54" spans="1:25" s="11" customFormat="1" ht="12.75" customHeight="1" x14ac:dyDescent="0.3">
      <c r="A54" s="474"/>
      <c r="B54" s="474"/>
      <c r="C54" s="601" t="s">
        <v>355</v>
      </c>
      <c r="D54" s="474"/>
      <c r="E54" s="474"/>
      <c r="F54" s="474"/>
      <c r="G54" s="603"/>
      <c r="H54" s="475"/>
      <c r="I54" s="478"/>
      <c r="J54" s="476"/>
      <c r="K54" s="561"/>
      <c r="L54" s="466"/>
      <c r="M54" s="475"/>
      <c r="N54" s="474"/>
      <c r="O54" s="490"/>
      <c r="P54" s="490"/>
      <c r="S54"/>
      <c r="T54"/>
      <c r="U54"/>
      <c r="V54"/>
      <c r="W54"/>
      <c r="X54"/>
      <c r="Y54"/>
    </row>
    <row r="55" spans="1:25" s="11" customFormat="1" ht="12.75" customHeight="1" x14ac:dyDescent="0.3">
      <c r="A55" s="474"/>
      <c r="B55" s="474"/>
      <c r="C55" s="474" t="s">
        <v>356</v>
      </c>
      <c r="D55" s="474"/>
      <c r="E55" s="474"/>
      <c r="F55" s="474"/>
      <c r="G55" s="603" t="s">
        <v>357</v>
      </c>
      <c r="H55" s="475" t="s">
        <v>335</v>
      </c>
      <c r="I55" s="478"/>
      <c r="J55" s="476" t="str">
        <f>IF(HLOOKUP(CaseName,CaseData,MATCH($G55,cases!$G$3:$G$1259,0)-1,FALSE)="",IF(ISBLANK(VLOOKUP(ChemName,ChemData,MATCH(G55,substances!$3:$3,FALSE)-1,FALSE)),"",VLOOKUP(ChemName,ChemData,MATCH(G55,substances!$3:$3,FALSE)-1,FALSE)),HLOOKUP(CaseName,CaseData,MATCH($G55,cases!$G$3:$G$1259,0)-1,FALSE))</f>
        <v/>
      </c>
      <c r="K55" s="561">
        <f>L44</f>
        <v>0</v>
      </c>
      <c r="L55" s="466">
        <f t="shared" si="1"/>
        <v>0</v>
      </c>
      <c r="M55" s="475" t="s">
        <v>336</v>
      </c>
      <c r="N55" s="474"/>
      <c r="O55" s="490"/>
      <c r="P55" s="490"/>
      <c r="S55"/>
      <c r="T55"/>
      <c r="U55"/>
      <c r="V55"/>
      <c r="W55"/>
      <c r="X55"/>
      <c r="Y55"/>
    </row>
    <row r="56" spans="1:25" s="11" customFormat="1" ht="12.75" customHeight="1" x14ac:dyDescent="0.3">
      <c r="A56" s="474"/>
      <c r="B56" s="474"/>
      <c r="C56" s="474" t="s">
        <v>358</v>
      </c>
      <c r="D56" s="474"/>
      <c r="E56" s="474"/>
      <c r="F56" s="474"/>
      <c r="G56" s="603" t="s">
        <v>359</v>
      </c>
      <c r="H56" s="475" t="s">
        <v>335</v>
      </c>
      <c r="I56" s="478"/>
      <c r="J56" s="476" t="str">
        <f>IF(HLOOKUP(CaseName,CaseData,MATCH($G56,cases!$G$3:$G$1259,0)-1,FALSE)="",IF(ISBLANK(VLOOKUP(ChemName,ChemData,MATCH(G56,substances!$3:$3,FALSE)-1,FALSE)),"",VLOOKUP(ChemName,ChemData,MATCH(G56,substances!$3:$3,FALSE)-1,FALSE)),HLOOKUP(CaseName,CaseData,MATCH($G56,cases!$G$3:$G$1259,0)-1,FALSE))</f>
        <v/>
      </c>
      <c r="K56" s="561">
        <f>L44</f>
        <v>0</v>
      </c>
      <c r="L56" s="466">
        <f t="shared" si="1"/>
        <v>0</v>
      </c>
      <c r="M56" s="475" t="s">
        <v>336</v>
      </c>
      <c r="N56" s="474"/>
      <c r="O56" s="490"/>
      <c r="P56" s="490"/>
      <c r="S56"/>
      <c r="T56"/>
      <c r="U56"/>
      <c r="V56"/>
      <c r="W56"/>
      <c r="X56"/>
      <c r="Y56"/>
    </row>
    <row r="57" spans="1:25" s="11" customFormat="1" ht="12.75" customHeight="1" x14ac:dyDescent="0.3">
      <c r="A57" s="474"/>
      <c r="B57" s="474"/>
      <c r="C57" s="474" t="s">
        <v>360</v>
      </c>
      <c r="D57" s="474"/>
      <c r="E57" s="474"/>
      <c r="F57" s="474"/>
      <c r="G57" s="603" t="s">
        <v>361</v>
      </c>
      <c r="H57" s="475" t="s">
        <v>335</v>
      </c>
      <c r="I57" s="478"/>
      <c r="J57" s="476" t="str">
        <f>IF(HLOOKUP(CaseName,CaseData,MATCH($G57,cases!$G$3:$G$1259,0)-1,FALSE)="",IF(ISBLANK(VLOOKUP(ChemName,ChemData,MATCH(G57,substances!$3:$3,FALSE)-1,FALSE)),"",VLOOKUP(ChemName,ChemData,MATCH(G57,substances!$3:$3,FALSE)-1,FALSE)),HLOOKUP(CaseName,CaseData,MATCH($G57,cases!$G$3:$G$1259,0)-1,FALSE))</f>
        <v/>
      </c>
      <c r="K57" s="561">
        <f>L45</f>
        <v>0</v>
      </c>
      <c r="L57" s="466">
        <f t="shared" si="1"/>
        <v>0</v>
      </c>
      <c r="M57" s="475" t="s">
        <v>336</v>
      </c>
      <c r="N57" s="474"/>
      <c r="O57" s="490"/>
      <c r="P57" s="490"/>
      <c r="S57"/>
      <c r="T57"/>
      <c r="U57"/>
      <c r="V57"/>
      <c r="W57"/>
      <c r="X57"/>
      <c r="Y57"/>
    </row>
    <row r="58" spans="1:25" s="11" customFormat="1" ht="12.75" customHeight="1" x14ac:dyDescent="0.3">
      <c r="A58" s="474"/>
      <c r="B58" s="474"/>
      <c r="C58" s="474" t="s">
        <v>362</v>
      </c>
      <c r="D58" s="474"/>
      <c r="E58" s="474"/>
      <c r="F58" s="474"/>
      <c r="G58" s="603" t="s">
        <v>363</v>
      </c>
      <c r="H58" s="475" t="s">
        <v>335</v>
      </c>
      <c r="I58" s="478"/>
      <c r="J58" s="476" t="str">
        <f>IF(HLOOKUP(CaseName,CaseData,MATCH($G58,cases!$G$3:$G$1259,0)-1,FALSE)="",IF(ISBLANK(VLOOKUP(ChemName,ChemData,MATCH(G58,substances!$3:$3,FALSE)-1,FALSE)),"",VLOOKUP(ChemName,ChemData,MATCH(G58,substances!$3:$3,FALSE)-1,FALSE)),HLOOKUP(CaseName,CaseData,MATCH($G58,cases!$G$3:$G$1259,0)-1,FALSE))</f>
        <v/>
      </c>
      <c r="K58" s="561">
        <f>L45</f>
        <v>0</v>
      </c>
      <c r="L58" s="466">
        <f t="shared" si="1"/>
        <v>0</v>
      </c>
      <c r="M58" s="475" t="s">
        <v>336</v>
      </c>
      <c r="N58" s="474"/>
      <c r="O58" s="490"/>
      <c r="P58" s="490"/>
      <c r="S58"/>
      <c r="T58"/>
      <c r="U58"/>
      <c r="V58"/>
      <c r="W58"/>
      <c r="X58"/>
      <c r="Y58"/>
    </row>
    <row r="59" spans="1:25" s="11" customFormat="1" ht="12.75" customHeight="1" x14ac:dyDescent="0.3">
      <c r="A59" s="474"/>
      <c r="B59" s="474"/>
      <c r="C59" s="474" t="s">
        <v>364</v>
      </c>
      <c r="D59" s="474"/>
      <c r="E59" s="474"/>
      <c r="F59" s="474"/>
      <c r="G59" s="603" t="s">
        <v>365</v>
      </c>
      <c r="H59" s="475" t="s">
        <v>335</v>
      </c>
      <c r="I59" s="478"/>
      <c r="J59" s="476" t="str">
        <f>IF(HLOOKUP(CaseName,CaseData,MATCH($G59,cases!$G$3:$G$1259,0)-1,FALSE)="",IF(ISBLANK(VLOOKUP(ChemName,ChemData,MATCH(G59,substances!$3:$3,FALSE)-1,FALSE)),"",VLOOKUP(ChemName,ChemData,MATCH(G59,substances!$3:$3,FALSE)-1,FALSE)),HLOOKUP(CaseName,CaseData,MATCH($G59,cases!$G$3:$G$1259,0)-1,FALSE))</f>
        <v/>
      </c>
      <c r="K59" s="561">
        <f>L46</f>
        <v>0</v>
      </c>
      <c r="L59" s="466">
        <f t="shared" si="1"/>
        <v>0</v>
      </c>
      <c r="M59" s="475" t="s">
        <v>336</v>
      </c>
      <c r="N59" s="474"/>
      <c r="O59" s="490"/>
      <c r="P59" s="490"/>
      <c r="S59"/>
      <c r="T59"/>
      <c r="U59"/>
      <c r="V59"/>
      <c r="W59"/>
      <c r="X59"/>
      <c r="Y59"/>
    </row>
    <row r="60" spans="1:25" s="11" customFormat="1" ht="12.75" customHeight="1" x14ac:dyDescent="0.3">
      <c r="A60" s="474"/>
      <c r="B60" s="474"/>
      <c r="C60" s="474" t="s">
        <v>366</v>
      </c>
      <c r="D60" s="474"/>
      <c r="E60" s="474"/>
      <c r="F60" s="474"/>
      <c r="G60" s="603" t="s">
        <v>367</v>
      </c>
      <c r="H60" s="475" t="s">
        <v>335</v>
      </c>
      <c r="I60" s="478"/>
      <c r="J60" s="476" t="str">
        <f>IF(HLOOKUP(CaseName,CaseData,MATCH($G60,cases!$G$3:$G$1259,0)-1,FALSE)="",IF(ISBLANK(VLOOKUP(ChemName,ChemData,MATCH(G60,substances!$3:$3,FALSE)-1,FALSE)),"",VLOOKUP(ChemName,ChemData,MATCH(G60,substances!$3:$3,FALSE)-1,FALSE)),HLOOKUP(CaseName,CaseData,MATCH($G60,cases!$G$3:$G$1259,0)-1,FALSE))</f>
        <v/>
      </c>
      <c r="K60" s="561">
        <f>L46</f>
        <v>0</v>
      </c>
      <c r="L60" s="466">
        <f t="shared" si="1"/>
        <v>0</v>
      </c>
      <c r="M60" s="475" t="s">
        <v>336</v>
      </c>
      <c r="N60" s="474"/>
      <c r="O60" s="490"/>
      <c r="P60" s="490"/>
      <c r="S60"/>
      <c r="T60"/>
      <c r="U60"/>
      <c r="V60"/>
      <c r="W60"/>
      <c r="X60"/>
      <c r="Y60"/>
    </row>
    <row r="61" spans="1:25" s="11" customFormat="1" ht="12.75" customHeight="1" x14ac:dyDescent="0.3">
      <c r="A61" s="474"/>
      <c r="B61" s="474"/>
      <c r="C61" s="474" t="s">
        <v>368</v>
      </c>
      <c r="D61" s="474"/>
      <c r="E61" s="474"/>
      <c r="F61" s="474"/>
      <c r="G61" s="603" t="s">
        <v>369</v>
      </c>
      <c r="H61" s="475" t="s">
        <v>335</v>
      </c>
      <c r="I61" s="478"/>
      <c r="J61" s="476" t="str">
        <f>IF(HLOOKUP(CaseName,CaseData,MATCH($G61,cases!$G$3:$G$1259,0)-1,FALSE)="",IF(ISBLANK(VLOOKUP(ChemName,ChemData,MATCH(G61,substances!$3:$3,FALSE)-1,FALSE)),"",VLOOKUP(ChemName,ChemData,MATCH(G61,substances!$3:$3,FALSE)-1,FALSE)),HLOOKUP(CaseName,CaseData,MATCH($G61,cases!$G$3:$G$1259,0)-1,FALSE))</f>
        <v/>
      </c>
      <c r="K61" s="561">
        <f>L47</f>
        <v>0</v>
      </c>
      <c r="L61" s="466">
        <f t="shared" si="1"/>
        <v>0</v>
      </c>
      <c r="M61" s="475" t="s">
        <v>336</v>
      </c>
      <c r="N61" s="474"/>
      <c r="O61" s="490"/>
      <c r="P61" s="490"/>
      <c r="S61"/>
      <c r="T61"/>
      <c r="U61"/>
      <c r="V61"/>
      <c r="W61"/>
      <c r="X61"/>
      <c r="Y61"/>
    </row>
    <row r="62" spans="1:25" s="11" customFormat="1" ht="12.75" customHeight="1" x14ac:dyDescent="0.3">
      <c r="A62" s="474"/>
      <c r="B62" s="474"/>
      <c r="C62" s="474" t="s">
        <v>370</v>
      </c>
      <c r="D62" s="474"/>
      <c r="E62" s="474"/>
      <c r="F62" s="474"/>
      <c r="G62" s="603" t="s">
        <v>371</v>
      </c>
      <c r="H62" s="475" t="s">
        <v>335</v>
      </c>
      <c r="I62" s="478"/>
      <c r="J62" s="476" t="str">
        <f>IF(HLOOKUP(CaseName,CaseData,MATCH($G62,cases!$G$3:$G$1259,0)-1,FALSE)="",IF(ISBLANK(VLOOKUP(ChemName,ChemData,MATCH(G62,substances!$3:$3,FALSE)-1,FALSE)),"",VLOOKUP(ChemName,ChemData,MATCH(G62,substances!$3:$3,FALSE)-1,FALSE)),HLOOKUP(CaseName,CaseData,MATCH($G62,cases!$G$3:$G$1259,0)-1,FALSE))</f>
        <v/>
      </c>
      <c r="K62" s="561">
        <f>L47</f>
        <v>0</v>
      </c>
      <c r="L62" s="466">
        <f t="shared" si="1"/>
        <v>0</v>
      </c>
      <c r="M62" s="475" t="s">
        <v>336</v>
      </c>
      <c r="N62" s="474"/>
      <c r="O62" s="490"/>
      <c r="P62" s="490"/>
      <c r="S62"/>
      <c r="T62"/>
      <c r="U62"/>
      <c r="V62"/>
      <c r="W62"/>
      <c r="X62"/>
      <c r="Y62"/>
    </row>
    <row r="63" spans="1:25" s="11" customFormat="1" ht="12.75" customHeight="1" x14ac:dyDescent="0.3">
      <c r="A63" s="474"/>
      <c r="B63" s="474"/>
      <c r="C63" s="474" t="s">
        <v>372</v>
      </c>
      <c r="D63" s="474"/>
      <c r="E63" s="474"/>
      <c r="F63" s="474"/>
      <c r="G63" s="603" t="s">
        <v>373</v>
      </c>
      <c r="H63" s="475" t="s">
        <v>335</v>
      </c>
      <c r="I63" s="478"/>
      <c r="J63" s="476" t="str">
        <f>IF(HLOOKUP(CaseName,CaseData,MATCH($G63,cases!$G$3:$G$1259,0)-1,FALSE)="",IF(ISBLANK(VLOOKUP(ChemName,ChemData,MATCH(G63,substances!$3:$3,FALSE)-1,FALSE)),"",VLOOKUP(ChemName,ChemData,MATCH(G63,substances!$3:$3,FALSE)-1,FALSE)),HLOOKUP(CaseName,CaseData,MATCH($G63,cases!$G$3:$G$1259,0)-1,FALSE))</f>
        <v/>
      </c>
      <c r="K63" s="561">
        <f>L48</f>
        <v>0</v>
      </c>
      <c r="L63" s="466">
        <f t="shared" si="1"/>
        <v>0</v>
      </c>
      <c r="M63" s="475" t="s">
        <v>336</v>
      </c>
      <c r="N63" s="474"/>
      <c r="O63" s="490"/>
      <c r="P63" s="490"/>
      <c r="S63"/>
      <c r="T63"/>
      <c r="U63"/>
      <c r="V63"/>
      <c r="W63"/>
      <c r="X63"/>
      <c r="Y63"/>
    </row>
    <row r="64" spans="1:25" s="11" customFormat="1" ht="12.75" customHeight="1" x14ac:dyDescent="0.3">
      <c r="A64" s="474"/>
      <c r="B64" s="474"/>
      <c r="C64" s="474" t="s">
        <v>374</v>
      </c>
      <c r="D64" s="474"/>
      <c r="E64" s="474"/>
      <c r="F64" s="474"/>
      <c r="G64" s="603" t="s">
        <v>375</v>
      </c>
      <c r="H64" s="475" t="s">
        <v>335</v>
      </c>
      <c r="I64" s="478"/>
      <c r="J64" s="476" t="str">
        <f>IF(HLOOKUP(CaseName,CaseData,MATCH($G64,cases!$G$3:$G$1259,0)-1,FALSE)="",IF(ISBLANK(VLOOKUP(ChemName,ChemData,MATCH(G64,substances!$3:$3,FALSE)-1,FALSE)),"",VLOOKUP(ChemName,ChemData,MATCH(G64,substances!$3:$3,FALSE)-1,FALSE)),HLOOKUP(CaseName,CaseData,MATCH($G64,cases!$G$3:$G$1259,0)-1,FALSE))</f>
        <v/>
      </c>
      <c r="K64" s="561">
        <f>L48</f>
        <v>0</v>
      </c>
      <c r="L64" s="466">
        <f t="shared" si="1"/>
        <v>0</v>
      </c>
      <c r="M64" s="475" t="s">
        <v>336</v>
      </c>
      <c r="N64" s="474"/>
      <c r="O64" s="490"/>
      <c r="P64" s="490"/>
      <c r="S64"/>
      <c r="T64"/>
      <c r="U64"/>
      <c r="V64"/>
      <c r="W64"/>
      <c r="X64"/>
      <c r="Y64"/>
    </row>
    <row r="65" spans="1:25" s="11" customFormat="1" ht="12.75" customHeight="1" x14ac:dyDescent="0.3">
      <c r="A65" s="474"/>
      <c r="B65" s="474"/>
      <c r="C65" s="474" t="s">
        <v>376</v>
      </c>
      <c r="D65" s="474"/>
      <c r="E65" s="474"/>
      <c r="F65" s="474"/>
      <c r="G65" s="603" t="s">
        <v>377</v>
      </c>
      <c r="H65" s="475" t="s">
        <v>335</v>
      </c>
      <c r="I65" s="478"/>
      <c r="J65" s="476" t="str">
        <f>IF(HLOOKUP(CaseName,CaseData,MATCH($G65,cases!$G$3:$G$1259,0)-1,FALSE)="",IF(ISBLANK(VLOOKUP(ChemName,ChemData,MATCH(G65,substances!$3:$3,FALSE)-1,FALSE)),"",VLOOKUP(ChemName,ChemData,MATCH(G65,substances!$3:$3,FALSE)-1,FALSE)),HLOOKUP(CaseName,CaseData,MATCH($G65,cases!$G$3:$G$1259,0)-1,FALSE))</f>
        <v/>
      </c>
      <c r="K65" s="561">
        <f>L49</f>
        <v>0</v>
      </c>
      <c r="L65" s="466">
        <f t="shared" si="1"/>
        <v>0</v>
      </c>
      <c r="M65" s="475" t="s">
        <v>336</v>
      </c>
      <c r="N65" s="474"/>
      <c r="O65" s="490"/>
      <c r="P65" s="490"/>
      <c r="S65"/>
      <c r="T65"/>
      <c r="U65"/>
      <c r="V65"/>
      <c r="W65"/>
      <c r="X65"/>
      <c r="Y65"/>
    </row>
    <row r="66" spans="1:25" s="11" customFormat="1" ht="12.75" customHeight="1" x14ac:dyDescent="0.3">
      <c r="A66" s="474"/>
      <c r="B66" s="474"/>
      <c r="C66" s="474" t="s">
        <v>378</v>
      </c>
      <c r="D66" s="474"/>
      <c r="E66" s="474"/>
      <c r="F66" s="474"/>
      <c r="G66" s="603" t="s">
        <v>379</v>
      </c>
      <c r="H66" s="475" t="s">
        <v>335</v>
      </c>
      <c r="I66" s="478"/>
      <c r="J66" s="476" t="str">
        <f>IF(HLOOKUP(CaseName,CaseData,MATCH($G66,cases!$G$3:$G$1259,0)-1,FALSE)="",IF(ISBLANK(VLOOKUP(ChemName,ChemData,MATCH(G66,substances!$3:$3,FALSE)-1,FALSE)),"",VLOOKUP(ChemName,ChemData,MATCH(G66,substances!$3:$3,FALSE)-1,FALSE)),HLOOKUP(CaseName,CaseData,MATCH($G66,cases!$G$3:$G$1259,0)-1,FALSE))</f>
        <v/>
      </c>
      <c r="K66" s="561">
        <f>L49</f>
        <v>0</v>
      </c>
      <c r="L66" s="466">
        <f t="shared" si="1"/>
        <v>0</v>
      </c>
      <c r="M66" s="475" t="s">
        <v>336</v>
      </c>
      <c r="N66" s="474"/>
      <c r="O66" s="490"/>
      <c r="P66" s="490"/>
      <c r="S66"/>
      <c r="T66"/>
      <c r="U66"/>
      <c r="V66"/>
      <c r="W66"/>
      <c r="X66"/>
      <c r="Y66"/>
    </row>
    <row r="67" spans="1:25" s="11" customFormat="1" ht="12.75" customHeight="1" x14ac:dyDescent="0.3">
      <c r="A67" s="474"/>
      <c r="B67" s="474"/>
      <c r="C67" s="474" t="s">
        <v>380</v>
      </c>
      <c r="D67" s="474"/>
      <c r="E67" s="474"/>
      <c r="F67" s="474"/>
      <c r="G67" s="603" t="s">
        <v>381</v>
      </c>
      <c r="H67" s="475" t="s">
        <v>335</v>
      </c>
      <c r="I67" s="478"/>
      <c r="J67" s="476" t="str">
        <f>IF(HLOOKUP(CaseName,CaseData,MATCH($G67,cases!$G$3:$G$1259,0)-1,FALSE)="",IF(ISBLANK(VLOOKUP(ChemName,ChemData,MATCH(G67,substances!$3:$3,FALSE)-1,FALSE)),"",VLOOKUP(ChemName,ChemData,MATCH(G67,substances!$3:$3,FALSE)-1,FALSE)),HLOOKUP(CaseName,CaseData,MATCH($G67,cases!$G$3:$G$1259,0)-1,FALSE))</f>
        <v/>
      </c>
      <c r="K67" s="561">
        <f>L50</f>
        <v>0</v>
      </c>
      <c r="L67" s="466">
        <f t="shared" si="1"/>
        <v>0</v>
      </c>
      <c r="M67" s="475" t="s">
        <v>336</v>
      </c>
      <c r="N67" s="474"/>
      <c r="O67" s="490"/>
      <c r="P67" s="490"/>
      <c r="S67"/>
      <c r="T67"/>
      <c r="U67"/>
      <c r="V67"/>
      <c r="W67"/>
      <c r="X67"/>
      <c r="Y67"/>
    </row>
    <row r="68" spans="1:25" s="11" customFormat="1" ht="12.75" customHeight="1" x14ac:dyDescent="0.3">
      <c r="A68" s="474"/>
      <c r="B68" s="474"/>
      <c r="C68" s="474" t="s">
        <v>382</v>
      </c>
      <c r="D68" s="474"/>
      <c r="E68" s="474"/>
      <c r="F68" s="474"/>
      <c r="G68" s="603" t="s">
        <v>383</v>
      </c>
      <c r="H68" s="475" t="s">
        <v>335</v>
      </c>
      <c r="I68" s="478"/>
      <c r="J68" s="476" t="str">
        <f>IF(HLOOKUP(CaseName,CaseData,MATCH($G68,cases!$G$3:$G$1259,0)-1,FALSE)="",IF(ISBLANK(VLOOKUP(ChemName,ChemData,MATCH(G68,substances!$3:$3,FALSE)-1,FALSE)),"",VLOOKUP(ChemName,ChemData,MATCH(G68,substances!$3:$3,FALSE)-1,FALSE)),HLOOKUP(CaseName,CaseData,MATCH($G68,cases!$G$3:$G$1259,0)-1,FALSE))</f>
        <v/>
      </c>
      <c r="K68" s="561">
        <f>L50</f>
        <v>0</v>
      </c>
      <c r="L68" s="466">
        <f t="shared" si="1"/>
        <v>0</v>
      </c>
      <c r="M68" s="475" t="s">
        <v>336</v>
      </c>
      <c r="N68" s="474"/>
      <c r="O68" s="490"/>
      <c r="P68" s="490"/>
      <c r="S68"/>
      <c r="T68"/>
      <c r="U68"/>
      <c r="V68"/>
      <c r="W68"/>
      <c r="X68"/>
      <c r="Y68"/>
    </row>
    <row r="69" spans="1:25" s="11" customFormat="1" ht="12.75" customHeight="1" x14ac:dyDescent="0.3">
      <c r="A69" s="474"/>
      <c r="B69" s="474"/>
      <c r="C69" s="474" t="s">
        <v>384</v>
      </c>
      <c r="D69" s="474"/>
      <c r="E69" s="474"/>
      <c r="F69" s="474"/>
      <c r="G69" s="603" t="s">
        <v>385</v>
      </c>
      <c r="H69" s="475" t="s">
        <v>335</v>
      </c>
      <c r="I69" s="478"/>
      <c r="J69" s="476" t="str">
        <f>IF(HLOOKUP(CaseName,CaseData,MATCH($G69,cases!$G$3:$G$1259,0)-1,FALSE)="",IF(ISBLANK(VLOOKUP(ChemName,ChemData,MATCH(G69,substances!$3:$3,FALSE)-1,FALSE)),"",VLOOKUP(ChemName,ChemData,MATCH(G69,substances!$3:$3,FALSE)-1,FALSE)),HLOOKUP(CaseName,CaseData,MATCH($G69,cases!$G$3:$G$1259,0)-1,FALSE))</f>
        <v/>
      </c>
      <c r="K69" s="561">
        <f>L51</f>
        <v>0</v>
      </c>
      <c r="L69" s="466">
        <f t="shared" si="1"/>
        <v>0</v>
      </c>
      <c r="M69" s="475" t="s">
        <v>336</v>
      </c>
      <c r="N69" s="474"/>
      <c r="O69" s="490"/>
      <c r="P69" s="490"/>
      <c r="S69"/>
      <c r="T69"/>
      <c r="U69"/>
      <c r="V69"/>
      <c r="W69"/>
      <c r="X69"/>
      <c r="Y69"/>
    </row>
    <row r="70" spans="1:25" s="11" customFormat="1" ht="12.75" customHeight="1" x14ac:dyDescent="0.3">
      <c r="A70" s="474"/>
      <c r="B70" s="474"/>
      <c r="C70" s="474" t="s">
        <v>386</v>
      </c>
      <c r="D70" s="474"/>
      <c r="E70" s="474"/>
      <c r="F70" s="474"/>
      <c r="G70" s="603" t="s">
        <v>387</v>
      </c>
      <c r="H70" s="475" t="s">
        <v>335</v>
      </c>
      <c r="I70" s="478"/>
      <c r="J70" s="476" t="str">
        <f>IF(HLOOKUP(CaseName,CaseData,MATCH($G70,cases!$G$3:$G$1259,0)-1,FALSE)="",IF(ISBLANK(VLOOKUP(ChemName,ChemData,MATCH(G70,substances!$3:$3,FALSE)-1,FALSE)),"",VLOOKUP(ChemName,ChemData,MATCH(G70,substances!$3:$3,FALSE)-1,FALSE)),HLOOKUP(CaseName,CaseData,MATCH($G70,cases!$G$3:$G$1259,0)-1,FALSE))</f>
        <v/>
      </c>
      <c r="K70" s="561">
        <f>L51</f>
        <v>0</v>
      </c>
      <c r="L70" s="466">
        <f t="shared" si="1"/>
        <v>0</v>
      </c>
      <c r="M70" s="475" t="s">
        <v>336</v>
      </c>
      <c r="N70" s="474"/>
      <c r="O70" s="490"/>
      <c r="P70" s="490"/>
      <c r="S70"/>
      <c r="T70"/>
      <c r="U70"/>
      <c r="V70"/>
      <c r="W70"/>
      <c r="X70"/>
      <c r="Y70"/>
    </row>
    <row r="71" spans="1:25" s="11" customFormat="1" ht="12.75" customHeight="1" x14ac:dyDescent="0.3">
      <c r="A71" s="474"/>
      <c r="B71" s="474"/>
      <c r="C71" s="474" t="s">
        <v>388</v>
      </c>
      <c r="D71" s="474"/>
      <c r="E71" s="474"/>
      <c r="F71" s="474"/>
      <c r="G71" s="603" t="s">
        <v>389</v>
      </c>
      <c r="H71" s="475" t="s">
        <v>335</v>
      </c>
      <c r="I71" s="478"/>
      <c r="J71" s="476" t="str">
        <f>IF(HLOOKUP(CaseName,CaseData,MATCH($G71,cases!$G$3:$G$1259,0)-1,FALSE)="",IF(ISBLANK(VLOOKUP(ChemName,ChemData,MATCH(G71,substances!$3:$3,FALSE)-1,FALSE)),"",VLOOKUP(ChemName,ChemData,MATCH(G71,substances!$3:$3,FALSE)-1,FALSE)),HLOOKUP(CaseName,CaseData,MATCH($G71,cases!$G$3:$G$1259,0)-1,FALSE))</f>
        <v/>
      </c>
      <c r="K71" s="561">
        <f>L52</f>
        <v>0</v>
      </c>
      <c r="L71" s="466">
        <f t="shared" si="1"/>
        <v>0</v>
      </c>
      <c r="M71" s="475" t="s">
        <v>336</v>
      </c>
      <c r="N71" s="474"/>
      <c r="O71" s="490"/>
      <c r="P71" s="490"/>
      <c r="S71"/>
      <c r="T71"/>
      <c r="U71"/>
      <c r="V71"/>
      <c r="W71"/>
      <c r="X71"/>
      <c r="Y71"/>
    </row>
    <row r="72" spans="1:25" s="11" customFormat="1" ht="12.75" customHeight="1" x14ac:dyDescent="0.3">
      <c r="A72" s="474"/>
      <c r="B72" s="474"/>
      <c r="C72" s="474" t="s">
        <v>390</v>
      </c>
      <c r="D72" s="474"/>
      <c r="E72" s="474"/>
      <c r="F72" s="474"/>
      <c r="G72" s="603" t="s">
        <v>391</v>
      </c>
      <c r="H72" s="475" t="s">
        <v>335</v>
      </c>
      <c r="I72" s="478"/>
      <c r="J72" s="476" t="str">
        <f>IF(HLOOKUP(CaseName,CaseData,MATCH($G72,cases!$G$3:$G$1259,0)-1,FALSE)="",IF(ISBLANK(VLOOKUP(ChemName,ChemData,MATCH(G72,substances!$3:$3,FALSE)-1,FALSE)),"",VLOOKUP(ChemName,ChemData,MATCH(G72,substances!$3:$3,FALSE)-1,FALSE)),HLOOKUP(CaseName,CaseData,MATCH($G72,cases!$G$3:$G$1259,0)-1,FALSE))</f>
        <v/>
      </c>
      <c r="K72" s="561">
        <f>L52</f>
        <v>0</v>
      </c>
      <c r="L72" s="466">
        <f t="shared" si="1"/>
        <v>0</v>
      </c>
      <c r="M72" s="475" t="s">
        <v>336</v>
      </c>
      <c r="N72" s="474"/>
      <c r="O72" s="490"/>
      <c r="P72" s="490"/>
      <c r="S72"/>
      <c r="T72"/>
      <c r="U72"/>
      <c r="V72"/>
      <c r="W72"/>
      <c r="X72"/>
      <c r="Y72"/>
    </row>
    <row r="73" spans="1:25" s="11" customFormat="1" ht="12.75" customHeight="1" x14ac:dyDescent="0.3">
      <c r="A73" s="474"/>
      <c r="B73" s="474"/>
      <c r="C73" s="474" t="s">
        <v>392</v>
      </c>
      <c r="D73" s="474"/>
      <c r="E73" s="474"/>
      <c r="F73" s="474"/>
      <c r="G73" s="603" t="s">
        <v>393</v>
      </c>
      <c r="H73" s="475" t="s">
        <v>335</v>
      </c>
      <c r="I73" s="478"/>
      <c r="J73" s="476" t="str">
        <f>IF(HLOOKUP(CaseName,CaseData,MATCH($G73,cases!$G$3:$G$1259,0)-1,FALSE)="",IF(ISBLANK(VLOOKUP(ChemName,ChemData,MATCH(G73,substances!$3:$3,FALSE)-1,FALSE)),"",VLOOKUP(ChemName,ChemData,MATCH(G73,substances!$3:$3,FALSE)-1,FALSE)),HLOOKUP(CaseName,CaseData,MATCH($G73,cases!$G$3:$G$1259,0)-1,FALSE))</f>
        <v/>
      </c>
      <c r="K73" s="561">
        <f>L53</f>
        <v>0</v>
      </c>
      <c r="L73" s="466">
        <f t="shared" si="1"/>
        <v>0</v>
      </c>
      <c r="M73" s="475" t="s">
        <v>336</v>
      </c>
      <c r="N73" s="474"/>
      <c r="O73" s="490"/>
      <c r="P73" s="490"/>
      <c r="S73"/>
      <c r="T73"/>
      <c r="U73"/>
      <c r="V73"/>
      <c r="W73"/>
      <c r="X73"/>
      <c r="Y73"/>
    </row>
    <row r="74" spans="1:25" s="11" customFormat="1" ht="12.75" customHeight="1" x14ac:dyDescent="0.3">
      <c r="A74" s="474"/>
      <c r="B74" s="474"/>
      <c r="C74" s="503" t="s">
        <v>394</v>
      </c>
      <c r="D74" s="503"/>
      <c r="E74" s="503"/>
      <c r="F74" s="503"/>
      <c r="G74" s="604" t="s">
        <v>395</v>
      </c>
      <c r="H74" s="506" t="s">
        <v>335</v>
      </c>
      <c r="I74" s="495"/>
      <c r="J74" s="615" t="str">
        <f>IF(HLOOKUP(CaseName,CaseData,MATCH($G74,cases!$G$3:$G$1259,0)-1,FALSE)="",IF(ISBLANK(VLOOKUP(ChemName,ChemData,MATCH(G74,substances!$3:$3,FALSE)-1,FALSE)),"",VLOOKUP(ChemName,ChemData,MATCH(G74,substances!$3:$3,FALSE)-1,FALSE)),HLOOKUP(CaseName,CaseData,MATCH($G74,cases!$G$3:$G$1259,0)-1,FALSE))</f>
        <v/>
      </c>
      <c r="K74" s="562">
        <f>L53</f>
        <v>0</v>
      </c>
      <c r="L74" s="467">
        <f t="shared" si="1"/>
        <v>0</v>
      </c>
      <c r="M74" s="506" t="s">
        <v>336</v>
      </c>
      <c r="N74" s="503"/>
      <c r="O74" s="490"/>
      <c r="P74" s="490"/>
      <c r="S74"/>
      <c r="T74"/>
      <c r="U74"/>
      <c r="V74"/>
      <c r="W74"/>
      <c r="X74"/>
      <c r="Y74"/>
    </row>
    <row r="75" spans="1:25" s="11" customFormat="1" ht="12.75" customHeight="1" x14ac:dyDescent="0.3">
      <c r="A75" s="474"/>
      <c r="B75" s="474"/>
      <c r="C75" s="503"/>
      <c r="D75" s="503"/>
      <c r="E75" s="503"/>
      <c r="F75" s="503"/>
      <c r="G75" s="604"/>
      <c r="H75" s="506"/>
      <c r="I75" s="495"/>
      <c r="J75" s="617"/>
      <c r="K75" s="618"/>
      <c r="L75" s="466"/>
      <c r="M75" s="506"/>
      <c r="N75" s="503"/>
      <c r="O75" s="490"/>
      <c r="P75" s="490"/>
      <c r="S75"/>
      <c r="T75"/>
      <c r="U75"/>
      <c r="V75"/>
      <c r="W75"/>
      <c r="X75"/>
      <c r="Y75"/>
    </row>
    <row r="76" spans="1:25" customFormat="1" ht="12.75" customHeight="1" x14ac:dyDescent="0.3">
      <c r="A76" s="474"/>
      <c r="B76" s="474"/>
      <c r="C76" s="505" t="s">
        <v>396</v>
      </c>
      <c r="D76" s="503"/>
      <c r="E76" s="503"/>
      <c r="F76" s="503"/>
      <c r="G76" s="493" t="s">
        <v>258</v>
      </c>
      <c r="H76" s="493" t="s">
        <v>274</v>
      </c>
      <c r="I76" s="558" t="s">
        <v>259</v>
      </c>
      <c r="J76" s="623" t="s">
        <v>275</v>
      </c>
      <c r="K76" s="558" t="s">
        <v>260</v>
      </c>
      <c r="L76" s="560" t="s">
        <v>261</v>
      </c>
      <c r="M76" s="488"/>
      <c r="N76" s="493" t="s">
        <v>262</v>
      </c>
      <c r="O76" s="474"/>
      <c r="P76" s="474"/>
    </row>
    <row r="77" spans="1:25" customFormat="1" ht="12.75" customHeight="1" x14ac:dyDescent="0.3">
      <c r="A77" s="474"/>
      <c r="B77" s="474"/>
      <c r="C77" s="601" t="s">
        <v>332</v>
      </c>
      <c r="D77" s="474"/>
      <c r="E77" s="474"/>
      <c r="F77" s="474"/>
      <c r="G77" s="475"/>
      <c r="H77" s="475"/>
      <c r="I77" s="530"/>
      <c r="J77" s="623"/>
      <c r="K77" s="621"/>
      <c r="L77" s="560"/>
      <c r="M77" s="474"/>
      <c r="N77" s="475"/>
      <c r="O77" s="474"/>
      <c r="P77" s="474"/>
    </row>
    <row r="78" spans="1:25" customFormat="1" ht="12.75" customHeight="1" x14ac:dyDescent="0.3">
      <c r="A78" s="474"/>
      <c r="B78" s="474"/>
      <c r="C78" s="474" t="s">
        <v>397</v>
      </c>
      <c r="D78" s="474"/>
      <c r="E78" s="474"/>
      <c r="F78" s="474"/>
      <c r="G78" s="603" t="s">
        <v>398</v>
      </c>
      <c r="H78" s="475" t="s">
        <v>335</v>
      </c>
      <c r="I78" s="622"/>
      <c r="J78" s="364" t="str">
        <f>IF(HLOOKUP(CaseName,CaseData,MATCH($G78,cases!$G$3:$G$1259,0)-1,FALSE)="",IF(ISBLANK(VLOOKUP(ChemName,ChemData,MATCH(G78,substances!$3:$3,FALSE)-1,FALSE)),"",VLOOKUP(ChemName,ChemData,MATCH(G78,substances!$3:$3,FALSE)-1,FALSE)),HLOOKUP(CaseName,CaseData,MATCH($G78,cases!$G$3:$G$1259,0)-1,FALSE))</f>
        <v/>
      </c>
      <c r="K78" s="561">
        <f>kfragS.a+kmpdeg.a</f>
        <v>0</v>
      </c>
      <c r="L78" s="360">
        <f t="shared" ref="L78" si="3">IF(ISBLANK(I78), IF(ISNUMBER(J78)=FALSE, K78, J78), I78)</f>
        <v>0</v>
      </c>
      <c r="M78" s="475" t="s">
        <v>336</v>
      </c>
      <c r="N78" s="474"/>
      <c r="O78" s="474"/>
      <c r="P78" s="474"/>
    </row>
    <row r="79" spans="1:25" customFormat="1" ht="12.75" customHeight="1" x14ac:dyDescent="0.3">
      <c r="A79" s="474"/>
      <c r="B79" s="474"/>
      <c r="C79" s="474"/>
      <c r="D79" s="474" t="s">
        <v>399</v>
      </c>
      <c r="E79" s="474"/>
      <c r="F79" s="474"/>
      <c r="G79" s="603" t="s">
        <v>400</v>
      </c>
      <c r="H79" s="475" t="s">
        <v>335</v>
      </c>
      <c r="I79" s="622"/>
      <c r="J79" s="364" t="str">
        <f>IF(HLOOKUP(CaseName,CaseData,MATCH($G79,cases!$G$3:$G$1259,0)-1,FALSE)="",IF(ISBLANK(VLOOKUP(ChemName,ChemData,MATCH(G79,substances!$3:$3,FALSE)-1,FALSE)),"",VLOOKUP(ChemName,ChemData,MATCH(G79,substances!$3:$3,FALSE)-1,FALSE)),HLOOKUP(CaseName,CaseData,MATCH($G79,cases!$G$3:$G$1259,0)-1,FALSE))</f>
        <v/>
      </c>
      <c r="K79" s="561">
        <v>0</v>
      </c>
      <c r="L79" s="360">
        <f t="shared" ref="L79:L87" si="4">IF(ISBLANK(I79), IF(ISNUMBER(J79)=FALSE, K79, J79), I79)</f>
        <v>0</v>
      </c>
      <c r="M79" s="475" t="s">
        <v>336</v>
      </c>
      <c r="N79" s="485"/>
      <c r="O79" s="474"/>
      <c r="P79" s="474"/>
    </row>
    <row r="80" spans="1:25" customFormat="1" ht="12.75" customHeight="1" x14ac:dyDescent="0.3">
      <c r="A80" s="474"/>
      <c r="B80" s="474"/>
      <c r="C80" s="474"/>
      <c r="D80" s="474" t="s">
        <v>401</v>
      </c>
      <c r="E80" s="474"/>
      <c r="F80" s="474"/>
      <c r="G80" s="603" t="s">
        <v>402</v>
      </c>
      <c r="H80" s="475" t="s">
        <v>335</v>
      </c>
      <c r="I80" s="622"/>
      <c r="J80" s="364" t="str">
        <f>IF(HLOOKUP(CaseName,CaseData,MATCH($G80,cases!$G$3:$G$1259,0)-1,FALSE)="",IF(ISBLANK(VLOOKUP(ChemName,ChemData,MATCH(G80,substances!$3:$3,FALSE)-1,FALSE)),"",VLOOKUP(ChemName,ChemData,MATCH(G80,substances!$3:$3,FALSE)-1,FALSE)),HLOOKUP(CaseName,CaseData,MATCH($G80,cases!$G$3:$G$1259,0)-1,FALSE))</f>
        <v/>
      </c>
      <c r="K80" s="561">
        <v>0</v>
      </c>
      <c r="L80" s="360">
        <f t="shared" si="4"/>
        <v>0</v>
      </c>
      <c r="M80" s="475" t="s">
        <v>336</v>
      </c>
      <c r="N80" s="485"/>
      <c r="O80" s="474"/>
      <c r="P80" s="474"/>
    </row>
    <row r="81" spans="1:16" customFormat="1" ht="12.75" customHeight="1" x14ac:dyDescent="0.3">
      <c r="A81" s="474"/>
      <c r="B81" s="474"/>
      <c r="C81" s="474" t="s">
        <v>403</v>
      </c>
      <c r="D81" s="474"/>
      <c r="E81" s="474"/>
      <c r="F81" s="474"/>
      <c r="G81" s="603" t="s">
        <v>404</v>
      </c>
      <c r="H81" s="475" t="s">
        <v>335</v>
      </c>
      <c r="I81" s="622"/>
      <c r="J81" s="364" t="str">
        <f>IF(HLOOKUP(CaseName,CaseData,MATCH($G81,cases!$G$3:$G$1259,0)-1,FALSE)="",IF(ISBLANK(VLOOKUP(ChemName,ChemData,MATCH(G81,substances!$3:$3,FALSE)-1,FALSE)),"",VLOOKUP(ChemName,ChemData,MATCH(G81,substances!$3:$3,FALSE)-1,FALSE)),HLOOKUP(CaseName,CaseData,MATCH($G81,cases!$G$3:$G$1259,0)-1,FALSE))</f>
        <v/>
      </c>
      <c r="K81" s="561">
        <f>kfragS.w1+kmpdeg.w1</f>
        <v>0</v>
      </c>
      <c r="L81" s="360">
        <f t="shared" si="4"/>
        <v>0</v>
      </c>
      <c r="M81" s="475" t="s">
        <v>336</v>
      </c>
      <c r="N81" s="474"/>
      <c r="O81" s="474"/>
      <c r="P81" s="474"/>
    </row>
    <row r="82" spans="1:16" customFormat="1" ht="12.75" customHeight="1" x14ac:dyDescent="0.3">
      <c r="A82" s="474"/>
      <c r="B82" s="474"/>
      <c r="C82" s="474" t="s">
        <v>405</v>
      </c>
      <c r="D82" s="474"/>
      <c r="E82" s="474"/>
      <c r="F82" s="474"/>
      <c r="G82" s="603" t="s">
        <v>406</v>
      </c>
      <c r="H82" s="475" t="s">
        <v>335</v>
      </c>
      <c r="I82" s="622"/>
      <c r="J82" s="364" t="str">
        <f>IF(HLOOKUP(CaseName,CaseData,MATCH($G82,cases!$G$3:$G$1259,0)-1,FALSE)="",IF(ISBLANK(VLOOKUP(ChemName,ChemData,MATCH(G82,substances!$3:$3,FALSE)-1,FALSE)),"",VLOOKUP(ChemName,ChemData,MATCH(G82,substances!$3:$3,FALSE)-1,FALSE)),HLOOKUP(CaseName,CaseData,MATCH($G82,cases!$G$3:$G$1259,0)-1,FALSE))</f>
        <v/>
      </c>
      <c r="K82" s="561">
        <f>kfragS.w1+kmpdeg.w1</f>
        <v>0</v>
      </c>
      <c r="L82" s="360">
        <f t="shared" si="4"/>
        <v>0</v>
      </c>
      <c r="M82" s="475" t="s">
        <v>336</v>
      </c>
      <c r="N82" s="474"/>
      <c r="O82" s="474"/>
      <c r="P82" s="474"/>
    </row>
    <row r="83" spans="1:16" customFormat="1" ht="12.75" customHeight="1" x14ac:dyDescent="0.3">
      <c r="A83" s="474"/>
      <c r="B83" s="474"/>
      <c r="C83" s="474"/>
      <c r="D83" s="474" t="s">
        <v>407</v>
      </c>
      <c r="E83" s="474"/>
      <c r="F83" s="474"/>
      <c r="G83" s="603" t="s">
        <v>408</v>
      </c>
      <c r="H83" s="475" t="s">
        <v>335</v>
      </c>
      <c r="I83" s="622"/>
      <c r="J83" s="364" t="str">
        <f>IF(HLOOKUP(CaseName,CaseData,MATCH($G83,cases!$G$3:$G$1259,0)-1,FALSE)="",IF(ISBLANK(VLOOKUP(ChemName,ChemData,MATCH(G83,substances!$3:$3,FALSE)-1,FALSE)),"",VLOOKUP(ChemName,ChemData,MATCH(G83,substances!$3:$3,FALSE)-1,FALSE)),HLOOKUP(CaseName,CaseData,MATCH($G83,cases!$G$3:$G$1259,0)-1,FALSE))</f>
        <v/>
      </c>
      <c r="K83" s="561">
        <v>0</v>
      </c>
      <c r="L83" s="360">
        <f t="shared" si="4"/>
        <v>0</v>
      </c>
      <c r="M83" s="475" t="s">
        <v>336</v>
      </c>
      <c r="N83" s="485"/>
      <c r="O83" s="474"/>
      <c r="P83" s="474"/>
    </row>
    <row r="84" spans="1:16" customFormat="1" ht="12.75" customHeight="1" x14ac:dyDescent="0.3">
      <c r="A84" s="474"/>
      <c r="B84" s="474"/>
      <c r="C84" s="474"/>
      <c r="D84" s="474" t="s">
        <v>409</v>
      </c>
      <c r="E84" s="474"/>
      <c r="F84" s="474"/>
      <c r="G84" s="603" t="s">
        <v>410</v>
      </c>
      <c r="H84" s="475" t="s">
        <v>335</v>
      </c>
      <c r="I84" s="622"/>
      <c r="J84" s="364" t="str">
        <f>IF(HLOOKUP(CaseName,CaseData,MATCH($G84,cases!$G$3:$G$1259,0)-1,FALSE)="",IF(ISBLANK(VLOOKUP(ChemName,ChemData,MATCH(G84,substances!$3:$3,FALSE)-1,FALSE)),"",VLOOKUP(ChemName,ChemData,MATCH(G84,substances!$3:$3,FALSE)-1,FALSE)),HLOOKUP(CaseName,CaseData,MATCH($G84,cases!$G$3:$G$1259,0)-1,FALSE))</f>
        <v/>
      </c>
      <c r="K84" s="561">
        <v>0</v>
      </c>
      <c r="L84" s="360">
        <f t="shared" si="4"/>
        <v>0</v>
      </c>
      <c r="M84" s="475" t="s">
        <v>336</v>
      </c>
      <c r="N84" s="485"/>
      <c r="O84" s="474"/>
      <c r="P84" s="474"/>
    </row>
    <row r="85" spans="1:16" customFormat="1" ht="12.75" customHeight="1" x14ac:dyDescent="0.3">
      <c r="A85" s="474"/>
      <c r="B85" s="474"/>
      <c r="C85" s="474" t="s">
        <v>411</v>
      </c>
      <c r="D85" s="474"/>
      <c r="E85" s="474"/>
      <c r="F85" s="474"/>
      <c r="G85" s="603" t="s">
        <v>412</v>
      </c>
      <c r="H85" s="475" t="s">
        <v>335</v>
      </c>
      <c r="I85" s="622"/>
      <c r="J85" s="364" t="str">
        <f>IF(HLOOKUP(CaseName,CaseData,MATCH($G85,cases!$G$3:$G$1259,0)-1,FALSE)="",IF(ISBLANK(VLOOKUP(ChemName,ChemData,MATCH(G85,substances!$3:$3,FALSE)-1,FALSE)),"",VLOOKUP(ChemName,ChemData,MATCH(G85,substances!$3:$3,FALSE)-1,FALSE)),HLOOKUP(CaseName,CaseData,MATCH($G85,cases!$G$3:$G$1259,0)-1,FALSE))</f>
        <v/>
      </c>
      <c r="K85" s="561">
        <f>kfragS.w2+kmpdeg.w2</f>
        <v>0</v>
      </c>
      <c r="L85" s="360">
        <f t="shared" si="4"/>
        <v>0</v>
      </c>
      <c r="M85" s="475" t="s">
        <v>336</v>
      </c>
      <c r="N85" s="474"/>
      <c r="O85" s="474"/>
      <c r="P85" s="474"/>
    </row>
    <row r="86" spans="1:16" customFormat="1" ht="12.75" customHeight="1" x14ac:dyDescent="0.3">
      <c r="A86" s="474"/>
      <c r="B86" s="474"/>
      <c r="C86" s="474"/>
      <c r="D86" s="474" t="s">
        <v>413</v>
      </c>
      <c r="E86" s="474"/>
      <c r="F86" s="474"/>
      <c r="G86" s="603" t="s">
        <v>414</v>
      </c>
      <c r="H86" s="475" t="s">
        <v>335</v>
      </c>
      <c r="I86" s="622"/>
      <c r="J86" s="364" t="str">
        <f>IF(HLOOKUP(CaseName,CaseData,MATCH($G86,cases!$G$3:$G$1259,0)-1,FALSE)="",IF(ISBLANK(VLOOKUP(ChemName,ChemData,MATCH(G86,substances!$3:$3,FALSE)-1,FALSE)),"",VLOOKUP(ChemName,ChemData,MATCH(G86,substances!$3:$3,FALSE)-1,FALSE)),HLOOKUP(CaseName,CaseData,MATCH($G86,cases!$G$3:$G$1259,0)-1,FALSE))</f>
        <v/>
      </c>
      <c r="K86" s="561">
        <v>0</v>
      </c>
      <c r="L86" s="360">
        <f t="shared" si="4"/>
        <v>0</v>
      </c>
      <c r="M86" s="475" t="s">
        <v>336</v>
      </c>
      <c r="N86" s="485"/>
      <c r="O86" s="474"/>
      <c r="P86" s="474"/>
    </row>
    <row r="87" spans="1:16" customFormat="1" ht="12.75" customHeight="1" x14ac:dyDescent="0.3">
      <c r="A87" s="474"/>
      <c r="B87" s="474"/>
      <c r="C87" s="474"/>
      <c r="D87" s="474" t="s">
        <v>415</v>
      </c>
      <c r="E87" s="474"/>
      <c r="F87" s="474"/>
      <c r="G87" s="603" t="s">
        <v>416</v>
      </c>
      <c r="H87" s="475" t="s">
        <v>335</v>
      </c>
      <c r="I87" s="622"/>
      <c r="J87" s="364" t="str">
        <f>IF(HLOOKUP(CaseName,CaseData,MATCH($G87,cases!$G$3:$G$1259,0)-1,FALSE)="",IF(ISBLANK(VLOOKUP(ChemName,ChemData,MATCH(G87,substances!$3:$3,FALSE)-1,FALSE)),"",VLOOKUP(ChemName,ChemData,MATCH(G87,substances!$3:$3,FALSE)-1,FALSE)),HLOOKUP(CaseName,CaseData,MATCH($G87,cases!$G$3:$G$1259,0)-1,FALSE))</f>
        <v/>
      </c>
      <c r="K87" s="561">
        <v>0</v>
      </c>
      <c r="L87" s="360">
        <f t="shared" si="4"/>
        <v>0</v>
      </c>
      <c r="M87" s="475" t="s">
        <v>336</v>
      </c>
      <c r="N87" s="485"/>
      <c r="O87" s="474"/>
      <c r="P87" s="474"/>
    </row>
    <row r="88" spans="1:16" customFormat="1" ht="12.75" customHeight="1" x14ac:dyDescent="0.3">
      <c r="A88" s="474"/>
      <c r="B88" s="474"/>
      <c r="C88" s="474" t="s">
        <v>417</v>
      </c>
      <c r="D88" s="474"/>
      <c r="E88" s="474"/>
      <c r="F88" s="474"/>
      <c r="G88" s="603" t="s">
        <v>418</v>
      </c>
      <c r="H88" s="475" t="s">
        <v>335</v>
      </c>
      <c r="I88" s="622"/>
      <c r="J88" s="364" t="str">
        <f>IF(HLOOKUP(CaseName,CaseData,MATCH($G88,cases!$G$3:$G$1259,0)-1,FALSE)="",IF(ISBLANK(VLOOKUP(ChemName,ChemData,MATCH(G88,substances!$3:$3,FALSE)-1,FALSE)),"",VLOOKUP(ChemName,ChemData,MATCH(G88,substances!$3:$3,FALSE)-1,FALSE)),HLOOKUP(CaseName,CaseData,MATCH($G88,cases!$G$3:$G$1259,0)-1,FALSE))</f>
        <v/>
      </c>
      <c r="K88" s="561">
        <f>kfragS.s+kmpdeg.s</f>
        <v>0</v>
      </c>
      <c r="L88" s="466">
        <f t="shared" ref="L88:L98" si="5">IF(ISBLANK(I88), IF(ISNUMBER(J88)=FALSE, K88, J88), I88)</f>
        <v>0</v>
      </c>
      <c r="M88" s="475" t="s">
        <v>336</v>
      </c>
      <c r="N88" s="474"/>
      <c r="O88" s="474"/>
      <c r="P88" s="474"/>
    </row>
    <row r="89" spans="1:16" customFormat="1" ht="12.75" customHeight="1" x14ac:dyDescent="0.3">
      <c r="A89" s="474"/>
      <c r="B89" s="474"/>
      <c r="C89" s="474" t="s">
        <v>419</v>
      </c>
      <c r="D89" s="474"/>
      <c r="E89" s="474"/>
      <c r="F89" s="474"/>
      <c r="G89" s="603" t="s">
        <v>420</v>
      </c>
      <c r="H89" s="475" t="s">
        <v>335</v>
      </c>
      <c r="I89" s="622"/>
      <c r="J89" s="364" t="str">
        <f>IF(HLOOKUP(CaseName,CaseData,MATCH($G89,cases!$G$3:$G$1259,0)-1,FALSE)="",IF(ISBLANK(VLOOKUP(ChemName,ChemData,MATCH(G89,substances!$3:$3,FALSE)-1,FALSE)),"",VLOOKUP(ChemName,ChemData,MATCH(G89,substances!$3:$3,FALSE)-1,FALSE)),HLOOKUP(CaseName,CaseData,MATCH($G89,cases!$G$3:$G$1259,0)-1,FALSE))</f>
        <v/>
      </c>
      <c r="K89" s="561">
        <f>kfragS.s+kmpdeg.s</f>
        <v>0</v>
      </c>
      <c r="L89" s="466">
        <f t="shared" si="5"/>
        <v>0</v>
      </c>
      <c r="M89" s="475" t="s">
        <v>336</v>
      </c>
      <c r="N89" s="474"/>
      <c r="O89" s="474"/>
      <c r="P89" s="474"/>
    </row>
    <row r="90" spans="1:16" customFormat="1" ht="12.75" customHeight="1" x14ac:dyDescent="0.3">
      <c r="A90" s="474"/>
      <c r="B90" s="474"/>
      <c r="C90" s="474" t="s">
        <v>421</v>
      </c>
      <c r="D90" s="474"/>
      <c r="E90" s="474"/>
      <c r="F90" s="474"/>
      <c r="G90" s="603" t="s">
        <v>422</v>
      </c>
      <c r="H90" s="475" t="s">
        <v>335</v>
      </c>
      <c r="I90" s="622"/>
      <c r="J90" s="364" t="str">
        <f>IF(HLOOKUP(CaseName,CaseData,MATCH($G90,cases!$G$3:$G$1259,0)-1,FALSE)="",IF(ISBLANK(VLOOKUP(ChemName,ChemData,MATCH(G90,substances!$3:$3,FALSE)-1,FALSE)),"",VLOOKUP(ChemName,ChemData,MATCH(G90,substances!$3:$3,FALSE)-1,FALSE)),HLOOKUP(CaseName,CaseData,MATCH($G90,cases!$G$3:$G$1259,0)-1,FALSE))</f>
        <v/>
      </c>
      <c r="K90" s="561">
        <f>kfragS.s+kmpdeg.s</f>
        <v>0</v>
      </c>
      <c r="L90" s="466">
        <f t="shared" si="5"/>
        <v>0</v>
      </c>
      <c r="M90" s="475" t="s">
        <v>336</v>
      </c>
      <c r="N90" s="474"/>
      <c r="O90" s="474"/>
      <c r="P90" s="474"/>
    </row>
    <row r="91" spans="1:16" customFormat="1" ht="12.75" customHeight="1" x14ac:dyDescent="0.3">
      <c r="A91" s="474"/>
      <c r="B91" s="474"/>
      <c r="C91" s="474"/>
      <c r="D91" s="474" t="s">
        <v>423</v>
      </c>
      <c r="E91" s="474"/>
      <c r="F91" s="474"/>
      <c r="G91" s="603" t="s">
        <v>424</v>
      </c>
      <c r="H91" s="475" t="s">
        <v>335</v>
      </c>
      <c r="I91" s="622"/>
      <c r="J91" s="364" t="str">
        <f>IF(HLOOKUP(CaseName,CaseData,MATCH($G91,cases!$G$3:$G$1259,0)-1,FALSE)="",IF(ISBLANK(VLOOKUP(ChemName,ChemData,MATCH(G91,substances!$3:$3,FALSE)-1,FALSE)),"",VLOOKUP(ChemName,ChemData,MATCH(G91,substances!$3:$3,FALSE)-1,FALSE)),HLOOKUP(CaseName,CaseData,MATCH($G91,cases!$G$3:$G$1259,0)-1,FALSE))</f>
        <v/>
      </c>
      <c r="K91" s="561">
        <v>0</v>
      </c>
      <c r="L91" s="466">
        <f t="shared" ref="L91:L92" si="6">IF(ISBLANK(I91), IF(ISNUMBER(J91)=FALSE, K91, J91), I91)</f>
        <v>0</v>
      </c>
      <c r="M91" s="475" t="s">
        <v>336</v>
      </c>
      <c r="N91" s="485"/>
      <c r="O91" s="474"/>
      <c r="P91" s="474"/>
    </row>
    <row r="92" spans="1:16" customFormat="1" ht="12.75" customHeight="1" x14ac:dyDescent="0.3">
      <c r="A92" s="474"/>
      <c r="B92" s="474"/>
      <c r="C92" s="474"/>
      <c r="D92" s="474" t="s">
        <v>425</v>
      </c>
      <c r="E92" s="474"/>
      <c r="F92" s="474"/>
      <c r="G92" s="603" t="s">
        <v>426</v>
      </c>
      <c r="H92" s="475" t="s">
        <v>335</v>
      </c>
      <c r="I92" s="622"/>
      <c r="J92" s="364" t="str">
        <f>IF(HLOOKUP(CaseName,CaseData,MATCH($G92,cases!$G$3:$G$1259,0)-1,FALSE)="",IF(ISBLANK(VLOOKUP(ChemName,ChemData,MATCH(G92,substances!$3:$3,FALSE)-1,FALSE)),"",VLOOKUP(ChemName,ChemData,MATCH(G92,substances!$3:$3,FALSE)-1,FALSE)),HLOOKUP(CaseName,CaseData,MATCH($G92,cases!$G$3:$G$1259,0)-1,FALSE))</f>
        <v/>
      </c>
      <c r="K92" s="561">
        <v>0</v>
      </c>
      <c r="L92" s="466">
        <f t="shared" si="6"/>
        <v>0</v>
      </c>
      <c r="M92" s="475" t="s">
        <v>336</v>
      </c>
      <c r="N92" s="485"/>
      <c r="O92" s="474"/>
      <c r="P92" s="474"/>
    </row>
    <row r="93" spans="1:16" customFormat="1" ht="12.75" customHeight="1" x14ac:dyDescent="0.3">
      <c r="A93" s="474"/>
      <c r="B93" s="474"/>
      <c r="C93" s="474" t="s">
        <v>427</v>
      </c>
      <c r="D93" s="474"/>
      <c r="E93" s="474"/>
      <c r="F93" s="474"/>
      <c r="G93" s="603" t="s">
        <v>428</v>
      </c>
      <c r="H93" s="475" t="s">
        <v>335</v>
      </c>
      <c r="I93" s="622"/>
      <c r="J93" s="364" t="str">
        <f>IF(HLOOKUP(CaseName,CaseData,MATCH($G93,cases!$G$3:$G$1259,0)-1,FALSE)="",IF(ISBLANK(VLOOKUP(ChemName,ChemData,MATCH(G93,substances!$3:$3,FALSE)-1,FALSE)),"",VLOOKUP(ChemName,ChemData,MATCH(G93,substances!$3:$3,FALSE)-1,FALSE)),HLOOKUP(CaseName,CaseData,MATCH($G93,cases!$G$3:$G$1259,0)-1,FALSE))</f>
        <v/>
      </c>
      <c r="K93" s="561">
        <f>kfragS.sd+kmpdeg.sd</f>
        <v>0</v>
      </c>
      <c r="L93" s="466">
        <f t="shared" si="5"/>
        <v>0</v>
      </c>
      <c r="M93" s="475" t="s">
        <v>336</v>
      </c>
      <c r="N93" s="474"/>
      <c r="O93" s="474"/>
      <c r="P93" s="474"/>
    </row>
    <row r="94" spans="1:16" customFormat="1" ht="12.75" customHeight="1" x14ac:dyDescent="0.3">
      <c r="A94" s="474"/>
      <c r="B94" s="474"/>
      <c r="C94" s="474" t="s">
        <v>429</v>
      </c>
      <c r="D94" s="474"/>
      <c r="E94" s="474"/>
      <c r="F94" s="474"/>
      <c r="G94" s="603" t="s">
        <v>430</v>
      </c>
      <c r="H94" s="475" t="s">
        <v>335</v>
      </c>
      <c r="I94" s="622"/>
      <c r="J94" s="364" t="str">
        <f>IF(HLOOKUP(CaseName,CaseData,MATCH($G94,cases!$G$3:$G$1259,0)-1,FALSE)="",IF(ISBLANK(VLOOKUP(ChemName,ChemData,MATCH(G94,substances!$3:$3,FALSE)-1,FALSE)),"",VLOOKUP(ChemName,ChemData,MATCH(G94,substances!$3:$3,FALSE)-1,FALSE)),HLOOKUP(CaseName,CaseData,MATCH($G94,cases!$G$3:$G$1259,0)-1,FALSE))</f>
        <v/>
      </c>
      <c r="K94" s="561">
        <f>kfragS.sd+kmpdeg.sd</f>
        <v>0</v>
      </c>
      <c r="L94" s="466">
        <f t="shared" si="5"/>
        <v>0</v>
      </c>
      <c r="M94" s="475" t="s">
        <v>336</v>
      </c>
      <c r="N94" s="474"/>
      <c r="O94" s="474"/>
      <c r="P94" s="474"/>
    </row>
    <row r="95" spans="1:16" customFormat="1" ht="12.75" customHeight="1" x14ac:dyDescent="0.3">
      <c r="A95" s="474"/>
      <c r="B95" s="474"/>
      <c r="C95" s="474" t="s">
        <v>431</v>
      </c>
      <c r="D95" s="474"/>
      <c r="E95" s="474"/>
      <c r="F95" s="474"/>
      <c r="G95" s="603" t="s">
        <v>432</v>
      </c>
      <c r="H95" s="475" t="s">
        <v>335</v>
      </c>
      <c r="I95" s="622"/>
      <c r="J95" s="364" t="str">
        <f>IF(HLOOKUP(CaseName,CaseData,MATCH($G95,cases!$G$3:$G$1259,0)-1,FALSE)="",IF(ISBLANK(VLOOKUP(ChemName,ChemData,MATCH(G95,substances!$3:$3,FALSE)-1,FALSE)),"",VLOOKUP(ChemName,ChemData,MATCH(G95,substances!$3:$3,FALSE)-1,FALSE)),HLOOKUP(CaseName,CaseData,MATCH($G95,cases!$G$3:$G$1259,0)-1,FALSE))</f>
        <v/>
      </c>
      <c r="K95" s="561">
        <f>kfragS.sd+kmpdeg.sd</f>
        <v>0</v>
      </c>
      <c r="L95" s="466">
        <f t="shared" si="5"/>
        <v>0</v>
      </c>
      <c r="M95" s="475" t="s">
        <v>336</v>
      </c>
      <c r="N95" s="474"/>
      <c r="O95" s="474"/>
      <c r="P95" s="474"/>
    </row>
    <row r="96" spans="1:16" customFormat="1" ht="12.75" customHeight="1" x14ac:dyDescent="0.3">
      <c r="A96" s="474"/>
      <c r="B96" s="474"/>
      <c r="C96" s="474"/>
      <c r="D96" s="474" t="s">
        <v>433</v>
      </c>
      <c r="E96" s="474"/>
      <c r="F96" s="474"/>
      <c r="G96" s="603" t="s">
        <v>434</v>
      </c>
      <c r="H96" s="475" t="s">
        <v>335</v>
      </c>
      <c r="I96" s="622"/>
      <c r="J96" s="364" t="str">
        <f>IF(HLOOKUP(CaseName,CaseData,MATCH($G96,cases!$G$3:$G$1259,0)-1,FALSE)="",IF(ISBLANK(VLOOKUP(ChemName,ChemData,MATCH(G96,substances!$3:$3,FALSE)-1,FALSE)),"",VLOOKUP(ChemName,ChemData,MATCH(G96,substances!$3:$3,FALSE)-1,FALSE)),HLOOKUP(CaseName,CaseData,MATCH($G96,cases!$G$3:$G$1259,0)-1,FALSE))</f>
        <v/>
      </c>
      <c r="K96" s="561">
        <v>0</v>
      </c>
      <c r="L96" s="466">
        <f t="shared" si="5"/>
        <v>0</v>
      </c>
      <c r="M96" s="475" t="s">
        <v>336</v>
      </c>
      <c r="N96" s="485"/>
      <c r="O96" s="474"/>
      <c r="P96" s="474"/>
    </row>
    <row r="97" spans="1:16" customFormat="1" ht="12.75" customHeight="1" x14ac:dyDescent="0.3">
      <c r="A97" s="474"/>
      <c r="B97" s="474"/>
      <c r="C97" s="474"/>
      <c r="D97" s="474" t="s">
        <v>435</v>
      </c>
      <c r="E97" s="474"/>
      <c r="F97" s="474"/>
      <c r="G97" s="603" t="s">
        <v>436</v>
      </c>
      <c r="H97" s="475" t="s">
        <v>335</v>
      </c>
      <c r="I97" s="622"/>
      <c r="J97" s="364" t="str">
        <f>IF(HLOOKUP(CaseName,CaseData,MATCH($G97,cases!$G$3:$G$1259,0)-1,FALSE)="",IF(ISBLANK(VLOOKUP(ChemName,ChemData,MATCH(G97,substances!$3:$3,FALSE)-1,FALSE)),"",VLOOKUP(ChemName,ChemData,MATCH(G97,substances!$3:$3,FALSE)-1,FALSE)),HLOOKUP(CaseName,CaseData,MATCH($G97,cases!$G$3:$G$1259,0)-1,FALSE))</f>
        <v/>
      </c>
      <c r="K97" s="561">
        <v>0</v>
      </c>
      <c r="L97" s="466">
        <f t="shared" si="5"/>
        <v>0</v>
      </c>
      <c r="M97" s="475" t="s">
        <v>336</v>
      </c>
      <c r="N97" s="485"/>
      <c r="O97" s="474"/>
      <c r="P97" s="474"/>
    </row>
    <row r="98" spans="1:16" customFormat="1" ht="12.75" customHeight="1" x14ac:dyDescent="0.3">
      <c r="A98" s="474"/>
      <c r="B98" s="474"/>
      <c r="C98" s="474" t="s">
        <v>437</v>
      </c>
      <c r="D98" s="474"/>
      <c r="E98" s="474"/>
      <c r="F98" s="474"/>
      <c r="G98" s="603" t="s">
        <v>438</v>
      </c>
      <c r="H98" s="475" t="s">
        <v>335</v>
      </c>
      <c r="I98" s="622"/>
      <c r="J98" s="364" t="str">
        <f>IF(HLOOKUP(CaseName,CaseData,MATCH($G98,cases!$G$3:$G$1259,0)-1,FALSE)="",IF(ISBLANK(VLOOKUP(ChemName,ChemData,MATCH(G98,substances!$3:$3,FALSE)-1,FALSE)),"",VLOOKUP(ChemName,ChemData,MATCH(G98,substances!$3:$3,FALSE)-1,FALSE)),HLOOKUP(CaseName,CaseData,MATCH($G98,cases!$G$3:$G$1259,0)-1,FALSE))</f>
        <v/>
      </c>
      <c r="K98" s="561">
        <f>kfragS.w3+kmpdeg.w3</f>
        <v>0</v>
      </c>
      <c r="L98" s="466">
        <f t="shared" si="5"/>
        <v>0</v>
      </c>
      <c r="M98" s="475" t="s">
        <v>336</v>
      </c>
      <c r="N98" s="474"/>
      <c r="O98" s="474"/>
      <c r="P98" s="474"/>
    </row>
    <row r="99" spans="1:16" customFormat="1" ht="12.75" customHeight="1" x14ac:dyDescent="0.3">
      <c r="A99" s="474"/>
      <c r="B99" s="474"/>
      <c r="C99" s="474"/>
      <c r="D99" s="474" t="s">
        <v>433</v>
      </c>
      <c r="E99" s="474"/>
      <c r="F99" s="474"/>
      <c r="G99" s="603" t="s">
        <v>439</v>
      </c>
      <c r="H99" s="475" t="s">
        <v>335</v>
      </c>
      <c r="I99" s="622"/>
      <c r="J99" s="364" t="str">
        <f>IF(HLOOKUP(CaseName,CaseData,MATCH($G99,cases!$G$3:$G$1259,0)-1,FALSE)="",IF(ISBLANK(VLOOKUP(ChemName,ChemData,MATCH(G99,substances!$3:$3,FALSE)-1,FALSE)),"",VLOOKUP(ChemName,ChemData,MATCH(G99,substances!$3:$3,FALSE)-1,FALSE)),HLOOKUP(CaseName,CaseData,MATCH($G99,cases!$G$3:$G$1259,0)-1,FALSE))</f>
        <v/>
      </c>
      <c r="K99" s="561">
        <v>0</v>
      </c>
      <c r="L99" s="466">
        <f t="shared" ref="L99:L100" si="7">IF(ISBLANK(I99), IF(ISNUMBER(J99)=FALSE, K99, J99), I99)</f>
        <v>0</v>
      </c>
      <c r="M99" s="475" t="s">
        <v>336</v>
      </c>
      <c r="N99" s="485"/>
      <c r="O99" s="474"/>
      <c r="P99" s="474"/>
    </row>
    <row r="100" spans="1:16" customFormat="1" ht="12.75" customHeight="1" x14ac:dyDescent="0.3">
      <c r="A100" s="474"/>
      <c r="B100" s="474"/>
      <c r="C100" s="474"/>
      <c r="D100" s="474" t="s">
        <v>435</v>
      </c>
      <c r="E100" s="474"/>
      <c r="F100" s="474"/>
      <c r="G100" s="603" t="s">
        <v>440</v>
      </c>
      <c r="H100" s="475" t="s">
        <v>335</v>
      </c>
      <c r="I100" s="622"/>
      <c r="J100" s="364" t="str">
        <f>IF(HLOOKUP(CaseName,CaseData,MATCH($G100,cases!$G$3:$G$1259,0)-1,FALSE)="",IF(ISBLANK(VLOOKUP(ChemName,ChemData,MATCH(G100,substances!$3:$3,FALSE)-1,FALSE)),"",VLOOKUP(ChemName,ChemData,MATCH(G100,substances!$3:$3,FALSE)-1,FALSE)),HLOOKUP(CaseName,CaseData,MATCH($G100,cases!$G$3:$G$1259,0)-1,FALSE))</f>
        <v/>
      </c>
      <c r="K100" s="561">
        <v>0</v>
      </c>
      <c r="L100" s="466">
        <f t="shared" si="7"/>
        <v>0</v>
      </c>
      <c r="M100" s="475" t="s">
        <v>336</v>
      </c>
      <c r="N100" s="485"/>
      <c r="O100" s="474"/>
      <c r="P100" s="474"/>
    </row>
    <row r="101" spans="1:16" customFormat="1" ht="12.75" customHeight="1" x14ac:dyDescent="0.3">
      <c r="A101" s="474"/>
      <c r="B101" s="474"/>
      <c r="C101" s="601" t="s">
        <v>441</v>
      </c>
      <c r="D101" s="474"/>
      <c r="E101" s="474"/>
      <c r="F101" s="474"/>
      <c r="G101" s="603"/>
      <c r="H101" s="475"/>
      <c r="I101" s="624"/>
      <c r="J101" s="364"/>
      <c r="K101" s="561"/>
      <c r="L101" s="466"/>
      <c r="M101" s="475"/>
      <c r="N101" s="474"/>
      <c r="O101" s="474"/>
      <c r="P101" s="474"/>
    </row>
    <row r="102" spans="1:16" customFormat="1" ht="12.75" customHeight="1" x14ac:dyDescent="0.3">
      <c r="A102" s="474"/>
      <c r="B102" s="474"/>
      <c r="C102" s="474" t="s">
        <v>4634</v>
      </c>
      <c r="D102" s="474"/>
      <c r="E102" s="474"/>
      <c r="F102" s="474"/>
      <c r="G102" s="603" t="s">
        <v>442</v>
      </c>
      <c r="H102" s="475" t="s">
        <v>335</v>
      </c>
      <c r="I102" s="625"/>
      <c r="J102" s="551" t="str">
        <f>IF(HLOOKUP(CaseName,CaseData,MATCH($G102,cases!$G$3:$G$1259,0)-1,FALSE)="","",HLOOKUP(CaseName,CaseData,MATCH($G102,cases!$G$3:$G$1259,0)-1,FALSE))</f>
        <v/>
      </c>
      <c r="K102" s="561">
        <f>kdegS.a</f>
        <v>0</v>
      </c>
      <c r="L102" s="466">
        <f t="shared" ref="L102:L103" si="8">IF(ISBLANK(I102), IF(ISNUMBER(J102)=FALSE, K102, J102), I102)</f>
        <v>0</v>
      </c>
      <c r="M102" s="475" t="s">
        <v>336</v>
      </c>
      <c r="N102" s="474"/>
      <c r="O102" s="474"/>
      <c r="P102" s="474"/>
    </row>
    <row r="103" spans="1:16" customFormat="1" ht="12.75" customHeight="1" x14ac:dyDescent="0.3">
      <c r="A103" s="474"/>
      <c r="B103" s="474"/>
      <c r="C103" s="474" t="s">
        <v>4635</v>
      </c>
      <c r="D103" s="474"/>
      <c r="E103" s="474"/>
      <c r="F103" s="474"/>
      <c r="G103" s="603" t="s">
        <v>443</v>
      </c>
      <c r="H103" s="475" t="s">
        <v>335</v>
      </c>
      <c r="I103" s="625"/>
      <c r="J103" s="551" t="str">
        <f>IF(HLOOKUP(CaseName,CaseData,MATCH($G103,cases!$G$3:$G$1259,0)-1,FALSE)="","",HLOOKUP(CaseName,CaseData,MATCH($G103,cases!$G$3:$G$1259,0)-1,FALSE))</f>
        <v/>
      </c>
      <c r="K103" s="561">
        <f>kdegS.a</f>
        <v>0</v>
      </c>
      <c r="L103" s="466">
        <f t="shared" si="8"/>
        <v>0</v>
      </c>
      <c r="M103" s="475" t="s">
        <v>336</v>
      </c>
      <c r="N103" s="474"/>
      <c r="O103" s="474"/>
      <c r="P103" s="474"/>
    </row>
    <row r="104" spans="1:16" customFormat="1" ht="12.75" customHeight="1" x14ac:dyDescent="0.3">
      <c r="A104" s="474"/>
      <c r="B104" s="474"/>
      <c r="C104" s="474" t="s">
        <v>444</v>
      </c>
      <c r="D104" s="474"/>
      <c r="E104" s="474"/>
      <c r="F104" s="474"/>
      <c r="G104" s="603" t="s">
        <v>445</v>
      </c>
      <c r="H104" s="475" t="s">
        <v>335</v>
      </c>
      <c r="I104" s="625"/>
      <c r="J104" s="551" t="str">
        <f>IF(HLOOKUP(CaseName,CaseData,MATCH($G104,cases!$G$3:$G$1259,0)-1,FALSE)="","",HLOOKUP(CaseName,CaseData,MATCH($G104,cases!$G$3:$G$1259,0)-1,FALSE))</f>
        <v/>
      </c>
      <c r="K104" s="561">
        <f>kdegS.w0</f>
        <v>0</v>
      </c>
      <c r="L104" s="466">
        <f t="shared" ref="L104:L123" si="9">IF(ISBLANK(I104), IF(ISNUMBER(J104)=FALSE, K104, J104), I104)</f>
        <v>0</v>
      </c>
      <c r="M104" s="475" t="s">
        <v>336</v>
      </c>
      <c r="N104" s="474"/>
      <c r="O104" s="474"/>
      <c r="P104" s="474"/>
    </row>
    <row r="105" spans="1:16" customFormat="1" ht="12.75" customHeight="1" x14ac:dyDescent="0.3">
      <c r="A105" s="474"/>
      <c r="B105" s="474"/>
      <c r="C105" s="474" t="s">
        <v>446</v>
      </c>
      <c r="D105" s="474"/>
      <c r="E105" s="474"/>
      <c r="F105" s="474"/>
      <c r="G105" s="603" t="s">
        <v>447</v>
      </c>
      <c r="H105" s="475" t="s">
        <v>335</v>
      </c>
      <c r="I105" s="625"/>
      <c r="J105" s="551" t="str">
        <f>IF(HLOOKUP(CaseName,CaseData,MATCH($G105,cases!$G$3:$G$1259,0)-1,FALSE)="","",HLOOKUP(CaseName,CaseData,MATCH($G105,cases!$G$3:$G$1259,0)-1,FALSE))</f>
        <v/>
      </c>
      <c r="K105" s="561">
        <f>kdegS.w0</f>
        <v>0</v>
      </c>
      <c r="L105" s="466">
        <f t="shared" si="9"/>
        <v>0</v>
      </c>
      <c r="M105" s="475" t="s">
        <v>336</v>
      </c>
      <c r="N105" s="474"/>
      <c r="O105" s="474"/>
      <c r="P105" s="474"/>
    </row>
    <row r="106" spans="1:16" customFormat="1" ht="12.75" customHeight="1" x14ac:dyDescent="0.3">
      <c r="A106" s="474"/>
      <c r="B106" s="474"/>
      <c r="C106" s="474" t="s">
        <v>448</v>
      </c>
      <c r="D106" s="474"/>
      <c r="E106" s="474"/>
      <c r="F106" s="474"/>
      <c r="G106" s="603" t="s">
        <v>449</v>
      </c>
      <c r="H106" s="475" t="s">
        <v>335</v>
      </c>
      <c r="I106" s="625"/>
      <c r="J106" s="551" t="str">
        <f>IF(HLOOKUP(CaseName,CaseData,MATCH($G106,cases!$G$3:$G$1259,0)-1,FALSE)="","",HLOOKUP(CaseName,CaseData,MATCH($G106,cases!$G$3:$G$1259,0)-1,FALSE))</f>
        <v/>
      </c>
      <c r="K106" s="561">
        <f>kdegS.w1</f>
        <v>0</v>
      </c>
      <c r="L106" s="466">
        <f t="shared" si="9"/>
        <v>0</v>
      </c>
      <c r="M106" s="475" t="s">
        <v>336</v>
      </c>
      <c r="N106" s="474"/>
      <c r="O106" s="474"/>
      <c r="P106" s="474"/>
    </row>
    <row r="107" spans="1:16" customFormat="1" ht="12.75" customHeight="1" x14ac:dyDescent="0.3">
      <c r="A107" s="474"/>
      <c r="B107" s="474"/>
      <c r="C107" s="474" t="s">
        <v>450</v>
      </c>
      <c r="D107" s="474"/>
      <c r="E107" s="474"/>
      <c r="F107" s="474"/>
      <c r="G107" s="603" t="s">
        <v>451</v>
      </c>
      <c r="H107" s="475" t="s">
        <v>335</v>
      </c>
      <c r="I107" s="625"/>
      <c r="J107" s="551" t="str">
        <f>IF(HLOOKUP(CaseName,CaseData,MATCH($G107,cases!$G$3:$G$1259,0)-1,FALSE)="","",HLOOKUP(CaseName,CaseData,MATCH($G107,cases!$G$3:$G$1259,0)-1,FALSE))</f>
        <v/>
      </c>
      <c r="K107" s="561">
        <f>kdegS.w1</f>
        <v>0</v>
      </c>
      <c r="L107" s="466">
        <f t="shared" si="9"/>
        <v>0</v>
      </c>
      <c r="M107" s="475" t="s">
        <v>336</v>
      </c>
      <c r="N107" s="474"/>
      <c r="O107" s="474"/>
      <c r="P107" s="474"/>
    </row>
    <row r="108" spans="1:16" customFormat="1" ht="12.75" customHeight="1" x14ac:dyDescent="0.3">
      <c r="A108" s="474"/>
      <c r="B108" s="474"/>
      <c r="C108" s="474" t="s">
        <v>452</v>
      </c>
      <c r="D108" s="474"/>
      <c r="E108" s="474"/>
      <c r="F108" s="474"/>
      <c r="G108" s="603" t="s">
        <v>453</v>
      </c>
      <c r="H108" s="475" t="s">
        <v>335</v>
      </c>
      <c r="I108" s="625"/>
      <c r="J108" s="551" t="str">
        <f>IF(HLOOKUP(CaseName,CaseData,MATCH($G108,cases!$G$3:$G$1259,0)-1,FALSE)="","",HLOOKUP(CaseName,CaseData,MATCH($G108,cases!$G$3:$G$1259,0)-1,FALSE))</f>
        <v/>
      </c>
      <c r="K108" s="561">
        <f>kdegS.w2</f>
        <v>0</v>
      </c>
      <c r="L108" s="466">
        <f t="shared" si="9"/>
        <v>0</v>
      </c>
      <c r="M108" s="475" t="s">
        <v>336</v>
      </c>
      <c r="N108" s="603"/>
      <c r="O108" s="474"/>
      <c r="P108" s="474"/>
    </row>
    <row r="109" spans="1:16" customFormat="1" ht="12.75" customHeight="1" x14ac:dyDescent="0.3">
      <c r="A109" s="474"/>
      <c r="B109" s="474"/>
      <c r="C109" s="474" t="s">
        <v>454</v>
      </c>
      <c r="D109" s="474"/>
      <c r="E109" s="474"/>
      <c r="F109" s="474"/>
      <c r="G109" s="603" t="s">
        <v>455</v>
      </c>
      <c r="H109" s="475" t="s">
        <v>335</v>
      </c>
      <c r="I109" s="625"/>
      <c r="J109" s="551" t="str">
        <f>IF(HLOOKUP(CaseName,CaseData,MATCH($G109,cases!$G$3:$G$1259,0)-1,FALSE)="","",HLOOKUP(CaseName,CaseData,MATCH($G109,cases!$G$3:$G$1259,0)-1,FALSE))</f>
        <v/>
      </c>
      <c r="K109" s="561">
        <f>kdegS.w2</f>
        <v>0</v>
      </c>
      <c r="L109" s="466">
        <f t="shared" si="9"/>
        <v>0</v>
      </c>
      <c r="M109" s="475" t="s">
        <v>336</v>
      </c>
      <c r="N109" s="603"/>
      <c r="O109" s="474"/>
      <c r="P109" s="474"/>
    </row>
    <row r="110" spans="1:16" customFormat="1" ht="12.75" customHeight="1" x14ac:dyDescent="0.3">
      <c r="A110" s="474"/>
      <c r="B110" s="474"/>
      <c r="C110" s="474" t="s">
        <v>456</v>
      </c>
      <c r="D110" s="474"/>
      <c r="E110" s="474"/>
      <c r="F110" s="474"/>
      <c r="G110" s="603" t="s">
        <v>457</v>
      </c>
      <c r="H110" s="475" t="s">
        <v>335</v>
      </c>
      <c r="I110" s="625"/>
      <c r="J110" s="551" t="str">
        <f>IF(HLOOKUP(CaseName,CaseData,MATCH($G110,cases!$G$3:$G$1259,0)-1,FALSE)="","",HLOOKUP(CaseName,CaseData,MATCH($G110,cases!$G$3:$G$1259,0)-1,FALSE))</f>
        <v/>
      </c>
      <c r="K110" s="561">
        <f>kdegS.s1</f>
        <v>0</v>
      </c>
      <c r="L110" s="466">
        <f t="shared" si="9"/>
        <v>0</v>
      </c>
      <c r="M110" s="475" t="s">
        <v>336</v>
      </c>
      <c r="N110" s="603"/>
      <c r="O110" s="474"/>
      <c r="P110" s="474"/>
    </row>
    <row r="111" spans="1:16" customFormat="1" ht="12.75" customHeight="1" x14ac:dyDescent="0.3">
      <c r="A111" s="474"/>
      <c r="B111" s="474"/>
      <c r="C111" s="474" t="s">
        <v>458</v>
      </c>
      <c r="D111" s="474"/>
      <c r="E111" s="474"/>
      <c r="F111" s="474"/>
      <c r="G111" s="603" t="s">
        <v>459</v>
      </c>
      <c r="H111" s="475" t="s">
        <v>335</v>
      </c>
      <c r="I111" s="625"/>
      <c r="J111" s="551" t="str">
        <f>IF(HLOOKUP(CaseName,CaseData,MATCH($G111,cases!$G$3:$G$1259,0)-1,FALSE)="","",HLOOKUP(CaseName,CaseData,MATCH($G111,cases!$G$3:$G$1259,0)-1,FALSE))</f>
        <v/>
      </c>
      <c r="K111" s="561">
        <f>kdegS.s1</f>
        <v>0</v>
      </c>
      <c r="L111" s="466">
        <f t="shared" si="9"/>
        <v>0</v>
      </c>
      <c r="M111" s="475" t="s">
        <v>336</v>
      </c>
      <c r="N111" s="603"/>
      <c r="O111" s="474"/>
      <c r="P111" s="474"/>
    </row>
    <row r="112" spans="1:16" customFormat="1" ht="12.75" customHeight="1" x14ac:dyDescent="0.3">
      <c r="A112" s="474"/>
      <c r="B112" s="474"/>
      <c r="C112" s="474" t="s">
        <v>460</v>
      </c>
      <c r="D112" s="474"/>
      <c r="E112" s="474"/>
      <c r="F112" s="474"/>
      <c r="G112" s="603" t="s">
        <v>461</v>
      </c>
      <c r="H112" s="475" t="s">
        <v>335</v>
      </c>
      <c r="I112" s="625"/>
      <c r="J112" s="551" t="str">
        <f>IF(HLOOKUP(CaseName,CaseData,MATCH($G112,cases!$G$3:$G$1259,0)-1,FALSE)="","",HLOOKUP(CaseName,CaseData,MATCH($G112,cases!$G$3:$G$1259,0)-1,FALSE))</f>
        <v/>
      </c>
      <c r="K112" s="561">
        <f>kdegS.s2</f>
        <v>0</v>
      </c>
      <c r="L112" s="466">
        <f t="shared" si="9"/>
        <v>0</v>
      </c>
      <c r="M112" s="475" t="s">
        <v>336</v>
      </c>
      <c r="N112" s="603"/>
      <c r="O112" s="474"/>
      <c r="P112" s="474"/>
    </row>
    <row r="113" spans="1:34" customFormat="1" ht="12.75" customHeight="1" x14ac:dyDescent="0.3">
      <c r="A113" s="474"/>
      <c r="B113" s="474"/>
      <c r="C113" s="474" t="s">
        <v>462</v>
      </c>
      <c r="D113" s="474"/>
      <c r="E113" s="474"/>
      <c r="F113" s="474"/>
      <c r="G113" s="603" t="s">
        <v>463</v>
      </c>
      <c r="H113" s="475" t="s">
        <v>335</v>
      </c>
      <c r="I113" s="625"/>
      <c r="J113" s="551" t="str">
        <f>IF(HLOOKUP(CaseName,CaseData,MATCH($G113,cases!$G$3:$G$1259,0)-1,FALSE)="","",HLOOKUP(CaseName,CaseData,MATCH($G113,cases!$G$3:$G$1259,0)-1,FALSE))</f>
        <v/>
      </c>
      <c r="K113" s="561">
        <f>kdegS.s2</f>
        <v>0</v>
      </c>
      <c r="L113" s="466">
        <f t="shared" si="9"/>
        <v>0</v>
      </c>
      <c r="M113" s="475" t="s">
        <v>336</v>
      </c>
      <c r="N113" s="603"/>
      <c r="O113" s="474"/>
      <c r="P113" s="474"/>
    </row>
    <row r="114" spans="1:34" customFormat="1" ht="12.75" customHeight="1" x14ac:dyDescent="0.3">
      <c r="A114" s="474"/>
      <c r="B114" s="474"/>
      <c r="C114" s="474" t="s">
        <v>464</v>
      </c>
      <c r="D114" s="474"/>
      <c r="E114" s="474"/>
      <c r="F114" s="474"/>
      <c r="G114" s="603" t="s">
        <v>465</v>
      </c>
      <c r="H114" s="475" t="s">
        <v>335</v>
      </c>
      <c r="I114" s="625"/>
      <c r="J114" s="551" t="str">
        <f>IF(HLOOKUP(CaseName,CaseData,MATCH($G114,cases!$G$3:$G$1259,0)-1,FALSE)="","",HLOOKUP(CaseName,CaseData,MATCH($G114,cases!$G$3:$G$1259,0)-1,FALSE))</f>
        <v/>
      </c>
      <c r="K114" s="561">
        <f>kdegS.s3</f>
        <v>0</v>
      </c>
      <c r="L114" s="466">
        <f t="shared" si="9"/>
        <v>0</v>
      </c>
      <c r="M114" s="475" t="s">
        <v>336</v>
      </c>
      <c r="N114" s="603"/>
      <c r="O114" s="474"/>
      <c r="P114" s="474"/>
    </row>
    <row r="115" spans="1:34" customFormat="1" ht="12.75" customHeight="1" x14ac:dyDescent="0.3">
      <c r="A115" s="474"/>
      <c r="B115" s="474"/>
      <c r="C115" s="474" t="s">
        <v>466</v>
      </c>
      <c r="D115" s="474"/>
      <c r="E115" s="474"/>
      <c r="F115" s="474"/>
      <c r="G115" s="603" t="s">
        <v>467</v>
      </c>
      <c r="H115" s="475" t="s">
        <v>335</v>
      </c>
      <c r="I115" s="625"/>
      <c r="J115" s="551" t="str">
        <f>IF(HLOOKUP(CaseName,CaseData,MATCH($G115,cases!$G$3:$G$1259,0)-1,FALSE)="","",HLOOKUP(CaseName,CaseData,MATCH($G115,cases!$G$3:$G$1259,0)-1,FALSE))</f>
        <v/>
      </c>
      <c r="K115" s="561">
        <f>kdegS.s3</f>
        <v>0</v>
      </c>
      <c r="L115" s="466">
        <f t="shared" si="9"/>
        <v>0</v>
      </c>
      <c r="M115" s="475" t="s">
        <v>336</v>
      </c>
      <c r="N115" s="603"/>
      <c r="O115" s="474"/>
      <c r="P115" s="474"/>
    </row>
    <row r="116" spans="1:34" customFormat="1" ht="12.75" customHeight="1" x14ac:dyDescent="0.3">
      <c r="A116" s="474"/>
      <c r="B116" s="474"/>
      <c r="C116" s="474" t="s">
        <v>468</v>
      </c>
      <c r="D116" s="474"/>
      <c r="E116" s="474"/>
      <c r="F116" s="474"/>
      <c r="G116" s="603" t="s">
        <v>469</v>
      </c>
      <c r="H116" s="475" t="s">
        <v>335</v>
      </c>
      <c r="I116" s="625"/>
      <c r="J116" s="551" t="str">
        <f>IF(HLOOKUP(CaseName,CaseData,MATCH($G116,cases!$G$3:$G$1259,0)-1,FALSE)="","",HLOOKUP(CaseName,CaseData,MATCH($G116,cases!$G$3:$G$1259,0)-1,FALSE))</f>
        <v/>
      </c>
      <c r="K116" s="561">
        <f>kdegS.sd0</f>
        <v>0</v>
      </c>
      <c r="L116" s="466">
        <f t="shared" si="9"/>
        <v>0</v>
      </c>
      <c r="M116" s="475" t="s">
        <v>336</v>
      </c>
      <c r="N116" s="603"/>
      <c r="O116" s="474"/>
      <c r="P116" s="474"/>
    </row>
    <row r="117" spans="1:34" customFormat="1" ht="12.75" customHeight="1" x14ac:dyDescent="0.3">
      <c r="A117" s="474"/>
      <c r="B117" s="474"/>
      <c r="C117" s="474" t="s">
        <v>470</v>
      </c>
      <c r="D117" s="474"/>
      <c r="E117" s="474"/>
      <c r="F117" s="474"/>
      <c r="G117" s="603" t="s">
        <v>471</v>
      </c>
      <c r="H117" s="475" t="s">
        <v>335</v>
      </c>
      <c r="I117" s="625"/>
      <c r="J117" s="551" t="str">
        <f>IF(HLOOKUP(CaseName,CaseData,MATCH($G117,cases!$G$3:$G$1259,0)-1,FALSE)="","",HLOOKUP(CaseName,CaseData,MATCH($G117,cases!$G$3:$G$1259,0)-1,FALSE))</f>
        <v/>
      </c>
      <c r="K117" s="561">
        <f>kdegS.sd0</f>
        <v>0</v>
      </c>
      <c r="L117" s="466">
        <f t="shared" si="9"/>
        <v>0</v>
      </c>
      <c r="M117" s="475" t="s">
        <v>336</v>
      </c>
      <c r="N117" s="603"/>
      <c r="O117" s="474"/>
      <c r="P117" s="474"/>
    </row>
    <row r="118" spans="1:34" customFormat="1" ht="12.75" customHeight="1" x14ac:dyDescent="0.3">
      <c r="A118" s="474"/>
      <c r="B118" s="474"/>
      <c r="C118" s="474" t="s">
        <v>472</v>
      </c>
      <c r="D118" s="474"/>
      <c r="E118" s="474"/>
      <c r="F118" s="474"/>
      <c r="G118" s="603" t="s">
        <v>473</v>
      </c>
      <c r="H118" s="475" t="s">
        <v>335</v>
      </c>
      <c r="I118" s="625"/>
      <c r="J118" s="551" t="str">
        <f>IF(HLOOKUP(CaseName,CaseData,MATCH($G118,cases!$G$3:$G$1259,0)-1,FALSE)="","",HLOOKUP(CaseName,CaseData,MATCH($G118,cases!$G$3:$G$1259,0)-1,FALSE))</f>
        <v/>
      </c>
      <c r="K118" s="561">
        <f>kdegS.sd1</f>
        <v>0</v>
      </c>
      <c r="L118" s="466">
        <f t="shared" si="9"/>
        <v>0</v>
      </c>
      <c r="M118" s="475" t="s">
        <v>336</v>
      </c>
      <c r="N118" s="603"/>
      <c r="O118" s="474"/>
      <c r="P118" s="474"/>
    </row>
    <row r="119" spans="1:34" customFormat="1" ht="12.75" customHeight="1" x14ac:dyDescent="0.3">
      <c r="A119" s="474"/>
      <c r="B119" s="474"/>
      <c r="C119" s="474" t="s">
        <v>474</v>
      </c>
      <c r="D119" s="474"/>
      <c r="E119" s="474"/>
      <c r="F119" s="474"/>
      <c r="G119" s="603" t="s">
        <v>475</v>
      </c>
      <c r="H119" s="475" t="s">
        <v>335</v>
      </c>
      <c r="I119" s="625"/>
      <c r="J119" s="551" t="str">
        <f>IF(HLOOKUP(CaseName,CaseData,MATCH($G119,cases!$G$3:$G$1259,0)-1,FALSE)="","",HLOOKUP(CaseName,CaseData,MATCH($G119,cases!$G$3:$G$1259,0)-1,FALSE))</f>
        <v/>
      </c>
      <c r="K119" s="561">
        <f>kdegS.sd1</f>
        <v>0</v>
      </c>
      <c r="L119" s="466">
        <f t="shared" si="9"/>
        <v>0</v>
      </c>
      <c r="M119" s="475" t="s">
        <v>336</v>
      </c>
      <c r="N119" s="603"/>
      <c r="O119" s="474"/>
      <c r="P119" s="474"/>
    </row>
    <row r="120" spans="1:34" customFormat="1" ht="12.75" customHeight="1" x14ac:dyDescent="0.3">
      <c r="A120" s="474"/>
      <c r="B120" s="474"/>
      <c r="C120" s="474" t="s">
        <v>476</v>
      </c>
      <c r="D120" s="474"/>
      <c r="E120" s="474"/>
      <c r="F120" s="474"/>
      <c r="G120" s="603" t="s">
        <v>477</v>
      </c>
      <c r="H120" s="475" t="s">
        <v>335</v>
      </c>
      <c r="I120" s="625"/>
      <c r="J120" s="551" t="str">
        <f>IF(HLOOKUP(CaseName,CaseData,MATCH($G120,cases!$G$3:$G$1259,0)-1,FALSE)="","",HLOOKUP(CaseName,CaseData,MATCH($G120,cases!$G$3:$G$1259,0)-1,FALSE))</f>
        <v/>
      </c>
      <c r="K120" s="561">
        <f>kdegS.sd2</f>
        <v>0</v>
      </c>
      <c r="L120" s="466">
        <f t="shared" si="9"/>
        <v>0</v>
      </c>
      <c r="M120" s="475" t="s">
        <v>336</v>
      </c>
      <c r="N120" s="603"/>
      <c r="O120" s="474"/>
      <c r="P120" s="474"/>
    </row>
    <row r="121" spans="1:34" customFormat="1" ht="12.75" customHeight="1" x14ac:dyDescent="0.3">
      <c r="A121" s="474"/>
      <c r="B121" s="474"/>
      <c r="C121" s="474" t="s">
        <v>478</v>
      </c>
      <c r="D121" s="474"/>
      <c r="E121" s="474"/>
      <c r="F121" s="474"/>
      <c r="G121" s="603" t="s">
        <v>479</v>
      </c>
      <c r="H121" s="475" t="s">
        <v>335</v>
      </c>
      <c r="I121" s="625"/>
      <c r="J121" s="551" t="str">
        <f>IF(HLOOKUP(CaseName,CaseData,MATCH($G121,cases!$G$3:$G$1259,0)-1,FALSE)="","",HLOOKUP(CaseName,CaseData,MATCH($G121,cases!$G$3:$G$1259,0)-1,FALSE))</f>
        <v/>
      </c>
      <c r="K121" s="561">
        <f>kdegS.sd2</f>
        <v>0</v>
      </c>
      <c r="L121" s="466">
        <f t="shared" si="9"/>
        <v>0</v>
      </c>
      <c r="M121" s="475" t="s">
        <v>336</v>
      </c>
      <c r="N121" s="603"/>
      <c r="O121" s="474"/>
      <c r="P121" s="474"/>
    </row>
    <row r="122" spans="1:34" customFormat="1" ht="12.75" customHeight="1" x14ac:dyDescent="0.3">
      <c r="A122" s="474"/>
      <c r="B122" s="474"/>
      <c r="C122" s="474" t="s">
        <v>480</v>
      </c>
      <c r="D122" s="474"/>
      <c r="E122" s="474"/>
      <c r="F122" s="474"/>
      <c r="G122" s="603" t="s">
        <v>481</v>
      </c>
      <c r="H122" s="475" t="s">
        <v>335</v>
      </c>
      <c r="I122" s="625"/>
      <c r="J122" s="551" t="str">
        <f>IF(HLOOKUP(CaseName,CaseData,MATCH($G122,cases!$G$3:$G$1259,0)-1,FALSE)="","",HLOOKUP(CaseName,CaseData,MATCH($G122,cases!$G$3:$G$1259,0)-1,FALSE))</f>
        <v/>
      </c>
      <c r="K122" s="561">
        <f>kdegS.w3</f>
        <v>0</v>
      </c>
      <c r="L122" s="466">
        <f t="shared" si="9"/>
        <v>0</v>
      </c>
      <c r="M122" s="475" t="s">
        <v>336</v>
      </c>
      <c r="N122" s="603"/>
      <c r="O122" s="474"/>
      <c r="P122" s="474"/>
    </row>
    <row r="123" spans="1:34" customFormat="1" ht="12.75" customHeight="1" x14ac:dyDescent="0.3">
      <c r="A123" s="474"/>
      <c r="B123" s="474"/>
      <c r="C123" s="474" t="s">
        <v>482</v>
      </c>
      <c r="D123" s="474"/>
      <c r="E123" s="474"/>
      <c r="F123" s="474"/>
      <c r="G123" s="603" t="s">
        <v>483</v>
      </c>
      <c r="H123" s="475" t="s">
        <v>335</v>
      </c>
      <c r="I123" s="625"/>
      <c r="J123" s="509" t="str">
        <f>IF(HLOOKUP(CaseName,CaseData,MATCH($G123,cases!$G$3:$G$1259,0)-1,FALSE)="","",HLOOKUP(CaseName,CaseData,MATCH($G123,cases!$G$3:$G$1259,0)-1,FALSE))</f>
        <v/>
      </c>
      <c r="K123" s="626">
        <f>kdegS.w3</f>
        <v>0</v>
      </c>
      <c r="L123" s="360">
        <f t="shared" si="9"/>
        <v>0</v>
      </c>
      <c r="M123" s="475" t="s">
        <v>336</v>
      </c>
      <c r="N123" s="603"/>
      <c r="O123" s="474"/>
      <c r="P123" s="474"/>
    </row>
    <row r="124" spans="1:34" customFormat="1" ht="12.75" customHeight="1" x14ac:dyDescent="0.3">
      <c r="A124" s="474"/>
      <c r="B124" s="474"/>
      <c r="C124" s="474"/>
      <c r="D124" s="474"/>
      <c r="E124" s="474"/>
      <c r="F124" s="474"/>
      <c r="G124" s="603"/>
      <c r="H124" s="475"/>
      <c r="I124" s="624"/>
      <c r="J124" s="507"/>
      <c r="K124" s="627"/>
      <c r="L124" s="466"/>
      <c r="M124" s="475"/>
      <c r="N124" s="474"/>
      <c r="O124" s="474"/>
      <c r="P124" s="474"/>
    </row>
    <row r="125" spans="1:34" customFormat="1" ht="12.75" customHeight="1" x14ac:dyDescent="0.3">
      <c r="A125" s="144" t="s">
        <v>484</v>
      </c>
      <c r="B125" s="144"/>
      <c r="C125" s="144"/>
      <c r="D125" s="144"/>
      <c r="E125" s="144"/>
      <c r="F125" s="144"/>
      <c r="G125" s="145" t="s">
        <v>258</v>
      </c>
      <c r="H125" s="145" t="s">
        <v>274</v>
      </c>
      <c r="I125" s="276" t="s">
        <v>259</v>
      </c>
      <c r="J125" s="276" t="s">
        <v>275</v>
      </c>
      <c r="K125" s="276" t="s">
        <v>260</v>
      </c>
      <c r="L125" s="276" t="s">
        <v>261</v>
      </c>
      <c r="M125" s="144"/>
      <c r="N125" s="145" t="s">
        <v>262</v>
      </c>
      <c r="O125" s="207"/>
      <c r="P125" s="207"/>
      <c r="Q125" s="11"/>
      <c r="R125" s="11"/>
    </row>
    <row r="126" spans="1:34" s="24" customFormat="1" ht="12.75" customHeight="1" x14ac:dyDescent="0.3">
      <c r="A126" s="16"/>
      <c r="B126" s="16"/>
      <c r="C126" s="16"/>
      <c r="D126" s="16"/>
      <c r="E126" s="16"/>
      <c r="F126" s="16"/>
      <c r="G126" s="35"/>
      <c r="H126" s="35"/>
      <c r="I126" s="244"/>
      <c r="J126" s="476"/>
      <c r="K126" s="350"/>
      <c r="L126" s="161"/>
      <c r="M126" s="16"/>
      <c r="N126" s="16"/>
      <c r="O126" s="207"/>
      <c r="P126" s="207"/>
      <c r="Q126" s="11"/>
      <c r="R126" s="11"/>
      <c r="S126"/>
      <c r="T126"/>
      <c r="U126"/>
      <c r="V126"/>
      <c r="W126"/>
      <c r="X126"/>
      <c r="Y126"/>
      <c r="Z126" s="11"/>
      <c r="AA126" s="11"/>
      <c r="AB126" s="11"/>
      <c r="AC126" s="11"/>
      <c r="AD126" s="11"/>
      <c r="AE126" s="11"/>
      <c r="AF126" s="11"/>
      <c r="AG126" s="11"/>
      <c r="AH126" s="11"/>
    </row>
    <row r="127" spans="1:34" s="24" customFormat="1" ht="12.75" customHeight="1" x14ac:dyDescent="0.3">
      <c r="A127" s="582"/>
      <c r="B127" s="583" t="s">
        <v>123</v>
      </c>
      <c r="C127" s="299"/>
      <c r="D127" s="164"/>
      <c r="E127" s="164"/>
      <c r="F127" s="164"/>
      <c r="G127" s="299"/>
      <c r="H127" s="299"/>
      <c r="I127" s="457"/>
      <c r="J127" s="458"/>
      <c r="K127" s="459"/>
      <c r="L127" s="459"/>
      <c r="M127" s="460"/>
      <c r="N127" s="164"/>
      <c r="O127" s="207"/>
      <c r="P127" s="207"/>
      <c r="Q127" s="11"/>
      <c r="R127" s="11"/>
      <c r="S127"/>
      <c r="T127"/>
      <c r="U127"/>
      <c r="V127"/>
      <c r="W127"/>
      <c r="X127"/>
      <c r="Y127"/>
      <c r="Z127" s="11"/>
      <c r="AA127" s="11"/>
      <c r="AB127" s="11"/>
      <c r="AC127" s="11"/>
      <c r="AD127" s="11"/>
      <c r="AE127" s="11"/>
      <c r="AF127" s="11"/>
      <c r="AG127" s="11"/>
      <c r="AH127" s="11"/>
    </row>
    <row r="128" spans="1:34" s="24" customFormat="1" ht="12.75" customHeight="1" x14ac:dyDescent="0.3">
      <c r="A128" s="581"/>
      <c r="B128" s="71" t="s">
        <v>58</v>
      </c>
      <c r="C128" s="16"/>
      <c r="D128" s="16"/>
      <c r="E128" s="16"/>
      <c r="F128" s="16"/>
      <c r="G128" s="35"/>
      <c r="H128" s="35"/>
      <c r="I128" s="244"/>
      <c r="J128" s="161"/>
      <c r="K128" s="161"/>
      <c r="L128" s="161"/>
      <c r="M128" s="16"/>
      <c r="N128" s="16"/>
      <c r="O128" s="207"/>
      <c r="P128" s="207"/>
      <c r="Q128" s="11"/>
      <c r="R128" s="11"/>
      <c r="S128"/>
      <c r="T128"/>
      <c r="U128"/>
      <c r="V128"/>
      <c r="W128"/>
      <c r="X128"/>
      <c r="Y128"/>
      <c r="Z128" s="11"/>
      <c r="AA128" s="11"/>
      <c r="AB128" s="11"/>
      <c r="AC128" s="11"/>
      <c r="AD128" s="11"/>
      <c r="AE128" s="11"/>
      <c r="AF128" s="11"/>
      <c r="AG128" s="11"/>
      <c r="AH128" s="11"/>
    </row>
    <row r="129" spans="1:34" s="24" customFormat="1" ht="12.75" customHeight="1" x14ac:dyDescent="0.3">
      <c r="A129" s="581"/>
      <c r="B129" s="35"/>
      <c r="C129" s="35" t="s">
        <v>485</v>
      </c>
      <c r="D129" s="16"/>
      <c r="E129" s="16"/>
      <c r="F129" s="16"/>
      <c r="G129" s="35" t="s">
        <v>486</v>
      </c>
      <c r="H129" s="35" t="s">
        <v>487</v>
      </c>
      <c r="I129" s="478"/>
      <c r="J129" s="361">
        <f>IF(HLOOKUP(CaseName,CaseData,MATCH($G129,cases!$G$3:$G$1259,0)-1,FALSE)="",IF(HLOOKUP(ScenarioName,ScenarioData,MATCH($G129,scenarios!$G$3:$G$144,0),FALSE)="","",HLOOKUP(ScenarioName,ScenarioData,MATCH($G129,scenarios!$G$3:$G$153,0),FALSE)),HLOOKUP(CaseName,CaseData,MATCH($G129,cases!$G$3:$G$1259,0)-1,FALSE))</f>
        <v>10000</v>
      </c>
      <c r="K129" s="161">
        <v>10000</v>
      </c>
      <c r="L129" s="152">
        <f t="shared" ref="L129:L135" si="10">IF(ISBLANK(I129),IF(ISNUMBER(J129)=FALSE,K129*1000/(Molweight*3600*24*365),J129*1000/(Molweight*3600*24*365)),I129*1000/(Molweight*3600*24*365))</f>
        <v>2.1571287063785434</v>
      </c>
      <c r="M129" s="35" t="s">
        <v>488</v>
      </c>
      <c r="N129" s="35"/>
      <c r="O129" s="207"/>
      <c r="P129" s="207"/>
      <c r="Q129" s="11"/>
      <c r="R129" s="11"/>
      <c r="S129"/>
      <c r="T129"/>
      <c r="U129"/>
      <c r="V129"/>
      <c r="W129"/>
      <c r="X129"/>
      <c r="Y129"/>
      <c r="Z129" s="11"/>
      <c r="AA129" s="11"/>
      <c r="AB129" s="11"/>
      <c r="AC129" s="11"/>
      <c r="AD129" s="11"/>
      <c r="AE129" s="11"/>
      <c r="AF129" s="11"/>
      <c r="AG129" s="11"/>
      <c r="AH129" s="11"/>
    </row>
    <row r="130" spans="1:34" s="24" customFormat="1" ht="12.75" customHeight="1" x14ac:dyDescent="0.3">
      <c r="A130" s="581"/>
      <c r="B130" s="35"/>
      <c r="C130" s="35" t="s">
        <v>489</v>
      </c>
      <c r="D130" s="16"/>
      <c r="E130" s="16"/>
      <c r="F130" s="16"/>
      <c r="G130" s="35" t="s">
        <v>490</v>
      </c>
      <c r="H130" s="35" t="s">
        <v>487</v>
      </c>
      <c r="I130" s="478"/>
      <c r="J130" s="361">
        <f>IF(HLOOKUP(CaseName,CaseData,MATCH($G130,cases!$G$3:$G$1259,0)-1,FALSE)="",IF(HLOOKUP(ScenarioName,ScenarioData,MATCH($G130,scenarios!$G$3:$G$144,0),FALSE)="","",HLOOKUP(ScenarioName,ScenarioData,MATCH($G130,scenarios!$G$3:$G$153,0),FALSE)),HLOOKUP(CaseName,CaseData,MATCH($G130,cases!$G$3:$G$1259,0)-1,FALSE))</f>
        <v>0</v>
      </c>
      <c r="K130" s="161">
        <v>0</v>
      </c>
      <c r="L130" s="152">
        <f t="shared" si="10"/>
        <v>0</v>
      </c>
      <c r="M130" s="35" t="s">
        <v>488</v>
      </c>
      <c r="N130" s="35"/>
      <c r="O130" s="207"/>
      <c r="P130" s="207"/>
      <c r="Q130" s="11"/>
      <c r="R130" s="11"/>
      <c r="S130"/>
      <c r="T130"/>
      <c r="U130"/>
      <c r="V130"/>
      <c r="W130"/>
      <c r="X130"/>
      <c r="Y130"/>
      <c r="Z130" s="11"/>
      <c r="AA130" s="11"/>
      <c r="AB130" s="11"/>
      <c r="AC130" s="11"/>
      <c r="AD130" s="11"/>
      <c r="AE130" s="11"/>
      <c r="AF130" s="11"/>
      <c r="AG130" s="11"/>
      <c r="AH130" s="11"/>
    </row>
    <row r="131" spans="1:34" s="24" customFormat="1" ht="12.75" customHeight="1" x14ac:dyDescent="0.3">
      <c r="A131" s="581"/>
      <c r="B131" s="35"/>
      <c r="C131" s="35" t="s">
        <v>491</v>
      </c>
      <c r="D131" s="16"/>
      <c r="E131" s="16"/>
      <c r="F131" s="16"/>
      <c r="G131" s="35" t="s">
        <v>492</v>
      </c>
      <c r="H131" s="35" t="s">
        <v>487</v>
      </c>
      <c r="I131" s="478"/>
      <c r="J131" s="361">
        <f>IF(HLOOKUP(CaseName,CaseData,MATCH($G131,cases!$G$3:$G$1259,0)-1,FALSE)="",IF(HLOOKUP(ScenarioName,ScenarioData,MATCH($G131,scenarios!$G$3:$G$144,0),FALSE)="","",HLOOKUP(ScenarioName,ScenarioData,MATCH($G131,scenarios!$G$3:$G$153,0),FALSE)),HLOOKUP(CaseName,CaseData,MATCH($G131,cases!$G$3:$G$1259,0)-1,FALSE))</f>
        <v>10000</v>
      </c>
      <c r="K131" s="161">
        <v>10000</v>
      </c>
      <c r="L131" s="152">
        <f t="shared" si="10"/>
        <v>2.1571287063785434</v>
      </c>
      <c r="M131" s="35" t="s">
        <v>488</v>
      </c>
      <c r="N131" s="35"/>
      <c r="O131" s="207"/>
      <c r="P131" s="207"/>
      <c r="Q131" s="11"/>
      <c r="R131" s="11"/>
      <c r="S131"/>
      <c r="T131"/>
      <c r="U131"/>
      <c r="V131"/>
      <c r="W131"/>
      <c r="X131"/>
      <c r="Y131"/>
      <c r="Z131" s="11"/>
      <c r="AA131" s="11"/>
      <c r="AB131" s="11"/>
      <c r="AC131" s="11"/>
      <c r="AD131" s="11"/>
      <c r="AE131" s="11"/>
      <c r="AF131" s="11"/>
      <c r="AG131" s="11"/>
      <c r="AH131" s="11"/>
    </row>
    <row r="132" spans="1:34" s="24" customFormat="1" ht="12.75" customHeight="1" x14ac:dyDescent="0.3">
      <c r="A132" s="581"/>
      <c r="B132" s="35"/>
      <c r="C132" s="35" t="s">
        <v>493</v>
      </c>
      <c r="D132" s="16"/>
      <c r="E132" s="16"/>
      <c r="F132" s="16"/>
      <c r="G132" s="35" t="s">
        <v>494</v>
      </c>
      <c r="H132" s="35" t="s">
        <v>487</v>
      </c>
      <c r="I132" s="478"/>
      <c r="J132" s="361">
        <f>IF(HLOOKUP(CaseName,CaseData,MATCH($G132,cases!$G$3:$G$1259,0)-1,FALSE)="",IF(HLOOKUP(ScenarioName,ScenarioData,MATCH($G132,scenarios!$G$3:$G$144,0),FALSE)="","",HLOOKUP(ScenarioName,ScenarioData,MATCH($G132,scenarios!$G$3:$G$153,0),FALSE)),HLOOKUP(CaseName,CaseData,MATCH($G132,cases!$G$3:$G$1259,0)-1,FALSE))</f>
        <v>0</v>
      </c>
      <c r="K132" s="161">
        <v>0</v>
      </c>
      <c r="L132" s="152">
        <f t="shared" si="10"/>
        <v>0</v>
      </c>
      <c r="M132" s="35" t="s">
        <v>488</v>
      </c>
      <c r="N132" s="35"/>
      <c r="O132" s="207"/>
      <c r="P132" s="207"/>
      <c r="Q132" s="11"/>
      <c r="R132" s="11"/>
      <c r="S132"/>
      <c r="T132"/>
      <c r="U132"/>
      <c r="V132"/>
      <c r="W132"/>
      <c r="X132"/>
      <c r="Y132"/>
      <c r="Z132" s="11"/>
      <c r="AA132" s="11"/>
      <c r="AB132" s="11"/>
      <c r="AC132" s="11"/>
      <c r="AD132" s="11"/>
      <c r="AE132" s="11"/>
      <c r="AF132" s="11"/>
      <c r="AG132" s="11"/>
      <c r="AH132" s="11"/>
    </row>
    <row r="133" spans="1:34" s="24" customFormat="1" ht="12.75" customHeight="1" x14ac:dyDescent="0.3">
      <c r="A133" s="581"/>
      <c r="B133" s="35"/>
      <c r="C133" s="35" t="s">
        <v>495</v>
      </c>
      <c r="D133" s="16"/>
      <c r="E133" s="16"/>
      <c r="F133" s="16"/>
      <c r="G133" s="35" t="s">
        <v>496</v>
      </c>
      <c r="H133" s="35" t="s">
        <v>487</v>
      </c>
      <c r="I133" s="478"/>
      <c r="J133" s="361">
        <f>IF(HLOOKUP(CaseName,CaseData,MATCH($G133,cases!$G$3:$G$1259,0)-1,FALSE)="",IF(HLOOKUP(ScenarioName,ScenarioData,MATCH($G133,scenarios!$G$3:$G$144,0),FALSE)="","",HLOOKUP(ScenarioName,ScenarioData,MATCH($G133,scenarios!$G$3:$G$153,0),FALSE)),HLOOKUP(CaseName,CaseData,MATCH($G133,cases!$G$3:$G$1259,0)-1,FALSE))</f>
        <v>0</v>
      </c>
      <c r="K133" s="161">
        <v>0</v>
      </c>
      <c r="L133" s="152">
        <f t="shared" si="10"/>
        <v>0</v>
      </c>
      <c r="M133" s="35" t="s">
        <v>488</v>
      </c>
      <c r="N133" s="35"/>
      <c r="O133" s="207"/>
      <c r="P133" s="207"/>
      <c r="Q133" s="11"/>
      <c r="R133" s="11"/>
      <c r="S133"/>
      <c r="T133"/>
      <c r="U133"/>
      <c r="V133"/>
      <c r="W133"/>
      <c r="X133"/>
      <c r="Y133"/>
      <c r="Z133" s="11"/>
      <c r="AA133" s="11"/>
      <c r="AB133" s="11"/>
      <c r="AC133" s="11"/>
      <c r="AD133" s="11"/>
      <c r="AE133" s="11"/>
      <c r="AF133" s="11"/>
      <c r="AG133" s="11"/>
      <c r="AH133" s="11"/>
    </row>
    <row r="134" spans="1:34" s="24" customFormat="1" ht="12.75" customHeight="1" x14ac:dyDescent="0.3">
      <c r="A134" s="581"/>
      <c r="B134" s="35"/>
      <c r="C134" s="35" t="s">
        <v>497</v>
      </c>
      <c r="D134" s="16"/>
      <c r="E134" s="16"/>
      <c r="F134" s="16"/>
      <c r="G134" s="35" t="s">
        <v>498</v>
      </c>
      <c r="H134" s="35" t="s">
        <v>487</v>
      </c>
      <c r="I134" s="478"/>
      <c r="J134" s="361">
        <f>IF(HLOOKUP(CaseName,CaseData,MATCH($G134,cases!$G$3:$G$1259,0)-1,FALSE)="",IF(HLOOKUP(ScenarioName,ScenarioData,MATCH($G134,scenarios!$G$3:$G$144,0),FALSE)="","",HLOOKUP(ScenarioName,ScenarioData,MATCH($G134,scenarios!$G$3:$G$153,0),FALSE)),HLOOKUP(CaseName,CaseData,MATCH($G134,cases!$G$3:$G$1259,0)-1,FALSE))</f>
        <v>10000</v>
      </c>
      <c r="K134" s="161">
        <v>10000</v>
      </c>
      <c r="L134" s="152">
        <f t="shared" si="10"/>
        <v>2.1571287063785434</v>
      </c>
      <c r="M134" s="35" t="s">
        <v>499</v>
      </c>
      <c r="N134" s="35"/>
      <c r="O134" s="207"/>
      <c r="P134" s="207"/>
      <c r="Q134" s="11"/>
      <c r="R134" s="11"/>
      <c r="S134"/>
      <c r="T134"/>
      <c r="U134"/>
      <c r="V134"/>
      <c r="W134"/>
      <c r="X134"/>
      <c r="Y134"/>
      <c r="Z134" s="11"/>
      <c r="AA134" s="11"/>
      <c r="AB134" s="11"/>
      <c r="AC134" s="11"/>
      <c r="AD134" s="11"/>
      <c r="AE134" s="11"/>
      <c r="AF134" s="11"/>
      <c r="AG134" s="11"/>
      <c r="AH134" s="11"/>
    </row>
    <row r="135" spans="1:34" s="24" customFormat="1" ht="12.75" customHeight="1" x14ac:dyDescent="0.3">
      <c r="A135" s="581"/>
      <c r="B135" s="35"/>
      <c r="C135" s="35" t="s">
        <v>500</v>
      </c>
      <c r="D135" s="16"/>
      <c r="E135" s="16"/>
      <c r="F135" s="16"/>
      <c r="G135" s="35" t="s">
        <v>501</v>
      </c>
      <c r="H135" s="35" t="s">
        <v>487</v>
      </c>
      <c r="I135" s="478"/>
      <c r="J135" s="361">
        <f>IF(HLOOKUP(CaseName,CaseData,MATCH($G135,cases!$G$3:$G$1259,0)-1,FALSE)="",IF(HLOOKUP(ScenarioName,ScenarioData,MATCH($G135,scenarios!$G$3:$G$144,0),FALSE)="","",HLOOKUP(ScenarioName,ScenarioData,MATCH($G135,scenarios!$G$3:$G$153,0),FALSE)),HLOOKUP(CaseName,CaseData,MATCH($G135,cases!$G$3:$G$1259,0)-1,FALSE))</f>
        <v>0</v>
      </c>
      <c r="K135" s="161">
        <v>0</v>
      </c>
      <c r="L135" s="152">
        <f t="shared" si="10"/>
        <v>0</v>
      </c>
      <c r="M135" s="35" t="s">
        <v>488</v>
      </c>
      <c r="N135" s="35"/>
      <c r="O135" s="207"/>
      <c r="P135" s="207"/>
      <c r="Q135" s="11"/>
      <c r="R135" s="11"/>
      <c r="S135"/>
      <c r="T135"/>
      <c r="U135"/>
      <c r="V135"/>
      <c r="W135"/>
      <c r="X135"/>
      <c r="Y135"/>
      <c r="Z135" s="11"/>
      <c r="AA135" s="11"/>
      <c r="AB135" s="11"/>
      <c r="AC135" s="11"/>
      <c r="AD135" s="11"/>
      <c r="AE135" s="11"/>
      <c r="AF135" s="11"/>
      <c r="AG135" s="11"/>
      <c r="AH135" s="11"/>
    </row>
    <row r="136" spans="1:34" s="24" customFormat="1" ht="12.75" customHeight="1" x14ac:dyDescent="0.3">
      <c r="A136" s="581"/>
      <c r="B136" s="71" t="s">
        <v>211</v>
      </c>
      <c r="C136" s="16"/>
      <c r="D136" s="16"/>
      <c r="E136" s="16"/>
      <c r="F136" s="16"/>
      <c r="G136" s="146"/>
      <c r="H136" s="35"/>
      <c r="I136" s="482"/>
      <c r="J136" s="361"/>
      <c r="K136" s="161"/>
      <c r="L136" s="161"/>
      <c r="M136" s="16"/>
      <c r="N136" s="16"/>
      <c r="O136" s="207"/>
      <c r="P136" s="207"/>
      <c r="Q136" s="11"/>
      <c r="R136" s="11"/>
      <c r="S136"/>
      <c r="T136"/>
      <c r="U136"/>
      <c r="V136"/>
      <c r="W136"/>
      <c r="X136"/>
      <c r="Y136"/>
      <c r="Z136" s="11"/>
      <c r="AA136" s="11"/>
      <c r="AB136" s="11"/>
      <c r="AC136" s="11"/>
      <c r="AD136" s="11"/>
      <c r="AE136" s="11"/>
      <c r="AF136" s="11"/>
      <c r="AG136" s="11"/>
      <c r="AH136" s="11"/>
    </row>
    <row r="137" spans="1:34" s="24" customFormat="1" ht="12.75" customHeight="1" x14ac:dyDescent="0.3">
      <c r="A137" s="581"/>
      <c r="B137" s="35"/>
      <c r="C137" s="35" t="s">
        <v>485</v>
      </c>
      <c r="D137" s="16"/>
      <c r="E137" s="16"/>
      <c r="F137" s="16"/>
      <c r="G137" s="35" t="s">
        <v>502</v>
      </c>
      <c r="H137" s="35" t="s">
        <v>487</v>
      </c>
      <c r="I137" s="478"/>
      <c r="J137" s="361">
        <f>IF(HLOOKUP(CaseName,CaseData,MATCH($G137,cases!$G$3:$G$1259,0)-1,FALSE)="",IF(HLOOKUP(ScenarioName,ScenarioData,MATCH($G137,scenarios!$G$3:$G$144,0),FALSE)="","",HLOOKUP(ScenarioName,ScenarioData,MATCH($G137,scenarios!$G$3:$G$153,0),FALSE)),HLOOKUP(CaseName,CaseData,MATCH($G137,cases!$G$3:$G$1259,0)-1,FALSE))</f>
        <v>0</v>
      </c>
      <c r="K137" s="161">
        <v>0</v>
      </c>
      <c r="L137" s="152">
        <f t="shared" ref="L137:L143" si="11">IF(ISBLANK(I137),IF(ISNUMBER(J137)=FALSE,K137*1000/(Molweight*3600*24*365),J137*1000/(Molweight*3600*24*365)),I137*1000/(Molweight*3600*24*365))</f>
        <v>0</v>
      </c>
      <c r="M137" s="35" t="s">
        <v>488</v>
      </c>
      <c r="N137" s="35"/>
      <c r="O137" s="207"/>
      <c r="P137" s="207"/>
      <c r="Q137" s="11"/>
      <c r="R137" s="11"/>
      <c r="S137"/>
      <c r="T137"/>
      <c r="U137"/>
      <c r="V137"/>
      <c r="W137"/>
      <c r="X137"/>
      <c r="Y137"/>
      <c r="Z137" s="11"/>
      <c r="AA137" s="11"/>
      <c r="AB137" s="11"/>
      <c r="AC137" s="11"/>
      <c r="AD137" s="11"/>
      <c r="AE137" s="11"/>
      <c r="AF137" s="11"/>
      <c r="AG137" s="11"/>
      <c r="AH137" s="11"/>
    </row>
    <row r="138" spans="1:34" s="24" customFormat="1" ht="12.75" customHeight="1" x14ac:dyDescent="0.3">
      <c r="A138" s="581"/>
      <c r="B138" s="35"/>
      <c r="C138" s="35" t="s">
        <v>489</v>
      </c>
      <c r="D138" s="16"/>
      <c r="E138" s="16"/>
      <c r="F138" s="16"/>
      <c r="G138" s="35" t="s">
        <v>503</v>
      </c>
      <c r="H138" s="35" t="s">
        <v>487</v>
      </c>
      <c r="I138" s="478"/>
      <c r="J138" s="361">
        <f>IF(HLOOKUP(CaseName,CaseData,MATCH($G138,cases!$G$3:$G$1259,0)-1,FALSE)="",IF(HLOOKUP(ScenarioName,ScenarioData,MATCH($G138,scenarios!$G$3:$G$144,0),FALSE)="","",HLOOKUP(ScenarioName,ScenarioData,MATCH($G138,scenarios!$G$3:$G$153,0),FALSE)),HLOOKUP(CaseName,CaseData,MATCH($G138,cases!$G$3:$G$1259,0)-1,FALSE))</f>
        <v>0</v>
      </c>
      <c r="K138" s="161">
        <v>0</v>
      </c>
      <c r="L138" s="152">
        <f t="shared" si="11"/>
        <v>0</v>
      </c>
      <c r="M138" s="35" t="s">
        <v>499</v>
      </c>
      <c r="N138" s="35"/>
      <c r="O138" s="207"/>
      <c r="P138" s="207"/>
      <c r="Q138" s="11"/>
      <c r="R138" s="11"/>
      <c r="S138"/>
      <c r="T138"/>
      <c r="U138"/>
      <c r="V138"/>
      <c r="W138"/>
      <c r="X138"/>
      <c r="Y138"/>
      <c r="Z138" s="11"/>
      <c r="AA138" s="11"/>
      <c r="AB138" s="11"/>
      <c r="AC138" s="11"/>
      <c r="AD138" s="11"/>
      <c r="AE138" s="11"/>
      <c r="AF138" s="11"/>
      <c r="AG138" s="11"/>
      <c r="AH138" s="11"/>
    </row>
    <row r="139" spans="1:34" s="24" customFormat="1" ht="12.75" customHeight="1" x14ac:dyDescent="0.3">
      <c r="A139" s="581"/>
      <c r="B139" s="35"/>
      <c r="C139" s="35" t="s">
        <v>491</v>
      </c>
      <c r="D139" s="16"/>
      <c r="E139" s="16"/>
      <c r="F139" s="16"/>
      <c r="G139" s="35" t="s">
        <v>504</v>
      </c>
      <c r="H139" s="35" t="s">
        <v>487</v>
      </c>
      <c r="I139" s="478"/>
      <c r="J139" s="361">
        <f>IF(HLOOKUP(CaseName,CaseData,MATCH($G139,cases!$G$3:$G$1259,0)-1,FALSE)="",IF(HLOOKUP(ScenarioName,ScenarioData,MATCH($G139,scenarios!$G$3:$G$144,0),FALSE)="","",HLOOKUP(ScenarioName,ScenarioData,MATCH($G139,scenarios!$G$3:$G$153,0),FALSE)),HLOOKUP(CaseName,CaseData,MATCH($G139,cases!$G$3:$G$1259,0)-1,FALSE))</f>
        <v>0</v>
      </c>
      <c r="K139" s="161">
        <v>0</v>
      </c>
      <c r="L139" s="152">
        <f t="shared" si="11"/>
        <v>0</v>
      </c>
      <c r="M139" s="35" t="s">
        <v>488</v>
      </c>
      <c r="N139" s="35"/>
      <c r="O139" s="207"/>
      <c r="P139" s="207"/>
      <c r="Q139" s="11"/>
      <c r="R139" s="11"/>
      <c r="S139"/>
      <c r="T139"/>
      <c r="U139"/>
      <c r="V139"/>
      <c r="W139"/>
      <c r="X139"/>
      <c r="Y139"/>
      <c r="Z139" s="11"/>
      <c r="AA139" s="11"/>
      <c r="AB139" s="11"/>
      <c r="AC139" s="11"/>
      <c r="AD139" s="11"/>
      <c r="AE139" s="11"/>
      <c r="AF139" s="11"/>
      <c r="AG139" s="11"/>
      <c r="AH139" s="11"/>
    </row>
    <row r="140" spans="1:34" s="24" customFormat="1" ht="12.75" customHeight="1" x14ac:dyDescent="0.3">
      <c r="A140" s="581"/>
      <c r="B140" s="35"/>
      <c r="C140" s="35" t="s">
        <v>493</v>
      </c>
      <c r="D140" s="16"/>
      <c r="E140" s="16"/>
      <c r="F140" s="16"/>
      <c r="G140" s="35" t="s">
        <v>505</v>
      </c>
      <c r="H140" s="35" t="s">
        <v>487</v>
      </c>
      <c r="I140" s="478"/>
      <c r="J140" s="361">
        <f>IF(HLOOKUP(CaseName,CaseData,MATCH($G140,cases!$G$3:$G$1259,0)-1,FALSE)="",IF(HLOOKUP(ScenarioName,ScenarioData,MATCH($G140,scenarios!$G$3:$G$144,0),FALSE)="","",HLOOKUP(ScenarioName,ScenarioData,MATCH($G140,scenarios!$G$3:$G$153,0),FALSE)),HLOOKUP(CaseName,CaseData,MATCH($G140,cases!$G$3:$G$1259,0)-1,FALSE))</f>
        <v>0</v>
      </c>
      <c r="K140" s="161">
        <v>0</v>
      </c>
      <c r="L140" s="152">
        <f t="shared" si="11"/>
        <v>0</v>
      </c>
      <c r="M140" s="35" t="s">
        <v>488</v>
      </c>
      <c r="N140" s="35"/>
      <c r="O140" s="207"/>
      <c r="P140" s="207"/>
      <c r="Q140" s="11"/>
      <c r="R140" s="11"/>
      <c r="S140"/>
      <c r="T140"/>
      <c r="U140"/>
      <c r="V140"/>
      <c r="W140"/>
      <c r="X140"/>
      <c r="Y140"/>
      <c r="Z140" s="11"/>
      <c r="AA140" s="11"/>
      <c r="AB140" s="11"/>
      <c r="AC140" s="11"/>
      <c r="AD140" s="11"/>
      <c r="AE140" s="11"/>
      <c r="AF140" s="11"/>
      <c r="AG140" s="11"/>
      <c r="AH140" s="11"/>
    </row>
    <row r="141" spans="1:34" s="24" customFormat="1" ht="12.75" customHeight="1" x14ac:dyDescent="0.3">
      <c r="A141" s="581"/>
      <c r="B141" s="35"/>
      <c r="C141" s="35" t="s">
        <v>495</v>
      </c>
      <c r="D141" s="16"/>
      <c r="E141" s="16"/>
      <c r="F141" s="16"/>
      <c r="G141" s="35" t="s">
        <v>506</v>
      </c>
      <c r="H141" s="35" t="s">
        <v>487</v>
      </c>
      <c r="I141" s="478"/>
      <c r="J141" s="361">
        <f>IF(HLOOKUP(CaseName,CaseData,MATCH($G141,cases!$G$3:$G$1259,0)-1,FALSE)="",IF(HLOOKUP(ScenarioName,ScenarioData,MATCH($G141,scenarios!$G$3:$G$144,0),FALSE)="","",HLOOKUP(ScenarioName,ScenarioData,MATCH($G141,scenarios!$G$3:$G$153,0),FALSE)),HLOOKUP(CaseName,CaseData,MATCH($G141,cases!$G$3:$G$1259,0)-1,FALSE))</f>
        <v>0</v>
      </c>
      <c r="K141" s="161">
        <v>0</v>
      </c>
      <c r="L141" s="152">
        <f t="shared" si="11"/>
        <v>0</v>
      </c>
      <c r="M141" s="35" t="s">
        <v>488</v>
      </c>
      <c r="N141" s="35"/>
      <c r="O141" s="207"/>
      <c r="P141" s="207"/>
      <c r="Q141" s="11"/>
      <c r="R141" s="11"/>
      <c r="S141"/>
      <c r="T141"/>
      <c r="U141"/>
      <c r="V141"/>
      <c r="W141"/>
      <c r="X141"/>
      <c r="Y141"/>
      <c r="Z141" s="11"/>
      <c r="AA141" s="11"/>
      <c r="AB141" s="11"/>
      <c r="AC141" s="11"/>
      <c r="AD141" s="11"/>
      <c r="AE141" s="11"/>
      <c r="AF141" s="11"/>
      <c r="AG141" s="11"/>
      <c r="AH141" s="11"/>
    </row>
    <row r="142" spans="1:34" s="24" customFormat="1" ht="12.75" customHeight="1" x14ac:dyDescent="0.3">
      <c r="A142" s="581"/>
      <c r="B142" s="35"/>
      <c r="C142" s="35" t="s">
        <v>497</v>
      </c>
      <c r="D142" s="16"/>
      <c r="E142" s="16"/>
      <c r="F142" s="16"/>
      <c r="G142" s="35" t="s">
        <v>507</v>
      </c>
      <c r="H142" s="35" t="s">
        <v>487</v>
      </c>
      <c r="I142" s="478"/>
      <c r="J142" s="361">
        <f>IF(HLOOKUP(CaseName,CaseData,MATCH($G142,cases!$G$3:$G$1259,0)-1,FALSE)="",IF(HLOOKUP(ScenarioName,ScenarioData,MATCH($G142,scenarios!$G$3:$G$144,0),FALSE)="","",HLOOKUP(ScenarioName,ScenarioData,MATCH($G142,scenarios!$G$3:$G$153,0),FALSE)),HLOOKUP(CaseName,CaseData,MATCH($G142,cases!$G$3:$G$1259,0)-1,FALSE))</f>
        <v>0</v>
      </c>
      <c r="K142" s="161">
        <v>0</v>
      </c>
      <c r="L142" s="152">
        <f t="shared" si="11"/>
        <v>0</v>
      </c>
      <c r="M142" s="35" t="s">
        <v>488</v>
      </c>
      <c r="N142" s="35"/>
      <c r="O142" s="207"/>
      <c r="P142" s="207"/>
      <c r="Q142" s="11"/>
      <c r="R142" s="11"/>
      <c r="S142"/>
      <c r="T142"/>
      <c r="U142"/>
      <c r="V142"/>
      <c r="W142"/>
      <c r="X142"/>
      <c r="Y142"/>
      <c r="Z142" s="11"/>
      <c r="AA142" s="11"/>
      <c r="AB142" s="11"/>
      <c r="AC142" s="11"/>
      <c r="AD142" s="11"/>
      <c r="AE142" s="11"/>
      <c r="AF142" s="11"/>
      <c r="AG142" s="11"/>
      <c r="AH142" s="11"/>
    </row>
    <row r="143" spans="1:34" s="24" customFormat="1" ht="12.75" customHeight="1" x14ac:dyDescent="0.3">
      <c r="A143" s="581"/>
      <c r="B143" s="35"/>
      <c r="C143" s="35" t="s">
        <v>500</v>
      </c>
      <c r="D143" s="16"/>
      <c r="E143" s="16"/>
      <c r="F143" s="16"/>
      <c r="G143" s="35" t="s">
        <v>508</v>
      </c>
      <c r="H143" s="35" t="s">
        <v>487</v>
      </c>
      <c r="I143" s="478"/>
      <c r="J143" s="361">
        <f>IF(HLOOKUP(CaseName,CaseData,MATCH($G143,cases!$G$3:$G$1259,0)-1,FALSE)="",IF(HLOOKUP(ScenarioName,ScenarioData,MATCH($G143,scenarios!$G$3:$G$144,0),FALSE)="","",HLOOKUP(ScenarioName,ScenarioData,MATCH($G143,scenarios!$G$3:$G$153,0),FALSE)),HLOOKUP(CaseName,CaseData,MATCH($G143,cases!$G$3:$G$1259,0)-1,FALSE))</f>
        <v>0</v>
      </c>
      <c r="K143" s="161">
        <v>0</v>
      </c>
      <c r="L143" s="152">
        <f t="shared" si="11"/>
        <v>0</v>
      </c>
      <c r="M143" s="35" t="s">
        <v>488</v>
      </c>
      <c r="N143" s="35"/>
      <c r="O143" s="207"/>
      <c r="P143" s="207"/>
      <c r="Q143" s="11"/>
      <c r="R143" s="11"/>
      <c r="S143"/>
      <c r="T143"/>
      <c r="U143"/>
      <c r="V143"/>
      <c r="W143"/>
      <c r="X143"/>
      <c r="Y143"/>
      <c r="Z143" s="11"/>
      <c r="AA143" s="11"/>
      <c r="AB143" s="11"/>
      <c r="AC143" s="11"/>
      <c r="AD143" s="11"/>
      <c r="AE143" s="11"/>
      <c r="AF143" s="11"/>
      <c r="AG143" s="11"/>
      <c r="AH143" s="11"/>
    </row>
    <row r="144" spans="1:34" s="24" customFormat="1" ht="12.75" customHeight="1" x14ac:dyDescent="0.3">
      <c r="A144" s="581"/>
      <c r="B144" s="71" t="s">
        <v>227</v>
      </c>
      <c r="C144" s="16"/>
      <c r="D144" s="16"/>
      <c r="E144" s="16"/>
      <c r="F144" s="16"/>
      <c r="G144" s="146"/>
      <c r="H144" s="35"/>
      <c r="I144" s="482"/>
      <c r="J144" s="361"/>
      <c r="K144" s="161"/>
      <c r="L144" s="161"/>
      <c r="M144" s="16"/>
      <c r="N144" s="16"/>
      <c r="O144" s="207"/>
      <c r="P144" s="207"/>
      <c r="Q144" s="11"/>
      <c r="R144" s="11"/>
      <c r="S144"/>
      <c r="T144"/>
      <c r="U144"/>
      <c r="V144"/>
      <c r="W144"/>
      <c r="X144"/>
      <c r="Y144"/>
      <c r="Z144" s="11"/>
      <c r="AA144" s="11"/>
      <c r="AB144" s="11"/>
      <c r="AC144" s="11"/>
      <c r="AD144" s="11"/>
      <c r="AE144" s="11"/>
      <c r="AF144" s="11"/>
      <c r="AG144" s="11"/>
      <c r="AH144" s="11"/>
    </row>
    <row r="145" spans="1:34" s="24" customFormat="1" ht="12.75" customHeight="1" x14ac:dyDescent="0.3">
      <c r="A145" s="581"/>
      <c r="B145" s="35"/>
      <c r="C145" s="35" t="s">
        <v>485</v>
      </c>
      <c r="D145" s="16"/>
      <c r="E145" s="16"/>
      <c r="F145" s="16"/>
      <c r="G145" s="35" t="s">
        <v>509</v>
      </c>
      <c r="H145" s="35" t="s">
        <v>487</v>
      </c>
      <c r="I145" s="478"/>
      <c r="J145" s="361">
        <f>IF(HLOOKUP(CaseName,CaseData,MATCH($G145,cases!$G$3:$G$1259,0)-1,FALSE)="",IF(HLOOKUP(ScenarioName,ScenarioData,MATCH($G145,scenarios!$G$3:$G$144,0),FALSE)="","",HLOOKUP(ScenarioName,ScenarioData,MATCH($G145,scenarios!$G$3:$G$153,0),FALSE)),HLOOKUP(CaseName,CaseData,MATCH($G145,cases!$G$3:$G$1259,0)-1,FALSE))</f>
        <v>0</v>
      </c>
      <c r="K145" s="161">
        <v>0</v>
      </c>
      <c r="L145" s="152">
        <f>IF(ISBLANK(I145),IF(ISNUMBER(J145)=FALSE,K145*1000/(Molweight*3600*24*365),J145*1000/(Molweight*3600*24*365)),I145*1000/(Molweight*3600*24*365))</f>
        <v>0</v>
      </c>
      <c r="M145" s="35" t="s">
        <v>488</v>
      </c>
      <c r="N145" s="35"/>
      <c r="O145" s="207"/>
      <c r="P145" s="207"/>
      <c r="Q145" s="11"/>
      <c r="R145" s="11"/>
      <c r="S145"/>
      <c r="T145"/>
      <c r="U145"/>
      <c r="V145"/>
      <c r="W145"/>
      <c r="X145"/>
      <c r="Y145"/>
      <c r="Z145" s="11"/>
      <c r="AA145" s="11"/>
      <c r="AB145" s="11"/>
      <c r="AC145" s="11"/>
      <c r="AD145" s="11"/>
      <c r="AE145" s="11"/>
      <c r="AF145" s="11"/>
      <c r="AG145" s="11"/>
      <c r="AH145" s="11"/>
    </row>
    <row r="146" spans="1:34" s="24" customFormat="1" ht="12.75" customHeight="1" x14ac:dyDescent="0.3">
      <c r="A146" s="581"/>
      <c r="B146" s="35"/>
      <c r="C146" s="35" t="s">
        <v>510</v>
      </c>
      <c r="D146" s="16"/>
      <c r="E146" s="16"/>
      <c r="F146" s="16"/>
      <c r="G146" s="35" t="s">
        <v>511</v>
      </c>
      <c r="H146" s="35" t="s">
        <v>487</v>
      </c>
      <c r="I146" s="478"/>
      <c r="J146" s="361">
        <f>IF(HLOOKUP(CaseName,CaseData,MATCH($G146,cases!$G$3:$G$1259,0)-1,FALSE)="",IF(HLOOKUP(ScenarioName,ScenarioData,MATCH($G146,scenarios!$G$3:$G$144,0),FALSE)="","",HLOOKUP(ScenarioName,ScenarioData,MATCH($G146,scenarios!$G$3:$G$153,0),FALSE)),HLOOKUP(CaseName,CaseData,MATCH($G146,cases!$G$3:$G$1259,0)-1,FALSE))</f>
        <v>0</v>
      </c>
      <c r="K146" s="161">
        <v>0</v>
      </c>
      <c r="L146" s="152">
        <f>IF(ISBLANK(I146),IF(ISNUMBER(J146)=FALSE,K146*1000/(Molweight*3600*24*365),J146*1000/(Molweight*3600*24*365)),I146*1000/(Molweight*3600*24*365))</f>
        <v>0</v>
      </c>
      <c r="M146" s="35" t="s">
        <v>488</v>
      </c>
      <c r="N146" s="35"/>
      <c r="O146" s="207"/>
      <c r="P146" s="207"/>
      <c r="Q146" s="11"/>
      <c r="R146" s="11"/>
      <c r="S146"/>
      <c r="T146"/>
      <c r="U146"/>
      <c r="V146"/>
      <c r="W146"/>
      <c r="X146"/>
      <c r="Y146"/>
      <c r="Z146" s="11"/>
      <c r="AA146" s="11"/>
      <c r="AB146" s="11"/>
      <c r="AC146" s="11"/>
      <c r="AD146" s="11"/>
      <c r="AE146" s="11"/>
      <c r="AF146" s="11"/>
      <c r="AG146" s="11"/>
      <c r="AH146" s="11"/>
    </row>
    <row r="147" spans="1:34" s="24" customFormat="1" ht="12.75" customHeight="1" x14ac:dyDescent="0.3">
      <c r="A147" s="581"/>
      <c r="B147" s="35"/>
      <c r="C147" s="35" t="s">
        <v>512</v>
      </c>
      <c r="D147" s="16"/>
      <c r="E147" s="16"/>
      <c r="F147" s="16"/>
      <c r="G147" s="35" t="s">
        <v>513</v>
      </c>
      <c r="H147" s="35" t="s">
        <v>487</v>
      </c>
      <c r="I147" s="478"/>
      <c r="J147" s="361">
        <f>IF(HLOOKUP(CaseName,CaseData,MATCH($G147,cases!$G$3:$G$1259,0)-1,FALSE)="",IF(HLOOKUP(ScenarioName,ScenarioData,MATCH($G147,scenarios!$G$3:$G$144,0),FALSE)="","",HLOOKUP(ScenarioName,ScenarioData,MATCH($G147,scenarios!$G$3:$G$153,0),FALSE)),HLOOKUP(CaseName,CaseData,MATCH($G147,cases!$G$3:$G$1259,0)-1,FALSE))</f>
        <v>0</v>
      </c>
      <c r="K147" s="161">
        <v>0</v>
      </c>
      <c r="L147" s="152">
        <f>IF(ISBLANK(I147),IF(ISNUMBER(J147)=FALSE,K147*1000/(Molweight*3600*24*365),J147*1000/(Molweight*3600*24*365)),I147*1000/(Molweight*3600*24*365))</f>
        <v>0</v>
      </c>
      <c r="M147" s="16" t="s">
        <v>488</v>
      </c>
      <c r="N147" s="35"/>
      <c r="O147" s="207"/>
      <c r="P147" s="207"/>
      <c r="Q147" s="11"/>
      <c r="R147" s="11"/>
      <c r="S147"/>
      <c r="T147"/>
      <c r="U147"/>
      <c r="V147"/>
      <c r="W147"/>
      <c r="X147"/>
      <c r="Y147"/>
      <c r="Z147" s="11"/>
      <c r="AA147" s="11"/>
      <c r="AB147" s="11"/>
      <c r="AC147" s="11"/>
      <c r="AD147" s="11"/>
      <c r="AE147" s="11"/>
      <c r="AF147" s="11"/>
      <c r="AG147" s="11"/>
      <c r="AH147" s="11"/>
    </row>
    <row r="148" spans="1:34" s="24" customFormat="1" ht="12.75" customHeight="1" x14ac:dyDescent="0.3">
      <c r="A148" s="581"/>
      <c r="B148" s="3" t="s">
        <v>228</v>
      </c>
      <c r="C148" s="35"/>
      <c r="D148" s="16"/>
      <c r="E148" s="16"/>
      <c r="F148" s="16"/>
      <c r="G148" s="146"/>
      <c r="H148" s="35"/>
      <c r="I148" s="482"/>
      <c r="J148" s="361"/>
      <c r="K148" s="161"/>
      <c r="L148" s="161"/>
      <c r="M148" s="16"/>
      <c r="N148" s="16"/>
      <c r="O148" s="207"/>
      <c r="P148" s="207"/>
      <c r="Q148" s="11"/>
      <c r="R148" s="11"/>
      <c r="S148"/>
      <c r="T148"/>
      <c r="U148"/>
      <c r="V148"/>
      <c r="W148"/>
      <c r="X148"/>
      <c r="Y148"/>
      <c r="Z148" s="11"/>
      <c r="AA148" s="11"/>
      <c r="AB148" s="11"/>
      <c r="AC148" s="11"/>
      <c r="AD148" s="11"/>
      <c r="AE148" s="11"/>
      <c r="AF148" s="11"/>
      <c r="AG148" s="11"/>
      <c r="AH148" s="11"/>
    </row>
    <row r="149" spans="1:34" s="24" customFormat="1" ht="12.75" customHeight="1" x14ac:dyDescent="0.3">
      <c r="A149" s="581"/>
      <c r="B149" s="35"/>
      <c r="C149" s="35" t="s">
        <v>485</v>
      </c>
      <c r="D149" s="16"/>
      <c r="E149" s="16"/>
      <c r="F149" s="16"/>
      <c r="G149" s="35" t="s">
        <v>514</v>
      </c>
      <c r="H149" s="35" t="s">
        <v>487</v>
      </c>
      <c r="I149" s="478"/>
      <c r="J149" s="361">
        <f>IF(HLOOKUP(CaseName,CaseData,MATCH($G149,cases!$G$3:$G$1259,0)-1,FALSE)="",IF(HLOOKUP(ScenarioName,ScenarioData,MATCH($G149,scenarios!$G$3:$G$144,0),FALSE)="","",HLOOKUP(ScenarioName,ScenarioData,MATCH($G149,scenarios!$G$3:$G$153,0),FALSE)),HLOOKUP(CaseName,CaseData,MATCH($G149,cases!$G$3:$G$1259,0)-1,FALSE))</f>
        <v>0</v>
      </c>
      <c r="K149" s="161">
        <v>0</v>
      </c>
      <c r="L149" s="152">
        <f>IF(ISBLANK(I149),IF(ISNUMBER(J149)=FALSE,K149*1000/(Molweight*3600*24*365),J149*1000/(Molweight*3600*24*365)),I149*1000/(Molweight*3600*24*365))</f>
        <v>0</v>
      </c>
      <c r="M149" s="35" t="s">
        <v>488</v>
      </c>
      <c r="N149" s="35"/>
      <c r="O149" s="207"/>
      <c r="P149" s="207"/>
      <c r="Q149" s="11"/>
      <c r="R149" s="11"/>
      <c r="S149"/>
      <c r="T149"/>
      <c r="U149"/>
      <c r="V149"/>
      <c r="W149"/>
      <c r="X149"/>
      <c r="Y149"/>
      <c r="Z149" s="11"/>
      <c r="AA149" s="11"/>
      <c r="AB149" s="11"/>
      <c r="AC149" s="11"/>
      <c r="AD149" s="11"/>
      <c r="AE149" s="11"/>
      <c r="AF149" s="11"/>
      <c r="AG149" s="11"/>
      <c r="AH149" s="11"/>
    </row>
    <row r="150" spans="1:34" s="24" customFormat="1" ht="12.75" customHeight="1" x14ac:dyDescent="0.3">
      <c r="A150" s="581"/>
      <c r="B150" s="35"/>
      <c r="C150" s="35" t="s">
        <v>510</v>
      </c>
      <c r="D150" s="16"/>
      <c r="E150" s="16"/>
      <c r="F150" s="16"/>
      <c r="G150" s="35" t="s">
        <v>515</v>
      </c>
      <c r="H150" s="35" t="s">
        <v>487</v>
      </c>
      <c r="I150" s="478"/>
      <c r="J150" s="361">
        <f>IF(HLOOKUP(CaseName,CaseData,MATCH($G150,cases!$G$3:$G$1259,0)-1,FALSE)="",IF(HLOOKUP(ScenarioName,ScenarioData,MATCH($G150,scenarios!$G$3:$G$144,0),FALSE)="","",HLOOKUP(ScenarioName,ScenarioData,MATCH($G150,scenarios!$G$3:$G$153,0),FALSE)),HLOOKUP(CaseName,CaseData,MATCH($G150,cases!$G$3:$G$1259,0)-1,FALSE))</f>
        <v>0</v>
      </c>
      <c r="K150" s="161">
        <v>0</v>
      </c>
      <c r="L150" s="152">
        <f>IF(ISBLANK(I150),IF(ISNUMBER(J150)=FALSE,K150*1000/(Molweight*3600*24*365),J150*1000/(Molweight*3600*24*365)),I150*1000/(Molweight*3600*24*365))</f>
        <v>0</v>
      </c>
      <c r="M150" s="35" t="s">
        <v>488</v>
      </c>
      <c r="N150" s="35"/>
      <c r="O150" s="207"/>
      <c r="P150" s="207"/>
      <c r="Q150" s="11"/>
      <c r="R150" s="11"/>
      <c r="S150"/>
      <c r="T150"/>
      <c r="U150"/>
      <c r="V150"/>
      <c r="W150"/>
      <c r="X150"/>
      <c r="Y150"/>
      <c r="Z150" s="11"/>
      <c r="AA150" s="11"/>
      <c r="AB150" s="11"/>
      <c r="AC150" s="11"/>
      <c r="AD150" s="11"/>
      <c r="AE150" s="11"/>
      <c r="AF150" s="11"/>
      <c r="AG150" s="11"/>
      <c r="AH150" s="11"/>
    </row>
    <row r="151" spans="1:34" s="24" customFormat="1" ht="12.75" customHeight="1" x14ac:dyDescent="0.3">
      <c r="A151" s="581"/>
      <c r="B151" s="35"/>
      <c r="C151" s="35" t="s">
        <v>512</v>
      </c>
      <c r="D151" s="16"/>
      <c r="E151" s="16"/>
      <c r="F151" s="16"/>
      <c r="G151" s="35" t="s">
        <v>516</v>
      </c>
      <c r="H151" s="35" t="s">
        <v>487</v>
      </c>
      <c r="I151" s="478"/>
      <c r="J151" s="361">
        <f>IF(HLOOKUP(CaseName,CaseData,MATCH($G151,cases!$G$3:$G$1259,0)-1,FALSE)="",IF(HLOOKUP(ScenarioName,ScenarioData,MATCH($G151,scenarios!$G$3:$G$144,0),FALSE)="","",HLOOKUP(ScenarioName,ScenarioData,MATCH($G151,scenarios!$G$3:$G$153,0),FALSE)),HLOOKUP(CaseName,CaseData,MATCH($G151,cases!$G$3:$G$1259,0)-1,FALSE))</f>
        <v>0</v>
      </c>
      <c r="K151" s="161">
        <v>0</v>
      </c>
      <c r="L151" s="152">
        <f>IF(ISBLANK(I151),IF(ISNUMBER(J151)=FALSE,K151*1000/(Molweight*3600*24*365),J151*1000/(Molweight*3600*24*365)),I151*1000/(Molweight*3600*24*365))</f>
        <v>0</v>
      </c>
      <c r="M151" s="16" t="s">
        <v>488</v>
      </c>
      <c r="N151" s="35"/>
      <c r="O151" s="207"/>
      <c r="P151" s="207"/>
      <c r="Q151" s="11"/>
      <c r="R151" s="11"/>
      <c r="S151"/>
      <c r="T151"/>
      <c r="U151"/>
      <c r="V151"/>
      <c r="W151"/>
      <c r="X151"/>
      <c r="Y151"/>
      <c r="Z151" s="11"/>
      <c r="AA151" s="11"/>
      <c r="AB151" s="11"/>
      <c r="AC151" s="11"/>
      <c r="AD151" s="11"/>
      <c r="AE151" s="11"/>
      <c r="AF151" s="11"/>
      <c r="AG151" s="11"/>
      <c r="AH151" s="11"/>
    </row>
    <row r="152" spans="1:34" s="24" customFormat="1" ht="12.75" customHeight="1" x14ac:dyDescent="0.3">
      <c r="A152" s="581"/>
      <c r="B152" s="71" t="s">
        <v>517</v>
      </c>
      <c r="C152" s="16"/>
      <c r="D152" s="16"/>
      <c r="E152" s="16"/>
      <c r="F152" s="16"/>
      <c r="G152" s="146"/>
      <c r="H152" s="35"/>
      <c r="I152" s="482"/>
      <c r="J152" s="361"/>
      <c r="K152" s="161"/>
      <c r="L152" s="161"/>
      <c r="M152" s="16"/>
      <c r="N152" s="16"/>
      <c r="O152" s="207"/>
      <c r="P152" s="207"/>
      <c r="Q152" s="11"/>
      <c r="R152" s="11"/>
      <c r="S152"/>
      <c r="T152"/>
      <c r="U152"/>
      <c r="V152"/>
      <c r="W152"/>
      <c r="X152"/>
      <c r="Y152"/>
      <c r="Z152" s="11"/>
      <c r="AA152" s="11"/>
      <c r="AB152" s="11"/>
      <c r="AC152" s="11"/>
      <c r="AD152" s="11"/>
      <c r="AE152" s="11"/>
      <c r="AF152" s="11"/>
      <c r="AG152" s="11"/>
      <c r="AH152" s="11"/>
    </row>
    <row r="153" spans="1:34" s="24" customFormat="1" ht="12.75" customHeight="1" x14ac:dyDescent="0.3">
      <c r="A153" s="581"/>
      <c r="B153" s="35"/>
      <c r="C153" s="35" t="s">
        <v>485</v>
      </c>
      <c r="D153" s="16"/>
      <c r="E153" s="16"/>
      <c r="F153" s="16"/>
      <c r="G153" s="35" t="s">
        <v>518</v>
      </c>
      <c r="H153" s="35" t="s">
        <v>487</v>
      </c>
      <c r="I153" s="478"/>
      <c r="J153" s="361">
        <f>IF(HLOOKUP(CaseName,CaseData,MATCH($G153,cases!$G$3:$G$1259,0)-1,FALSE)="",IF(HLOOKUP(ScenarioName,ScenarioData,MATCH($G153,scenarios!$G$3:$G$144,0),FALSE)="","",HLOOKUP(ScenarioName,ScenarioData,MATCH($G153,scenarios!$G$3:$G$153,0),FALSE)),HLOOKUP(CaseName,CaseData,MATCH($G153,cases!$G$3:$G$1259,0)-1,FALSE))</f>
        <v>0</v>
      </c>
      <c r="K153" s="161">
        <v>0</v>
      </c>
      <c r="L153" s="152">
        <f>IF(ISBLANK(I153),IF(ISNUMBER(J153)=FALSE,K153*1000/(Molweight*3600*24*365),J153*1000/(Molweight*3600*24*365)),I153*1000/(Molweight*3600*24*365))</f>
        <v>0</v>
      </c>
      <c r="M153" s="35" t="s">
        <v>488</v>
      </c>
      <c r="N153" s="35"/>
      <c r="O153" s="207"/>
      <c r="P153" s="207"/>
      <c r="Q153" s="11"/>
      <c r="R153" s="11"/>
      <c r="S153"/>
      <c r="T153"/>
      <c r="U153"/>
      <c r="V153"/>
      <c r="W153"/>
      <c r="X153"/>
      <c r="Y153"/>
      <c r="Z153" s="11"/>
      <c r="AA153" s="11"/>
      <c r="AB153" s="11"/>
      <c r="AC153" s="11"/>
      <c r="AD153" s="11"/>
      <c r="AE153" s="11"/>
      <c r="AF153" s="11"/>
      <c r="AG153" s="11"/>
      <c r="AH153" s="11"/>
    </row>
    <row r="154" spans="1:34" s="24" customFormat="1" ht="12.75" customHeight="1" x14ac:dyDescent="0.3">
      <c r="A154" s="581"/>
      <c r="B154" s="35"/>
      <c r="C154" s="35" t="s">
        <v>510</v>
      </c>
      <c r="D154" s="16"/>
      <c r="E154" s="16"/>
      <c r="F154" s="16"/>
      <c r="G154" s="35" t="s">
        <v>519</v>
      </c>
      <c r="H154" s="35" t="s">
        <v>487</v>
      </c>
      <c r="I154" s="478"/>
      <c r="J154" s="361">
        <f>IF(HLOOKUP(CaseName,CaseData,MATCH($G154,cases!$G$3:$G$1259,0)-1,FALSE)="",IF(HLOOKUP(ScenarioName,ScenarioData,MATCH($G154,scenarios!$G$3:$G$144,0),FALSE)="","",HLOOKUP(ScenarioName,ScenarioData,MATCH($G154,scenarios!$G$3:$G$153,0),FALSE)),HLOOKUP(CaseName,CaseData,MATCH($G154,cases!$G$3:$G$1259,0)-1,FALSE))</f>
        <v>0</v>
      </c>
      <c r="K154" s="161">
        <v>0</v>
      </c>
      <c r="L154" s="152">
        <f>IF(ISBLANK(I154),IF(ISNUMBER(J154)=FALSE,K154*1000/(Molweight*3600*24*365),J154*1000/(Molweight*3600*24*365)),I154*1000/(Molweight*3600*24*365))</f>
        <v>0</v>
      </c>
      <c r="M154" s="35" t="s">
        <v>488</v>
      </c>
      <c r="N154" s="35"/>
      <c r="O154" s="207"/>
      <c r="P154" s="207"/>
      <c r="Q154" s="11"/>
      <c r="R154" s="11"/>
      <c r="S154"/>
      <c r="T154"/>
      <c r="U154"/>
      <c r="V154"/>
      <c r="W154"/>
      <c r="X154"/>
      <c r="Y154"/>
      <c r="Z154" s="11"/>
      <c r="AA154" s="11"/>
      <c r="AB154" s="11"/>
      <c r="AC154" s="11"/>
      <c r="AD154" s="11"/>
      <c r="AE154" s="11"/>
      <c r="AF154" s="11"/>
      <c r="AG154" s="11"/>
      <c r="AH154" s="11"/>
    </row>
    <row r="155" spans="1:34" s="24" customFormat="1" ht="12.75" customHeight="1" x14ac:dyDescent="0.3">
      <c r="A155" s="581"/>
      <c r="B155" s="35"/>
      <c r="C155" s="35" t="s">
        <v>512</v>
      </c>
      <c r="D155" s="16"/>
      <c r="E155" s="16"/>
      <c r="F155" s="16"/>
      <c r="G155" s="35" t="s">
        <v>520</v>
      </c>
      <c r="H155" s="35" t="s">
        <v>487</v>
      </c>
      <c r="I155" s="478"/>
      <c r="J155" s="361">
        <f>IF(HLOOKUP(CaseName,CaseData,MATCH($G155,cases!$G$3:$G$1259,0)-1,FALSE)="",IF(HLOOKUP(ScenarioName,ScenarioData,MATCH($G155,scenarios!$G$3:$G$144,0),FALSE)="","",HLOOKUP(ScenarioName,ScenarioData,MATCH($G155,scenarios!$G$3:$G$153,0),FALSE)),HLOOKUP(CaseName,CaseData,MATCH($G155,cases!$G$3:$G$1259,0)-1,FALSE))</f>
        <v>0</v>
      </c>
      <c r="K155" s="161">
        <v>0</v>
      </c>
      <c r="L155" s="152">
        <f>IF(ISBLANK(I155),IF(ISNUMBER(J155)=FALSE,K155*1000/(Molweight*3600*24*365),J155*1000/(Molweight*3600*24*365)),I155*1000/(Molweight*3600*24*365))</f>
        <v>0</v>
      </c>
      <c r="M155" s="16" t="s">
        <v>488</v>
      </c>
      <c r="N155" s="35"/>
      <c r="O155" s="207"/>
      <c r="P155" s="207"/>
      <c r="Q155" s="11"/>
      <c r="R155" s="11"/>
      <c r="S155"/>
      <c r="T155"/>
      <c r="U155"/>
      <c r="V155"/>
      <c r="W155"/>
      <c r="X155"/>
      <c r="Y155"/>
      <c r="Z155" s="11"/>
      <c r="AA155" s="11"/>
      <c r="AB155" s="11"/>
      <c r="AC155" s="11"/>
      <c r="AD155" s="11"/>
      <c r="AE155" s="11"/>
      <c r="AF155" s="11"/>
      <c r="AG155" s="11"/>
      <c r="AH155" s="11"/>
    </row>
    <row r="156" spans="1:34" s="11" customFormat="1" ht="12.75" customHeight="1" x14ac:dyDescent="0.3">
      <c r="A156" s="211"/>
      <c r="B156" s="211"/>
      <c r="C156" s="326"/>
      <c r="D156" s="326"/>
      <c r="E156" s="326"/>
      <c r="F156" s="326"/>
      <c r="G156" s="665"/>
      <c r="H156" s="508"/>
      <c r="I156" s="666"/>
      <c r="J156" s="645"/>
      <c r="K156" s="646"/>
      <c r="L156" s="644"/>
      <c r="M156" s="508"/>
      <c r="N156" s="211"/>
      <c r="O156" s="207"/>
      <c r="P156" s="207"/>
      <c r="S156"/>
      <c r="T156"/>
      <c r="U156"/>
      <c r="V156"/>
      <c r="W156"/>
      <c r="X156"/>
      <c r="Y156"/>
    </row>
    <row r="157" spans="1:34" customFormat="1" ht="12.75" customHeight="1" x14ac:dyDescent="0.3">
      <c r="A157" s="145" t="s">
        <v>521</v>
      </c>
      <c r="B157" s="144"/>
      <c r="C157" s="144"/>
      <c r="D157" s="144"/>
      <c r="E157" s="144"/>
      <c r="F157" s="144"/>
      <c r="G157" s="145" t="s">
        <v>258</v>
      </c>
      <c r="H157" s="145" t="s">
        <v>274</v>
      </c>
      <c r="I157" s="147" t="s">
        <v>259</v>
      </c>
      <c r="J157" s="147" t="s">
        <v>275</v>
      </c>
      <c r="K157" s="147" t="s">
        <v>260</v>
      </c>
      <c r="L157" s="147" t="s">
        <v>261</v>
      </c>
      <c r="M157" s="144"/>
      <c r="N157" s="145" t="s">
        <v>262</v>
      </c>
      <c r="O157" s="228" t="s">
        <v>263</v>
      </c>
      <c r="P157" s="353" t="s">
        <v>264</v>
      </c>
      <c r="Q157" s="11"/>
      <c r="R157" s="11"/>
      <c r="AA157" s="277"/>
      <c r="AB157" s="277"/>
      <c r="AC157" s="277"/>
      <c r="AD157" s="277"/>
      <c r="AE157" s="277"/>
      <c r="AF157" s="277"/>
      <c r="AG157" s="277"/>
    </row>
    <row r="158" spans="1:34" s="24" customFormat="1" ht="12.75" customHeight="1" x14ac:dyDescent="0.3">
      <c r="A158" s="35"/>
      <c r="B158" s="16"/>
      <c r="C158" s="16"/>
      <c r="D158" s="16"/>
      <c r="E158" s="16"/>
      <c r="F158" s="16"/>
      <c r="G158" s="35"/>
      <c r="H158" s="35"/>
      <c r="I158" s="166"/>
      <c r="J158" s="148"/>
      <c r="K158" s="148"/>
      <c r="L158" s="148"/>
      <c r="M158" s="16"/>
      <c r="N158" s="35"/>
      <c r="O158" s="207"/>
      <c r="P158" s="207"/>
      <c r="Q158" s="11"/>
      <c r="R158" s="11"/>
      <c r="S158"/>
      <c r="T158"/>
      <c r="U158"/>
      <c r="V158"/>
      <c r="W158"/>
      <c r="X158"/>
      <c r="Y158"/>
      <c r="Z158" s="11"/>
      <c r="AA158" s="533"/>
      <c r="AB158" s="533"/>
      <c r="AC158" s="533"/>
      <c r="AD158" s="533"/>
      <c r="AE158" s="533"/>
      <c r="AF158" s="533"/>
      <c r="AG158" s="533"/>
      <c r="AH158" s="11"/>
    </row>
    <row r="159" spans="1:34" s="24" customFormat="1" ht="12.75" customHeight="1" x14ac:dyDescent="0.3">
      <c r="A159" s="35"/>
      <c r="B159" s="141" t="s">
        <v>522</v>
      </c>
      <c r="C159" s="142"/>
      <c r="D159" s="142"/>
      <c r="E159" s="142"/>
      <c r="F159" s="142"/>
      <c r="G159" s="141" t="s">
        <v>523</v>
      </c>
      <c r="H159" s="141"/>
      <c r="I159" s="477"/>
      <c r="J159" s="476" t="str">
        <f>IF(HLOOKUP(CaseName,CaseData,MATCH($G159,cases!$G$3:$G$1259,0),FALSE)="",IF(ISBLANK(VLOOKUP(ChemName,ChemData,MATCH(G159,substances!$3:$3,FALSE)-1,FALSE)),"",VLOOKUP(ChemName,ChemData,MATCH(G159,substances!$3:$3,FALSE)-1,FALSE)),HLOOKUP(CaseName,CaseData,MATCH($G159,cases!$G$3:$G$1259,0),FALSE))</f>
        <v>neutral</v>
      </c>
      <c r="K159" s="362" t="s">
        <v>524</v>
      </c>
      <c r="L159" s="363" t="str">
        <f>IF(I159="",IF(J159="",K159,J159),I159)</f>
        <v>neutral</v>
      </c>
      <c r="M159" s="35"/>
      <c r="N159" s="16"/>
      <c r="O159" s="207"/>
      <c r="P159" s="207"/>
      <c r="Q159" s="11"/>
      <c r="R159" s="11"/>
      <c r="S159"/>
      <c r="T159"/>
      <c r="U159"/>
      <c r="V159"/>
      <c r="W159"/>
      <c r="X159"/>
      <c r="Y159"/>
      <c r="Z159" s="11"/>
      <c r="AA159" s="533"/>
      <c r="AB159" s="533"/>
      <c r="AC159" s="533"/>
      <c r="AD159" s="533"/>
      <c r="AE159" s="533"/>
      <c r="AF159" s="533"/>
      <c r="AG159" s="533"/>
      <c r="AH159" s="11"/>
    </row>
    <row r="160" spans="1:34" s="24" customFormat="1" ht="12.75" customHeight="1" x14ac:dyDescent="0.3">
      <c r="A160" s="16"/>
      <c r="B160" s="35" t="s">
        <v>525</v>
      </c>
      <c r="C160" s="16"/>
      <c r="D160" s="16"/>
      <c r="E160" s="16"/>
      <c r="F160" s="16"/>
      <c r="G160" s="35" t="s">
        <v>526</v>
      </c>
      <c r="H160" s="35" t="s">
        <v>527</v>
      </c>
      <c r="I160" s="478"/>
      <c r="J160" s="476">
        <f>IF(HLOOKUP(CaseName,CaseData,MATCH($G160,cases!$G$3:$G$1259,0)-1,FALSE)="",IF(ISBLANK(VLOOKUP(ChemName,ChemData,MATCH(G160,substances!$3:$3,FALSE)-1,FALSE)),"",VLOOKUP(ChemName,ChemData,MATCH(G160,substances!$3:$3,FALSE)-1,FALSE)),HLOOKUP(CaseName,CaseData,MATCH($G160,cases!$G$3:$G$1259,0)-1,FALSE))</f>
        <v>147</v>
      </c>
      <c r="K160" s="347">
        <f>MEDIAN(substances!F8)</f>
        <v>147</v>
      </c>
      <c r="L160" s="152">
        <f>IF(ISBLANK(I160),IF(ISNUMBER(J160)=FALSE,K160/1000,J160/1000),I160/1000)</f>
        <v>0.14699999999999999</v>
      </c>
      <c r="M160" s="35" t="s">
        <v>528</v>
      </c>
      <c r="N160" s="16"/>
      <c r="O160" s="326"/>
      <c r="P160" s="326"/>
      <c r="Q160" s="11"/>
      <c r="R160" s="11"/>
      <c r="S160"/>
      <c r="T160"/>
      <c r="U160"/>
      <c r="V160"/>
      <c r="W160"/>
      <c r="X160"/>
      <c r="Y160"/>
      <c r="Z160" s="11"/>
      <c r="AA160" s="533"/>
      <c r="AB160" s="533"/>
      <c r="AC160" s="533"/>
      <c r="AD160" s="533"/>
      <c r="AE160" s="533"/>
      <c r="AF160" s="533"/>
      <c r="AG160" s="533"/>
      <c r="AH160" s="11"/>
    </row>
    <row r="161" spans="1:34" s="24" customFormat="1" ht="12.75" customHeight="1" x14ac:dyDescent="0.3">
      <c r="A161" s="16"/>
      <c r="B161" s="35"/>
      <c r="C161" s="16"/>
      <c r="D161" s="16"/>
      <c r="E161" s="16"/>
      <c r="F161" s="16"/>
      <c r="G161" s="35"/>
      <c r="H161" s="35"/>
      <c r="I161" s="244"/>
      <c r="J161" s="161"/>
      <c r="K161" s="161"/>
      <c r="L161" s="161"/>
      <c r="M161" s="16"/>
      <c r="N161" s="16"/>
      <c r="O161" s="207"/>
      <c r="P161" s="207"/>
      <c r="Q161" s="11"/>
      <c r="R161" s="11"/>
      <c r="S161"/>
      <c r="T161"/>
      <c r="U161"/>
      <c r="V161"/>
      <c r="W161"/>
      <c r="X161"/>
      <c r="Y161"/>
      <c r="Z161" s="11"/>
      <c r="AA161" s="533"/>
      <c r="AB161" s="533"/>
      <c r="AC161" s="533"/>
      <c r="AD161" s="533"/>
      <c r="AE161" s="533"/>
      <c r="AF161" s="533"/>
      <c r="AG161" s="533"/>
      <c r="AH161" s="11"/>
    </row>
    <row r="162" spans="1:34" s="24" customFormat="1" ht="12.75" customHeight="1" x14ac:dyDescent="0.3">
      <c r="A162" s="35"/>
      <c r="B162" s="35" t="s">
        <v>529</v>
      </c>
      <c r="C162" s="16"/>
      <c r="D162" s="16"/>
      <c r="E162" s="16"/>
      <c r="F162" s="16"/>
      <c r="G162" s="143" t="s">
        <v>530</v>
      </c>
      <c r="H162" s="35" t="s">
        <v>291</v>
      </c>
      <c r="I162" s="478"/>
      <c r="J162" s="472" t="str">
        <f>IF(HLOOKUP(CaseName,CaseData,ROW()-2,FALSE)="",IF(ISBLANK(VLOOKUP(ChemName,ChemData,MATCH("Ksw",substances!$3:$3,FALSE)-1,FALSE)),"",VLOOKUP(ChemName,ChemData,MATCH("Ksw",substances!$3:$3,FALSE)-1,FALSE)),HLOOKUP(CaseName,CaseData,ROW()-2,FALSE))</f>
        <v/>
      </c>
      <c r="K162" s="347">
        <f>(VLOOKUP(ChemClass,QSARtable,7,FALSE))*CORG*RHOsolid/1000</f>
        <v>38.4768961762732</v>
      </c>
      <c r="L162" s="152">
        <f t="shared" ref="L162:L181" si="12">IF(ISBLANK(I162), IF(ISNUMBER(J162)=FALSE, K162, J162), I162)</f>
        <v>38.4768961762732</v>
      </c>
      <c r="M162" s="35" t="s">
        <v>292</v>
      </c>
      <c r="N162" s="16" t="s">
        <v>531</v>
      </c>
      <c r="O162" s="207"/>
      <c r="P162" s="207"/>
      <c r="Q162" s="11"/>
      <c r="R162" s="11"/>
      <c r="S162"/>
      <c r="T162"/>
      <c r="U162"/>
      <c r="V162"/>
      <c r="W162"/>
      <c r="X162"/>
      <c r="Y162"/>
      <c r="Z162" s="11"/>
      <c r="AA162" s="533"/>
      <c r="AB162" s="533"/>
      <c r="AC162" s="533"/>
      <c r="AD162" s="533"/>
      <c r="AE162" s="533"/>
      <c r="AF162" s="533"/>
      <c r="AG162" s="533"/>
      <c r="AH162" s="11"/>
    </row>
    <row r="163" spans="1:34" ht="12.75" customHeight="1" x14ac:dyDescent="0.3">
      <c r="A163" s="35"/>
      <c r="B163" s="35" t="s">
        <v>532</v>
      </c>
      <c r="C163" s="16"/>
      <c r="D163" s="16"/>
      <c r="E163" s="16"/>
      <c r="F163" s="16"/>
      <c r="G163" s="454" t="s">
        <v>533</v>
      </c>
      <c r="H163" s="35" t="s">
        <v>291</v>
      </c>
      <c r="I163" s="478"/>
      <c r="J163" s="472" t="str">
        <f>IF(HLOOKUP(CaseName,CaseData,ROW()-2,FALSE)="","",HLOOKUP(CaseName,CaseData,ROW()-2,FALSE))</f>
        <v/>
      </c>
      <c r="K163" s="347">
        <f>(VLOOKUP(ChemClass,QSARtable,8,FALSE))*CORG*RHOsolid/1000</f>
        <v>38.4768961762732</v>
      </c>
      <c r="L163" s="152">
        <f t="shared" si="12"/>
        <v>38.4768961762732</v>
      </c>
      <c r="M163" s="35" t="s">
        <v>292</v>
      </c>
      <c r="N163" s="16"/>
      <c r="O163" s="207"/>
      <c r="P163" s="207"/>
      <c r="Q163" s="11"/>
      <c r="R163" s="11"/>
      <c r="Z163" s="11"/>
      <c r="AA163" s="533"/>
      <c r="AB163" s="533"/>
      <c r="AC163" s="533"/>
      <c r="AD163" s="533"/>
      <c r="AE163" s="533"/>
      <c r="AF163" s="533"/>
      <c r="AG163" s="533"/>
      <c r="AH163" s="11"/>
    </row>
    <row r="164" spans="1:34" s="24" customFormat="1" ht="12.75" customHeight="1" x14ac:dyDescent="0.3">
      <c r="A164" s="35"/>
      <c r="B164" s="35" t="s">
        <v>534</v>
      </c>
      <c r="C164" s="143"/>
      <c r="D164" s="16"/>
      <c r="E164" s="16"/>
      <c r="F164" s="16"/>
      <c r="G164" s="143" t="s">
        <v>535</v>
      </c>
      <c r="H164" s="35" t="s">
        <v>291</v>
      </c>
      <c r="I164" s="478"/>
      <c r="J164" s="472" t="str">
        <f>IF(HLOOKUP(CaseName,CaseData,ROW()-2,FALSE)="",IF(ISBLANK(VLOOKUP(ChemName,ChemData,MATCH("Kaw",substances!$3:$3,FALSE)-1,FALSE)),"",VLOOKUP(ChemName,ChemData,MATCH("Kaw",substances!$3:$3,FALSE)-1,FALSE)),HLOOKUP(CaseName,CaseData,ROW()-2,FALSE))</f>
        <v/>
      </c>
      <c r="K164" s="347">
        <f>VLOOKUP(ChemClass,QSARtable,9,FALSE)</f>
        <v>0.16931229237089712</v>
      </c>
      <c r="L164" s="152">
        <f t="shared" si="12"/>
        <v>0.16931229237089712</v>
      </c>
      <c r="M164" s="35" t="s">
        <v>292</v>
      </c>
      <c r="N164" s="16"/>
      <c r="O164" s="207"/>
      <c r="P164" s="207"/>
      <c r="Q164" s="11"/>
      <c r="R164" s="11"/>
      <c r="S164"/>
      <c r="T164"/>
      <c r="U164"/>
      <c r="V164"/>
      <c r="W164"/>
      <c r="X164"/>
      <c r="Y164"/>
      <c r="Z164" s="11"/>
      <c r="AA164" s="277"/>
      <c r="AB164" s="277"/>
      <c r="AC164" s="277"/>
      <c r="AD164" s="277"/>
      <c r="AE164" s="277"/>
      <c r="AF164" s="277"/>
      <c r="AG164" s="277"/>
      <c r="AH164" s="11"/>
    </row>
    <row r="165" spans="1:34" s="24" customFormat="1" ht="12.75" customHeight="1" x14ac:dyDescent="0.3">
      <c r="A165" s="16"/>
      <c r="B165" s="16"/>
      <c r="C165" s="35" t="s">
        <v>536</v>
      </c>
      <c r="D165" s="16"/>
      <c r="E165" s="16"/>
      <c r="F165" s="16"/>
      <c r="G165" s="35" t="s">
        <v>537</v>
      </c>
      <c r="H165" s="35" t="s">
        <v>291</v>
      </c>
      <c r="I165" s="478"/>
      <c r="J165" s="472">
        <f>IF(HLOOKUP(CaseName,CaseData,ROW()-2,FALSE)="",IF(ISBLANK(VLOOKUP(ChemName,ChemData,MATCH("Kow",substances!$3:$3,FALSE)-1,FALSE)),"",VLOOKUP(ChemName,ChemData,MATCH("Kow",substances!$3:$3,FALSE)-1,FALSE)),HLOOKUP(CaseName,CaseData,ROW()-2,FALSE))</f>
        <v>2750</v>
      </c>
      <c r="K165" s="347">
        <f>MEDIAN(substances!$K$8)</f>
        <v>2750</v>
      </c>
      <c r="L165" s="152">
        <f t="shared" si="12"/>
        <v>2750</v>
      </c>
      <c r="M165" s="35" t="s">
        <v>292</v>
      </c>
      <c r="N165" s="16"/>
      <c r="O165" s="207"/>
      <c r="P165" s="207"/>
      <c r="Q165" s="11"/>
      <c r="R165" s="11"/>
      <c r="S165"/>
      <c r="T165"/>
      <c r="U165"/>
      <c r="V165"/>
      <c r="W165"/>
      <c r="X165"/>
      <c r="Y165"/>
      <c r="Z165" s="11"/>
      <c r="AA165" s="533"/>
      <c r="AB165" s="533"/>
      <c r="AC165" s="533"/>
      <c r="AD165" s="533"/>
      <c r="AE165" s="533"/>
      <c r="AF165" s="533"/>
      <c r="AG165" s="533"/>
      <c r="AH165" s="11"/>
    </row>
    <row r="166" spans="1:34" s="24" customFormat="1" ht="12.75" customHeight="1" x14ac:dyDescent="0.3">
      <c r="A166" s="16"/>
      <c r="B166" s="16"/>
      <c r="C166" s="35" t="s">
        <v>538</v>
      </c>
      <c r="D166" s="16"/>
      <c r="E166" s="16"/>
      <c r="F166" s="16"/>
      <c r="G166" s="455" t="s">
        <v>539</v>
      </c>
      <c r="H166" s="35" t="s">
        <v>291</v>
      </c>
      <c r="I166" s="478"/>
      <c r="J166" s="472" t="str">
        <f>IF(HLOOKUP(CaseName,CaseData,ROW()-2,FALSE)="","",HLOOKUP(CaseName,CaseData,ROW()-2,FALSE))</f>
        <v/>
      </c>
      <c r="K166" s="364">
        <f>10^(LOG(Kow)-3.5)</f>
        <v>0.86962635654630471</v>
      </c>
      <c r="L166" s="152">
        <f t="shared" si="12"/>
        <v>0.86962635654630471</v>
      </c>
      <c r="M166" s="35" t="s">
        <v>292</v>
      </c>
      <c r="N166" s="16"/>
      <c r="O166" s="207"/>
      <c r="P166" s="207"/>
      <c r="Q166" s="11"/>
      <c r="R166" s="11"/>
      <c r="S166"/>
      <c r="T166"/>
      <c r="U166"/>
      <c r="V166"/>
      <c r="W166"/>
      <c r="X166"/>
      <c r="Y166"/>
      <c r="Z166" s="11"/>
      <c r="AA166" s="533"/>
      <c r="AB166" s="533"/>
      <c r="AC166" s="533"/>
      <c r="AD166" s="533"/>
      <c r="AE166" s="533"/>
      <c r="AF166" s="533"/>
      <c r="AG166" s="533"/>
      <c r="AH166" s="11"/>
    </row>
    <row r="167" spans="1:34" s="24" customFormat="1" ht="12.75" customHeight="1" x14ac:dyDescent="0.3">
      <c r="A167" s="16"/>
      <c r="B167" s="16"/>
      <c r="C167" s="35" t="s">
        <v>540</v>
      </c>
      <c r="D167" s="16"/>
      <c r="E167" s="16"/>
      <c r="F167" s="16"/>
      <c r="G167" s="35" t="s">
        <v>541</v>
      </c>
      <c r="H167" s="35"/>
      <c r="I167" s="478"/>
      <c r="J167" s="472" t="str">
        <f>IF(HLOOKUP(CaseName,CaseData,ROW()-2,FALSE)="",IF(ISBLANK(VLOOKUP(ChemName,ChemData,MATCH("pKa",substances!$3:$3,FALSE)-1,FALSE)),"",VLOOKUP(ChemName,ChemData,MATCH("pKa",substances!$3:$3,FALSE)-1,FALSE)),HLOOKUP(CaseName,CaseData,ROW()-2,FALSE))</f>
        <v/>
      </c>
      <c r="K167" s="347">
        <v>7</v>
      </c>
      <c r="L167" s="152">
        <f t="shared" si="12"/>
        <v>7</v>
      </c>
      <c r="M167" s="143" t="s">
        <v>292</v>
      </c>
      <c r="N167" s="16"/>
      <c r="O167" s="207"/>
      <c r="P167" s="207"/>
      <c r="Q167" s="11"/>
      <c r="R167" s="11"/>
      <c r="S167"/>
      <c r="T167"/>
      <c r="U167"/>
      <c r="V167"/>
      <c r="W167"/>
      <c r="X167"/>
      <c r="Y167"/>
      <c r="Z167" s="11"/>
      <c r="AA167" s="533"/>
      <c r="AB167" s="533"/>
      <c r="AC167" s="533"/>
      <c r="AD167" s="533"/>
      <c r="AE167" s="533"/>
      <c r="AF167" s="533"/>
      <c r="AG167" s="533"/>
      <c r="AH167" s="11"/>
    </row>
    <row r="168" spans="1:34" s="24" customFormat="1" ht="12.75" customHeight="1" x14ac:dyDescent="0.3">
      <c r="A168" s="16"/>
      <c r="B168" s="16"/>
      <c r="C168" s="35" t="s">
        <v>542</v>
      </c>
      <c r="D168" s="16"/>
      <c r="E168" s="16"/>
      <c r="F168" s="16"/>
      <c r="G168" s="35" t="s">
        <v>543</v>
      </c>
      <c r="H168" s="35" t="s">
        <v>291</v>
      </c>
      <c r="I168" s="478"/>
      <c r="J168" s="472" t="str">
        <f t="shared" ref="J168:J180" si="13">IF(HLOOKUP(CaseName,CaseData,ROW()-2,FALSE)="","",HLOOKUP(CaseName,CaseData,ROW()-2,FALSE))</f>
        <v/>
      </c>
      <c r="K168" s="347">
        <f>IF(ChemClass="Acid",1/(1+10^(7-pKa)),IF(ChemClass="Base",1/(1+10^(pKa-7)),1))*Kow + (1-IF(ChemClass="Acid",1/(1+10^(7-pKa)),IF(ChemClass="Base",1/(1+10^(pKa-7)),1)))*Kow.alt</f>
        <v>2750</v>
      </c>
      <c r="L168" s="152">
        <f t="shared" si="12"/>
        <v>2750</v>
      </c>
      <c r="M168" s="35" t="s">
        <v>292</v>
      </c>
      <c r="N168" s="16" t="s">
        <v>544</v>
      </c>
      <c r="O168" s="207"/>
      <c r="P168" s="207"/>
      <c r="Q168" s="11"/>
      <c r="R168" s="11"/>
      <c r="S168"/>
      <c r="T168"/>
      <c r="U168"/>
      <c r="V168"/>
      <c r="W168"/>
      <c r="X168"/>
      <c r="Y168"/>
      <c r="Z168" s="11"/>
      <c r="AA168" s="533"/>
      <c r="AB168" s="533"/>
      <c r="AC168" s="533"/>
      <c r="AD168" s="533"/>
      <c r="AE168" s="533"/>
      <c r="AF168" s="533"/>
      <c r="AG168" s="533"/>
      <c r="AH168" s="11"/>
    </row>
    <row r="169" spans="1:34" s="24" customFormat="1" ht="12.75" customHeight="1" x14ac:dyDescent="0.3">
      <c r="A169" s="630"/>
      <c r="B169" s="211"/>
      <c r="C169" s="211" t="s">
        <v>545</v>
      </c>
      <c r="D169" s="211"/>
      <c r="E169" s="211"/>
      <c r="F169" s="211"/>
      <c r="G169" s="208" t="s">
        <v>546</v>
      </c>
      <c r="H169" s="208" t="s">
        <v>291</v>
      </c>
      <c r="I169" s="480"/>
      <c r="J169" s="659" t="str">
        <f t="shared" si="13"/>
        <v/>
      </c>
      <c r="K169" s="456">
        <f>IF(ChemClass="Acid",1/(1+10^(pH.cldw-pKa)),IF(ChemClass="Base",1/(1+10^(pKa-pH.cldw)),1))</f>
        <v>1</v>
      </c>
      <c r="L169" s="465">
        <f t="shared" si="12"/>
        <v>1</v>
      </c>
      <c r="M169" s="487" t="s">
        <v>292</v>
      </c>
      <c r="N169" s="211"/>
      <c r="O169" s="207"/>
      <c r="P169" s="207"/>
      <c r="Q169" s="11"/>
      <c r="R169" s="11"/>
      <c r="S169"/>
      <c r="T169"/>
      <c r="U169"/>
      <c r="V169"/>
      <c r="W169"/>
      <c r="X169"/>
      <c r="Y169"/>
      <c r="Z169" s="11"/>
      <c r="AA169" s="533"/>
      <c r="AB169" s="533"/>
      <c r="AC169" s="533"/>
      <c r="AD169" s="533"/>
      <c r="AE169" s="533"/>
      <c r="AF169" s="533"/>
      <c r="AG169" s="533"/>
      <c r="AH169" s="11"/>
    </row>
    <row r="170" spans="1:34" s="24" customFormat="1" ht="12.75" customHeight="1" x14ac:dyDescent="0.3">
      <c r="A170" s="3"/>
      <c r="B170" s="16"/>
      <c r="C170" s="16" t="s">
        <v>547</v>
      </c>
      <c r="D170" s="16"/>
      <c r="E170" s="16"/>
      <c r="F170" s="16"/>
      <c r="G170" s="35" t="s">
        <v>548</v>
      </c>
      <c r="H170" s="35" t="s">
        <v>291</v>
      </c>
      <c r="I170" s="480"/>
      <c r="J170" s="472" t="str">
        <f t="shared" si="13"/>
        <v/>
      </c>
      <c r="K170" s="241">
        <f>IF(ChemClass="Acid",1/(1+10^(pH.aerw-pKa)),IF(ChemClass="Base",1/(1+10^(pKa-pH.aerw)),1))</f>
        <v>1</v>
      </c>
      <c r="L170" s="363">
        <f t="shared" si="12"/>
        <v>1</v>
      </c>
      <c r="M170" s="28" t="s">
        <v>292</v>
      </c>
      <c r="N170" s="16"/>
      <c r="O170" s="207"/>
      <c r="P170" s="207"/>
      <c r="Q170" s="11"/>
      <c r="R170" s="11"/>
      <c r="S170"/>
      <c r="T170"/>
      <c r="U170"/>
      <c r="V170"/>
      <c r="W170"/>
      <c r="X170"/>
      <c r="Y170"/>
      <c r="Z170" s="11"/>
      <c r="AA170" s="533"/>
      <c r="AB170" s="533"/>
      <c r="AC170" s="533"/>
      <c r="AD170" s="533"/>
      <c r="AE170" s="533"/>
      <c r="AF170" s="533"/>
      <c r="AG170" s="533"/>
      <c r="AH170" s="11"/>
    </row>
    <row r="171" spans="1:34" s="24" customFormat="1" ht="12.75" customHeight="1" x14ac:dyDescent="0.3">
      <c r="A171" s="3"/>
      <c r="B171" s="16"/>
      <c r="C171" s="16" t="s">
        <v>549</v>
      </c>
      <c r="D171" s="16"/>
      <c r="E171" s="16"/>
      <c r="F171" s="16"/>
      <c r="G171" s="35" t="s">
        <v>550</v>
      </c>
      <c r="H171" s="35" t="s">
        <v>291</v>
      </c>
      <c r="I171" s="480"/>
      <c r="J171" s="472" t="str">
        <f t="shared" si="13"/>
        <v/>
      </c>
      <c r="K171" s="241">
        <f>IF(ChemClass="Acid",1/(1+10^(pH.w1-pKa)),IF(ChemClass="Base",1/(1+10^(pKa-pH.w1)),1))</f>
        <v>1</v>
      </c>
      <c r="L171" s="363">
        <f t="shared" si="12"/>
        <v>1</v>
      </c>
      <c r="M171" s="28" t="s">
        <v>292</v>
      </c>
      <c r="N171" s="16"/>
      <c r="O171" s="207"/>
      <c r="P171" s="207"/>
      <c r="Q171" s="11"/>
      <c r="R171" s="11"/>
      <c r="S171"/>
      <c r="T171"/>
      <c r="U171"/>
      <c r="V171"/>
      <c r="W171"/>
      <c r="X171"/>
      <c r="Y171"/>
      <c r="Z171" s="11"/>
      <c r="AA171" s="277"/>
      <c r="AB171" s="277"/>
      <c r="AC171" s="277"/>
      <c r="AD171" s="277"/>
      <c r="AE171" s="277"/>
      <c r="AF171" s="277"/>
      <c r="AG171" s="277"/>
      <c r="AH171" s="11"/>
    </row>
    <row r="172" spans="1:34" s="24" customFormat="1" ht="12.75" customHeight="1" x14ac:dyDescent="0.3">
      <c r="A172" s="3"/>
      <c r="B172" s="16"/>
      <c r="C172" s="16" t="s">
        <v>551</v>
      </c>
      <c r="D172" s="16"/>
      <c r="E172" s="16"/>
      <c r="F172" s="16"/>
      <c r="G172" s="35" t="s">
        <v>552</v>
      </c>
      <c r="H172" s="35" t="s">
        <v>291</v>
      </c>
      <c r="I172" s="480"/>
      <c r="J172" s="472" t="str">
        <f t="shared" si="13"/>
        <v/>
      </c>
      <c r="K172" s="241">
        <f>IF(ChemClass="Acid",1/(1+10^(pH.w1-0.6-pKa)),IF(ChemClass="Base",1/(1+10^(pKa-4.5)),1))</f>
        <v>1</v>
      </c>
      <c r="L172" s="363">
        <f t="shared" si="12"/>
        <v>1</v>
      </c>
      <c r="M172" s="28"/>
      <c r="N172" s="16"/>
      <c r="O172" s="207"/>
      <c r="P172" s="207"/>
      <c r="Q172" s="11"/>
      <c r="R172" s="11"/>
      <c r="S172"/>
      <c r="T172"/>
      <c r="U172"/>
      <c r="V172"/>
      <c r="W172"/>
      <c r="X172"/>
      <c r="Y172"/>
      <c r="Z172" s="11"/>
      <c r="AA172" s="11"/>
      <c r="AB172" s="11"/>
      <c r="AC172" s="11"/>
      <c r="AD172" s="11"/>
      <c r="AE172" s="11"/>
      <c r="AF172" s="11"/>
      <c r="AG172" s="11"/>
      <c r="AH172" s="11"/>
    </row>
    <row r="173" spans="1:34" s="24" customFormat="1" ht="12.75" customHeight="1" x14ac:dyDescent="0.3">
      <c r="A173" s="3"/>
      <c r="B173" s="16"/>
      <c r="C173" s="16" t="s">
        <v>553</v>
      </c>
      <c r="D173" s="16"/>
      <c r="E173" s="16"/>
      <c r="F173" s="16"/>
      <c r="G173" s="35" t="s">
        <v>554</v>
      </c>
      <c r="H173" s="35" t="s">
        <v>291</v>
      </c>
      <c r="I173" s="480"/>
      <c r="J173" s="472" t="str">
        <f t="shared" si="13"/>
        <v/>
      </c>
      <c r="K173" s="241">
        <f>IF(ChemClass="Acid",1/(1+10^(pH.w2-pKa)),IF(ChemClass="Base",1/(1+10^(pKa-pH.w2)),1))</f>
        <v>1</v>
      </c>
      <c r="L173" s="363">
        <f t="shared" si="12"/>
        <v>1</v>
      </c>
      <c r="M173" s="28" t="s">
        <v>292</v>
      </c>
      <c r="N173" s="16"/>
      <c r="O173" s="207"/>
      <c r="P173" s="207"/>
      <c r="Q173" s="11"/>
      <c r="R173" s="11"/>
      <c r="S173"/>
      <c r="T173"/>
      <c r="U173"/>
      <c r="V173"/>
      <c r="W173"/>
      <c r="X173"/>
      <c r="Y173"/>
      <c r="Z173" s="11"/>
      <c r="AA173" s="11"/>
      <c r="AB173" s="11"/>
      <c r="AC173" s="11"/>
      <c r="AD173" s="11"/>
      <c r="AE173" s="11"/>
      <c r="AF173" s="11"/>
      <c r="AG173" s="11"/>
      <c r="AH173" s="11"/>
    </row>
    <row r="174" spans="1:34" s="24" customFormat="1" ht="12.75" customHeight="1" x14ac:dyDescent="0.3">
      <c r="A174" s="3"/>
      <c r="B174" s="16"/>
      <c r="C174" s="16" t="s">
        <v>555</v>
      </c>
      <c r="D174" s="16"/>
      <c r="E174" s="16"/>
      <c r="F174" s="16"/>
      <c r="G174" s="35" t="s">
        <v>556</v>
      </c>
      <c r="H174" s="35"/>
      <c r="I174" s="480"/>
      <c r="J174" s="472" t="str">
        <f t="shared" si="13"/>
        <v/>
      </c>
      <c r="K174" s="241">
        <f>IF(ChemClass="Acid",1/(1+10^(pH.w2-0.6-pKa)),IF(ChemClass="Base",1/(1+10^(pKa-4.5)),1))</f>
        <v>1</v>
      </c>
      <c r="L174" s="363">
        <f t="shared" si="12"/>
        <v>1</v>
      </c>
      <c r="M174" s="28"/>
      <c r="N174" s="16"/>
      <c r="O174" s="207"/>
      <c r="P174" s="207"/>
      <c r="Q174" s="11"/>
      <c r="R174" s="11"/>
      <c r="S174"/>
      <c r="T174"/>
      <c r="U174"/>
      <c r="V174"/>
      <c r="W174"/>
      <c r="X174"/>
      <c r="Y174"/>
      <c r="Z174" s="11"/>
      <c r="AA174" s="11"/>
      <c r="AB174" s="11"/>
      <c r="AC174" s="11"/>
      <c r="AD174" s="11"/>
      <c r="AE174" s="11"/>
      <c r="AF174" s="11"/>
      <c r="AG174" s="11"/>
      <c r="AH174" s="11"/>
    </row>
    <row r="175" spans="1:34" s="24" customFormat="1" ht="12.75" customHeight="1" x14ac:dyDescent="0.3">
      <c r="A175" s="3"/>
      <c r="B175" s="16"/>
      <c r="C175" s="16" t="s">
        <v>557</v>
      </c>
      <c r="D175" s="16"/>
      <c r="E175" s="16"/>
      <c r="F175" s="16"/>
      <c r="G175" s="35" t="s">
        <v>558</v>
      </c>
      <c r="H175" s="35" t="s">
        <v>291</v>
      </c>
      <c r="I175" s="480"/>
      <c r="J175" s="472" t="str">
        <f t="shared" si="13"/>
        <v/>
      </c>
      <c r="K175" s="241">
        <f>IF(ChemClass="Acid",1/(1+10^(pH.s1-0.6-pKa)),IF(ChemClass="Base",1/(1+10^(pKa-4.5)),1))</f>
        <v>1</v>
      </c>
      <c r="L175" s="363">
        <f t="shared" si="12"/>
        <v>1</v>
      </c>
      <c r="M175" s="28" t="s">
        <v>292</v>
      </c>
      <c r="N175" s="16"/>
      <c r="O175" s="207"/>
      <c r="P175" s="207"/>
      <c r="Q175" s="11"/>
      <c r="R175" s="11"/>
      <c r="S175"/>
      <c r="T175"/>
      <c r="U175"/>
      <c r="V175"/>
      <c r="W175"/>
      <c r="X175"/>
      <c r="Y175"/>
      <c r="Z175" s="11"/>
      <c r="AA175" s="11"/>
      <c r="AB175" s="11"/>
      <c r="AC175" s="11"/>
      <c r="AD175" s="11"/>
      <c r="AE175" s="11"/>
      <c r="AF175" s="11"/>
      <c r="AG175" s="11"/>
      <c r="AH175" s="11"/>
    </row>
    <row r="176" spans="1:34" s="24" customFormat="1" ht="12.75" customHeight="1" x14ac:dyDescent="0.3">
      <c r="A176" s="3"/>
      <c r="B176" s="16"/>
      <c r="C176" s="16" t="s">
        <v>559</v>
      </c>
      <c r="D176" s="16"/>
      <c r="E176" s="16"/>
      <c r="F176" s="16"/>
      <c r="G176" s="35" t="s">
        <v>560</v>
      </c>
      <c r="H176" s="35" t="s">
        <v>291</v>
      </c>
      <c r="I176" s="480"/>
      <c r="J176" s="472" t="str">
        <f t="shared" si="13"/>
        <v/>
      </c>
      <c r="K176" s="241">
        <f>IF(ChemClass="Acid",1/(1+10^(pH.s1-pKa)),IF(ChemClass="Base",1/(1+10^(pKa-pH.s1)),1))</f>
        <v>1</v>
      </c>
      <c r="L176" s="363">
        <f t="shared" si="12"/>
        <v>1</v>
      </c>
      <c r="M176" s="28" t="s">
        <v>292</v>
      </c>
      <c r="N176" s="16"/>
      <c r="O176" s="207"/>
      <c r="P176" s="207"/>
      <c r="Q176" s="11"/>
      <c r="R176" s="11"/>
      <c r="S176"/>
      <c r="T176"/>
      <c r="U176"/>
      <c r="V176"/>
      <c r="W176"/>
      <c r="X176"/>
      <c r="Y176"/>
      <c r="Z176" s="11"/>
      <c r="AA176" s="11"/>
      <c r="AB176" s="11"/>
      <c r="AC176" s="11"/>
      <c r="AD176" s="11"/>
      <c r="AE176" s="11"/>
      <c r="AF176" s="11"/>
      <c r="AG176" s="11"/>
      <c r="AH176" s="11"/>
    </row>
    <row r="177" spans="1:34" s="24" customFormat="1" ht="12.75" customHeight="1" x14ac:dyDescent="0.3">
      <c r="A177" s="3"/>
      <c r="B177" s="16"/>
      <c r="C177" s="16" t="s">
        <v>561</v>
      </c>
      <c r="D177" s="16"/>
      <c r="E177" s="16"/>
      <c r="F177" s="16"/>
      <c r="G177" s="35" t="s">
        <v>562</v>
      </c>
      <c r="H177" s="35" t="s">
        <v>291</v>
      </c>
      <c r="I177" s="480"/>
      <c r="J177" s="472" t="str">
        <f t="shared" si="13"/>
        <v/>
      </c>
      <c r="K177" s="241">
        <f>IF(ChemClass="Acid",1/(1+10^(pH.s2-0.6-pKa)),IF(ChemClass="Base",1/(1+10^(pKa-4.5)),1))</f>
        <v>1</v>
      </c>
      <c r="L177" s="363">
        <f t="shared" si="12"/>
        <v>1</v>
      </c>
      <c r="M177" s="28" t="s">
        <v>292</v>
      </c>
      <c r="N177" s="16"/>
      <c r="O177" s="207"/>
      <c r="P177" s="207"/>
      <c r="Q177" s="11"/>
      <c r="R177" s="11"/>
      <c r="S177"/>
      <c r="T177"/>
      <c r="U177"/>
      <c r="V177"/>
      <c r="W177"/>
      <c r="X177"/>
      <c r="Y177"/>
      <c r="Z177" s="11"/>
      <c r="AA177" s="11"/>
      <c r="AB177" s="11"/>
      <c r="AC177" s="11"/>
      <c r="AD177" s="11"/>
      <c r="AE177" s="11"/>
      <c r="AF177" s="11"/>
      <c r="AG177" s="11"/>
      <c r="AH177" s="11"/>
    </row>
    <row r="178" spans="1:34" s="24" customFormat="1" ht="12.75" customHeight="1" x14ac:dyDescent="0.3">
      <c r="A178" s="3"/>
      <c r="B178" s="16"/>
      <c r="C178" s="16" t="s">
        <v>563</v>
      </c>
      <c r="D178" s="16"/>
      <c r="E178" s="16"/>
      <c r="F178" s="16"/>
      <c r="G178" s="35" t="s">
        <v>564</v>
      </c>
      <c r="H178" s="35" t="s">
        <v>291</v>
      </c>
      <c r="I178" s="480"/>
      <c r="J178" s="472" t="str">
        <f t="shared" si="13"/>
        <v/>
      </c>
      <c r="K178" s="241">
        <f>IF(ChemClass="Acid",1/(1+10^(pH.s2-pKa)),IF(ChemClass="Base",1/(1+10^(pKa-pH.s2)),1))</f>
        <v>1</v>
      </c>
      <c r="L178" s="363">
        <f t="shared" si="12"/>
        <v>1</v>
      </c>
      <c r="M178" s="28" t="s">
        <v>292</v>
      </c>
      <c r="N178" s="16"/>
      <c r="O178" s="207"/>
      <c r="P178" s="207"/>
      <c r="Q178" s="11"/>
      <c r="R178" s="11"/>
      <c r="S178"/>
      <c r="T178"/>
      <c r="U178"/>
      <c r="V178"/>
      <c r="W178"/>
      <c r="X178"/>
      <c r="Y178"/>
      <c r="Z178" s="11"/>
      <c r="AA178" s="11"/>
      <c r="AB178" s="11"/>
      <c r="AC178" s="11"/>
      <c r="AD178" s="11"/>
      <c r="AE178" s="11"/>
      <c r="AF178" s="11"/>
      <c r="AG178" s="11"/>
      <c r="AH178" s="11"/>
    </row>
    <row r="179" spans="1:34" s="24" customFormat="1" ht="12.75" customHeight="1" x14ac:dyDescent="0.3">
      <c r="A179" s="3"/>
      <c r="B179" s="16"/>
      <c r="C179" s="16" t="s">
        <v>565</v>
      </c>
      <c r="D179" s="16"/>
      <c r="E179" s="16"/>
      <c r="F179" s="16"/>
      <c r="G179" s="35" t="s">
        <v>566</v>
      </c>
      <c r="H179" s="35" t="s">
        <v>291</v>
      </c>
      <c r="I179" s="480"/>
      <c r="J179" s="472" t="str">
        <f t="shared" si="13"/>
        <v/>
      </c>
      <c r="K179" s="241">
        <f>IF(ChemClass="Acid",1/(1+10^(pH.s3-0.6-pKa)),IF(ChemClass="Base",1/(1+10^(pKa-4.5)),1))</f>
        <v>1</v>
      </c>
      <c r="L179" s="363">
        <f t="shared" si="12"/>
        <v>1</v>
      </c>
      <c r="M179" s="28" t="s">
        <v>292</v>
      </c>
      <c r="N179" s="16"/>
      <c r="O179" s="207"/>
      <c r="P179" s="207"/>
      <c r="Q179" s="11"/>
      <c r="R179" s="11"/>
      <c r="S179"/>
      <c r="T179"/>
      <c r="U179"/>
      <c r="V179"/>
      <c r="W179"/>
      <c r="X179"/>
      <c r="Y179"/>
      <c r="Z179" s="11"/>
      <c r="AA179" s="11"/>
      <c r="AB179" s="11"/>
      <c r="AC179" s="11"/>
      <c r="AD179" s="11"/>
      <c r="AE179" s="11"/>
      <c r="AF179" s="11"/>
      <c r="AG179" s="11"/>
      <c r="AH179" s="11"/>
    </row>
    <row r="180" spans="1:34" s="24" customFormat="1" ht="12.75" customHeight="1" x14ac:dyDescent="0.3">
      <c r="A180" s="3"/>
      <c r="B180" s="16"/>
      <c r="C180" s="16" t="s">
        <v>567</v>
      </c>
      <c r="D180" s="16"/>
      <c r="E180" s="16"/>
      <c r="F180" s="16"/>
      <c r="G180" s="35" t="s">
        <v>568</v>
      </c>
      <c r="H180" s="35" t="s">
        <v>291</v>
      </c>
      <c r="I180" s="480"/>
      <c r="J180" s="472" t="str">
        <f t="shared" si="13"/>
        <v/>
      </c>
      <c r="K180" s="241">
        <f>IF(ChemClass="Acid",1/(1+10^(pH.s3-pKa)),IF(ChemClass="Base",1/(1+10^(pKa-pH.s3)),1))</f>
        <v>1</v>
      </c>
      <c r="L180" s="363">
        <f t="shared" si="12"/>
        <v>1</v>
      </c>
      <c r="M180" s="28" t="s">
        <v>292</v>
      </c>
      <c r="N180" s="16"/>
      <c r="O180" s="207"/>
      <c r="P180" s="207"/>
      <c r="Q180" s="11"/>
      <c r="R180" s="11"/>
      <c r="S180"/>
      <c r="T180"/>
      <c r="U180"/>
      <c r="V180"/>
      <c r="W180"/>
      <c r="X180"/>
      <c r="Y180"/>
      <c r="Z180" s="11"/>
      <c r="AA180" s="11"/>
      <c r="AB180" s="11"/>
      <c r="AC180" s="11"/>
      <c r="AD180" s="11"/>
      <c r="AE180" s="11"/>
      <c r="AF180" s="11"/>
      <c r="AG180" s="11"/>
      <c r="AH180" s="11"/>
    </row>
    <row r="181" spans="1:34" s="24" customFormat="1" ht="12.75" customHeight="1" x14ac:dyDescent="0.3">
      <c r="A181" s="16"/>
      <c r="B181" s="16"/>
      <c r="C181" s="16" t="s">
        <v>569</v>
      </c>
      <c r="D181" s="16"/>
      <c r="E181" s="16"/>
      <c r="F181" s="16"/>
      <c r="G181" s="16" t="s">
        <v>570</v>
      </c>
      <c r="H181" s="16" t="s">
        <v>571</v>
      </c>
      <c r="I181" s="478"/>
      <c r="J181" s="472">
        <f>IF(HLOOKUP(CaseName,CaseData,ROW()-2,FALSE)="",IF(ISBLANK(VLOOKUP(ChemName,ChemData,MATCH("Pvap25",substances!$3:$3,FALSE)-1,FALSE)),"",VLOOKUP(ChemName,ChemData,MATCH("Pvap25",substances!$3:$3,FALSE)-1,FALSE)),HLOOKUP(CaseName,CaseData,ROW()-2,FALSE))</f>
        <v>232</v>
      </c>
      <c r="K181" s="347">
        <f>MEDIAN(substances!$H$8)</f>
        <v>232</v>
      </c>
      <c r="L181" s="152">
        <f t="shared" si="12"/>
        <v>232</v>
      </c>
      <c r="M181" s="16" t="s">
        <v>572</v>
      </c>
      <c r="N181" s="16"/>
      <c r="O181" s="207"/>
      <c r="P181" s="207"/>
      <c r="Q181" s="11"/>
      <c r="R181" s="11"/>
      <c r="S181"/>
      <c r="T181"/>
      <c r="U181"/>
      <c r="V181"/>
      <c r="W181"/>
      <c r="X181"/>
      <c r="Y181"/>
      <c r="Z181" s="11"/>
      <c r="AA181" s="11"/>
      <c r="AB181" s="11"/>
      <c r="AC181" s="11"/>
      <c r="AD181" s="11"/>
      <c r="AE181" s="11"/>
      <c r="AF181" s="11"/>
      <c r="AG181" s="11"/>
      <c r="AH181" s="11"/>
    </row>
    <row r="182" spans="1:34" s="24" customFormat="1" ht="12.75" customHeight="1" x14ac:dyDescent="0.3">
      <c r="A182" s="16"/>
      <c r="B182" s="35"/>
      <c r="C182" s="35" t="s">
        <v>573</v>
      </c>
      <c r="D182" s="16"/>
      <c r="E182" s="16"/>
      <c r="F182" s="16"/>
      <c r="G182" s="35" t="s">
        <v>574</v>
      </c>
      <c r="H182" s="35" t="s">
        <v>575</v>
      </c>
      <c r="I182" s="478"/>
      <c r="J182" s="472" t="str">
        <f>IF(HLOOKUP(CaseName,CaseData,ROW()-2,FALSE)="","",HLOOKUP(CaseName,CaseData,ROW()-2,FALSE))</f>
        <v/>
      </c>
      <c r="K182" s="347">
        <f>-3.82*LN(IF(Tm&gt;298,Pvap25*EXP(-6.79*(1-Tm/298)),Pvap25))+70</f>
        <v>46.834690152986369</v>
      </c>
      <c r="L182" s="152">
        <f>IF(ISBLANK(I182),IF(ISNUMBER(J182)=FALSE,K182*1000,J182*1000),I182*1000)</f>
        <v>46834.690152986368</v>
      </c>
      <c r="M182" s="143" t="s">
        <v>576</v>
      </c>
      <c r="N182" s="16"/>
      <c r="O182" s="207"/>
      <c r="P182" s="207"/>
      <c r="Q182" s="11"/>
      <c r="R182" s="11"/>
      <c r="S182"/>
      <c r="T182"/>
      <c r="U182"/>
      <c r="V182"/>
      <c r="W182"/>
      <c r="X182"/>
      <c r="Y182"/>
      <c r="Z182" s="11"/>
      <c r="AA182" s="11"/>
      <c r="AB182" s="11"/>
      <c r="AC182" s="11"/>
      <c r="AD182" s="11"/>
      <c r="AE182" s="11"/>
      <c r="AF182" s="11"/>
      <c r="AG182" s="11"/>
      <c r="AH182" s="11"/>
    </row>
    <row r="183" spans="1:34" s="24" customFormat="1" ht="12.75" customHeight="1" x14ac:dyDescent="0.3">
      <c r="A183" s="16"/>
      <c r="B183" s="35"/>
      <c r="C183" s="35" t="s">
        <v>577</v>
      </c>
      <c r="D183" s="16"/>
      <c r="E183" s="16"/>
      <c r="F183" s="16"/>
      <c r="G183" s="35" t="s">
        <v>578</v>
      </c>
      <c r="H183" s="35" t="s">
        <v>579</v>
      </c>
      <c r="I183" s="478"/>
      <c r="J183" s="472">
        <f>IF(HLOOKUP(CaseName,CaseData,ROW()-2,FALSE)="",IF(ISBLANK(VLOOKUP(ChemName,ChemData,MATCH("Sol25",substances!$3:$3,FALSE)-1,FALSE)),"",VLOOKUP(ChemName,ChemData,MATCH("Sol25",substances!$3:$3,FALSE)-1,FALSE)),HLOOKUP(CaseName,CaseData,ROW()-2,FALSE))</f>
        <v>81.3</v>
      </c>
      <c r="K183" s="347">
        <f>10^(LOG(Kow)*-1.214+0.85)*(Molweight*1000000)</f>
        <v>69.497221916253579</v>
      </c>
      <c r="L183" s="152">
        <f>IF(ISBLANK(I183),IF(ISNUMBER(J183)=FALSE,K183/(1000*Molweight),J183/(1000*Molweight)),I183/(1000*Molweight))</f>
        <v>0.55306122448979589</v>
      </c>
      <c r="M183" s="35" t="s">
        <v>580</v>
      </c>
      <c r="N183" s="16"/>
      <c r="O183" s="207"/>
      <c r="P183" s="207"/>
      <c r="Q183" s="11"/>
      <c r="R183" s="11"/>
      <c r="S183"/>
      <c r="T183"/>
      <c r="U183"/>
      <c r="V183"/>
      <c r="W183"/>
      <c r="X183"/>
      <c r="Y183"/>
      <c r="Z183" s="11"/>
      <c r="AA183" s="11"/>
      <c r="AB183" s="11"/>
      <c r="AC183" s="11"/>
      <c r="AD183" s="11"/>
      <c r="AE183" s="11"/>
      <c r="AF183" s="11"/>
      <c r="AG183" s="11"/>
      <c r="AH183" s="11"/>
    </row>
    <row r="184" spans="1:34" s="24" customFormat="1" ht="12.75" customHeight="1" x14ac:dyDescent="0.3">
      <c r="A184" s="16"/>
      <c r="B184" s="35"/>
      <c r="C184" s="35" t="s">
        <v>581</v>
      </c>
      <c r="D184" s="16"/>
      <c r="E184" s="16"/>
      <c r="F184" s="16"/>
      <c r="G184" s="35" t="s">
        <v>582</v>
      </c>
      <c r="H184" s="35" t="s">
        <v>575</v>
      </c>
      <c r="I184" s="478"/>
      <c r="J184" s="472" t="str">
        <f>IF(HLOOKUP(CaseName,CaseData,ROW()-2,FALSE)="","",HLOOKUP(CaseName,CaseData,ROW()-2,FALSE))</f>
        <v/>
      </c>
      <c r="K184" s="347">
        <v>10</v>
      </c>
      <c r="L184" s="152">
        <f>IF(ISBLANK(I184),IF(ISNUMBER(J184)=FALSE,K184*1000,J184*1000),I184*1000)</f>
        <v>10000</v>
      </c>
      <c r="M184" s="143" t="s">
        <v>576</v>
      </c>
      <c r="N184" s="16"/>
      <c r="O184" s="207"/>
      <c r="P184" s="207"/>
      <c r="Q184" s="11"/>
      <c r="R184" s="11"/>
      <c r="S184"/>
      <c r="T184"/>
      <c r="U184"/>
      <c r="V184"/>
      <c r="W184"/>
      <c r="X184"/>
      <c r="Y184"/>
      <c r="Z184" s="11"/>
      <c r="AA184" s="11"/>
      <c r="AB184" s="11"/>
      <c r="AC184" s="11"/>
      <c r="AD184" s="11"/>
      <c r="AE184" s="11"/>
      <c r="AF184" s="11"/>
      <c r="AG184" s="11"/>
      <c r="AH184" s="11"/>
    </row>
    <row r="185" spans="1:34" s="24" customFormat="1" ht="12.75" customHeight="1" x14ac:dyDescent="0.3">
      <c r="A185" s="16"/>
      <c r="B185" s="16"/>
      <c r="C185" s="16" t="s">
        <v>583</v>
      </c>
      <c r="D185" s="16"/>
      <c r="E185" s="16"/>
      <c r="F185" s="16"/>
      <c r="G185" s="16" t="s">
        <v>584</v>
      </c>
      <c r="H185" s="16" t="s">
        <v>585</v>
      </c>
      <c r="I185" s="481"/>
      <c r="J185" s="472">
        <f>IF(HLOOKUP(CaseName,CaseData,ROW()-2,FALSE)="",IF(ISBLANK(VLOOKUP(ChemName,ChemData,MATCH("Tm",substances!$3:$3,FALSE)-1,FALSE)),"",VLOOKUP(ChemName,ChemData,MATCH("Tm",substances!$3:$3,FALSE)-1,FALSE)),HLOOKUP(CaseName,CaseData,ROW()-2,FALSE))</f>
        <v>52.1</v>
      </c>
      <c r="K185" s="347">
        <f>MEDIAN(substances!$G$8)</f>
        <v>52.1</v>
      </c>
      <c r="L185" s="152">
        <f>IF(ISBLANK(I185),IF(ISNUMBER(J185)=FALSE,K185+273,J185+273),I185+273)</f>
        <v>325.10000000000002</v>
      </c>
      <c r="M185" s="16" t="s">
        <v>586</v>
      </c>
      <c r="N185" s="16"/>
      <c r="O185" s="207"/>
      <c r="P185" s="207"/>
      <c r="Q185" s="11"/>
      <c r="R185" s="11"/>
      <c r="S185"/>
      <c r="T185"/>
      <c r="U185"/>
      <c r="V185"/>
      <c r="W185"/>
      <c r="X185"/>
      <c r="Y185"/>
      <c r="Z185" s="11"/>
      <c r="AA185" s="11"/>
      <c r="AB185" s="11"/>
      <c r="AC185" s="11"/>
      <c r="AD185" s="11"/>
      <c r="AE185" s="11"/>
      <c r="AF185" s="11"/>
      <c r="AG185" s="11"/>
      <c r="AH185" s="11"/>
    </row>
    <row r="186" spans="1:34" s="24" customFormat="1" ht="12.75" customHeight="1" x14ac:dyDescent="0.3">
      <c r="A186" s="211"/>
      <c r="B186" s="211"/>
      <c r="C186" s="211"/>
      <c r="D186" s="211"/>
      <c r="E186" s="211"/>
      <c r="F186" s="211"/>
      <c r="G186" s="211"/>
      <c r="H186" s="211"/>
      <c r="I186" s="464"/>
      <c r="J186" s="456"/>
      <c r="K186" s="368"/>
      <c r="L186" s="368"/>
      <c r="M186" s="211"/>
      <c r="N186" s="211"/>
      <c r="O186" s="207"/>
      <c r="P186" s="207"/>
      <c r="Q186" s="11"/>
      <c r="R186" s="11"/>
      <c r="S186"/>
      <c r="T186"/>
      <c r="U186"/>
      <c r="V186"/>
      <c r="W186"/>
      <c r="X186"/>
      <c r="Y186"/>
      <c r="Z186" s="11"/>
      <c r="AA186" s="11"/>
      <c r="AB186" s="11"/>
      <c r="AC186" s="11"/>
      <c r="AD186" s="11"/>
      <c r="AE186" s="11"/>
      <c r="AF186" s="11"/>
      <c r="AG186" s="11"/>
      <c r="AH186" s="11"/>
    </row>
    <row r="187" spans="1:34" ht="12.75" customHeight="1" x14ac:dyDescent="0.3">
      <c r="A187" s="16"/>
      <c r="B187" s="577" t="s">
        <v>587</v>
      </c>
      <c r="C187" s="578"/>
      <c r="D187" s="578"/>
      <c r="E187" s="578"/>
      <c r="F187" s="578"/>
      <c r="G187" s="579"/>
      <c r="H187" s="496"/>
      <c r="I187" s="461" t="s">
        <v>588</v>
      </c>
      <c r="J187" s="461" t="s">
        <v>589</v>
      </c>
      <c r="K187" s="584" t="s">
        <v>590</v>
      </c>
      <c r="L187" s="584" t="s">
        <v>591</v>
      </c>
      <c r="M187" s="496"/>
      <c r="N187" s="16"/>
      <c r="O187" s="207"/>
      <c r="P187" s="207"/>
      <c r="Q187" s="11"/>
      <c r="R187" s="11"/>
      <c r="Z187" s="11"/>
      <c r="AA187" s="11"/>
      <c r="AB187" s="11"/>
      <c r="AC187" s="11"/>
      <c r="AD187" s="11"/>
      <c r="AE187" s="11"/>
      <c r="AF187" s="11"/>
      <c r="AG187" s="11"/>
      <c r="AH187" s="11"/>
    </row>
    <row r="188" spans="1:34" ht="12.75" customHeight="1" x14ac:dyDescent="0.3">
      <c r="A188" s="16"/>
      <c r="B188" s="16"/>
      <c r="C188" s="35" t="s">
        <v>524</v>
      </c>
      <c r="D188" s="35"/>
      <c r="E188" s="35"/>
      <c r="F188" s="35"/>
      <c r="G188" s="35"/>
      <c r="H188" s="35"/>
      <c r="I188" s="462">
        <f>1.26*Kow^0.81</f>
        <v>769.53792352546407</v>
      </c>
      <c r="J188" s="462">
        <f>1.26*Kow^0.81</f>
        <v>769.53792352546407</v>
      </c>
      <c r="K188" s="585">
        <f>MAX(IF(Pvap25&gt;100000,(100000/_Sol25)/(8.314*298),(Pvap25/_Sol25)/(8.314*298)),1E-20)</f>
        <v>0.16931229237089712</v>
      </c>
      <c r="L188" s="585">
        <f>MAX(IF(Pvap25&gt;100000,(100000/_Sol25)/(8.314*298),(Pvap25/_Sol25)/(8.314*298)),1E-20)</f>
        <v>0.16931229237089712</v>
      </c>
      <c r="M188" s="35" t="s">
        <v>292</v>
      </c>
      <c r="N188" s="16"/>
      <c r="O188" s="207"/>
      <c r="P188" s="207"/>
      <c r="Q188" s="11"/>
      <c r="R188" s="11"/>
      <c r="Z188" s="11"/>
      <c r="AA188" s="11"/>
      <c r="AB188" s="11"/>
      <c r="AC188" s="11"/>
      <c r="AD188" s="11"/>
      <c r="AE188" s="11"/>
      <c r="AF188" s="11"/>
      <c r="AG188" s="11"/>
      <c r="AH188" s="11"/>
    </row>
    <row r="189" spans="1:34" ht="12.75" customHeight="1" x14ac:dyDescent="0.3">
      <c r="A189" s="16"/>
      <c r="B189" s="16"/>
      <c r="C189" s="35" t="s">
        <v>592</v>
      </c>
      <c r="D189" s="35"/>
      <c r="E189" s="35"/>
      <c r="F189" s="35"/>
      <c r="G189" s="35"/>
      <c r="H189" s="35"/>
      <c r="I189" s="462">
        <f>10^(0.54*LOG(Kow)+1.11)</f>
        <v>927.34141263486231</v>
      </c>
      <c r="J189" s="462">
        <f>10^(0.11*LOG(Kow)+1.54)</f>
        <v>82.856502348910112</v>
      </c>
      <c r="K189" s="585">
        <f>MAX(IF(Pvap25&gt;100000,(100000/_Sol25)/(8.314*298),(Pvap25/_Sol25)/(8.314*298)),1E-20)</f>
        <v>0.16931229237089712</v>
      </c>
      <c r="L189" s="585">
        <v>9.9999999999999995E-21</v>
      </c>
      <c r="M189" s="35" t="s">
        <v>292</v>
      </c>
      <c r="N189" s="16"/>
      <c r="O189" s="207"/>
      <c r="P189" s="207"/>
      <c r="Q189" s="11"/>
      <c r="R189" s="11"/>
      <c r="Z189" s="11"/>
      <c r="AA189" s="11"/>
      <c r="AB189" s="11"/>
      <c r="AC189" s="11"/>
      <c r="AD189" s="11"/>
      <c r="AE189" s="11"/>
      <c r="AF189" s="11"/>
      <c r="AG189" s="11"/>
      <c r="AH189" s="11"/>
    </row>
    <row r="190" spans="1:34" ht="12.75" customHeight="1" x14ac:dyDescent="0.3">
      <c r="A190" s="16"/>
      <c r="B190" s="16"/>
      <c r="C190" s="35" t="s">
        <v>593</v>
      </c>
      <c r="D190" s="35"/>
      <c r="E190" s="35"/>
      <c r="F190" s="35"/>
      <c r="G190" s="35"/>
      <c r="H190" s="35"/>
      <c r="I190" s="462">
        <f>10^(0.37*LOG(Kow)+1.7)</f>
        <v>938.75680179030144</v>
      </c>
      <c r="J190" s="462">
        <f>IF(pKa&gt;0,10^(pKa^0.65*(Kow/(1+Kow))^0.14),1)</f>
        <v>3486.1914541195038</v>
      </c>
      <c r="K190" s="585">
        <f>MAX(IF(Pvap25&gt;100000,(100000/_Sol25)/(8.314*298),(Pvap25/_Sol25)/(8.314*298)),1E-20)</f>
        <v>0.16931229237089712</v>
      </c>
      <c r="L190" s="585">
        <v>9.9999999999999995E-21</v>
      </c>
      <c r="M190" s="35" t="s">
        <v>292</v>
      </c>
      <c r="N190" s="16"/>
      <c r="O190" s="207"/>
      <c r="P190" s="207"/>
      <c r="Q190" s="11"/>
      <c r="R190" s="11"/>
      <c r="Z190" s="11"/>
      <c r="AA190" s="11"/>
      <c r="AB190" s="11"/>
      <c r="AC190" s="11"/>
      <c r="AD190" s="11"/>
      <c r="AE190" s="11"/>
      <c r="AF190" s="11"/>
      <c r="AG190" s="11"/>
      <c r="AH190" s="11"/>
    </row>
    <row r="191" spans="1:34" ht="12.75" customHeight="1" x14ac:dyDescent="0.3">
      <c r="A191" s="16"/>
      <c r="B191" s="16"/>
      <c r="C191" s="35" t="s">
        <v>594</v>
      </c>
      <c r="D191" s="35"/>
      <c r="E191" s="35"/>
      <c r="F191" s="35"/>
      <c r="G191" s="35"/>
      <c r="H191" s="35"/>
      <c r="I191" s="462">
        <v>1000</v>
      </c>
      <c r="J191" s="462">
        <v>1000</v>
      </c>
      <c r="K191" s="585">
        <v>9.9999999999999995E-21</v>
      </c>
      <c r="L191" s="585">
        <v>9.9999999999999995E-21</v>
      </c>
      <c r="M191" s="35" t="s">
        <v>292</v>
      </c>
      <c r="N191" s="16"/>
      <c r="O191" s="207"/>
      <c r="P191" s="207"/>
      <c r="Q191" s="11"/>
      <c r="R191" s="11"/>
      <c r="Z191" s="11"/>
      <c r="AA191" s="11"/>
      <c r="AB191" s="11"/>
      <c r="AC191" s="11"/>
      <c r="AD191" s="11"/>
      <c r="AE191" s="11"/>
      <c r="AF191" s="11"/>
      <c r="AG191" s="11"/>
      <c r="AH191" s="11"/>
    </row>
    <row r="192" spans="1:34" ht="12.75" customHeight="1" x14ac:dyDescent="0.3">
      <c r="A192" s="16"/>
      <c r="B192" s="16"/>
      <c r="C192" s="35" t="s">
        <v>595</v>
      </c>
      <c r="D192" s="35"/>
      <c r="E192" s="35"/>
      <c r="F192" s="35"/>
      <c r="G192" s="35"/>
      <c r="H192" s="35"/>
      <c r="I192" s="462">
        <v>1000</v>
      </c>
      <c r="J192" s="462">
        <v>1000</v>
      </c>
      <c r="K192" s="585">
        <v>9.9999999999999995E-21</v>
      </c>
      <c r="L192" s="585">
        <v>9.9999999999999995E-21</v>
      </c>
      <c r="M192" s="35" t="s">
        <v>292</v>
      </c>
      <c r="N192" s="16"/>
      <c r="O192" s="207"/>
      <c r="P192" s="207"/>
      <c r="Q192" s="11"/>
      <c r="R192" s="11"/>
      <c r="Z192" s="11"/>
      <c r="AA192" s="11"/>
      <c r="AB192" s="11"/>
      <c r="AC192" s="11"/>
      <c r="AD192" s="11"/>
      <c r="AE192" s="11"/>
      <c r="AF192" s="11"/>
      <c r="AG192" s="11"/>
      <c r="AH192" s="11"/>
    </row>
    <row r="193" spans="1:18" ht="12.75" customHeight="1" x14ac:dyDescent="0.3">
      <c r="A193" s="16"/>
      <c r="B193" s="16"/>
      <c r="C193" s="35" t="s">
        <v>596</v>
      </c>
      <c r="D193" s="35"/>
      <c r="E193" s="35"/>
      <c r="F193" s="35"/>
      <c r="G193" s="35"/>
      <c r="H193" s="35"/>
      <c r="I193" s="462">
        <f>1.26*Kow^0.81</f>
        <v>769.53792352546407</v>
      </c>
      <c r="J193" s="462">
        <f>1.26*Kow^0.81</f>
        <v>769.53792352546407</v>
      </c>
      <c r="K193" s="585">
        <f t="shared" ref="K193:L211" si="14">MAX(IF(Pvap25&gt;100000,(100000/_Sol25)/(8.314*298),(Pvap25/_Sol25)/(8.314*298)),1E-20)</f>
        <v>0.16931229237089712</v>
      </c>
      <c r="L193" s="585">
        <f t="shared" si="14"/>
        <v>0.16931229237089712</v>
      </c>
      <c r="M193" s="35" t="s">
        <v>292</v>
      </c>
      <c r="N193" s="16"/>
      <c r="O193" s="207"/>
      <c r="P193" s="207"/>
      <c r="Q193" s="11"/>
      <c r="R193" s="11"/>
    </row>
    <row r="194" spans="1:18" ht="12.75" customHeight="1" x14ac:dyDescent="0.3">
      <c r="A194" s="16"/>
      <c r="B194" s="16"/>
      <c r="C194" s="35" t="s">
        <v>597</v>
      </c>
      <c r="D194" s="35"/>
      <c r="E194" s="35"/>
      <c r="F194" s="35"/>
      <c r="G194" s="35"/>
      <c r="H194" s="35"/>
      <c r="I194" s="462">
        <f>10.47*Kow^0.52</f>
        <v>643.2794569342941</v>
      </c>
      <c r="J194" s="462">
        <f>10.47*Kow^0.52</f>
        <v>643.2794569342941</v>
      </c>
      <c r="K194" s="585">
        <f t="shared" si="14"/>
        <v>0.16931229237089712</v>
      </c>
      <c r="L194" s="585">
        <f t="shared" si="14"/>
        <v>0.16931229237089712</v>
      </c>
      <c r="M194" s="35" t="s">
        <v>292</v>
      </c>
      <c r="N194" s="16"/>
      <c r="O194" s="207"/>
      <c r="P194" s="207"/>
      <c r="Q194" s="11"/>
      <c r="R194" s="11"/>
    </row>
    <row r="195" spans="1:18" ht="12.75" customHeight="1" x14ac:dyDescent="0.3">
      <c r="A195" s="16"/>
      <c r="B195" s="16"/>
      <c r="C195" s="35" t="s">
        <v>598</v>
      </c>
      <c r="D195" s="35"/>
      <c r="E195" s="35"/>
      <c r="F195" s="35"/>
      <c r="G195" s="35"/>
      <c r="H195" s="35"/>
      <c r="I195" s="462">
        <f>7.94*Kow^0.63</f>
        <v>1165.735707627505</v>
      </c>
      <c r="J195" s="462">
        <f>7.94*Kow^0.63</f>
        <v>1165.735707627505</v>
      </c>
      <c r="K195" s="585">
        <f t="shared" si="14"/>
        <v>0.16931229237089712</v>
      </c>
      <c r="L195" s="585">
        <f t="shared" si="14"/>
        <v>0.16931229237089712</v>
      </c>
      <c r="M195" s="35" t="s">
        <v>292</v>
      </c>
      <c r="N195" s="16"/>
      <c r="O195" s="207"/>
      <c r="P195" s="207"/>
      <c r="Q195" s="11"/>
      <c r="R195" s="11"/>
    </row>
    <row r="196" spans="1:18" ht="12.75" customHeight="1" x14ac:dyDescent="0.3">
      <c r="A196" s="16"/>
      <c r="B196" s="16"/>
      <c r="C196" s="35" t="s">
        <v>599</v>
      </c>
      <c r="D196" s="35"/>
      <c r="E196" s="35"/>
      <c r="F196" s="35"/>
      <c r="G196" s="35"/>
      <c r="H196" s="35"/>
      <c r="I196" s="462">
        <f>12.3*Kow^0.47</f>
        <v>508.61770925213585</v>
      </c>
      <c r="J196" s="462">
        <f>12.3*Kow^0.47</f>
        <v>508.61770925213585</v>
      </c>
      <c r="K196" s="585">
        <f t="shared" si="14"/>
        <v>0.16931229237089712</v>
      </c>
      <c r="L196" s="585">
        <f t="shared" si="14"/>
        <v>0.16931229237089712</v>
      </c>
      <c r="M196" s="35" t="s">
        <v>292</v>
      </c>
      <c r="N196" s="16"/>
      <c r="O196" s="207"/>
      <c r="P196" s="207"/>
      <c r="Q196" s="11"/>
      <c r="R196" s="11"/>
    </row>
    <row r="197" spans="1:18" ht="12.75" customHeight="1" x14ac:dyDescent="0.3">
      <c r="A197" s="16"/>
      <c r="B197" s="16"/>
      <c r="C197" s="35" t="s">
        <v>600</v>
      </c>
      <c r="D197" s="35"/>
      <c r="E197" s="35"/>
      <c r="F197" s="35"/>
      <c r="G197" s="35"/>
      <c r="H197" s="35"/>
      <c r="I197" s="462">
        <f>3.16*Kow^0.47</f>
        <v>130.66926514119913</v>
      </c>
      <c r="J197" s="462">
        <f>3.16*Kow^0.47</f>
        <v>130.66926514119913</v>
      </c>
      <c r="K197" s="585">
        <f t="shared" si="14"/>
        <v>0.16931229237089712</v>
      </c>
      <c r="L197" s="585">
        <f t="shared" si="14"/>
        <v>0.16931229237089712</v>
      </c>
      <c r="M197" s="35" t="s">
        <v>292</v>
      </c>
      <c r="N197" s="16"/>
      <c r="O197" s="207"/>
      <c r="P197" s="207"/>
      <c r="Q197" s="11"/>
      <c r="R197" s="11"/>
    </row>
    <row r="198" spans="1:18" ht="12.75" customHeight="1" x14ac:dyDescent="0.3">
      <c r="A198" s="16"/>
      <c r="B198" s="16"/>
      <c r="C198" s="35" t="s">
        <v>601</v>
      </c>
      <c r="D198" s="35"/>
      <c r="E198" s="35"/>
      <c r="F198" s="35"/>
      <c r="G198" s="35"/>
      <c r="H198" s="35"/>
      <c r="I198" s="462">
        <f>13.18*Kow^0.4</f>
        <v>313.07507103312889</v>
      </c>
      <c r="J198" s="462">
        <f>13.18*Kow^0.4</f>
        <v>313.07507103312889</v>
      </c>
      <c r="K198" s="585">
        <f t="shared" si="14"/>
        <v>0.16931229237089712</v>
      </c>
      <c r="L198" s="585">
        <f t="shared" si="14"/>
        <v>0.16931229237089712</v>
      </c>
      <c r="M198" s="35" t="s">
        <v>292</v>
      </c>
      <c r="N198" s="16"/>
      <c r="O198" s="207"/>
      <c r="P198" s="207"/>
      <c r="Q198" s="11"/>
      <c r="R198" s="11"/>
    </row>
    <row r="199" spans="1:18" ht="12.75" customHeight="1" x14ac:dyDescent="0.3">
      <c r="A199" s="16"/>
      <c r="B199" s="16"/>
      <c r="C199" s="35" t="s">
        <v>602</v>
      </c>
      <c r="D199" s="35"/>
      <c r="E199" s="35"/>
      <c r="F199" s="35"/>
      <c r="G199" s="35"/>
      <c r="H199" s="35"/>
      <c r="I199" s="462">
        <f>3.16*Kow^0.39</f>
        <v>69.346865117672706</v>
      </c>
      <c r="J199" s="462">
        <f>3.16*Kow^0.39</f>
        <v>69.346865117672706</v>
      </c>
      <c r="K199" s="585">
        <f t="shared" si="14"/>
        <v>0.16931229237089712</v>
      </c>
      <c r="L199" s="585">
        <f t="shared" si="14"/>
        <v>0.16931229237089712</v>
      </c>
      <c r="M199" s="35" t="s">
        <v>292</v>
      </c>
      <c r="N199" s="16"/>
      <c r="O199" s="207"/>
      <c r="P199" s="207"/>
      <c r="Q199" s="11"/>
      <c r="R199" s="11"/>
    </row>
    <row r="200" spans="1:18" ht="12.75" customHeight="1" x14ac:dyDescent="0.3">
      <c r="A200" s="16"/>
      <c r="B200" s="16"/>
      <c r="C200" s="35" t="s">
        <v>603</v>
      </c>
      <c r="D200" s="35"/>
      <c r="E200" s="35"/>
      <c r="F200" s="35"/>
      <c r="G200" s="35"/>
      <c r="H200" s="35"/>
      <c r="I200" s="462">
        <f>17.78*Kow^0.33</f>
        <v>242.61159085428193</v>
      </c>
      <c r="J200" s="462">
        <f>17.78*Kow^0.33</f>
        <v>242.61159085428193</v>
      </c>
      <c r="K200" s="585">
        <f t="shared" si="14"/>
        <v>0.16931229237089712</v>
      </c>
      <c r="L200" s="585">
        <f t="shared" si="14"/>
        <v>0.16931229237089712</v>
      </c>
      <c r="M200" s="35" t="s">
        <v>292</v>
      </c>
      <c r="N200" s="16"/>
      <c r="O200" s="207"/>
      <c r="P200" s="207"/>
      <c r="Q200" s="11"/>
      <c r="R200" s="11"/>
    </row>
    <row r="201" spans="1:18" ht="12.75" customHeight="1" x14ac:dyDescent="0.3">
      <c r="A201" s="16"/>
      <c r="B201" s="16"/>
      <c r="C201" s="35" t="s">
        <v>604</v>
      </c>
      <c r="D201" s="35"/>
      <c r="E201" s="35"/>
      <c r="F201" s="35"/>
      <c r="G201" s="35"/>
      <c r="H201" s="35"/>
      <c r="I201" s="462">
        <f>7.08*Kow^0.62</f>
        <v>960.32785896760947</v>
      </c>
      <c r="J201" s="462">
        <f>7.08*Kow^0.62</f>
        <v>960.32785896760947</v>
      </c>
      <c r="K201" s="585">
        <f t="shared" si="14"/>
        <v>0.16931229237089712</v>
      </c>
      <c r="L201" s="585">
        <f t="shared" si="14"/>
        <v>0.16931229237089712</v>
      </c>
      <c r="M201" s="35" t="s">
        <v>292</v>
      </c>
      <c r="N201" s="16"/>
      <c r="O201" s="207"/>
      <c r="P201" s="207"/>
      <c r="Q201" s="11"/>
      <c r="R201" s="11"/>
    </row>
    <row r="202" spans="1:18" ht="12.75" customHeight="1" x14ac:dyDescent="0.3">
      <c r="A202" s="16"/>
      <c r="B202" s="16"/>
      <c r="C202" s="35" t="s">
        <v>605</v>
      </c>
      <c r="D202" s="35"/>
      <c r="E202" s="35"/>
      <c r="F202" s="35"/>
      <c r="G202" s="35"/>
      <c r="H202" s="35"/>
      <c r="I202" s="462">
        <f>13.8*Kow^0.37</f>
        <v>258.48311759553962</v>
      </c>
      <c r="J202" s="462">
        <f>13.8*Kow^0.37</f>
        <v>258.48311759553962</v>
      </c>
      <c r="K202" s="585">
        <f t="shared" si="14"/>
        <v>0.16931229237089712</v>
      </c>
      <c r="L202" s="585">
        <f t="shared" si="14"/>
        <v>0.16931229237089712</v>
      </c>
      <c r="M202" s="35" t="s">
        <v>292</v>
      </c>
      <c r="N202" s="16"/>
      <c r="O202" s="207"/>
      <c r="P202" s="207"/>
      <c r="Q202" s="11"/>
      <c r="R202" s="11"/>
    </row>
    <row r="203" spans="1:18" ht="12.75" customHeight="1" x14ac:dyDescent="0.3">
      <c r="A203" s="16"/>
      <c r="B203" s="16"/>
      <c r="C203" s="35" t="s">
        <v>606</v>
      </c>
      <c r="D203" s="35"/>
      <c r="E203" s="35"/>
      <c r="F203" s="35"/>
      <c r="G203" s="35"/>
      <c r="H203" s="35"/>
      <c r="I203" s="462">
        <f>83.18*Kow^0.38</f>
        <v>1686.4184297860957</v>
      </c>
      <c r="J203" s="462">
        <f>83.18*Kow^0.38</f>
        <v>1686.4184297860957</v>
      </c>
      <c r="K203" s="585">
        <f t="shared" si="14"/>
        <v>0.16931229237089712</v>
      </c>
      <c r="L203" s="585">
        <f t="shared" si="14"/>
        <v>0.16931229237089712</v>
      </c>
      <c r="M203" s="35" t="s">
        <v>292</v>
      </c>
      <c r="N203" s="16"/>
      <c r="O203" s="207"/>
      <c r="P203" s="207"/>
      <c r="Q203" s="11"/>
      <c r="R203" s="11"/>
    </row>
    <row r="204" spans="1:18" ht="12.75" customHeight="1" x14ac:dyDescent="0.3">
      <c r="A204" s="16"/>
      <c r="B204" s="16"/>
      <c r="C204" s="35" t="s">
        <v>607</v>
      </c>
      <c r="D204" s="35"/>
      <c r="E204" s="35"/>
      <c r="F204" s="35"/>
      <c r="G204" s="35"/>
      <c r="H204" s="35"/>
      <c r="I204" s="462">
        <f>11.22*Kow^0.49</f>
        <v>543.58301344015683</v>
      </c>
      <c r="J204" s="462">
        <f>11.22*Kow^0.49</f>
        <v>543.58301344015683</v>
      </c>
      <c r="K204" s="585">
        <f t="shared" si="14"/>
        <v>0.16931229237089712</v>
      </c>
      <c r="L204" s="585">
        <f t="shared" si="14"/>
        <v>0.16931229237089712</v>
      </c>
      <c r="M204" s="35" t="s">
        <v>292</v>
      </c>
      <c r="N204" s="16"/>
      <c r="O204" s="207"/>
      <c r="P204" s="207"/>
      <c r="Q204" s="11"/>
      <c r="R204" s="11"/>
    </row>
    <row r="205" spans="1:18" ht="12.75" customHeight="1" x14ac:dyDescent="0.3">
      <c r="A205" s="16"/>
      <c r="B205" s="16"/>
      <c r="C205" s="35" t="s">
        <v>608</v>
      </c>
      <c r="D205" s="35"/>
      <c r="E205" s="35"/>
      <c r="F205" s="35"/>
      <c r="G205" s="35"/>
      <c r="H205" s="35"/>
      <c r="I205" s="462">
        <f>3.55*Kow^0.77</f>
        <v>1579.4814410691051</v>
      </c>
      <c r="J205" s="462">
        <f>3.55*Kow^0.77</f>
        <v>1579.4814410691051</v>
      </c>
      <c r="K205" s="585">
        <f t="shared" si="14"/>
        <v>0.16931229237089712</v>
      </c>
      <c r="L205" s="585">
        <f t="shared" si="14"/>
        <v>0.16931229237089712</v>
      </c>
      <c r="M205" s="35" t="s">
        <v>292</v>
      </c>
      <c r="N205" s="16"/>
      <c r="O205" s="207"/>
      <c r="P205" s="207"/>
      <c r="Q205" s="11"/>
      <c r="R205" s="11"/>
    </row>
    <row r="206" spans="1:18" ht="12.75" customHeight="1" x14ac:dyDescent="0.3">
      <c r="A206" s="16"/>
      <c r="B206" s="16"/>
      <c r="C206" s="35" t="s">
        <v>609</v>
      </c>
      <c r="D206" s="35"/>
      <c r="E206" s="35"/>
      <c r="F206" s="35"/>
      <c r="G206" s="35"/>
      <c r="H206" s="35"/>
      <c r="I206" s="462">
        <f>2.09*Kow^0.6</f>
        <v>241.96129621570552</v>
      </c>
      <c r="J206" s="462">
        <f>2.09*Kow^0.6</f>
        <v>241.96129621570552</v>
      </c>
      <c r="K206" s="585">
        <f t="shared" si="14"/>
        <v>0.16931229237089712</v>
      </c>
      <c r="L206" s="585">
        <f t="shared" si="14"/>
        <v>0.16931229237089712</v>
      </c>
      <c r="M206" s="35" t="s">
        <v>292</v>
      </c>
      <c r="N206" s="16"/>
      <c r="O206" s="207"/>
      <c r="P206" s="207"/>
      <c r="Q206" s="11"/>
      <c r="R206" s="11"/>
    </row>
    <row r="207" spans="1:18" ht="12.75" customHeight="1" x14ac:dyDescent="0.3">
      <c r="A207" s="16"/>
      <c r="B207" s="16"/>
      <c r="C207" s="35" t="s">
        <v>610</v>
      </c>
      <c r="D207" s="35"/>
      <c r="E207" s="35"/>
      <c r="F207" s="35"/>
      <c r="G207" s="35"/>
      <c r="H207" s="35"/>
      <c r="I207" s="462">
        <f>12.02*Kow^0.57</f>
        <v>1097.2967759034573</v>
      </c>
      <c r="J207" s="462">
        <f>12.02*Kow^0.57</f>
        <v>1097.2967759034573</v>
      </c>
      <c r="K207" s="585">
        <f t="shared" si="14"/>
        <v>0.16931229237089712</v>
      </c>
      <c r="L207" s="585">
        <f t="shared" si="14"/>
        <v>0.16931229237089712</v>
      </c>
      <c r="M207" s="35" t="s">
        <v>292</v>
      </c>
      <c r="N207" s="16"/>
      <c r="O207" s="207"/>
      <c r="P207" s="207"/>
      <c r="Q207" s="11"/>
      <c r="R207" s="11"/>
    </row>
    <row r="208" spans="1:18" ht="12.75" customHeight="1" x14ac:dyDescent="0.3">
      <c r="A208" s="16"/>
      <c r="B208" s="16"/>
      <c r="C208" s="35" t="s">
        <v>611</v>
      </c>
      <c r="D208" s="35"/>
      <c r="E208" s="35"/>
      <c r="F208" s="35"/>
      <c r="G208" s="35"/>
      <c r="H208" s="35"/>
      <c r="I208" s="462">
        <f>11.22*Kow^0.49</f>
        <v>543.58301344015683</v>
      </c>
      <c r="J208" s="462">
        <f>11.22*Kow^0.49</f>
        <v>543.58301344015683</v>
      </c>
      <c r="K208" s="585">
        <f t="shared" si="14"/>
        <v>0.16931229237089712</v>
      </c>
      <c r="L208" s="585">
        <f t="shared" si="14"/>
        <v>0.16931229237089712</v>
      </c>
      <c r="M208" s="35" t="s">
        <v>292</v>
      </c>
      <c r="N208" s="16"/>
      <c r="O208" s="207"/>
      <c r="P208" s="207"/>
      <c r="Q208" s="11"/>
      <c r="R208" s="11"/>
    </row>
    <row r="209" spans="1:34" ht="12.75" customHeight="1" x14ac:dyDescent="0.3">
      <c r="A209" s="16"/>
      <c r="B209" s="16"/>
      <c r="C209" s="35" t="s">
        <v>612</v>
      </c>
      <c r="D209" s="35"/>
      <c r="E209" s="35"/>
      <c r="F209" s="35"/>
      <c r="G209" s="35"/>
      <c r="H209" s="35"/>
      <c r="I209" s="462">
        <f>14.79*Kow^0.49</f>
        <v>716.54124498929764</v>
      </c>
      <c r="J209" s="462">
        <f>14.79*Kow^0.49</f>
        <v>716.54124498929764</v>
      </c>
      <c r="K209" s="585">
        <f t="shared" si="14"/>
        <v>0.16931229237089712</v>
      </c>
      <c r="L209" s="585">
        <f t="shared" si="14"/>
        <v>0.16931229237089712</v>
      </c>
      <c r="M209" s="35" t="s">
        <v>292</v>
      </c>
      <c r="N209" s="16"/>
      <c r="O209" s="207"/>
      <c r="P209" s="207"/>
      <c r="Q209" s="11"/>
      <c r="R209" s="11"/>
      <c r="Z209" s="11"/>
      <c r="AA209" s="11"/>
      <c r="AB209" s="11"/>
      <c r="AC209" s="11"/>
      <c r="AD209" s="11"/>
      <c r="AE209" s="11"/>
      <c r="AF209" s="11"/>
      <c r="AG209" s="11"/>
      <c r="AH209" s="11"/>
    </row>
    <row r="210" spans="1:34" ht="12.75" customHeight="1" x14ac:dyDescent="0.3">
      <c r="A210" s="16"/>
      <c r="B210" s="16"/>
      <c r="C210" s="35" t="s">
        <v>613</v>
      </c>
      <c r="D210" s="35"/>
      <c r="E210" s="35"/>
      <c r="F210" s="35"/>
      <c r="G210" s="35"/>
      <c r="H210" s="35"/>
      <c r="I210" s="462">
        <f>31.62*Kow^0.3</f>
        <v>340.22143634317268</v>
      </c>
      <c r="J210" s="462">
        <f>31.62*Kow^0.3</f>
        <v>340.22143634317268</v>
      </c>
      <c r="K210" s="585">
        <f t="shared" si="14"/>
        <v>0.16931229237089712</v>
      </c>
      <c r="L210" s="585">
        <f t="shared" si="14"/>
        <v>0.16931229237089712</v>
      </c>
      <c r="M210" s="35" t="s">
        <v>292</v>
      </c>
      <c r="N210" s="16"/>
      <c r="O210" s="207"/>
      <c r="P210" s="207"/>
      <c r="Q210" s="11"/>
      <c r="R210" s="11"/>
      <c r="Z210" s="11"/>
      <c r="AA210" s="11"/>
      <c r="AB210" s="11"/>
      <c r="AC210" s="11"/>
      <c r="AD210" s="11"/>
      <c r="AE210" s="11"/>
      <c r="AF210" s="11"/>
      <c r="AG210" s="11"/>
      <c r="AH210" s="11"/>
    </row>
    <row r="211" spans="1:34" ht="12.75" customHeight="1" x14ac:dyDescent="0.3">
      <c r="A211" s="16"/>
      <c r="B211" s="16"/>
      <c r="C211" s="496" t="s">
        <v>614</v>
      </c>
      <c r="D211" s="496"/>
      <c r="E211" s="496"/>
      <c r="F211" s="496"/>
      <c r="G211" s="496"/>
      <c r="H211" s="496"/>
      <c r="I211" s="463">
        <f>25.7*Kow^0.47</f>
        <v>1062.7215551040561</v>
      </c>
      <c r="J211" s="463">
        <f>25.7*Kow^0.47</f>
        <v>1062.7215551040561</v>
      </c>
      <c r="K211" s="586">
        <f t="shared" si="14"/>
        <v>0.16931229237089712</v>
      </c>
      <c r="L211" s="586">
        <f t="shared" si="14"/>
        <v>0.16931229237089712</v>
      </c>
      <c r="M211" s="496" t="s">
        <v>292</v>
      </c>
      <c r="N211" s="16"/>
      <c r="O211" s="207"/>
      <c r="P211" s="207"/>
      <c r="Q211" s="11"/>
      <c r="R211" s="11"/>
      <c r="Z211" s="11"/>
      <c r="AA211" s="11"/>
      <c r="AB211" s="11"/>
      <c r="AC211" s="11"/>
      <c r="AD211" s="11"/>
      <c r="AE211" s="11"/>
      <c r="AF211" s="11"/>
      <c r="AG211" s="11"/>
      <c r="AH211" s="11"/>
    </row>
    <row r="212" spans="1:34" ht="12.75" customHeight="1" x14ac:dyDescent="0.3">
      <c r="A212" s="16"/>
      <c r="B212" s="16"/>
      <c r="C212" s="16"/>
      <c r="D212" s="16"/>
      <c r="E212" s="16"/>
      <c r="F212" s="16"/>
      <c r="G212" s="16"/>
      <c r="H212" s="30"/>
      <c r="I212" s="359"/>
      <c r="J212" s="160"/>
      <c r="K212" s="160"/>
      <c r="L212" s="161"/>
      <c r="M212" s="16"/>
      <c r="N212" s="16"/>
      <c r="O212" s="207"/>
      <c r="P212" s="207"/>
      <c r="Q212" s="11"/>
      <c r="R212" s="11"/>
      <c r="Z212" s="11"/>
      <c r="AA212" s="11"/>
      <c r="AB212" s="11"/>
      <c r="AC212" s="11"/>
      <c r="AD212" s="11"/>
      <c r="AE212" s="11"/>
      <c r="AF212" s="11"/>
      <c r="AG212" s="11"/>
      <c r="AH212" s="11"/>
    </row>
    <row r="213" spans="1:34" s="24" customFormat="1" ht="12.75" customHeight="1" x14ac:dyDescent="0.3">
      <c r="A213" s="16"/>
      <c r="B213" s="35" t="s">
        <v>615</v>
      </c>
      <c r="C213" s="16"/>
      <c r="D213" s="143"/>
      <c r="E213" s="16"/>
      <c r="F213" s="16"/>
      <c r="G213" s="143" t="s">
        <v>616</v>
      </c>
      <c r="H213" s="35" t="s">
        <v>617</v>
      </c>
      <c r="I213" s="358"/>
      <c r="J213" s="476">
        <f>IF(HLOOKUP(CaseName,CaseData,MATCH($G213,cases!$G$3:$G$1259,0)-1,FALSE)="",IF(ISBLANK(VLOOKUP(ChemName,ChemData,MATCH(G213,substances!$3:$3,FALSE)-1,FALSE)),"",VLOOKUP(ChemName,ChemData,MATCH(G213,substances!$3:$3,FALSE)-1,FALSE)),HLOOKUP(CaseName,CaseData,MATCH($G213,cases!$G$3:$G$1259,0)-1,FALSE))</f>
        <v>2.3999999999999998E-7</v>
      </c>
      <c r="K213" s="347">
        <f>C.OHrad*k0.OHrad*EXP(-Ea.OHrad/(8.314*298))</f>
        <v>3.5063474584268925E-6</v>
      </c>
      <c r="L213" s="152">
        <f>IF(ISBLANK(I213), IF(ISNUMBER(J213)=FALSE, K213, J213), I213)</f>
        <v>2.3999999999999998E-7</v>
      </c>
      <c r="M213" s="35" t="s">
        <v>336</v>
      </c>
      <c r="N213" s="16"/>
      <c r="O213" s="207"/>
      <c r="P213" s="207"/>
      <c r="Q213" s="11"/>
      <c r="R213" s="11"/>
      <c r="S213"/>
      <c r="T213"/>
      <c r="U213"/>
      <c r="V213"/>
      <c r="W213"/>
      <c r="X213"/>
      <c r="Y213"/>
      <c r="Z213" s="11"/>
      <c r="AA213" s="11"/>
      <c r="AB213" s="11"/>
      <c r="AC213" s="11"/>
      <c r="AD213" s="11"/>
      <c r="AE213" s="11"/>
      <c r="AF213" s="11"/>
      <c r="AG213" s="11"/>
      <c r="AH213" s="11"/>
    </row>
    <row r="214" spans="1:34" s="24" customFormat="1" ht="12.75" customHeight="1" x14ac:dyDescent="0.3">
      <c r="A214" s="35"/>
      <c r="B214" s="16"/>
      <c r="C214" s="35" t="s">
        <v>618</v>
      </c>
      <c r="D214" s="16"/>
      <c r="E214" s="16"/>
      <c r="F214" s="16"/>
      <c r="G214" s="35" t="s">
        <v>619</v>
      </c>
      <c r="H214" s="35" t="s">
        <v>620</v>
      </c>
      <c r="I214" s="358"/>
      <c r="J214" s="476" t="str">
        <f>IF(HLOOKUP(CaseName,CaseData,MATCH($G214,cases!$G$3:$G$1259,0)-1,FALSE)="","",HLOOKUP(CaseName,CaseData,MATCH($G214,cases!$G$3:$G$1259,0)-1,FALSE))</f>
        <v/>
      </c>
      <c r="K214" s="347">
        <v>500000</v>
      </c>
      <c r="L214" s="152">
        <f>IF(ISBLANK(I214), IF(ISNUMBER(J214)=FALSE, K214, J214), I214)</f>
        <v>500000</v>
      </c>
      <c r="M214" s="35" t="s">
        <v>621</v>
      </c>
      <c r="N214" s="16"/>
      <c r="O214" s="207"/>
      <c r="P214" s="207"/>
      <c r="Q214" s="11"/>
      <c r="R214" s="11"/>
      <c r="S214"/>
      <c r="T214"/>
      <c r="U214"/>
      <c r="V214"/>
      <c r="W214"/>
      <c r="X214"/>
      <c r="Y214"/>
      <c r="Z214" s="11"/>
      <c r="AA214" s="11"/>
      <c r="AB214" s="11"/>
      <c r="AC214" s="11"/>
      <c r="AD214" s="11"/>
      <c r="AE214" s="11"/>
      <c r="AF214" s="11"/>
      <c r="AG214" s="11"/>
      <c r="AH214" s="11"/>
    </row>
    <row r="215" spans="1:34" s="24" customFormat="1" ht="12.75" customHeight="1" x14ac:dyDescent="0.3">
      <c r="A215" s="35"/>
      <c r="B215" s="16"/>
      <c r="C215" s="35" t="s">
        <v>622</v>
      </c>
      <c r="D215" s="16"/>
      <c r="E215" s="16"/>
      <c r="F215" s="16"/>
      <c r="G215" s="35" t="s">
        <v>623</v>
      </c>
      <c r="H215" s="35" t="s">
        <v>624</v>
      </c>
      <c r="I215" s="358"/>
      <c r="J215" s="476" t="str">
        <f>IF(HLOOKUP(CaseName,CaseData,MATCH($G215,cases!$G$3:$G$1259,0)-1,FALSE)="","",HLOOKUP(CaseName,CaseData,MATCH($G215,cases!$G$3:$G$1259,0)-1,FALSE))</f>
        <v/>
      </c>
      <c r="K215" s="347">
        <v>7.8999999999999999E-11</v>
      </c>
      <c r="L215" s="152">
        <f>IF(ISBLANK(I215), IF(ISNUMBER(J215)=FALSE, K215, J215), I215)</f>
        <v>7.8999999999999999E-11</v>
      </c>
      <c r="M215" s="35" t="s">
        <v>625</v>
      </c>
      <c r="N215" s="16"/>
      <c r="O215" s="207"/>
      <c r="P215" s="207"/>
      <c r="Q215" s="11"/>
      <c r="R215" s="11"/>
      <c r="S215"/>
      <c r="T215"/>
      <c r="U215"/>
      <c r="V215"/>
      <c r="W215"/>
      <c r="X215"/>
      <c r="Y215"/>
      <c r="Z215" s="11"/>
      <c r="AA215" s="11"/>
      <c r="AB215" s="11"/>
      <c r="AC215" s="11"/>
      <c r="AD215" s="11"/>
      <c r="AE215" s="11"/>
      <c r="AF215" s="11"/>
      <c r="AG215" s="11"/>
      <c r="AH215" s="11"/>
    </row>
    <row r="216" spans="1:34" s="24" customFormat="1" ht="12.75" customHeight="1" x14ac:dyDescent="0.3">
      <c r="A216" s="35"/>
      <c r="B216" s="16"/>
      <c r="C216" s="35" t="s">
        <v>626</v>
      </c>
      <c r="D216" s="16"/>
      <c r="E216" s="16"/>
      <c r="F216" s="16"/>
      <c r="G216" s="35" t="s">
        <v>627</v>
      </c>
      <c r="H216" s="35" t="s">
        <v>628</v>
      </c>
      <c r="I216" s="358"/>
      <c r="J216" s="476" t="str">
        <f>IF(HLOOKUP(CaseName,CaseData,MATCH($G216,cases!$G$3:$G$1259,0)-1,FALSE)="","",HLOOKUP(CaseName,CaseData,MATCH($G216,cases!$G$3:$G$1259,0)-1,FALSE))</f>
        <v/>
      </c>
      <c r="K216" s="347">
        <v>6</v>
      </c>
      <c r="L216" s="152">
        <f>IF(ISBLANK(I216),IF(ISNUMBER(J216)=FALSE,K216*1000,J216*1000),I216*1000)</f>
        <v>6000</v>
      </c>
      <c r="M216" s="35" t="s">
        <v>576</v>
      </c>
      <c r="N216" s="16"/>
      <c r="O216" s="207"/>
      <c r="P216" s="207"/>
      <c r="Q216" s="11"/>
      <c r="R216" s="11"/>
      <c r="S216"/>
      <c r="T216"/>
      <c r="U216"/>
      <c r="V216"/>
      <c r="W216"/>
      <c r="X216"/>
      <c r="Y216"/>
      <c r="Z216" s="11"/>
      <c r="AA216" s="11"/>
      <c r="AB216" s="11"/>
      <c r="AC216" s="11"/>
      <c r="AD216" s="11"/>
      <c r="AE216" s="11"/>
      <c r="AF216" s="11"/>
      <c r="AG216" s="11"/>
      <c r="AH216" s="11"/>
    </row>
    <row r="217" spans="1:34" s="24" customFormat="1" ht="12.75" customHeight="1" x14ac:dyDescent="0.3">
      <c r="A217" s="16"/>
      <c r="B217" s="35" t="s">
        <v>629</v>
      </c>
      <c r="C217" s="16"/>
      <c r="D217" s="143"/>
      <c r="E217" s="16"/>
      <c r="F217" s="16"/>
      <c r="G217" s="143" t="s">
        <v>630</v>
      </c>
      <c r="H217" s="35" t="s">
        <v>617</v>
      </c>
      <c r="I217" s="358"/>
      <c r="J217" s="476">
        <f>IF(HLOOKUP(CaseName,CaseData,MATCH($G217,cases!$G$3:$G$1259,0)-1,FALSE)="",IF(ISBLANK(VLOOKUP(ChemName,ChemData,MATCH(G217,substances!$3:$3,FALSE)-1,FALSE)),"",VLOOKUP(ChemName,ChemData,MATCH(G217,substances!$3:$3,FALSE)-1,FALSE)),HLOOKUP(CaseName,CaseData,MATCH($G217,cases!$G$3:$G$1259,0)-1,FALSE))</f>
        <v>2.1400000000000001E-7</v>
      </c>
      <c r="K217" s="347">
        <f>IF(biodeg="r",LN(2)/15*Q.10^(13/10),IF(biodeg="r-",LN(2)/50*Q.10^(13/10),IF(biodeg="i",LN(2)/150*Q.10^(13/10),1E-20)))/(3600*24)</f>
        <v>1.316920183599007E-7</v>
      </c>
      <c r="L217" s="152">
        <f t="shared" ref="L217:L222" si="15">IF(ISBLANK(I217), IF(ISNUMBER(J217)=FALSE, K217, J217), I217)</f>
        <v>2.1400000000000001E-7</v>
      </c>
      <c r="M217" s="35" t="s">
        <v>336</v>
      </c>
      <c r="N217" s="16"/>
      <c r="O217" s="207"/>
      <c r="P217" s="207"/>
      <c r="Q217" s="11"/>
      <c r="R217" s="11"/>
      <c r="S217"/>
      <c r="T217"/>
      <c r="U217"/>
      <c r="V217"/>
      <c r="W217"/>
      <c r="X217"/>
      <c r="Y217"/>
      <c r="Z217" s="11"/>
      <c r="AA217" s="11"/>
      <c r="AB217" s="11"/>
      <c r="AC217" s="11"/>
      <c r="AD217" s="11"/>
      <c r="AE217" s="11"/>
      <c r="AF217" s="11"/>
      <c r="AG217" s="11"/>
      <c r="AH217" s="11"/>
    </row>
    <row r="218" spans="1:34" s="24" customFormat="1" ht="12.75" customHeight="1" x14ac:dyDescent="0.3">
      <c r="A218" s="16"/>
      <c r="B218" s="16"/>
      <c r="C218" s="35" t="s">
        <v>631</v>
      </c>
      <c r="D218" s="16"/>
      <c r="E218" s="16"/>
      <c r="F218" s="16"/>
      <c r="G218" s="35" t="s">
        <v>632</v>
      </c>
      <c r="H218" s="35" t="s">
        <v>633</v>
      </c>
      <c r="I218" s="358"/>
      <c r="J218" s="476" t="str">
        <f>IF(HLOOKUP(CaseName,CaseData,MATCH($G218,cases!$G$3:$G$1259,0)-1,FALSE)="","",HLOOKUP(CaseName,CaseData,MATCH($G218,cases!$G$3:$G$1259,0)-1,FALSE))</f>
        <v/>
      </c>
      <c r="K218" s="364" t="s">
        <v>634</v>
      </c>
      <c r="L218" s="363" t="str">
        <f t="shared" si="15"/>
        <v>i</v>
      </c>
      <c r="M218" s="16"/>
      <c r="N218" s="16"/>
      <c r="O218" s="207"/>
      <c r="P218" s="207"/>
      <c r="Q218" s="11"/>
      <c r="R218" s="11"/>
      <c r="S218"/>
      <c r="T218"/>
      <c r="U218"/>
      <c r="V218"/>
      <c r="W218"/>
      <c r="X218"/>
      <c r="Y218"/>
      <c r="Z218" s="11"/>
      <c r="AA218" s="11"/>
      <c r="AB218" s="11"/>
      <c r="AC218" s="11"/>
      <c r="AD218" s="11"/>
      <c r="AE218" s="11"/>
      <c r="AF218" s="11"/>
      <c r="AG218" s="11"/>
      <c r="AH218" s="11"/>
    </row>
    <row r="219" spans="1:34" s="24" customFormat="1" ht="12.75" customHeight="1" x14ac:dyDescent="0.3">
      <c r="A219" s="16"/>
      <c r="B219" s="16"/>
      <c r="C219" s="35" t="s">
        <v>635</v>
      </c>
      <c r="D219" s="143"/>
      <c r="E219" s="16"/>
      <c r="F219" s="16"/>
      <c r="G219" s="35" t="s">
        <v>636</v>
      </c>
      <c r="H219" s="35" t="s">
        <v>637</v>
      </c>
      <c r="I219" s="358"/>
      <c r="J219" s="476" t="str">
        <f>IF(HLOOKUP(CaseName,CaseData,MATCH($G219,cases!$G$3:$G$1259,0)-1,FALSE)="","",HLOOKUP(CaseName,CaseData,MATCH($G219,cases!$G$3:$G$1259,0)-1,FALSE))</f>
        <v/>
      </c>
      <c r="K219" s="347">
        <v>40000</v>
      </c>
      <c r="L219" s="152">
        <f t="shared" si="15"/>
        <v>40000</v>
      </c>
      <c r="M219" s="35" t="s">
        <v>638</v>
      </c>
      <c r="N219" s="16"/>
      <c r="O219" s="207"/>
      <c r="P219" s="207"/>
      <c r="Q219" s="11"/>
      <c r="R219" s="11"/>
      <c r="S219"/>
      <c r="T219"/>
      <c r="U219"/>
      <c r="V219"/>
      <c r="W219"/>
      <c r="X219"/>
      <c r="Y219"/>
      <c r="Z219" s="11"/>
      <c r="AA219" s="11"/>
      <c r="AB219" s="11"/>
      <c r="AC219" s="11"/>
      <c r="AD219" s="11"/>
      <c r="AE219" s="11"/>
      <c r="AF219" s="11"/>
      <c r="AG219" s="11"/>
      <c r="AH219" s="11"/>
    </row>
    <row r="220" spans="1:34" s="24" customFormat="1" ht="12.75" customHeight="1" x14ac:dyDescent="0.3">
      <c r="A220" s="16"/>
      <c r="B220" s="16"/>
      <c r="C220" s="16" t="s">
        <v>639</v>
      </c>
      <c r="D220" s="16"/>
      <c r="E220" s="16"/>
      <c r="F220" s="16"/>
      <c r="G220" s="35" t="s">
        <v>640</v>
      </c>
      <c r="H220" s="35" t="s">
        <v>291</v>
      </c>
      <c r="I220" s="358"/>
      <c r="J220" s="476" t="str">
        <f>IF(HLOOKUP(CaseName,CaseData,MATCH($G220,cases!$G$3:$G$1259,0)-1,FALSE)="","",HLOOKUP(CaseName,CaseData,MATCH($G220,cases!$G$3:$G$1259,0)-1,FALSE))</f>
        <v/>
      </c>
      <c r="K220" s="347">
        <v>2</v>
      </c>
      <c r="L220" s="152">
        <f t="shared" si="15"/>
        <v>2</v>
      </c>
      <c r="M220" s="35" t="s">
        <v>292</v>
      </c>
      <c r="N220" s="16"/>
      <c r="O220" s="207"/>
      <c r="P220" s="207"/>
      <c r="Q220" s="11"/>
      <c r="R220" s="11"/>
      <c r="S220"/>
      <c r="T220"/>
      <c r="U220"/>
      <c r="V220"/>
      <c r="W220"/>
      <c r="X220"/>
      <c r="Y220"/>
      <c r="Z220" s="11"/>
      <c r="AA220" s="11"/>
      <c r="AB220" s="11"/>
      <c r="AC220" s="11"/>
      <c r="AD220" s="11"/>
      <c r="AE220" s="11"/>
      <c r="AF220" s="11"/>
      <c r="AG220" s="11"/>
      <c r="AH220" s="11"/>
    </row>
    <row r="221" spans="1:34" s="24" customFormat="1" ht="12.75" customHeight="1" x14ac:dyDescent="0.3">
      <c r="A221" s="16"/>
      <c r="B221" s="35" t="s">
        <v>641</v>
      </c>
      <c r="C221" s="143"/>
      <c r="D221" s="143"/>
      <c r="E221" s="16"/>
      <c r="F221" s="16"/>
      <c r="G221" s="143" t="s">
        <v>642</v>
      </c>
      <c r="H221" s="35" t="s">
        <v>617</v>
      </c>
      <c r="I221" s="358"/>
      <c r="J221" s="476">
        <f>IF(HLOOKUP(CaseName,CaseData,MATCH($G221,cases!$G$3:$G$1259,0)-1,FALSE)="",IF(ISBLANK(VLOOKUP(ChemName,ChemData,MATCH(G221,substances!$3:$3,FALSE)-1,FALSE)),"",VLOOKUP(ChemName,ChemData,MATCH(G221,substances!$3:$3,FALSE)-1,FALSE)),HLOOKUP(CaseName,CaseData,MATCH($G221,cases!$G$3:$G$1259,0)-1,FALSE))</f>
        <v>2.3800000000000001E-8</v>
      </c>
      <c r="K221" s="347">
        <f>0.1*Q.10^(13/10)*LN(2)/IF(biodeg="r",IF(Ksw/(CORG*RHOsolid/1000)&lt;=100,30,IF(Ksw/(CORG*RHOsolid/1000)&lt;=1000,300,IF(Ksw/(CORG*RHOsolid/1000)&lt;=10000,3000,30000))),IF(biodeg="r-",IF(Ksw/(CORG*RHOsolid/1000)&lt;=100,90,IF(Ksw/(CORG*RHOsolid/1000)&lt;=1000,900,IF(Ksw/(CORG*RHOsolid/1000)&lt;=10000,9000,90000))),IF(Ksw/(CORG*RHOsolid/1000)&lt;=100,300,IF(Ksw/(CORG*RHOsolid/1000)&lt;=1000,3000,30000))))/(3600*24)</f>
        <v>6.5846009179950362E-10</v>
      </c>
      <c r="L221" s="152">
        <f t="shared" si="15"/>
        <v>2.3800000000000001E-8</v>
      </c>
      <c r="M221" s="35" t="s">
        <v>336</v>
      </c>
      <c r="N221" s="16"/>
      <c r="O221" s="207"/>
      <c r="P221" s="207"/>
      <c r="Q221" s="11"/>
      <c r="R221" s="11"/>
      <c r="S221"/>
      <c r="T221"/>
      <c r="U221"/>
      <c r="V221"/>
      <c r="W221"/>
      <c r="X221"/>
      <c r="Y221"/>
      <c r="Z221" s="11"/>
      <c r="AA221" s="11"/>
      <c r="AB221" s="11"/>
      <c r="AC221" s="11"/>
      <c r="AD221" s="11"/>
      <c r="AE221" s="11"/>
      <c r="AF221" s="11"/>
      <c r="AG221" s="11"/>
      <c r="AH221" s="11"/>
    </row>
    <row r="222" spans="1:34" s="24" customFormat="1" ht="12.75" customHeight="1" x14ac:dyDescent="0.3">
      <c r="A222" s="16"/>
      <c r="B222" s="35" t="s">
        <v>643</v>
      </c>
      <c r="C222" s="143"/>
      <c r="D222" s="143"/>
      <c r="E222" s="16"/>
      <c r="F222" s="16"/>
      <c r="G222" s="143" t="s">
        <v>644</v>
      </c>
      <c r="H222" s="35" t="s">
        <v>617</v>
      </c>
      <c r="I222" s="358"/>
      <c r="J222" s="476">
        <f>IF(HLOOKUP(CaseName,CaseData,MATCH($G222,cases!$G$3:$G$1259,0)-1,FALSE)="",IF(ISBLANK(VLOOKUP(ChemName,ChemData,MATCH(G222,substances!$3:$3,FALSE)-1,FALSE)),"",VLOOKUP(ChemName,ChemData,MATCH(G222,substances!$3:$3,FALSE)-1,FALSE)),HLOOKUP(CaseName,CaseData,MATCH($G222,cases!$G$3:$G$1259,0)-1,FALSE))</f>
        <v>1.0700000000000001E-7</v>
      </c>
      <c r="K222" s="347">
        <f>Q.10^(13/10)*LN(2)/IF(biodeg="r",IF(Ksw/(CORG*RHOsolid/1000)&lt;=100,30,IF(Ksw/(CORG*RHOsolid/1000)&lt;=1000,300,IF(Ksw/(CORG*RHOsolid/1000)&lt;=10000,3000,30000))),IF(biodeg="r-",IF(Ksw/(CORG*RHOsolid/1000)&lt;=100,90,IF(Ksw/(CORG*RHOsolid/1000)&lt;=1000,900,IF(Ksw/(CORG*RHOsolid/1000)&lt;=10000,9000,90000))),IF(Ksw/(CORG*RHOsolid/1000)&lt;=100,300,IF(Ksw/(CORG*RHOsolid/1000)&lt;=1000,3000,30000))))/(3600*24)</f>
        <v>6.5846009179950347E-9</v>
      </c>
      <c r="L222" s="152">
        <f t="shared" si="15"/>
        <v>1.0700000000000001E-7</v>
      </c>
      <c r="M222" s="35" t="s">
        <v>336</v>
      </c>
      <c r="N222" s="16"/>
      <c r="O222" s="207"/>
      <c r="P222" s="207"/>
      <c r="Q222" s="11"/>
      <c r="R222" s="11"/>
      <c r="S222"/>
      <c r="T222"/>
      <c r="U222"/>
      <c r="V222"/>
      <c r="W222"/>
      <c r="X222"/>
      <c r="Y222"/>
      <c r="Z222" s="11"/>
      <c r="AA222" s="11"/>
      <c r="AB222" s="11"/>
      <c r="AC222" s="11"/>
      <c r="AD222" s="11"/>
      <c r="AE222" s="11"/>
      <c r="AF222" s="11"/>
      <c r="AG222" s="11"/>
      <c r="AH222" s="11"/>
    </row>
    <row r="223" spans="1:34" s="24" customFormat="1" ht="12.75" customHeight="1" x14ac:dyDescent="0.3">
      <c r="A223" s="16"/>
      <c r="B223" s="16"/>
      <c r="C223" s="16"/>
      <c r="D223" s="16"/>
      <c r="E223" s="16"/>
      <c r="F223" s="16"/>
      <c r="G223" s="35"/>
      <c r="H223" s="35"/>
      <c r="I223" s="244"/>
      <c r="J223" s="161"/>
      <c r="K223" s="161"/>
      <c r="L223" s="161"/>
      <c r="M223" s="16"/>
      <c r="N223" s="16"/>
      <c r="O223" s="207"/>
      <c r="P223" s="207"/>
      <c r="Q223" s="11"/>
      <c r="R223" s="11"/>
      <c r="S223"/>
      <c r="T223"/>
      <c r="U223"/>
      <c r="V223"/>
      <c r="W223"/>
      <c r="X223"/>
      <c r="Y223"/>
      <c r="Z223" s="11"/>
      <c r="AA223" s="11"/>
      <c r="AB223" s="11"/>
      <c r="AC223" s="11"/>
      <c r="AD223" s="11"/>
      <c r="AE223" s="11"/>
      <c r="AF223" s="11"/>
      <c r="AG223" s="11"/>
      <c r="AH223" s="11"/>
    </row>
    <row r="224" spans="1:34" customFormat="1" ht="12.75" customHeight="1" x14ac:dyDescent="0.3">
      <c r="A224" s="144" t="s">
        <v>484</v>
      </c>
      <c r="B224" s="144"/>
      <c r="C224" s="144"/>
      <c r="D224" s="144"/>
      <c r="E224" s="144"/>
      <c r="F224" s="144"/>
      <c r="G224" s="145" t="s">
        <v>258</v>
      </c>
      <c r="H224" s="145" t="s">
        <v>274</v>
      </c>
      <c r="I224" s="276" t="s">
        <v>259</v>
      </c>
      <c r="J224" s="276" t="s">
        <v>275</v>
      </c>
      <c r="K224" s="276" t="s">
        <v>260</v>
      </c>
      <c r="L224" s="276" t="s">
        <v>261</v>
      </c>
      <c r="M224" s="144"/>
      <c r="N224" s="145" t="s">
        <v>262</v>
      </c>
      <c r="O224" s="207"/>
      <c r="P224" s="207"/>
      <c r="Q224" s="11"/>
      <c r="R224" s="11"/>
    </row>
    <row r="225" spans="1:34" s="24" customFormat="1" ht="12.75" customHeight="1" x14ac:dyDescent="0.3">
      <c r="A225" s="581"/>
      <c r="B225" s="35"/>
      <c r="C225" s="35"/>
      <c r="D225" s="16"/>
      <c r="E225" s="16"/>
      <c r="F225" s="16"/>
      <c r="G225" s="35"/>
      <c r="H225" s="35"/>
      <c r="I225" s="622"/>
      <c r="J225" s="241"/>
      <c r="K225" s="161"/>
      <c r="L225" s="367"/>
      <c r="M225" s="16"/>
      <c r="N225" s="35"/>
      <c r="O225" s="207"/>
      <c r="P225" s="207"/>
      <c r="Q225" s="11"/>
      <c r="R225" s="11"/>
      <c r="S225"/>
      <c r="T225"/>
      <c r="U225"/>
      <c r="V225"/>
      <c r="W225"/>
      <c r="X225"/>
      <c r="Y225"/>
      <c r="Z225" s="11"/>
      <c r="AA225" s="11"/>
      <c r="AB225" s="11"/>
      <c r="AC225" s="11"/>
      <c r="AD225" s="11"/>
      <c r="AE225" s="11"/>
      <c r="AF225" s="11"/>
      <c r="AG225" s="11"/>
      <c r="AH225" s="11"/>
    </row>
    <row r="226" spans="1:34" s="24" customFormat="1" ht="12.75" customHeight="1" x14ac:dyDescent="0.3">
      <c r="A226" s="16"/>
      <c r="B226" s="580" t="s">
        <v>645</v>
      </c>
      <c r="C226" s="164"/>
      <c r="D226" s="164"/>
      <c r="E226" s="164"/>
      <c r="F226" s="164"/>
      <c r="G226" s="299"/>
      <c r="H226" s="299"/>
      <c r="I226" s="365"/>
      <c r="J226" s="701"/>
      <c r="K226" s="366"/>
      <c r="L226" s="351"/>
      <c r="M226" s="164"/>
      <c r="N226" s="235"/>
      <c r="O226" s="207"/>
      <c r="P226" s="207"/>
      <c r="Q226" s="11"/>
      <c r="R226" s="11"/>
      <c r="S226"/>
      <c r="T226"/>
      <c r="U226"/>
      <c r="V226"/>
      <c r="W226"/>
      <c r="X226"/>
      <c r="Y226"/>
      <c r="Z226" s="11"/>
      <c r="AA226" s="11"/>
      <c r="AB226" s="11"/>
      <c r="AC226" s="11"/>
      <c r="AD226" s="11"/>
      <c r="AE226" s="11"/>
      <c r="AF226" s="11"/>
      <c r="AG226" s="11"/>
      <c r="AH226" s="11"/>
    </row>
    <row r="227" spans="1:34" s="24" customFormat="1" ht="12.75" customHeight="1" x14ac:dyDescent="0.3">
      <c r="A227" s="581"/>
      <c r="B227" s="71" t="s">
        <v>58</v>
      </c>
      <c r="C227" s="16"/>
      <c r="D227" s="16"/>
      <c r="E227" s="16"/>
      <c r="F227" s="16"/>
      <c r="G227" s="35"/>
      <c r="H227" s="35"/>
      <c r="I227" s="244"/>
      <c r="J227" s="700"/>
      <c r="K227" s="161"/>
      <c r="L227" s="161"/>
      <c r="M227" s="16"/>
      <c r="N227" s="235"/>
      <c r="O227" s="207"/>
      <c r="P227" s="207"/>
      <c r="Q227" s="11"/>
      <c r="R227" s="11"/>
      <c r="S227"/>
      <c r="T227"/>
      <c r="U227"/>
      <c r="V227"/>
      <c r="W227"/>
      <c r="X227"/>
      <c r="Y227"/>
      <c r="Z227" s="11"/>
      <c r="AA227" s="11"/>
      <c r="AB227" s="11"/>
      <c r="AC227" s="11"/>
      <c r="AD227" s="11"/>
      <c r="AE227" s="11"/>
      <c r="AF227" s="11"/>
      <c r="AG227" s="11"/>
      <c r="AH227" s="11"/>
    </row>
    <row r="228" spans="1:34" s="24" customFormat="1" ht="12.75" customHeight="1" x14ac:dyDescent="0.3">
      <c r="A228" s="581"/>
      <c r="B228" s="35"/>
      <c r="C228" s="35" t="s">
        <v>485</v>
      </c>
      <c r="D228" s="16"/>
      <c r="E228" s="16"/>
      <c r="F228" s="16"/>
      <c r="G228" s="35" t="s">
        <v>646</v>
      </c>
      <c r="H228" s="35" t="s">
        <v>487</v>
      </c>
      <c r="I228" s="478"/>
      <c r="J228" s="361">
        <f>IF(HLOOKUP(CaseName,CaseData,MATCH($G228,cases!$G$3:$G$1259,0)-1,FALSE)="",IF(HLOOKUP(ScenarioName,ScenarioData,MATCH($G228,scenarios!$G$3:$G$144,0),FALSE)="","",HLOOKUP(ScenarioName,ScenarioData,MATCH($G228,scenarios!$G$3:$G$153,0),FALSE)),HLOOKUP(CaseName,CaseData,MATCH($G228,cases!$G$3:$G$1259,0)-1,FALSE))</f>
        <v>0</v>
      </c>
      <c r="K228" s="161">
        <v>10000</v>
      </c>
      <c r="L228" s="152">
        <f t="shared" ref="L228:L234" si="16">IF(ISBLANK(I228),IF(ISNUMBER(J228)=FALSE,K228*1000/(Molweight*3600*24*365),J228*1000/(Molweight*3600*24*365)),I228*1000/(Molweight*3600*24*365))</f>
        <v>0</v>
      </c>
      <c r="M228" s="35" t="s">
        <v>488</v>
      </c>
      <c r="N228" s="702"/>
      <c r="O228" s="207"/>
      <c r="P228" s="207"/>
      <c r="Q228" s="11"/>
      <c r="R228" s="11"/>
      <c r="S228"/>
      <c r="T228"/>
      <c r="U228"/>
      <c r="V228"/>
      <c r="W228"/>
      <c r="X228"/>
      <c r="Y228"/>
      <c r="Z228" s="11"/>
      <c r="AA228" s="11"/>
      <c r="AB228" s="11"/>
      <c r="AC228" s="11"/>
      <c r="AD228" s="11"/>
      <c r="AE228" s="11"/>
      <c r="AF228" s="11"/>
      <c r="AG228" s="11"/>
      <c r="AH228" s="11"/>
    </row>
    <row r="229" spans="1:34" s="24" customFormat="1" ht="12.75" customHeight="1" x14ac:dyDescent="0.3">
      <c r="A229" s="581"/>
      <c r="B229" s="35"/>
      <c r="C229" s="35" t="s">
        <v>489</v>
      </c>
      <c r="D229" s="16"/>
      <c r="E229" s="16"/>
      <c r="F229" s="16"/>
      <c r="G229" s="35" t="s">
        <v>647</v>
      </c>
      <c r="H229" s="35" t="s">
        <v>487</v>
      </c>
      <c r="I229" s="478"/>
      <c r="J229" s="361">
        <f>IF(HLOOKUP(CaseName,CaseData,MATCH($G229,cases!$G$3:$G$1259,0)-1,FALSE)="",IF(HLOOKUP(ScenarioName,ScenarioData,MATCH($G229,scenarios!$G$3:$G$144,0),FALSE)="","",HLOOKUP(ScenarioName,ScenarioData,MATCH($G229,scenarios!$G$3:$G$153,0),FALSE)),HLOOKUP(CaseName,CaseData,MATCH($G229,cases!$G$3:$G$1259,0)-1,FALSE))</f>
        <v>0</v>
      </c>
      <c r="K229" s="161">
        <v>0</v>
      </c>
      <c r="L229" s="152">
        <f t="shared" si="16"/>
        <v>0</v>
      </c>
      <c r="M229" s="35" t="s">
        <v>488</v>
      </c>
      <c r="N229" s="702"/>
      <c r="O229" s="207"/>
      <c r="P229" s="207"/>
      <c r="Q229" s="11"/>
      <c r="R229" s="11"/>
      <c r="S229"/>
      <c r="T229"/>
      <c r="U229"/>
      <c r="V229"/>
      <c r="W229"/>
      <c r="X229"/>
      <c r="Y229"/>
      <c r="Z229" s="11"/>
      <c r="AA229" s="11"/>
      <c r="AB229" s="11"/>
      <c r="AC229" s="11"/>
      <c r="AD229" s="11"/>
      <c r="AE229" s="11"/>
      <c r="AF229" s="11"/>
      <c r="AG229" s="11"/>
      <c r="AH229" s="11"/>
    </row>
    <row r="230" spans="1:34" s="24" customFormat="1" ht="12.75" customHeight="1" x14ac:dyDescent="0.3">
      <c r="A230" s="581"/>
      <c r="B230" s="35"/>
      <c r="C230" s="35" t="s">
        <v>491</v>
      </c>
      <c r="D230" s="16"/>
      <c r="E230" s="16"/>
      <c r="F230" s="16"/>
      <c r="G230" s="35" t="s">
        <v>648</v>
      </c>
      <c r="H230" s="35" t="s">
        <v>487</v>
      </c>
      <c r="I230" s="478"/>
      <c r="J230" s="361">
        <f>IF(HLOOKUP(CaseName,CaseData,MATCH($G230,cases!$G$3:$G$1259,0)-1,FALSE)="",IF(HLOOKUP(ScenarioName,ScenarioData,MATCH($G230,scenarios!$G$3:$G$144,0),FALSE)="","",HLOOKUP(ScenarioName,ScenarioData,MATCH($G230,scenarios!$G$3:$G$153,0),FALSE)),HLOOKUP(CaseName,CaseData,MATCH($G230,cases!$G$3:$G$1259,0)-1,FALSE))</f>
        <v>0</v>
      </c>
      <c r="K230" s="161">
        <v>10000</v>
      </c>
      <c r="L230" s="152">
        <f t="shared" si="16"/>
        <v>0</v>
      </c>
      <c r="M230" s="35" t="s">
        <v>488</v>
      </c>
      <c r="N230" s="702"/>
      <c r="O230" s="207"/>
      <c r="P230" s="207"/>
      <c r="Q230" s="11"/>
      <c r="R230" s="11"/>
      <c r="S230"/>
      <c r="T230"/>
      <c r="U230"/>
      <c r="V230"/>
      <c r="W230"/>
      <c r="X230"/>
      <c r="Y230"/>
      <c r="Z230" s="11"/>
      <c r="AA230" s="11"/>
      <c r="AB230" s="11"/>
      <c r="AC230" s="11"/>
      <c r="AD230" s="11"/>
      <c r="AE230" s="11"/>
      <c r="AF230" s="11"/>
      <c r="AG230" s="11"/>
      <c r="AH230" s="11"/>
    </row>
    <row r="231" spans="1:34" s="24" customFormat="1" ht="12.75" customHeight="1" x14ac:dyDescent="0.3">
      <c r="A231" s="581"/>
      <c r="B231" s="35"/>
      <c r="C231" s="35" t="s">
        <v>493</v>
      </c>
      <c r="D231" s="16"/>
      <c r="E231" s="16"/>
      <c r="F231" s="16"/>
      <c r="G231" s="35" t="s">
        <v>649</v>
      </c>
      <c r="H231" s="35" t="s">
        <v>487</v>
      </c>
      <c r="I231" s="478"/>
      <c r="J231" s="361">
        <f>IF(HLOOKUP(CaseName,CaseData,MATCH($G231,cases!$G$3:$G$1259,0)-1,FALSE)="",IF(HLOOKUP(ScenarioName,ScenarioData,MATCH($G231,scenarios!$G$3:$G$144,0),FALSE)="","",HLOOKUP(ScenarioName,ScenarioData,MATCH($G231,scenarios!$G$3:$G$153,0),FALSE)),HLOOKUP(CaseName,CaseData,MATCH($G231,cases!$G$3:$G$1259,0)-1,FALSE))</f>
        <v>0</v>
      </c>
      <c r="K231" s="161">
        <v>0</v>
      </c>
      <c r="L231" s="152">
        <f t="shared" si="16"/>
        <v>0</v>
      </c>
      <c r="M231" s="35" t="s">
        <v>488</v>
      </c>
      <c r="N231" s="702"/>
      <c r="O231" s="207"/>
      <c r="P231" s="207"/>
      <c r="Q231" s="11"/>
      <c r="R231" s="11"/>
      <c r="S231"/>
      <c r="T231"/>
      <c r="U231"/>
      <c r="V231"/>
      <c r="W231"/>
      <c r="X231"/>
      <c r="Y231"/>
      <c r="Z231" s="11"/>
      <c r="AA231" s="11"/>
      <c r="AB231" s="11"/>
      <c r="AC231" s="11"/>
      <c r="AD231" s="11"/>
      <c r="AE231" s="11"/>
      <c r="AF231" s="11"/>
      <c r="AG231" s="11"/>
      <c r="AH231" s="11"/>
    </row>
    <row r="232" spans="1:34" s="24" customFormat="1" ht="12.75" customHeight="1" x14ac:dyDescent="0.3">
      <c r="A232" s="581"/>
      <c r="B232" s="35"/>
      <c r="C232" s="35" t="s">
        <v>495</v>
      </c>
      <c r="D232" s="16"/>
      <c r="E232" s="16"/>
      <c r="F232" s="16"/>
      <c r="G232" s="35" t="s">
        <v>650</v>
      </c>
      <c r="H232" s="35" t="s">
        <v>487</v>
      </c>
      <c r="I232" s="478"/>
      <c r="J232" s="361">
        <f>IF(HLOOKUP(CaseName,CaseData,MATCH($G232,cases!$G$3:$G$1259,0)-1,FALSE)="",IF(HLOOKUP(ScenarioName,ScenarioData,MATCH($G232,scenarios!$G$3:$G$144,0),FALSE)="","",HLOOKUP(ScenarioName,ScenarioData,MATCH($G232,scenarios!$G$3:$G$153,0),FALSE)),HLOOKUP(CaseName,CaseData,MATCH($G232,cases!$G$3:$G$1259,0)-1,FALSE))</f>
        <v>0</v>
      </c>
      <c r="K232" s="161">
        <v>0</v>
      </c>
      <c r="L232" s="152">
        <f t="shared" si="16"/>
        <v>0</v>
      </c>
      <c r="M232" s="35" t="s">
        <v>488</v>
      </c>
      <c r="N232" s="702"/>
      <c r="O232" s="207"/>
      <c r="P232" s="207"/>
      <c r="Q232" s="11"/>
      <c r="R232" s="11"/>
      <c r="S232"/>
      <c r="T232"/>
      <c r="U232"/>
      <c r="V232"/>
      <c r="W232"/>
      <c r="X232"/>
      <c r="Y232"/>
      <c r="Z232" s="11"/>
      <c r="AA232" s="11"/>
      <c r="AB232" s="11"/>
      <c r="AC232" s="11"/>
      <c r="AD232" s="11"/>
      <c r="AE232" s="11"/>
      <c r="AF232" s="11"/>
      <c r="AG232" s="11"/>
      <c r="AH232" s="11"/>
    </row>
    <row r="233" spans="1:34" s="24" customFormat="1" ht="12.75" customHeight="1" x14ac:dyDescent="0.3">
      <c r="A233" s="581"/>
      <c r="B233" s="35"/>
      <c r="C233" s="35" t="s">
        <v>497</v>
      </c>
      <c r="D233" s="16"/>
      <c r="E233" s="16"/>
      <c r="F233" s="16"/>
      <c r="G233" s="35" t="s">
        <v>651</v>
      </c>
      <c r="H233" s="35" t="s">
        <v>487</v>
      </c>
      <c r="I233" s="478"/>
      <c r="J233" s="361">
        <f>IF(HLOOKUP(CaseName,CaseData,MATCH($G233,cases!$G$3:$G$1259,0)-1,FALSE)="",IF(HLOOKUP(ScenarioName,ScenarioData,MATCH($G233,scenarios!$G$3:$G$144,0),FALSE)="","",HLOOKUP(ScenarioName,ScenarioData,MATCH($G233,scenarios!$G$3:$G$153,0),FALSE)),HLOOKUP(CaseName,CaseData,MATCH($G233,cases!$G$3:$G$1259,0)-1,FALSE))</f>
        <v>0</v>
      </c>
      <c r="K233" s="161">
        <v>10000</v>
      </c>
      <c r="L233" s="152">
        <f t="shared" si="16"/>
        <v>0</v>
      </c>
      <c r="M233" s="35" t="s">
        <v>488</v>
      </c>
      <c r="N233" s="702"/>
      <c r="O233" s="207"/>
      <c r="P233" s="207"/>
      <c r="Q233" s="11"/>
      <c r="R233" s="11"/>
      <c r="S233"/>
      <c r="T233"/>
      <c r="U233"/>
      <c r="V233"/>
      <c r="W233"/>
      <c r="X233"/>
      <c r="Y233"/>
      <c r="Z233" s="11"/>
      <c r="AA233" s="11"/>
      <c r="AB233" s="11"/>
      <c r="AC233" s="11"/>
      <c r="AD233" s="11"/>
      <c r="AE233" s="11"/>
      <c r="AF233" s="11"/>
      <c r="AG233" s="11"/>
      <c r="AH233" s="11"/>
    </row>
    <row r="234" spans="1:34" s="24" customFormat="1" ht="12.75" customHeight="1" x14ac:dyDescent="0.3">
      <c r="A234" s="581"/>
      <c r="B234" s="35"/>
      <c r="C234" s="35" t="s">
        <v>500</v>
      </c>
      <c r="D234" s="16"/>
      <c r="E234" s="16"/>
      <c r="F234" s="16"/>
      <c r="G234" s="35" t="s">
        <v>652</v>
      </c>
      <c r="H234" s="35" t="s">
        <v>487</v>
      </c>
      <c r="I234" s="478"/>
      <c r="J234" s="361">
        <f>IF(HLOOKUP(CaseName,CaseData,MATCH($G234,cases!$G$3:$G$1259,0)-1,FALSE)="",IF(HLOOKUP(ScenarioName,ScenarioData,MATCH($G234,scenarios!$G$3:$G$144,0),FALSE)="","",HLOOKUP(ScenarioName,ScenarioData,MATCH($G234,scenarios!$G$3:$G$153,0),FALSE)),HLOOKUP(CaseName,CaseData,MATCH($G234,cases!$G$3:$G$1259,0)-1,FALSE))</f>
        <v>0</v>
      </c>
      <c r="K234" s="161">
        <v>0</v>
      </c>
      <c r="L234" s="152">
        <f t="shared" si="16"/>
        <v>0</v>
      </c>
      <c r="M234" s="35" t="s">
        <v>488</v>
      </c>
      <c r="N234" s="16"/>
      <c r="O234" s="207"/>
      <c r="P234" s="207"/>
      <c r="Q234" s="11"/>
      <c r="R234" s="11"/>
      <c r="S234"/>
      <c r="T234"/>
      <c r="U234"/>
      <c r="V234"/>
      <c r="W234"/>
      <c r="X234"/>
      <c r="Y234"/>
      <c r="Z234" s="11"/>
      <c r="AA234" s="11"/>
      <c r="AB234" s="11"/>
      <c r="AC234" s="11"/>
      <c r="AD234" s="11"/>
      <c r="AE234" s="11"/>
      <c r="AF234" s="11"/>
      <c r="AG234" s="11"/>
      <c r="AH234" s="11"/>
    </row>
    <row r="235" spans="1:34" s="24" customFormat="1" ht="12.75" customHeight="1" x14ac:dyDescent="0.3">
      <c r="A235" s="581"/>
      <c r="B235" s="71" t="s">
        <v>211</v>
      </c>
      <c r="C235" s="16"/>
      <c r="D235" s="16"/>
      <c r="E235" s="16"/>
      <c r="F235" s="16"/>
      <c r="G235" s="146"/>
      <c r="H235" s="35"/>
      <c r="I235" s="244"/>
      <c r="J235" s="241"/>
      <c r="K235" s="161"/>
      <c r="L235" s="161"/>
      <c r="M235" s="16"/>
      <c r="N235" s="16"/>
      <c r="O235" s="207"/>
      <c r="P235" s="207"/>
      <c r="Q235" s="11"/>
      <c r="R235" s="11"/>
      <c r="S235"/>
      <c r="T235"/>
      <c r="U235"/>
      <c r="V235"/>
      <c r="W235"/>
      <c r="X235"/>
      <c r="Y235"/>
      <c r="Z235" s="11"/>
      <c r="AA235" s="11"/>
      <c r="AB235" s="11"/>
      <c r="AC235" s="11"/>
      <c r="AD235" s="11"/>
      <c r="AE235" s="11"/>
      <c r="AF235" s="11"/>
      <c r="AG235" s="11"/>
      <c r="AH235" s="11"/>
    </row>
    <row r="236" spans="1:34" s="24" customFormat="1" ht="12.75" customHeight="1" x14ac:dyDescent="0.3">
      <c r="A236" s="581"/>
      <c r="B236" s="35"/>
      <c r="C236" s="35" t="s">
        <v>485</v>
      </c>
      <c r="D236" s="16"/>
      <c r="E236" s="16"/>
      <c r="F236" s="16"/>
      <c r="G236" s="35" t="s">
        <v>653</v>
      </c>
      <c r="H236" s="35" t="s">
        <v>487</v>
      </c>
      <c r="I236" s="478"/>
      <c r="J236" s="361">
        <f>IF(HLOOKUP(CaseName,CaseData,MATCH($G236,cases!$G$3:$G$1259,0)-1,FALSE)="",IF(HLOOKUP(ScenarioName,ScenarioData,MATCH($G236,scenarios!$G$3:$G$144,0),FALSE)="","",HLOOKUP(ScenarioName,ScenarioData,MATCH($G236,scenarios!$G$3:$G$153,0),FALSE)),HLOOKUP(CaseName,CaseData,MATCH($G236,cases!$G$3:$G$1259,0)-1,FALSE))</f>
        <v>0</v>
      </c>
      <c r="K236" s="161">
        <v>0</v>
      </c>
      <c r="L236" s="152">
        <f t="shared" ref="L236:L242" si="17">IF(ISBLANK(I236),IF(ISNUMBER(J236)=FALSE,K236*1000/(Molweight*3600*24*365),J236*1000/(Molweight*3600*24*365)),I236*1000/(Molweight*3600*24*365))</f>
        <v>0</v>
      </c>
      <c r="M236" s="35" t="s">
        <v>488</v>
      </c>
      <c r="N236" s="16"/>
      <c r="O236" s="207"/>
      <c r="P236" s="207"/>
      <c r="Q236" s="11"/>
      <c r="R236" s="11"/>
      <c r="S236"/>
      <c r="T236"/>
      <c r="U236"/>
      <c r="V236"/>
      <c r="W236"/>
      <c r="X236"/>
      <c r="Y236"/>
      <c r="Z236" s="11"/>
      <c r="AA236" s="11"/>
      <c r="AB236" s="11"/>
      <c r="AC236" s="11"/>
      <c r="AD236" s="11"/>
      <c r="AE236" s="11"/>
      <c r="AF236" s="11"/>
      <c r="AG236" s="11"/>
      <c r="AH236" s="11"/>
    </row>
    <row r="237" spans="1:34" s="24" customFormat="1" ht="12.75" customHeight="1" x14ac:dyDescent="0.3">
      <c r="A237" s="581"/>
      <c r="B237" s="35"/>
      <c r="C237" s="35" t="s">
        <v>489</v>
      </c>
      <c r="D237" s="16"/>
      <c r="E237" s="16"/>
      <c r="F237" s="16"/>
      <c r="G237" s="35" t="s">
        <v>654</v>
      </c>
      <c r="H237" s="35" t="s">
        <v>487</v>
      </c>
      <c r="I237" s="478"/>
      <c r="J237" s="361">
        <f>IF(HLOOKUP(CaseName,CaseData,MATCH($G237,cases!$G$3:$G$1259,0)-1,FALSE)="",IF(HLOOKUP(ScenarioName,ScenarioData,MATCH($G237,scenarios!$G$3:$G$144,0),FALSE)="","",HLOOKUP(ScenarioName,ScenarioData,MATCH($G237,scenarios!$G$3:$G$153,0),FALSE)),HLOOKUP(CaseName,CaseData,MATCH($G237,cases!$G$3:$G$1259,0)-1,FALSE))</f>
        <v>0</v>
      </c>
      <c r="K237" s="161">
        <v>0</v>
      </c>
      <c r="L237" s="152">
        <f t="shared" si="17"/>
        <v>0</v>
      </c>
      <c r="M237" s="35" t="s">
        <v>499</v>
      </c>
      <c r="N237" s="16"/>
      <c r="O237" s="207"/>
      <c r="P237" s="207"/>
      <c r="Q237" s="11"/>
      <c r="R237" s="11"/>
      <c r="S237"/>
      <c r="T237"/>
      <c r="U237"/>
      <c r="V237"/>
      <c r="W237"/>
      <c r="X237"/>
      <c r="Y237"/>
      <c r="Z237" s="11"/>
      <c r="AA237" s="11"/>
      <c r="AB237" s="11"/>
      <c r="AC237" s="11"/>
      <c r="AD237" s="11"/>
      <c r="AE237" s="11"/>
      <c r="AF237" s="11"/>
      <c r="AG237" s="11"/>
      <c r="AH237" s="11"/>
    </row>
    <row r="238" spans="1:34" s="24" customFormat="1" ht="12.75" customHeight="1" x14ac:dyDescent="0.3">
      <c r="A238" s="581"/>
      <c r="B238" s="35"/>
      <c r="C238" s="35" t="s">
        <v>491</v>
      </c>
      <c r="D238" s="16"/>
      <c r="E238" s="16"/>
      <c r="F238" s="16"/>
      <c r="G238" s="35" t="s">
        <v>655</v>
      </c>
      <c r="H238" s="35" t="s">
        <v>487</v>
      </c>
      <c r="I238" s="478"/>
      <c r="J238" s="361">
        <f>IF(HLOOKUP(CaseName,CaseData,MATCH($G238,cases!$G$3:$G$1259,0)-1,FALSE)="",IF(HLOOKUP(ScenarioName,ScenarioData,MATCH($G238,scenarios!$G$3:$G$144,0),FALSE)="","",HLOOKUP(ScenarioName,ScenarioData,MATCH($G238,scenarios!$G$3:$G$153,0),FALSE)),HLOOKUP(CaseName,CaseData,MATCH($G238,cases!$G$3:$G$1259,0)-1,FALSE))</f>
        <v>0</v>
      </c>
      <c r="K238" s="161">
        <v>0</v>
      </c>
      <c r="L238" s="152">
        <f t="shared" si="17"/>
        <v>0</v>
      </c>
      <c r="M238" s="35" t="s">
        <v>488</v>
      </c>
      <c r="N238" s="16"/>
      <c r="O238" s="207"/>
      <c r="P238" s="207"/>
      <c r="Q238" s="11"/>
      <c r="R238" s="11"/>
      <c r="S238"/>
      <c r="T238"/>
      <c r="U238"/>
      <c r="V238"/>
      <c r="W238"/>
      <c r="X238"/>
      <c r="Y238"/>
      <c r="Z238" s="11"/>
      <c r="AA238" s="11"/>
      <c r="AB238" s="11"/>
      <c r="AC238" s="11"/>
      <c r="AD238" s="11"/>
      <c r="AE238" s="11"/>
      <c r="AF238" s="11"/>
      <c r="AG238" s="11"/>
      <c r="AH238" s="11"/>
    </row>
    <row r="239" spans="1:34" s="24" customFormat="1" ht="12.75" customHeight="1" x14ac:dyDescent="0.3">
      <c r="A239" s="581"/>
      <c r="B239" s="35"/>
      <c r="C239" s="35" t="s">
        <v>493</v>
      </c>
      <c r="D239" s="16"/>
      <c r="E239" s="16"/>
      <c r="F239" s="16"/>
      <c r="G239" s="35" t="s">
        <v>656</v>
      </c>
      <c r="H239" s="35" t="s">
        <v>487</v>
      </c>
      <c r="I239" s="478"/>
      <c r="J239" s="361">
        <f>IF(HLOOKUP(CaseName,CaseData,MATCH($G239,cases!$G$3:$G$1259,0)-1,FALSE)="",IF(HLOOKUP(ScenarioName,ScenarioData,MATCH($G239,scenarios!$G$3:$G$144,0),FALSE)="","",HLOOKUP(ScenarioName,ScenarioData,MATCH($G239,scenarios!$G$3:$G$153,0),FALSE)),HLOOKUP(CaseName,CaseData,MATCH($G239,cases!$G$3:$G$1259,0)-1,FALSE))</f>
        <v>0</v>
      </c>
      <c r="K239" s="161">
        <v>0</v>
      </c>
      <c r="L239" s="152">
        <f t="shared" si="17"/>
        <v>0</v>
      </c>
      <c r="M239" s="35" t="s">
        <v>488</v>
      </c>
      <c r="N239" s="16"/>
      <c r="O239" s="207"/>
      <c r="P239" s="207"/>
      <c r="Q239" s="11"/>
      <c r="R239" s="11"/>
      <c r="S239"/>
      <c r="T239"/>
      <c r="U239"/>
      <c r="V239"/>
      <c r="W239"/>
      <c r="X239"/>
      <c r="Y239"/>
      <c r="Z239" s="11"/>
      <c r="AA239" s="11"/>
      <c r="AB239" s="11"/>
      <c r="AC239" s="11"/>
      <c r="AD239" s="11"/>
      <c r="AE239" s="11"/>
      <c r="AF239" s="11"/>
      <c r="AG239" s="11"/>
      <c r="AH239" s="11"/>
    </row>
    <row r="240" spans="1:34" s="24" customFormat="1" ht="12.75" customHeight="1" x14ac:dyDescent="0.3">
      <c r="A240" s="581"/>
      <c r="B240" s="35"/>
      <c r="C240" s="35" t="s">
        <v>495</v>
      </c>
      <c r="D240" s="16"/>
      <c r="E240" s="16"/>
      <c r="F240" s="16"/>
      <c r="G240" s="35" t="s">
        <v>657</v>
      </c>
      <c r="H240" s="35" t="s">
        <v>487</v>
      </c>
      <c r="I240" s="478"/>
      <c r="J240" s="361">
        <f>IF(HLOOKUP(CaseName,CaseData,MATCH($G240,cases!$G$3:$G$1259,0)-1,FALSE)="",IF(HLOOKUP(ScenarioName,ScenarioData,MATCH($G240,scenarios!$G$3:$G$144,0),FALSE)="","",HLOOKUP(ScenarioName,ScenarioData,MATCH($G240,scenarios!$G$3:$G$153,0),FALSE)),HLOOKUP(CaseName,CaseData,MATCH($G240,cases!$G$3:$G$1259,0)-1,FALSE))</f>
        <v>0</v>
      </c>
      <c r="K240" s="161">
        <v>0</v>
      </c>
      <c r="L240" s="152">
        <f t="shared" si="17"/>
        <v>0</v>
      </c>
      <c r="M240" s="35" t="s">
        <v>488</v>
      </c>
      <c r="N240" s="16"/>
      <c r="O240" s="207"/>
      <c r="P240" s="207"/>
      <c r="Q240" s="11"/>
      <c r="R240" s="11"/>
      <c r="S240"/>
      <c r="T240"/>
      <c r="U240"/>
      <c r="V240"/>
      <c r="W240"/>
      <c r="X240"/>
      <c r="Y240"/>
      <c r="Z240" s="11"/>
      <c r="AA240" s="11"/>
      <c r="AB240" s="11"/>
      <c r="AC240" s="11"/>
      <c r="AD240" s="11"/>
      <c r="AE240" s="11"/>
      <c r="AF240" s="11"/>
      <c r="AG240" s="11"/>
      <c r="AH240" s="11"/>
    </row>
    <row r="241" spans="1:34" s="24" customFormat="1" ht="12.75" customHeight="1" x14ac:dyDescent="0.3">
      <c r="A241" s="581"/>
      <c r="B241" s="35"/>
      <c r="C241" s="35" t="s">
        <v>497</v>
      </c>
      <c r="D241" s="16"/>
      <c r="E241" s="16"/>
      <c r="F241" s="16"/>
      <c r="G241" s="35" t="s">
        <v>658</v>
      </c>
      <c r="H241" s="35" t="s">
        <v>487</v>
      </c>
      <c r="I241" s="478"/>
      <c r="J241" s="361">
        <f>IF(HLOOKUP(CaseName,CaseData,MATCH($G241,cases!$G$3:$G$1259,0)-1,FALSE)="",IF(HLOOKUP(ScenarioName,ScenarioData,MATCH($G241,scenarios!$G$3:$G$144,0),FALSE)="","",HLOOKUP(ScenarioName,ScenarioData,MATCH($G241,scenarios!$G$3:$G$153,0),FALSE)),HLOOKUP(CaseName,CaseData,MATCH($G241,cases!$G$3:$G$1259,0)-1,FALSE))</f>
        <v>0</v>
      </c>
      <c r="K241" s="161">
        <v>0</v>
      </c>
      <c r="L241" s="152">
        <f t="shared" si="17"/>
        <v>0</v>
      </c>
      <c r="M241" s="35" t="s">
        <v>488</v>
      </c>
      <c r="N241" s="16"/>
      <c r="O241" s="207"/>
      <c r="P241" s="207"/>
      <c r="Q241" s="11"/>
      <c r="R241" s="11"/>
      <c r="S241"/>
      <c r="T241"/>
      <c r="U241"/>
      <c r="V241"/>
      <c r="W241"/>
      <c r="X241"/>
      <c r="Y241"/>
      <c r="Z241" s="11"/>
      <c r="AA241" s="11"/>
      <c r="AB241" s="11"/>
      <c r="AC241" s="11"/>
      <c r="AD241" s="11"/>
      <c r="AE241" s="11"/>
      <c r="AF241" s="11"/>
      <c r="AG241" s="11"/>
      <c r="AH241" s="11"/>
    </row>
    <row r="242" spans="1:34" s="24" customFormat="1" ht="12.75" customHeight="1" x14ac:dyDescent="0.3">
      <c r="A242" s="581"/>
      <c r="B242" s="35"/>
      <c r="C242" s="35" t="s">
        <v>500</v>
      </c>
      <c r="D242" s="16"/>
      <c r="E242" s="16"/>
      <c r="F242" s="16"/>
      <c r="G242" s="35" t="s">
        <v>659</v>
      </c>
      <c r="H242" s="35" t="s">
        <v>487</v>
      </c>
      <c r="I242" s="478"/>
      <c r="J242" s="361">
        <f>IF(HLOOKUP(CaseName,CaseData,MATCH($G242,cases!$G$3:$G$1259,0)-1,FALSE)="",IF(HLOOKUP(ScenarioName,ScenarioData,MATCH($G242,scenarios!$G$3:$G$144,0),FALSE)="","",HLOOKUP(ScenarioName,ScenarioData,MATCH($G242,scenarios!$G$3:$G$153,0),FALSE)),HLOOKUP(CaseName,CaseData,MATCH($G242,cases!$G$3:$G$1259,0)-1,FALSE))</f>
        <v>0</v>
      </c>
      <c r="K242" s="161">
        <v>0</v>
      </c>
      <c r="L242" s="152">
        <f t="shared" si="17"/>
        <v>0</v>
      </c>
      <c r="M242" s="35" t="s">
        <v>488</v>
      </c>
      <c r="N242" s="16"/>
      <c r="O242" s="207"/>
      <c r="P242" s="207"/>
      <c r="Q242" s="11"/>
      <c r="R242" s="11"/>
      <c r="S242"/>
      <c r="T242"/>
      <c r="U242"/>
      <c r="V242"/>
      <c r="W242"/>
      <c r="X242"/>
      <c r="Y242"/>
      <c r="Z242" s="11"/>
      <c r="AA242" s="11"/>
      <c r="AB242" s="11"/>
      <c r="AC242" s="11"/>
      <c r="AD242" s="11"/>
      <c r="AE242" s="11"/>
      <c r="AF242" s="11"/>
      <c r="AG242" s="11"/>
      <c r="AH242" s="11"/>
    </row>
    <row r="243" spans="1:34" s="24" customFormat="1" ht="12.75" customHeight="1" x14ac:dyDescent="0.3">
      <c r="A243" s="581"/>
      <c r="B243" s="71" t="s">
        <v>227</v>
      </c>
      <c r="C243" s="16"/>
      <c r="D243" s="16"/>
      <c r="E243" s="16"/>
      <c r="F243" s="16"/>
      <c r="G243" s="146"/>
      <c r="H243" s="35"/>
      <c r="I243" s="482"/>
      <c r="J243" s="361"/>
      <c r="K243" s="161"/>
      <c r="L243" s="161"/>
      <c r="M243" s="16"/>
      <c r="N243" s="16"/>
      <c r="O243" s="207"/>
      <c r="P243" s="207"/>
      <c r="Q243" s="11"/>
      <c r="R243" s="11"/>
      <c r="S243"/>
      <c r="T243"/>
      <c r="U243"/>
      <c r="V243"/>
      <c r="W243"/>
      <c r="X243"/>
      <c r="Y243"/>
      <c r="Z243" s="11"/>
      <c r="AA243" s="11"/>
      <c r="AB243" s="11"/>
      <c r="AC243" s="11"/>
      <c r="AD243" s="11"/>
      <c r="AE243" s="11"/>
      <c r="AF243" s="11"/>
      <c r="AG243" s="11"/>
      <c r="AH243" s="11"/>
    </row>
    <row r="244" spans="1:34" s="24" customFormat="1" ht="12.75" customHeight="1" x14ac:dyDescent="0.3">
      <c r="A244" s="581"/>
      <c r="B244" s="35"/>
      <c r="C244" s="35" t="s">
        <v>485</v>
      </c>
      <c r="D244" s="16"/>
      <c r="E244" s="16"/>
      <c r="F244" s="16"/>
      <c r="G244" s="35" t="s">
        <v>660</v>
      </c>
      <c r="H244" s="35" t="s">
        <v>487</v>
      </c>
      <c r="I244" s="478"/>
      <c r="J244" s="361">
        <f>IF(HLOOKUP(CaseName,CaseData,MATCH($G244,cases!$G$3:$G$1259,0)-1,FALSE)="",IF(HLOOKUP(ScenarioName,ScenarioData,MATCH($G244,scenarios!$G$3:$G$144,0),FALSE)="","",HLOOKUP(ScenarioName,ScenarioData,MATCH($G244,scenarios!$G$3:$G$153,0),FALSE)),HLOOKUP(CaseName,CaseData,MATCH($G244,cases!$G$3:$G$1259,0)-1,FALSE))</f>
        <v>0</v>
      </c>
      <c r="K244" s="161">
        <v>0</v>
      </c>
      <c r="L244" s="152">
        <f>IF(ISBLANK(I244),IF(ISNUMBER(J244)=FALSE,K244*1000/(Molweight*3600*24*365),J244*1000/(Molweight*3600*24*365)),I244*1000/(Molweight*3600*24*365))</f>
        <v>0</v>
      </c>
      <c r="M244" s="35" t="s">
        <v>488</v>
      </c>
      <c r="N244" s="16"/>
      <c r="O244" s="207"/>
      <c r="P244" s="207"/>
      <c r="Q244" s="11"/>
      <c r="R244" s="11"/>
      <c r="S244"/>
      <c r="T244"/>
      <c r="U244"/>
      <c r="V244"/>
      <c r="W244"/>
      <c r="X244"/>
      <c r="Y244"/>
      <c r="Z244" s="11"/>
      <c r="AA244" s="11"/>
      <c r="AB244" s="11"/>
      <c r="AC244" s="11"/>
      <c r="AD244" s="11"/>
      <c r="AE244" s="11"/>
      <c r="AF244" s="11"/>
      <c r="AG244" s="11"/>
      <c r="AH244" s="11"/>
    </row>
    <row r="245" spans="1:34" s="24" customFormat="1" ht="12.75" customHeight="1" x14ac:dyDescent="0.3">
      <c r="A245" s="581"/>
      <c r="B245" s="35"/>
      <c r="C245" s="35" t="s">
        <v>510</v>
      </c>
      <c r="D245" s="16"/>
      <c r="E245" s="16"/>
      <c r="F245" s="16"/>
      <c r="G245" s="35" t="s">
        <v>661</v>
      </c>
      <c r="H245" s="35" t="s">
        <v>487</v>
      </c>
      <c r="I245" s="478"/>
      <c r="J245" s="361">
        <f>IF(HLOOKUP(CaseName,CaseData,MATCH($G245,cases!$G$3:$G$1259,0)-1,FALSE)="",IF(HLOOKUP(ScenarioName,ScenarioData,MATCH($G245,scenarios!$G$3:$G$144,0),FALSE)="","",HLOOKUP(ScenarioName,ScenarioData,MATCH($G245,scenarios!$G$3:$G$153,0),FALSE)),HLOOKUP(CaseName,CaseData,MATCH($G245,cases!$G$3:$G$1259,0)-1,FALSE))</f>
        <v>0</v>
      </c>
      <c r="K245" s="161">
        <v>0</v>
      </c>
      <c r="L245" s="152">
        <f>IF(ISBLANK(I245),IF(ISNUMBER(J245)=FALSE,K245*1000/(Molweight*3600*24*365),J245*1000/(Molweight*3600*24*365)),I245*1000/(Molweight*3600*24*365))</f>
        <v>0</v>
      </c>
      <c r="M245" s="35" t="s">
        <v>488</v>
      </c>
      <c r="N245" s="16"/>
      <c r="O245" s="207"/>
      <c r="P245" s="207"/>
      <c r="Q245" s="11"/>
      <c r="R245" s="11"/>
      <c r="S245"/>
      <c r="T245"/>
      <c r="U245"/>
      <c r="V245"/>
      <c r="W245"/>
      <c r="X245"/>
      <c r="Y245"/>
      <c r="Z245" s="11"/>
      <c r="AA245" s="11"/>
      <c r="AB245" s="11"/>
      <c r="AC245" s="11"/>
      <c r="AD245" s="11"/>
      <c r="AE245" s="11"/>
      <c r="AF245" s="11"/>
      <c r="AG245" s="11"/>
      <c r="AH245" s="11"/>
    </row>
    <row r="246" spans="1:34" s="24" customFormat="1" ht="12.75" customHeight="1" x14ac:dyDescent="0.3">
      <c r="A246" s="581"/>
      <c r="B246" s="35"/>
      <c r="C246" s="35" t="s">
        <v>512</v>
      </c>
      <c r="D246" s="16"/>
      <c r="E246" s="16"/>
      <c r="F246" s="16"/>
      <c r="G246" s="35" t="s">
        <v>662</v>
      </c>
      <c r="H246" s="35" t="s">
        <v>487</v>
      </c>
      <c r="I246" s="478"/>
      <c r="J246" s="361">
        <f>IF(HLOOKUP(CaseName,CaseData,MATCH($G246,cases!$G$3:$G$1259,0)-1,FALSE)="",IF(HLOOKUP(ScenarioName,ScenarioData,MATCH($G246,scenarios!$G$3:$G$144,0),FALSE)="","",HLOOKUP(ScenarioName,ScenarioData,MATCH($G246,scenarios!$G$3:$G$153,0),FALSE)),HLOOKUP(CaseName,CaseData,MATCH($G246,cases!$G$3:$G$1259,0)-1,FALSE))</f>
        <v>0</v>
      </c>
      <c r="K246" s="161">
        <v>0</v>
      </c>
      <c r="L246" s="152">
        <f>IF(ISBLANK(I246),IF(ISNUMBER(J246)=FALSE,K246*1000/(Molweight*3600*24*365),J246*1000/(Molweight*3600*24*365)),I246*1000/(Molweight*3600*24*365))</f>
        <v>0</v>
      </c>
      <c r="M246" s="16" t="s">
        <v>488</v>
      </c>
      <c r="N246" s="16"/>
      <c r="O246" s="207"/>
      <c r="P246" s="207"/>
      <c r="Q246" s="11"/>
      <c r="R246" s="11"/>
      <c r="S246"/>
      <c r="T246"/>
      <c r="U246"/>
      <c r="V246"/>
      <c r="W246"/>
      <c r="X246"/>
      <c r="Y246"/>
      <c r="Z246" s="11"/>
      <c r="AA246" s="11"/>
      <c r="AB246" s="11"/>
      <c r="AC246" s="11"/>
      <c r="AD246" s="11"/>
      <c r="AE246" s="11"/>
      <c r="AF246" s="11"/>
      <c r="AG246" s="11"/>
      <c r="AH246" s="11"/>
    </row>
    <row r="247" spans="1:34" s="24" customFormat="1" ht="12.75" customHeight="1" x14ac:dyDescent="0.3">
      <c r="A247" s="581"/>
      <c r="B247" s="3" t="s">
        <v>228</v>
      </c>
      <c r="C247" s="35"/>
      <c r="D247" s="16"/>
      <c r="E247" s="16"/>
      <c r="F247" s="16"/>
      <c r="G247" s="146"/>
      <c r="H247" s="35"/>
      <c r="I247" s="482"/>
      <c r="J247" s="361"/>
      <c r="K247" s="161"/>
      <c r="L247" s="161"/>
      <c r="M247" s="16"/>
      <c r="N247" s="16"/>
      <c r="O247" s="207"/>
      <c r="P247" s="207"/>
      <c r="Q247" s="11"/>
      <c r="R247" s="11"/>
      <c r="S247"/>
      <c r="T247"/>
      <c r="U247"/>
      <c r="V247"/>
      <c r="W247"/>
      <c r="X247"/>
      <c r="Y247"/>
      <c r="Z247" s="11"/>
      <c r="AA247" s="11"/>
      <c r="AB247" s="11"/>
      <c r="AC247" s="11"/>
      <c r="AD247" s="11"/>
      <c r="AE247" s="11"/>
      <c r="AF247" s="11"/>
      <c r="AG247" s="11"/>
      <c r="AH247" s="11"/>
    </row>
    <row r="248" spans="1:34" s="24" customFormat="1" ht="12.75" customHeight="1" x14ac:dyDescent="0.3">
      <c r="A248" s="581"/>
      <c r="B248" s="35"/>
      <c r="C248" s="35" t="s">
        <v>485</v>
      </c>
      <c r="D248" s="16"/>
      <c r="E248" s="16"/>
      <c r="F248" s="16"/>
      <c r="G248" s="35" t="s">
        <v>663</v>
      </c>
      <c r="H248" s="35" t="s">
        <v>487</v>
      </c>
      <c r="I248" s="478"/>
      <c r="J248" s="361">
        <f>IF(HLOOKUP(CaseName,CaseData,MATCH($G248,cases!$G$3:$G$1259,0)-1,FALSE)="",IF(HLOOKUP(ScenarioName,ScenarioData,MATCH($G248,scenarios!$G$3:$G$144,0),FALSE)="","",HLOOKUP(ScenarioName,ScenarioData,MATCH($G248,scenarios!$G$3:$G$153,0),FALSE)),HLOOKUP(CaseName,CaseData,MATCH($G248,cases!$G$3:$G$1259,0)-1,FALSE))</f>
        <v>0</v>
      </c>
      <c r="K248" s="161">
        <v>0</v>
      </c>
      <c r="L248" s="152">
        <f>IF(ISBLANK(I248),IF(ISNUMBER(J248)=FALSE,K248*1000/(Molweight*3600*24*365),J248*1000/(Molweight*3600*24*365)),I248*1000/(Molweight*3600*24*365))</f>
        <v>0</v>
      </c>
      <c r="M248" s="35" t="s">
        <v>488</v>
      </c>
      <c r="N248" s="16"/>
      <c r="O248" s="207"/>
      <c r="P248" s="207"/>
      <c r="Q248" s="11"/>
      <c r="R248" s="11"/>
      <c r="S248"/>
      <c r="T248"/>
      <c r="U248"/>
      <c r="V248"/>
      <c r="W248"/>
      <c r="X248"/>
      <c r="Y248"/>
      <c r="Z248" s="11"/>
      <c r="AA248" s="11"/>
      <c r="AB248" s="11"/>
      <c r="AC248" s="11"/>
      <c r="AD248" s="11"/>
      <c r="AE248" s="11"/>
      <c r="AF248" s="11"/>
      <c r="AG248" s="11"/>
      <c r="AH248" s="11"/>
    </row>
    <row r="249" spans="1:34" s="24" customFormat="1" ht="12.75" customHeight="1" x14ac:dyDescent="0.3">
      <c r="A249" s="581"/>
      <c r="B249" s="35"/>
      <c r="C249" s="35" t="s">
        <v>510</v>
      </c>
      <c r="D249" s="16"/>
      <c r="E249" s="16"/>
      <c r="F249" s="16"/>
      <c r="G249" s="35" t="s">
        <v>664</v>
      </c>
      <c r="H249" s="35" t="s">
        <v>487</v>
      </c>
      <c r="I249" s="478"/>
      <c r="J249" s="361">
        <f>IF(HLOOKUP(CaseName,CaseData,MATCH($G249,cases!$G$3:$G$1259,0)-1,FALSE)="",IF(HLOOKUP(ScenarioName,ScenarioData,MATCH($G249,scenarios!$G$3:$G$144,0),FALSE)="","",HLOOKUP(ScenarioName,ScenarioData,MATCH($G249,scenarios!$G$3:$G$153,0),FALSE)),HLOOKUP(CaseName,CaseData,MATCH($G249,cases!$G$3:$G$1259,0)-1,FALSE))</f>
        <v>0</v>
      </c>
      <c r="K249" s="161">
        <v>0</v>
      </c>
      <c r="L249" s="152">
        <f>IF(ISBLANK(I249),IF(ISNUMBER(J249)=FALSE,K249*1000/(Molweight*3600*24*365),J249*1000/(Molweight*3600*24*365)),I249*1000/(Molweight*3600*24*365))</f>
        <v>0</v>
      </c>
      <c r="M249" s="35" t="s">
        <v>488</v>
      </c>
      <c r="N249" s="16"/>
      <c r="O249" s="207"/>
      <c r="P249" s="207"/>
      <c r="Q249" s="11"/>
      <c r="R249" s="11"/>
      <c r="S249"/>
      <c r="T249"/>
      <c r="U249"/>
      <c r="V249"/>
      <c r="W249"/>
      <c r="X249"/>
      <c r="Y249"/>
      <c r="Z249" s="11"/>
      <c r="AA249" s="11"/>
      <c r="AB249" s="11"/>
      <c r="AC249" s="11"/>
      <c r="AD249" s="11"/>
      <c r="AE249" s="11"/>
      <c r="AF249" s="11"/>
      <c r="AG249" s="11"/>
      <c r="AH249" s="11"/>
    </row>
    <row r="250" spans="1:34" s="24" customFormat="1" ht="12.75" customHeight="1" x14ac:dyDescent="0.3">
      <c r="A250" s="581"/>
      <c r="B250" s="35"/>
      <c r="C250" s="35" t="s">
        <v>512</v>
      </c>
      <c r="D250" s="16"/>
      <c r="E250" s="16"/>
      <c r="F250" s="16"/>
      <c r="G250" s="35" t="s">
        <v>665</v>
      </c>
      <c r="H250" s="35" t="s">
        <v>487</v>
      </c>
      <c r="I250" s="478"/>
      <c r="J250" s="361">
        <f>IF(HLOOKUP(CaseName,CaseData,MATCH($G250,cases!$G$3:$G$1259,0)-1,FALSE)="",IF(HLOOKUP(ScenarioName,ScenarioData,MATCH($G250,scenarios!$G$3:$G$144,0),FALSE)="","",HLOOKUP(ScenarioName,ScenarioData,MATCH($G250,scenarios!$G$3:$G$153,0),FALSE)),HLOOKUP(CaseName,CaseData,MATCH($G250,cases!$G$3:$G$1259,0)-1,FALSE))</f>
        <v>0</v>
      </c>
      <c r="K250" s="161">
        <v>0</v>
      </c>
      <c r="L250" s="152">
        <f>IF(ISBLANK(I250),IF(ISNUMBER(J250)=FALSE,K250*1000/(Molweight*3600*24*365),J250*1000/(Molweight*3600*24*365)),I250*1000/(Molweight*3600*24*365))</f>
        <v>0</v>
      </c>
      <c r="M250" s="16" t="s">
        <v>488</v>
      </c>
      <c r="N250" s="16"/>
      <c r="O250" s="207"/>
      <c r="P250" s="207"/>
      <c r="Q250" s="11"/>
      <c r="R250" s="11"/>
      <c r="S250"/>
      <c r="T250"/>
      <c r="U250"/>
      <c r="V250"/>
      <c r="W250"/>
      <c r="X250"/>
      <c r="Y250"/>
      <c r="Z250" s="11"/>
      <c r="AA250" s="11"/>
      <c r="AB250" s="11"/>
      <c r="AC250" s="11"/>
      <c r="AD250" s="11"/>
      <c r="AE250" s="11"/>
      <c r="AF250" s="11"/>
      <c r="AG250" s="11"/>
      <c r="AH250" s="11"/>
    </row>
    <row r="251" spans="1:34" s="24" customFormat="1" ht="12.75" customHeight="1" x14ac:dyDescent="0.3">
      <c r="A251" s="581"/>
      <c r="B251" s="71" t="s">
        <v>517</v>
      </c>
      <c r="C251" s="16"/>
      <c r="D251" s="16"/>
      <c r="E251" s="16"/>
      <c r="F251" s="16"/>
      <c r="G251" s="146"/>
      <c r="H251" s="35"/>
      <c r="I251" s="482"/>
      <c r="J251" s="361"/>
      <c r="K251" s="161"/>
      <c r="L251" s="161"/>
      <c r="M251" s="16"/>
      <c r="N251" s="16"/>
      <c r="O251" s="207"/>
      <c r="P251" s="207"/>
      <c r="Q251" s="11"/>
      <c r="R251" s="11"/>
      <c r="S251"/>
      <c r="T251"/>
      <c r="U251"/>
      <c r="V251"/>
      <c r="W251"/>
      <c r="X251"/>
      <c r="Y251"/>
      <c r="Z251" s="11"/>
      <c r="AA251" s="11"/>
      <c r="AB251" s="11"/>
      <c r="AC251" s="11"/>
      <c r="AD251" s="11"/>
      <c r="AE251" s="11"/>
      <c r="AF251" s="11"/>
      <c r="AG251" s="11"/>
      <c r="AH251" s="11"/>
    </row>
    <row r="252" spans="1:34" s="24" customFormat="1" ht="12.75" customHeight="1" x14ac:dyDescent="0.3">
      <c r="A252" s="581"/>
      <c r="B252" s="35"/>
      <c r="C252" s="35" t="s">
        <v>485</v>
      </c>
      <c r="D252" s="16"/>
      <c r="E252" s="16"/>
      <c r="F252" s="16"/>
      <c r="G252" s="35" t="s">
        <v>666</v>
      </c>
      <c r="H252" s="35" t="s">
        <v>487</v>
      </c>
      <c r="I252" s="478"/>
      <c r="J252" s="361">
        <f>IF(HLOOKUP(CaseName,CaseData,MATCH($G252,cases!$G$3:$G$1259,0)-1,FALSE)="",IF(HLOOKUP(ScenarioName,ScenarioData,MATCH($G252,scenarios!$G$3:$G$144,0),FALSE)="","",HLOOKUP(ScenarioName,ScenarioData,MATCH($G252,scenarios!$G$3:$G$153,0),FALSE)),HLOOKUP(CaseName,CaseData,MATCH($G252,cases!$G$3:$G$1259,0)-1,FALSE))</f>
        <v>0</v>
      </c>
      <c r="K252" s="161">
        <v>0</v>
      </c>
      <c r="L252" s="152">
        <f>IF(ISBLANK(I252),IF(ISNUMBER(J252)=FALSE,K252*1000/(Molweight*3600*24*365),J252*1000/(Molweight*3600*24*365)),I252*1000/(Molweight*3600*24*365))</f>
        <v>0</v>
      </c>
      <c r="M252" s="35" t="s">
        <v>488</v>
      </c>
      <c r="N252" s="16"/>
      <c r="O252" s="207"/>
      <c r="P252" s="207"/>
      <c r="Q252" s="11"/>
      <c r="R252" s="11"/>
      <c r="S252"/>
      <c r="T252"/>
      <c r="U252"/>
      <c r="V252"/>
      <c r="W252"/>
      <c r="X252"/>
      <c r="Y252"/>
      <c r="Z252" s="11"/>
      <c r="AA252" s="11"/>
      <c r="AB252" s="11"/>
      <c r="AC252" s="11"/>
      <c r="AD252" s="11"/>
      <c r="AE252" s="11"/>
      <c r="AF252" s="11"/>
      <c r="AG252" s="11"/>
      <c r="AH252" s="11"/>
    </row>
    <row r="253" spans="1:34" s="24" customFormat="1" ht="12.75" customHeight="1" x14ac:dyDescent="0.3">
      <c r="A253" s="581"/>
      <c r="B253" s="35"/>
      <c r="C253" s="35" t="s">
        <v>510</v>
      </c>
      <c r="D253" s="16"/>
      <c r="E253" s="16"/>
      <c r="F253" s="16"/>
      <c r="G253" s="35" t="s">
        <v>667</v>
      </c>
      <c r="H253" s="35" t="s">
        <v>487</v>
      </c>
      <c r="I253" s="478"/>
      <c r="J253" s="361">
        <f>IF(HLOOKUP(CaseName,CaseData,MATCH($G253,cases!$G$3:$G$1259,0)-1,FALSE)="",IF(HLOOKUP(ScenarioName,ScenarioData,MATCH($G253,scenarios!$G$3:$G$144,0),FALSE)="","",HLOOKUP(ScenarioName,ScenarioData,MATCH($G253,scenarios!$G$3:$G$153,0),FALSE)),HLOOKUP(CaseName,CaseData,MATCH($G253,cases!$G$3:$G$1259,0)-1,FALSE))</f>
        <v>0</v>
      </c>
      <c r="K253" s="161">
        <v>0</v>
      </c>
      <c r="L253" s="152">
        <f>IF(ISBLANK(I253),IF(ISNUMBER(J253)=FALSE,K253*1000/(Molweight*3600*24*365),J253*1000/(Molweight*3600*24*365)),I253*1000/(Molweight*3600*24*365))</f>
        <v>0</v>
      </c>
      <c r="M253" s="35" t="s">
        <v>488</v>
      </c>
      <c r="N253" s="16"/>
      <c r="O253" s="207"/>
      <c r="P253" s="207"/>
      <c r="Q253" s="11"/>
      <c r="R253" s="11"/>
      <c r="S253"/>
      <c r="T253"/>
      <c r="U253"/>
      <c r="V253"/>
      <c r="W253"/>
      <c r="X253"/>
      <c r="Y253"/>
      <c r="Z253" s="11"/>
      <c r="AA253" s="11"/>
      <c r="AB253" s="11"/>
      <c r="AC253" s="11"/>
      <c r="AD253" s="11"/>
      <c r="AE253" s="11"/>
      <c r="AF253" s="11"/>
      <c r="AG253" s="11"/>
      <c r="AH253" s="11"/>
    </row>
    <row r="254" spans="1:34" s="24" customFormat="1" ht="12.75" customHeight="1" x14ac:dyDescent="0.3">
      <c r="A254" s="581"/>
      <c r="B254" s="35"/>
      <c r="C254" s="35" t="s">
        <v>512</v>
      </c>
      <c r="D254" s="16"/>
      <c r="E254" s="16"/>
      <c r="F254" s="16"/>
      <c r="G254" s="35" t="s">
        <v>668</v>
      </c>
      <c r="H254" s="35" t="s">
        <v>487</v>
      </c>
      <c r="I254" s="478"/>
      <c r="J254" s="361">
        <f>IF(HLOOKUP(CaseName,CaseData,MATCH($G254,cases!$G$3:$G$1259,0)-1,FALSE)="",IF(HLOOKUP(ScenarioName,ScenarioData,MATCH($G254,scenarios!$G$3:$G$144,0),FALSE)="","",HLOOKUP(ScenarioName,ScenarioData,MATCH($G254,scenarios!$G$3:$G$153,0),FALSE)),HLOOKUP(CaseName,CaseData,MATCH($G254,cases!$G$3:$G$1259,0)-1,FALSE))</f>
        <v>0</v>
      </c>
      <c r="K254" s="161">
        <v>0</v>
      </c>
      <c r="L254" s="152">
        <f>IF(ISBLANK(I254),IF(ISNUMBER(J254)=FALSE,K254*1000/(Molweight*3600*24*365),J254*1000/(Molweight*3600*24*365)),I254*1000/(Molweight*3600*24*365))</f>
        <v>0</v>
      </c>
      <c r="M254" s="16" t="s">
        <v>488</v>
      </c>
      <c r="N254" s="16"/>
      <c r="O254" s="207"/>
      <c r="P254" s="207"/>
      <c r="Q254" s="11"/>
      <c r="R254" s="11"/>
      <c r="S254"/>
      <c r="T254"/>
      <c r="U254"/>
      <c r="V254"/>
      <c r="W254"/>
      <c r="X254"/>
      <c r="Y254"/>
      <c r="Z254" s="11"/>
      <c r="AA254" s="11"/>
      <c r="AB254" s="11"/>
      <c r="AC254" s="11"/>
      <c r="AD254" s="11"/>
      <c r="AE254" s="11"/>
      <c r="AF254" s="11"/>
      <c r="AG254" s="11"/>
      <c r="AH254" s="11"/>
    </row>
    <row r="255" spans="1:34" s="24" customFormat="1" ht="12.75" customHeight="1" x14ac:dyDescent="0.3">
      <c r="A255" s="16"/>
      <c r="B255" s="16"/>
      <c r="C255" s="16"/>
      <c r="D255" s="16"/>
      <c r="E255" s="16"/>
      <c r="F255" s="16"/>
      <c r="G255" s="35"/>
      <c r="H255" s="35"/>
      <c r="I255" s="244"/>
      <c r="J255" s="161"/>
      <c r="K255" s="161"/>
      <c r="L255" s="161"/>
      <c r="M255" s="16"/>
      <c r="N255" s="16"/>
      <c r="O255" s="207"/>
      <c r="P255" s="207"/>
      <c r="Q255" s="11"/>
      <c r="R255" s="11"/>
      <c r="S255"/>
      <c r="T255"/>
      <c r="U255"/>
      <c r="V255"/>
      <c r="W255"/>
      <c r="X255"/>
      <c r="Y255"/>
      <c r="Z255" s="11"/>
      <c r="AA255" s="11"/>
      <c r="AB255" s="11"/>
      <c r="AC255" s="11"/>
      <c r="AD255" s="11"/>
      <c r="AE255" s="11"/>
      <c r="AF255" s="11"/>
      <c r="AG255" s="11"/>
      <c r="AH255" s="11"/>
    </row>
    <row r="256" spans="1:34" customFormat="1" ht="12.75" customHeight="1" x14ac:dyDescent="0.3">
      <c r="A256" s="145" t="s">
        <v>669</v>
      </c>
      <c r="B256" s="144"/>
      <c r="C256" s="144"/>
      <c r="D256" s="144"/>
      <c r="E256" s="144"/>
      <c r="F256" s="144"/>
      <c r="G256" s="145" t="s">
        <v>258</v>
      </c>
      <c r="H256" s="145" t="s">
        <v>274</v>
      </c>
      <c r="I256" s="276" t="s">
        <v>259</v>
      </c>
      <c r="J256" s="276" t="s">
        <v>275</v>
      </c>
      <c r="K256" s="276" t="s">
        <v>260</v>
      </c>
      <c r="L256" s="276" t="s">
        <v>261</v>
      </c>
      <c r="M256" s="144"/>
      <c r="N256" s="145" t="s">
        <v>262</v>
      </c>
      <c r="O256" s="228" t="s">
        <v>263</v>
      </c>
      <c r="P256" s="353" t="s">
        <v>264</v>
      </c>
      <c r="Q256" s="11"/>
      <c r="R256" s="11"/>
    </row>
    <row r="257" spans="1:34" s="24" customFormat="1" ht="12.75" customHeight="1" x14ac:dyDescent="0.3">
      <c r="A257" s="35"/>
      <c r="B257" s="16"/>
      <c r="C257" s="16"/>
      <c r="D257" s="16"/>
      <c r="E257" s="16"/>
      <c r="F257" s="16"/>
      <c r="G257" s="35"/>
      <c r="H257" s="35"/>
      <c r="I257" s="133"/>
      <c r="J257" s="121"/>
      <c r="K257" s="121"/>
      <c r="L257" s="121"/>
      <c r="M257" s="16"/>
      <c r="N257" s="35"/>
      <c r="O257" s="207"/>
      <c r="P257" s="207"/>
      <c r="Q257" s="11"/>
      <c r="R257" s="11"/>
      <c r="S257"/>
      <c r="T257"/>
      <c r="U257"/>
      <c r="V257"/>
      <c r="W257"/>
      <c r="X257"/>
      <c r="Y257"/>
      <c r="Z257" s="11"/>
      <c r="AA257" s="11"/>
      <c r="AB257" s="11"/>
      <c r="AC257" s="11"/>
      <c r="AD257" s="11"/>
      <c r="AE257" s="11"/>
      <c r="AF257" s="11"/>
      <c r="AG257" s="11"/>
      <c r="AH257" s="11"/>
    </row>
    <row r="258" spans="1:34" s="24" customFormat="1" ht="12.75" customHeight="1" x14ac:dyDescent="0.3">
      <c r="A258" s="3" t="s">
        <v>58</v>
      </c>
      <c r="B258" s="16"/>
      <c r="C258" s="16"/>
      <c r="D258" s="16"/>
      <c r="E258" s="16"/>
      <c r="F258" s="16"/>
      <c r="G258" s="16"/>
      <c r="H258" s="16"/>
      <c r="I258" s="244"/>
      <c r="J258" s="241"/>
      <c r="K258" s="241"/>
      <c r="L258" s="241"/>
      <c r="M258" s="146"/>
      <c r="N258" s="16"/>
      <c r="O258" s="207"/>
      <c r="P258" s="207"/>
      <c r="Q258" s="11"/>
      <c r="R258" s="11"/>
      <c r="S258"/>
      <c r="T258"/>
      <c r="U258"/>
      <c r="V258"/>
      <c r="W258"/>
      <c r="X258"/>
      <c r="Y258"/>
      <c r="Z258" s="11"/>
      <c r="AA258" s="11"/>
      <c r="AB258" s="11"/>
      <c r="AC258" s="11"/>
      <c r="AD258" s="11"/>
      <c r="AE258" s="11"/>
      <c r="AF258" s="11"/>
      <c r="AG258" s="11"/>
      <c r="AH258" s="11"/>
    </row>
    <row r="259" spans="1:34" s="24" customFormat="1" ht="12.75" customHeight="1" x14ac:dyDescent="0.3">
      <c r="A259" s="16"/>
      <c r="B259" s="16" t="s">
        <v>670</v>
      </c>
      <c r="C259" s="16"/>
      <c r="D259" s="16"/>
      <c r="E259" s="16"/>
      <c r="F259" s="16"/>
      <c r="G259" s="16" t="s">
        <v>671</v>
      </c>
      <c r="H259" s="143" t="s">
        <v>672</v>
      </c>
      <c r="I259" s="477"/>
      <c r="J259" s="361">
        <f>IF(HLOOKUP(CaseName,CaseData,MATCH($G259,cases!$G$3:$G$1259,0)-1,FALSE)="",IF(HLOOKUP(ScenarioName,ScenarioData,MATCH($G259,scenarios!$G$3:$G$144,0),FALSE)="","",HLOOKUP(ScenarioName,ScenarioData,MATCH($G259,scenarios!$G$3:$G$153,0),FALSE)),HLOOKUP(CaseName,CaseData,MATCH($G259,cases!$G$3:$G$1259,0)-1,FALSE))</f>
        <v>228570</v>
      </c>
      <c r="K259" s="347">
        <v>228570</v>
      </c>
      <c r="L259" s="152">
        <f>IF(ISBLANK(I259), IF(ISNUMBER(J259)=FALSE,K259*1000000,J259*1000000),I259*1000000)</f>
        <v>228570000000</v>
      </c>
      <c r="M259" s="35" t="s">
        <v>673</v>
      </c>
      <c r="N259" s="235"/>
      <c r="O259" s="207"/>
      <c r="P259" s="207"/>
      <c r="Q259" s="11"/>
      <c r="R259" s="11"/>
      <c r="S259"/>
      <c r="T259"/>
      <c r="U259"/>
      <c r="V259"/>
      <c r="W259"/>
      <c r="X259"/>
      <c r="Y259"/>
      <c r="Z259" s="11"/>
      <c r="AA259" s="11"/>
      <c r="AB259" s="11"/>
      <c r="AC259" s="11"/>
      <c r="AD259" s="11"/>
      <c r="AE259" s="11"/>
      <c r="AF259" s="11"/>
      <c r="AG259" s="11"/>
      <c r="AH259" s="11"/>
    </row>
    <row r="260" spans="1:34" s="24" customFormat="1" ht="12.75" customHeight="1" x14ac:dyDescent="0.3">
      <c r="A260" s="16"/>
      <c r="B260" s="16" t="s">
        <v>674</v>
      </c>
      <c r="C260" s="16"/>
      <c r="D260" s="16"/>
      <c r="E260" s="16"/>
      <c r="F260" s="16"/>
      <c r="G260" s="16" t="s">
        <v>675</v>
      </c>
      <c r="H260" s="143" t="s">
        <v>672</v>
      </c>
      <c r="I260" s="477"/>
      <c r="J260" s="361">
        <f>IF(HLOOKUP(CaseName,CaseData,MATCH($G260,cases!$G$3:$G$1259,0)-1,FALSE)="",IF(HLOOKUP(ScenarioName,ScenarioData,MATCH($G260,scenarios!$G$3:$G$144,0),FALSE)="","",HLOOKUP(ScenarioName,ScenarioData,MATCH($G260,scenarios!$G$3:$G$153,0),FALSE)),HLOOKUP(CaseName,CaseData,MATCH($G260,cases!$G$3:$G$1259,0)-1,FALSE))</f>
        <v>1000</v>
      </c>
      <c r="K260" s="347">
        <v>1000</v>
      </c>
      <c r="L260" s="152">
        <f>IF(ISBLANK(I260), IF(ISNUMBER(J260)=FALSE,K260*1000000,J260*1000000),I260*1000000)</f>
        <v>1000000000</v>
      </c>
      <c r="M260" s="35" t="s">
        <v>673</v>
      </c>
      <c r="N260" s="16"/>
      <c r="O260" s="207"/>
      <c r="P260" s="207"/>
      <c r="Q260" s="11"/>
      <c r="R260" s="11"/>
      <c r="S260"/>
      <c r="T260"/>
      <c r="U260"/>
      <c r="V260"/>
      <c r="W260"/>
      <c r="X260"/>
      <c r="Y260"/>
      <c r="Z260" s="11"/>
      <c r="AA260" s="11"/>
      <c r="AB260" s="11"/>
      <c r="AC260" s="11"/>
      <c r="AD260" s="11"/>
      <c r="AE260" s="11"/>
      <c r="AF260" s="11"/>
      <c r="AG260" s="11"/>
      <c r="AH260" s="11"/>
    </row>
    <row r="261" spans="1:34" s="24" customFormat="1" ht="12.75" customHeight="1" x14ac:dyDescent="0.3">
      <c r="A261" s="16"/>
      <c r="B261" s="16" t="s">
        <v>676</v>
      </c>
      <c r="C261" s="16"/>
      <c r="D261" s="16"/>
      <c r="E261" s="16"/>
      <c r="F261" s="16"/>
      <c r="G261" s="16" t="s">
        <v>677</v>
      </c>
      <c r="H261" s="16" t="s">
        <v>292</v>
      </c>
      <c r="I261" s="478"/>
      <c r="J261" s="361">
        <f>IF(HLOOKUP(CaseName,CaseData,MATCH($G261,cases!$G$3:$G$1259,0)-1,FALSE)="",IF(HLOOKUP(ScenarioName,ScenarioData,MATCH($G261,scenarios!$G$3:$G$144,0),FALSE)="","",HLOOKUP(ScenarioName,ScenarioData,MATCH($G261,scenarios!$G$3:$G$153,0),FALSE)),HLOOKUP(CaseName,CaseData,MATCH($G261,cases!$G$3:$G$1259,0)-1,FALSE))</f>
        <v>2.5000000000000001E-3</v>
      </c>
      <c r="K261" s="347">
        <v>2.5000000000000001E-3</v>
      </c>
      <c r="L261" s="152">
        <f>IF(ISBLANK(I261), IF(ISNUMBER(J261)=FALSE,K261,J261),I261)</f>
        <v>2.5000000000000001E-3</v>
      </c>
      <c r="M261" s="35" t="s">
        <v>292</v>
      </c>
      <c r="N261" s="16"/>
      <c r="O261" s="207"/>
      <c r="P261" s="207"/>
      <c r="Q261" s="11"/>
      <c r="R261" s="11"/>
      <c r="S261"/>
      <c r="T261"/>
      <c r="U261"/>
      <c r="V261"/>
      <c r="W261"/>
      <c r="X261"/>
      <c r="Y261"/>
      <c r="Z261" s="11"/>
      <c r="AA261" s="11"/>
      <c r="AB261" s="11"/>
      <c r="AC261" s="11"/>
      <c r="AD261" s="11"/>
      <c r="AE261" s="11"/>
      <c r="AF261" s="11"/>
      <c r="AG261" s="11"/>
      <c r="AH261" s="11"/>
    </row>
    <row r="262" spans="1:34" s="24" customFormat="1" ht="12.75" customHeight="1" x14ac:dyDescent="0.3">
      <c r="A262" s="16"/>
      <c r="B262" s="16" t="s">
        <v>678</v>
      </c>
      <c r="C262" s="16"/>
      <c r="D262" s="16"/>
      <c r="E262" s="16"/>
      <c r="F262" s="16"/>
      <c r="G262" s="16" t="s">
        <v>679</v>
      </c>
      <c r="H262" s="16" t="s">
        <v>292</v>
      </c>
      <c r="I262" s="477"/>
      <c r="J262" s="361">
        <f>IF(HLOOKUP(CaseName,CaseData,MATCH($G262,cases!$G$3:$G$1259,0)-1,FALSE)="",IF(HLOOKUP(ScenarioName,ScenarioData,MATCH($G262,scenarios!$G$3:$G$144,0),FALSE)="","",HLOOKUP(ScenarioName,ScenarioData,MATCH($G262,scenarios!$G$3:$G$153,0),FALSE)),HLOOKUP(CaseName,CaseData,MATCH($G262,cases!$G$3:$G$1259,0)-1,FALSE))</f>
        <v>2.75E-2</v>
      </c>
      <c r="K262" s="347">
        <v>2.75E-2</v>
      </c>
      <c r="L262" s="152">
        <f>IF(ISBLANK(I262), IF(ISNUMBER(J262)=FALSE,K262,J262),I262)</f>
        <v>2.75E-2</v>
      </c>
      <c r="M262" s="35" t="s">
        <v>292</v>
      </c>
      <c r="N262" s="16"/>
      <c r="O262" s="207"/>
      <c r="P262" s="207"/>
      <c r="Q262" s="11"/>
      <c r="R262" s="11"/>
      <c r="S262"/>
      <c r="T262"/>
      <c r="U262"/>
      <c r="V262"/>
      <c r="W262"/>
      <c r="X262"/>
      <c r="Y262"/>
      <c r="Z262" s="11"/>
      <c r="AA262" s="11"/>
      <c r="AB262" s="11"/>
      <c r="AC262" s="11"/>
      <c r="AD262" s="11"/>
      <c r="AE262" s="11"/>
      <c r="AF262" s="11"/>
      <c r="AG262" s="11"/>
      <c r="AH262" s="11"/>
    </row>
    <row r="263" spans="1:34" s="24" customFormat="1" ht="12.75" customHeight="1" x14ac:dyDescent="0.3">
      <c r="A263" s="16"/>
      <c r="B263" s="16" t="s">
        <v>680</v>
      </c>
      <c r="C263" s="16"/>
      <c r="D263" s="16"/>
      <c r="E263" s="16"/>
      <c r="F263" s="16"/>
      <c r="G263" s="16" t="s">
        <v>681</v>
      </c>
      <c r="H263" s="16" t="s">
        <v>292</v>
      </c>
      <c r="I263" s="477"/>
      <c r="J263" s="361">
        <f>IF(HLOOKUP(CaseName,CaseData,MATCH($G263,cases!$G$3:$G$1259,0)-1,FALSE)="",IF(HLOOKUP(ScenarioName,ScenarioData,MATCH($G263,scenarios!$G$3:$G$144,0),FALSE)="","",HLOOKUP(ScenarioName,ScenarioData,MATCH($G263,scenarios!$G$3:$G$153,0),FALSE)),HLOOKUP(CaseName,CaseData,MATCH($G263,cases!$G$3:$G$1259,0)-1,FALSE))</f>
        <v>0.27</v>
      </c>
      <c r="K263" s="347">
        <v>0.27</v>
      </c>
      <c r="L263" s="152">
        <f>IF(ISBLANK(I263), IF(ISNUMBER(J263)=FALSE,K263,J263),I263)</f>
        <v>0.27</v>
      </c>
      <c r="M263" s="35" t="s">
        <v>292</v>
      </c>
      <c r="N263" s="16"/>
      <c r="O263" s="207"/>
      <c r="P263" s="207"/>
      <c r="Q263" s="11"/>
      <c r="R263" s="11"/>
      <c r="S263"/>
      <c r="T263"/>
      <c r="U263"/>
      <c r="V263"/>
      <c r="W263"/>
      <c r="X263"/>
      <c r="Y263"/>
      <c r="Z263" s="11"/>
      <c r="AA263" s="11"/>
      <c r="AB263" s="11"/>
      <c r="AC263" s="11"/>
      <c r="AD263" s="11"/>
      <c r="AE263" s="11"/>
      <c r="AF263" s="11"/>
      <c r="AG263" s="11"/>
      <c r="AH263" s="11"/>
    </row>
    <row r="264" spans="1:34" s="24" customFormat="1" ht="12.75" customHeight="1" x14ac:dyDescent="0.3">
      <c r="A264" s="16"/>
      <c r="B264" s="16" t="s">
        <v>682</v>
      </c>
      <c r="C264" s="16"/>
      <c r="D264" s="16"/>
      <c r="E264" s="16"/>
      <c r="F264" s="16"/>
      <c r="G264" s="16" t="s">
        <v>683</v>
      </c>
      <c r="H264" s="16" t="s">
        <v>292</v>
      </c>
      <c r="I264" s="478"/>
      <c r="J264" s="361">
        <f>IF(HLOOKUP(CaseName,CaseData,MATCH($G264,cases!$G$3:$G$1259,0)-1,FALSE)="",IF(HLOOKUP(ScenarioName,ScenarioData,MATCH($G264,scenarios!$G$3:$G$144,0),FALSE)="","",HLOOKUP(ScenarioName,ScenarioData,MATCH($G264,scenarios!$G$3:$G$153,0),FALSE)),HLOOKUP(CaseName,CaseData,MATCH($G264,cases!$G$3:$G$1259,0)-1,FALSE))</f>
        <v>0.6</v>
      </c>
      <c r="K264" s="347">
        <v>0.6</v>
      </c>
      <c r="L264" s="152">
        <f>IF(ISBLANK(I264), IF(ISNUMBER(J264)=FALSE,K264,J264),I264)</f>
        <v>0.6</v>
      </c>
      <c r="M264" s="35" t="s">
        <v>292</v>
      </c>
      <c r="N264" s="16"/>
      <c r="O264" s="207"/>
      <c r="P264" s="207"/>
      <c r="Q264" s="11"/>
      <c r="R264" s="11"/>
      <c r="S264"/>
      <c r="T264"/>
      <c r="U264"/>
      <c r="V264"/>
      <c r="W264"/>
      <c r="X264"/>
      <c r="Y264"/>
      <c r="Z264" s="11"/>
      <c r="AA264" s="11"/>
      <c r="AB264" s="11"/>
      <c r="AC264" s="11"/>
      <c r="AD264" s="11"/>
      <c r="AE264" s="11"/>
      <c r="AF264" s="11"/>
      <c r="AG264" s="11"/>
      <c r="AH264" s="11"/>
    </row>
    <row r="265" spans="1:34" s="24" customFormat="1" ht="12.75" customHeight="1" x14ac:dyDescent="0.3">
      <c r="A265" s="16"/>
      <c r="B265" s="16" t="s">
        <v>684</v>
      </c>
      <c r="C265" s="16"/>
      <c r="D265" s="16"/>
      <c r="E265" s="16"/>
      <c r="F265" s="16"/>
      <c r="G265" s="16" t="s">
        <v>685</v>
      </c>
      <c r="H265" s="16" t="s">
        <v>292</v>
      </c>
      <c r="I265" s="478"/>
      <c r="J265" s="361">
        <f>IF(HLOOKUP(CaseName,CaseData,MATCH($G265,cases!$G$3:$G$1259,0)-1,FALSE)="",IF(HLOOKUP(ScenarioName,ScenarioData,MATCH($G265,scenarios!$G$3:$G$144,0),FALSE)="","",HLOOKUP(ScenarioName,ScenarioData,MATCH($G265,scenarios!$G$3:$G$153,0),FALSE)),HLOOKUP(CaseName,CaseData,MATCH($G265,cases!$G$3:$G$1259,0)-1,FALSE))</f>
        <v>0.1</v>
      </c>
      <c r="K265" s="347">
        <v>0.1</v>
      </c>
      <c r="L265" s="152">
        <f>IF(ISBLANK(I265), IF(ISNUMBER(J265)=FALSE,K265,J265),I265)</f>
        <v>0.1</v>
      </c>
      <c r="M265" s="35" t="s">
        <v>292</v>
      </c>
      <c r="N265" s="16"/>
      <c r="O265" s="207"/>
      <c r="P265" s="207"/>
      <c r="Q265" s="11"/>
      <c r="R265" s="11"/>
      <c r="S265"/>
      <c r="T265"/>
      <c r="U265"/>
      <c r="V265"/>
      <c r="W265"/>
      <c r="X265"/>
      <c r="Y265"/>
      <c r="Z265" s="11"/>
      <c r="AA265" s="11"/>
      <c r="AB265" s="11"/>
      <c r="AC265" s="11"/>
      <c r="AD265" s="11"/>
      <c r="AE265" s="11"/>
      <c r="AF265" s="11"/>
      <c r="AG265" s="11"/>
      <c r="AH265" s="11"/>
    </row>
    <row r="266" spans="1:34" s="24" customFormat="1" ht="12.75" customHeight="1" x14ac:dyDescent="0.3">
      <c r="A266" s="16"/>
      <c r="B266" s="16" t="s">
        <v>686</v>
      </c>
      <c r="C266" s="16"/>
      <c r="D266" s="16"/>
      <c r="E266" s="16"/>
      <c r="F266" s="16"/>
      <c r="G266" s="16" t="s">
        <v>687</v>
      </c>
      <c r="H266" s="16" t="s">
        <v>585</v>
      </c>
      <c r="I266" s="477"/>
      <c r="J266" s="361">
        <f>IF(HLOOKUP(CaseName,CaseData,MATCH($G266,cases!$G$3:$G$1259,0)-1,FALSE)="",IF(HLOOKUP(ScenarioName,ScenarioData,MATCH($G266,scenarios!$G$3:$G$144,0),FALSE)="","",HLOOKUP(ScenarioName,ScenarioData,MATCH($G266,scenarios!$G$3:$G$153,0),FALSE)),HLOOKUP(CaseName,CaseData,MATCH($G266,cases!$G$3:$G$1259,0)-1,FALSE))</f>
        <v>12</v>
      </c>
      <c r="K266" s="347">
        <v>12</v>
      </c>
      <c r="L266" s="152">
        <f>IF(ISBLANK(I266), IF(ISNUMBER(J266)=FALSE,K266+273,J266+273),I266+273)</f>
        <v>285</v>
      </c>
      <c r="M266" s="35" t="s">
        <v>586</v>
      </c>
      <c r="N266" s="16"/>
      <c r="O266" s="207"/>
      <c r="P266" s="207"/>
      <c r="Q266" s="11"/>
      <c r="R266" s="11"/>
      <c r="S266"/>
      <c r="T266"/>
      <c r="U266"/>
      <c r="V266"/>
      <c r="W266"/>
      <c r="X266"/>
      <c r="Y266"/>
      <c r="Z266" s="11"/>
      <c r="AA266" s="11"/>
      <c r="AB266" s="11"/>
      <c r="AC266" s="11"/>
      <c r="AD266" s="11"/>
      <c r="AE266" s="11"/>
      <c r="AF266" s="11"/>
      <c r="AG266" s="11"/>
      <c r="AH266" s="11"/>
    </row>
    <row r="267" spans="1:34" s="24" customFormat="1" ht="12.75" customHeight="1" x14ac:dyDescent="0.3">
      <c r="A267" s="211"/>
      <c r="B267" s="211" t="s">
        <v>688</v>
      </c>
      <c r="C267" s="211"/>
      <c r="D267" s="211"/>
      <c r="E267" s="211"/>
      <c r="F267" s="211"/>
      <c r="G267" s="211" t="s">
        <v>689</v>
      </c>
      <c r="H267" s="211" t="s">
        <v>690</v>
      </c>
      <c r="I267" s="477"/>
      <c r="J267" s="361">
        <f>IF(HLOOKUP(CaseName,CaseData,MATCH($G267,cases!$G$3:$G$1259,0)-1,FALSE)="",IF(HLOOKUP(ScenarioName,ScenarioData,MATCH($G267,scenarios!$G$3:$G$144,0),FALSE)="","",HLOOKUP(ScenarioName,ScenarioData,MATCH($G267,scenarios!$G$3:$G$153,0),FALSE)),HLOOKUP(CaseName,CaseData,MATCH($G267,cases!$G$3:$G$1259,0)-1,FALSE))</f>
        <v>3</v>
      </c>
      <c r="K267" s="349">
        <v>3</v>
      </c>
      <c r="L267" s="360">
        <f>IF(ISBLANK(I267), IF(ISNUMBER(J267)=FALSE,K267,J267),I267)</f>
        <v>3</v>
      </c>
      <c r="M267" s="208" t="s">
        <v>690</v>
      </c>
      <c r="N267" s="16"/>
      <c r="O267" s="207"/>
      <c r="P267" s="207"/>
      <c r="Q267" s="11"/>
      <c r="R267" s="11"/>
      <c r="S267"/>
      <c r="T267"/>
      <c r="U267"/>
      <c r="V267"/>
      <c r="W267"/>
      <c r="X267"/>
      <c r="Y267"/>
      <c r="Z267" s="11"/>
      <c r="AA267" s="11"/>
      <c r="AB267" s="11"/>
      <c r="AC267" s="11"/>
      <c r="AD267" s="11"/>
      <c r="AE267" s="11"/>
      <c r="AF267" s="11"/>
      <c r="AG267" s="11"/>
      <c r="AH267" s="11"/>
    </row>
    <row r="268" spans="1:34" s="24" customFormat="1" ht="12.75" customHeight="1" x14ac:dyDescent="0.3">
      <c r="A268" s="16"/>
      <c r="B268" s="16" t="s">
        <v>691</v>
      </c>
      <c r="C268" s="16"/>
      <c r="D268" s="16"/>
      <c r="E268" s="16"/>
      <c r="F268" s="16"/>
      <c r="G268" s="16" t="s">
        <v>692</v>
      </c>
      <c r="H268" s="16" t="s">
        <v>693</v>
      </c>
      <c r="I268" s="477"/>
      <c r="J268" s="361">
        <f>IF(HLOOKUP(CaseName,CaseData,MATCH($G268,cases!$G$3:$G$1259,0)-1,FALSE)="",IF(HLOOKUP(ScenarioName,ScenarioData,MATCH($G268,scenarios!$G$3:$G$144,0),FALSE)="","",HLOOKUP(ScenarioName,ScenarioData,MATCH($G268,scenarios!$G$3:$G$153,0),FALSE)),HLOOKUP(CaseName,CaseData,MATCH($G268,cases!$G$3:$G$1259,0)-1,FALSE))</f>
        <v>700</v>
      </c>
      <c r="K268" s="347">
        <v>700</v>
      </c>
      <c r="L268" s="152">
        <f>IF(ISBLANK(I268),IF(ISNUMBER(J268)=FALSE,K268/1000/(3600*24*365),J268/1000/(3600*24*365)),I268/1000/(3600*24*365))</f>
        <v>2.219685438863521E-8</v>
      </c>
      <c r="M268" s="35" t="s">
        <v>690</v>
      </c>
      <c r="N268" s="16"/>
      <c r="O268" s="207"/>
      <c r="P268" s="207"/>
      <c r="Q268" s="11"/>
      <c r="R268" s="11"/>
      <c r="S268"/>
      <c r="T268"/>
      <c r="U268"/>
      <c r="V268"/>
      <c r="W268"/>
      <c r="X268"/>
      <c r="Y268"/>
      <c r="Z268" s="11"/>
      <c r="AA268" s="11"/>
      <c r="AB268" s="11"/>
      <c r="AC268" s="11"/>
      <c r="AD268" s="11"/>
      <c r="AE268" s="11"/>
      <c r="AF268" s="11"/>
      <c r="AG268" s="11"/>
      <c r="AH268" s="11"/>
    </row>
    <row r="269" spans="1:34" s="24" customFormat="1" ht="12.75" customHeight="1" x14ac:dyDescent="0.3">
      <c r="A269" s="16"/>
      <c r="B269" s="16" t="s">
        <v>694</v>
      </c>
      <c r="C269" s="16"/>
      <c r="D269" s="16"/>
      <c r="E269" s="16"/>
      <c r="F269" s="16"/>
      <c r="G269" s="16" t="s">
        <v>695</v>
      </c>
      <c r="H269" s="16" t="s">
        <v>279</v>
      </c>
      <c r="I269" s="478"/>
      <c r="J269" s="361">
        <f>IF(HLOOKUP(CaseName,CaseData,MATCH($G269,cases!$G$3:$G$1259,0)-1,FALSE)="",IF(HLOOKUP(ScenarioName,ScenarioData,MATCH($G269,scenarios!$G$3:$G$144,0),FALSE)="","",HLOOKUP(ScenarioName,ScenarioData,MATCH($G269,scenarios!$G$3:$G$153,0),FALSE)),HLOOKUP(CaseName,CaseData,MATCH($G269,cases!$G$3:$G$1259,0)-1,FALSE))</f>
        <v>100</v>
      </c>
      <c r="K269" s="347">
        <v>100</v>
      </c>
      <c r="L269" s="152">
        <f>IF(ISBLANK(I269), IF(ISNUMBER(J269)=FALSE,K269,J269),I269)</f>
        <v>100</v>
      </c>
      <c r="M269" s="35" t="s">
        <v>279</v>
      </c>
      <c r="N269" s="16"/>
      <c r="O269" s="207"/>
      <c r="P269" s="207"/>
      <c r="Q269" s="11"/>
      <c r="R269" s="11"/>
      <c r="S269"/>
      <c r="T269"/>
      <c r="U269"/>
      <c r="V269"/>
      <c r="W269"/>
      <c r="X269"/>
      <c r="Y269"/>
      <c r="Z269" s="11"/>
      <c r="AA269" s="11"/>
      <c r="AB269" s="11"/>
      <c r="AC269" s="11"/>
      <c r="AD269" s="11"/>
      <c r="AE269" s="11"/>
      <c r="AF269" s="11"/>
      <c r="AG269" s="11"/>
      <c r="AH269" s="11"/>
    </row>
    <row r="270" spans="1:34" s="24" customFormat="1" ht="12.75" customHeight="1" x14ac:dyDescent="0.3">
      <c r="A270" s="16"/>
      <c r="B270" s="16" t="s">
        <v>696</v>
      </c>
      <c r="C270" s="16"/>
      <c r="D270" s="16"/>
      <c r="E270" s="16"/>
      <c r="F270" s="16"/>
      <c r="G270" s="16" t="s">
        <v>697</v>
      </c>
      <c r="H270" s="16" t="s">
        <v>279</v>
      </c>
      <c r="I270" s="477"/>
      <c r="J270" s="361">
        <f>IF(HLOOKUP(CaseName,CaseData,MATCH($G270,cases!$G$3:$G$1259,0)-1,FALSE)="",IF(HLOOKUP(ScenarioName,ScenarioData,MATCH($G270,scenarios!$G$3:$G$144,0),FALSE)="","",HLOOKUP(ScenarioName,ScenarioData,MATCH($G270,scenarios!$G$3:$G$153,0),FALSE)),HLOOKUP(CaseName,CaseData,MATCH($G270,cases!$G$3:$G$1259,0)-1,FALSE))</f>
        <v>3</v>
      </c>
      <c r="K270" s="347">
        <v>3</v>
      </c>
      <c r="L270" s="152">
        <f>IF(ISBLANK(I270), IF(ISNUMBER(J270)=FALSE,K270,J270),I270)</f>
        <v>3</v>
      </c>
      <c r="M270" s="35" t="s">
        <v>279</v>
      </c>
      <c r="N270" s="16"/>
      <c r="O270" s="207"/>
      <c r="P270" s="207"/>
      <c r="Q270" s="11"/>
      <c r="R270" s="11"/>
      <c r="S270"/>
      <c r="T270"/>
      <c r="U270"/>
      <c r="V270"/>
      <c r="W270"/>
      <c r="X270"/>
      <c r="Y270"/>
      <c r="Z270" s="11"/>
      <c r="AA270" s="11"/>
      <c r="AB270" s="11"/>
      <c r="AC270" s="11"/>
      <c r="AD270" s="11"/>
      <c r="AE270" s="11"/>
      <c r="AF270" s="11"/>
      <c r="AG270" s="11"/>
      <c r="AH270" s="11"/>
    </row>
    <row r="271" spans="1:34" s="24" customFormat="1" ht="12.75" customHeight="1" x14ac:dyDescent="0.3">
      <c r="A271" s="16"/>
      <c r="B271" s="16" t="s">
        <v>698</v>
      </c>
      <c r="C271" s="16"/>
      <c r="D271" s="16"/>
      <c r="E271" s="16"/>
      <c r="F271" s="16"/>
      <c r="G271" s="16" t="s">
        <v>699</v>
      </c>
      <c r="H271" s="16" t="s">
        <v>292</v>
      </c>
      <c r="I271" s="478"/>
      <c r="J271" s="361">
        <f>IF(HLOOKUP(CaseName,CaseData,MATCH($G271,cases!$G$3:$G$1259,0)-1,FALSE)="",IF(HLOOKUP(ScenarioName,ScenarioData,MATCH($G271,scenarios!$G$3:$G$144,0),FALSE)="","",HLOOKUP(ScenarioName,ScenarioData,MATCH($G271,scenarios!$G$3:$G$153,0),FALSE)),HLOOKUP(CaseName,CaseData,MATCH($G271,cases!$G$3:$G$1259,0)-1,FALSE))</f>
        <v>0</v>
      </c>
      <c r="K271" s="347">
        <v>0</v>
      </c>
      <c r="L271" s="152">
        <f>IF(ISBLANK(I271), IF(ISNUMBER(J271)=FALSE,K271,J271),I271)</f>
        <v>0</v>
      </c>
      <c r="M271" s="35" t="s">
        <v>292</v>
      </c>
      <c r="N271" s="16"/>
      <c r="O271" s="207"/>
      <c r="P271" s="207"/>
      <c r="Q271" s="11"/>
      <c r="R271" s="11"/>
      <c r="S271"/>
      <c r="T271"/>
      <c r="U271"/>
      <c r="V271"/>
      <c r="W271"/>
      <c r="X271"/>
      <c r="Y271"/>
      <c r="Z271" s="11"/>
      <c r="AA271" s="11"/>
      <c r="AB271" s="11"/>
      <c r="AC271" s="11"/>
      <c r="AD271" s="11"/>
      <c r="AE271" s="11"/>
      <c r="AF271" s="11"/>
      <c r="AG271" s="11"/>
      <c r="AH271" s="11"/>
    </row>
    <row r="272" spans="1:34" s="24" customFormat="1" ht="12.75" customHeight="1" x14ac:dyDescent="0.3">
      <c r="A272" s="16"/>
      <c r="B272" s="16" t="s">
        <v>700</v>
      </c>
      <c r="C272" s="16"/>
      <c r="D272" s="16"/>
      <c r="E272" s="16"/>
      <c r="F272" s="16"/>
      <c r="G272" s="16" t="s">
        <v>701</v>
      </c>
      <c r="H272" s="16" t="s">
        <v>292</v>
      </c>
      <c r="I272" s="477"/>
      <c r="J272" s="361">
        <f>IF(HLOOKUP(CaseName,CaseData,MATCH($G272,cases!$G$3:$G$1259,0)-1,FALSE)="",IF(HLOOKUP(ScenarioName,ScenarioData,MATCH($G272,scenarios!$G$3:$G$144,0),FALSE)="","",HLOOKUP(ScenarioName,ScenarioData,MATCH($G272,scenarios!$G$3:$G$153,0),FALSE)),HLOOKUP(CaseName,CaseData,MATCH($G272,cases!$G$3:$G$1259,0)-1,FALSE))</f>
        <v>0.25</v>
      </c>
      <c r="K272" s="347">
        <v>0.25</v>
      </c>
      <c r="L272" s="152">
        <f>IF(ISBLANK(I272), IF(ISNUMBER(J272)=FALSE,K272,J272),I272)</f>
        <v>0.25</v>
      </c>
      <c r="M272" s="35" t="s">
        <v>292</v>
      </c>
      <c r="N272" s="16"/>
      <c r="O272" s="207"/>
      <c r="P272" s="207"/>
      <c r="Q272" s="11"/>
      <c r="R272" s="11"/>
      <c r="S272"/>
      <c r="T272"/>
      <c r="U272"/>
      <c r="V272"/>
      <c r="W272"/>
      <c r="X272"/>
      <c r="Y272"/>
      <c r="Z272" s="11"/>
      <c r="AA272" s="11"/>
      <c r="AB272" s="11"/>
      <c r="AC272" s="11"/>
      <c r="AD272" s="11"/>
      <c r="AE272" s="11"/>
      <c r="AF272" s="11"/>
      <c r="AG272" s="11"/>
      <c r="AH272" s="11"/>
    </row>
    <row r="273" spans="1:34" s="24" customFormat="1" ht="12.75" customHeight="1" x14ac:dyDescent="0.3">
      <c r="A273" s="16"/>
      <c r="B273" s="16" t="s">
        <v>702</v>
      </c>
      <c r="C273" s="16"/>
      <c r="D273" s="16"/>
      <c r="E273" s="16"/>
      <c r="F273" s="16"/>
      <c r="G273" s="16" t="s">
        <v>703</v>
      </c>
      <c r="H273" s="16" t="s">
        <v>292</v>
      </c>
      <c r="I273" s="477"/>
      <c r="J273" s="361">
        <f>IF(HLOOKUP(CaseName,CaseData,MATCH($G273,cases!$G$3:$G$1259,0)-1,FALSE)="",IF(HLOOKUP(ScenarioName,ScenarioData,MATCH($G273,scenarios!$G$3:$G$144,0),FALSE)="","",HLOOKUP(ScenarioName,ScenarioData,MATCH($G273,scenarios!$G$3:$G$153,0),FALSE)),HLOOKUP(CaseName,CaseData,MATCH($G273,cases!$G$3:$G$1259,0)-1,FALSE))</f>
        <v>0.25</v>
      </c>
      <c r="K273" s="347">
        <v>0.25</v>
      </c>
      <c r="L273" s="152">
        <f>IF(ISBLANK(I273), IF(ISNUMBER(J273)=FALSE,K273,J273),I273)</f>
        <v>0.25</v>
      </c>
      <c r="M273" s="35" t="s">
        <v>292</v>
      </c>
      <c r="N273" s="16"/>
      <c r="O273" s="207"/>
      <c r="P273" s="207"/>
      <c r="Q273" s="11"/>
      <c r="R273" s="11"/>
      <c r="S273"/>
      <c r="T273"/>
      <c r="U273"/>
      <c r="V273"/>
      <c r="W273"/>
      <c r="X273"/>
      <c r="Y273"/>
      <c r="Z273" s="11"/>
      <c r="AA273" s="11"/>
      <c r="AB273" s="11"/>
      <c r="AC273" s="11"/>
      <c r="AD273" s="11"/>
      <c r="AE273" s="11"/>
      <c r="AF273" s="11"/>
      <c r="AG273" s="11"/>
      <c r="AH273" s="11"/>
    </row>
    <row r="274" spans="1:34" s="24" customFormat="1" ht="12.75" customHeight="1" x14ac:dyDescent="0.3">
      <c r="A274" s="16"/>
      <c r="B274" s="16" t="s">
        <v>704</v>
      </c>
      <c r="C274" s="16"/>
      <c r="D274" s="16"/>
      <c r="E274" s="16"/>
      <c r="F274" s="16"/>
      <c r="G274" s="16" t="s">
        <v>705</v>
      </c>
      <c r="H274" s="16" t="s">
        <v>693</v>
      </c>
      <c r="I274" s="477"/>
      <c r="J274" s="361">
        <f>IF(HLOOKUP(CaseName,CaseData,MATCH($G274,cases!$G$3:$G$1259,0)-1,FALSE)="",IF(HLOOKUP(ScenarioName,ScenarioData,MATCH($G274,scenarios!$G$3:$G$144,0),FALSE)="","",HLOOKUP(ScenarioName,ScenarioData,MATCH($G274,scenarios!$G$3:$G$153,0),FALSE)),HLOOKUP(CaseName,CaseData,MATCH($G274,cases!$G$3:$G$1259,0)-1,FALSE))</f>
        <v>0.03</v>
      </c>
      <c r="K274" s="347">
        <v>0.03</v>
      </c>
      <c r="L274" s="152">
        <f>IF(ISBLANK(I274),IF(ISNUMBER(J274)=FALSE,K274/1000/(3600*24*365),J274/1000/(3600*24*365)),I274/1000/(3600*24*365))</f>
        <v>9.5129375951293754E-13</v>
      </c>
      <c r="M274" s="35" t="s">
        <v>690</v>
      </c>
      <c r="N274" s="16"/>
      <c r="O274" s="207"/>
      <c r="P274" s="207"/>
      <c r="Q274" s="11"/>
      <c r="R274" s="11"/>
      <c r="S274"/>
      <c r="T274"/>
      <c r="U274"/>
      <c r="V274"/>
      <c r="W274"/>
      <c r="X274"/>
      <c r="Y274"/>
      <c r="Z274" s="11"/>
      <c r="AA274" s="11"/>
      <c r="AB274" s="11"/>
      <c r="AC274" s="11"/>
      <c r="AD274" s="11"/>
      <c r="AE274" s="11"/>
      <c r="AF274" s="11"/>
      <c r="AG274" s="11"/>
      <c r="AH274" s="11"/>
    </row>
    <row r="275" spans="1:34" s="11" customFormat="1" ht="12.75" customHeight="1" x14ac:dyDescent="0.3">
      <c r="A275" s="211"/>
      <c r="B275" s="211" t="s">
        <v>706</v>
      </c>
      <c r="C275" s="211"/>
      <c r="D275" s="211"/>
      <c r="E275" s="211"/>
      <c r="F275" s="211"/>
      <c r="G275" s="211" t="s">
        <v>707</v>
      </c>
      <c r="H275" s="208" t="s">
        <v>708</v>
      </c>
      <c r="I275" s="480"/>
      <c r="J275" s="361" t="str">
        <f>IF(HLOOKUP(CaseName,CaseData,MATCH($G275,cases!$G$3:$G$1259,0)-1,FALSE)="",IF(HLOOKUP(ScenarioName,ScenarioData,MATCH($G275,scenarios!$G$3:$G$144,0),FALSE)="","",HLOOKUP(ScenarioName,ScenarioData,MATCH($G275,scenarios!$G$3:$G$153,0),FALSE)),HLOOKUP(CaseName,CaseData,MATCH($G275,cases!$G$3:$G$1259,0)-1,FALSE))</f>
        <v/>
      </c>
      <c r="K275" s="349">
        <f>3.2*10^9</f>
        <v>3200000000</v>
      </c>
      <c r="L275" s="243">
        <f>IF(ISBLANK(I275),IF(ISNUMBER(J275)=FALSE,K275,J275),I275)</f>
        <v>3200000000</v>
      </c>
      <c r="M275" s="208" t="s">
        <v>708</v>
      </c>
      <c r="N275" s="326"/>
      <c r="O275" s="563"/>
      <c r="P275" s="207" t="s">
        <v>709</v>
      </c>
      <c r="Q275"/>
    </row>
    <row r="276" spans="1:34" s="24" customFormat="1" ht="12.75" customHeight="1" x14ac:dyDescent="0.3">
      <c r="A276" s="211"/>
      <c r="B276" s="211" t="s">
        <v>710</v>
      </c>
      <c r="C276" s="211"/>
      <c r="D276" s="211"/>
      <c r="E276" s="211"/>
      <c r="F276" s="211"/>
      <c r="G276" s="211" t="s">
        <v>711</v>
      </c>
      <c r="H276" s="208" t="s">
        <v>708</v>
      </c>
      <c r="I276" s="480"/>
      <c r="J276" s="361" t="str">
        <f>IF(HLOOKUP(CaseName,CaseData,MATCH($G276,cases!$G$3:$G$1259,0)-1,FALSE)="",IF(HLOOKUP(ScenarioName,ScenarioData,MATCH($G276,scenarios!$G$3:$G$144,0),FALSE)="","",HLOOKUP(ScenarioName,ScenarioData,MATCH($G276,scenarios!$G$3:$G$153,0),FALSE)),HLOOKUP(CaseName,CaseData,MATCH($G276,cases!$G$3:$G$1259,0)-1,FALSE))</f>
        <v/>
      </c>
      <c r="K276" s="349">
        <f>2.9*10^9</f>
        <v>2900000000</v>
      </c>
      <c r="L276" s="243">
        <f>IF(ISBLANK(I276),IF(ISNUMBER(J276)=FALSE,K276,J276),I276)</f>
        <v>2900000000</v>
      </c>
      <c r="M276" s="208" t="s">
        <v>708</v>
      </c>
      <c r="N276" s="326"/>
      <c r="O276" s="563"/>
      <c r="P276" s="211" t="s">
        <v>709</v>
      </c>
      <c r="Q276"/>
      <c r="R276" s="11"/>
      <c r="S276" s="11"/>
      <c r="T276" s="11"/>
      <c r="U276" s="11"/>
      <c r="V276" s="11"/>
      <c r="W276" s="11"/>
      <c r="X276" s="11"/>
      <c r="Y276" s="11"/>
      <c r="Z276" s="11"/>
      <c r="AA276" s="11"/>
      <c r="AB276" s="11"/>
      <c r="AC276" s="11"/>
      <c r="AD276" s="11"/>
      <c r="AE276" s="11"/>
      <c r="AF276" s="11"/>
      <c r="AG276" s="11"/>
      <c r="AH276" s="11"/>
    </row>
    <row r="277" spans="1:34" s="24" customFormat="1" ht="12.75" customHeight="1" x14ac:dyDescent="0.3">
      <c r="A277" s="211"/>
      <c r="B277" s="211" t="s">
        <v>712</v>
      </c>
      <c r="C277" s="211"/>
      <c r="D277" s="211"/>
      <c r="E277" s="211"/>
      <c r="F277" s="211"/>
      <c r="G277" s="211" t="s">
        <v>713</v>
      </c>
      <c r="H277" s="208" t="s">
        <v>708</v>
      </c>
      <c r="I277" s="480"/>
      <c r="J277" s="361" t="str">
        <f>IF(HLOOKUP(CaseName,CaseData,MATCH($G277,cases!$G$3:$G$1259,0)-1,FALSE)="",IF(HLOOKUP(ScenarioName,ScenarioData,MATCH($G277,scenarios!$G$3:$G$144,0),FALSE)="","",HLOOKUP(ScenarioName,ScenarioData,MATCH($G277,scenarios!$G$3:$G$153,0),FALSE)),HLOOKUP(CaseName,CaseData,MATCH($G277,cases!$G$3:$G$1259,0)-1,FALSE))</f>
        <v/>
      </c>
      <c r="K277" s="349">
        <f>3*10^5</f>
        <v>300000</v>
      </c>
      <c r="L277" s="243">
        <f>IF(ISBLANK(I277),IF(ISNUMBER(J277)=FALSE,K277,J277),I277)</f>
        <v>300000</v>
      </c>
      <c r="M277" s="208" t="s">
        <v>708</v>
      </c>
      <c r="N277" s="326"/>
      <c r="O277" s="563"/>
      <c r="P277" s="211" t="s">
        <v>709</v>
      </c>
      <c r="Q277"/>
      <c r="R277" s="11"/>
      <c r="S277" s="11"/>
      <c r="T277" s="11"/>
      <c r="U277" s="11"/>
      <c r="V277" s="11"/>
      <c r="W277" s="11"/>
      <c r="X277" s="11"/>
      <c r="Y277" s="11"/>
      <c r="Z277" s="11"/>
      <c r="AA277" s="11"/>
      <c r="AB277" s="11"/>
      <c r="AC277" s="11"/>
      <c r="AD277" s="11"/>
      <c r="AE277" s="11"/>
      <c r="AF277" s="11"/>
      <c r="AG277" s="11"/>
      <c r="AH277" s="11"/>
    </row>
    <row r="278" spans="1:34" s="24" customFormat="1" ht="12.75" customHeight="1" x14ac:dyDescent="0.3">
      <c r="A278" s="208"/>
      <c r="B278" s="208" t="s">
        <v>714</v>
      </c>
      <c r="C278" s="211"/>
      <c r="D278" s="211"/>
      <c r="E278" s="211"/>
      <c r="F278" s="211"/>
      <c r="G278" s="486" t="s">
        <v>715</v>
      </c>
      <c r="H278" s="208" t="s">
        <v>716</v>
      </c>
      <c r="I278" s="481"/>
      <c r="J278" s="361" t="str">
        <f>IF(HLOOKUP(CaseName,CaseData,MATCH($G278,cases!$G$3:$G$1259,0)-1,FALSE)="",IF(HLOOKUP(ScenarioName,ScenarioData,MATCH($G278,scenarios!$G$3:$G$144,0),FALSE)="","",HLOOKUP(ScenarioName,ScenarioData,MATCH($G278,scenarios!$G$3:$G$153,0),FALSE)),HLOOKUP(CaseName,CaseData,MATCH($G278,cases!$G$3:$G$1259,0)-1,FALSE))</f>
        <v/>
      </c>
      <c r="K278" s="348">
        <v>1</v>
      </c>
      <c r="L278" s="243">
        <f t="shared" ref="L278:L284" si="18">IF(ISBLANK(I278),IF(ISNUMBER(J278)=FALSE,K278/1000,J278/1000),I278/1000)</f>
        <v>1E-3</v>
      </c>
      <c r="M278" s="208" t="s">
        <v>717</v>
      </c>
      <c r="N278" s="211"/>
      <c r="O278" s="225"/>
      <c r="P278" s="207"/>
      <c r="Q278" s="11"/>
      <c r="R278" s="11"/>
      <c r="S278" s="11"/>
      <c r="T278" s="11"/>
      <c r="U278" s="11"/>
      <c r="V278" s="11"/>
      <c r="W278" s="11"/>
      <c r="X278" s="11"/>
      <c r="Y278" s="11"/>
      <c r="Z278" s="11"/>
      <c r="AA278" s="11"/>
      <c r="AB278" s="11"/>
      <c r="AC278" s="11"/>
      <c r="AD278" s="11"/>
      <c r="AE278" s="11"/>
      <c r="AF278" s="11"/>
      <c r="AG278" s="11"/>
      <c r="AH278" s="11"/>
    </row>
    <row r="279" spans="1:34" s="24" customFormat="1" ht="12.75" customHeight="1" x14ac:dyDescent="0.3">
      <c r="A279" s="208"/>
      <c r="B279" s="208" t="s">
        <v>714</v>
      </c>
      <c r="C279" s="211"/>
      <c r="D279" s="211"/>
      <c r="E279" s="211"/>
      <c r="F279" s="211"/>
      <c r="G279" s="486" t="s">
        <v>718</v>
      </c>
      <c r="H279" s="208" t="s">
        <v>716</v>
      </c>
      <c r="I279" s="481"/>
      <c r="J279" s="361" t="str">
        <f>IF(HLOOKUP(CaseName,CaseData,MATCH($G279,cases!$G$3:$G$1259,0)-1,FALSE)="",IF(HLOOKUP(ScenarioName,ScenarioData,MATCH($G279,scenarios!$G$3:$G$144,0),FALSE)="","",HLOOKUP(ScenarioName,ScenarioData,MATCH($G279,scenarios!$G$3:$G$153,0),FALSE)),HLOOKUP(CaseName,CaseData,MATCH($G279,cases!$G$3:$G$1259,0)-1,FALSE))</f>
        <v/>
      </c>
      <c r="K279" s="348">
        <v>1</v>
      </c>
      <c r="L279" s="243">
        <f t="shared" si="18"/>
        <v>1E-3</v>
      </c>
      <c r="M279" s="208" t="s">
        <v>717</v>
      </c>
      <c r="N279" s="211"/>
      <c r="O279" s="225"/>
      <c r="P279" s="207"/>
      <c r="Q279" s="11"/>
      <c r="R279" s="11"/>
      <c r="S279" s="11"/>
      <c r="T279" s="11"/>
      <c r="U279" s="11"/>
      <c r="V279" s="11"/>
      <c r="W279" s="11"/>
      <c r="X279" s="11"/>
      <c r="Y279" s="11"/>
      <c r="Z279" s="11"/>
      <c r="AA279" s="11"/>
      <c r="AB279" s="11"/>
      <c r="AC279" s="11"/>
      <c r="AD279" s="11"/>
      <c r="AE279" s="11"/>
      <c r="AF279" s="11"/>
      <c r="AG279" s="11"/>
      <c r="AH279" s="11"/>
    </row>
    <row r="280" spans="1:34" s="24" customFormat="1" ht="12.75" customHeight="1" x14ac:dyDescent="0.3">
      <c r="A280" s="208"/>
      <c r="B280" s="208" t="s">
        <v>714</v>
      </c>
      <c r="C280" s="211"/>
      <c r="D280" s="211"/>
      <c r="E280" s="211"/>
      <c r="F280" s="211"/>
      <c r="G280" s="486" t="s">
        <v>719</v>
      </c>
      <c r="H280" s="208" t="s">
        <v>716</v>
      </c>
      <c r="I280" s="481"/>
      <c r="J280" s="361" t="str">
        <f>IF(HLOOKUP(CaseName,CaseData,MATCH($G280,cases!$G$3:$G$1259,0)-1,FALSE)="",IF(HLOOKUP(ScenarioName,ScenarioData,MATCH($G280,scenarios!$G$3:$G$144,0),FALSE)="","",HLOOKUP(ScenarioName,ScenarioData,MATCH($G280,scenarios!$G$3:$G$153,0),FALSE)),HLOOKUP(CaseName,CaseData,MATCH($G280,cases!$G$3:$G$1259,0)-1,FALSE))</f>
        <v/>
      </c>
      <c r="K280" s="348">
        <v>1</v>
      </c>
      <c r="L280" s="243">
        <f t="shared" si="18"/>
        <v>1E-3</v>
      </c>
      <c r="M280" s="208" t="s">
        <v>717</v>
      </c>
      <c r="N280" s="211"/>
      <c r="O280" s="225"/>
      <c r="P280" s="207"/>
      <c r="Q280" s="11"/>
      <c r="R280" s="11"/>
      <c r="S280" s="11"/>
      <c r="T280" s="11"/>
      <c r="U280" s="11"/>
      <c r="V280" s="11"/>
      <c r="W280" s="11"/>
      <c r="X280" s="11"/>
      <c r="Y280" s="11"/>
      <c r="Z280" s="11"/>
      <c r="AA280" s="11"/>
      <c r="AB280" s="11"/>
      <c r="AC280" s="11"/>
      <c r="AD280" s="11"/>
      <c r="AE280" s="11"/>
      <c r="AF280" s="11"/>
      <c r="AG280" s="11"/>
      <c r="AH280" s="11"/>
    </row>
    <row r="281" spans="1:34" s="24" customFormat="1" ht="12.75" customHeight="1" x14ac:dyDescent="0.3">
      <c r="A281" s="208"/>
      <c r="B281" s="208" t="s">
        <v>720</v>
      </c>
      <c r="C281" s="211"/>
      <c r="D281" s="211"/>
      <c r="E281" s="211"/>
      <c r="F281" s="211"/>
      <c r="G281" s="486" t="s">
        <v>721</v>
      </c>
      <c r="H281" s="208" t="s">
        <v>579</v>
      </c>
      <c r="I281" s="481"/>
      <c r="J281" s="361" t="str">
        <f>IF(HLOOKUP(CaseName,CaseData,MATCH($G281,cases!$G$3:$G$1259,0)-1,FALSE)="",IF(HLOOKUP(ScenarioName,ScenarioData,MATCH($G281,scenarios!$G$3:$G$144,0),FALSE)="","",HLOOKUP(ScenarioName,ScenarioData,MATCH($G281,scenarios!$G$3:$G$153,0),FALSE)),HLOOKUP(CaseName,CaseData,MATCH($G281,cases!$G$3:$G$1259,0)-1,FALSE))</f>
        <v/>
      </c>
      <c r="K281" s="348">
        <v>0.5</v>
      </c>
      <c r="L281" s="243">
        <f t="shared" si="18"/>
        <v>5.0000000000000001E-4</v>
      </c>
      <c r="M281" s="208" t="s">
        <v>717</v>
      </c>
      <c r="N281" s="211" t="s">
        <v>722</v>
      </c>
      <c r="O281" s="225"/>
      <c r="P281" s="207"/>
      <c r="Q281" s="11"/>
      <c r="R281" s="11"/>
      <c r="S281" s="11"/>
      <c r="T281" s="11"/>
      <c r="U281" s="11"/>
      <c r="V281" s="11"/>
      <c r="W281" s="11"/>
      <c r="X281" s="11"/>
      <c r="Y281" s="11"/>
      <c r="Z281" s="11"/>
      <c r="AA281" s="11"/>
      <c r="AB281" s="11"/>
      <c r="AC281" s="11"/>
      <c r="AD281" s="11"/>
      <c r="AE281" s="11"/>
      <c r="AF281" s="11"/>
      <c r="AG281" s="11"/>
      <c r="AH281" s="11"/>
    </row>
    <row r="282" spans="1:34" s="24" customFormat="1" ht="12.75" customHeight="1" x14ac:dyDescent="0.3">
      <c r="A282" s="208"/>
      <c r="B282" s="208" t="s">
        <v>723</v>
      </c>
      <c r="C282" s="211"/>
      <c r="D282" s="211"/>
      <c r="E282" s="211"/>
      <c r="F282" s="211"/>
      <c r="G282" s="486" t="s">
        <v>724</v>
      </c>
      <c r="H282" s="208" t="s">
        <v>579</v>
      </c>
      <c r="I282" s="481"/>
      <c r="J282" s="361" t="str">
        <f>IF(HLOOKUP(CaseName,CaseData,MATCH($G282,cases!$G$3:$G$1259,0)-1,FALSE)="",IF(HLOOKUP(ScenarioName,ScenarioData,MATCH($G282,scenarios!$G$3:$G$144,0),FALSE)="","",HLOOKUP(ScenarioName,ScenarioData,MATCH($G282,scenarios!$G$3:$G$153,0),FALSE)),HLOOKUP(CaseName,CaseData,MATCH($G282,cases!$G$3:$G$1259,0)-1,FALSE))</f>
        <v/>
      </c>
      <c r="K282" s="348">
        <v>15</v>
      </c>
      <c r="L282" s="243">
        <f t="shared" si="18"/>
        <v>1.4999999999999999E-2</v>
      </c>
      <c r="M282" s="208" t="s">
        <v>717</v>
      </c>
      <c r="N282" s="211"/>
      <c r="O282" s="225"/>
      <c r="P282" s="207"/>
      <c r="Q282" s="11"/>
      <c r="R282" s="11"/>
      <c r="S282" s="11"/>
      <c r="T282" s="11"/>
      <c r="U282" s="11"/>
      <c r="V282" s="11"/>
      <c r="W282" s="11"/>
      <c r="X282" s="11"/>
      <c r="Y282" s="11"/>
      <c r="Z282" s="11"/>
      <c r="AA282" s="11"/>
      <c r="AB282" s="11"/>
      <c r="AC282" s="11"/>
      <c r="AD282" s="11"/>
      <c r="AE282" s="11"/>
      <c r="AF282" s="11"/>
      <c r="AG282" s="11"/>
      <c r="AH282" s="11"/>
    </row>
    <row r="283" spans="1:34" s="24" customFormat="1" ht="12.75" customHeight="1" x14ac:dyDescent="0.3">
      <c r="A283" s="208"/>
      <c r="B283" s="208" t="s">
        <v>725</v>
      </c>
      <c r="C283" s="211"/>
      <c r="D283" s="211"/>
      <c r="E283" s="211"/>
      <c r="F283" s="211"/>
      <c r="G283" s="486" t="s">
        <v>726</v>
      </c>
      <c r="H283" s="208" t="s">
        <v>579</v>
      </c>
      <c r="I283" s="481"/>
      <c r="J283" s="361" t="str">
        <f>IF(HLOOKUP(CaseName,CaseData,MATCH($G283,cases!$G$3:$G$1259,0)-1,FALSE)="",IF(HLOOKUP(ScenarioName,ScenarioData,MATCH($G283,scenarios!$G$3:$G$144,0),FALSE)="","",HLOOKUP(ScenarioName,ScenarioData,MATCH($G283,scenarios!$G$3:$G$153,0),FALSE)),HLOOKUP(CaseName,CaseData,MATCH($G283,cases!$G$3:$G$1259,0)-1,FALSE))</f>
        <v/>
      </c>
      <c r="K283" s="348">
        <v>5</v>
      </c>
      <c r="L283" s="243">
        <f>IF(ISBLANK(I283),IF(ISNUMBER(J283)=FALSE,K283/1000,J283/1000),I283/1000)</f>
        <v>5.0000000000000001E-3</v>
      </c>
      <c r="M283" s="208" t="s">
        <v>717</v>
      </c>
      <c r="N283" s="211"/>
      <c r="O283" s="225"/>
      <c r="P283" s="207"/>
      <c r="Q283" s="11"/>
      <c r="R283" s="11"/>
      <c r="S283" s="11"/>
      <c r="T283" s="11"/>
      <c r="U283" s="11"/>
      <c r="V283" s="11"/>
      <c r="W283" s="11"/>
      <c r="X283" s="11"/>
      <c r="Y283" s="11"/>
      <c r="Z283" s="11"/>
      <c r="AA283" s="11"/>
      <c r="AB283" s="11"/>
      <c r="AC283" s="11"/>
      <c r="AD283" s="11"/>
      <c r="AE283" s="11"/>
      <c r="AF283" s="11"/>
      <c r="AG283" s="11"/>
      <c r="AH283" s="11"/>
    </row>
    <row r="284" spans="1:34" s="328" customFormat="1" ht="12.75" customHeight="1" x14ac:dyDescent="0.3">
      <c r="A284" s="211"/>
      <c r="B284" s="211" t="s">
        <v>727</v>
      </c>
      <c r="C284" s="211"/>
      <c r="D284" s="211"/>
      <c r="E284" s="211"/>
      <c r="F284" s="211"/>
      <c r="G284" s="667" t="s">
        <v>728</v>
      </c>
      <c r="H284" s="208" t="s">
        <v>729</v>
      </c>
      <c r="I284" s="480"/>
      <c r="J284" s="361" t="str">
        <f>IF(HLOOKUP(CaseName,CaseData,MATCH($G284,cases!$G$3:$G$1259,0)-1,FALSE)="",IF(HLOOKUP(ScenarioName,ScenarioData,MATCH($G284,scenarios!$G$3:$G$144,0),FALSE)="","",HLOOKUP(ScenarioName,ScenarioData,MATCH($G284,scenarios!$G$3:$G$153,0),FALSE)),HLOOKUP(CaseName,CaseData,MATCH($G284,cases!$G$3:$G$1259,0)-1,FALSE))</f>
        <v/>
      </c>
      <c r="K284" s="510">
        <v>100</v>
      </c>
      <c r="L284" s="243">
        <f t="shared" si="18"/>
        <v>0.1</v>
      </c>
      <c r="M284" s="208" t="s">
        <v>730</v>
      </c>
      <c r="N284" s="211" t="s">
        <v>731</v>
      </c>
      <c r="O284" s="355"/>
      <c r="P284" s="326"/>
    </row>
    <row r="285" spans="1:34" s="24" customFormat="1" ht="12.75" customHeight="1" x14ac:dyDescent="0.3">
      <c r="A285" s="208"/>
      <c r="B285" s="211"/>
      <c r="C285" s="208"/>
      <c r="D285" s="211"/>
      <c r="E285" s="211"/>
      <c r="F285" s="211"/>
      <c r="G285" s="486"/>
      <c r="H285" s="208"/>
      <c r="I285" s="628"/>
      <c r="J285" s="239"/>
      <c r="K285" s="211"/>
      <c r="L285" s="243"/>
      <c r="M285" s="208"/>
      <c r="N285" s="211"/>
      <c r="O285" s="225"/>
      <c r="P285" s="207"/>
      <c r="Q285" s="11"/>
      <c r="R285" s="11"/>
      <c r="S285" s="11"/>
      <c r="T285" s="11"/>
      <c r="U285" s="11"/>
      <c r="V285" s="11"/>
      <c r="W285" s="11"/>
      <c r="X285" s="11"/>
      <c r="Y285" s="11"/>
      <c r="Z285" s="11"/>
      <c r="AA285" s="11"/>
      <c r="AB285" s="11"/>
      <c r="AC285" s="11"/>
      <c r="AD285" s="11"/>
      <c r="AE285" s="11"/>
      <c r="AF285" s="11"/>
      <c r="AG285" s="11"/>
      <c r="AH285" s="11"/>
    </row>
    <row r="286" spans="1:34" s="24" customFormat="1" ht="12.75" customHeight="1" x14ac:dyDescent="0.3">
      <c r="A286" s="630" t="s">
        <v>211</v>
      </c>
      <c r="B286" s="211"/>
      <c r="C286" s="211"/>
      <c r="D286" s="211"/>
      <c r="E286" s="211"/>
      <c r="F286" s="211"/>
      <c r="G286" s="211"/>
      <c r="H286" s="211"/>
      <c r="I286" s="137"/>
      <c r="J286" s="368"/>
      <c r="K286" s="161"/>
      <c r="L286" s="161"/>
      <c r="M286" s="211"/>
      <c r="N286" s="211"/>
      <c r="O286" s="207"/>
      <c r="P286" s="207"/>
      <c r="Q286" s="11"/>
      <c r="R286" s="11"/>
      <c r="S286"/>
      <c r="T286"/>
      <c r="U286"/>
      <c r="V286"/>
      <c r="W286"/>
      <c r="X286"/>
      <c r="Y286"/>
      <c r="Z286" s="11"/>
      <c r="AA286" s="11"/>
      <c r="AB286" s="11"/>
      <c r="AC286" s="11"/>
      <c r="AD286" s="11"/>
      <c r="AE286" s="11"/>
      <c r="AF286" s="11"/>
      <c r="AG286" s="11"/>
      <c r="AH286" s="11"/>
    </row>
    <row r="287" spans="1:34" s="24" customFormat="1" ht="12.75" customHeight="1" x14ac:dyDescent="0.3">
      <c r="A287" s="211"/>
      <c r="B287" s="211" t="s">
        <v>670</v>
      </c>
      <c r="C287" s="211"/>
      <c r="D287" s="211"/>
      <c r="E287" s="211"/>
      <c r="F287" s="211"/>
      <c r="G287" s="211" t="s">
        <v>732</v>
      </c>
      <c r="H287" s="486" t="s">
        <v>672</v>
      </c>
      <c r="I287" s="478"/>
      <c r="J287" s="361"/>
      <c r="K287" s="347">
        <f>TOTAREAland.C-AREAland.R*0.000001</f>
        <v>3485840</v>
      </c>
      <c r="L287" s="152">
        <f>IF(ISBLANK(I287), IF(ISNUMBER(J287)=FALSE,K287*1000000,J287*1000000),I287*1000000)</f>
        <v>3485840000000</v>
      </c>
      <c r="M287" s="208" t="s">
        <v>673</v>
      </c>
      <c r="N287" s="211"/>
      <c r="O287" s="207"/>
      <c r="P287" s="207"/>
      <c r="Q287" s="11"/>
      <c r="R287" s="11"/>
      <c r="S287"/>
      <c r="T287"/>
      <c r="U287"/>
      <c r="V287"/>
      <c r="W287"/>
      <c r="X287"/>
      <c r="Y287"/>
      <c r="Z287" s="11"/>
      <c r="AA287" s="11"/>
      <c r="AB287" s="11"/>
      <c r="AC287" s="11"/>
      <c r="AD287" s="11"/>
      <c r="AE287" s="11"/>
      <c r="AF287" s="11"/>
      <c r="AG287" s="11"/>
      <c r="AH287" s="11"/>
    </row>
    <row r="288" spans="1:34" s="24" customFormat="1" ht="12.75" customHeight="1" x14ac:dyDescent="0.3">
      <c r="A288" s="211"/>
      <c r="B288" s="211" t="s">
        <v>674</v>
      </c>
      <c r="C288" s="211"/>
      <c r="D288" s="211"/>
      <c r="E288" s="211"/>
      <c r="F288" s="211"/>
      <c r="G288" s="211" t="s">
        <v>733</v>
      </c>
      <c r="H288" s="486" t="s">
        <v>672</v>
      </c>
      <c r="I288" s="478"/>
      <c r="J288" s="361"/>
      <c r="K288" s="347">
        <f>TOTAREAsea.C-AREAsea.R*0.000001</f>
        <v>3713410</v>
      </c>
      <c r="L288" s="152">
        <f>IF(ISBLANK(I288), IF(ISNUMBER(J288)=FALSE,K288*1000000,J288*1000000),I288*1000000)</f>
        <v>3713410000000</v>
      </c>
      <c r="M288" s="208" t="s">
        <v>673</v>
      </c>
      <c r="N288" s="211"/>
      <c r="O288" s="207"/>
      <c r="P288" s="207"/>
      <c r="Q288" s="11"/>
      <c r="R288" s="11"/>
      <c r="S288"/>
      <c r="T288"/>
      <c r="U288"/>
      <c r="V288"/>
      <c r="W288"/>
      <c r="X288"/>
      <c r="Y288"/>
      <c r="Z288" s="11"/>
      <c r="AA288" s="11"/>
      <c r="AB288" s="11"/>
      <c r="AC288" s="11"/>
      <c r="AD288" s="11"/>
      <c r="AE288" s="11"/>
      <c r="AF288" s="11"/>
      <c r="AG288" s="11"/>
      <c r="AH288" s="11"/>
    </row>
    <row r="289" spans="1:34" s="328" customFormat="1" ht="12.75" customHeight="1" x14ac:dyDescent="0.3">
      <c r="A289" s="326"/>
      <c r="B289" s="211"/>
      <c r="C289" s="211" t="s">
        <v>4624</v>
      </c>
      <c r="D289" s="211"/>
      <c r="E289" s="211"/>
      <c r="F289" s="211"/>
      <c r="G289" s="211" t="s">
        <v>4626</v>
      </c>
      <c r="H289" s="486" t="s">
        <v>4636</v>
      </c>
      <c r="I289" s="625"/>
      <c r="J289" s="361"/>
      <c r="K289" s="347">
        <v>3714410</v>
      </c>
      <c r="L289" s="152">
        <f t="shared" ref="L289:L295" si="19">IF(ISBLANK(I289), IF(ISNUMBER(J289)=FALSE,K289,J289),I289)</f>
        <v>3714410</v>
      </c>
      <c r="M289" s="486" t="s">
        <v>4637</v>
      </c>
      <c r="N289" s="211"/>
      <c r="O289" s="211"/>
      <c r="P289" s="326"/>
    </row>
    <row r="290" spans="1:34" s="328" customFormat="1" ht="12.75" customHeight="1" x14ac:dyDescent="0.3">
      <c r="A290" s="326"/>
      <c r="B290" s="211"/>
      <c r="C290" s="211" t="s">
        <v>4625</v>
      </c>
      <c r="D290" s="211"/>
      <c r="E290" s="211"/>
      <c r="F290" s="211"/>
      <c r="G290" s="211" t="s">
        <v>4627</v>
      </c>
      <c r="H290" s="486" t="s">
        <v>4636</v>
      </c>
      <c r="I290" s="625"/>
      <c r="J290" s="361"/>
      <c r="K290" s="347">
        <v>3714410</v>
      </c>
      <c r="L290" s="152">
        <f t="shared" si="19"/>
        <v>3714410</v>
      </c>
      <c r="M290" s="486" t="s">
        <v>4637</v>
      </c>
      <c r="N290" s="211"/>
      <c r="O290" s="211"/>
      <c r="P290" s="326"/>
    </row>
    <row r="291" spans="1:34" s="24" customFormat="1" ht="12.75" customHeight="1" x14ac:dyDescent="0.3">
      <c r="A291" s="211"/>
      <c r="B291" s="211" t="s">
        <v>678</v>
      </c>
      <c r="C291" s="211"/>
      <c r="D291" s="211"/>
      <c r="E291" s="211"/>
      <c r="F291" s="211"/>
      <c r="G291" s="211" t="s">
        <v>734</v>
      </c>
      <c r="H291" s="211" t="s">
        <v>292</v>
      </c>
      <c r="I291" s="478"/>
      <c r="J291" s="361">
        <f>IF(HLOOKUP(CaseName,CaseData,MATCH($G291,cases!$G$3:$G$1259,0)-1,FALSE)="",IF(HLOOKUP(ScenarioName,ScenarioData,MATCH($G291,scenarios!$G$3:$G$144,0),FALSE)="","",HLOOKUP(ScenarioName,ScenarioData,MATCH($G291,scenarios!$G$3:$G$153,0),FALSE)),HLOOKUP(CaseName,CaseData,MATCH($G291,cases!$G$3:$G$1259,0)-1,FALSE))</f>
        <v>2.5000000000000001E-3</v>
      </c>
      <c r="K291" s="347">
        <v>2.5000000000000001E-3</v>
      </c>
      <c r="L291" s="152">
        <f t="shared" si="19"/>
        <v>2.5000000000000001E-3</v>
      </c>
      <c r="M291" s="208" t="s">
        <v>292</v>
      </c>
      <c r="N291" s="211">
        <f>SUM(L291:L295)</f>
        <v>1</v>
      </c>
      <c r="O291" s="207"/>
      <c r="P291" s="207"/>
      <c r="Q291" s="11"/>
      <c r="R291" s="11"/>
      <c r="S291"/>
      <c r="T291"/>
      <c r="U291"/>
      <c r="V291"/>
      <c r="W291"/>
      <c r="X291"/>
      <c r="Y291"/>
      <c r="Z291" s="11"/>
      <c r="AA291" s="11"/>
      <c r="AB291" s="11"/>
      <c r="AC291" s="11"/>
      <c r="AD291" s="11"/>
      <c r="AE291" s="11"/>
      <c r="AF291" s="11"/>
      <c r="AG291" s="11"/>
      <c r="AH291" s="11"/>
    </row>
    <row r="292" spans="1:34" s="24" customFormat="1" ht="12.75" customHeight="1" x14ac:dyDescent="0.3">
      <c r="A292" s="211"/>
      <c r="B292" s="211" t="s">
        <v>678</v>
      </c>
      <c r="C292" s="211"/>
      <c r="D292" s="211"/>
      <c r="E292" s="211"/>
      <c r="F292" s="211"/>
      <c r="G292" s="211" t="s">
        <v>735</v>
      </c>
      <c r="H292" s="211" t="s">
        <v>292</v>
      </c>
      <c r="I292" s="478"/>
      <c r="J292" s="361">
        <f>IF(HLOOKUP(CaseName,CaseData,MATCH($G292,cases!$G$3:$G$1259,0)-1,FALSE)="",IF(HLOOKUP(ScenarioName,ScenarioData,MATCH($G292,scenarios!$G$3:$G$144,0),FALSE)="","",HLOOKUP(ScenarioName,ScenarioData,MATCH($G292,scenarios!$G$3:$G$153,0),FALSE)),HLOOKUP(CaseName,CaseData,MATCH($G292,cases!$G$3:$G$1259,0)-1,FALSE))</f>
        <v>2.75E-2</v>
      </c>
      <c r="K292" s="347">
        <v>2.75E-2</v>
      </c>
      <c r="L292" s="152">
        <f t="shared" si="19"/>
        <v>2.75E-2</v>
      </c>
      <c r="M292" s="208" t="s">
        <v>292</v>
      </c>
      <c r="N292" s="211"/>
      <c r="O292" s="207"/>
      <c r="P292" s="207"/>
      <c r="Q292" s="11"/>
      <c r="R292" s="11"/>
      <c r="S292"/>
      <c r="T292"/>
      <c r="U292"/>
      <c r="V292"/>
      <c r="W292"/>
      <c r="X292"/>
      <c r="Y292"/>
      <c r="Z292" s="11"/>
      <c r="AA292" s="11"/>
      <c r="AB292" s="11"/>
      <c r="AC292" s="11"/>
      <c r="AD292" s="11"/>
      <c r="AE292" s="11"/>
      <c r="AF292" s="11"/>
      <c r="AG292" s="11"/>
      <c r="AH292" s="11"/>
    </row>
    <row r="293" spans="1:34" s="24" customFormat="1" ht="12.75" customHeight="1" x14ac:dyDescent="0.3">
      <c r="A293" s="211"/>
      <c r="B293" s="211" t="s">
        <v>680</v>
      </c>
      <c r="C293" s="211"/>
      <c r="D293" s="211"/>
      <c r="E293" s="211"/>
      <c r="F293" s="211"/>
      <c r="G293" s="211" t="s">
        <v>736</v>
      </c>
      <c r="H293" s="211" t="s">
        <v>292</v>
      </c>
      <c r="I293" s="478"/>
      <c r="J293" s="361">
        <f>IF(HLOOKUP(CaseName,CaseData,MATCH($G293,cases!$G$3:$G$1259,0)-1,FALSE)="",IF(HLOOKUP(ScenarioName,ScenarioData,MATCH($G293,scenarios!$G$3:$G$144,0),FALSE)="","",HLOOKUP(ScenarioName,ScenarioData,MATCH($G293,scenarios!$G$3:$G$153,0),FALSE)),HLOOKUP(CaseName,CaseData,MATCH($G293,cases!$G$3:$G$1259,0)-1,FALSE))</f>
        <v>0.27</v>
      </c>
      <c r="K293" s="347">
        <v>0.27</v>
      </c>
      <c r="L293" s="152">
        <f t="shared" si="19"/>
        <v>0.27</v>
      </c>
      <c r="M293" s="208" t="s">
        <v>292</v>
      </c>
      <c r="N293" s="211"/>
      <c r="O293" s="207"/>
      <c r="P293" s="207"/>
      <c r="Q293" s="11"/>
      <c r="R293" s="11"/>
      <c r="S293"/>
      <c r="T293"/>
      <c r="U293"/>
      <c r="V293"/>
      <c r="W293"/>
      <c r="X293"/>
      <c r="Y293"/>
      <c r="Z293" s="11"/>
      <c r="AA293" s="11"/>
      <c r="AB293" s="11"/>
      <c r="AC293" s="11"/>
      <c r="AD293" s="11"/>
      <c r="AE293" s="11"/>
      <c r="AF293" s="11"/>
      <c r="AG293" s="11"/>
      <c r="AH293" s="11"/>
    </row>
    <row r="294" spans="1:34" s="24" customFormat="1" ht="12.75" customHeight="1" x14ac:dyDescent="0.3">
      <c r="A294" s="211"/>
      <c r="B294" s="211" t="s">
        <v>682</v>
      </c>
      <c r="C294" s="211"/>
      <c r="D294" s="211"/>
      <c r="E294" s="211"/>
      <c r="F294" s="211"/>
      <c r="G294" s="211" t="s">
        <v>737</v>
      </c>
      <c r="H294" s="211" t="s">
        <v>292</v>
      </c>
      <c r="I294" s="478"/>
      <c r="J294" s="361">
        <f>IF(HLOOKUP(CaseName,CaseData,MATCH($G294,cases!$G$3:$G$1259,0)-1,FALSE)="",IF(HLOOKUP(ScenarioName,ScenarioData,MATCH($G294,scenarios!$G$3:$G$144,0),FALSE)="","",HLOOKUP(ScenarioName,ScenarioData,MATCH($G294,scenarios!$G$3:$G$153,0),FALSE)),HLOOKUP(CaseName,CaseData,MATCH($G294,cases!$G$3:$G$1259,0)-1,FALSE))</f>
        <v>0.6</v>
      </c>
      <c r="K294" s="347">
        <v>0.6</v>
      </c>
      <c r="L294" s="152">
        <f t="shared" si="19"/>
        <v>0.6</v>
      </c>
      <c r="M294" s="208" t="s">
        <v>292</v>
      </c>
      <c r="N294" s="211"/>
      <c r="O294" s="207"/>
      <c r="P294" s="207"/>
      <c r="Q294" s="11"/>
      <c r="R294" s="11"/>
      <c r="S294"/>
      <c r="T294"/>
      <c r="U294"/>
      <c r="V294"/>
      <c r="W294"/>
      <c r="X294"/>
      <c r="Y294"/>
      <c r="Z294" s="11"/>
      <c r="AA294" s="11"/>
      <c r="AB294" s="11"/>
      <c r="AC294" s="11"/>
      <c r="AD294" s="11"/>
      <c r="AE294" s="11"/>
      <c r="AF294" s="11"/>
      <c r="AG294" s="11"/>
      <c r="AH294" s="11"/>
    </row>
    <row r="295" spans="1:34" s="24" customFormat="1" ht="12.75" customHeight="1" x14ac:dyDescent="0.3">
      <c r="A295" s="211"/>
      <c r="B295" s="211" t="s">
        <v>684</v>
      </c>
      <c r="C295" s="211"/>
      <c r="D295" s="211"/>
      <c r="E295" s="211"/>
      <c r="F295" s="211"/>
      <c r="G295" s="211" t="s">
        <v>738</v>
      </c>
      <c r="H295" s="211" t="s">
        <v>292</v>
      </c>
      <c r="I295" s="478"/>
      <c r="J295" s="361">
        <f>IF(HLOOKUP(CaseName,CaseData,MATCH($G295,cases!$G$3:$G$1259,0)-1,FALSE)="",IF(HLOOKUP(ScenarioName,ScenarioData,MATCH($G295,scenarios!$G$3:$G$144,0),FALSE)="","",HLOOKUP(ScenarioName,ScenarioData,MATCH($G295,scenarios!$G$3:$G$153,0),FALSE)),HLOOKUP(CaseName,CaseData,MATCH($G295,cases!$G$3:$G$1259,0)-1,FALSE))</f>
        <v>0.1</v>
      </c>
      <c r="K295" s="347">
        <v>0.1</v>
      </c>
      <c r="L295" s="152">
        <f t="shared" si="19"/>
        <v>0.1</v>
      </c>
      <c r="M295" s="208" t="s">
        <v>292</v>
      </c>
      <c r="N295" s="211"/>
      <c r="O295" s="207"/>
      <c r="P295" s="207"/>
      <c r="Q295" s="11"/>
      <c r="R295" s="11"/>
      <c r="S295"/>
      <c r="T295"/>
      <c r="U295"/>
      <c r="V295"/>
      <c r="W295"/>
      <c r="X295"/>
      <c r="Y295"/>
      <c r="Z295" s="11"/>
      <c r="AA295" s="11"/>
      <c r="AB295" s="11"/>
      <c r="AC295" s="11"/>
      <c r="AD295" s="11"/>
      <c r="AE295" s="11"/>
      <c r="AF295" s="11"/>
      <c r="AG295" s="11"/>
      <c r="AH295" s="11"/>
    </row>
    <row r="296" spans="1:34" s="24" customFormat="1" ht="12.75" customHeight="1" x14ac:dyDescent="0.3">
      <c r="A296" s="211"/>
      <c r="B296" s="211" t="s">
        <v>686</v>
      </c>
      <c r="C296" s="211"/>
      <c r="D296" s="211"/>
      <c r="E296" s="211"/>
      <c r="F296" s="211"/>
      <c r="G296" s="211" t="s">
        <v>739</v>
      </c>
      <c r="H296" s="211" t="s">
        <v>585</v>
      </c>
      <c r="I296" s="478"/>
      <c r="J296" s="361">
        <f>IF(HLOOKUP(CaseName,CaseData,MATCH($G296,cases!$G$3:$G$1259,0)-1,FALSE)="",IF(HLOOKUP(ScenarioName,ScenarioData,MATCH($G296,scenarios!$G$3:$G$144,0),FALSE)="","",HLOOKUP(ScenarioName,ScenarioData,MATCH($G296,scenarios!$G$3:$G$153,0),FALSE)),HLOOKUP(CaseName,CaseData,MATCH($G296,cases!$G$3:$G$1259,0)-1,FALSE))</f>
        <v>12</v>
      </c>
      <c r="K296" s="347">
        <v>12</v>
      </c>
      <c r="L296" s="152">
        <f>IF(ISBLANK(I296), IF(ISNUMBER(J296)=FALSE,K296+273,J296+273),I296+273)</f>
        <v>285</v>
      </c>
      <c r="M296" s="208" t="s">
        <v>586</v>
      </c>
      <c r="N296" s="211"/>
      <c r="O296" s="207"/>
      <c r="P296" s="207"/>
      <c r="Q296" s="11"/>
      <c r="R296" s="11"/>
      <c r="S296"/>
      <c r="T296"/>
      <c r="U296"/>
      <c r="V296"/>
      <c r="W296"/>
      <c r="X296"/>
      <c r="Y296"/>
      <c r="Z296" s="11"/>
      <c r="AA296" s="11"/>
      <c r="AB296" s="11"/>
      <c r="AC296" s="11"/>
      <c r="AD296" s="11"/>
      <c r="AE296" s="11"/>
      <c r="AF296" s="11"/>
      <c r="AG296" s="11"/>
      <c r="AH296" s="11"/>
    </row>
    <row r="297" spans="1:34" s="24" customFormat="1" ht="12.75" customHeight="1" x14ac:dyDescent="0.3">
      <c r="A297" s="211"/>
      <c r="B297" s="211" t="s">
        <v>688</v>
      </c>
      <c r="C297" s="211"/>
      <c r="D297" s="211"/>
      <c r="E297" s="211"/>
      <c r="F297" s="211"/>
      <c r="G297" s="211" t="s">
        <v>740</v>
      </c>
      <c r="H297" s="211" t="s">
        <v>690</v>
      </c>
      <c r="I297" s="478"/>
      <c r="J297" s="361">
        <f>IF(HLOOKUP(CaseName,CaseData,MATCH($G297,cases!$G$3:$G$1259,0)-1,FALSE)="",IF(HLOOKUP(ScenarioName,ScenarioData,MATCH($G297,scenarios!$G$3:$G$144,0),FALSE)="","",HLOOKUP(ScenarioName,ScenarioData,MATCH($G297,scenarios!$G$3:$G$153,0),FALSE)),HLOOKUP(CaseName,CaseData,MATCH($G297,cases!$G$3:$G$1259,0)-1,FALSE))</f>
        <v>3</v>
      </c>
      <c r="K297" s="347">
        <v>3</v>
      </c>
      <c r="L297" s="152">
        <f>IF(ISBLANK(I297), IF(ISNUMBER(J297)=FALSE,K297,J297),I297)</f>
        <v>3</v>
      </c>
      <c r="M297" s="208" t="s">
        <v>690</v>
      </c>
      <c r="N297" s="211"/>
      <c r="O297" s="207"/>
      <c r="P297" s="207"/>
      <c r="Q297" s="11"/>
      <c r="R297" s="11"/>
      <c r="S297"/>
      <c r="T297"/>
      <c r="U297"/>
      <c r="V297"/>
      <c r="W297"/>
      <c r="X297"/>
      <c r="Y297"/>
      <c r="Z297" s="11"/>
      <c r="AA297" s="11"/>
      <c r="AB297" s="11"/>
      <c r="AC297" s="11"/>
      <c r="AD297" s="11"/>
      <c r="AE297" s="11"/>
      <c r="AF297" s="11"/>
      <c r="AG297" s="11"/>
      <c r="AH297" s="11"/>
    </row>
    <row r="298" spans="1:34" s="24" customFormat="1" ht="12.75" customHeight="1" x14ac:dyDescent="0.3">
      <c r="A298" s="211"/>
      <c r="B298" s="211" t="s">
        <v>691</v>
      </c>
      <c r="C298" s="211"/>
      <c r="D298" s="211"/>
      <c r="E298" s="211"/>
      <c r="F298" s="211"/>
      <c r="G298" s="211" t="s">
        <v>741</v>
      </c>
      <c r="H298" s="211" t="s">
        <v>693</v>
      </c>
      <c r="I298" s="477"/>
      <c r="J298" s="361">
        <f>IF(HLOOKUP(CaseName,CaseData,MATCH($G298,cases!$G$3:$G$1259,0)-1,FALSE)="",IF(HLOOKUP(ScenarioName,ScenarioData,MATCH($G298,scenarios!$G$3:$G$144,0),FALSE)="","",HLOOKUP(ScenarioName,ScenarioData,MATCH($G298,scenarios!$G$3:$G$153,0),FALSE)),HLOOKUP(CaseName,CaseData,MATCH($G298,cases!$G$3:$G$1259,0)-1,FALSE))</f>
        <v>700</v>
      </c>
      <c r="K298" s="347">
        <v>700</v>
      </c>
      <c r="L298" s="152">
        <f>IF(ISBLANK(I298),IF(ISNUMBER(J298)=FALSE,K298/1000/(3600*24*365),J298/1000/(3600*24*365)),I298/1000/(3600*24*365))</f>
        <v>2.219685438863521E-8</v>
      </c>
      <c r="M298" s="208" t="s">
        <v>690</v>
      </c>
      <c r="N298" s="211"/>
      <c r="O298" s="207"/>
      <c r="P298" s="207"/>
      <c r="Q298" s="11"/>
      <c r="R298" s="11"/>
      <c r="S298"/>
      <c r="T298"/>
      <c r="U298"/>
      <c r="V298"/>
      <c r="W298"/>
      <c r="X298"/>
      <c r="Y298"/>
      <c r="Z298" s="11"/>
      <c r="AA298" s="11"/>
      <c r="AB298" s="11"/>
      <c r="AC298" s="11"/>
      <c r="AD298" s="11"/>
      <c r="AE298" s="11"/>
      <c r="AF298" s="11"/>
      <c r="AG298" s="11"/>
      <c r="AH298" s="11"/>
    </row>
    <row r="299" spans="1:34" s="24" customFormat="1" ht="12.75" customHeight="1" x14ac:dyDescent="0.3">
      <c r="A299" s="211"/>
      <c r="B299" s="211" t="s">
        <v>696</v>
      </c>
      <c r="C299" s="211"/>
      <c r="D299" s="211"/>
      <c r="E299" s="211"/>
      <c r="F299" s="211"/>
      <c r="G299" s="211" t="s">
        <v>742</v>
      </c>
      <c r="H299" s="211" t="s">
        <v>279</v>
      </c>
      <c r="I299" s="478"/>
      <c r="J299" s="361">
        <f>IF(HLOOKUP(CaseName,CaseData,MATCH($G299,cases!$G$3:$G$1259,0)-1,FALSE)="",IF(HLOOKUP(ScenarioName,ScenarioData,MATCH($G299,scenarios!$G$3:$G$144,0),FALSE)="","",HLOOKUP(ScenarioName,ScenarioData,MATCH($G299,scenarios!$G$3:$G$153,0),FALSE)),HLOOKUP(CaseName,CaseData,MATCH($G299,cases!$G$3:$G$1259,0)-1,FALSE))</f>
        <v>100</v>
      </c>
      <c r="K299" s="347">
        <v>100</v>
      </c>
      <c r="L299" s="152">
        <f>IF(ISBLANK(I299), IF(ISNUMBER(J299)=FALSE,K299,J299),I299)</f>
        <v>100</v>
      </c>
      <c r="M299" s="208" t="s">
        <v>279</v>
      </c>
      <c r="N299" s="211"/>
      <c r="O299" s="207"/>
      <c r="P299" s="207"/>
      <c r="Q299" s="11"/>
      <c r="R299" s="11"/>
      <c r="S299"/>
      <c r="T299"/>
      <c r="U299"/>
      <c r="V299"/>
      <c r="W299"/>
      <c r="X299"/>
      <c r="Y299"/>
      <c r="Z299" s="11"/>
      <c r="AA299" s="11"/>
      <c r="AB299" s="11"/>
      <c r="AC299" s="11"/>
      <c r="AD299" s="11"/>
      <c r="AE299" s="11"/>
      <c r="AF299" s="11"/>
      <c r="AG299" s="11"/>
      <c r="AH299" s="11"/>
    </row>
    <row r="300" spans="1:34" s="24" customFormat="1" ht="12.75" customHeight="1" x14ac:dyDescent="0.3">
      <c r="A300" s="211"/>
      <c r="B300" s="211" t="s">
        <v>696</v>
      </c>
      <c r="C300" s="211"/>
      <c r="D300" s="211"/>
      <c r="E300" s="211"/>
      <c r="F300" s="211"/>
      <c r="G300" s="211" t="s">
        <v>743</v>
      </c>
      <c r="H300" s="211" t="s">
        <v>279</v>
      </c>
      <c r="I300" s="478"/>
      <c r="J300" s="361">
        <f>IF(HLOOKUP(CaseName,CaseData,MATCH($G300,cases!$G$3:$G$1259,0)-1,FALSE)="",IF(HLOOKUP(ScenarioName,ScenarioData,MATCH($G300,scenarios!$G$3:$G$144,0),FALSE)="","",HLOOKUP(ScenarioName,ScenarioData,MATCH($G300,scenarios!$G$3:$G$153,0),FALSE)),HLOOKUP(CaseName,CaseData,MATCH($G300,cases!$G$3:$G$1259,0)-1,FALSE))</f>
        <v>3</v>
      </c>
      <c r="K300" s="347">
        <v>3</v>
      </c>
      <c r="L300" s="152">
        <f>IF(ISBLANK(I300), IF(ISNUMBER(J300)=FALSE,K300,J300),I300)</f>
        <v>3</v>
      </c>
      <c r="M300" s="208" t="s">
        <v>279</v>
      </c>
      <c r="N300" s="211"/>
      <c r="O300" s="207"/>
      <c r="P300" s="207"/>
      <c r="Q300" s="11"/>
      <c r="R300" s="11"/>
      <c r="S300"/>
      <c r="T300"/>
      <c r="U300"/>
      <c r="V300"/>
      <c r="W300"/>
      <c r="X300"/>
      <c r="Y300"/>
      <c r="Z300" s="11"/>
      <c r="AA300" s="11"/>
      <c r="AB300" s="11"/>
      <c r="AC300" s="11"/>
      <c r="AD300" s="11"/>
      <c r="AE300" s="11"/>
      <c r="AF300" s="11"/>
      <c r="AG300" s="11"/>
      <c r="AH300" s="11"/>
    </row>
    <row r="301" spans="1:34" s="24" customFormat="1" ht="12.75" customHeight="1" x14ac:dyDescent="0.3">
      <c r="A301" s="211"/>
      <c r="B301" s="211" t="s">
        <v>744</v>
      </c>
      <c r="C301" s="211"/>
      <c r="D301" s="211"/>
      <c r="E301" s="211"/>
      <c r="F301" s="211"/>
      <c r="G301" s="211" t="s">
        <v>745</v>
      </c>
      <c r="H301" s="211" t="s">
        <v>292</v>
      </c>
      <c r="I301" s="478"/>
      <c r="J301" s="361">
        <f>IF(HLOOKUP(CaseName,CaseData,MATCH($G301,cases!$G$3:$G$1259,0)-1,FALSE)="",IF(HLOOKUP(ScenarioName,ScenarioData,MATCH($G301,scenarios!$G$3:$G$144,0),FALSE)="","",HLOOKUP(ScenarioName,ScenarioData,MATCH($G301,scenarios!$G$3:$G$153,0),FALSE)),HLOOKUP(CaseName,CaseData,MATCH($G301,cases!$G$3:$G$1259,0)-1,FALSE))</f>
        <v>0</v>
      </c>
      <c r="K301" s="347">
        <v>0</v>
      </c>
      <c r="L301" s="152">
        <f>IF(ISBLANK(I301), IF(ISNUMBER(J301)=FALSE,K301,J301),I301)</f>
        <v>0</v>
      </c>
      <c r="M301" s="208" t="s">
        <v>292</v>
      </c>
      <c r="N301" s="211"/>
      <c r="O301" s="207"/>
      <c r="P301" s="207"/>
      <c r="Q301" s="11"/>
      <c r="R301" s="11"/>
      <c r="S301"/>
      <c r="T301"/>
      <c r="U301"/>
      <c r="V301"/>
      <c r="W301"/>
      <c r="X301"/>
      <c r="Y301"/>
      <c r="Z301" s="11"/>
      <c r="AA301" s="11"/>
      <c r="AB301" s="11"/>
      <c r="AC301" s="11"/>
      <c r="AD301" s="11"/>
      <c r="AE301" s="11"/>
      <c r="AF301" s="11"/>
      <c r="AG301" s="11"/>
      <c r="AH301" s="11"/>
    </row>
    <row r="302" spans="1:34" s="24" customFormat="1" ht="12.75" customHeight="1" x14ac:dyDescent="0.3">
      <c r="A302" s="211"/>
      <c r="B302" s="211" t="s">
        <v>702</v>
      </c>
      <c r="C302" s="211"/>
      <c r="D302" s="211"/>
      <c r="E302" s="211"/>
      <c r="F302" s="211"/>
      <c r="G302" s="211" t="s">
        <v>746</v>
      </c>
      <c r="H302" s="211" t="s">
        <v>292</v>
      </c>
      <c r="I302" s="478"/>
      <c r="J302" s="361">
        <f>IF(HLOOKUP(CaseName,CaseData,MATCH($G302,cases!$G$3:$G$1259,0)-1,FALSE)="",IF(HLOOKUP(ScenarioName,ScenarioData,MATCH($G302,scenarios!$G$3:$G$144,0),FALSE)="","",HLOOKUP(ScenarioName,ScenarioData,MATCH($G302,scenarios!$G$3:$G$153,0),FALSE)),HLOOKUP(CaseName,CaseData,MATCH($G302,cases!$G$3:$G$1259,0)-1,FALSE))</f>
        <v>0.25</v>
      </c>
      <c r="K302" s="347">
        <v>0.25</v>
      </c>
      <c r="L302" s="152">
        <f>IF(ISBLANK(I302), IF(ISNUMBER(J302)=FALSE,K302,J302),I302)</f>
        <v>0.25</v>
      </c>
      <c r="M302" s="208" t="s">
        <v>292</v>
      </c>
      <c r="N302" s="211"/>
      <c r="O302" s="207"/>
      <c r="P302" s="207"/>
      <c r="Q302" s="11"/>
      <c r="R302" s="11"/>
      <c r="S302"/>
      <c r="T302"/>
      <c r="U302"/>
      <c r="V302"/>
      <c r="W302"/>
      <c r="X302"/>
      <c r="Y302"/>
      <c r="Z302" s="11"/>
      <c r="AA302" s="11"/>
      <c r="AB302" s="11"/>
      <c r="AC302" s="11"/>
      <c r="AD302" s="11"/>
      <c r="AE302" s="11"/>
      <c r="AF302" s="11"/>
      <c r="AG302" s="11"/>
      <c r="AH302" s="11"/>
    </row>
    <row r="303" spans="1:34" s="24" customFormat="1" ht="12.75" customHeight="1" x14ac:dyDescent="0.3">
      <c r="A303" s="211"/>
      <c r="B303" s="211" t="s">
        <v>700</v>
      </c>
      <c r="C303" s="211"/>
      <c r="D303" s="211"/>
      <c r="E303" s="211"/>
      <c r="F303" s="211"/>
      <c r="G303" s="211" t="s">
        <v>747</v>
      </c>
      <c r="H303" s="211" t="s">
        <v>292</v>
      </c>
      <c r="I303" s="478"/>
      <c r="J303" s="361">
        <f>IF(HLOOKUP(CaseName,CaseData,MATCH($G303,cases!$G$3:$G$1259,0)-1,FALSE)="",IF(HLOOKUP(ScenarioName,ScenarioData,MATCH($G303,scenarios!$G$3:$G$144,0),FALSE)="","",HLOOKUP(ScenarioName,ScenarioData,MATCH($G303,scenarios!$G$3:$G$153,0),FALSE)),HLOOKUP(CaseName,CaseData,MATCH($G303,cases!$G$3:$G$1259,0)-1,FALSE))</f>
        <v>0.25</v>
      </c>
      <c r="K303" s="347">
        <v>0.25</v>
      </c>
      <c r="L303" s="152">
        <f>IF(ISBLANK(I303), IF(ISNUMBER(J303)=FALSE,K303,J303),I303)</f>
        <v>0.25</v>
      </c>
      <c r="M303" s="208" t="s">
        <v>292</v>
      </c>
      <c r="N303" s="211"/>
      <c r="O303" s="207"/>
      <c r="P303" s="207"/>
      <c r="Q303" s="11"/>
      <c r="R303" s="11"/>
      <c r="S303"/>
      <c r="T303"/>
      <c r="U303"/>
      <c r="V303"/>
      <c r="W303"/>
      <c r="X303"/>
      <c r="Y303"/>
      <c r="Z303" s="11"/>
      <c r="AA303" s="11"/>
      <c r="AB303" s="11"/>
      <c r="AC303" s="11"/>
      <c r="AD303" s="11"/>
      <c r="AE303" s="11"/>
      <c r="AF303" s="11"/>
      <c r="AG303" s="11"/>
      <c r="AH303" s="11"/>
    </row>
    <row r="304" spans="1:34" s="24" customFormat="1" ht="12.75" customHeight="1" x14ac:dyDescent="0.3">
      <c r="A304" s="211"/>
      <c r="B304" s="211" t="s">
        <v>704</v>
      </c>
      <c r="C304" s="211"/>
      <c r="D304" s="211"/>
      <c r="E304" s="211"/>
      <c r="F304" s="211"/>
      <c r="G304" s="211" t="s">
        <v>748</v>
      </c>
      <c r="H304" s="211" t="s">
        <v>693</v>
      </c>
      <c r="I304" s="478"/>
      <c r="J304" s="361">
        <f>IF(HLOOKUP(CaseName,CaseData,MATCH($G304,cases!$G$3:$G$1259,0)-1,FALSE)="",IF(HLOOKUP(ScenarioName,ScenarioData,MATCH($G304,scenarios!$G$3:$G$144,0),FALSE)="","",HLOOKUP(ScenarioName,ScenarioData,MATCH($G304,scenarios!$G$3:$G$153,0),FALSE)),HLOOKUP(CaseName,CaseData,MATCH($G304,cases!$G$3:$G$1259,0)-1,FALSE))</f>
        <v>0.03</v>
      </c>
      <c r="K304" s="347">
        <v>0.03</v>
      </c>
      <c r="L304" s="152">
        <f>IF(ISBLANK(I304),IF(ISNUMBER(J304)=FALSE,K304/1000/(3600*24*365),J304/1000/(3600*24*365)),I304/1000/(3600*24*365))</f>
        <v>9.5129375951293754E-13</v>
      </c>
      <c r="M304" s="208" t="s">
        <v>690</v>
      </c>
      <c r="N304" s="211"/>
      <c r="O304" s="207"/>
      <c r="P304" s="207"/>
      <c r="Q304" s="11"/>
      <c r="R304" s="11"/>
      <c r="S304"/>
      <c r="T304"/>
      <c r="U304"/>
      <c r="V304"/>
      <c r="W304"/>
      <c r="X304"/>
      <c r="Y304"/>
      <c r="Z304" s="11"/>
      <c r="AA304" s="11"/>
      <c r="AB304" s="11"/>
      <c r="AC304" s="11"/>
      <c r="AD304" s="11"/>
      <c r="AE304" s="11"/>
      <c r="AF304" s="11"/>
      <c r="AG304" s="11"/>
      <c r="AH304" s="11"/>
    </row>
    <row r="305" spans="1:34" customFormat="1" ht="12.75" customHeight="1" x14ac:dyDescent="0.3">
      <c r="A305" s="211"/>
      <c r="B305" s="211" t="s">
        <v>706</v>
      </c>
      <c r="C305" s="211"/>
      <c r="D305" s="211"/>
      <c r="E305" s="211"/>
      <c r="F305" s="211"/>
      <c r="G305" s="211" t="s">
        <v>749</v>
      </c>
      <c r="H305" s="208" t="s">
        <v>708</v>
      </c>
      <c r="I305" s="547"/>
      <c r="J305" s="361" t="str">
        <f>IF(HLOOKUP(CaseName,CaseData,MATCH($G305,cases!$G$3:$G$1259,0)-1,FALSE)="",IF(HLOOKUP(ScenarioName,ScenarioData,MATCH($G305,scenarios!$G$3:$G$144,0),FALSE)="","",HLOOKUP(ScenarioName,ScenarioData,MATCH($G305,scenarios!$G$3:$G$153,0),FALSE)),HLOOKUP(CaseName,CaseData,MATCH($G305,cases!$G$3:$G$1259,0)-1,FALSE))</f>
        <v/>
      </c>
      <c r="K305" s="484">
        <f>3.2*10^9</f>
        <v>3200000000</v>
      </c>
      <c r="L305" s="243">
        <f>IF(ISBLANK(I305),IF(ISNUMBER(J305)=FALSE,K305,J305),I305)</f>
        <v>3200000000</v>
      </c>
      <c r="M305" s="208" t="s">
        <v>708</v>
      </c>
      <c r="N305" s="211"/>
      <c r="O305" s="631"/>
      <c r="P305" s="211" t="s">
        <v>709</v>
      </c>
    </row>
    <row r="306" spans="1:34" customFormat="1" ht="12.75" customHeight="1" x14ac:dyDescent="0.3">
      <c r="A306" s="211"/>
      <c r="B306" s="211" t="s">
        <v>710</v>
      </c>
      <c r="C306" s="211"/>
      <c r="D306" s="211"/>
      <c r="E306" s="211"/>
      <c r="F306" s="211"/>
      <c r="G306" s="211" t="s">
        <v>750</v>
      </c>
      <c r="H306" s="208" t="s">
        <v>708</v>
      </c>
      <c r="I306" s="547"/>
      <c r="J306" s="361" t="str">
        <f>IF(HLOOKUP(CaseName,CaseData,MATCH($G306,cases!$G$3:$G$1259,0)-1,FALSE)="",IF(HLOOKUP(ScenarioName,ScenarioData,MATCH($G306,scenarios!$G$3:$G$144,0),FALSE)="","",HLOOKUP(ScenarioName,ScenarioData,MATCH($G306,scenarios!$G$3:$G$153,0),FALSE)),HLOOKUP(CaseName,CaseData,MATCH($G306,cases!$G$3:$G$1259,0)-1,FALSE))</f>
        <v/>
      </c>
      <c r="K306" s="484">
        <f>2.9*10^9</f>
        <v>2900000000</v>
      </c>
      <c r="L306" s="243">
        <f>IF(ISBLANK(I306),IF(ISNUMBER(J306)=FALSE,K306,J306),I306)</f>
        <v>2900000000</v>
      </c>
      <c r="M306" s="208" t="s">
        <v>708</v>
      </c>
      <c r="N306" s="211"/>
      <c r="O306" s="631"/>
      <c r="P306" s="211" t="s">
        <v>709</v>
      </c>
    </row>
    <row r="307" spans="1:34" customFormat="1" ht="12.75" customHeight="1" x14ac:dyDescent="0.3">
      <c r="A307" s="211"/>
      <c r="B307" s="211" t="s">
        <v>712</v>
      </c>
      <c r="C307" s="211"/>
      <c r="D307" s="211"/>
      <c r="E307" s="211"/>
      <c r="F307" s="211"/>
      <c r="G307" s="211" t="s">
        <v>751</v>
      </c>
      <c r="H307" s="208" t="s">
        <v>708</v>
      </c>
      <c r="I307" s="547"/>
      <c r="J307" s="361" t="str">
        <f>IF(HLOOKUP(CaseName,CaseData,MATCH($G307,cases!$G$3:$G$1259,0)-1,FALSE)="",IF(HLOOKUP(ScenarioName,ScenarioData,MATCH($G307,scenarios!$G$3:$G$144,0),FALSE)="","",HLOOKUP(ScenarioName,ScenarioData,MATCH($G307,scenarios!$G$3:$G$153,0),FALSE)),HLOOKUP(CaseName,CaseData,MATCH($G307,cases!$G$3:$G$1259,0)-1,FALSE))</f>
        <v/>
      </c>
      <c r="K307" s="484">
        <f>3*10^5</f>
        <v>300000</v>
      </c>
      <c r="L307" s="243">
        <f>IF(ISBLANK(I307),IF(ISNUMBER(J307)=FALSE,K307,J307),I307)</f>
        <v>300000</v>
      </c>
      <c r="M307" s="208" t="s">
        <v>708</v>
      </c>
      <c r="N307" s="211"/>
      <c r="O307" s="631"/>
      <c r="P307" s="211" t="s">
        <v>709</v>
      </c>
    </row>
    <row r="308" spans="1:34" s="24" customFormat="1" ht="12.75" customHeight="1" x14ac:dyDescent="0.3">
      <c r="A308" s="208"/>
      <c r="B308" s="208" t="s">
        <v>714</v>
      </c>
      <c r="C308" s="211"/>
      <c r="D308" s="211"/>
      <c r="E308" s="211"/>
      <c r="F308" s="211"/>
      <c r="G308" s="486" t="s">
        <v>752</v>
      </c>
      <c r="H308" s="208" t="s">
        <v>716</v>
      </c>
      <c r="I308" s="231"/>
      <c r="J308" s="361" t="str">
        <f>IF(HLOOKUP(CaseName,CaseData,MATCH($G308,cases!$G$3:$G$1259,0)-1,FALSE)="",IF(HLOOKUP(ScenarioName,ScenarioData,MATCH($G308,scenarios!$G$3:$G$144,0),FALSE)="","",HLOOKUP(ScenarioName,ScenarioData,MATCH($G308,scenarios!$G$3:$G$153,0),FALSE)),HLOOKUP(CaseName,CaseData,MATCH($G308,cases!$G$3:$G$1259,0)-1,FALSE))</f>
        <v/>
      </c>
      <c r="K308" s="371">
        <v>1</v>
      </c>
      <c r="L308" s="243">
        <f t="shared" ref="L308:L314" si="20">IF(ISBLANK(I308),IF(ISNUMBER(J308)=FALSE,K308/1000,J308/1000),I308/1000)</f>
        <v>1E-3</v>
      </c>
      <c r="M308" s="208" t="s">
        <v>717</v>
      </c>
      <c r="N308" s="211"/>
      <c r="O308" s="207"/>
      <c r="P308" s="207"/>
      <c r="Q308" s="11"/>
      <c r="R308" s="11"/>
      <c r="S308" s="11"/>
      <c r="T308" s="11"/>
      <c r="U308" s="11"/>
      <c r="V308" s="11"/>
      <c r="W308" s="11"/>
      <c r="X308" s="11"/>
      <c r="Y308" s="11"/>
      <c r="Z308" s="11"/>
      <c r="AA308" s="11"/>
      <c r="AB308" s="11"/>
      <c r="AC308" s="11"/>
      <c r="AD308" s="11"/>
      <c r="AE308" s="11"/>
      <c r="AF308" s="11"/>
      <c r="AG308" s="11"/>
      <c r="AH308" s="11"/>
    </row>
    <row r="309" spans="1:34" s="24" customFormat="1" ht="12.75" customHeight="1" x14ac:dyDescent="0.3">
      <c r="A309" s="208"/>
      <c r="B309" s="208" t="s">
        <v>714</v>
      </c>
      <c r="C309" s="211"/>
      <c r="D309" s="211"/>
      <c r="E309" s="211"/>
      <c r="F309" s="211"/>
      <c r="G309" s="486" t="s">
        <v>753</v>
      </c>
      <c r="H309" s="208" t="s">
        <v>716</v>
      </c>
      <c r="I309" s="231"/>
      <c r="J309" s="361" t="str">
        <f>IF(HLOOKUP(CaseName,CaseData,MATCH($G309,cases!$G$3:$G$1259,0)-1,FALSE)="",IF(HLOOKUP(ScenarioName,ScenarioData,MATCH($G309,scenarios!$G$3:$G$144,0),FALSE)="","",HLOOKUP(ScenarioName,ScenarioData,MATCH($G309,scenarios!$G$3:$G$153,0),FALSE)),HLOOKUP(CaseName,CaseData,MATCH($G309,cases!$G$3:$G$1259,0)-1,FALSE))</f>
        <v/>
      </c>
      <c r="K309" s="371">
        <v>1</v>
      </c>
      <c r="L309" s="243">
        <f t="shared" si="20"/>
        <v>1E-3</v>
      </c>
      <c r="M309" s="208" t="s">
        <v>717</v>
      </c>
      <c r="N309" s="211"/>
      <c r="O309" s="207"/>
      <c r="P309" s="207"/>
      <c r="Q309" s="11"/>
      <c r="R309" s="11"/>
      <c r="S309" s="11"/>
      <c r="T309" s="11"/>
      <c r="U309" s="11"/>
      <c r="V309" s="11"/>
      <c r="W309" s="11"/>
      <c r="X309" s="11"/>
      <c r="Y309" s="11"/>
      <c r="Z309" s="11"/>
      <c r="AA309" s="11"/>
      <c r="AB309" s="11"/>
      <c r="AC309" s="11"/>
      <c r="AD309" s="11"/>
      <c r="AE309" s="11"/>
      <c r="AF309" s="11"/>
      <c r="AG309" s="11"/>
      <c r="AH309" s="11"/>
    </row>
    <row r="310" spans="1:34" s="24" customFormat="1" ht="12.75" customHeight="1" x14ac:dyDescent="0.3">
      <c r="A310" s="208"/>
      <c r="B310" s="208" t="s">
        <v>714</v>
      </c>
      <c r="C310" s="211"/>
      <c r="D310" s="211"/>
      <c r="E310" s="211"/>
      <c r="F310" s="211"/>
      <c r="G310" s="486" t="s">
        <v>754</v>
      </c>
      <c r="H310" s="208" t="s">
        <v>716</v>
      </c>
      <c r="I310" s="231"/>
      <c r="J310" s="361" t="str">
        <f>IF(HLOOKUP(CaseName,CaseData,MATCH($G310,cases!$G$3:$G$1259,0)-1,FALSE)="",IF(HLOOKUP(ScenarioName,ScenarioData,MATCH($G310,scenarios!$G$3:$G$144,0),FALSE)="","",HLOOKUP(ScenarioName,ScenarioData,MATCH($G310,scenarios!$G$3:$G$153,0),FALSE)),HLOOKUP(CaseName,CaseData,MATCH($G310,cases!$G$3:$G$1259,0)-1,FALSE))</f>
        <v/>
      </c>
      <c r="K310" s="371">
        <v>1</v>
      </c>
      <c r="L310" s="243">
        <f t="shared" si="20"/>
        <v>1E-3</v>
      </c>
      <c r="M310" s="208" t="s">
        <v>717</v>
      </c>
      <c r="N310" s="211"/>
      <c r="O310" s="207"/>
      <c r="P310" s="207"/>
      <c r="Q310" s="11"/>
      <c r="R310" s="11"/>
      <c r="S310" s="11"/>
      <c r="T310" s="11"/>
      <c r="U310" s="11"/>
      <c r="V310" s="11"/>
      <c r="W310" s="11"/>
      <c r="X310" s="11"/>
      <c r="Y310" s="11"/>
      <c r="Z310" s="11"/>
      <c r="AA310" s="11"/>
      <c r="AB310" s="11"/>
      <c r="AC310" s="11"/>
      <c r="AD310" s="11"/>
      <c r="AE310" s="11"/>
      <c r="AF310" s="11"/>
      <c r="AG310" s="11"/>
      <c r="AH310" s="11"/>
    </row>
    <row r="311" spans="1:34" s="24" customFormat="1" ht="12.75" customHeight="1" x14ac:dyDescent="0.3">
      <c r="A311" s="208"/>
      <c r="B311" s="208" t="s">
        <v>723</v>
      </c>
      <c r="C311" s="211"/>
      <c r="D311" s="211"/>
      <c r="E311" s="211"/>
      <c r="F311" s="211"/>
      <c r="G311" s="486" t="s">
        <v>755</v>
      </c>
      <c r="H311" s="208" t="s">
        <v>579</v>
      </c>
      <c r="I311" s="231"/>
      <c r="J311" s="361" t="str">
        <f>IF(HLOOKUP(CaseName,CaseData,MATCH($G311,cases!$G$3:$G$1259,0)-1,FALSE)="",IF(HLOOKUP(ScenarioName,ScenarioData,MATCH($G311,scenarios!$G$3:$G$144,0),FALSE)="","",HLOOKUP(ScenarioName,ScenarioData,MATCH($G311,scenarios!$G$3:$G$153,0),FALSE)),HLOOKUP(CaseName,CaseData,MATCH($G311,cases!$G$3:$G$1259,0)-1,FALSE))</f>
        <v/>
      </c>
      <c r="K311" s="371">
        <v>0.5</v>
      </c>
      <c r="L311" s="243">
        <f t="shared" si="20"/>
        <v>5.0000000000000001E-4</v>
      </c>
      <c r="M311" s="208" t="s">
        <v>717</v>
      </c>
      <c r="N311" s="211"/>
      <c r="O311" s="207"/>
      <c r="P311" s="207"/>
      <c r="Q311" s="11"/>
      <c r="R311" s="11"/>
      <c r="S311" s="11"/>
      <c r="T311" s="11"/>
      <c r="U311" s="11"/>
      <c r="V311" s="11"/>
      <c r="W311" s="11"/>
      <c r="X311" s="11"/>
      <c r="Y311" s="11"/>
      <c r="Z311" s="11"/>
      <c r="AA311" s="11"/>
      <c r="AB311" s="11"/>
      <c r="AC311" s="11"/>
      <c r="AD311" s="11"/>
      <c r="AE311" s="11"/>
      <c r="AF311" s="11"/>
      <c r="AG311" s="11"/>
      <c r="AH311" s="11"/>
    </row>
    <row r="312" spans="1:34" s="24" customFormat="1" ht="12.75" customHeight="1" x14ac:dyDescent="0.3">
      <c r="A312" s="208"/>
      <c r="B312" s="208" t="s">
        <v>723</v>
      </c>
      <c r="C312" s="211"/>
      <c r="D312" s="211"/>
      <c r="E312" s="211"/>
      <c r="F312" s="211"/>
      <c r="G312" s="486" t="s">
        <v>756</v>
      </c>
      <c r="H312" s="208" t="s">
        <v>716</v>
      </c>
      <c r="I312" s="234"/>
      <c r="J312" s="361" t="str">
        <f>IF(HLOOKUP(CaseName,CaseData,MATCH($G312,cases!$G$3:$G$1259,0)-1,FALSE)="",IF(HLOOKUP(ScenarioName,ScenarioData,MATCH($G312,scenarios!$G$3:$G$144,0),FALSE)="","",HLOOKUP(ScenarioName,ScenarioData,MATCH($G312,scenarios!$G$3:$G$153,0),FALSE)),HLOOKUP(CaseName,CaseData,MATCH($G312,cases!$G$3:$G$1259,0)-1,FALSE))</f>
        <v/>
      </c>
      <c r="K312" s="371">
        <v>15</v>
      </c>
      <c r="L312" s="243">
        <f t="shared" si="20"/>
        <v>1.4999999999999999E-2</v>
      </c>
      <c r="M312" s="208" t="s">
        <v>717</v>
      </c>
      <c r="N312" s="211"/>
      <c r="O312" s="207"/>
      <c r="P312" s="207"/>
      <c r="Q312" s="11"/>
      <c r="R312" s="11"/>
      <c r="S312" s="11"/>
      <c r="T312" s="11"/>
      <c r="U312" s="11"/>
      <c r="V312" s="11"/>
      <c r="W312" s="11"/>
      <c r="X312" s="11"/>
      <c r="Y312" s="11"/>
      <c r="Z312" s="11"/>
      <c r="AA312" s="11"/>
      <c r="AB312" s="11"/>
      <c r="AC312" s="11"/>
      <c r="AD312" s="11"/>
      <c r="AE312" s="11"/>
      <c r="AF312" s="11"/>
      <c r="AG312" s="11"/>
      <c r="AH312" s="11"/>
    </row>
    <row r="313" spans="1:34" s="24" customFormat="1" ht="12.75" customHeight="1" x14ac:dyDescent="0.3">
      <c r="A313" s="208"/>
      <c r="B313" s="208" t="s">
        <v>725</v>
      </c>
      <c r="C313" s="211"/>
      <c r="D313" s="211"/>
      <c r="E313" s="211"/>
      <c r="F313" s="211"/>
      <c r="G313" s="486" t="s">
        <v>757</v>
      </c>
      <c r="H313" s="208" t="s">
        <v>716</v>
      </c>
      <c r="I313" s="234"/>
      <c r="J313" s="361" t="str">
        <f>IF(HLOOKUP(CaseName,CaseData,MATCH($G313,cases!$G$3:$G$1259,0)-1,FALSE)="",IF(HLOOKUP(ScenarioName,ScenarioData,MATCH($G313,scenarios!$G$3:$G$144,0),FALSE)="","",HLOOKUP(ScenarioName,ScenarioData,MATCH($G313,scenarios!$G$3:$G$153,0),FALSE)),HLOOKUP(CaseName,CaseData,MATCH($G313,cases!$G$3:$G$1259,0)-1,FALSE))</f>
        <v/>
      </c>
      <c r="K313" s="371">
        <v>5</v>
      </c>
      <c r="L313" s="243">
        <f t="shared" si="20"/>
        <v>5.0000000000000001E-3</v>
      </c>
      <c r="M313" s="208" t="s">
        <v>717</v>
      </c>
      <c r="N313" s="211"/>
      <c r="O313" s="207"/>
      <c r="P313" s="207"/>
      <c r="Q313" s="11"/>
      <c r="R313" s="11"/>
      <c r="S313" s="11"/>
      <c r="T313" s="11"/>
      <c r="U313" s="11"/>
      <c r="V313" s="11"/>
      <c r="W313" s="11"/>
      <c r="X313" s="11"/>
      <c r="Y313" s="11"/>
      <c r="Z313" s="11"/>
      <c r="AA313" s="11"/>
      <c r="AB313" s="11"/>
      <c r="AC313" s="11"/>
      <c r="AD313" s="11"/>
      <c r="AE313" s="11"/>
      <c r="AF313" s="11"/>
      <c r="AG313" s="11"/>
      <c r="AH313" s="11"/>
    </row>
    <row r="314" spans="1:34" customFormat="1" ht="12.75" customHeight="1" x14ac:dyDescent="0.3">
      <c r="A314" s="211"/>
      <c r="B314" s="211" t="s">
        <v>727</v>
      </c>
      <c r="C314" s="211"/>
      <c r="D314" s="211"/>
      <c r="E314" s="211"/>
      <c r="F314" s="211"/>
      <c r="G314" s="208" t="s">
        <v>758</v>
      </c>
      <c r="H314" s="208" t="s">
        <v>729</v>
      </c>
      <c r="I314" s="547"/>
      <c r="J314" s="361" t="str">
        <f>IF(HLOOKUP(CaseName,CaseData,MATCH($G314,cases!$G$3:$G$1259,0)-1,FALSE)="",IF(HLOOKUP(ScenarioName,ScenarioData,MATCH($G314,scenarios!$G$3:$G$144,0),FALSE)="","",HLOOKUP(ScenarioName,ScenarioData,MATCH($G314,scenarios!$G$3:$G$153,0),FALSE)),HLOOKUP(CaseName,CaseData,MATCH($G314,cases!$G$3:$G$1259,0)-1,FALSE))</f>
        <v/>
      </c>
      <c r="K314" s="484">
        <v>100</v>
      </c>
      <c r="L314" s="243">
        <f t="shared" si="20"/>
        <v>0.1</v>
      </c>
      <c r="M314" s="208" t="s">
        <v>730</v>
      </c>
      <c r="N314" s="211" t="s">
        <v>731</v>
      </c>
      <c r="O314" s="222"/>
      <c r="P314" s="211"/>
    </row>
    <row r="315" spans="1:34" s="24" customFormat="1" ht="12.75" customHeight="1" x14ac:dyDescent="0.3">
      <c r="A315" s="211"/>
      <c r="B315" s="211"/>
      <c r="C315" s="211"/>
      <c r="D315" s="211"/>
      <c r="E315" s="211"/>
      <c r="F315" s="211"/>
      <c r="G315" s="211"/>
      <c r="H315" s="211"/>
      <c r="I315" s="137"/>
      <c r="J315" s="368"/>
      <c r="K315" s="161"/>
      <c r="L315" s="161"/>
      <c r="M315" s="211"/>
      <c r="N315" s="211"/>
      <c r="O315" s="207"/>
      <c r="P315" s="207"/>
      <c r="Q315" s="11"/>
      <c r="R315" s="11"/>
      <c r="S315"/>
      <c r="T315"/>
      <c r="U315"/>
      <c r="V315"/>
      <c r="W315"/>
      <c r="X315"/>
      <c r="Y315"/>
      <c r="Z315" s="11"/>
      <c r="AA315" s="11"/>
      <c r="AB315" s="11"/>
      <c r="AC315" s="11"/>
      <c r="AD315" s="11"/>
      <c r="AE315" s="11"/>
      <c r="AF315" s="11"/>
      <c r="AG315" s="11"/>
      <c r="AH315" s="11"/>
    </row>
    <row r="316" spans="1:34" s="24" customFormat="1" ht="12.75" customHeight="1" x14ac:dyDescent="0.3">
      <c r="A316" s="630" t="s">
        <v>759</v>
      </c>
      <c r="B316" s="211"/>
      <c r="C316" s="211"/>
      <c r="D316" s="211"/>
      <c r="E316" s="211"/>
      <c r="F316" s="211"/>
      <c r="G316" s="208"/>
      <c r="H316" s="227"/>
      <c r="I316" s="137"/>
      <c r="J316" s="368"/>
      <c r="K316" s="161"/>
      <c r="L316" s="161"/>
      <c r="M316" s="211"/>
      <c r="N316" s="211"/>
      <c r="O316" s="207"/>
      <c r="P316" s="207"/>
      <c r="Q316" s="11"/>
      <c r="R316" s="11"/>
      <c r="S316"/>
      <c r="T316"/>
      <c r="U316"/>
      <c r="V316"/>
      <c r="W316"/>
      <c r="X316"/>
      <c r="Y316"/>
      <c r="Z316" s="11"/>
      <c r="AA316" s="11"/>
      <c r="AB316" s="11"/>
      <c r="AC316" s="11"/>
      <c r="AD316" s="11"/>
      <c r="AE316" s="11"/>
      <c r="AF316" s="11"/>
      <c r="AG316" s="11"/>
      <c r="AH316" s="11"/>
    </row>
    <row r="317" spans="1:34" s="24" customFormat="1" ht="12.75" customHeight="1" x14ac:dyDescent="0.3">
      <c r="A317" s="211"/>
      <c r="B317" s="211" t="s">
        <v>760</v>
      </c>
      <c r="C317" s="211"/>
      <c r="D317" s="211"/>
      <c r="E317" s="211"/>
      <c r="F317" s="211"/>
      <c r="G317" s="208" t="s">
        <v>761</v>
      </c>
      <c r="H317" s="208" t="s">
        <v>291</v>
      </c>
      <c r="I317" s="480"/>
      <c r="J317" s="476" t="str">
        <f>IF(HLOOKUP(CaseName,CaseData,MATCH($G317,cases!$G$3:$G$1259,0)-1,FALSE)="","",HLOOKUP(CaseName,CaseData,MATCH($G317,cases!$G$3:$G$1259,0)-1,FALSE))</f>
        <v/>
      </c>
      <c r="K317" s="509">
        <v>5.6</v>
      </c>
      <c r="L317" s="465">
        <f t="shared" ref="L317:L329" si="21">IF(ISBLANK(I317), IF(ISNUMBER(J317)=FALSE, K317, J317), I317)</f>
        <v>5.6</v>
      </c>
      <c r="M317" s="487" t="s">
        <v>292</v>
      </c>
      <c r="N317" s="211"/>
      <c r="O317" s="207"/>
      <c r="P317" s="207"/>
      <c r="Q317" s="11"/>
      <c r="R317" s="11"/>
      <c r="S317"/>
      <c r="T317"/>
      <c r="U317"/>
      <c r="V317"/>
      <c r="W317"/>
      <c r="X317"/>
      <c r="Y317"/>
      <c r="Z317" s="11"/>
      <c r="AA317" s="11"/>
      <c r="AB317" s="11"/>
      <c r="AC317" s="11"/>
      <c r="AD317" s="11"/>
      <c r="AE317" s="11"/>
      <c r="AF317" s="11"/>
      <c r="AG317" s="11"/>
      <c r="AH317" s="11"/>
    </row>
    <row r="318" spans="1:34" s="24" customFormat="1" ht="12.75" customHeight="1" x14ac:dyDescent="0.3">
      <c r="A318" s="211"/>
      <c r="B318" s="211" t="s">
        <v>762</v>
      </c>
      <c r="C318" s="211"/>
      <c r="D318" s="211"/>
      <c r="E318" s="211"/>
      <c r="F318" s="211"/>
      <c r="G318" s="208" t="s">
        <v>763</v>
      </c>
      <c r="H318" s="208" t="s">
        <v>291</v>
      </c>
      <c r="I318" s="480"/>
      <c r="J318" s="476" t="str">
        <f>IF(HLOOKUP(CaseName,CaseData,MATCH($G318,cases!$G$3:$G$1259,0)-1,FALSE)="","",HLOOKUP(CaseName,CaseData,MATCH($G318,cases!$G$3:$G$1259,0)-1,FALSE))</f>
        <v/>
      </c>
      <c r="K318" s="371">
        <v>3</v>
      </c>
      <c r="L318" s="465">
        <f t="shared" si="21"/>
        <v>3</v>
      </c>
      <c r="M318" s="487" t="s">
        <v>292</v>
      </c>
      <c r="N318" s="211" t="s">
        <v>764</v>
      </c>
      <c r="O318" s="207"/>
      <c r="P318" s="207"/>
      <c r="Q318" s="11"/>
      <c r="R318" s="11"/>
      <c r="S318"/>
      <c r="T318"/>
      <c r="U318"/>
      <c r="V318"/>
      <c r="W318"/>
      <c r="X318"/>
      <c r="Y318"/>
      <c r="Z318" s="11"/>
      <c r="AA318" s="11"/>
      <c r="AB318" s="11"/>
      <c r="AC318" s="11"/>
      <c r="AD318" s="11"/>
      <c r="AE318" s="11"/>
      <c r="AF318" s="11"/>
      <c r="AG318" s="11"/>
      <c r="AH318" s="11"/>
    </row>
    <row r="319" spans="1:34" s="24" customFormat="1" ht="12.75" customHeight="1" x14ac:dyDescent="0.3">
      <c r="A319" s="211"/>
      <c r="B319" s="211" t="s">
        <v>765</v>
      </c>
      <c r="C319" s="211"/>
      <c r="D319" s="211"/>
      <c r="E319" s="211"/>
      <c r="F319" s="211"/>
      <c r="G319" s="208" t="s">
        <v>766</v>
      </c>
      <c r="H319" s="208" t="s">
        <v>291</v>
      </c>
      <c r="I319" s="480"/>
      <c r="J319" s="476" t="str">
        <f>IF(HLOOKUP(CaseName,CaseData,MATCH($G319,cases!$G$3:$G$1259,0)-1,FALSE)="","",HLOOKUP(CaseName,CaseData,MATCH($G319,cases!$G$3:$G$1259,0)-1,FALSE))</f>
        <v/>
      </c>
      <c r="K319" s="371">
        <v>7</v>
      </c>
      <c r="L319" s="465">
        <f t="shared" si="21"/>
        <v>7</v>
      </c>
      <c r="M319" s="487" t="s">
        <v>292</v>
      </c>
      <c r="N319" s="211"/>
      <c r="O319" s="207"/>
      <c r="P319" s="207"/>
      <c r="Q319" s="11"/>
      <c r="R319" s="11"/>
      <c r="S319"/>
      <c r="T319"/>
      <c r="U319"/>
      <c r="V319"/>
      <c r="W319"/>
      <c r="X319"/>
      <c r="Y319"/>
      <c r="Z319" s="11"/>
      <c r="AA319" s="11"/>
      <c r="AB319" s="11"/>
      <c r="AC319" s="11"/>
      <c r="AD319" s="11"/>
      <c r="AE319" s="11"/>
      <c r="AF319" s="11"/>
      <c r="AG319" s="11"/>
      <c r="AH319" s="11"/>
    </row>
    <row r="320" spans="1:34" s="24" customFormat="1" ht="12.75" customHeight="1" x14ac:dyDescent="0.3">
      <c r="A320" s="211"/>
      <c r="B320" s="211" t="s">
        <v>767</v>
      </c>
      <c r="C320" s="211"/>
      <c r="D320" s="211"/>
      <c r="E320" s="211"/>
      <c r="F320" s="211"/>
      <c r="G320" s="208" t="s">
        <v>768</v>
      </c>
      <c r="H320" s="208" t="s">
        <v>291</v>
      </c>
      <c r="I320" s="480"/>
      <c r="J320" s="476" t="str">
        <f>IF(HLOOKUP(CaseName,CaseData,MATCH($G320,cases!$G$3:$G$1259,0)-1,FALSE)="","",HLOOKUP(CaseName,CaseData,MATCH($G320,cases!$G$3:$G$1259,0)-1,FALSE))</f>
        <v/>
      </c>
      <c r="K320" s="371">
        <v>8</v>
      </c>
      <c r="L320" s="465">
        <f t="shared" si="21"/>
        <v>8</v>
      </c>
      <c r="M320" s="487" t="s">
        <v>292</v>
      </c>
      <c r="N320" s="211"/>
      <c r="O320" s="207"/>
      <c r="P320" s="207"/>
      <c r="Q320" s="11"/>
      <c r="R320" s="11"/>
      <c r="S320"/>
      <c r="T320"/>
      <c r="U320"/>
      <c r="V320"/>
      <c r="W320"/>
      <c r="X320"/>
      <c r="Y320"/>
      <c r="Z320" s="11"/>
      <c r="AA320" s="11"/>
      <c r="AB320" s="11"/>
      <c r="AC320" s="11"/>
      <c r="AD320" s="11"/>
      <c r="AE320" s="11"/>
      <c r="AF320" s="11"/>
      <c r="AG320" s="11"/>
      <c r="AH320" s="11"/>
    </row>
    <row r="321" spans="1:34" s="24" customFormat="1" ht="12.75" customHeight="1" x14ac:dyDescent="0.3">
      <c r="A321" s="211"/>
      <c r="B321" s="211" t="s">
        <v>769</v>
      </c>
      <c r="C321" s="211"/>
      <c r="D321" s="211"/>
      <c r="E321" s="211"/>
      <c r="F321" s="211"/>
      <c r="G321" s="208" t="s">
        <v>770</v>
      </c>
      <c r="H321" s="208" t="s">
        <v>291</v>
      </c>
      <c r="I321" s="480"/>
      <c r="J321" s="476" t="str">
        <f>IF(HLOOKUP(CaseName,CaseData,MATCH($G321,cases!$G$3:$G$1259,0)-1,FALSE)="","",HLOOKUP(CaseName,CaseData,MATCH($G321,cases!$G$3:$G$1259,0)-1,FALSE))</f>
        <v/>
      </c>
      <c r="K321" s="371">
        <v>5</v>
      </c>
      <c r="L321" s="465">
        <f t="shared" si="21"/>
        <v>5</v>
      </c>
      <c r="M321" s="487" t="s">
        <v>292</v>
      </c>
      <c r="N321" s="211"/>
      <c r="O321" s="207"/>
      <c r="P321" s="207"/>
      <c r="Q321" s="11"/>
      <c r="R321" s="11"/>
      <c r="S321"/>
      <c r="T321"/>
      <c r="U321"/>
      <c r="V321"/>
      <c r="W321"/>
      <c r="X321"/>
      <c r="Y321"/>
      <c r="Z321" s="11"/>
      <c r="AA321" s="11"/>
      <c r="AB321" s="11"/>
      <c r="AC321" s="11"/>
      <c r="AD321" s="11"/>
      <c r="AE321" s="11"/>
      <c r="AF321" s="11"/>
      <c r="AG321" s="11"/>
      <c r="AH321" s="11"/>
    </row>
    <row r="322" spans="1:34" s="24" customFormat="1" ht="12.75" customHeight="1" x14ac:dyDescent="0.3">
      <c r="A322" s="211"/>
      <c r="B322" s="211" t="s">
        <v>771</v>
      </c>
      <c r="C322" s="211"/>
      <c r="D322" s="211"/>
      <c r="E322" s="211"/>
      <c r="F322" s="211"/>
      <c r="G322" s="208" t="s">
        <v>772</v>
      </c>
      <c r="H322" s="208" t="s">
        <v>291</v>
      </c>
      <c r="I322" s="480"/>
      <c r="J322" s="476" t="str">
        <f>IF(HLOOKUP(CaseName,CaseData,MATCH($G322,cases!$G$3:$G$1259,0)-1,FALSE)="","",HLOOKUP(CaseName,CaseData,MATCH($G322,cases!$G$3:$G$1259,0)-1,FALSE))</f>
        <v/>
      </c>
      <c r="K322" s="371">
        <v>7</v>
      </c>
      <c r="L322" s="465">
        <f t="shared" si="21"/>
        <v>7</v>
      </c>
      <c r="M322" s="487" t="s">
        <v>292</v>
      </c>
      <c r="N322" s="211"/>
      <c r="O322" s="207"/>
      <c r="P322" s="207"/>
      <c r="Q322" s="11"/>
      <c r="R322" s="11"/>
      <c r="S322"/>
      <c r="T322"/>
      <c r="U322"/>
      <c r="V322"/>
      <c r="W322"/>
      <c r="X322"/>
      <c r="Y322"/>
      <c r="Z322" s="11"/>
      <c r="AA322" s="11"/>
      <c r="AB322" s="11"/>
      <c r="AC322" s="11"/>
      <c r="AD322" s="11"/>
      <c r="AE322" s="11"/>
      <c r="AF322" s="11"/>
      <c r="AG322" s="11"/>
      <c r="AH322" s="11"/>
    </row>
    <row r="323" spans="1:34" s="24" customFormat="1" ht="12.75" customHeight="1" x14ac:dyDescent="0.3">
      <c r="A323" s="211"/>
      <c r="B323" s="211" t="s">
        <v>773</v>
      </c>
      <c r="C323" s="211"/>
      <c r="D323" s="211"/>
      <c r="E323" s="211"/>
      <c r="F323" s="211"/>
      <c r="G323" s="208" t="s">
        <v>774</v>
      </c>
      <c r="H323" s="208" t="s">
        <v>291</v>
      </c>
      <c r="I323" s="480"/>
      <c r="J323" s="476" t="str">
        <f>IF(HLOOKUP(CaseName,CaseData,MATCH($G323,cases!$G$3:$G$1259,0)-1,FALSE)="","",HLOOKUP(CaseName,CaseData,MATCH($G323,cases!$G$3:$G$1259,0)-1,FALSE))</f>
        <v/>
      </c>
      <c r="K323" s="371">
        <v>7</v>
      </c>
      <c r="L323" s="465">
        <f t="shared" si="21"/>
        <v>7</v>
      </c>
      <c r="M323" s="487" t="s">
        <v>292</v>
      </c>
      <c r="N323" s="211"/>
      <c r="O323" s="207"/>
      <c r="P323" s="207"/>
      <c r="Q323" s="11"/>
      <c r="R323" s="11"/>
      <c r="S323"/>
      <c r="T323"/>
      <c r="U323"/>
      <c r="V323"/>
      <c r="W323"/>
      <c r="X323"/>
      <c r="Y323"/>
      <c r="Z323" s="11"/>
      <c r="AA323" s="11"/>
      <c r="AB323" s="11"/>
      <c r="AC323" s="11"/>
      <c r="AD323" s="11"/>
      <c r="AE323" s="11"/>
      <c r="AF323" s="11"/>
      <c r="AG323" s="11"/>
      <c r="AH323" s="11"/>
    </row>
    <row r="324" spans="1:34" s="24" customFormat="1" ht="12.75" customHeight="1" x14ac:dyDescent="0.3">
      <c r="A324" s="211"/>
      <c r="B324" s="211" t="s">
        <v>775</v>
      </c>
      <c r="C324" s="211"/>
      <c r="D324" s="211"/>
      <c r="E324" s="211"/>
      <c r="F324" s="211"/>
      <c r="G324" s="208" t="s">
        <v>776</v>
      </c>
      <c r="H324" s="486" t="s">
        <v>777</v>
      </c>
      <c r="I324" s="477"/>
      <c r="J324" s="476" t="str">
        <f>IF(HLOOKUP(CaseName,CaseData,MATCH($G324,cases!$G$3:$G$1259,0)-1,FALSE)="","",HLOOKUP(CaseName,CaseData,MATCH($G324,cases!$G$3:$G$1259,0)-1,FALSE))</f>
        <v/>
      </c>
      <c r="K324" s="349">
        <f>0.0000257*SQRT(18)/SQRT(Molweight*1000)</f>
        <v>8.9931266270753822E-6</v>
      </c>
      <c r="L324" s="360">
        <f t="shared" si="21"/>
        <v>8.9931266270753822E-6</v>
      </c>
      <c r="M324" s="486" t="s">
        <v>778</v>
      </c>
      <c r="N324" s="211"/>
      <c r="O324" s="207"/>
      <c r="P324" s="207"/>
      <c r="Q324" s="11"/>
      <c r="R324" s="11"/>
      <c r="S324"/>
      <c r="T324"/>
      <c r="U324"/>
      <c r="V324"/>
      <c r="W324"/>
      <c r="X324"/>
      <c r="Y324"/>
      <c r="Z324" s="11"/>
      <c r="AA324" s="11"/>
      <c r="AB324" s="11"/>
      <c r="AC324" s="11"/>
      <c r="AD324" s="11"/>
      <c r="AE324" s="11"/>
      <c r="AF324" s="11"/>
      <c r="AG324" s="11"/>
      <c r="AH324" s="11"/>
    </row>
    <row r="325" spans="1:34" s="24" customFormat="1" ht="12.75" customHeight="1" x14ac:dyDescent="0.3">
      <c r="A325" s="211"/>
      <c r="B325" s="211" t="s">
        <v>779</v>
      </c>
      <c r="C325" s="211"/>
      <c r="D325" s="211"/>
      <c r="E325" s="211"/>
      <c r="F325" s="211"/>
      <c r="G325" s="208" t="s">
        <v>780</v>
      </c>
      <c r="H325" s="486" t="s">
        <v>777</v>
      </c>
      <c r="I325" s="477"/>
      <c r="J325" s="476" t="str">
        <f>IF(HLOOKUP(CaseName,CaseData,MATCH($G325,cases!$G$3:$G$1259,0)-1,FALSE)="","",HLOOKUP(CaseName,CaseData,MATCH($G325,cases!$G$3:$G$1259,0)-1,FALSE))</f>
        <v/>
      </c>
      <c r="K325" s="349">
        <f>0.000000002*SQRT(32)/SQRT(Molweight*1000)</f>
        <v>9.331389496316871E-10</v>
      </c>
      <c r="L325" s="360">
        <f t="shared" si="21"/>
        <v>9.331389496316871E-10</v>
      </c>
      <c r="M325" s="486" t="s">
        <v>778</v>
      </c>
      <c r="N325" s="211"/>
      <c r="O325" s="207"/>
      <c r="P325" s="207"/>
      <c r="Q325" s="11"/>
      <c r="R325" s="11"/>
      <c r="S325"/>
      <c r="T325"/>
      <c r="U325"/>
      <c r="V325"/>
      <c r="W325"/>
      <c r="X325"/>
      <c r="Y325"/>
      <c r="Z325" s="11"/>
      <c r="AA325" s="11"/>
      <c r="AB325" s="11"/>
      <c r="AC325" s="11"/>
      <c r="AD325" s="11"/>
      <c r="AE325" s="11"/>
      <c r="AF325" s="11"/>
      <c r="AG325" s="11"/>
      <c r="AH325" s="11"/>
    </row>
    <row r="326" spans="1:34" s="24" customFormat="1" ht="12.75" customHeight="1" x14ac:dyDescent="0.3">
      <c r="A326" s="211"/>
      <c r="B326" s="211" t="s">
        <v>781</v>
      </c>
      <c r="C326" s="211"/>
      <c r="D326" s="211"/>
      <c r="E326" s="211"/>
      <c r="F326" s="211"/>
      <c r="G326" s="211" t="s">
        <v>782</v>
      </c>
      <c r="H326" s="211" t="s">
        <v>291</v>
      </c>
      <c r="I326" s="480"/>
      <c r="J326" s="476" t="str">
        <f>IF(HLOOKUP(CaseName,CaseData,MATCH($G326,cases!$G$3:$G$1259,0)-1,FALSE)="","",HLOOKUP(CaseName,CaseData,MATCH($G326,cases!$G$3:$G$1259,0)-1,FALSE))</f>
        <v/>
      </c>
      <c r="K326" s="371">
        <v>0.1</v>
      </c>
      <c r="L326" s="465">
        <f t="shared" si="21"/>
        <v>0.1</v>
      </c>
      <c r="M326" s="208" t="s">
        <v>292</v>
      </c>
      <c r="N326" s="211"/>
      <c r="O326" s="207"/>
      <c r="P326" s="207"/>
      <c r="Q326" s="11"/>
      <c r="R326" s="11"/>
      <c r="S326"/>
      <c r="T326"/>
      <c r="U326"/>
      <c r="V326"/>
      <c r="W326"/>
      <c r="X326"/>
      <c r="Y326"/>
      <c r="Z326" s="11"/>
      <c r="AA326" s="11"/>
      <c r="AB326" s="11"/>
      <c r="AC326" s="11"/>
      <c r="AD326" s="11"/>
      <c r="AE326" s="11"/>
      <c r="AF326" s="11"/>
      <c r="AG326" s="11"/>
      <c r="AH326" s="11"/>
    </row>
    <row r="327" spans="1:34" s="24" customFormat="1" ht="12.75" customHeight="1" x14ac:dyDescent="0.3">
      <c r="A327" s="208"/>
      <c r="B327" s="208" t="s">
        <v>783</v>
      </c>
      <c r="C327" s="211"/>
      <c r="D327" s="211"/>
      <c r="E327" s="486"/>
      <c r="F327" s="486"/>
      <c r="G327" s="211" t="s">
        <v>784</v>
      </c>
      <c r="H327" s="208" t="s">
        <v>291</v>
      </c>
      <c r="I327" s="480"/>
      <c r="J327" s="476" t="str">
        <f>IF(HLOOKUP(CaseName,CaseData,MATCH($G327,cases!$G$3:$G$1259,0)-1,FALSE)="","",HLOOKUP(CaseName,CaseData,MATCH($G327,cases!$G$3:$G$1259,0)-1,FALSE))</f>
        <v/>
      </c>
      <c r="K327" s="349">
        <v>0.02</v>
      </c>
      <c r="L327" s="360">
        <f t="shared" si="21"/>
        <v>0.02</v>
      </c>
      <c r="M327" s="208" t="s">
        <v>292</v>
      </c>
      <c r="N327" s="211"/>
      <c r="O327" s="207"/>
      <c r="P327" s="207"/>
      <c r="Q327" s="11"/>
      <c r="R327" s="11"/>
      <c r="S327"/>
      <c r="T327"/>
      <c r="U327"/>
      <c r="V327"/>
      <c r="W327"/>
      <c r="X327"/>
      <c r="Y327"/>
      <c r="Z327" s="11"/>
      <c r="AA327" s="11"/>
      <c r="AB327" s="11"/>
      <c r="AC327" s="11"/>
      <c r="AD327" s="11"/>
      <c r="AE327" s="11"/>
      <c r="AF327" s="11"/>
      <c r="AG327" s="11"/>
      <c r="AH327" s="11"/>
    </row>
    <row r="328" spans="1:34" s="24" customFormat="1" ht="12.75" customHeight="1" x14ac:dyDescent="0.3">
      <c r="A328" s="211"/>
      <c r="B328" s="211" t="s">
        <v>785</v>
      </c>
      <c r="C328" s="211"/>
      <c r="D328" s="211"/>
      <c r="E328" s="211"/>
      <c r="F328" s="211"/>
      <c r="G328" s="211" t="s">
        <v>786</v>
      </c>
      <c r="H328" s="208" t="s">
        <v>787</v>
      </c>
      <c r="I328" s="477"/>
      <c r="J328" s="476" t="str">
        <f>IF(HLOOKUP(CaseName,CaseData,MATCH($G328,cases!$G$3:$G$1259,0)-1,FALSE)="","",HLOOKUP(CaseName,CaseData,MATCH($G328,cases!$G$3:$G$1259,0)-1,FALSE))</f>
        <v/>
      </c>
      <c r="K328" s="371">
        <v>2000</v>
      </c>
      <c r="L328" s="465">
        <f t="shared" si="21"/>
        <v>2000</v>
      </c>
      <c r="M328" s="208" t="s">
        <v>717</v>
      </c>
      <c r="N328" s="211"/>
      <c r="O328" s="207"/>
      <c r="P328" s="207"/>
      <c r="Q328" s="11"/>
      <c r="R328" s="11"/>
      <c r="S328"/>
      <c r="T328"/>
      <c r="U328"/>
      <c r="V328"/>
      <c r="W328"/>
      <c r="X328"/>
      <c r="Y328"/>
      <c r="Z328" s="11"/>
      <c r="AA328" s="11"/>
      <c r="AB328" s="11"/>
      <c r="AC328" s="11"/>
      <c r="AD328" s="11"/>
      <c r="AE328" s="11"/>
      <c r="AF328" s="11"/>
      <c r="AG328" s="11"/>
      <c r="AH328" s="11"/>
    </row>
    <row r="329" spans="1:34" s="24" customFormat="1" ht="12.75" customHeight="1" x14ac:dyDescent="0.3">
      <c r="A329" s="208"/>
      <c r="B329" s="208" t="s">
        <v>788</v>
      </c>
      <c r="C329" s="486"/>
      <c r="D329" s="486"/>
      <c r="E329" s="211"/>
      <c r="F329" s="211"/>
      <c r="G329" s="211" t="s">
        <v>789</v>
      </c>
      <c r="H329" s="208" t="s">
        <v>787</v>
      </c>
      <c r="I329" s="478"/>
      <c r="J329" s="659" t="str">
        <f>IF(HLOOKUP(CaseName,CaseData,MATCH($G329,cases!$G$3:$G$1259,0)-1,FALSE)="","",HLOOKUP(CaseName,CaseData,MATCH($G329,cases!$G$3:$G$1259,0)-1,FALSE))</f>
        <v/>
      </c>
      <c r="K329" s="349">
        <v>2500</v>
      </c>
      <c r="L329" s="360">
        <f t="shared" si="21"/>
        <v>2500</v>
      </c>
      <c r="M329" s="208" t="s">
        <v>717</v>
      </c>
      <c r="N329" s="211"/>
      <c r="O329" s="207"/>
      <c r="P329" s="207"/>
      <c r="Q329" s="11"/>
      <c r="R329" s="11"/>
      <c r="S329"/>
      <c r="T329"/>
      <c r="U329"/>
      <c r="V329"/>
      <c r="W329"/>
      <c r="X329"/>
      <c r="Y329"/>
      <c r="Z329" s="11"/>
      <c r="AA329" s="11"/>
      <c r="AB329" s="11"/>
      <c r="AC329" s="11"/>
      <c r="AD329" s="11"/>
      <c r="AE329" s="11"/>
      <c r="AF329" s="11"/>
      <c r="AG329" s="11"/>
      <c r="AH329" s="11"/>
    </row>
    <row r="330" spans="1:34" customFormat="1" ht="12.75" customHeight="1" x14ac:dyDescent="0.3">
      <c r="A330" s="211"/>
      <c r="B330" s="211" t="s">
        <v>790</v>
      </c>
      <c r="C330" s="211"/>
      <c r="D330" s="211"/>
      <c r="E330" s="211"/>
      <c r="F330" s="211"/>
      <c r="G330" s="211" t="s">
        <v>791</v>
      </c>
      <c r="H330" s="211" t="s">
        <v>792</v>
      </c>
      <c r="I330" s="477"/>
      <c r="J330" s="659" t="str">
        <f>IF(HLOOKUP(CaseName,CaseData,MATCH($G330,cases!$G$3:$G$1259,0)-1,FALSE)="","",HLOOKUP(CaseName,CaseData,MATCH($G330,cases!$G$3:$G$1259,0)-1,FALSE))</f>
        <v/>
      </c>
      <c r="K330" s="349">
        <f>1.81*10^-5</f>
        <v>1.8100000000000003E-5</v>
      </c>
      <c r="L330" s="360">
        <f t="shared" ref="L330:L335" si="22">IF(ISBLANK(I330),IF(ISNUMBER(J330)=FALSE,K330,J330),I330)</f>
        <v>1.8100000000000003E-5</v>
      </c>
      <c r="M330" s="211" t="s">
        <v>793</v>
      </c>
      <c r="N330" s="211"/>
      <c r="O330" s="211"/>
      <c r="P330" s="211"/>
    </row>
    <row r="331" spans="1:34" s="24" customFormat="1" ht="12.75" customHeight="1" x14ac:dyDescent="0.3">
      <c r="A331" s="211"/>
      <c r="B331" s="211" t="s">
        <v>794</v>
      </c>
      <c r="C331" s="211"/>
      <c r="D331" s="211"/>
      <c r="E331" s="211"/>
      <c r="F331" s="211"/>
      <c r="G331" s="208" t="s">
        <v>795</v>
      </c>
      <c r="H331" s="208" t="s">
        <v>282</v>
      </c>
      <c r="I331" s="480"/>
      <c r="J331" s="659" t="str">
        <f>IF(HLOOKUP(CaseName,CaseData,MATCH($G331,cases!$G$3:$G$1259,0)-1,FALSE)="","",HLOOKUP(CaseName,CaseData,MATCH($G331,cases!$G$3:$G$1259,0)-1,FALSE))</f>
        <v/>
      </c>
      <c r="K331" s="368">
        <v>1.2250000000000001</v>
      </c>
      <c r="L331" s="243">
        <f t="shared" si="22"/>
        <v>1.2250000000000001</v>
      </c>
      <c r="M331" s="208" t="s">
        <v>282</v>
      </c>
      <c r="N331" s="211"/>
      <c r="O331" s="225"/>
      <c r="P331" s="207"/>
      <c r="Q331" s="11"/>
      <c r="R331" s="11"/>
      <c r="S331" s="11"/>
      <c r="T331" s="11"/>
      <c r="U331" s="11"/>
      <c r="V331" s="11"/>
      <c r="W331" s="11"/>
      <c r="X331" s="11"/>
      <c r="Y331" s="11"/>
      <c r="Z331" s="11"/>
      <c r="AA331" s="11"/>
      <c r="AB331" s="11"/>
      <c r="AC331" s="11"/>
      <c r="AD331" s="11"/>
      <c r="AE331" s="11"/>
      <c r="AF331" s="11"/>
      <c r="AG331" s="11"/>
      <c r="AH331" s="11"/>
    </row>
    <row r="332" spans="1:34" customFormat="1" ht="12.75" customHeight="1" x14ac:dyDescent="0.3">
      <c r="A332" s="211"/>
      <c r="B332" s="211" t="s">
        <v>796</v>
      </c>
      <c r="C332" s="211"/>
      <c r="D332" s="211"/>
      <c r="E332" s="211"/>
      <c r="F332" s="211"/>
      <c r="G332" s="208" t="s">
        <v>797</v>
      </c>
      <c r="H332" s="211" t="s">
        <v>798</v>
      </c>
      <c r="I332" s="478"/>
      <c r="J332" s="659" t="str">
        <f>IF(HLOOKUP(CaseName,CaseData,MATCH($G332,cases!$G$3:$G$1259,0)-1,FALSE)="","",HLOOKUP(CaseName,CaseData,MATCH($G332,cases!$G$3:$G$1259,0)-1,FALSE))</f>
        <v/>
      </c>
      <c r="K332" s="349">
        <f>0.001002</f>
        <v>1.0020000000000001E-3</v>
      </c>
      <c r="L332" s="360">
        <f t="shared" si="22"/>
        <v>1.0020000000000001E-3</v>
      </c>
      <c r="M332" s="211" t="s">
        <v>799</v>
      </c>
      <c r="N332" s="211"/>
      <c r="O332" s="211"/>
      <c r="P332" s="211"/>
    </row>
    <row r="333" spans="1:34" customFormat="1" ht="12.75" customHeight="1" x14ac:dyDescent="0.3">
      <c r="A333" s="211"/>
      <c r="B333" s="211" t="s">
        <v>800</v>
      </c>
      <c r="C333" s="211"/>
      <c r="D333" s="211"/>
      <c r="E333" s="211"/>
      <c r="F333" s="211"/>
      <c r="G333" s="208" t="s">
        <v>801</v>
      </c>
      <c r="H333" s="208" t="s">
        <v>787</v>
      </c>
      <c r="I333" s="478"/>
      <c r="J333" s="659" t="str">
        <f>IF(HLOOKUP(CaseName,CaseData,MATCH($G333,cases!$G$3:$G$1259,0)-1,FALSE)="","",HLOOKUP(CaseName,CaseData,MATCH($G333,cases!$G$3:$G$1259,0)-1,FALSE))</f>
        <v/>
      </c>
      <c r="K333" s="349">
        <v>998</v>
      </c>
      <c r="L333" s="360">
        <f t="shared" si="22"/>
        <v>998</v>
      </c>
      <c r="M333" s="208" t="s">
        <v>717</v>
      </c>
      <c r="N333" s="211"/>
      <c r="O333" s="211"/>
      <c r="P333" s="211"/>
    </row>
    <row r="334" spans="1:34" customFormat="1" ht="12.75" customHeight="1" x14ac:dyDescent="0.3">
      <c r="A334" s="211"/>
      <c r="B334" s="211" t="s">
        <v>802</v>
      </c>
      <c r="C334" s="211"/>
      <c r="D334" s="211"/>
      <c r="E334" s="211"/>
      <c r="F334" s="211"/>
      <c r="G334" s="211" t="s">
        <v>803</v>
      </c>
      <c r="H334" s="211" t="s">
        <v>804</v>
      </c>
      <c r="I334" s="478"/>
      <c r="J334" s="659" t="str">
        <f>IF(HLOOKUP(CaseName,CaseData,MATCH($G334,cases!$G$3:$G$1259,0)-1,FALSE)="","",HLOOKUP(CaseName,CaseData,MATCH($G334,cases!$G$3:$G$1259,0)-1,FALSE))</f>
        <v/>
      </c>
      <c r="K334" s="349">
        <v>1.3806488E-23</v>
      </c>
      <c r="L334" s="360">
        <f t="shared" si="22"/>
        <v>1.3806488E-23</v>
      </c>
      <c r="M334" s="211" t="s">
        <v>805</v>
      </c>
      <c r="N334" s="211"/>
      <c r="O334" s="211"/>
      <c r="P334" s="211"/>
    </row>
    <row r="335" spans="1:34" customFormat="1" ht="12.75" customHeight="1" x14ac:dyDescent="0.3">
      <c r="A335" s="211"/>
      <c r="B335" s="211" t="s">
        <v>806</v>
      </c>
      <c r="C335" s="211"/>
      <c r="D335" s="211"/>
      <c r="E335" s="211"/>
      <c r="F335" s="211"/>
      <c r="G335" s="211" t="s">
        <v>807</v>
      </c>
      <c r="H335" s="211" t="s">
        <v>808</v>
      </c>
      <c r="I335" s="478"/>
      <c r="J335" s="659" t="str">
        <f>IF(HLOOKUP(CaseName,CaseData,MATCH($G335,cases!$G$3:$G$1259,0)-1,FALSE)="","",HLOOKUP(CaseName,CaseData,MATCH($G335,cases!$G$3:$G$1259,0)-1,FALSE))</f>
        <v/>
      </c>
      <c r="K335" s="349">
        <v>9.81</v>
      </c>
      <c r="L335" s="360">
        <f t="shared" si="22"/>
        <v>9.81</v>
      </c>
      <c r="M335" s="211" t="s">
        <v>809</v>
      </c>
      <c r="N335" s="211"/>
      <c r="O335" s="211"/>
      <c r="P335" s="211"/>
    </row>
    <row r="336" spans="1:34" customFormat="1" ht="12.75" customHeight="1" x14ac:dyDescent="0.3">
      <c r="A336" s="211"/>
      <c r="B336" s="211"/>
      <c r="C336" s="211"/>
      <c r="D336" s="211"/>
      <c r="E336" s="211"/>
      <c r="F336" s="211"/>
      <c r="G336" s="211"/>
      <c r="H336" s="211"/>
      <c r="I336" s="699"/>
      <c r="J336" s="659"/>
      <c r="K336" s="674"/>
      <c r="L336" s="368"/>
      <c r="M336" s="211"/>
      <c r="N336" s="211"/>
      <c r="O336" s="211"/>
      <c r="P336" s="211"/>
    </row>
    <row r="337" spans="1:17" s="352" customFormat="1" ht="12.75" customHeight="1" x14ac:dyDescent="0.3">
      <c r="A337" s="518" t="s">
        <v>810</v>
      </c>
      <c r="B337" s="518"/>
      <c r="C337" s="518"/>
      <c r="D337" s="518"/>
      <c r="E337" s="518"/>
      <c r="F337" s="518"/>
      <c r="G337" s="518"/>
      <c r="H337" s="518"/>
      <c r="I337" s="688"/>
      <c r="J337" s="690"/>
      <c r="K337" s="687"/>
      <c r="L337" s="689"/>
      <c r="M337" s="518"/>
      <c r="N337" s="518"/>
      <c r="O337" s="450"/>
      <c r="P337" s="518"/>
    </row>
    <row r="338" spans="1:17" s="11" customFormat="1" ht="12.75" customHeight="1" x14ac:dyDescent="0.3">
      <c r="A338" s="211"/>
      <c r="B338" s="211" t="s">
        <v>811</v>
      </c>
      <c r="C338" s="211"/>
      <c r="D338" s="211"/>
      <c r="E338" s="211"/>
      <c r="F338" s="207"/>
      <c r="G338" s="668" t="s">
        <v>812</v>
      </c>
      <c r="H338" s="208" t="s">
        <v>278</v>
      </c>
      <c r="I338" s="480"/>
      <c r="J338" s="691" t="str">
        <f>IF(HLOOKUP(CaseName,CaseData,MATCH($G338,cases!$G$3:$G$1259,0)-1,FALSE)="",IF(HLOOKUP(ScenarioName,ScenarioData,MATCH($G338,scenarios!$G$3:$G$144,0),FALSE)="","",HLOOKUP(ScenarioName,ScenarioData,MATCH($G338,scenarios!$G$3:$G$153,0),FALSE)),HLOOKUP(CaseName,CaseData,MATCH($G338,cases!$G$3:$G$1259,0)-1,FALSE))</f>
        <v/>
      </c>
      <c r="K338" s="674">
        <v>10</v>
      </c>
      <c r="L338" s="243">
        <f>IF(ISBLANK(I338),IF(ISNUMBER(J338)=FALSE,K338*10^-9,J338*10^-9),I338*10^-9)</f>
        <v>1E-8</v>
      </c>
      <c r="M338" s="208" t="s">
        <v>813</v>
      </c>
      <c r="N338" s="211"/>
      <c r="O338" s="225"/>
      <c r="P338" s="211" t="s">
        <v>709</v>
      </c>
    </row>
    <row r="339" spans="1:17" s="11" customFormat="1" ht="12.75" customHeight="1" x14ac:dyDescent="0.3">
      <c r="A339" s="211"/>
      <c r="B339" s="211" t="s">
        <v>814</v>
      </c>
      <c r="C339" s="211"/>
      <c r="D339" s="211"/>
      <c r="E339" s="211"/>
      <c r="F339" s="207"/>
      <c r="G339" s="668" t="s">
        <v>815</v>
      </c>
      <c r="H339" s="208" t="s">
        <v>282</v>
      </c>
      <c r="I339" s="480"/>
      <c r="J339" s="691" t="str">
        <f>IF(HLOOKUP(CaseName,CaseData,MATCH($G339,cases!$G$3:$G$1259,0)-1,FALSE)="",IF(HLOOKUP(ScenarioName,ScenarioData,MATCH($G339,scenarios!$G$3:$G$144,0),FALSE)="","",HLOOKUP(ScenarioName,ScenarioData,MATCH($G339,scenarios!$G$3:$G$153,0),FALSE)),HLOOKUP(CaseName,CaseData,MATCH($G339,cases!$G$3:$G$1259,0)-1,FALSE))</f>
        <v/>
      </c>
      <c r="K339" s="674">
        <v>1300</v>
      </c>
      <c r="L339" s="243">
        <f>IF(ISBLANK(I339),IF(ISNUMBER(J339)=FALSE,K339,J339),I339)</f>
        <v>1300</v>
      </c>
      <c r="M339" s="208" t="s">
        <v>282</v>
      </c>
      <c r="N339" s="211"/>
      <c r="O339" s="225"/>
      <c r="P339" s="211" t="s">
        <v>816</v>
      </c>
    </row>
    <row r="340" spans="1:17" s="24" customFormat="1" ht="12.75" customHeight="1" x14ac:dyDescent="0.3">
      <c r="A340" s="211"/>
      <c r="B340" s="211" t="s">
        <v>817</v>
      </c>
      <c r="C340" s="211"/>
      <c r="D340" s="211"/>
      <c r="E340" s="211"/>
      <c r="F340" s="207"/>
      <c r="G340" s="668" t="s">
        <v>818</v>
      </c>
      <c r="H340" s="208" t="s">
        <v>278</v>
      </c>
      <c r="I340" s="480"/>
      <c r="J340" s="691" t="str">
        <f>IF(HLOOKUP(CaseName,CaseData,MATCH($G340,cases!$G$3:$G$1259,0)-1,FALSE)="",IF(HLOOKUP(ScenarioName,ScenarioData,MATCH($G340,scenarios!$G$3:$G$144,0),FALSE)="","",HLOOKUP(ScenarioName,ScenarioData,MATCH($G340,scenarios!$G$3:$G$153,0),FALSE)),HLOOKUP(CaseName,CaseData,MATCH($G340,cases!$G$3:$G$1259,0)-1,FALSE))</f>
        <v/>
      </c>
      <c r="K340" s="674">
        <v>58</v>
      </c>
      <c r="L340" s="243">
        <f>IF(ISBLANK(I340),IF(ISNUMBER(J340)=FALSE,K340*10^-9,J340*10^-9),I340*10^-9)</f>
        <v>5.8000000000000003E-8</v>
      </c>
      <c r="M340" s="208" t="s">
        <v>813</v>
      </c>
      <c r="N340" s="211"/>
      <c r="O340" s="225"/>
      <c r="P340" s="207"/>
      <c r="Q340" s="11"/>
    </row>
    <row r="341" spans="1:17" s="24" customFormat="1" ht="12.75" customHeight="1" x14ac:dyDescent="0.3">
      <c r="A341" s="211"/>
      <c r="B341" s="211" t="s">
        <v>819</v>
      </c>
      <c r="C341" s="211"/>
      <c r="D341" s="211"/>
      <c r="E341" s="211"/>
      <c r="F341" s="207"/>
      <c r="G341" s="668" t="s">
        <v>820</v>
      </c>
      <c r="H341" s="208" t="s">
        <v>282</v>
      </c>
      <c r="I341" s="480"/>
      <c r="J341" s="691" t="str">
        <f>IF(HLOOKUP(CaseName,CaseData,MATCH($G341,cases!$G$3:$G$1259,0)-1,FALSE)="",IF(HLOOKUP(ScenarioName,ScenarioData,MATCH($G341,scenarios!$G$3:$G$144,0),FALSE)="","",HLOOKUP(ScenarioName,ScenarioData,MATCH($G341,scenarios!$G$3:$G$153,0),FALSE)),HLOOKUP(CaseName,CaseData,MATCH($G341,cases!$G$3:$G$1259,0)-1,FALSE))</f>
        <v/>
      </c>
      <c r="K341" s="674">
        <f>RHOaers</f>
        <v>2000</v>
      </c>
      <c r="L341" s="243">
        <f>IF(ISBLANK(I341),IF(ISNUMBER(J341)=FALSE,K341,J341),I341)</f>
        <v>2000</v>
      </c>
      <c r="M341" s="208" t="s">
        <v>282</v>
      </c>
      <c r="N341" s="211"/>
      <c r="O341" s="225"/>
      <c r="P341" s="207"/>
      <c r="Q341" s="11"/>
    </row>
    <row r="342" spans="1:17" s="24" customFormat="1" ht="12.75" customHeight="1" x14ac:dyDescent="0.3">
      <c r="A342" s="211"/>
      <c r="B342" s="211" t="s">
        <v>821</v>
      </c>
      <c r="C342" s="211"/>
      <c r="D342" s="211"/>
      <c r="E342" s="211"/>
      <c r="F342" s="207"/>
      <c r="G342" s="668" t="s">
        <v>822</v>
      </c>
      <c r="H342" s="211" t="s">
        <v>823</v>
      </c>
      <c r="I342" s="480"/>
      <c r="J342" s="691" t="str">
        <f>IF(HLOOKUP(CaseName,CaseData,MATCH($G342,cases!$G$3:$G$1259,0)-1,FALSE)="",IF(HLOOKUP(ScenarioName,ScenarioData,MATCH($G342,scenarios!$G$3:$G$144,0),FALSE)="","",HLOOKUP(ScenarioName,ScenarioData,MATCH($G342,scenarios!$G$3:$G$153,0),FALSE)),HLOOKUP(CaseName,CaseData,MATCH($G342,cases!$G$3:$G$1259,0)-1,FALSE))</f>
        <v/>
      </c>
      <c r="K342" s="674">
        <v>0.9</v>
      </c>
      <c r="L342" s="243">
        <f>IF(ISBLANK(I342),IF(ISNUMBER(J342)=FALSE,K342*10^-6,J342*10^-6),I342*10^-6)</f>
        <v>8.9999999999999996E-7</v>
      </c>
      <c r="M342" s="208" t="s">
        <v>813</v>
      </c>
      <c r="N342" s="211"/>
      <c r="O342" s="225"/>
      <c r="P342" s="207"/>
      <c r="Q342" s="11"/>
    </row>
    <row r="343" spans="1:17" s="24" customFormat="1" ht="12.75" customHeight="1" x14ac:dyDescent="0.3">
      <c r="A343" s="211"/>
      <c r="B343" s="211" t="s">
        <v>824</v>
      </c>
      <c r="C343" s="211"/>
      <c r="D343" s="211"/>
      <c r="E343" s="211"/>
      <c r="F343" s="207"/>
      <c r="G343" s="668" t="s">
        <v>825</v>
      </c>
      <c r="H343" s="208" t="s">
        <v>282</v>
      </c>
      <c r="I343" s="480"/>
      <c r="J343" s="691" t="str">
        <f>IF(HLOOKUP(CaseName,CaseData,MATCH($G343,cases!$G$3:$G$1259,0)-1,FALSE)="",IF(HLOOKUP(ScenarioName,ScenarioData,MATCH($G343,scenarios!$G$3:$G$144,0),FALSE)="","",HLOOKUP(ScenarioName,ScenarioData,MATCH($G343,scenarios!$G$3:$G$153,0),FALSE)),HLOOKUP(CaseName,CaseData,MATCH($G343,cases!$G$3:$G$1259,0)-1,FALSE))</f>
        <v/>
      </c>
      <c r="K343" s="674">
        <f>RHOaers</f>
        <v>2000</v>
      </c>
      <c r="L343" s="243">
        <f>IF(ISBLANK(I343),IF(ISNUMBER(J343)=FALSE,K343,J343),I343)</f>
        <v>2000</v>
      </c>
      <c r="M343" s="208" t="s">
        <v>282</v>
      </c>
      <c r="N343" s="211"/>
      <c r="O343" s="225"/>
      <c r="P343" s="207"/>
      <c r="Q343" s="11"/>
    </row>
    <row r="344" spans="1:17" s="328" customFormat="1" ht="12.75" customHeight="1" x14ac:dyDescent="0.3">
      <c r="A344" s="211"/>
      <c r="B344" s="211" t="s">
        <v>826</v>
      </c>
      <c r="C344" s="211"/>
      <c r="D344" s="211"/>
      <c r="E344" s="211"/>
      <c r="F344" s="326"/>
      <c r="G344" s="668" t="s">
        <v>827</v>
      </c>
      <c r="H344" s="211" t="s">
        <v>278</v>
      </c>
      <c r="I344" s="480"/>
      <c r="J344" s="691" t="str">
        <f>IF(HLOOKUP(CaseName,CaseData,MATCH($G344,cases!$G$3:$G$1259,0)-1,FALSE)="",IF(HLOOKUP(ScenarioName,ScenarioData,MATCH($G344,scenarios!$G$3:$G$144,0),FALSE)="","",HLOOKUP(ScenarioName,ScenarioData,MATCH($G344,scenarios!$G$3:$G$153,0),FALSE)),HLOOKUP(CaseName,CaseData,MATCH($G344,cases!$G$3:$G$1259,0)-1,FALSE))</f>
        <v/>
      </c>
      <c r="K344" s="674">
        <v>150</v>
      </c>
      <c r="L344" s="243">
        <f>IF(ISBLANK(I344),IF(ISNUMBER(J344)=FALSE,K344*10^-9,J344*10^-9),I344*10^-9)</f>
        <v>1.5000000000000002E-7</v>
      </c>
      <c r="M344" s="211" t="s">
        <v>813</v>
      </c>
      <c r="N344" s="211"/>
      <c r="O344" s="355"/>
      <c r="P344" s="211" t="s">
        <v>828</v>
      </c>
    </row>
    <row r="345" spans="1:17" s="328" customFormat="1" ht="12.75" customHeight="1" x14ac:dyDescent="0.3">
      <c r="A345" s="211"/>
      <c r="B345" s="211" t="s">
        <v>829</v>
      </c>
      <c r="C345" s="211"/>
      <c r="D345" s="211"/>
      <c r="E345" s="211"/>
      <c r="F345" s="326"/>
      <c r="G345" s="668" t="s">
        <v>830</v>
      </c>
      <c r="H345" s="208" t="s">
        <v>282</v>
      </c>
      <c r="I345" s="480"/>
      <c r="J345" s="691" t="str">
        <f>IF(HLOOKUP(CaseName,CaseData,MATCH($G345,cases!$G$3:$G$1259,0)-1,FALSE)="",IF(HLOOKUP(ScenarioName,ScenarioData,MATCH($G345,scenarios!$G$3:$G$144,0),FALSE)="","",HLOOKUP(ScenarioName,ScenarioData,MATCH($G345,scenarios!$G$3:$G$153,0),FALSE)),HLOOKUP(CaseName,CaseData,MATCH($G345,cases!$G$3:$G$1259,0)-1,FALSE))</f>
        <v/>
      </c>
      <c r="K345" s="674">
        <v>2000</v>
      </c>
      <c r="L345" s="243">
        <f>IF(ISBLANK(I345),IF(ISNUMBER(J345)=FALSE,K345,J345),I345)</f>
        <v>2000</v>
      </c>
      <c r="M345" s="208" t="s">
        <v>282</v>
      </c>
      <c r="N345" s="211"/>
      <c r="O345" s="355"/>
      <c r="P345" s="211"/>
    </row>
    <row r="346" spans="1:17" s="328" customFormat="1" ht="12.75" customHeight="1" x14ac:dyDescent="0.3">
      <c r="A346" s="211"/>
      <c r="B346" s="211" t="s">
        <v>831</v>
      </c>
      <c r="C346" s="211"/>
      <c r="D346" s="211"/>
      <c r="E346" s="211"/>
      <c r="F346" s="326"/>
      <c r="G346" s="668" t="s">
        <v>832</v>
      </c>
      <c r="H346" s="211" t="s">
        <v>823</v>
      </c>
      <c r="I346" s="480"/>
      <c r="J346" s="691" t="str">
        <f>IF(HLOOKUP(CaseName,CaseData,MATCH($G346,cases!$G$3:$G$1259,0)-1,FALSE)="",IF(HLOOKUP(ScenarioName,ScenarioData,MATCH($G346,scenarios!$G$3:$G$144,0),FALSE)="","",HLOOKUP(ScenarioName,ScenarioData,MATCH($G346,scenarios!$G$3:$G$153,0),FALSE)),HLOOKUP(CaseName,CaseData,MATCH($G346,cases!$G$3:$G$1259,0)-1,FALSE))</f>
        <v/>
      </c>
      <c r="K346" s="674">
        <v>3</v>
      </c>
      <c r="L346" s="243">
        <f>IF(ISBLANK(I346),IF(ISNUMBER(J346)=FALSE,K346*10^-6,J346*10^-6),I346*10^-6)</f>
        <v>3.0000000000000001E-6</v>
      </c>
      <c r="M346" s="211" t="s">
        <v>813</v>
      </c>
      <c r="N346" s="211"/>
      <c r="O346" s="355"/>
      <c r="P346" s="211"/>
    </row>
    <row r="347" spans="1:17" s="328" customFormat="1" ht="12.75" customHeight="1" x14ac:dyDescent="0.3">
      <c r="A347" s="211"/>
      <c r="B347" s="211" t="s">
        <v>833</v>
      </c>
      <c r="C347" s="211"/>
      <c r="D347" s="211"/>
      <c r="E347" s="211"/>
      <c r="F347" s="326"/>
      <c r="G347" s="668" t="s">
        <v>834</v>
      </c>
      <c r="H347" s="208" t="s">
        <v>282</v>
      </c>
      <c r="I347" s="480"/>
      <c r="J347" s="691" t="str">
        <f>IF(HLOOKUP(CaseName,CaseData,MATCH($G347,cases!$G$3:$G$1259,0)-1,FALSE)="",IF(HLOOKUP(ScenarioName,ScenarioData,MATCH($G347,scenarios!$G$3:$G$144,0),FALSE)="","",HLOOKUP(ScenarioName,ScenarioData,MATCH($G347,scenarios!$G$3:$G$153,0),FALSE)),HLOOKUP(CaseName,CaseData,MATCH($G347,cases!$G$3:$G$1259,0)-1,FALSE))</f>
        <v/>
      </c>
      <c r="K347" s="674">
        <v>2500</v>
      </c>
      <c r="L347" s="243">
        <f>IF(ISBLANK(I347),IF(ISNUMBER(J347)=FALSE,K347,J347),I347)</f>
        <v>2500</v>
      </c>
      <c r="M347" s="208" t="s">
        <v>282</v>
      </c>
      <c r="N347" s="211" t="s">
        <v>835</v>
      </c>
      <c r="O347" s="355"/>
      <c r="P347" s="211"/>
    </row>
    <row r="348" spans="1:17" s="328" customFormat="1" ht="12.75" customHeight="1" x14ac:dyDescent="0.3">
      <c r="A348" s="211"/>
      <c r="B348" s="211" t="s">
        <v>836</v>
      </c>
      <c r="C348" s="211"/>
      <c r="D348" s="211"/>
      <c r="E348" s="211"/>
      <c r="F348" s="326"/>
      <c r="G348" s="668" t="s">
        <v>837</v>
      </c>
      <c r="H348" s="211" t="s">
        <v>278</v>
      </c>
      <c r="I348" s="480"/>
      <c r="J348" s="691" t="str">
        <f>IF(HLOOKUP(CaseName,CaseData,MATCH($G348,cases!$G$3:$G$1259,0)-1,FALSE)="",IF(HLOOKUP(ScenarioName,ScenarioData,MATCH($G348,scenarios!$G$3:$G$144,0),FALSE)="","",HLOOKUP(ScenarioName,ScenarioData,MATCH($G348,scenarios!$G$3:$G$153,0),FALSE)),HLOOKUP(CaseName,CaseData,MATCH($G348,cases!$G$3:$G$1259,0)-1,FALSE))</f>
        <v/>
      </c>
      <c r="K348" s="674">
        <v>150</v>
      </c>
      <c r="L348" s="243">
        <f>IF(ISBLANK(I348),IF(ISNUMBER(J348)=FALSE,K348*10^-9,J348*10^-9),I348*10^-9)</f>
        <v>1.5000000000000002E-7</v>
      </c>
      <c r="M348" s="211" t="s">
        <v>813</v>
      </c>
      <c r="N348" s="211"/>
      <c r="O348" s="355"/>
      <c r="P348" s="211"/>
    </row>
    <row r="349" spans="1:17" s="328" customFormat="1" ht="12.75" customHeight="1" x14ac:dyDescent="0.3">
      <c r="A349" s="211"/>
      <c r="B349" s="211" t="s">
        <v>838</v>
      </c>
      <c r="C349" s="211"/>
      <c r="D349" s="211"/>
      <c r="E349" s="211"/>
      <c r="F349" s="326"/>
      <c r="G349" s="668" t="s">
        <v>839</v>
      </c>
      <c r="H349" s="208" t="s">
        <v>282</v>
      </c>
      <c r="I349" s="480"/>
      <c r="J349" s="691" t="str">
        <f>IF(HLOOKUP(CaseName,CaseData,MATCH($G349,cases!$G$3:$G$1259,0)-1,FALSE)="",IF(HLOOKUP(ScenarioName,ScenarioData,MATCH($G349,scenarios!$G$3:$G$144,0),FALSE)="","",HLOOKUP(ScenarioName,ScenarioData,MATCH($G349,scenarios!$G$3:$G$153,0),FALSE)),HLOOKUP(CaseName,CaseData,MATCH($G349,cases!$G$3:$G$1259,0)-1,FALSE))</f>
        <v/>
      </c>
      <c r="K349" s="674">
        <v>2000</v>
      </c>
      <c r="L349" s="243">
        <f>IF(ISBLANK(I349),IF(ISNUMBER(J349)=FALSE,K349,J349),I349)</f>
        <v>2000</v>
      </c>
      <c r="M349" s="208" t="s">
        <v>282</v>
      </c>
      <c r="N349" s="211"/>
      <c r="O349" s="355"/>
      <c r="P349" s="211"/>
    </row>
    <row r="350" spans="1:17" s="24" customFormat="1" ht="12.75" customHeight="1" x14ac:dyDescent="0.3">
      <c r="A350" s="211"/>
      <c r="B350" s="211" t="s">
        <v>840</v>
      </c>
      <c r="C350" s="211"/>
      <c r="D350" s="211"/>
      <c r="E350" s="211"/>
      <c r="F350" s="207"/>
      <c r="G350" s="668" t="s">
        <v>841</v>
      </c>
      <c r="H350" s="211" t="s">
        <v>823</v>
      </c>
      <c r="I350" s="480"/>
      <c r="J350" s="691" t="str">
        <f>IF(HLOOKUP(CaseName,CaseData,MATCH($G350,cases!$G$3:$G$1259,0)-1,FALSE)="",IF(HLOOKUP(ScenarioName,ScenarioData,MATCH($G350,scenarios!$G$3:$G$144,0),FALSE)="","",HLOOKUP(ScenarioName,ScenarioData,MATCH($G350,scenarios!$G$3:$G$153,0),FALSE)),HLOOKUP(CaseName,CaseData,MATCH($G350,cases!$G$3:$G$1259,0)-1,FALSE))</f>
        <v/>
      </c>
      <c r="K350" s="674">
        <f>256/2</f>
        <v>128</v>
      </c>
      <c r="L350" s="243">
        <f>IF(ISBLANK(I350),IF(ISNUMBER(J350)=FALSE,K350*10^-6,J350*10^-6),I350*10^-6)</f>
        <v>1.2799999999999999E-4</v>
      </c>
      <c r="M350" s="516" t="s">
        <v>813</v>
      </c>
      <c r="N350" s="211"/>
      <c r="O350" s="222"/>
      <c r="P350" s="211" t="s">
        <v>842</v>
      </c>
      <c r="Q350" s="11"/>
    </row>
    <row r="351" spans="1:17" s="328" customFormat="1" ht="12.75" customHeight="1" x14ac:dyDescent="0.3">
      <c r="A351" s="211"/>
      <c r="B351" s="211" t="s">
        <v>843</v>
      </c>
      <c r="C351" s="211"/>
      <c r="D351" s="211"/>
      <c r="E351" s="211"/>
      <c r="F351" s="326"/>
      <c r="G351" s="668" t="s">
        <v>844</v>
      </c>
      <c r="H351" s="211" t="s">
        <v>278</v>
      </c>
      <c r="I351" s="480"/>
      <c r="J351" s="691" t="str">
        <f>IF(HLOOKUP(CaseName,CaseData,MATCH($G351,cases!$G$3:$G$1259,0)-1,FALSE)="",IF(HLOOKUP(ScenarioName,ScenarioData,MATCH($G351,scenarios!$G$3:$G$144,0),FALSE)="","",HLOOKUP(ScenarioName,ScenarioData,MATCH($G351,scenarios!$G$3:$G$153,0),FALSE)),HLOOKUP(CaseName,CaseData,MATCH($G351,cases!$G$3:$G$1259,0)-1,FALSE))</f>
        <v/>
      </c>
      <c r="K351" s="674">
        <v>150</v>
      </c>
      <c r="L351" s="243">
        <f>IF(ISBLANK(I351),IF(ISNUMBER(J351)=FALSE,K351*10^-9,J351*10^-9),I351*10^-9)</f>
        <v>1.5000000000000002E-7</v>
      </c>
      <c r="M351" s="211" t="s">
        <v>813</v>
      </c>
      <c r="N351" s="211"/>
      <c r="O351" s="355"/>
      <c r="P351" s="211" t="s">
        <v>845</v>
      </c>
    </row>
    <row r="352" spans="1:17" s="328" customFormat="1" ht="12.75" customHeight="1" x14ac:dyDescent="0.3">
      <c r="A352" s="211"/>
      <c r="B352" s="211" t="s">
        <v>846</v>
      </c>
      <c r="C352" s="211"/>
      <c r="D352" s="211"/>
      <c r="E352" s="211"/>
      <c r="F352" s="326"/>
      <c r="G352" s="668" t="s">
        <v>847</v>
      </c>
      <c r="H352" s="208" t="s">
        <v>282</v>
      </c>
      <c r="I352" s="480"/>
      <c r="J352" s="691" t="str">
        <f>IF(HLOOKUP(CaseName,CaseData,MATCH($G352,cases!$G$3:$G$1259,0)-1,FALSE)="",IF(HLOOKUP(ScenarioName,ScenarioData,MATCH($G352,scenarios!$G$3:$G$144,0),FALSE)="","",HLOOKUP(ScenarioName,ScenarioData,MATCH($G352,scenarios!$G$3:$G$153,0),FALSE)),HLOOKUP(CaseName,CaseData,MATCH($G352,cases!$G$3:$G$1259,0)-1,FALSE))</f>
        <v/>
      </c>
      <c r="K352" s="674">
        <v>2000</v>
      </c>
      <c r="L352" s="243">
        <f>IF(ISBLANK(I352),IF(ISNUMBER(J352)=FALSE,K352,J352),I352)</f>
        <v>2000</v>
      </c>
      <c r="M352" s="208" t="s">
        <v>282</v>
      </c>
      <c r="N352" s="211"/>
      <c r="O352" s="355"/>
      <c r="P352" s="211"/>
    </row>
    <row r="353" spans="1:34" s="328" customFormat="1" ht="12.75" customHeight="1" x14ac:dyDescent="0.3">
      <c r="A353" s="211"/>
      <c r="B353" s="211" t="s">
        <v>848</v>
      </c>
      <c r="C353" s="211"/>
      <c r="D353" s="211"/>
      <c r="E353" s="211"/>
      <c r="F353" s="326"/>
      <c r="G353" s="668" t="s">
        <v>849</v>
      </c>
      <c r="H353" s="211" t="s">
        <v>823</v>
      </c>
      <c r="I353" s="480"/>
      <c r="J353" s="691" t="str">
        <f>IF(HLOOKUP(CaseName,CaseData,MATCH($G353,cases!$G$3:$G$1259,0)-1,FALSE)="",IF(HLOOKUP(ScenarioName,ScenarioData,MATCH($G353,scenarios!$G$3:$G$144,0),FALSE)="","",HLOOKUP(ScenarioName,ScenarioData,MATCH($G353,scenarios!$G$3:$G$153,0),FALSE)),HLOOKUP(CaseName,CaseData,MATCH($G353,cases!$G$3:$G$1259,0)-1,FALSE))</f>
        <v/>
      </c>
      <c r="K353" s="674">
        <v>128</v>
      </c>
      <c r="L353" s="243">
        <f>IF(ISBLANK(I353),IF(ISNUMBER(J353)=FALSE,K353*10^-6,J353*10^-6),I353*10^-6)</f>
        <v>1.2799999999999999E-4</v>
      </c>
      <c r="M353" s="211" t="s">
        <v>813</v>
      </c>
      <c r="N353" s="211"/>
      <c r="O353" s="355"/>
      <c r="P353" s="211" t="s">
        <v>850</v>
      </c>
    </row>
    <row r="354" spans="1:34" s="328" customFormat="1" ht="12.75" customHeight="1" x14ac:dyDescent="0.3">
      <c r="A354" s="211"/>
      <c r="B354" s="211" t="s">
        <v>851</v>
      </c>
      <c r="C354" s="211"/>
      <c r="D354" s="211"/>
      <c r="E354" s="211"/>
      <c r="F354" s="326"/>
      <c r="G354" s="668" t="s">
        <v>852</v>
      </c>
      <c r="H354" s="208" t="s">
        <v>282</v>
      </c>
      <c r="I354" s="480"/>
      <c r="J354" s="691" t="str">
        <f>IF(HLOOKUP(CaseName,CaseData,MATCH($G354,cases!$G$3:$G$1259,0)-1,FALSE)="",IF(HLOOKUP(ScenarioName,ScenarioData,MATCH($G354,scenarios!$G$3:$G$144,0),FALSE)="","",HLOOKUP(ScenarioName,ScenarioData,MATCH($G354,scenarios!$G$3:$G$153,0),FALSE)),HLOOKUP(CaseName,CaseData,MATCH($G354,cases!$G$3:$G$1259,0)-1,FALSE))</f>
        <v/>
      </c>
      <c r="K354" s="674">
        <f>RHOsolid</f>
        <v>2500</v>
      </c>
      <c r="L354" s="243">
        <f>IF(ISBLANK(I354),IF(ISNUMBER(J354)=FALSE,K354,J354),I354)</f>
        <v>2500</v>
      </c>
      <c r="M354" s="208" t="s">
        <v>282</v>
      </c>
      <c r="N354" s="211" t="s">
        <v>853</v>
      </c>
      <c r="O354" s="355"/>
      <c r="P354" s="326"/>
    </row>
    <row r="355" spans="1:34" s="328" customFormat="1" ht="12.75" customHeight="1" x14ac:dyDescent="0.3">
      <c r="A355" s="211"/>
      <c r="B355" s="211"/>
      <c r="C355" s="211"/>
      <c r="D355" s="211"/>
      <c r="E355" s="211"/>
      <c r="F355" s="326"/>
      <c r="G355" s="668"/>
      <c r="H355" s="208"/>
      <c r="I355" s="611"/>
      <c r="J355" s="456"/>
      <c r="K355" s="368"/>
      <c r="L355" s="243"/>
      <c r="M355" s="208"/>
      <c r="N355" s="211"/>
      <c r="O355" s="355"/>
      <c r="P355" s="326"/>
    </row>
    <row r="356" spans="1:34" s="328" customFormat="1" ht="12.75" customHeight="1" x14ac:dyDescent="0.3">
      <c r="A356" s="518" t="s">
        <v>854</v>
      </c>
      <c r="B356" s="211"/>
      <c r="C356" s="211"/>
      <c r="D356" s="211"/>
      <c r="E356" s="211"/>
      <c r="F356" s="326"/>
      <c r="G356" s="668"/>
      <c r="H356" s="208"/>
      <c r="I356" s="611"/>
      <c r="J356" s="692"/>
      <c r="K356" s="368"/>
      <c r="L356" s="243"/>
      <c r="M356" s="208"/>
      <c r="N356" s="211"/>
      <c r="O356" s="355"/>
      <c r="P356" s="326"/>
    </row>
    <row r="357" spans="1:34" s="328" customFormat="1" ht="12.75" customHeight="1" x14ac:dyDescent="0.3">
      <c r="A357" s="211"/>
      <c r="B357" s="211"/>
      <c r="C357" s="211" t="s">
        <v>855</v>
      </c>
      <c r="D357" s="211"/>
      <c r="E357" s="211"/>
      <c r="F357" s="326"/>
      <c r="G357" s="211" t="s">
        <v>856</v>
      </c>
      <c r="H357" s="208" t="s">
        <v>857</v>
      </c>
      <c r="I357" s="480"/>
      <c r="J357" s="659" t="str">
        <f>IF(HLOOKUP(CaseName,CaseData,MATCH($G357,cases!$G$3:$G$1259,0)-1,FALSE)="","",HLOOKUP(CaseName,CaseData,MATCH($G357,cases!$G$3:$G$1259,0)-1,FALSE))</f>
        <v/>
      </c>
      <c r="K357" s="674">
        <f>((4/3)*PI()*(L338)^3)</f>
        <v>4.1887902047863912E-24</v>
      </c>
      <c r="L357" s="243">
        <f t="shared" ref="L357:L367" si="23">IF(ISBLANK(I357),IF(ISNUMBER(J357)=FALSE,K357,J357),I357)</f>
        <v>4.1887902047863912E-24</v>
      </c>
      <c r="M357" s="208" t="s">
        <v>857</v>
      </c>
      <c r="N357" s="211"/>
      <c r="O357" s="355"/>
      <c r="P357" s="326"/>
    </row>
    <row r="358" spans="1:34" s="328" customFormat="1" ht="12.75" customHeight="1" x14ac:dyDescent="0.3">
      <c r="A358" s="211"/>
      <c r="B358" s="211"/>
      <c r="C358" s="211" t="s">
        <v>858</v>
      </c>
      <c r="D358" s="211"/>
      <c r="E358" s="211"/>
      <c r="F358" s="326"/>
      <c r="G358" s="211" t="s">
        <v>859</v>
      </c>
      <c r="H358" s="208" t="s">
        <v>857</v>
      </c>
      <c r="I358" s="480"/>
      <c r="J358" s="659" t="str">
        <f>IF(HLOOKUP(CaseName,CaseData,MATCH($G358,cases!$G$3:$G$1259,0)-1,FALSE)="","",HLOOKUP(CaseName,CaseData,MATCH($G358,cases!$G$3:$G$1259,0)-1,FALSE))</f>
        <v/>
      </c>
      <c r="K358" s="674">
        <f>((4/3)*PI()*(L340)^3)</f>
        <v>8.1728323443628235E-22</v>
      </c>
      <c r="L358" s="243">
        <f t="shared" si="23"/>
        <v>8.1728323443628235E-22</v>
      </c>
      <c r="M358" s="208" t="s">
        <v>857</v>
      </c>
      <c r="N358" s="211"/>
      <c r="O358" s="355"/>
      <c r="P358" s="326"/>
    </row>
    <row r="359" spans="1:34" s="328" customFormat="1" ht="12.75" customHeight="1" x14ac:dyDescent="0.3">
      <c r="A359" s="211"/>
      <c r="B359" s="211"/>
      <c r="C359" s="211" t="s">
        <v>860</v>
      </c>
      <c r="D359" s="211"/>
      <c r="E359" s="211"/>
      <c r="F359" s="326"/>
      <c r="G359" s="211" t="s">
        <v>861</v>
      </c>
      <c r="H359" s="208" t="s">
        <v>857</v>
      </c>
      <c r="I359" s="480"/>
      <c r="J359" s="659" t="str">
        <f>IF(HLOOKUP(CaseName,CaseData,MATCH($G359,cases!$G$3:$G$1259,0)-1,FALSE)="","",HLOOKUP(CaseName,CaseData,MATCH($G359,cases!$G$3:$G$1259,0)-1,FALSE))</f>
        <v/>
      </c>
      <c r="K359" s="674">
        <f>((4/3)*PI()*(L342)^3)</f>
        <v>3.0536280592892779E-18</v>
      </c>
      <c r="L359" s="243">
        <f t="shared" si="23"/>
        <v>3.0536280592892779E-18</v>
      </c>
      <c r="M359" s="208" t="s">
        <v>857</v>
      </c>
      <c r="N359" s="211"/>
      <c r="O359" s="355"/>
      <c r="P359" s="326"/>
    </row>
    <row r="360" spans="1:34" s="328" customFormat="1" ht="12.75" customHeight="1" x14ac:dyDescent="0.3">
      <c r="A360" s="211"/>
      <c r="B360" s="211"/>
      <c r="C360" s="211" t="s">
        <v>862</v>
      </c>
      <c r="D360" s="211"/>
      <c r="E360" s="211"/>
      <c r="F360" s="326"/>
      <c r="G360" s="211" t="s">
        <v>863</v>
      </c>
      <c r="H360" s="208" t="s">
        <v>857</v>
      </c>
      <c r="I360" s="480"/>
      <c r="J360" s="659" t="str">
        <f>IF(HLOOKUP(CaseName,CaseData,MATCH($G360,cases!$G$3:$G$1259,0)-1,FALSE)="","",HLOOKUP(CaseName,CaseData,MATCH($G360,cases!$G$3:$G$1259,0)-1,FALSE))</f>
        <v/>
      </c>
      <c r="K360" s="674">
        <f>((4/3)*PI()*(L344)^3)</f>
        <v>1.4137166941154071E-20</v>
      </c>
      <c r="L360" s="243">
        <f t="shared" si="23"/>
        <v>1.4137166941154071E-20</v>
      </c>
      <c r="M360" s="208" t="s">
        <v>857</v>
      </c>
      <c r="N360" s="211"/>
      <c r="O360" s="355"/>
      <c r="P360" s="326"/>
    </row>
    <row r="361" spans="1:34" customFormat="1" ht="12.75" customHeight="1" x14ac:dyDescent="0.3">
      <c r="A361" s="211"/>
      <c r="B361" s="211"/>
      <c r="C361" s="211" t="s">
        <v>864</v>
      </c>
      <c r="D361" s="211"/>
      <c r="E361" s="211"/>
      <c r="F361" s="211"/>
      <c r="G361" s="211" t="s">
        <v>865</v>
      </c>
      <c r="H361" s="211" t="s">
        <v>866</v>
      </c>
      <c r="I361" s="480"/>
      <c r="J361" s="659" t="str">
        <f>IF(HLOOKUP(CaseName,CaseData,MATCH($G361,cases!$G$3:$G$1259,0)-1,FALSE)="","",HLOOKUP(CaseName,CaseData,MATCH($G361,cases!$G$3:$G$1259,0)-1,FALSE))</f>
        <v/>
      </c>
      <c r="K361" s="674">
        <f>(2*(L345-Rho.w)*g*L344^2)/(9*DYNVISC.w)</f>
        <v>4.9050000000000019E-8</v>
      </c>
      <c r="L361" s="466">
        <f t="shared" si="23"/>
        <v>4.9050000000000019E-8</v>
      </c>
      <c r="M361" s="211" t="s">
        <v>866</v>
      </c>
      <c r="N361" s="211"/>
      <c r="O361" s="222"/>
      <c r="P361" s="211"/>
    </row>
    <row r="362" spans="1:34" s="328" customFormat="1" ht="12.75" customHeight="1" x14ac:dyDescent="0.3">
      <c r="A362" s="211"/>
      <c r="B362" s="211"/>
      <c r="C362" s="211" t="s">
        <v>867</v>
      </c>
      <c r="D362" s="211"/>
      <c r="E362" s="211"/>
      <c r="F362" s="326"/>
      <c r="G362" s="211" t="s">
        <v>868</v>
      </c>
      <c r="H362" s="208" t="s">
        <v>857</v>
      </c>
      <c r="I362" s="480"/>
      <c r="J362" s="659" t="str">
        <f>IF(HLOOKUP(CaseName,CaseData,MATCH($G362,cases!$G$3:$G$1259,0)-1,FALSE)="","",HLOOKUP(CaseName,CaseData,MATCH($G362,cases!$G$3:$G$1259,0)-1,FALSE))</f>
        <v/>
      </c>
      <c r="K362" s="674">
        <f>((4/3)*PI()*(L346)^3)</f>
        <v>1.1309733552923257E-16</v>
      </c>
      <c r="L362" s="243">
        <f t="shared" si="23"/>
        <v>1.1309733552923257E-16</v>
      </c>
      <c r="M362" s="208" t="s">
        <v>857</v>
      </c>
      <c r="N362" s="211"/>
      <c r="O362" s="326"/>
      <c r="P362" s="326"/>
    </row>
    <row r="363" spans="1:34" customFormat="1" ht="12.75" customHeight="1" x14ac:dyDescent="0.3">
      <c r="A363" s="211"/>
      <c r="B363" s="211"/>
      <c r="C363" s="211" t="s">
        <v>869</v>
      </c>
      <c r="D363" s="211"/>
      <c r="E363" s="211"/>
      <c r="F363" s="211"/>
      <c r="G363" s="211" t="s">
        <v>870</v>
      </c>
      <c r="H363" s="211" t="s">
        <v>866</v>
      </c>
      <c r="I363" s="480"/>
      <c r="J363" s="659" t="str">
        <f>IF(HLOOKUP(CaseName,CaseData,MATCH($G363,cases!$G$3:$G$1259,0)-1,FALSE)="","",HLOOKUP(CaseName,CaseData,MATCH($G363,cases!$G$3:$G$1259,0)-1,FALSE))</f>
        <v/>
      </c>
      <c r="K363" s="674">
        <f>(2*(L347-Rho.w)*g*L346^2)/(9*DYNVISC.w)</f>
        <v>2.9410419161676656E-5</v>
      </c>
      <c r="L363" s="466">
        <f t="shared" si="23"/>
        <v>2.9410419161676656E-5</v>
      </c>
      <c r="M363" s="211" t="s">
        <v>866</v>
      </c>
      <c r="N363" s="211"/>
      <c r="O363" s="222"/>
      <c r="P363" s="211"/>
    </row>
    <row r="364" spans="1:34" s="328" customFormat="1" ht="12.75" customHeight="1" x14ac:dyDescent="0.3">
      <c r="A364" s="211"/>
      <c r="B364" s="211"/>
      <c r="C364" s="211" t="s">
        <v>871</v>
      </c>
      <c r="D364" s="211"/>
      <c r="E364" s="211"/>
      <c r="F364" s="326"/>
      <c r="G364" s="211" t="s">
        <v>872</v>
      </c>
      <c r="H364" s="208" t="s">
        <v>857</v>
      </c>
      <c r="I364" s="480"/>
      <c r="J364" s="659" t="str">
        <f>IF(HLOOKUP(CaseName,CaseData,MATCH($G364,cases!$G$3:$G$1259,0)-1,FALSE)="","",HLOOKUP(CaseName,CaseData,MATCH($G364,cases!$G$3:$G$1259,0)-1,FALSE))</f>
        <v/>
      </c>
      <c r="K364" s="674">
        <f>((4/3)*PI()*(L348)^3)</f>
        <v>1.4137166941154071E-20</v>
      </c>
      <c r="L364" s="243">
        <f t="shared" si="23"/>
        <v>1.4137166941154071E-20</v>
      </c>
      <c r="M364" s="208" t="s">
        <v>857</v>
      </c>
      <c r="N364" s="211"/>
      <c r="O364" s="326"/>
      <c r="P364" s="326"/>
    </row>
    <row r="365" spans="1:34" s="328" customFormat="1" ht="12.75" customHeight="1" x14ac:dyDescent="0.3">
      <c r="A365" s="326"/>
      <c r="B365" s="211"/>
      <c r="C365" s="211" t="s">
        <v>873</v>
      </c>
      <c r="D365" s="211"/>
      <c r="E365" s="211"/>
      <c r="F365" s="326"/>
      <c r="G365" s="211" t="s">
        <v>874</v>
      </c>
      <c r="H365" s="211" t="s">
        <v>866</v>
      </c>
      <c r="I365" s="480"/>
      <c r="J365" s="659" t="str">
        <f>IF(HLOOKUP(CaseName,CaseData,MATCH($G365,cases!$G$3:$G$1259,0)-1,FALSE)="","",HLOOKUP(CaseName,CaseData,MATCH($G365,cases!$G$3:$G$1259,0)-1,FALSE))</f>
        <v/>
      </c>
      <c r="K365" s="674">
        <f>(2*(L349-Rho.w)*g*L348^2)/(9*DYNVISC.w)</f>
        <v>4.9050000000000019E-8</v>
      </c>
      <c r="L365" s="466">
        <f t="shared" si="23"/>
        <v>4.9050000000000019E-8</v>
      </c>
      <c r="M365" s="211" t="s">
        <v>866</v>
      </c>
      <c r="N365" s="211"/>
      <c r="O365" s="355"/>
      <c r="P365" s="326"/>
    </row>
    <row r="366" spans="1:34" s="328" customFormat="1" ht="12.75" customHeight="1" x14ac:dyDescent="0.3">
      <c r="A366" s="211"/>
      <c r="B366" s="211"/>
      <c r="C366" s="211" t="s">
        <v>875</v>
      </c>
      <c r="D366" s="211"/>
      <c r="E366" s="211"/>
      <c r="F366" s="326"/>
      <c r="G366" s="211" t="s">
        <v>876</v>
      </c>
      <c r="H366" s="208" t="s">
        <v>857</v>
      </c>
      <c r="I366" s="480"/>
      <c r="J366" s="659" t="str">
        <f>IF(HLOOKUP(CaseName,CaseData,MATCH($G366,cases!$G$3:$G$1259,0)-1,FALSE)="","",HLOOKUP(CaseName,CaseData,MATCH($G366,cases!$G$3:$G$1259,0)-1,FALSE))</f>
        <v/>
      </c>
      <c r="K366" s="674">
        <f>((4/3)*PI()*(L351)^3)</f>
        <v>1.4137166941154071E-20</v>
      </c>
      <c r="L366" s="243">
        <f t="shared" si="23"/>
        <v>1.4137166941154071E-20</v>
      </c>
      <c r="M366" s="208" t="s">
        <v>857</v>
      </c>
      <c r="N366" s="211"/>
      <c r="O366" s="355"/>
      <c r="P366" s="326"/>
    </row>
    <row r="367" spans="1:34" s="328" customFormat="1" ht="12.75" customHeight="1" x14ac:dyDescent="0.3">
      <c r="A367" s="326"/>
      <c r="B367" s="211"/>
      <c r="C367" s="211" t="s">
        <v>877</v>
      </c>
      <c r="D367" s="211"/>
      <c r="E367" s="211"/>
      <c r="F367" s="326"/>
      <c r="G367" s="211" t="s">
        <v>878</v>
      </c>
      <c r="H367" s="211" t="s">
        <v>866</v>
      </c>
      <c r="I367" s="480"/>
      <c r="J367" s="659" t="str">
        <f>IF(HLOOKUP(CaseName,CaseData,MATCH($G367,cases!$G$3:$G$1259,0)-1,FALSE)="","",HLOOKUP(CaseName,CaseData,MATCH($G367,cases!$G$3:$G$1259,0)-1,FALSE))</f>
        <v/>
      </c>
      <c r="K367" s="674">
        <f>(2*(L352-Rho.w)*g*L351^2)/(9*DYNVISC.w)</f>
        <v>4.9050000000000019E-8</v>
      </c>
      <c r="L367" s="466">
        <f t="shared" si="23"/>
        <v>4.9050000000000019E-8</v>
      </c>
      <c r="M367" s="211" t="s">
        <v>866</v>
      </c>
      <c r="N367" s="211"/>
      <c r="O367" s="355"/>
      <c r="P367" s="326"/>
    </row>
    <row r="368" spans="1:34" ht="12.75" customHeight="1" x14ac:dyDescent="0.3">
      <c r="A368" s="669"/>
      <c r="B368" s="670"/>
      <c r="C368" s="670"/>
      <c r="D368" s="670"/>
      <c r="E368" s="670"/>
      <c r="F368" s="670"/>
      <c r="G368" s="669"/>
      <c r="H368" s="669"/>
      <c r="I368" s="693"/>
      <c r="J368" s="694"/>
      <c r="K368" s="695"/>
      <c r="L368" s="696"/>
      <c r="M368" s="670"/>
      <c r="N368" s="670"/>
      <c r="O368" s="672"/>
      <c r="P368" s="672"/>
      <c r="Q368" s="11"/>
      <c r="R368" s="11"/>
      <c r="Z368" s="11"/>
      <c r="AA368" s="11"/>
      <c r="AB368" s="11"/>
      <c r="AC368" s="11"/>
      <c r="AD368" s="11"/>
      <c r="AE368" s="11"/>
      <c r="AF368" s="11"/>
      <c r="AG368" s="11"/>
      <c r="AH368" s="11"/>
    </row>
    <row r="369" spans="1:34" ht="12.75" customHeight="1" x14ac:dyDescent="0.3">
      <c r="A369" s="211"/>
      <c r="B369" s="211"/>
      <c r="C369" s="211"/>
      <c r="D369" s="211"/>
      <c r="E369" s="211"/>
      <c r="F369" s="211"/>
      <c r="G369" s="211"/>
      <c r="H369" s="211"/>
      <c r="I369" s="740"/>
      <c r="J369" s="368"/>
      <c r="K369" s="368"/>
      <c r="L369" s="368"/>
      <c r="M369" s="211"/>
      <c r="N369" s="211"/>
      <c r="O369" s="207"/>
      <c r="P369" s="207"/>
      <c r="Q369" s="11"/>
      <c r="R369" s="11"/>
      <c r="Z369" s="11"/>
      <c r="AA369" s="11"/>
      <c r="AB369" s="11"/>
      <c r="AC369" s="11"/>
      <c r="AD369" s="11"/>
      <c r="AE369" s="11"/>
      <c r="AF369" s="11"/>
      <c r="AG369" s="11"/>
      <c r="AH369" s="11"/>
    </row>
    <row r="370" spans="1:34" s="11" customFormat="1" ht="12.75" customHeight="1" x14ac:dyDescent="0.3">
      <c r="A370" s="460"/>
      <c r="B370" s="460"/>
      <c r="C370" s="675"/>
      <c r="D370" s="675"/>
      <c r="E370" s="675"/>
      <c r="F370" s="675"/>
      <c r="G370" s="676"/>
      <c r="H370" s="671"/>
      <c r="I370" s="697"/>
      <c r="J370" s="684"/>
      <c r="K370" s="685"/>
      <c r="L370" s="698"/>
      <c r="M370" s="671"/>
      <c r="N370" s="460"/>
      <c r="O370" s="672"/>
      <c r="P370" s="672"/>
      <c r="S370"/>
      <c r="T370"/>
      <c r="U370"/>
      <c r="V370"/>
      <c r="W370"/>
      <c r="X370"/>
      <c r="Y370"/>
    </row>
    <row r="371" spans="1:34" s="11" customFormat="1" ht="12.75" customHeight="1" x14ac:dyDescent="0.3">
      <c r="A371" s="211" t="s">
        <v>879</v>
      </c>
      <c r="B371" s="211"/>
      <c r="C371" s="207"/>
      <c r="D371" s="211"/>
      <c r="E371" s="211"/>
      <c r="F371" s="211"/>
      <c r="G371" s="668"/>
      <c r="H371" s="211"/>
      <c r="I371" s="477"/>
      <c r="J371" s="686"/>
      <c r="K371" s="674"/>
      <c r="L371" s="243"/>
      <c r="M371" s="211"/>
      <c r="N371" s="211"/>
      <c r="O371" s="207"/>
      <c r="P371" s="207"/>
    </row>
    <row r="372" spans="1:34" customFormat="1" ht="12.75" customHeight="1" x14ac:dyDescent="0.3">
      <c r="A372" s="211"/>
      <c r="B372" s="211"/>
      <c r="C372" s="211" t="s">
        <v>880</v>
      </c>
      <c r="D372" s="211"/>
      <c r="E372" s="211"/>
      <c r="F372" s="211"/>
      <c r="G372" s="211" t="s">
        <v>881</v>
      </c>
      <c r="H372" s="211" t="s">
        <v>866</v>
      </c>
      <c r="I372" s="477"/>
      <c r="J372" s="659" t="str">
        <f>IF(HLOOKUP(CaseName,CaseData,MATCH($G372,cases!$G$3:$G$1259,0)-1,FALSE)="","",HLOOKUP(CaseName,CaseData,MATCH($G372,cases!$G$3:$G$1259,0)-1,FALSE))</f>
        <v/>
      </c>
      <c r="K372" s="674">
        <f>(2*(RhoS-Rho.w)*g*RadS^2)/(9*DYNVISC.w)</f>
        <v>7.0316966067864286E-10</v>
      </c>
      <c r="L372" s="466">
        <f t="shared" ref="L372:L377" si="24">IF(ISBLANK(I372),IF(ISNUMBER(J372)=FALSE,K372,J372),I372)</f>
        <v>7.0316966067864286E-10</v>
      </c>
      <c r="M372" s="211" t="s">
        <v>882</v>
      </c>
      <c r="N372" s="211"/>
      <c r="O372" s="222"/>
      <c r="P372" s="211"/>
    </row>
    <row r="373" spans="1:34" s="11" customFormat="1" ht="12.75" customHeight="1" x14ac:dyDescent="0.3">
      <c r="A373" s="211"/>
      <c r="B373" s="211"/>
      <c r="C373" s="211" t="s">
        <v>883</v>
      </c>
      <c r="D373" s="211"/>
      <c r="E373" s="211"/>
      <c r="F373" s="211"/>
      <c r="G373" s="211" t="s">
        <v>884</v>
      </c>
      <c r="H373" s="211" t="s">
        <v>857</v>
      </c>
      <c r="I373" s="477"/>
      <c r="J373" s="659" t="str">
        <f>IF(HLOOKUP(CaseName,CaseData,MATCH($G373,cases!$G$3:$G$1259,0)-1,FALSE)="","",HLOOKUP(CaseName,CaseData,MATCH($G373,cases!$G$3:$G$1259,0)-1,FALSE))</f>
        <v/>
      </c>
      <c r="K373" s="674">
        <f>((4/3)*PI()*(RadS)^3)</f>
        <v>4.1887902047863912E-24</v>
      </c>
      <c r="L373" s="243">
        <f t="shared" si="24"/>
        <v>4.1887902047863912E-24</v>
      </c>
      <c r="M373" s="211" t="s">
        <v>885</v>
      </c>
      <c r="N373" s="211"/>
      <c r="O373" s="207"/>
      <c r="P373" s="207"/>
    </row>
    <row r="374" spans="1:34" s="11" customFormat="1" ht="12.75" customHeight="1" x14ac:dyDescent="0.3">
      <c r="A374" s="211"/>
      <c r="B374" s="211"/>
      <c r="C374" s="211" t="s">
        <v>886</v>
      </c>
      <c r="D374" s="211"/>
      <c r="E374" s="211"/>
      <c r="F374" s="211"/>
      <c r="G374" s="211" t="s">
        <v>887</v>
      </c>
      <c r="H374" s="211" t="s">
        <v>888</v>
      </c>
      <c r="I374" s="477"/>
      <c r="J374" s="659" t="str">
        <f>IF(HLOOKUP(CaseName,CaseData,MATCH($G374,cases!$G$3:$G$1259,0)-1,FALSE)="","",HLOOKUP(CaseName,CaseData,MATCH($G374,cases!$G$3:$G$1259,0)-1,FALSE))</f>
        <v/>
      </c>
      <c r="K374" s="674">
        <f>4/3*PI()*RadS^3*RhoS</f>
        <v>1.7718582566246435E-20</v>
      </c>
      <c r="L374" s="243">
        <f t="shared" si="24"/>
        <v>1.7718582566246435E-20</v>
      </c>
      <c r="M374" s="211" t="s">
        <v>889</v>
      </c>
      <c r="N374" s="211"/>
      <c r="O374" s="207"/>
      <c r="P374" s="207"/>
    </row>
    <row r="375" spans="1:34" s="11" customFormat="1" ht="12.75" customHeight="1" x14ac:dyDescent="0.3">
      <c r="A375" s="211"/>
      <c r="B375" s="211"/>
      <c r="C375" s="211" t="s">
        <v>890</v>
      </c>
      <c r="D375" s="211"/>
      <c r="E375" s="211"/>
      <c r="F375" s="211"/>
      <c r="G375" s="211" t="s">
        <v>891</v>
      </c>
      <c r="H375" s="211" t="s">
        <v>866</v>
      </c>
      <c r="I375" s="477"/>
      <c r="J375" s="659" t="str">
        <f>IF(HLOOKUP(CaseName,CaseData,MATCH($G375,cases!$G$3:$G$1259,0)-1,FALSE)="","",HLOOKUP(CaseName,CaseData,MATCH($G375,cases!$G$3:$G$1259,0)-1,FALSE))</f>
        <v/>
      </c>
      <c r="K375" s="674">
        <f>((8*kboltz*TEMP.R)/(PI()*SingleMassS))^0.5</f>
        <v>0.75200306155967611</v>
      </c>
      <c r="L375" s="243">
        <f t="shared" si="24"/>
        <v>0.75200306155967611</v>
      </c>
      <c r="M375" s="211" t="s">
        <v>690</v>
      </c>
      <c r="N375" s="211"/>
      <c r="O375" s="207"/>
      <c r="P375" s="207"/>
    </row>
    <row r="376" spans="1:34" s="11" customFormat="1" ht="12.75" customHeight="1" x14ac:dyDescent="0.3">
      <c r="A376" s="211"/>
      <c r="B376" s="211"/>
      <c r="C376" s="211" t="s">
        <v>892</v>
      </c>
      <c r="D376" s="211"/>
      <c r="E376" s="211"/>
      <c r="F376" s="211"/>
      <c r="G376" s="211" t="s">
        <v>893</v>
      </c>
      <c r="H376" s="211" t="s">
        <v>291</v>
      </c>
      <c r="I376" s="477"/>
      <c r="J376" s="659" t="str">
        <f>IF(HLOOKUP(CaseName,CaseData,MATCH($G376,cases!$G$3:$G$1259,0)-1,FALSE)="","",HLOOKUP(CaseName,CaseData,MATCH($G376,cases!$G$3:$G$1259,0)-1,FALSE))</f>
        <v/>
      </c>
      <c r="K376" s="674">
        <f>(66*10^-9)/(RadS)</f>
        <v>6.6000000000000005</v>
      </c>
      <c r="L376" s="243">
        <f t="shared" si="24"/>
        <v>6.6000000000000005</v>
      </c>
      <c r="M376" s="487" t="s">
        <v>292</v>
      </c>
      <c r="N376" s="368">
        <f>RadS</f>
        <v>1E-8</v>
      </c>
      <c r="O376" s="207"/>
      <c r="P376" s="207"/>
    </row>
    <row r="377" spans="1:34" s="11" customFormat="1" ht="12.75" customHeight="1" x14ac:dyDescent="0.3">
      <c r="A377" s="211"/>
      <c r="B377" s="211"/>
      <c r="C377" s="211" t="s">
        <v>894</v>
      </c>
      <c r="D377" s="211"/>
      <c r="E377" s="211"/>
      <c r="F377" s="211"/>
      <c r="G377" s="211" t="s">
        <v>895</v>
      </c>
      <c r="H377" s="211" t="s">
        <v>291</v>
      </c>
      <c r="I377" s="477"/>
      <c r="J377" s="659" t="str">
        <f>IF(HLOOKUP(CaseName,CaseData,MATCH($G377,cases!$G$3:$G$1259,0)-1,FALSE)="","",HLOOKUP(CaseName,CaseData,MATCH($G377,cases!$G$3:$G$1259,0)-1,FALSE))</f>
        <v/>
      </c>
      <c r="K377" s="674">
        <f>1+KnudS*(1.142+0.558*EXP(-0.999/KnudS))</f>
        <v>11.702695805923799</v>
      </c>
      <c r="L377" s="243">
        <f t="shared" si="24"/>
        <v>11.702695805923799</v>
      </c>
      <c r="M377" s="487" t="s">
        <v>292</v>
      </c>
      <c r="N377" s="368">
        <f>EXP(-0.999/KnudS)</f>
        <v>0.85953508361132835</v>
      </c>
      <c r="O377" s="211" t="s">
        <v>896</v>
      </c>
      <c r="P377" s="207"/>
    </row>
    <row r="378" spans="1:34" s="352" customFormat="1" ht="12.75" customHeight="1" x14ac:dyDescent="0.3">
      <c r="A378" s="518"/>
      <c r="B378" s="518" t="s">
        <v>897</v>
      </c>
      <c r="C378" s="518"/>
      <c r="D378" s="518"/>
      <c r="E378" s="518"/>
      <c r="F378" s="518"/>
      <c r="G378" s="518"/>
      <c r="H378" s="518"/>
      <c r="I378" s="688"/>
      <c r="J378" s="659"/>
      <c r="K378" s="687"/>
      <c r="L378" s="689"/>
      <c r="M378" s="518"/>
      <c r="N378" s="518"/>
      <c r="O378" s="518"/>
      <c r="P378" s="518"/>
    </row>
    <row r="379" spans="1:34" s="11" customFormat="1" ht="12.75" customHeight="1" x14ac:dyDescent="0.3">
      <c r="A379" s="211"/>
      <c r="B379" s="211"/>
      <c r="C379" s="211" t="s">
        <v>898</v>
      </c>
      <c r="D379" s="211"/>
      <c r="E379" s="211"/>
      <c r="F379" s="211"/>
      <c r="G379" s="211" t="s">
        <v>899</v>
      </c>
      <c r="H379" s="211" t="s">
        <v>900</v>
      </c>
      <c r="I379" s="480"/>
      <c r="J379" s="659" t="str">
        <f>IF(HLOOKUP(CaseName,CaseData,MATCH($G379,cases!$G$3:$G$1259,0)-1,FALSE)="","",HLOOKUP(CaseName,CaseData,MATCH($G379,cases!$G$3:$G$1259,0)-1,FALSE))</f>
        <v/>
      </c>
      <c r="K379" s="674">
        <f>(kboltz*TEMP.R*CunninghamS)/(6*PI()*DYNVISC.a*RadS)</f>
        <v>1.349690832911066E-8</v>
      </c>
      <c r="L379" s="243">
        <f>IF(ISBLANK(I379),IF(ISNUMBER(J379)=FALSE,K379,J379),I379)</f>
        <v>1.349690832911066E-8</v>
      </c>
      <c r="M379" s="211" t="s">
        <v>900</v>
      </c>
      <c r="N379" s="211"/>
      <c r="O379" s="207"/>
      <c r="P379" s="207"/>
    </row>
    <row r="380" spans="1:34" s="11" customFormat="1" ht="12.75" customHeight="1" x14ac:dyDescent="0.3">
      <c r="A380" s="211"/>
      <c r="B380" s="211"/>
      <c r="C380" s="211" t="s">
        <v>901</v>
      </c>
      <c r="D380" s="211"/>
      <c r="E380" s="211"/>
      <c r="F380" s="211"/>
      <c r="G380" s="211" t="s">
        <v>902</v>
      </c>
      <c r="H380" s="211" t="s">
        <v>900</v>
      </c>
      <c r="I380" s="480"/>
      <c r="J380" s="659" t="str">
        <f>IF(HLOOKUP(CaseName,CaseData,MATCH($G380,cases!$G$3:$G$1259,0)-1,FALSE)="","",HLOOKUP(CaseName,CaseData,MATCH($G380,cases!$G$3:$G$1259,0)-1,FALSE))</f>
        <v/>
      </c>
      <c r="K380" s="674">
        <f>(kboltz*TEMP.R)/(6*PI()*DYNVISC.w*RadS)</f>
        <v>2.0833356001417053E-11</v>
      </c>
      <c r="L380" s="243">
        <f>IF(ISBLANK(I380),IF(ISNUMBER(J380)=FALSE,K380,J380),I380)</f>
        <v>2.0833356001417053E-11</v>
      </c>
      <c r="M380" s="211" t="s">
        <v>900</v>
      </c>
      <c r="N380" s="211" t="s">
        <v>903</v>
      </c>
      <c r="O380" s="225">
        <v>41</v>
      </c>
      <c r="P380" s="211" t="s">
        <v>904</v>
      </c>
    </row>
    <row r="381" spans="1:34" s="352" customFormat="1" ht="12.75" customHeight="1" x14ac:dyDescent="0.3">
      <c r="A381" s="518"/>
      <c r="B381" s="518" t="s">
        <v>905</v>
      </c>
      <c r="C381" s="518"/>
      <c r="D381" s="518"/>
      <c r="E381" s="518"/>
      <c r="F381" s="518"/>
      <c r="G381" s="518"/>
      <c r="H381" s="518"/>
      <c r="I381" s="688"/>
      <c r="J381" s="659"/>
      <c r="K381" s="687"/>
      <c r="L381" s="689"/>
      <c r="M381" s="518"/>
      <c r="N381" s="518"/>
      <c r="O381" s="450"/>
      <c r="P381" s="518"/>
    </row>
    <row r="382" spans="1:34" s="11" customFormat="1" ht="12.75" customHeight="1" x14ac:dyDescent="0.3">
      <c r="A382" s="211"/>
      <c r="B382" s="211"/>
      <c r="C382" s="211" t="s">
        <v>906</v>
      </c>
      <c r="D382" s="211"/>
      <c r="E382" s="211"/>
      <c r="F382" s="211"/>
      <c r="G382" s="211" t="s">
        <v>907</v>
      </c>
      <c r="H382" s="211" t="s">
        <v>900</v>
      </c>
      <c r="I382" s="478"/>
      <c r="J382" s="659" t="str">
        <f>IF(HLOOKUP(CaseName,CaseData,MATCH($G382,cases!$G$3:$G$1259,0)-1,FALSE)="","",HLOOKUP(CaseName,CaseData,MATCH($G382,cases!$G$3:$G$1259,0)-1,FALSE))</f>
        <v/>
      </c>
      <c r="K382" s="674">
        <f>(kboltz*TEMP.C*CunninghamS)/(6*PI()*DYNVISC.a*RadS)</f>
        <v>1.349690832911066E-8</v>
      </c>
      <c r="L382" s="243">
        <f>IF(ISBLANK(I382),IF(ISNUMBER(J382)=FALSE,K382,J382),I382)</f>
        <v>1.349690832911066E-8</v>
      </c>
      <c r="M382" s="211" t="s">
        <v>900</v>
      </c>
      <c r="N382" s="211"/>
      <c r="O382" s="225">
        <v>12</v>
      </c>
      <c r="P382" s="211" t="s">
        <v>908</v>
      </c>
    </row>
    <row r="383" spans="1:34" s="11" customFormat="1" ht="12.75" customHeight="1" x14ac:dyDescent="0.3">
      <c r="A383" s="211"/>
      <c r="B383" s="211"/>
      <c r="C383" s="211" t="s">
        <v>909</v>
      </c>
      <c r="D383" s="211"/>
      <c r="E383" s="211"/>
      <c r="F383" s="211"/>
      <c r="G383" s="211" t="s">
        <v>910</v>
      </c>
      <c r="H383" s="211" t="s">
        <v>900</v>
      </c>
      <c r="I383" s="478"/>
      <c r="J383" s="659" t="str">
        <f>IF(HLOOKUP(CaseName,CaseData,MATCH($G383,cases!$G$3:$G$1259,0)-1,FALSE)="","",HLOOKUP(CaseName,CaseData,MATCH($G383,cases!$G$3:$G$1259,0)-1,FALSE))</f>
        <v/>
      </c>
      <c r="K383" s="674">
        <f>(kboltz*TEMP.C)/(6*PI()*DYNVISC.w*RadS)</f>
        <v>2.0833356001417053E-11</v>
      </c>
      <c r="L383" s="243">
        <f>IF(ISBLANK(I383),IF(ISNUMBER(J383)=FALSE,K383,J383),I383)</f>
        <v>2.0833356001417053E-11</v>
      </c>
      <c r="M383" s="211" t="s">
        <v>900</v>
      </c>
      <c r="N383" s="211" t="s">
        <v>911</v>
      </c>
      <c r="O383" s="225">
        <v>41</v>
      </c>
      <c r="P383" s="211" t="s">
        <v>904</v>
      </c>
    </row>
    <row r="384" spans="1:34" s="352" customFormat="1" ht="12.75" customHeight="1" x14ac:dyDescent="0.3">
      <c r="A384" s="518"/>
      <c r="B384" s="518" t="s">
        <v>912</v>
      </c>
      <c r="C384" s="518"/>
      <c r="D384" s="518"/>
      <c r="E384" s="518"/>
      <c r="F384" s="518"/>
      <c r="G384" s="518"/>
      <c r="H384" s="518"/>
      <c r="I384" s="688"/>
      <c r="J384" s="659"/>
      <c r="K384" s="687"/>
      <c r="L384" s="689"/>
      <c r="M384" s="518"/>
      <c r="N384" s="518"/>
      <c r="O384" s="450"/>
      <c r="P384" s="518"/>
    </row>
    <row r="385" spans="1:34" s="11" customFormat="1" ht="12.75" customHeight="1" x14ac:dyDescent="0.3">
      <c r="A385" s="211"/>
      <c r="B385" s="211"/>
      <c r="C385" s="211" t="s">
        <v>913</v>
      </c>
      <c r="D385" s="211"/>
      <c r="E385" s="211"/>
      <c r="F385" s="211"/>
      <c r="G385" s="211" t="s">
        <v>914</v>
      </c>
      <c r="H385" s="211" t="s">
        <v>900</v>
      </c>
      <c r="I385" s="478"/>
      <c r="J385" s="659" t="str">
        <f>IF(HLOOKUP(CaseName,CaseData,MATCH($G385,cases!$G$3:$G$1259,0)-1,FALSE)="","",HLOOKUP(CaseName,CaseData,MATCH($G385,cases!$G$3:$G$1259,0)-1,FALSE))</f>
        <v/>
      </c>
      <c r="K385" s="674">
        <f>(kboltz*TEMP.M*CunninghamS)/(6*PI()*DYNVISC.a*RadS)</f>
        <v>1.349690832911066E-8</v>
      </c>
      <c r="L385" s="243">
        <f t="shared" ref="L385:L390" si="25">IF(ISBLANK(I385),IF(ISNUMBER(J385)=FALSE,K385,J385),I385)</f>
        <v>1.349690832911066E-8</v>
      </c>
      <c r="M385" s="211" t="s">
        <v>900</v>
      </c>
      <c r="N385" s="211"/>
      <c r="O385" s="225">
        <v>12</v>
      </c>
      <c r="P385" s="211" t="s">
        <v>908</v>
      </c>
    </row>
    <row r="386" spans="1:34" s="11" customFormat="1" ht="12.75" customHeight="1" x14ac:dyDescent="0.3">
      <c r="A386" s="211"/>
      <c r="B386" s="211"/>
      <c r="C386" s="211" t="s">
        <v>915</v>
      </c>
      <c r="D386" s="211"/>
      <c r="E386" s="211"/>
      <c r="F386" s="211"/>
      <c r="G386" s="211" t="s">
        <v>916</v>
      </c>
      <c r="H386" s="211" t="s">
        <v>900</v>
      </c>
      <c r="I386" s="478"/>
      <c r="J386" s="659" t="str">
        <f>IF(HLOOKUP(CaseName,CaseData,MATCH($G386,cases!$G$3:$G$1259,0)-1,FALSE)="","",HLOOKUP(CaseName,CaseData,MATCH($G386,cases!$G$3:$G$1259,0)-1,FALSE))</f>
        <v/>
      </c>
      <c r="K386" s="674">
        <f>(kboltz*TEMP.M)/(6*PI()*DYNVISC.w*RadS)</f>
        <v>2.0833356001417053E-11</v>
      </c>
      <c r="L386" s="243">
        <f t="shared" si="25"/>
        <v>2.0833356001417053E-11</v>
      </c>
      <c r="M386" s="211" t="s">
        <v>900</v>
      </c>
      <c r="N386" s="211" t="s">
        <v>911</v>
      </c>
      <c r="O386" s="225">
        <v>41</v>
      </c>
      <c r="P386" s="211" t="s">
        <v>904</v>
      </c>
    </row>
    <row r="387" spans="1:34" s="11" customFormat="1" ht="12.75" customHeight="1" x14ac:dyDescent="0.3">
      <c r="A387" s="211"/>
      <c r="B387" s="211"/>
      <c r="C387" s="211" t="s">
        <v>917</v>
      </c>
      <c r="D387" s="211"/>
      <c r="E387" s="211"/>
      <c r="F387" s="211"/>
      <c r="G387" s="211" t="s">
        <v>918</v>
      </c>
      <c r="H387" s="211" t="s">
        <v>900</v>
      </c>
      <c r="I387" s="478"/>
      <c r="J387" s="659" t="str">
        <f>IF(HLOOKUP(CaseName,CaseData,MATCH($G387,cases!$G$3:$G$1259,0)-1,FALSE)="","",HLOOKUP(CaseName,CaseData,MATCH($G387,cases!$G$3:$G$1259,0)-1,FALSE))</f>
        <v/>
      </c>
      <c r="K387" s="674">
        <f>(kboltz*TEMP.A*CunninghamS)/(6*PI()*DYNVISC.a*RadS)</f>
        <v>1.2455041721249486E-8</v>
      </c>
      <c r="L387" s="243">
        <f t="shared" si="25"/>
        <v>1.2455041721249486E-8</v>
      </c>
      <c r="M387" s="211" t="s">
        <v>900</v>
      </c>
      <c r="N387" s="211"/>
      <c r="O387" s="225">
        <v>12</v>
      </c>
      <c r="P387" s="211" t="s">
        <v>908</v>
      </c>
    </row>
    <row r="388" spans="1:34" s="11" customFormat="1" ht="12.75" customHeight="1" x14ac:dyDescent="0.3">
      <c r="A388" s="211"/>
      <c r="B388" s="211"/>
      <c r="C388" s="211" t="s">
        <v>919</v>
      </c>
      <c r="D388" s="211"/>
      <c r="E388" s="211"/>
      <c r="F388" s="211"/>
      <c r="G388" s="211" t="s">
        <v>920</v>
      </c>
      <c r="H388" s="211" t="s">
        <v>900</v>
      </c>
      <c r="I388" s="478"/>
      <c r="J388" s="659" t="str">
        <f>IF(HLOOKUP(CaseName,CaseData,MATCH($G388,cases!$G$3:$G$1259,0)-1,FALSE)="","",HLOOKUP(CaseName,CaseData,MATCH($G388,cases!$G$3:$G$1259,0)-1,FALSE))</f>
        <v/>
      </c>
      <c r="K388" s="674">
        <f>(kboltz*TEMP.A)/(6*PI()*DYNVISC.w*RadS)</f>
        <v>1.9225167117097141E-11</v>
      </c>
      <c r="L388" s="243">
        <f t="shared" si="25"/>
        <v>1.9225167117097141E-11</v>
      </c>
      <c r="M388" s="211" t="s">
        <v>900</v>
      </c>
      <c r="N388" s="211" t="s">
        <v>911</v>
      </c>
      <c r="O388" s="225">
        <v>41</v>
      </c>
      <c r="P388" s="211" t="s">
        <v>904</v>
      </c>
    </row>
    <row r="389" spans="1:34" s="11" customFormat="1" ht="12.75" customHeight="1" x14ac:dyDescent="0.3">
      <c r="A389" s="211"/>
      <c r="B389" s="211"/>
      <c r="C389" s="211" t="s">
        <v>921</v>
      </c>
      <c r="D389" s="211"/>
      <c r="E389" s="211"/>
      <c r="F389" s="211"/>
      <c r="G389" s="211" t="s">
        <v>922</v>
      </c>
      <c r="H389" s="211" t="s">
        <v>900</v>
      </c>
      <c r="I389" s="478"/>
      <c r="J389" s="659" t="str">
        <f>IF(HLOOKUP(CaseName,CaseData,MATCH($G389,cases!$G$3:$G$1259,0)-1,FALSE)="","",HLOOKUP(CaseName,CaseData,MATCH($G389,cases!$G$3:$G$1259,0)-1,FALSE))</f>
        <v/>
      </c>
      <c r="K389" s="674">
        <f>(kboltz*TEMP.T*CunninghamS)/(6*PI()*DYNVISC.a*RadS)</f>
        <v>1.4112556779210446E-8</v>
      </c>
      <c r="L389" s="243">
        <f t="shared" si="25"/>
        <v>1.4112556779210446E-8</v>
      </c>
      <c r="M389" s="211" t="s">
        <v>900</v>
      </c>
      <c r="N389" s="211"/>
      <c r="O389" s="225">
        <v>12</v>
      </c>
      <c r="P389" s="211" t="s">
        <v>908</v>
      </c>
    </row>
    <row r="390" spans="1:34" s="11" customFormat="1" ht="12.75" customHeight="1" x14ac:dyDescent="0.3">
      <c r="A390" s="211"/>
      <c r="B390" s="211"/>
      <c r="C390" s="211" t="s">
        <v>923</v>
      </c>
      <c r="D390" s="211"/>
      <c r="E390" s="211"/>
      <c r="F390" s="211"/>
      <c r="G390" s="211" t="s">
        <v>924</v>
      </c>
      <c r="H390" s="211" t="s">
        <v>900</v>
      </c>
      <c r="I390" s="478"/>
      <c r="J390" s="659" t="str">
        <f>IF(HLOOKUP(CaseName,CaseData,MATCH($G390,cases!$G$3:$G$1259,0)-1,FALSE)="","",HLOOKUP(CaseName,CaseData,MATCH($G390,cases!$G$3:$G$1259,0)-1,FALSE))</f>
        <v/>
      </c>
      <c r="K390" s="674">
        <f>(kboltz*TEMP.T)/(6*PI()*DYNVISC.w*RadS)</f>
        <v>2.1783649433060643E-11</v>
      </c>
      <c r="L390" s="243">
        <f t="shared" si="25"/>
        <v>2.1783649433060643E-11</v>
      </c>
      <c r="M390" s="211" t="s">
        <v>900</v>
      </c>
      <c r="N390" s="211" t="s">
        <v>911</v>
      </c>
      <c r="O390" s="225">
        <v>41</v>
      </c>
      <c r="P390" s="211" t="s">
        <v>904</v>
      </c>
    </row>
    <row r="391" spans="1:34" s="11" customFormat="1" ht="12" customHeight="1" x14ac:dyDescent="0.3">
      <c r="A391" s="211"/>
      <c r="B391" s="211"/>
      <c r="C391" s="211"/>
      <c r="D391" s="211"/>
      <c r="E391" s="211"/>
      <c r="F391" s="211"/>
      <c r="G391" s="208"/>
      <c r="H391" s="208"/>
      <c r="I391" s="677"/>
      <c r="J391" s="678"/>
      <c r="K391" s="679"/>
      <c r="L391" s="368"/>
      <c r="M391" s="208"/>
      <c r="N391" s="211"/>
      <c r="O391" s="207"/>
      <c r="P391" s="207"/>
      <c r="S391"/>
      <c r="T391"/>
      <c r="U391"/>
      <c r="V391"/>
      <c r="W391"/>
      <c r="X391"/>
      <c r="Y391"/>
    </row>
    <row r="392" spans="1:34" s="515" customFormat="1" ht="12.75" customHeight="1" x14ac:dyDescent="0.3">
      <c r="A392" s="673" t="s">
        <v>925</v>
      </c>
      <c r="B392" s="673"/>
      <c r="C392" s="673"/>
      <c r="D392" s="673"/>
      <c r="E392" s="673"/>
      <c r="F392" s="673"/>
      <c r="G392" s="673"/>
      <c r="H392" s="673"/>
      <c r="I392" s="680"/>
      <c r="J392" s="681"/>
      <c r="K392" s="682"/>
      <c r="L392" s="683"/>
      <c r="M392" s="673"/>
      <c r="N392" s="673"/>
      <c r="O392" s="741"/>
      <c r="P392" s="742"/>
      <c r="Q392" s="743"/>
      <c r="R392" s="743"/>
      <c r="S392" s="743"/>
      <c r="T392" s="743"/>
      <c r="U392" s="743"/>
      <c r="V392" s="743"/>
      <c r="W392" s="743"/>
      <c r="X392" s="743"/>
      <c r="Y392" s="743"/>
      <c r="Z392" s="743"/>
      <c r="AA392" s="743"/>
      <c r="AB392" s="743"/>
      <c r="AC392" s="743"/>
      <c r="AD392" s="743"/>
      <c r="AE392" s="743"/>
      <c r="AF392" s="743"/>
      <c r="AG392" s="743"/>
      <c r="AH392" s="743"/>
    </row>
    <row r="393" spans="1:34" s="328" customFormat="1" ht="12.75" customHeight="1" x14ac:dyDescent="0.3">
      <c r="A393" s="211"/>
      <c r="B393" s="211" t="s">
        <v>926</v>
      </c>
      <c r="C393" s="211"/>
      <c r="D393" s="211"/>
      <c r="E393" s="211"/>
      <c r="F393" s="211"/>
      <c r="G393" s="211" t="s">
        <v>927</v>
      </c>
      <c r="H393" s="211" t="s">
        <v>866</v>
      </c>
      <c r="I393" s="480"/>
      <c r="J393" s="659" t="str">
        <f>IF(HLOOKUP(CaseName,CaseData,MATCH($G393,cases!$G$3:$G$1259,0)-1,FALSE)="","",HLOOKUP(CaseName,CaseData,MATCH($G393,cases!$G$3:$G$1259,0)-1,FALSE))</f>
        <v/>
      </c>
      <c r="K393" s="674">
        <f>(2*(RhoA.w-Rho.w)*g*RadA.w^2)/(9*DYNVISC.w)</f>
        <v>4.909202986063169E-8</v>
      </c>
      <c r="L393" s="243">
        <f t="shared" ref="L393:L402" si="26">IF(ISBLANK(I393),IF(ISNUMBER(J393)=FALSE,K393,J393),I393)</f>
        <v>4.909202986063169E-8</v>
      </c>
      <c r="M393" s="211" t="s">
        <v>866</v>
      </c>
      <c r="N393" s="211"/>
      <c r="O393" s="355"/>
      <c r="P393" s="326"/>
    </row>
    <row r="394" spans="1:34" s="328" customFormat="1" ht="12.75" customHeight="1" x14ac:dyDescent="0.3">
      <c r="A394" s="211"/>
      <c r="B394" s="211"/>
      <c r="C394" s="211" t="s">
        <v>928</v>
      </c>
      <c r="D394" s="211"/>
      <c r="E394" s="211"/>
      <c r="F394" s="211"/>
      <c r="G394" s="211" t="s">
        <v>929</v>
      </c>
      <c r="H394" s="211" t="s">
        <v>813</v>
      </c>
      <c r="I394" s="480"/>
      <c r="J394" s="659" t="str">
        <f>IF(HLOOKUP(CaseName,CaseData,MATCH($G394,cases!$G$3:$G$1259,0)-1,FALSE)="","",HLOOKUP(CaseName,CaseData,MATCH($G394,cases!$G$3:$G$1259,0)-1,FALSE))</f>
        <v/>
      </c>
      <c r="K394" s="674">
        <f>(RadNC.w^3+RadS^3)^(1/3)</f>
        <v>1.5001481335186412E-7</v>
      </c>
      <c r="L394" s="243">
        <f t="shared" si="26"/>
        <v>1.5001481335186412E-7</v>
      </c>
      <c r="M394" s="211" t="s">
        <v>813</v>
      </c>
      <c r="N394" s="211"/>
      <c r="O394" s="355"/>
      <c r="P394" s="326"/>
    </row>
    <row r="395" spans="1:34" s="328" customFormat="1" ht="12.75" customHeight="1" x14ac:dyDescent="0.3">
      <c r="A395" s="211"/>
      <c r="B395" s="211"/>
      <c r="C395" s="211" t="s">
        <v>930</v>
      </c>
      <c r="D395" s="211"/>
      <c r="E395" s="211"/>
      <c r="F395" s="211"/>
      <c r="G395" s="211" t="s">
        <v>931</v>
      </c>
      <c r="H395" s="211" t="s">
        <v>282</v>
      </c>
      <c r="I395" s="480"/>
      <c r="J395" s="659" t="str">
        <f>IF(HLOOKUP(CaseName,CaseData,MATCH($G395,cases!$G$3:$G$1259,0)-1,FALSE)="","",HLOOKUP(CaseName,CaseData,MATCH($G395,cases!$G$3:$G$1259,0)-1,FALSE))</f>
        <v/>
      </c>
      <c r="K395" s="674">
        <f>(RhoS*4/3*PI()*RadS^3+RhoNC.w*4/3*PI()*RadNC.w^3)/(4/3*PI()*RadS^3+4/3*PI()*RadNC.w^3)</f>
        <v>2000.6605450236971</v>
      </c>
      <c r="L395" s="243">
        <f t="shared" si="26"/>
        <v>2000.6605450236971</v>
      </c>
      <c r="M395" s="211" t="s">
        <v>282</v>
      </c>
      <c r="N395" s="211"/>
      <c r="O395" s="355"/>
      <c r="P395" s="326"/>
    </row>
    <row r="396" spans="1:34" s="328" customFormat="1" ht="12.75" customHeight="1" x14ac:dyDescent="0.3">
      <c r="A396" s="211"/>
      <c r="B396" s="211" t="s">
        <v>932</v>
      </c>
      <c r="C396" s="211"/>
      <c r="D396" s="211"/>
      <c r="E396" s="211"/>
      <c r="F396" s="211"/>
      <c r="G396" s="211" t="s">
        <v>933</v>
      </c>
      <c r="H396" s="211" t="s">
        <v>866</v>
      </c>
      <c r="I396" s="480"/>
      <c r="J396" s="659" t="str">
        <f>IF(HLOOKUP(CaseName,CaseData,MATCH($G396,cases!$G$3:$G$1259,0)-1,FALSE)="","",HLOOKUP(CaseName,CaseData,MATCH($G396,cases!$G$3:$G$1259,0)-1,FALSE))</f>
        <v/>
      </c>
      <c r="K396" s="674">
        <f>(2*(RhoP.w-Rho.w)*g*RadP.w^2)/(9*DYNVISC.w)</f>
        <v>2.9410421142483867E-5</v>
      </c>
      <c r="L396" s="243">
        <f t="shared" si="26"/>
        <v>2.9410421142483867E-5</v>
      </c>
      <c r="M396" s="211" t="s">
        <v>866</v>
      </c>
      <c r="N396" s="211"/>
      <c r="O396" s="355"/>
      <c r="P396" s="326"/>
    </row>
    <row r="397" spans="1:34" s="328" customFormat="1" ht="12.75" customHeight="1" x14ac:dyDescent="0.3">
      <c r="A397" s="211"/>
      <c r="B397" s="211"/>
      <c r="C397" s="211" t="s">
        <v>934</v>
      </c>
      <c r="D397" s="211"/>
      <c r="E397" s="211"/>
      <c r="F397" s="211"/>
      <c r="G397" s="211" t="s">
        <v>935</v>
      </c>
      <c r="H397" s="211" t="s">
        <v>813</v>
      </c>
      <c r="I397" s="480"/>
      <c r="J397" s="659" t="str">
        <f>IF(HLOOKUP(CaseName,CaseData,MATCH($G397,cases!$G$3:$G$1259,0)-1,FALSE)="","",HLOOKUP(CaseName,CaseData,MATCH($G397,cases!$G$3:$G$1259,0)-1,FALSE))</f>
        <v/>
      </c>
      <c r="K397" s="674">
        <f>(RadSPM.w^3+RadS^3)^(1/3)</f>
        <v>3.0000000370370345E-6</v>
      </c>
      <c r="L397" s="466">
        <f t="shared" si="26"/>
        <v>3.0000000370370345E-6</v>
      </c>
      <c r="M397" s="211" t="s">
        <v>813</v>
      </c>
      <c r="N397" s="211"/>
      <c r="O397" s="355"/>
      <c r="P397" s="326"/>
    </row>
    <row r="398" spans="1:34" s="328" customFormat="1" ht="12.75" customHeight="1" x14ac:dyDescent="0.3">
      <c r="A398" s="211"/>
      <c r="B398" s="211"/>
      <c r="C398" s="211" t="s">
        <v>936</v>
      </c>
      <c r="D398" s="211"/>
      <c r="E398" s="211"/>
      <c r="F398" s="211"/>
      <c r="G398" s="211" t="s">
        <v>937</v>
      </c>
      <c r="H398" s="211" t="s">
        <v>282</v>
      </c>
      <c r="I398" s="480"/>
      <c r="J398" s="659" t="str">
        <f>IF(HLOOKUP(CaseName,CaseData,MATCH($G398,cases!$G$3:$G$1259,0)-1,FALSE)="","",HLOOKUP(CaseName,CaseData,MATCH($G398,cases!$G$3:$G$1259,0)-1,FALSE))</f>
        <v/>
      </c>
      <c r="K398" s="674">
        <f>(RhoS*4/3*PI()*RadS^3+RhoSPM.w*4/3*PI()*RadSPM.w^3)/(4/3*PI()*RadS^3+4/3*PI()*RadSPM.w^3)</f>
        <v>2500.0000640740718</v>
      </c>
      <c r="L398" s="466">
        <f t="shared" si="26"/>
        <v>2500.0000640740718</v>
      </c>
      <c r="M398" s="211" t="s">
        <v>282</v>
      </c>
      <c r="N398" s="211"/>
      <c r="O398" s="355"/>
      <c r="P398" s="326"/>
    </row>
    <row r="399" spans="1:34" s="328" customFormat="1" ht="12.75" customHeight="1" x14ac:dyDescent="0.3">
      <c r="A399" s="211"/>
      <c r="B399" s="211" t="s">
        <v>938</v>
      </c>
      <c r="C399" s="211"/>
      <c r="D399" s="211"/>
      <c r="E399" s="211"/>
      <c r="F399" s="211"/>
      <c r="G399" s="211" t="s">
        <v>939</v>
      </c>
      <c r="H399" s="211" t="s">
        <v>866</v>
      </c>
      <c r="I399" s="480"/>
      <c r="J399" s="659" t="str">
        <f>IF(HLOOKUP(CaseName,CaseData,MATCH($G399,cases!$G$3:$G$1259,0)-1,FALSE)="","",HLOOKUP(CaseName,CaseData,MATCH($G399,cases!$G$3:$G$1259,0)-1,FALSE))</f>
        <v/>
      </c>
      <c r="K399" s="674">
        <f>((2*RadP.a)^2*(RhoP.a-Rho.a)*9.81*CunninghamP.a)/(18*DYNVISC.a)</f>
        <v>2.1132746270943457E-4</v>
      </c>
      <c r="L399" s="243">
        <f t="shared" si="26"/>
        <v>2.1132746270943457E-4</v>
      </c>
      <c r="M399" s="211" t="s">
        <v>866</v>
      </c>
      <c r="N399" s="211"/>
      <c r="O399" s="355"/>
      <c r="P399" s="326"/>
    </row>
    <row r="400" spans="1:34" s="328" customFormat="1" ht="12.75" customHeight="1" x14ac:dyDescent="0.3">
      <c r="A400" s="211"/>
      <c r="B400" s="211"/>
      <c r="C400" s="211" t="s">
        <v>940</v>
      </c>
      <c r="D400" s="211"/>
      <c r="E400" s="211"/>
      <c r="F400" s="211"/>
      <c r="G400" s="208" t="s">
        <v>941</v>
      </c>
      <c r="H400" s="208" t="s">
        <v>291</v>
      </c>
      <c r="I400" s="480"/>
      <c r="J400" s="659" t="str">
        <f>IF(HLOOKUP(CaseName,CaseData,MATCH($G400,cases!$G$3:$G$1259,0)-1,FALSE)="","",HLOOKUP(CaseName,CaseData,MATCH($G400,cases!$G$3:$G$1259,0)-1,FALSE))</f>
        <v/>
      </c>
      <c r="K400" s="674">
        <f>1+((66*10^-9)/RadP.a)*1.142+0.558*EXP(-0.999/((66*10^-9)/RadP.a))</f>
        <v>1.0837473050114883</v>
      </c>
      <c r="L400" s="243">
        <f t="shared" si="26"/>
        <v>1.0837473050114883</v>
      </c>
      <c r="M400" s="208" t="s">
        <v>291</v>
      </c>
      <c r="N400" s="326" t="s">
        <v>4638</v>
      </c>
      <c r="O400" s="326"/>
      <c r="P400" s="355"/>
    </row>
    <row r="401" spans="1:18" s="328" customFormat="1" ht="12.75" customHeight="1" x14ac:dyDescent="0.3">
      <c r="A401" s="211"/>
      <c r="B401" s="211"/>
      <c r="C401" s="211" t="s">
        <v>942</v>
      </c>
      <c r="D401" s="211"/>
      <c r="E401" s="211"/>
      <c r="F401" s="211"/>
      <c r="G401" s="211" t="s">
        <v>943</v>
      </c>
      <c r="H401" s="211" t="s">
        <v>813</v>
      </c>
      <c r="I401" s="480"/>
      <c r="J401" s="659" t="str">
        <f>IF(HLOOKUP(CaseName,CaseData,MATCH($G401,cases!$G$3:$G$1259,0)-1,FALSE)="","",HLOOKUP(CaseName,CaseData,MATCH($G401,cases!$G$3:$G$1259,0)-1,FALSE))</f>
        <v/>
      </c>
      <c r="K401" s="674">
        <f>(RadCP.a^3+RadS^3)^(1/3)</f>
        <v>9.0000041152244629E-7</v>
      </c>
      <c r="L401" s="466">
        <f t="shared" si="26"/>
        <v>9.0000041152244629E-7</v>
      </c>
      <c r="M401" s="211" t="s">
        <v>813</v>
      </c>
      <c r="N401" s="368"/>
      <c r="O401" s="355"/>
      <c r="P401" s="326"/>
    </row>
    <row r="402" spans="1:18" s="328" customFormat="1" ht="12.75" customHeight="1" x14ac:dyDescent="0.3">
      <c r="A402" s="211"/>
      <c r="B402" s="211"/>
      <c r="C402" s="211" t="s">
        <v>944</v>
      </c>
      <c r="D402" s="211"/>
      <c r="E402" s="211"/>
      <c r="F402" s="211"/>
      <c r="G402" s="211" t="s">
        <v>945</v>
      </c>
      <c r="H402" s="211" t="s">
        <v>282</v>
      </c>
      <c r="I402" s="480"/>
      <c r="J402" s="659" t="str">
        <f>IF(HLOOKUP(CaseName,CaseData,MATCH($G402,cases!$G$3:$G$1259,0)-1,FALSE)="","",HLOOKUP(CaseName,CaseData,MATCH($G402,cases!$G$3:$G$1259,0)-1,FALSE))</f>
        <v/>
      </c>
      <c r="K402" s="674">
        <f>(RhoS*4/3*PI()*RadS^3+RhoCP.a*4/3*PI()*RadCP.a^3)/(4/3*PI()*RadS^3+4/3*PI()*RadCP.a^3)</f>
        <v>2000.003058980715</v>
      </c>
      <c r="L402" s="466">
        <f t="shared" si="26"/>
        <v>2000.003058980715</v>
      </c>
      <c r="M402" s="211" t="s">
        <v>282</v>
      </c>
      <c r="N402" s="368"/>
      <c r="O402" s="355"/>
      <c r="P402" s="326"/>
    </row>
    <row r="404" spans="1:18" ht="12.75" customHeight="1" x14ac:dyDescent="0.3">
      <c r="O404" s="11"/>
      <c r="P404" s="11"/>
      <c r="Q404" s="11"/>
      <c r="R404" s="11"/>
    </row>
    <row r="405" spans="1:18" ht="12.75" customHeight="1" x14ac:dyDescent="0.3">
      <c r="O405" s="11"/>
      <c r="P405" s="11"/>
      <c r="Q405" s="11"/>
      <c r="R405" s="11"/>
    </row>
    <row r="406" spans="1:18" ht="12.75" customHeight="1" x14ac:dyDescent="0.3">
      <c r="O406" s="11"/>
      <c r="P406" s="11"/>
      <c r="Q406" s="11"/>
      <c r="R406" s="11"/>
    </row>
    <row r="407" spans="1:18" ht="12.75" customHeight="1" x14ac:dyDescent="0.3">
      <c r="O407" s="11"/>
      <c r="P407" s="11"/>
      <c r="Q407" s="11"/>
      <c r="R407" s="11"/>
    </row>
    <row r="408" spans="1:18" ht="12.75" customHeight="1" x14ac:dyDescent="0.3">
      <c r="O408" s="11"/>
      <c r="P408" s="11"/>
      <c r="Q408" s="11"/>
      <c r="R408" s="11"/>
    </row>
    <row r="409" spans="1:18" ht="12.75" customHeight="1" x14ac:dyDescent="0.3">
      <c r="O409" s="11"/>
      <c r="P409" s="11"/>
      <c r="Q409" s="11"/>
      <c r="R409" s="11"/>
    </row>
  </sheetData>
  <mergeCells count="4">
    <mergeCell ref="H8:I8"/>
    <mergeCell ref="H5:I5"/>
    <mergeCell ref="H6:I6"/>
    <mergeCell ref="H10:I10"/>
  </mergeCells>
  <phoneticPr fontId="6" type="noConversion"/>
  <conditionalFormatting sqref="I187:I211">
    <cfRule type="cellIs" dxfId="77" priority="73" operator="equal">
      <formula>0</formula>
    </cfRule>
  </conditionalFormatting>
  <conditionalFormatting sqref="J5">
    <cfRule type="expression" dxfId="76" priority="12" stopIfTrue="1">
      <formula>HLOOKUP(CaseName,CaseData,ROW()-2,FALSE)&lt;&gt;""</formula>
    </cfRule>
  </conditionalFormatting>
  <conditionalFormatting sqref="J6">
    <cfRule type="expression" dxfId="75" priority="768" stopIfTrue="1">
      <formula>ISBLANK(HLOOKUP(CaseName,CaseData,ROW()+2,FALSE))</formula>
    </cfRule>
  </conditionalFormatting>
  <conditionalFormatting sqref="J7">
    <cfRule type="expression" dxfId="74" priority="806" stopIfTrue="1">
      <formula>HLOOKUP(CaseName,CaseData,ROW(),FALSE)&lt;&gt;""</formula>
    </cfRule>
    <cfRule type="expression" dxfId="73" priority="807" stopIfTrue="1">
      <formula>ISNUMBER(J7)</formula>
    </cfRule>
    <cfRule type="expression" dxfId="72" priority="812" stopIfTrue="1">
      <formula>HLOOKUP(CaseName,CaseData,ROW(),FALSE)&lt;&gt;""</formula>
    </cfRule>
    <cfRule type="expression" dxfId="71" priority="813" stopIfTrue="1">
      <formula>ISNUMBER(J7)</formula>
    </cfRule>
  </conditionalFormatting>
  <conditionalFormatting sqref="J8">
    <cfRule type="expression" dxfId="70" priority="10" stopIfTrue="1">
      <formula>HLOOKUP(CaseName,CaseData,ROW()-2,FALSE)&lt;&gt;""</formula>
    </cfRule>
  </conditionalFormatting>
  <conditionalFormatting sqref="J10">
    <cfRule type="expression" dxfId="69" priority="8" stopIfTrue="1">
      <formula>HLOOKUP(CaseName,CaseData,ROW()-2,FALSE)&lt;&gt;""</formula>
    </cfRule>
  </conditionalFormatting>
  <conditionalFormatting sqref="J14:J16">
    <cfRule type="expression" dxfId="68" priority="34" stopIfTrue="1">
      <formula>HLOOKUP(CaseName,CaseData,ROW()-2,FALSE)&lt;&gt;""</formula>
    </cfRule>
  </conditionalFormatting>
  <conditionalFormatting sqref="J21:J40">
    <cfRule type="expression" dxfId="67" priority="31" stopIfTrue="1">
      <formula>HLOOKUP(CaseName,CaseData,ROW()-2,FALSE)&lt;&gt;""</formula>
    </cfRule>
  </conditionalFormatting>
  <conditionalFormatting sqref="J44:J74 J129:J156 J159:J185 J213:J222 J226:J254 J259:J284 J287:J314 J317:J354 J357:J367 J372:J402">
    <cfRule type="expression" dxfId="66" priority="7" stopIfTrue="1">
      <formula>HLOOKUP(CaseName,CaseData,ROW()-2,FALSE)&lt;&gt;""</formula>
    </cfRule>
  </conditionalFormatting>
  <conditionalFormatting sqref="J78:J87">
    <cfRule type="expression" dxfId="65" priority="21" stopIfTrue="1">
      <formula>HLOOKUP(CaseName,CaseData,ROW()-1,FALSE)&lt;&gt;""</formula>
    </cfRule>
  </conditionalFormatting>
  <conditionalFormatting sqref="J78:J124">
    <cfRule type="expression" dxfId="64" priority="2" stopIfTrue="1">
      <formula>HLOOKUP(CaseName,CaseData,ROW()-2,FALSE)&lt;&gt;""</formula>
    </cfRule>
  </conditionalFormatting>
  <conditionalFormatting sqref="J126:J127">
    <cfRule type="expression" dxfId="63" priority="80" stopIfTrue="1">
      <formula>HLOOKUP(CaseName,CaseData,ROW()-2,FALSE)&lt;&gt;""</formula>
    </cfRule>
  </conditionalFormatting>
  <conditionalFormatting sqref="J127">
    <cfRule type="expression" dxfId="62" priority="319" stopIfTrue="1">
      <formula>HLOOKUP(ScenarioName,ScenarioData,ROW()-65,FALSE)&lt;&gt;""</formula>
    </cfRule>
  </conditionalFormatting>
  <conditionalFormatting sqref="J136 J144 J148 J152">
    <cfRule type="expression" dxfId="61" priority="148" stopIfTrue="1">
      <formula>HLOOKUP(ScenarioName,ScenarioData,ROW()-67,FALSE)&lt;&gt;""</formula>
    </cfRule>
  </conditionalFormatting>
  <conditionalFormatting sqref="J136:J152">
    <cfRule type="expression" dxfId="60" priority="49" stopIfTrue="1">
      <formula>HLOOKUP(CaseName,CaseData,ROW()-3,FALSE)&lt;&gt;""</formula>
    </cfRule>
  </conditionalFormatting>
  <conditionalFormatting sqref="J137:J143 J145:J147 J149:J151 J129:J135 J153:J155 J225">
    <cfRule type="expression" dxfId="59" priority="66" stopIfTrue="1">
      <formula>HLOOKUP(ScenarioName,ScenarioData,ROW()-111,FALSE)&lt;&gt;""</formula>
    </cfRule>
  </conditionalFormatting>
  <conditionalFormatting sqref="J162:J168">
    <cfRule type="expression" dxfId="58" priority="115">
      <formula>HLOOKUP(CaseName,CaseData,ROW()-2,FALSE)&lt;&gt;""</formula>
    </cfRule>
  </conditionalFormatting>
  <conditionalFormatting sqref="J170:J185">
    <cfRule type="expression" dxfId="57" priority="114">
      <formula>HLOOKUP(CaseName,CaseData,ROW()-2,FALSE)&lt;&gt;""</formula>
    </cfRule>
  </conditionalFormatting>
  <conditionalFormatting sqref="J190">
    <cfRule type="cellIs" dxfId="56" priority="1" operator="equal">
      <formula>0</formula>
    </cfRule>
  </conditionalFormatting>
  <conditionalFormatting sqref="J228:J254 J259:J314">
    <cfRule type="expression" dxfId="55" priority="65" stopIfTrue="1">
      <formula>HLOOKUP(ScenarioName,ScenarioData,ROW()-180,FALSE)&lt;&gt;""</formula>
    </cfRule>
  </conditionalFormatting>
  <conditionalFormatting sqref="J236:J242">
    <cfRule type="expression" dxfId="54" priority="61" stopIfTrue="1">
      <formula>HLOOKUP(CaseName,CaseData,ROW()-3,FALSE)&lt;&gt;""</formula>
    </cfRule>
  </conditionalFormatting>
  <conditionalFormatting sqref="J244:J246">
    <cfRule type="expression" dxfId="53" priority="57" stopIfTrue="1">
      <formula>HLOOKUP(CaseName,CaseData,ROW()-3,FALSE)&lt;&gt;""</formula>
    </cfRule>
  </conditionalFormatting>
  <conditionalFormatting sqref="J248:J250">
    <cfRule type="expression" dxfId="52" priority="55" stopIfTrue="1">
      <formula>HLOOKUP(CaseName,CaseData,ROW()-3,FALSE)&lt;&gt;""</formula>
    </cfRule>
  </conditionalFormatting>
  <conditionalFormatting sqref="J252:J254">
    <cfRule type="expression" dxfId="51" priority="53" stopIfTrue="1">
      <formula>HLOOKUP(CaseName,CaseData,ROW()-3,FALSE)&lt;&gt;""</formula>
    </cfRule>
  </conditionalFormatting>
  <conditionalFormatting sqref="J259:J284">
    <cfRule type="expression" dxfId="50" priority="45" stopIfTrue="1">
      <formula>HLOOKUP(CaseName,CaseData,ROW()-3,FALSE)&lt;&gt;""</formula>
    </cfRule>
  </conditionalFormatting>
  <conditionalFormatting sqref="J287:J314">
    <cfRule type="expression" dxfId="49" priority="43" stopIfTrue="1">
      <formula>HLOOKUP(CaseName,CaseData,ROW()-3,FALSE)&lt;&gt;""</formula>
    </cfRule>
  </conditionalFormatting>
  <conditionalFormatting sqref="J370">
    <cfRule type="expression" dxfId="47" priority="90" stopIfTrue="1">
      <formula>HLOOKUP(CaseName,CaseData,ROW()-2,FALSE)&lt;&gt;""</formula>
    </cfRule>
  </conditionalFormatting>
  <conditionalFormatting sqref="Q275:Q277">
    <cfRule type="cellIs" dxfId="46" priority="17" stopIfTrue="1" operator="greaterThanOrEqual">
      <formula>0.0000000001</formula>
    </cfRule>
  </conditionalFormatting>
  <dataValidations count="4">
    <dataValidation type="list" allowBlank="1" showInputMessage="1" showErrorMessage="1" sqref="I159" xr:uid="{00000000-0002-0000-0300-000000000000}">
      <formula1>$C$187:$C$209</formula1>
    </dataValidation>
    <dataValidation type="list" allowBlank="1" showInputMessage="1" showErrorMessage="1" sqref="H8" xr:uid="{00000000-0002-0000-0300-000001000000}">
      <formula1>ScenarioNames</formula1>
    </dataValidation>
    <dataValidation type="list" allowBlank="1" showInputMessage="1" showErrorMessage="1" sqref="H10" xr:uid="{00000000-0002-0000-0300-000002000000}">
      <formula1>CaseNames</formula1>
    </dataValidation>
    <dataValidation type="list" allowBlank="1" showInputMessage="1" showErrorMessage="1" sqref="H5" xr:uid="{00000000-0002-0000-0300-000003000000}">
      <formula1>ChemNames</formula1>
    </dataValidation>
  </dataValidations>
  <pageMargins left="0.75" right="0.75" top="1" bottom="1" header="0.5" footer="0.5"/>
  <pageSetup paperSize="9" orientation="portrait" horizontalDpi="360" r:id="rId1"/>
  <headerFooter alignWithMargins="0"/>
  <extLst>
    <ext xmlns:x14="http://schemas.microsoft.com/office/spreadsheetml/2009/9/main" uri="{78C0D931-6437-407d-A8EE-F0AAD7539E65}">
      <x14:conditionalFormattings>
        <x14:conditionalFormatting xmlns:xm="http://schemas.microsoft.com/office/excel/2006/main">
          <x14:cfRule type="expression" priority="40" stopIfTrue="1" id="{673761FD-881A-4890-9FE7-0E4290249DEB}">
            <xm:f>HLOOKUP(ScenarioName,ScenarioData,MATCH($G338,scenarios!$G$3:$G$224,0),FALSE)&lt;&gt;""</xm:f>
            <x14:dxf>
              <font>
                <color rgb="FF008000"/>
              </font>
              <numFmt numFmtId="15" formatCode="0.00E+00"/>
            </x14:dxf>
          </x14:cfRule>
          <xm:sqref>J338:J355</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syncVertical="1" syncRef="A1" transitionEvaluation="1" transitionEntry="1" codeName="Sheet2"/>
  <dimension ref="A1:S559"/>
  <sheetViews>
    <sheetView zoomScaleNormal="100" workbookViewId="0"/>
  </sheetViews>
  <sheetFormatPr defaultColWidth="10.6640625" defaultRowHeight="12.75" customHeight="1" x14ac:dyDescent="0.3"/>
  <cols>
    <col min="1" max="5" width="1.6640625" style="778" customWidth="1" collapsed="1"/>
    <col min="6" max="6" width="52.44140625" style="778" customWidth="1" collapsed="1"/>
    <col min="7" max="7" width="20.44140625" style="779" bestFit="1" customWidth="1" collapsed="1"/>
    <col min="8" max="8" width="10.6640625" style="779" customWidth="1" collapsed="1"/>
    <col min="9" max="9" width="9.109375" style="778" customWidth="1" collapsed="1"/>
    <col min="10" max="10" width="9.109375" style="230" customWidth="1" collapsed="1"/>
    <col min="11" max="11" width="10.109375" style="780" customWidth="1" collapsed="1"/>
    <col min="12" max="12" width="9.5546875" style="781" customWidth="1" collapsed="1"/>
    <col min="13" max="13" width="9.109375" style="778" customWidth="1" collapsed="1"/>
    <col min="14" max="14" width="24.5546875" style="778" customWidth="1" collapsed="1"/>
    <col min="15" max="15" width="34" style="782" customWidth="1" collapsed="1"/>
    <col min="16" max="16" width="20.44140625" style="778" bestFit="1" customWidth="1" collapsed="1"/>
    <col min="17" max="17" width="11.44140625" style="778" bestFit="1" customWidth="1" collapsed="1"/>
    <col min="18" max="18" width="10.6640625" style="778" collapsed="1"/>
    <col min="19" max="19" width="10.6640625" style="778"/>
    <col min="20" max="20" width="19.5546875" style="778" customWidth="1" collapsed="1"/>
    <col min="21" max="16384" width="10.6640625" style="778" collapsed="1"/>
  </cols>
  <sheetData>
    <row r="1" spans="1:16" ht="12.75" customHeight="1" x14ac:dyDescent="0.3">
      <c r="A1" s="97" t="s">
        <v>946</v>
      </c>
    </row>
    <row r="2" spans="1:16" ht="12.75" customHeight="1" x14ac:dyDescent="0.3">
      <c r="M2" s="783"/>
    </row>
    <row r="3" spans="1:16" s="784" customFormat="1" ht="12.75" customHeight="1" x14ac:dyDescent="0.3">
      <c r="A3" s="784" t="s">
        <v>947</v>
      </c>
      <c r="G3" s="785" t="s">
        <v>258</v>
      </c>
      <c r="H3" s="785" t="s">
        <v>274</v>
      </c>
      <c r="I3" s="784" t="s">
        <v>259</v>
      </c>
      <c r="J3" s="526" t="s">
        <v>275</v>
      </c>
      <c r="K3" s="786" t="s">
        <v>260</v>
      </c>
      <c r="L3" s="787" t="s">
        <v>261</v>
      </c>
      <c r="N3" s="785" t="s">
        <v>262</v>
      </c>
      <c r="O3" s="788" t="s">
        <v>263</v>
      </c>
      <c r="P3" s="784" t="s">
        <v>264</v>
      </c>
    </row>
    <row r="4" spans="1:16" ht="12.75" customHeight="1" x14ac:dyDescent="0.3">
      <c r="J4" s="230" t="str">
        <f>IF(HLOOKUP(CaseName,CaseData,ROW()+137,FALSE)="","",HLOOKUP(CaseName,CaseData,ROW()+137,FALSE))</f>
        <v/>
      </c>
    </row>
    <row r="5" spans="1:16" ht="12.75" customHeight="1" x14ac:dyDescent="0.3">
      <c r="A5" s="789" t="s">
        <v>948</v>
      </c>
      <c r="B5" s="790"/>
      <c r="C5" s="790"/>
      <c r="D5" s="790"/>
      <c r="E5" s="790"/>
      <c r="F5" s="790"/>
      <c r="G5" s="789" t="s">
        <v>949</v>
      </c>
      <c r="H5" s="789" t="s">
        <v>4683</v>
      </c>
      <c r="I5" s="791"/>
      <c r="J5" s="792" t="str">
        <f>IF(ISBLANK(HLOOKUP(CaseName,CaseData,MATCH($G5,cases!$G$4:$G$2494,0),FALSE)),"",HLOOKUP(CaseName,CaseData,MATCH($G5,cases!$G$4:$G$2494,0),FALSE))</f>
        <v/>
      </c>
      <c r="K5" s="793">
        <f>L16*L23*(1-L33)</f>
        <v>229569931129000</v>
      </c>
      <c r="L5" s="794">
        <f t="shared" ref="L5:L15" si="0">IF(ISBLANK(I5),IF(ISNUMBER(J5)=FALSE,K5,J5),I5)</f>
        <v>229569931129000</v>
      </c>
      <c r="M5" s="789" t="s">
        <v>951</v>
      </c>
      <c r="N5" s="790" t="s">
        <v>952</v>
      </c>
      <c r="O5" s="795"/>
      <c r="P5" s="790"/>
    </row>
    <row r="6" spans="1:16" ht="12.75" customHeight="1" x14ac:dyDescent="0.3">
      <c r="A6" s="796" t="s">
        <v>953</v>
      </c>
      <c r="B6" s="797"/>
      <c r="C6" s="797"/>
      <c r="D6" s="797"/>
      <c r="E6" s="797"/>
      <c r="F6" s="797"/>
      <c r="G6" s="796" t="s">
        <v>954</v>
      </c>
      <c r="H6" s="796" t="s">
        <v>4683</v>
      </c>
      <c r="I6" s="791"/>
      <c r="J6" s="792" t="str">
        <f>IF(ISBLANK(HLOOKUP(CaseName,CaseData,MATCH($G6,cases!$G$4:$G$2494,0),FALSE)),"",HLOOKUP(CaseName,CaseData,MATCH($G6,cases!$G$4:$G$2494,0),FALSE))</f>
        <v/>
      </c>
      <c r="K6" s="798">
        <f>L33*L5</f>
        <v>68870979.338699996</v>
      </c>
      <c r="L6" s="794">
        <f t="shared" si="0"/>
        <v>68870979.338699996</v>
      </c>
      <c r="M6" s="796" t="s">
        <v>951</v>
      </c>
      <c r="N6" s="797"/>
      <c r="O6" s="799"/>
      <c r="P6" s="797"/>
    </row>
    <row r="7" spans="1:16" ht="12.75" customHeight="1" x14ac:dyDescent="0.3">
      <c r="A7" s="789" t="s">
        <v>955</v>
      </c>
      <c r="B7" s="790"/>
      <c r="C7" s="790"/>
      <c r="D7" s="790"/>
      <c r="E7" s="790"/>
      <c r="F7" s="790"/>
      <c r="G7" s="789" t="s">
        <v>956</v>
      </c>
      <c r="H7" s="789" t="s">
        <v>4683</v>
      </c>
      <c r="I7" s="791"/>
      <c r="J7" s="792" t="str">
        <f>IF(ISBLANK(HLOOKUP(CaseName,CaseData,MATCH($G7,cases!$G$4:$G$2494,0),FALSE)),"",HLOOKUP(CaseName,CaseData,MATCH($G7,cases!$G$4:$G$2494,0),FALSE))</f>
        <v/>
      </c>
      <c r="K7" s="793">
        <f>L16*L17*L24</f>
        <v>57142500000</v>
      </c>
      <c r="L7" s="794">
        <f t="shared" si="0"/>
        <v>57142500000</v>
      </c>
      <c r="M7" s="789" t="s">
        <v>951</v>
      </c>
      <c r="N7" s="790" t="s">
        <v>722</v>
      </c>
      <c r="O7" s="795"/>
      <c r="P7" s="790"/>
    </row>
    <row r="8" spans="1:16" ht="12.75" customHeight="1" x14ac:dyDescent="0.3">
      <c r="A8" s="789" t="s">
        <v>957</v>
      </c>
      <c r="B8" s="790"/>
      <c r="C8" s="790"/>
      <c r="D8" s="790"/>
      <c r="E8" s="790"/>
      <c r="F8" s="790"/>
      <c r="G8" s="789" t="s">
        <v>958</v>
      </c>
      <c r="H8" s="789" t="s">
        <v>4683</v>
      </c>
      <c r="I8" s="791"/>
      <c r="J8" s="792" t="str">
        <f>IF(ISBLANK(HLOOKUP(CaseName,CaseData,MATCH($G8,cases!$G$4:$G$2494,0),FALSE)),"",HLOOKUP(CaseName,CaseData,MATCH($G8,cases!$G$4:$G$2494,0),FALSE))</f>
        <v/>
      </c>
      <c r="K8" s="793">
        <f>L16*L18*L25</f>
        <v>18857025000</v>
      </c>
      <c r="L8" s="794">
        <f t="shared" si="0"/>
        <v>18857025000</v>
      </c>
      <c r="M8" s="789" t="s">
        <v>951</v>
      </c>
      <c r="N8" s="790"/>
      <c r="O8" s="795"/>
      <c r="P8" s="790"/>
    </row>
    <row r="9" spans="1:16" ht="12.75" customHeight="1" x14ac:dyDescent="0.3">
      <c r="A9" s="789" t="s">
        <v>959</v>
      </c>
      <c r="B9" s="790"/>
      <c r="C9" s="790"/>
      <c r="D9" s="790"/>
      <c r="E9" s="790"/>
      <c r="F9" s="790"/>
      <c r="G9" s="789" t="s">
        <v>960</v>
      </c>
      <c r="H9" s="789" t="s">
        <v>4683</v>
      </c>
      <c r="I9" s="791"/>
      <c r="J9" s="792" t="str">
        <f>IF(ISBLANK(HLOOKUP(CaseName,CaseData,MATCH($G9,cases!$G$4:$G$2494,0),FALSE)),"",HLOOKUP(CaseName,CaseData,MATCH($G9,cases!$G$4:$G$2494,0),FALSE))</f>
        <v/>
      </c>
      <c r="K9" s="793">
        <f>L16*L22*L26</f>
        <v>10000000000.000011</v>
      </c>
      <c r="L9" s="794">
        <f t="shared" si="0"/>
        <v>10000000000.000011</v>
      </c>
      <c r="M9" s="789" t="s">
        <v>951</v>
      </c>
      <c r="N9" s="790"/>
      <c r="O9" s="795"/>
      <c r="P9" s="790"/>
    </row>
    <row r="10" spans="1:16" ht="12.75" customHeight="1" x14ac:dyDescent="0.3">
      <c r="A10" s="796" t="s">
        <v>961</v>
      </c>
      <c r="B10" s="797"/>
      <c r="C10" s="797"/>
      <c r="D10" s="797"/>
      <c r="E10" s="797"/>
      <c r="F10" s="797"/>
      <c r="G10" s="796" t="s">
        <v>962</v>
      </c>
      <c r="H10" s="796" t="s">
        <v>4683</v>
      </c>
      <c r="I10" s="791"/>
      <c r="J10" s="792" t="str">
        <f>IF(ISBLANK(HLOOKUP(CaseName,CaseData,MATCH($G10,cases!$G$4:$G$2494,0),FALSE)),"",HLOOKUP(CaseName,CaseData,MATCH($G10,cases!$G$4:$G$2494,0),FALSE))</f>
        <v/>
      </c>
      <c r="K10" s="798">
        <f>L16*L17*L27</f>
        <v>17142750</v>
      </c>
      <c r="L10" s="794">
        <f t="shared" si="0"/>
        <v>17142750</v>
      </c>
      <c r="M10" s="796" t="s">
        <v>951</v>
      </c>
      <c r="N10" s="797"/>
      <c r="O10" s="799"/>
      <c r="P10" s="797"/>
    </row>
    <row r="11" spans="1:16" ht="12.75" customHeight="1" x14ac:dyDescent="0.3">
      <c r="A11" s="789" t="s">
        <v>963</v>
      </c>
      <c r="B11" s="790"/>
      <c r="C11" s="790"/>
      <c r="D11" s="790"/>
      <c r="E11" s="790"/>
      <c r="F11" s="790"/>
      <c r="G11" s="789" t="s">
        <v>964</v>
      </c>
      <c r="H11" s="789" t="s">
        <v>4683</v>
      </c>
      <c r="I11" s="791"/>
      <c r="J11" s="792" t="str">
        <f>IF(ISBLANK(HLOOKUP(CaseName,CaseData,MATCH($G11,cases!$G$4:$G$2494,0),FALSE)),"",HLOOKUP(CaseName,CaseData,MATCH($G11,cases!$G$4:$G$2494,0),FALSE))</f>
        <v/>
      </c>
      <c r="K11" s="793">
        <f>L16*L18*L28</f>
        <v>188570250</v>
      </c>
      <c r="L11" s="794">
        <f t="shared" si="0"/>
        <v>188570250</v>
      </c>
      <c r="M11" s="789" t="s">
        <v>951</v>
      </c>
      <c r="N11" s="790"/>
      <c r="O11" s="795"/>
      <c r="P11" s="790"/>
    </row>
    <row r="12" spans="1:16" ht="12.75" customHeight="1" x14ac:dyDescent="0.3">
      <c r="A12" s="789" t="s">
        <v>965</v>
      </c>
      <c r="B12" s="790"/>
      <c r="C12" s="790"/>
      <c r="D12" s="790"/>
      <c r="E12" s="790"/>
      <c r="F12" s="790"/>
      <c r="G12" s="789" t="s">
        <v>966</v>
      </c>
      <c r="H12" s="789" t="s">
        <v>4683</v>
      </c>
      <c r="I12" s="791"/>
      <c r="J12" s="792" t="str">
        <f>IF(ISBLANK(HLOOKUP(CaseName,CaseData,MATCH($G12,cases!$G$4:$G$2494,0),FALSE)),"",HLOOKUP(CaseName,CaseData,MATCH($G12,cases!$G$4:$G$2494,0),FALSE))</f>
        <v/>
      </c>
      <c r="K12" s="793">
        <f>L16*L22*L29</f>
        <v>30000000.00000003</v>
      </c>
      <c r="L12" s="794">
        <f t="shared" si="0"/>
        <v>30000000.00000003</v>
      </c>
      <c r="M12" s="789" t="s">
        <v>951</v>
      </c>
      <c r="N12" s="790"/>
      <c r="O12" s="795"/>
      <c r="P12" s="790"/>
    </row>
    <row r="13" spans="1:16" ht="12.75" customHeight="1" x14ac:dyDescent="0.3">
      <c r="A13" s="789" t="s">
        <v>967</v>
      </c>
      <c r="B13" s="790"/>
      <c r="C13" s="790"/>
      <c r="D13" s="790"/>
      <c r="E13" s="790"/>
      <c r="F13" s="790"/>
      <c r="G13" s="789" t="s">
        <v>968</v>
      </c>
      <c r="H13" s="789" t="s">
        <v>4683</v>
      </c>
      <c r="I13" s="800"/>
      <c r="J13" s="792" t="str">
        <f>IF(ISBLANK(HLOOKUP(CaseName,CaseData,MATCH($G13,cases!$G$4:$G$2494,0),FALSE)),"",HLOOKUP(CaseName,CaseData,MATCH($G13,cases!$G$4:$G$2494,0),FALSE))</f>
        <v/>
      </c>
      <c r="K13" s="793">
        <f>L16*L19*L30</f>
        <v>3085695000.0000005</v>
      </c>
      <c r="L13" s="794">
        <f t="shared" si="0"/>
        <v>3085695000.0000005</v>
      </c>
      <c r="M13" s="789" t="s">
        <v>951</v>
      </c>
      <c r="N13" s="790"/>
      <c r="O13" s="795"/>
      <c r="P13" s="790"/>
    </row>
    <row r="14" spans="1:16" ht="12.75" customHeight="1" x14ac:dyDescent="0.3">
      <c r="A14" s="789" t="s">
        <v>969</v>
      </c>
      <c r="B14" s="790"/>
      <c r="C14" s="790"/>
      <c r="D14" s="790"/>
      <c r="E14" s="790"/>
      <c r="F14" s="790"/>
      <c r="G14" s="789" t="s">
        <v>970</v>
      </c>
      <c r="H14" s="789" t="s">
        <v>4683</v>
      </c>
      <c r="I14" s="791"/>
      <c r="J14" s="792" t="str">
        <f>IF(ISBLANK(HLOOKUP(CaseName,CaseData,MATCH($G14,cases!$G$4:$G$2494,0),FALSE)),"",HLOOKUP(CaseName,CaseData,MATCH($G14,cases!$G$4:$G$2494,0),FALSE))</f>
        <v/>
      </c>
      <c r="K14" s="793">
        <f>L16*L20*L31</f>
        <v>27428400000</v>
      </c>
      <c r="L14" s="794">
        <f t="shared" si="0"/>
        <v>27428400000</v>
      </c>
      <c r="M14" s="789" t="s">
        <v>951</v>
      </c>
      <c r="N14" s="790"/>
      <c r="O14" s="795"/>
      <c r="P14" s="790"/>
    </row>
    <row r="15" spans="1:16" ht="12.75" customHeight="1" x14ac:dyDescent="0.3">
      <c r="A15" s="789" t="s">
        <v>971</v>
      </c>
      <c r="B15" s="790"/>
      <c r="C15" s="790"/>
      <c r="D15" s="790"/>
      <c r="E15" s="790"/>
      <c r="F15" s="790"/>
      <c r="G15" s="789" t="s">
        <v>972</v>
      </c>
      <c r="H15" s="789" t="s">
        <v>4683</v>
      </c>
      <c r="I15" s="791"/>
      <c r="J15" s="792" t="str">
        <f>IF(ISBLANK(HLOOKUP(CaseName,CaseData,MATCH($G15,cases!$G$4:$G$2494,0),FALSE)),"",HLOOKUP(CaseName,CaseData,MATCH($G15,cases!$G$4:$G$2494,0),FALSE))</f>
        <v/>
      </c>
      <c r="K15" s="793">
        <f>L16*L21*L32</f>
        <v>1142850000</v>
      </c>
      <c r="L15" s="794">
        <f t="shared" si="0"/>
        <v>1142850000</v>
      </c>
      <c r="M15" s="789" t="s">
        <v>951</v>
      </c>
      <c r="N15" s="790"/>
      <c r="O15" s="795"/>
      <c r="P15" s="790"/>
    </row>
    <row r="16" spans="1:16" ht="12.75" customHeight="1" x14ac:dyDescent="0.3">
      <c r="A16" s="789"/>
      <c r="B16" s="789" t="s">
        <v>973</v>
      </c>
      <c r="C16" s="790"/>
      <c r="D16" s="790"/>
      <c r="E16" s="790"/>
      <c r="F16" s="790"/>
      <c r="G16" s="789" t="s">
        <v>974</v>
      </c>
      <c r="H16" s="789" t="s">
        <v>4684</v>
      </c>
      <c r="I16" s="800"/>
      <c r="J16" s="792" t="str">
        <f>IF(ISBLANK(HLOOKUP(CaseName,CaseData,MATCH($G16,cases!$G$4:$G$2494,0),FALSE)),"",HLOOKUP(CaseName,CaseData,MATCH($G16,cases!$G$4:$G$2494,0),FALSE))</f>
        <v/>
      </c>
      <c r="K16" s="793">
        <f>(AREAland.R+AREAsea.R)/1000000</f>
        <v>229570</v>
      </c>
      <c r="L16" s="794">
        <f>IF(ISBLANK(I16),IF(ISNUMBER(J16)=FALSE,K16*1000000,J16*1000000),I16*1000000)</f>
        <v>229570000000</v>
      </c>
      <c r="M16" s="789" t="s">
        <v>673</v>
      </c>
      <c r="N16" s="790"/>
      <c r="O16" s="795"/>
      <c r="P16" s="790"/>
    </row>
    <row r="17" spans="1:16" ht="12.75" customHeight="1" x14ac:dyDescent="0.3">
      <c r="A17" s="789"/>
      <c r="B17" s="789" t="s">
        <v>975</v>
      </c>
      <c r="C17" s="790"/>
      <c r="D17" s="790"/>
      <c r="E17" s="790"/>
      <c r="F17" s="790"/>
      <c r="G17" s="801" t="s">
        <v>976</v>
      </c>
      <c r="H17" s="789" t="s">
        <v>291</v>
      </c>
      <c r="I17" s="791"/>
      <c r="J17" s="792" t="str">
        <f>IF(ISBLANK(HLOOKUP(CaseName,CaseData,MATCH($G17,cases!$G$4:$G$2494,0),FALSE)),"",HLOOKUP(CaseName,CaseData,MATCH($G17,cases!$G$4:$G$2494,0),FALSE))</f>
        <v/>
      </c>
      <c r="K17" s="793">
        <f>AREAland.R*FRAClake.R/L16</f>
        <v>2.4891100753582783E-3</v>
      </c>
      <c r="L17" s="794">
        <f t="shared" ref="L17:L26" si="1">IF(ISBLANK(I17),IF(ISNUMBER(J17)=FALSE,K17,J17),I17)</f>
        <v>2.4891100753582783E-3</v>
      </c>
      <c r="M17" s="790" t="s">
        <v>292</v>
      </c>
      <c r="N17" s="790" t="s">
        <v>722</v>
      </c>
      <c r="O17" s="795"/>
      <c r="P17" s="790"/>
    </row>
    <row r="18" spans="1:16" ht="12.75" customHeight="1" x14ac:dyDescent="0.3">
      <c r="A18" s="789"/>
      <c r="B18" s="789" t="s">
        <v>977</v>
      </c>
      <c r="C18" s="790"/>
      <c r="D18" s="790"/>
      <c r="E18" s="790"/>
      <c r="F18" s="790"/>
      <c r="G18" s="801" t="s">
        <v>978</v>
      </c>
      <c r="H18" s="789" t="s">
        <v>291</v>
      </c>
      <c r="I18" s="791"/>
      <c r="J18" s="792" t="str">
        <f>IF(ISBLANK(HLOOKUP(CaseName,CaseData,MATCH($G18,cases!$G$4:$G$2494,0),FALSE)),"",HLOOKUP(CaseName,CaseData,MATCH($G18,cases!$G$4:$G$2494,0),FALSE))</f>
        <v/>
      </c>
      <c r="K18" s="793">
        <f>AREAland.R*FRACfresh.R/L16</f>
        <v>2.7380210828941064E-2</v>
      </c>
      <c r="L18" s="794">
        <f t="shared" si="1"/>
        <v>2.7380210828941064E-2</v>
      </c>
      <c r="M18" s="790" t="s">
        <v>292</v>
      </c>
      <c r="N18" s="790"/>
      <c r="O18" s="795"/>
      <c r="P18" s="790"/>
    </row>
    <row r="19" spans="1:16" ht="12.75" customHeight="1" x14ac:dyDescent="0.3">
      <c r="A19" s="789"/>
      <c r="B19" s="789" t="s">
        <v>979</v>
      </c>
      <c r="C19" s="790"/>
      <c r="D19" s="790"/>
      <c r="E19" s="790"/>
      <c r="F19" s="790"/>
      <c r="G19" s="801" t="s">
        <v>980</v>
      </c>
      <c r="H19" s="789" t="s">
        <v>291</v>
      </c>
      <c r="I19" s="791"/>
      <c r="J19" s="792" t="str">
        <f>IF(ISBLANK(HLOOKUP(CaseName,CaseData,MATCH($G19,cases!$G$4:$G$2494,0),FALSE)),"",HLOOKUP(CaseName,CaseData,MATCH($G19,cases!$G$4:$G$2494,0),FALSE))</f>
        <v/>
      </c>
      <c r="K19" s="793">
        <f>AREAland.R*FRACnatsoil.R/L16</f>
        <v>0.26882388813869412</v>
      </c>
      <c r="L19" s="794">
        <f t="shared" si="1"/>
        <v>0.26882388813869412</v>
      </c>
      <c r="M19" s="790" t="s">
        <v>292</v>
      </c>
      <c r="N19" s="790"/>
      <c r="O19" s="795"/>
      <c r="P19" s="790"/>
    </row>
    <row r="20" spans="1:16" ht="12.75" customHeight="1" x14ac:dyDescent="0.3">
      <c r="A20" s="789"/>
      <c r="B20" s="789" t="s">
        <v>981</v>
      </c>
      <c r="C20" s="790"/>
      <c r="D20" s="790"/>
      <c r="E20" s="790"/>
      <c r="F20" s="790"/>
      <c r="G20" s="801" t="s">
        <v>982</v>
      </c>
      <c r="H20" s="789" t="s">
        <v>291</v>
      </c>
      <c r="I20" s="791"/>
      <c r="J20" s="792" t="str">
        <f>IF(ISBLANK(HLOOKUP(CaseName,CaseData,MATCH($G20,cases!$G$4:$G$2494,0),FALSE)),"",HLOOKUP(CaseName,CaseData,MATCH($G20,cases!$G$4:$G$2494,0),FALSE))</f>
        <v/>
      </c>
      <c r="K20" s="793">
        <f>AREAland.R*FRACagsoil.R/L16</f>
        <v>0.5973864180859868</v>
      </c>
      <c r="L20" s="794">
        <f t="shared" si="1"/>
        <v>0.5973864180859868</v>
      </c>
      <c r="M20" s="790" t="s">
        <v>292</v>
      </c>
      <c r="N20" s="790"/>
      <c r="O20" s="795"/>
      <c r="P20" s="790"/>
    </row>
    <row r="21" spans="1:16" ht="12.75" customHeight="1" x14ac:dyDescent="0.3">
      <c r="A21" s="789"/>
      <c r="B21" s="789" t="s">
        <v>983</v>
      </c>
      <c r="C21" s="790"/>
      <c r="D21" s="790"/>
      <c r="E21" s="790"/>
      <c r="F21" s="790"/>
      <c r="G21" s="801" t="s">
        <v>984</v>
      </c>
      <c r="H21" s="789" t="s">
        <v>291</v>
      </c>
      <c r="I21" s="791"/>
      <c r="J21" s="792" t="str">
        <f>IF(ISBLANK(HLOOKUP(CaseName,CaseData,MATCH($G21,cases!$G$4:$G$2494,0),FALSE)),"",HLOOKUP(CaseName,CaseData,MATCH($G21,cases!$G$4:$G$2494,0),FALSE))</f>
        <v/>
      </c>
      <c r="K21" s="793">
        <f>AREAland.R*FRACothersoil.R/L16</f>
        <v>9.9564403014331143E-2</v>
      </c>
      <c r="L21" s="794">
        <f t="shared" si="1"/>
        <v>9.9564403014331143E-2</v>
      </c>
      <c r="M21" s="790" t="s">
        <v>292</v>
      </c>
      <c r="N21" s="790"/>
      <c r="O21" s="795"/>
      <c r="P21" s="790"/>
    </row>
    <row r="22" spans="1:16" ht="12.75" customHeight="1" x14ac:dyDescent="0.3">
      <c r="A22" s="789"/>
      <c r="B22" s="789" t="s">
        <v>985</v>
      </c>
      <c r="C22" s="790"/>
      <c r="D22" s="790"/>
      <c r="E22" s="790"/>
      <c r="F22" s="790"/>
      <c r="G22" s="801" t="s">
        <v>986</v>
      </c>
      <c r="H22" s="789" t="s">
        <v>291</v>
      </c>
      <c r="I22" s="791"/>
      <c r="J22" s="792" t="str">
        <f>IF(ISBLANK(HLOOKUP(CaseName,CaseData,MATCH($G22,cases!$G$4:$G$2494,0),FALSE)),"",HLOOKUP(CaseName,CaseData,MATCH($G22,cases!$G$4:$G$2494,0),FALSE))</f>
        <v/>
      </c>
      <c r="K22" s="793">
        <f>1-L17-L18-L19-L20-L21</f>
        <v>4.3559698566885963E-3</v>
      </c>
      <c r="L22" s="794">
        <f t="shared" si="1"/>
        <v>4.3559698566885963E-3</v>
      </c>
      <c r="M22" s="790" t="s">
        <v>292</v>
      </c>
      <c r="N22" s="790"/>
      <c r="O22" s="795"/>
      <c r="P22" s="790"/>
    </row>
    <row r="23" spans="1:16" ht="12.75" customHeight="1" x14ac:dyDescent="0.3">
      <c r="A23" s="789"/>
      <c r="B23" s="790"/>
      <c r="C23" s="789" t="s">
        <v>987</v>
      </c>
      <c r="D23" s="801"/>
      <c r="E23" s="801"/>
      <c r="F23" s="790"/>
      <c r="G23" s="801" t="s">
        <v>988</v>
      </c>
      <c r="H23" s="789" t="s">
        <v>813</v>
      </c>
      <c r="I23" s="800"/>
      <c r="J23" s="792" t="str">
        <f>IF(ISBLANK(HLOOKUP(CaseName,CaseData,MATCH($G23,cases!$G$4:$G$2494,0),FALSE)),"",HLOOKUP(CaseName,CaseData,MATCH($G23,cases!$G$4:$G$2494,0),FALSE))</f>
        <v/>
      </c>
      <c r="K23" s="793">
        <v>1000</v>
      </c>
      <c r="L23" s="794">
        <f t="shared" si="1"/>
        <v>1000</v>
      </c>
      <c r="M23" s="789" t="s">
        <v>279</v>
      </c>
      <c r="N23" s="790"/>
      <c r="O23" s="795"/>
      <c r="P23" s="790"/>
    </row>
    <row r="24" spans="1:16" ht="12.75" customHeight="1" x14ac:dyDescent="0.3">
      <c r="A24" s="789"/>
      <c r="B24" s="790"/>
      <c r="C24" s="789" t="s">
        <v>989</v>
      </c>
      <c r="D24" s="801"/>
      <c r="E24" s="801"/>
      <c r="F24" s="790"/>
      <c r="G24" s="801" t="s">
        <v>990</v>
      </c>
      <c r="H24" s="789" t="s">
        <v>813</v>
      </c>
      <c r="I24" s="791"/>
      <c r="J24" s="792" t="str">
        <f>IF(ISBLANK(HLOOKUP(CaseName,CaseData,MATCH($G24,cases!$G$4:$G$2494,0),FALSE)),"",HLOOKUP(CaseName,CaseData,MATCH($G24,cases!$G$4:$G$2494,0),FALSE))</f>
        <v/>
      </c>
      <c r="K24" s="793">
        <f>DEPTHlake.R</f>
        <v>100</v>
      </c>
      <c r="L24" s="794">
        <f t="shared" si="1"/>
        <v>100</v>
      </c>
      <c r="M24" s="789" t="s">
        <v>279</v>
      </c>
      <c r="N24" s="790" t="s">
        <v>722</v>
      </c>
      <c r="O24" s="795"/>
      <c r="P24" s="790"/>
    </row>
    <row r="25" spans="1:16" ht="12.75" customHeight="1" x14ac:dyDescent="0.3">
      <c r="A25" s="789"/>
      <c r="B25" s="790"/>
      <c r="C25" s="789" t="s">
        <v>991</v>
      </c>
      <c r="D25" s="801"/>
      <c r="E25" s="801"/>
      <c r="F25" s="790"/>
      <c r="G25" s="801" t="s">
        <v>992</v>
      </c>
      <c r="H25" s="789" t="s">
        <v>813</v>
      </c>
      <c r="I25" s="791"/>
      <c r="J25" s="792" t="str">
        <f>IF(ISBLANK(HLOOKUP(CaseName,CaseData,MATCH($G25,cases!$G$4:$G$2494,0),FALSE)),"",HLOOKUP(CaseName,CaseData,MATCH($G25,cases!$G$4:$G$2494,0),FALSE))</f>
        <v/>
      </c>
      <c r="K25" s="793">
        <f>DEPTHfreshwater.R</f>
        <v>3</v>
      </c>
      <c r="L25" s="794">
        <f t="shared" si="1"/>
        <v>3</v>
      </c>
      <c r="M25" s="789" t="s">
        <v>279</v>
      </c>
      <c r="N25" s="790"/>
      <c r="O25" s="795"/>
      <c r="P25" s="790"/>
    </row>
    <row r="26" spans="1:16" ht="12.75" customHeight="1" x14ac:dyDescent="0.3">
      <c r="A26" s="789"/>
      <c r="B26" s="790"/>
      <c r="C26" s="789" t="s">
        <v>993</v>
      </c>
      <c r="D26" s="801"/>
      <c r="E26" s="801"/>
      <c r="F26" s="790"/>
      <c r="G26" s="801" t="s">
        <v>994</v>
      </c>
      <c r="H26" s="789" t="s">
        <v>813</v>
      </c>
      <c r="I26" s="791"/>
      <c r="J26" s="792" t="str">
        <f>IF(ISBLANK(HLOOKUP(CaseName,CaseData,MATCH($G26,cases!$G$4:$G$2494,0),FALSE)),"",HLOOKUP(CaseName,CaseData,MATCH($G26,cases!$G$4:$G$2494,0),FALSE))</f>
        <v/>
      </c>
      <c r="K26" s="793">
        <v>10</v>
      </c>
      <c r="L26" s="794">
        <f t="shared" si="1"/>
        <v>10</v>
      </c>
      <c r="M26" s="789" t="s">
        <v>279</v>
      </c>
      <c r="N26" s="790"/>
      <c r="O26" s="795"/>
      <c r="P26" s="790"/>
    </row>
    <row r="27" spans="1:16" ht="12.75" customHeight="1" x14ac:dyDescent="0.3">
      <c r="A27" s="796"/>
      <c r="B27" s="797"/>
      <c r="C27" s="796" t="s">
        <v>995</v>
      </c>
      <c r="D27" s="802"/>
      <c r="E27" s="802"/>
      <c r="F27" s="797"/>
      <c r="G27" s="802" t="s">
        <v>996</v>
      </c>
      <c r="H27" s="796" t="s">
        <v>997</v>
      </c>
      <c r="I27" s="791"/>
      <c r="J27" s="792" t="str">
        <f>IF(ISBLANK(HLOOKUP(CaseName,CaseData,MATCH($G27,cases!$G$4:$G$2494,0),FALSE)),"",HLOOKUP(CaseName,CaseData,MATCH($G27,cases!$G$4:$G$2494,0),FALSE))</f>
        <v/>
      </c>
      <c r="K27" s="798">
        <v>3</v>
      </c>
      <c r="L27" s="794">
        <f>IF(ISBLANK(I27),IF(ISNUMBER(J27)=FALSE,K27/100,J27/100),I27/100)</f>
        <v>0.03</v>
      </c>
      <c r="M27" s="796" t="s">
        <v>279</v>
      </c>
      <c r="N27" s="797"/>
      <c r="O27" s="799"/>
      <c r="P27" s="797"/>
    </row>
    <row r="28" spans="1:16" ht="12.75" customHeight="1" x14ac:dyDescent="0.3">
      <c r="A28" s="789"/>
      <c r="B28" s="790"/>
      <c r="C28" s="789" t="s">
        <v>998</v>
      </c>
      <c r="D28" s="801"/>
      <c r="E28" s="801"/>
      <c r="F28" s="790"/>
      <c r="G28" s="801" t="s">
        <v>999</v>
      </c>
      <c r="H28" s="789" t="s">
        <v>997</v>
      </c>
      <c r="I28" s="791"/>
      <c r="J28" s="792" t="str">
        <f>IF(ISBLANK(HLOOKUP(CaseName,CaseData,MATCH($G28,cases!$G$4:$G$2494,0),FALSE)),"",HLOOKUP(CaseName,CaseData,MATCH($G28,cases!$G$4:$G$2494,0),FALSE))</f>
        <v/>
      </c>
      <c r="K28" s="793">
        <v>3</v>
      </c>
      <c r="L28" s="794">
        <f>IF(ISBLANK(I28),IF(ISNUMBER(J28)=FALSE,K28/100,J28/100),I28/100)</f>
        <v>0.03</v>
      </c>
      <c r="M28" s="790" t="s">
        <v>279</v>
      </c>
      <c r="N28" s="790"/>
      <c r="O28" s="795"/>
      <c r="P28" s="790"/>
    </row>
    <row r="29" spans="1:16" ht="12.75" customHeight="1" x14ac:dyDescent="0.3">
      <c r="A29" s="789"/>
      <c r="B29" s="790"/>
      <c r="C29" s="789" t="s">
        <v>1000</v>
      </c>
      <c r="D29" s="801"/>
      <c r="E29" s="801"/>
      <c r="F29" s="790"/>
      <c r="G29" s="801" t="s">
        <v>1001</v>
      </c>
      <c r="H29" s="789" t="s">
        <v>997</v>
      </c>
      <c r="I29" s="791"/>
      <c r="J29" s="792" t="str">
        <f>IF(ISBLANK(HLOOKUP(CaseName,CaseData,MATCH($G29,cases!$G$4:$G$2494,0),FALSE)),"",HLOOKUP(CaseName,CaseData,MATCH($G29,cases!$G$4:$G$2494,0),FALSE))</f>
        <v/>
      </c>
      <c r="K29" s="793">
        <v>3</v>
      </c>
      <c r="L29" s="794">
        <f>IF(ISBLANK(I29),IF(ISNUMBER(J29)=FALSE,K29/100,J29/100),I29/100)</f>
        <v>0.03</v>
      </c>
      <c r="M29" s="790" t="s">
        <v>279</v>
      </c>
      <c r="N29" s="790"/>
      <c r="O29" s="795"/>
      <c r="P29" s="790"/>
    </row>
    <row r="30" spans="1:16" ht="12.75" customHeight="1" x14ac:dyDescent="0.3">
      <c r="A30" s="789"/>
      <c r="B30" s="790"/>
      <c r="C30" s="789" t="s">
        <v>4685</v>
      </c>
      <c r="D30" s="801"/>
      <c r="E30" s="801"/>
      <c r="F30" s="790"/>
      <c r="G30" s="801" t="s">
        <v>1002</v>
      </c>
      <c r="H30" s="789" t="s">
        <v>813</v>
      </c>
      <c r="I30" s="791"/>
      <c r="J30" s="792" t="str">
        <f>IF(ISBLANK(HLOOKUP(CaseName,CaseData,MATCH($G30,cases!$G$4:$G$2494,0),FALSE)),"",HLOOKUP(CaseName,CaseData,MATCH($G30,cases!$G$4:$G$2494,0),FALSE))</f>
        <v/>
      </c>
      <c r="K30" s="793">
        <v>0.05</v>
      </c>
      <c r="L30" s="794">
        <f t="shared" ref="L30:L46" si="2">IF(ISBLANK(I30),IF(ISNUMBER(J30)=FALSE,K30,J30),I30)</f>
        <v>0.05</v>
      </c>
      <c r="M30" s="790" t="s">
        <v>279</v>
      </c>
      <c r="N30" s="790"/>
      <c r="O30" s="795"/>
      <c r="P30" s="790"/>
    </row>
    <row r="31" spans="1:16" ht="12.75" customHeight="1" x14ac:dyDescent="0.3">
      <c r="A31" s="789"/>
      <c r="B31" s="790"/>
      <c r="C31" s="789" t="s">
        <v>4686</v>
      </c>
      <c r="D31" s="801"/>
      <c r="E31" s="801"/>
      <c r="F31" s="790"/>
      <c r="G31" s="801" t="s">
        <v>1003</v>
      </c>
      <c r="H31" s="789" t="s">
        <v>813</v>
      </c>
      <c r="I31" s="791"/>
      <c r="J31" s="792" t="str">
        <f>IF(ISBLANK(HLOOKUP(CaseName,CaseData,MATCH($G31,cases!$G$4:$G$2494,0),FALSE)),"",HLOOKUP(CaseName,CaseData,MATCH($G31,cases!$G$4:$G$2494,0),FALSE))</f>
        <v/>
      </c>
      <c r="K31" s="793">
        <v>0.2</v>
      </c>
      <c r="L31" s="794">
        <f t="shared" si="2"/>
        <v>0.2</v>
      </c>
      <c r="M31" s="790" t="s">
        <v>279</v>
      </c>
      <c r="N31" s="790"/>
      <c r="O31" s="795"/>
      <c r="P31" s="790"/>
    </row>
    <row r="32" spans="1:16" ht="12.75" customHeight="1" x14ac:dyDescent="0.3">
      <c r="A32" s="789"/>
      <c r="B32" s="790"/>
      <c r="C32" s="789" t="s">
        <v>4687</v>
      </c>
      <c r="D32" s="801"/>
      <c r="E32" s="801"/>
      <c r="F32" s="790"/>
      <c r="G32" s="801" t="s">
        <v>1004</v>
      </c>
      <c r="H32" s="789" t="s">
        <v>813</v>
      </c>
      <c r="I32" s="791"/>
      <c r="J32" s="792" t="str">
        <f>IF(ISBLANK(HLOOKUP(CaseName,CaseData,MATCH($G32,cases!$G$4:$G$2494,0),FALSE)),"",HLOOKUP(CaseName,CaseData,MATCH($G32,cases!$G$4:$G$2494,0),FALSE))</f>
        <v/>
      </c>
      <c r="K32" s="793">
        <v>0.05</v>
      </c>
      <c r="L32" s="794">
        <f t="shared" si="2"/>
        <v>0.05</v>
      </c>
      <c r="M32" s="790" t="s">
        <v>279</v>
      </c>
      <c r="N32" s="790"/>
      <c r="O32" s="795"/>
      <c r="P32" s="790"/>
    </row>
    <row r="33" spans="1:16" ht="12.75" customHeight="1" x14ac:dyDescent="0.3">
      <c r="A33" s="797"/>
      <c r="B33" s="797"/>
      <c r="C33" s="797" t="s">
        <v>1005</v>
      </c>
      <c r="D33" s="797"/>
      <c r="E33" s="797"/>
      <c r="F33" s="797"/>
      <c r="G33" s="796" t="s">
        <v>4688</v>
      </c>
      <c r="H33" s="796" t="s">
        <v>1007</v>
      </c>
      <c r="I33" s="791"/>
      <c r="J33" s="792" t="str">
        <f>IF(ISBLANK(HLOOKUP(CaseName,CaseData,MATCH($G33,cases!$G$4:$G$2494,0),FALSE)),"",HLOOKUP(CaseName,CaseData,MATCH($G33,cases!$G$4:$G$2494,0),FALSE))</f>
        <v/>
      </c>
      <c r="K33" s="798">
        <v>2.9999999999999999E-7</v>
      </c>
      <c r="L33" s="794">
        <f t="shared" si="2"/>
        <v>2.9999999999999999E-7</v>
      </c>
      <c r="M33" s="796" t="s">
        <v>292</v>
      </c>
      <c r="N33" s="797" t="s">
        <v>1008</v>
      </c>
      <c r="O33" s="799"/>
      <c r="P33" s="797"/>
    </row>
    <row r="34" spans="1:16" ht="12.75" customHeight="1" x14ac:dyDescent="0.3">
      <c r="A34" s="790"/>
      <c r="B34" s="790"/>
      <c r="C34" s="790" t="s">
        <v>1009</v>
      </c>
      <c r="D34" s="790"/>
      <c r="E34" s="790"/>
      <c r="F34" s="790"/>
      <c r="G34" s="789" t="s">
        <v>1010</v>
      </c>
      <c r="H34" s="789" t="s">
        <v>1007</v>
      </c>
      <c r="I34" s="791"/>
      <c r="J34" s="792" t="str">
        <f>IF(ISBLANK(HLOOKUP(CaseName,CaseData,MATCH($G34,cases!$G$4:$G$2494,0),FALSE)),"",HLOOKUP(CaseName,CaseData,MATCH($G34,cases!$G$4:$G$2494,0),FALSE))</f>
        <v/>
      </c>
      <c r="K34" s="793">
        <v>1.9999999999999999E-11</v>
      </c>
      <c r="L34" s="794">
        <f t="shared" si="2"/>
        <v>1.9999999999999999E-11</v>
      </c>
      <c r="M34" s="789" t="s">
        <v>292</v>
      </c>
      <c r="N34" s="789" t="s">
        <v>1011</v>
      </c>
      <c r="O34" s="795"/>
      <c r="P34" s="790"/>
    </row>
    <row r="35" spans="1:16" ht="12.75" customHeight="1" x14ac:dyDescent="0.3">
      <c r="A35" s="790"/>
      <c r="B35" s="790"/>
      <c r="C35" s="790" t="s">
        <v>1012</v>
      </c>
      <c r="D35" s="790"/>
      <c r="E35" s="790"/>
      <c r="F35" s="790"/>
      <c r="G35" s="789" t="s">
        <v>4689</v>
      </c>
      <c r="H35" s="789" t="s">
        <v>1007</v>
      </c>
      <c r="I35" s="791"/>
      <c r="J35" s="792" t="str">
        <f>IF(ISBLANK(HLOOKUP(CaseName,CaseData,MATCH($G35,cases!$G$4:$G$2494,0),FALSE)),"",HLOOKUP(CaseName,CaseData,MATCH($G35,cases!$G$4:$G$2494,0),FALSE))</f>
        <v/>
      </c>
      <c r="K35" s="793">
        <v>1.9999999999999999E-11</v>
      </c>
      <c r="L35" s="794">
        <f t="shared" si="2"/>
        <v>1.9999999999999999E-11</v>
      </c>
      <c r="M35" s="789" t="s">
        <v>292</v>
      </c>
      <c r="N35" s="789" t="s">
        <v>1011</v>
      </c>
      <c r="O35" s="795"/>
      <c r="P35" s="790"/>
    </row>
    <row r="36" spans="1:16" ht="12.75" customHeight="1" x14ac:dyDescent="0.3">
      <c r="A36" s="789"/>
      <c r="B36" s="790"/>
      <c r="C36" s="789" t="s">
        <v>1014</v>
      </c>
      <c r="D36" s="801"/>
      <c r="E36" s="801"/>
      <c r="F36" s="790"/>
      <c r="G36" s="801" t="s">
        <v>1015</v>
      </c>
      <c r="H36" s="789" t="s">
        <v>1007</v>
      </c>
      <c r="I36" s="791"/>
      <c r="J36" s="792" t="str">
        <f>IF(ISBLANK(HLOOKUP(CaseName,CaseData,MATCH($G36,cases!$G$4:$G$2494,0),FALSE)),"",HLOOKUP(CaseName,CaseData,MATCH($G36,cases!$G$4:$G$2494,0),FALSE))</f>
        <v/>
      </c>
      <c r="K36" s="793">
        <v>0.2</v>
      </c>
      <c r="L36" s="794">
        <f t="shared" si="2"/>
        <v>0.2</v>
      </c>
      <c r="M36" s="789" t="s">
        <v>292</v>
      </c>
      <c r="N36" s="790"/>
      <c r="O36" s="795"/>
      <c r="P36" s="790"/>
    </row>
    <row r="37" spans="1:16" ht="12.75" customHeight="1" x14ac:dyDescent="0.3">
      <c r="A37" s="789"/>
      <c r="B37" s="790"/>
      <c r="C37" s="789" t="s">
        <v>1016</v>
      </c>
      <c r="D37" s="801"/>
      <c r="E37" s="801"/>
      <c r="F37" s="790"/>
      <c r="G37" s="801" t="s">
        <v>1017</v>
      </c>
      <c r="H37" s="789" t="s">
        <v>1007</v>
      </c>
      <c r="I37" s="791"/>
      <c r="J37" s="792" t="str">
        <f>IF(ISBLANK(HLOOKUP(CaseName,CaseData,MATCH($G37,cases!$G$4:$G$2494,0),FALSE)),"",HLOOKUP(CaseName,CaseData,MATCH($G37,cases!$G$4:$G$2494,0),FALSE))</f>
        <v/>
      </c>
      <c r="K37" s="793">
        <v>0.2</v>
      </c>
      <c r="L37" s="794">
        <f t="shared" si="2"/>
        <v>0.2</v>
      </c>
      <c r="M37" s="789" t="s">
        <v>292</v>
      </c>
      <c r="N37" s="790"/>
      <c r="O37" s="795"/>
      <c r="P37" s="790"/>
    </row>
    <row r="38" spans="1:16" ht="12.75" customHeight="1" x14ac:dyDescent="0.3">
      <c r="A38" s="789"/>
      <c r="B38" s="790"/>
      <c r="C38" s="789" t="s">
        <v>1018</v>
      </c>
      <c r="D38" s="801"/>
      <c r="E38" s="801"/>
      <c r="F38" s="790"/>
      <c r="G38" s="801" t="s">
        <v>1019</v>
      </c>
      <c r="H38" s="789" t="s">
        <v>1007</v>
      </c>
      <c r="I38" s="791"/>
      <c r="J38" s="792" t="str">
        <f>IF(ISBLANK(HLOOKUP(CaseName,CaseData,MATCH($G38,cases!$G$4:$G$2494,0),FALSE)),"",HLOOKUP(CaseName,CaseData,MATCH($G38,cases!$G$4:$G$2494,0),FALSE))</f>
        <v/>
      </c>
      <c r="K38" s="793">
        <f>1-L36-L37</f>
        <v>0.60000000000000009</v>
      </c>
      <c r="L38" s="794">
        <f t="shared" si="2"/>
        <v>0.60000000000000009</v>
      </c>
      <c r="M38" s="789" t="s">
        <v>292</v>
      </c>
      <c r="N38" s="790"/>
      <c r="O38" s="795"/>
      <c r="P38" s="790"/>
    </row>
    <row r="39" spans="1:16" ht="12.75" customHeight="1" x14ac:dyDescent="0.3">
      <c r="A39" s="789"/>
      <c r="B39" s="790"/>
      <c r="C39" s="789" t="s">
        <v>1020</v>
      </c>
      <c r="D39" s="801"/>
      <c r="E39" s="801"/>
      <c r="F39" s="790"/>
      <c r="G39" s="801" t="s">
        <v>1021</v>
      </c>
      <c r="H39" s="789" t="s">
        <v>1007</v>
      </c>
      <c r="I39" s="791"/>
      <c r="J39" s="792" t="str">
        <f>IF(ISBLANK(HLOOKUP(CaseName,CaseData,MATCH($G39,cases!$G$4:$G$2494,0),FALSE)),"",HLOOKUP(CaseName,CaseData,MATCH($G39,cases!$G$4:$G$2494,0),FALSE))</f>
        <v/>
      </c>
      <c r="K39" s="793">
        <v>0.2</v>
      </c>
      <c r="L39" s="794">
        <f t="shared" si="2"/>
        <v>0.2</v>
      </c>
      <c r="M39" s="789" t="s">
        <v>292</v>
      </c>
      <c r="N39" s="790"/>
      <c r="O39" s="795"/>
      <c r="P39" s="790"/>
    </row>
    <row r="40" spans="1:16" ht="12.75" customHeight="1" x14ac:dyDescent="0.3">
      <c r="A40" s="789"/>
      <c r="B40" s="790"/>
      <c r="C40" s="789" t="s">
        <v>1022</v>
      </c>
      <c r="D40" s="801"/>
      <c r="E40" s="801"/>
      <c r="F40" s="790"/>
      <c r="G40" s="801" t="s">
        <v>1023</v>
      </c>
      <c r="H40" s="789" t="s">
        <v>1007</v>
      </c>
      <c r="I40" s="791"/>
      <c r="J40" s="792" t="str">
        <f>IF(ISBLANK(HLOOKUP(CaseName,CaseData,MATCH($G40,cases!$G$4:$G$2494,0),FALSE)),"",HLOOKUP(CaseName,CaseData,MATCH($G40,cases!$G$4:$G$2494,0),FALSE))</f>
        <v/>
      </c>
      <c r="K40" s="793">
        <v>0.2</v>
      </c>
      <c r="L40" s="794">
        <f t="shared" si="2"/>
        <v>0.2</v>
      </c>
      <c r="M40" s="789" t="s">
        <v>292</v>
      </c>
      <c r="N40" s="790"/>
      <c r="O40" s="795"/>
      <c r="P40" s="790"/>
    </row>
    <row r="41" spans="1:16" ht="12.75" customHeight="1" x14ac:dyDescent="0.3">
      <c r="A41" s="789"/>
      <c r="B41" s="790"/>
      <c r="C41" s="789" t="s">
        <v>1024</v>
      </c>
      <c r="D41" s="801"/>
      <c r="E41" s="801"/>
      <c r="F41" s="790"/>
      <c r="G41" s="801" t="s">
        <v>1025</v>
      </c>
      <c r="H41" s="789" t="s">
        <v>1007</v>
      </c>
      <c r="I41" s="791"/>
      <c r="J41" s="792" t="str">
        <f>IF(ISBLANK(HLOOKUP(CaseName,CaseData,MATCH($G41,cases!$G$4:$G$2494,0),FALSE)),"",HLOOKUP(CaseName,CaseData,MATCH($G41,cases!$G$4:$G$2494,0),FALSE))</f>
        <v/>
      </c>
      <c r="K41" s="793">
        <f>1-L39-L40</f>
        <v>0.60000000000000009</v>
      </c>
      <c r="L41" s="794">
        <f t="shared" si="2"/>
        <v>0.60000000000000009</v>
      </c>
      <c r="M41" s="789" t="s">
        <v>292</v>
      </c>
      <c r="N41" s="790"/>
      <c r="O41" s="795"/>
      <c r="P41" s="790"/>
    </row>
    <row r="42" spans="1:16" ht="12.75" customHeight="1" x14ac:dyDescent="0.3">
      <c r="A42" s="789"/>
      <c r="B42" s="790"/>
      <c r="C42" s="789" t="s">
        <v>1026</v>
      </c>
      <c r="D42" s="801"/>
      <c r="E42" s="801"/>
      <c r="F42" s="790"/>
      <c r="G42" s="801" t="s">
        <v>1027</v>
      </c>
      <c r="H42" s="789" t="s">
        <v>1007</v>
      </c>
      <c r="I42" s="791"/>
      <c r="J42" s="792" t="str">
        <f>IF(ISBLANK(HLOOKUP(CaseName,CaseData,MATCH($G42,cases!$G$4:$G$2494,0),FALSE)),"",HLOOKUP(CaseName,CaseData,MATCH($G42,cases!$G$4:$G$2494,0),FALSE))</f>
        <v/>
      </c>
      <c r="K42" s="793">
        <v>0.2</v>
      </c>
      <c r="L42" s="794">
        <f t="shared" si="2"/>
        <v>0.2</v>
      </c>
      <c r="M42" s="789" t="s">
        <v>292</v>
      </c>
      <c r="N42" s="790"/>
      <c r="O42" s="795"/>
      <c r="P42" s="790"/>
    </row>
    <row r="43" spans="1:16" ht="12.75" customHeight="1" x14ac:dyDescent="0.3">
      <c r="A43" s="789"/>
      <c r="B43" s="790"/>
      <c r="C43" s="789" t="s">
        <v>1028</v>
      </c>
      <c r="D43" s="801"/>
      <c r="E43" s="801"/>
      <c r="F43" s="790"/>
      <c r="G43" s="801" t="s">
        <v>1029</v>
      </c>
      <c r="H43" s="789" t="s">
        <v>1007</v>
      </c>
      <c r="I43" s="791"/>
      <c r="J43" s="792" t="str">
        <f>IF(ISBLANK(HLOOKUP(CaseName,CaseData,MATCH($G43,cases!$G$4:$G$2494,0),FALSE)),"",HLOOKUP(CaseName,CaseData,MATCH($G43,cases!$G$4:$G$2494,0),FALSE))</f>
        <v/>
      </c>
      <c r="K43" s="793">
        <v>0.2</v>
      </c>
      <c r="L43" s="794">
        <f t="shared" si="2"/>
        <v>0.2</v>
      </c>
      <c r="M43" s="789" t="s">
        <v>292</v>
      </c>
      <c r="N43" s="790"/>
      <c r="O43" s="795"/>
      <c r="P43" s="790"/>
    </row>
    <row r="44" spans="1:16" ht="12.75" customHeight="1" x14ac:dyDescent="0.3">
      <c r="A44" s="789"/>
      <c r="B44" s="790"/>
      <c r="C44" s="789" t="s">
        <v>1030</v>
      </c>
      <c r="D44" s="801"/>
      <c r="E44" s="801"/>
      <c r="F44" s="790"/>
      <c r="G44" s="801" t="s">
        <v>1031</v>
      </c>
      <c r="H44" s="789" t="s">
        <v>1007</v>
      </c>
      <c r="I44" s="791"/>
      <c r="J44" s="792" t="str">
        <f>IF(ISBLANK(HLOOKUP(CaseName,CaseData,MATCH($G44,cases!$G$4:$G$2494,0),FALSE)),"",HLOOKUP(CaseName,CaseData,MATCH($G44,cases!$G$4:$G$2494,0),FALSE))</f>
        <v/>
      </c>
      <c r="K44" s="793">
        <f>1-L42-L43</f>
        <v>0.60000000000000009</v>
      </c>
      <c r="L44" s="794">
        <f t="shared" si="2"/>
        <v>0.60000000000000009</v>
      </c>
      <c r="M44" s="789" t="s">
        <v>292</v>
      </c>
      <c r="N44" s="790"/>
      <c r="O44" s="795"/>
      <c r="P44" s="790"/>
    </row>
    <row r="45" spans="1:16" ht="12.75" customHeight="1" x14ac:dyDescent="0.3">
      <c r="A45" s="789"/>
      <c r="B45" s="790"/>
      <c r="C45" s="789" t="s">
        <v>1032</v>
      </c>
      <c r="D45" s="801"/>
      <c r="E45" s="801"/>
      <c r="F45" s="790"/>
      <c r="G45" s="801" t="s">
        <v>1033</v>
      </c>
      <c r="H45" s="789" t="s">
        <v>1007</v>
      </c>
      <c r="I45" s="791"/>
      <c r="J45" s="792" t="str">
        <f>IF(ISBLANK(HLOOKUP(CaseName,CaseData,MATCH($G45,cases!$G$4:$G$2494,0),FALSE)),"",HLOOKUP(CaseName,CaseData,MATCH($G45,cases!$G$4:$G$2494,0),FALSE))</f>
        <v/>
      </c>
      <c r="K45" s="793">
        <v>0.8</v>
      </c>
      <c r="L45" s="794">
        <f t="shared" si="2"/>
        <v>0.8</v>
      </c>
      <c r="M45" s="789" t="s">
        <v>292</v>
      </c>
      <c r="N45" s="790"/>
      <c r="O45" s="795"/>
      <c r="P45" s="790"/>
    </row>
    <row r="46" spans="1:16" ht="12.75" customHeight="1" x14ac:dyDescent="0.3">
      <c r="A46" s="789"/>
      <c r="B46" s="790"/>
      <c r="C46" s="789" t="s">
        <v>1034</v>
      </c>
      <c r="D46" s="801"/>
      <c r="E46" s="801"/>
      <c r="F46" s="790"/>
      <c r="G46" s="801" t="s">
        <v>1035</v>
      </c>
      <c r="H46" s="789" t="s">
        <v>1007</v>
      </c>
      <c r="I46" s="791"/>
      <c r="J46" s="792" t="str">
        <f>IF(ISBLANK(HLOOKUP(CaseName,CaseData,MATCH($G46,cases!$G$4:$G$2494,0),FALSE)),"",HLOOKUP(CaseName,CaseData,MATCH($G46,cases!$G$4:$G$2494,0),FALSE))</f>
        <v/>
      </c>
      <c r="K46" s="793">
        <f>1-L45</f>
        <v>0.19999999999999996</v>
      </c>
      <c r="L46" s="794">
        <f t="shared" si="2"/>
        <v>0.19999999999999996</v>
      </c>
      <c r="M46" s="789" t="s">
        <v>292</v>
      </c>
      <c r="N46" s="790"/>
      <c r="O46" s="795"/>
      <c r="P46" s="790"/>
    </row>
    <row r="47" spans="1:16" ht="12.75" customHeight="1" x14ac:dyDescent="0.3">
      <c r="A47" s="789"/>
      <c r="B47" s="790"/>
      <c r="C47" s="790"/>
      <c r="D47" s="790"/>
      <c r="E47" s="790"/>
      <c r="F47" s="790"/>
      <c r="G47" s="801"/>
      <c r="H47" s="789"/>
      <c r="I47" s="803"/>
      <c r="J47" s="792"/>
      <c r="K47" s="804"/>
      <c r="L47" s="803"/>
      <c r="M47" s="789"/>
      <c r="N47" s="790"/>
      <c r="O47" s="795"/>
      <c r="P47" s="790"/>
    </row>
    <row r="48" spans="1:16" ht="12.75" customHeight="1" x14ac:dyDescent="0.3">
      <c r="A48" s="789" t="s">
        <v>1036</v>
      </c>
      <c r="B48" s="790"/>
      <c r="C48" s="790"/>
      <c r="D48" s="790"/>
      <c r="E48" s="790"/>
      <c r="F48" s="790"/>
      <c r="G48" s="789" t="s">
        <v>1037</v>
      </c>
      <c r="H48" s="789" t="s">
        <v>4690</v>
      </c>
      <c r="I48" s="791"/>
      <c r="J48" s="792" t="str">
        <f>IF(ISBLANK(HLOOKUP(CaseName,CaseData,MATCH($G48,cases!$G$4:$G$2494,0),FALSE)),"",HLOOKUP(CaseName,CaseData,MATCH($G48,cases!$G$4:$G$2494,0),FALSE))</f>
        <v/>
      </c>
      <c r="K48" s="793">
        <f>1/L49</f>
        <v>9.4201427396491372E-6</v>
      </c>
      <c r="L48" s="794">
        <f>IF(ISBLANK(I48),IF(ISNUMBER(J48)=FALSE,K48,J48),I48)</f>
        <v>9.4201427396491372E-6</v>
      </c>
      <c r="M48" s="790" t="s">
        <v>1038</v>
      </c>
      <c r="N48" s="790"/>
      <c r="O48" s="795"/>
      <c r="P48" s="790"/>
    </row>
    <row r="49" spans="1:16" ht="12.75" customHeight="1" x14ac:dyDescent="0.3">
      <c r="A49" s="789"/>
      <c r="B49" s="789"/>
      <c r="C49" s="789" t="s">
        <v>1039</v>
      </c>
      <c r="D49" s="801"/>
      <c r="E49" s="790"/>
      <c r="F49" s="790"/>
      <c r="G49" s="789" t="s">
        <v>1040</v>
      </c>
      <c r="H49" s="789" t="s">
        <v>1041</v>
      </c>
      <c r="I49" s="791"/>
      <c r="J49" s="792" t="str">
        <f>IF(ISBLANK(HLOOKUP(CaseName,CaseData,MATCH($G49,cases!$G$4:$G$2494,0),FALSE)),"",HLOOKUP(CaseName,CaseData,MATCH($G49,cases!$G$4:$G$2494,0),FALSE))</f>
        <v/>
      </c>
      <c r="K49" s="793">
        <f>1.5*(0.5*SQRT(L16*PI()/4)/WINDspeed.R)/(3600*24)</f>
        <v>1.2286516663233875</v>
      </c>
      <c r="L49" s="794">
        <f>IF(ISBLANK(I49),IF(ISNUMBER(J49)=FALSE,K49*(3600*24),J49*(3600*24)),I49*(3600*24))</f>
        <v>106155.50397034068</v>
      </c>
      <c r="M49" s="789" t="s">
        <v>1042</v>
      </c>
      <c r="N49" s="790"/>
      <c r="O49" s="795"/>
      <c r="P49" s="790"/>
    </row>
    <row r="50" spans="1:16" ht="12.75" customHeight="1" x14ac:dyDescent="0.3">
      <c r="A50" s="789"/>
      <c r="B50" s="790"/>
      <c r="C50" s="790"/>
      <c r="D50" s="790"/>
      <c r="E50" s="790"/>
      <c r="F50" s="790"/>
      <c r="G50" s="801"/>
      <c r="H50" s="789"/>
      <c r="I50" s="803"/>
      <c r="J50" s="792"/>
      <c r="K50" s="804"/>
      <c r="L50" s="803"/>
      <c r="M50" s="789"/>
      <c r="N50" s="790"/>
      <c r="O50" s="795"/>
      <c r="P50" s="790"/>
    </row>
    <row r="51" spans="1:16" ht="12.75" customHeight="1" x14ac:dyDescent="0.3">
      <c r="A51" s="789" t="s">
        <v>1043</v>
      </c>
      <c r="B51" s="790"/>
      <c r="C51" s="790"/>
      <c r="D51" s="790"/>
      <c r="E51" s="790"/>
      <c r="F51" s="790"/>
      <c r="G51" s="789" t="s">
        <v>1044</v>
      </c>
      <c r="H51" s="789" t="s">
        <v>4690</v>
      </c>
      <c r="I51" s="791"/>
      <c r="J51" s="792" t="str">
        <f>IF(ISBLANK(HLOOKUP(CaseName,CaseData,MATCH($G51,cases!$G$4:$G$2494,0),FALSE)),"",HLOOKUP(CaseName,CaseData,MATCH($G51,cases!$G$4:$G$2494,0),FALSE))</f>
        <v/>
      </c>
      <c r="K51" s="793">
        <f>L56/L7</f>
        <v>2.3972602739726025E-9</v>
      </c>
      <c r="L51" s="794">
        <f t="shared" ref="L51:L60" si="3">IF(ISBLANK(I51),IF(ISNUMBER(J51)=FALSE,K51,J51),I51)</f>
        <v>2.3972602739726025E-9</v>
      </c>
      <c r="M51" s="790" t="s">
        <v>1038</v>
      </c>
      <c r="N51" s="790"/>
      <c r="O51" s="795"/>
      <c r="P51" s="790"/>
    </row>
    <row r="52" spans="1:16" ht="12.75" customHeight="1" x14ac:dyDescent="0.3">
      <c r="A52" s="789" t="s">
        <v>1045</v>
      </c>
      <c r="B52" s="790"/>
      <c r="C52" s="790"/>
      <c r="D52" s="790"/>
      <c r="E52" s="790"/>
      <c r="F52" s="790"/>
      <c r="G52" s="789" t="s">
        <v>1046</v>
      </c>
      <c r="H52" s="789" t="s">
        <v>4690</v>
      </c>
      <c r="I52" s="791"/>
      <c r="J52" s="792" t="str">
        <f>IF(ISBLANK(HLOOKUP(CaseName,CaseData,MATCH($G52,cases!$G$4:$G$2494,0),FALSE)),"",HLOOKUP(CaseName,CaseData,MATCH($G52,cases!$G$4:$G$2494,0),FALSE))</f>
        <v/>
      </c>
      <c r="K52" s="793">
        <f>L57/L7</f>
        <v>0</v>
      </c>
      <c r="L52" s="794">
        <f t="shared" si="3"/>
        <v>0</v>
      </c>
      <c r="M52" s="790" t="s">
        <v>1038</v>
      </c>
      <c r="N52" s="790"/>
      <c r="O52" s="795"/>
      <c r="P52" s="790"/>
    </row>
    <row r="53" spans="1:16" ht="12.75" customHeight="1" x14ac:dyDescent="0.3">
      <c r="A53" s="789" t="s">
        <v>1047</v>
      </c>
      <c r="B53" s="790"/>
      <c r="C53" s="790"/>
      <c r="D53" s="790"/>
      <c r="E53" s="790"/>
      <c r="F53" s="790"/>
      <c r="G53" s="789" t="s">
        <v>1048</v>
      </c>
      <c r="H53" s="789" t="s">
        <v>4690</v>
      </c>
      <c r="I53" s="791"/>
      <c r="J53" s="792" t="str">
        <f>IF(ISBLANK(HLOOKUP(CaseName,CaseData,MATCH($G53,cases!$G$4:$G$2494,0),FALSE)),"",HLOOKUP(CaseName,CaseData,MATCH($G53,cases!$G$4:$G$2494,0),FALSE))</f>
        <v/>
      </c>
      <c r="K53" s="793">
        <f>L58/L8</f>
        <v>0</v>
      </c>
      <c r="L53" s="794">
        <f t="shared" si="3"/>
        <v>0</v>
      </c>
      <c r="M53" s="790" t="s">
        <v>1038</v>
      </c>
      <c r="N53" s="790"/>
      <c r="O53" s="795"/>
      <c r="P53" s="790"/>
    </row>
    <row r="54" spans="1:16" ht="12.75" customHeight="1" x14ac:dyDescent="0.3">
      <c r="A54" s="789" t="s">
        <v>1049</v>
      </c>
      <c r="B54" s="790"/>
      <c r="C54" s="790"/>
      <c r="D54" s="790"/>
      <c r="E54" s="790"/>
      <c r="F54" s="790"/>
      <c r="G54" s="789" t="s">
        <v>1050</v>
      </c>
      <c r="H54" s="789" t="s">
        <v>4690</v>
      </c>
      <c r="I54" s="791"/>
      <c r="J54" s="792" t="str">
        <f>IF(ISBLANK(HLOOKUP(CaseName,CaseData,MATCH($G54,cases!$G$4:$G$2494,0),FALSE)),"",HLOOKUP(CaseName,CaseData,MATCH($G54,cases!$G$4:$G$2494,0),FALSE))</f>
        <v/>
      </c>
      <c r="K54" s="793">
        <f>L59/L8</f>
        <v>7.26442507264425E-8</v>
      </c>
      <c r="L54" s="794">
        <f t="shared" si="3"/>
        <v>7.26442507264425E-8</v>
      </c>
      <c r="M54" s="790" t="s">
        <v>1038</v>
      </c>
      <c r="N54" s="790"/>
      <c r="O54" s="795"/>
      <c r="P54" s="790"/>
    </row>
    <row r="55" spans="1:16" ht="12.75" customHeight="1" x14ac:dyDescent="0.3">
      <c r="A55" s="789" t="s">
        <v>1051</v>
      </c>
      <c r="B55" s="790"/>
      <c r="C55" s="790"/>
      <c r="D55" s="790"/>
      <c r="E55" s="790"/>
      <c r="F55" s="790"/>
      <c r="G55" s="789" t="s">
        <v>1052</v>
      </c>
      <c r="H55" s="789" t="s">
        <v>4690</v>
      </c>
      <c r="I55" s="791"/>
      <c r="J55" s="792" t="str">
        <f>IF(ISBLANK(HLOOKUP(CaseName,CaseData,MATCH($G55,cases!$G$4:$G$2494,0),FALSE)),"",HLOOKUP(CaseName,CaseData,MATCH($G55,cases!$G$4:$G$2494,0),FALSE))</f>
        <v/>
      </c>
      <c r="K55" s="793">
        <f>L60/L9</f>
        <v>1.3698544520547928E-6</v>
      </c>
      <c r="L55" s="794">
        <f t="shared" si="3"/>
        <v>1.3698544520547928E-6</v>
      </c>
      <c r="M55" s="790" t="s">
        <v>1038</v>
      </c>
      <c r="N55" s="790"/>
      <c r="O55" s="795"/>
      <c r="P55" s="790"/>
    </row>
    <row r="56" spans="1:16" ht="12.75" customHeight="1" x14ac:dyDescent="0.3">
      <c r="A56" s="789"/>
      <c r="B56" s="789" t="s">
        <v>1053</v>
      </c>
      <c r="C56" s="790"/>
      <c r="D56" s="790"/>
      <c r="E56" s="801"/>
      <c r="F56" s="801"/>
      <c r="G56" s="801" t="s">
        <v>1054</v>
      </c>
      <c r="H56" s="789" t="s">
        <v>4691</v>
      </c>
      <c r="I56" s="791"/>
      <c r="J56" s="792" t="str">
        <f>IF(ISBLANK(HLOOKUP(CaseName,CaseData,MATCH($G56,cases!$G$4:$G$2494,0),FALSE)),"",HLOOKUP(CaseName,CaseData,MATCH($G56,cases!$G$4:$G$2494,0),FALSE))</f>
        <v/>
      </c>
      <c r="K56" s="793">
        <f>0.1*L59</f>
        <v>136.98544520547944</v>
      </c>
      <c r="L56" s="794">
        <f t="shared" si="3"/>
        <v>136.98544520547944</v>
      </c>
      <c r="M56" s="790" t="s">
        <v>4692</v>
      </c>
      <c r="N56" s="790" t="s">
        <v>722</v>
      </c>
      <c r="O56" s="795"/>
      <c r="P56" s="790"/>
    </row>
    <row r="57" spans="1:16" ht="12.75" customHeight="1" x14ac:dyDescent="0.3">
      <c r="A57" s="789"/>
      <c r="B57" s="789" t="s">
        <v>1056</v>
      </c>
      <c r="C57" s="790"/>
      <c r="D57" s="790"/>
      <c r="E57" s="801"/>
      <c r="F57" s="801"/>
      <c r="G57" s="801" t="s">
        <v>1057</v>
      </c>
      <c r="H57" s="789" t="s">
        <v>4691</v>
      </c>
      <c r="I57" s="791"/>
      <c r="J57" s="792" t="str">
        <f>IF(ISBLANK(HLOOKUP(CaseName,CaseData,MATCH($G57,cases!$G$4:$G$2494,0),FALSE)),"",HLOOKUP(CaseName,CaseData,MATCH($G57,cases!$G$4:$G$2494,0),FALSE))</f>
        <v/>
      </c>
      <c r="K57" s="793">
        <v>0</v>
      </c>
      <c r="L57" s="794">
        <f t="shared" si="3"/>
        <v>0</v>
      </c>
      <c r="M57" s="790" t="s">
        <v>4692</v>
      </c>
      <c r="N57" s="790" t="s">
        <v>722</v>
      </c>
      <c r="O57" s="795"/>
      <c r="P57" s="790"/>
    </row>
    <row r="58" spans="1:16" ht="12.75" customHeight="1" x14ac:dyDescent="0.3">
      <c r="A58" s="789"/>
      <c r="B58" s="789" t="s">
        <v>1058</v>
      </c>
      <c r="C58" s="790"/>
      <c r="D58" s="790"/>
      <c r="E58" s="801"/>
      <c r="F58" s="801"/>
      <c r="G58" s="801" t="s">
        <v>1059</v>
      </c>
      <c r="H58" s="789" t="s">
        <v>4691</v>
      </c>
      <c r="I58" s="791"/>
      <c r="J58" s="792" t="str">
        <f>IF(ISBLANK(HLOOKUP(CaseName,CaseData,MATCH($G58,cases!$G$4:$G$2494,0),FALSE)),"",HLOOKUP(CaseName,CaseData,MATCH($G58,cases!$G$4:$G$2494,0),FALSE))</f>
        <v/>
      </c>
      <c r="K58" s="793">
        <v>0</v>
      </c>
      <c r="L58" s="794">
        <f t="shared" si="3"/>
        <v>0</v>
      </c>
      <c r="M58" s="790" t="s">
        <v>4692</v>
      </c>
      <c r="N58" s="790" t="s">
        <v>722</v>
      </c>
      <c r="O58" s="795"/>
      <c r="P58" s="790"/>
    </row>
    <row r="59" spans="1:16" ht="12.75" customHeight="1" x14ac:dyDescent="0.3">
      <c r="A59" s="789"/>
      <c r="B59" s="789" t="s">
        <v>1060</v>
      </c>
      <c r="C59" s="790"/>
      <c r="D59" s="790"/>
      <c r="E59" s="801"/>
      <c r="F59" s="801"/>
      <c r="G59" s="801" t="s">
        <v>1061</v>
      </c>
      <c r="H59" s="789" t="s">
        <v>4691</v>
      </c>
      <c r="I59" s="791"/>
      <c r="J59" s="792" t="str">
        <f>IF(ISBLANK(HLOOKUP(CaseName,CaseData,MATCH($G59,cases!$G$4:$G$2494,0),FALSE)),"",HLOOKUP(CaseName,CaseData,MATCH($G59,cases!$G$4:$G$2494,0),FALSE))</f>
        <v/>
      </c>
      <c r="K59" s="793">
        <f>((L18+L19*L185+L20*L186+L21*L187)*RAINrate.R*L16+WATERflow.w1C.w1R)*(1-FRAC.w1R.w1C)</f>
        <v>1369.8544520547944</v>
      </c>
      <c r="L59" s="794">
        <f t="shared" si="3"/>
        <v>1369.8544520547944</v>
      </c>
      <c r="M59" s="790" t="s">
        <v>4692</v>
      </c>
      <c r="N59" s="790"/>
      <c r="O59" s="795"/>
      <c r="P59" s="790"/>
    </row>
    <row r="60" spans="1:16" ht="12.75" customHeight="1" x14ac:dyDescent="0.3">
      <c r="A60" s="789"/>
      <c r="B60" s="789" t="s">
        <v>1062</v>
      </c>
      <c r="C60" s="789"/>
      <c r="D60" s="790"/>
      <c r="E60" s="801"/>
      <c r="F60" s="801"/>
      <c r="G60" s="801" t="s">
        <v>1063</v>
      </c>
      <c r="H60" s="789" t="s">
        <v>4691</v>
      </c>
      <c r="I60" s="791"/>
      <c r="J60" s="792" t="str">
        <f>IF(ISBLANK(HLOOKUP(CaseName,CaseData,MATCH($G60,cases!$G$4:$G$2494,0),FALSE)),"",HLOOKUP(CaseName,CaseData,MATCH($G60,cases!$G$4:$G$2494,0),FALSE))</f>
        <v/>
      </c>
      <c r="K60" s="793">
        <f>L59+WATERflow.w2C.w2R</f>
        <v>13698.544520547945</v>
      </c>
      <c r="L60" s="794">
        <f t="shared" si="3"/>
        <v>13698.544520547945</v>
      </c>
      <c r="M60" s="790" t="s">
        <v>4692</v>
      </c>
      <c r="N60" s="790"/>
      <c r="O60" s="795"/>
      <c r="P60" s="790"/>
    </row>
    <row r="61" spans="1:16" ht="12.75" customHeight="1" x14ac:dyDescent="0.3">
      <c r="I61" s="780"/>
      <c r="J61" s="805"/>
    </row>
    <row r="62" spans="1:16" s="784" customFormat="1" ht="12.75" customHeight="1" x14ac:dyDescent="0.3">
      <c r="A62" s="785" t="s">
        <v>1064</v>
      </c>
      <c r="G62" s="785" t="s">
        <v>258</v>
      </c>
      <c r="H62" s="785" t="s">
        <v>274</v>
      </c>
      <c r="I62" s="786" t="s">
        <v>259</v>
      </c>
      <c r="J62" s="526" t="s">
        <v>275</v>
      </c>
      <c r="K62" s="784" t="s">
        <v>260</v>
      </c>
      <c r="L62" s="787" t="s">
        <v>261</v>
      </c>
      <c r="N62" s="785" t="s">
        <v>262</v>
      </c>
      <c r="O62" s="788"/>
    </row>
    <row r="63" spans="1:16" ht="12.75" customHeight="1" x14ac:dyDescent="0.3">
      <c r="A63" s="779"/>
      <c r="B63" s="779"/>
      <c r="C63" s="779"/>
      <c r="D63" s="779"/>
      <c r="E63" s="779"/>
      <c r="F63" s="779"/>
      <c r="I63" s="780"/>
      <c r="K63" s="778"/>
      <c r="L63" s="806"/>
    </row>
    <row r="64" spans="1:16" ht="12.75" customHeight="1" x14ac:dyDescent="0.3">
      <c r="A64" s="790"/>
      <c r="B64" s="790" t="s">
        <v>4693</v>
      </c>
      <c r="C64" s="790"/>
      <c r="D64" s="790"/>
      <c r="E64" s="790"/>
      <c r="F64" s="790"/>
      <c r="G64" s="790" t="s">
        <v>4694</v>
      </c>
      <c r="H64" s="790" t="s">
        <v>291</v>
      </c>
      <c r="I64" s="800"/>
      <c r="J64" s="792" t="str">
        <f>IF(ISBLANK(HLOOKUP(CaseName,CaseData,MATCH($G64,cases!$G$4:$G$2494,0),FALSE)),"",HLOOKUP(CaseName,CaseData,MATCH($G64,cases!$G$4:$G$2494,0),FALSE))</f>
        <v/>
      </c>
      <c r="K64" s="517">
        <f>1-L35*L68/(1+L35*L68+L34*L69) -L34*L69/(1+L35*L68+L34*L69)</f>
        <v>0.99999996469432006</v>
      </c>
      <c r="L64" s="794">
        <f t="shared" ref="L64:L105" si="4">IF(ISBLANK(I64),IF(ISNUMBER(J64)=FALSE,K64,J64),I64)</f>
        <v>0.99999996469432006</v>
      </c>
      <c r="M64" s="789" t="s">
        <v>292</v>
      </c>
      <c r="N64" s="789"/>
      <c r="O64" s="795"/>
      <c r="P64" s="790"/>
    </row>
    <row r="65" spans="1:16" ht="12.75" customHeight="1" x14ac:dyDescent="0.3">
      <c r="A65" s="790"/>
      <c r="B65" s="790" t="s">
        <v>4695</v>
      </c>
      <c r="C65" s="790"/>
      <c r="D65" s="790"/>
      <c r="E65" s="790"/>
      <c r="F65" s="790"/>
      <c r="G65" s="790" t="s">
        <v>1066</v>
      </c>
      <c r="H65" s="790" t="s">
        <v>291</v>
      </c>
      <c r="I65" s="807"/>
      <c r="J65" s="792" t="str">
        <f>IF(ISBLANK(HLOOKUP(CaseName,CaseData,MATCH($G65,cases!$G$4:$G$2494,0),FALSE)),"",HLOOKUP(CaseName,CaseData,MATCH($G65,cases!$G$4:$G$2494,0),FALSE))</f>
        <v/>
      </c>
      <c r="K65" s="517">
        <f>L35*L68/(1+L35*L68+L34*L69)</f>
        <v>2.2258158863377581E-10</v>
      </c>
      <c r="L65" s="794">
        <f t="shared" si="4"/>
        <v>2.2258158863377581E-10</v>
      </c>
      <c r="M65" s="789" t="s">
        <v>292</v>
      </c>
      <c r="N65" s="789" t="s">
        <v>1067</v>
      </c>
      <c r="O65" s="795"/>
      <c r="P65" s="790"/>
    </row>
    <row r="66" spans="1:16" ht="12.75" customHeight="1" x14ac:dyDescent="0.3">
      <c r="A66" s="790"/>
      <c r="B66" s="790" t="s">
        <v>4696</v>
      </c>
      <c r="C66" s="790"/>
      <c r="D66" s="790"/>
      <c r="E66" s="790"/>
      <c r="F66" s="790"/>
      <c r="G66" s="790" t="s">
        <v>1068</v>
      </c>
      <c r="H66" s="790" t="s">
        <v>291</v>
      </c>
      <c r="I66" s="807"/>
      <c r="J66" s="792" t="str">
        <f>IF(ISBLANK(HLOOKUP(CaseName,CaseData,MATCH($G66,cases!$G$4:$G$2494,0),FALSE)),"",HLOOKUP(CaseName,CaseData,MATCH($G66,cases!$G$4:$G$2494,0),FALSE))</f>
        <v/>
      </c>
      <c r="K66" s="517">
        <f>L34*L69/(1+L35*L68+L34*L69)</f>
        <v>3.5083098262422926E-8</v>
      </c>
      <c r="L66" s="794">
        <f t="shared" si="4"/>
        <v>3.5083098262422926E-8</v>
      </c>
      <c r="M66" s="789" t="s">
        <v>292</v>
      </c>
      <c r="N66" s="789" t="s">
        <v>1067</v>
      </c>
      <c r="O66" s="795"/>
      <c r="P66" s="790"/>
    </row>
    <row r="67" spans="1:16" ht="12.75" customHeight="1" x14ac:dyDescent="0.35">
      <c r="A67" s="790"/>
      <c r="B67" s="790"/>
      <c r="C67" s="790" t="s">
        <v>4697</v>
      </c>
      <c r="D67" s="790"/>
      <c r="E67" s="790"/>
      <c r="F67" s="790"/>
      <c r="G67" s="790" t="s">
        <v>4698</v>
      </c>
      <c r="H67" s="790" t="s">
        <v>4699</v>
      </c>
      <c r="I67" s="807"/>
      <c r="J67" s="792" t="str">
        <f>IF(ISBLANK(HLOOKUP(CaseName,CaseData,MATCH($G67,cases!$G$4:$G$2494,0),FALSE)),"",HLOOKUP(CaseName,CaseData,MATCH($G67,cases!$G$4:$G$2494,0),FALSE))</f>
        <v/>
      </c>
      <c r="K67" s="517">
        <f>Kaw*EXP((H0vap/8.314)*(1/298-1/TEMP.R))*EXP(-(H0sol/8.314)*(1/298-1/TEMP.R))*(298/TEMP.R)</f>
        <v>8.9854688416270423E-2</v>
      </c>
      <c r="L67" s="794">
        <f t="shared" si="4"/>
        <v>8.9854688416270423E-2</v>
      </c>
      <c r="M67" s="789" t="s">
        <v>292</v>
      </c>
      <c r="N67" s="790"/>
      <c r="O67" s="795"/>
      <c r="P67" s="790"/>
    </row>
    <row r="68" spans="1:16" ht="12.75" customHeight="1" x14ac:dyDescent="0.35">
      <c r="A68" s="790"/>
      <c r="B68" s="790"/>
      <c r="C68" s="790" t="s">
        <v>4700</v>
      </c>
      <c r="D68" s="790"/>
      <c r="E68" s="790"/>
      <c r="F68" s="790"/>
      <c r="G68" s="790" t="s">
        <v>1070</v>
      </c>
      <c r="H68" s="790" t="s">
        <v>4701</v>
      </c>
      <c r="I68" s="807"/>
      <c r="J68" s="792" t="str">
        <f>IF(ISBLANK(HLOOKUP(CaseName,CaseData,MATCH($G68,cases!$G$4:$G$2494,0),FALSE)),"",HLOOKUP(CaseName,CaseData,MATCH($G68,cases!$G$4:$G$2494,0),FALSE))</f>
        <v/>
      </c>
      <c r="K68" s="517">
        <f>1/(L67*FRorig.aerw)</f>
        <v>11.129079824608519</v>
      </c>
      <c r="L68" s="794">
        <f>IF(ISBLANK(I68),IF(ISNUMBER(J68)=FALSE,K68,J68),I68)</f>
        <v>11.129079824608519</v>
      </c>
      <c r="M68" s="789" t="s">
        <v>292</v>
      </c>
      <c r="N68" s="790"/>
      <c r="O68" s="795"/>
      <c r="P68" s="790"/>
    </row>
    <row r="69" spans="1:16" ht="12.75" customHeight="1" x14ac:dyDescent="0.35">
      <c r="A69" s="790"/>
      <c r="B69" s="790"/>
      <c r="C69" s="790" t="s">
        <v>4702</v>
      </c>
      <c r="D69" s="790"/>
      <c r="E69" s="790"/>
      <c r="F69" s="790"/>
      <c r="G69" s="790" t="s">
        <v>1072</v>
      </c>
      <c r="H69" s="790" t="s">
        <v>4703</v>
      </c>
      <c r="I69" s="807"/>
      <c r="J69" s="792" t="str">
        <f>IF(ISBLANK(HLOOKUP(CaseName,CaseData,MATCH($G69,cases!$G$4:$G$2494,0),FALSE)),"",HLOOKUP(CaseName,CaseData,MATCH($G69,cases!$G$4:$G$2494,0),FALSE))</f>
        <v/>
      </c>
      <c r="K69" s="517">
        <f>0.54*(Kow/Kaw)*CORGaers*(RHOaers/1000)</f>
        <v>1754.1549750527802</v>
      </c>
      <c r="L69" s="794">
        <f t="shared" si="4"/>
        <v>1754.1549750527802</v>
      </c>
      <c r="M69" s="789" t="s">
        <v>292</v>
      </c>
      <c r="N69" s="790" t="s">
        <v>1074</v>
      </c>
      <c r="O69" s="795"/>
      <c r="P69" s="790"/>
    </row>
    <row r="70" spans="1:16" ht="12.75" customHeight="1" x14ac:dyDescent="0.3">
      <c r="A70" s="789"/>
      <c r="B70" s="789" t="s">
        <v>4704</v>
      </c>
      <c r="C70" s="801"/>
      <c r="D70" s="790"/>
      <c r="E70" s="790"/>
      <c r="F70" s="790"/>
      <c r="G70" s="801" t="s">
        <v>4705</v>
      </c>
      <c r="H70" s="789" t="s">
        <v>291</v>
      </c>
      <c r="I70" s="791"/>
      <c r="J70" s="792" t="str">
        <f>IF(ISBLANK(HLOOKUP(CaseName,CaseData,MATCH($G70,cases!$G$4:$G$2494,0),FALSE)),"",HLOOKUP(CaseName,CaseData,MATCH($G70,cases!$G$4:$G$2494,0),FALSE))</f>
        <v/>
      </c>
      <c r="K70" s="517">
        <f>1/(1+L71*input!L281/1000+L73*input!L278/1000)</f>
        <v>0.99974158989686501</v>
      </c>
      <c r="L70" s="794">
        <f t="shared" si="4"/>
        <v>0.99974158989686501</v>
      </c>
      <c r="M70" s="789" t="s">
        <v>292</v>
      </c>
      <c r="N70" s="790"/>
      <c r="O70" s="795"/>
      <c r="P70" s="790"/>
    </row>
    <row r="71" spans="1:16" ht="12.75" customHeight="1" x14ac:dyDescent="0.3">
      <c r="A71" s="789"/>
      <c r="B71" s="790"/>
      <c r="C71" s="789" t="s">
        <v>1075</v>
      </c>
      <c r="D71" s="790"/>
      <c r="E71" s="790"/>
      <c r="F71" s="790"/>
      <c r="G71" s="801" t="s">
        <v>1076</v>
      </c>
      <c r="H71" s="789" t="s">
        <v>4706</v>
      </c>
      <c r="I71" s="791"/>
      <c r="J71" s="792" t="str">
        <f>IF(ISBLANK(HLOOKUP(CaseName,CaseData,MATCH($G71,cases!$G$4:$G$2494,0),FALSE)),"",HLOOKUP(CaseName,CaseData,MATCH($G71,cases!$G$4:$G$2494,0),FALSE))</f>
        <v/>
      </c>
      <c r="K71" s="808">
        <f>(FRorig.w1*Ksw+(1-FRorig.w1)*Ksw.alt)*(1000/RHOsolid/CORG)*L72</f>
        <v>76.953792352546415</v>
      </c>
      <c r="L71" s="794">
        <f t="shared" si="4"/>
        <v>76.953792352546415</v>
      </c>
      <c r="M71" s="789" t="s">
        <v>1078</v>
      </c>
      <c r="N71" s="790"/>
      <c r="O71" s="795"/>
      <c r="P71" s="790"/>
    </row>
    <row r="72" spans="1:16" ht="12.75" customHeight="1" x14ac:dyDescent="0.3">
      <c r="A72" s="789"/>
      <c r="B72" s="790"/>
      <c r="C72" s="789" t="s">
        <v>1079</v>
      </c>
      <c r="D72" s="790"/>
      <c r="E72" s="790"/>
      <c r="F72" s="790"/>
      <c r="G72" s="801" t="s">
        <v>1080</v>
      </c>
      <c r="H72" s="789" t="s">
        <v>291</v>
      </c>
      <c r="I72" s="791"/>
      <c r="J72" s="792" t="str">
        <f>IF(ISBLANK(HLOOKUP(CaseName,CaseData,MATCH($G72,cases!$G$4:$G$2494,0),FALSE)),"",HLOOKUP(CaseName,CaseData,MATCH($G72,cases!$G$4:$G$2494,0),FALSE))</f>
        <v/>
      </c>
      <c r="K72" s="808">
        <v>0.1</v>
      </c>
      <c r="L72" s="794">
        <f t="shared" si="4"/>
        <v>0.1</v>
      </c>
      <c r="M72" s="789" t="s">
        <v>292</v>
      </c>
      <c r="N72" s="790"/>
      <c r="O72" s="795"/>
      <c r="P72" s="790"/>
    </row>
    <row r="73" spans="1:16" ht="12.75" customHeight="1" x14ac:dyDescent="0.3">
      <c r="A73" s="789"/>
      <c r="B73" s="790"/>
      <c r="C73" s="789" t="s">
        <v>1081</v>
      </c>
      <c r="D73" s="790"/>
      <c r="E73" s="790"/>
      <c r="F73" s="790"/>
      <c r="G73" s="801" t="s">
        <v>1082</v>
      </c>
      <c r="H73" s="789" t="s">
        <v>1083</v>
      </c>
      <c r="I73" s="791"/>
      <c r="J73" s="792" t="str">
        <f>IF(ISBLANK(HLOOKUP(CaseName,CaseData,MATCH($G73,cases!$G$4:$G$2494,0),FALSE)),"",HLOOKUP(CaseName,CaseData,MATCH($G73,cases!$G$4:$G$2494,0),FALSE))</f>
        <v/>
      </c>
      <c r="K73" s="808">
        <f>0.08*D</f>
        <v>220</v>
      </c>
      <c r="L73" s="794">
        <f t="shared" si="4"/>
        <v>220</v>
      </c>
      <c r="M73" s="789" t="s">
        <v>1078</v>
      </c>
      <c r="N73" s="790"/>
      <c r="O73" s="795"/>
      <c r="P73" s="790"/>
    </row>
    <row r="74" spans="1:16" ht="12.75" customHeight="1" x14ac:dyDescent="0.3">
      <c r="A74" s="789"/>
      <c r="B74" s="789" t="s">
        <v>4707</v>
      </c>
      <c r="C74" s="801"/>
      <c r="D74" s="790"/>
      <c r="E74" s="790"/>
      <c r="F74" s="790"/>
      <c r="G74" s="801" t="s">
        <v>4708</v>
      </c>
      <c r="H74" s="789" t="s">
        <v>291</v>
      </c>
      <c r="I74" s="791"/>
      <c r="J74" s="792" t="str">
        <f>IF(ISBLANK(HLOOKUP(CaseName,CaseData,MATCH($G74,cases!$G$4:$G$2494,0),FALSE)),"",HLOOKUP(CaseName,CaseData,MATCH($G74,cases!$G$4:$G$2494,0),FALSE))</f>
        <v/>
      </c>
      <c r="K74" s="517">
        <f>1/(1+L75*input!L282/1000+L77*input!L279/1000)</f>
        <v>0.99862757924200896</v>
      </c>
      <c r="L74" s="794">
        <f t="shared" si="4"/>
        <v>0.99862757924200896</v>
      </c>
      <c r="M74" s="789" t="s">
        <v>292</v>
      </c>
      <c r="N74" s="790"/>
      <c r="O74" s="795"/>
      <c r="P74" s="790"/>
    </row>
    <row r="75" spans="1:16" ht="12.75" customHeight="1" x14ac:dyDescent="0.3">
      <c r="A75" s="789"/>
      <c r="B75" s="790"/>
      <c r="C75" s="789" t="s">
        <v>1075</v>
      </c>
      <c r="D75" s="790"/>
      <c r="E75" s="790"/>
      <c r="F75" s="790"/>
      <c r="G75" s="801" t="s">
        <v>1084</v>
      </c>
      <c r="H75" s="789" t="s">
        <v>4706</v>
      </c>
      <c r="I75" s="791"/>
      <c r="J75" s="792" t="str">
        <f>IF(ISBLANK(HLOOKUP(CaseName,CaseData,MATCH($G75,cases!$G$4:$G$2494,0),FALSE)),"",HLOOKUP(CaseName,CaseData,MATCH($G75,cases!$G$4:$G$2494,0),FALSE))</f>
        <v/>
      </c>
      <c r="K75" s="808">
        <f>(FRorig.w1*Ksw+(1-FRorig.w1)*Ksw.alt)*(1000/RHOsolid/CORG)*L76</f>
        <v>76.953792352546415</v>
      </c>
      <c r="L75" s="794">
        <f t="shared" si="4"/>
        <v>76.953792352546415</v>
      </c>
      <c r="M75" s="789" t="s">
        <v>1078</v>
      </c>
      <c r="N75" s="790"/>
      <c r="O75" s="795"/>
      <c r="P75" s="790"/>
    </row>
    <row r="76" spans="1:16" ht="12.75" customHeight="1" x14ac:dyDescent="0.3">
      <c r="A76" s="789"/>
      <c r="B76" s="790"/>
      <c r="C76" s="789" t="s">
        <v>1079</v>
      </c>
      <c r="D76" s="790"/>
      <c r="E76" s="790"/>
      <c r="F76" s="790"/>
      <c r="G76" s="801" t="s">
        <v>1085</v>
      </c>
      <c r="H76" s="789" t="s">
        <v>291</v>
      </c>
      <c r="I76" s="791"/>
      <c r="J76" s="792" t="str">
        <f>IF(ISBLANK(HLOOKUP(CaseName,CaseData,MATCH($G76,cases!$G$4:$G$2494,0),FALSE)),"",HLOOKUP(CaseName,CaseData,MATCH($G76,cases!$G$4:$G$2494,0),FALSE))</f>
        <v/>
      </c>
      <c r="K76" s="808">
        <v>0.1</v>
      </c>
      <c r="L76" s="794">
        <f t="shared" si="4"/>
        <v>0.1</v>
      </c>
      <c r="M76" s="789" t="s">
        <v>292</v>
      </c>
      <c r="N76" s="790"/>
      <c r="O76" s="795"/>
      <c r="P76" s="790"/>
    </row>
    <row r="77" spans="1:16" ht="12.75" customHeight="1" x14ac:dyDescent="0.3">
      <c r="A77" s="789"/>
      <c r="B77" s="790"/>
      <c r="C77" s="789" t="s">
        <v>1081</v>
      </c>
      <c r="D77" s="790"/>
      <c r="E77" s="790"/>
      <c r="F77" s="790"/>
      <c r="G77" s="801" t="s">
        <v>1086</v>
      </c>
      <c r="H77" s="789" t="s">
        <v>1083</v>
      </c>
      <c r="I77" s="791"/>
      <c r="J77" s="792" t="str">
        <f>IF(ISBLANK(HLOOKUP(CaseName,CaseData,MATCH($G77,cases!$G$4:$G$2494,0),FALSE)),"",HLOOKUP(CaseName,CaseData,MATCH($G77,cases!$G$4:$G$2494,0),FALSE))</f>
        <v/>
      </c>
      <c r="K77" s="808">
        <f>0.08*D</f>
        <v>220</v>
      </c>
      <c r="L77" s="794">
        <f t="shared" si="4"/>
        <v>220</v>
      </c>
      <c r="M77" s="789" t="s">
        <v>1078</v>
      </c>
      <c r="N77" s="790"/>
      <c r="O77" s="795"/>
      <c r="P77" s="790"/>
    </row>
    <row r="78" spans="1:16" ht="12.75" customHeight="1" x14ac:dyDescent="0.3">
      <c r="A78" s="789"/>
      <c r="B78" s="789" t="s">
        <v>4709</v>
      </c>
      <c r="C78" s="801"/>
      <c r="D78" s="790"/>
      <c r="E78" s="790"/>
      <c r="F78" s="790"/>
      <c r="G78" s="801" t="s">
        <v>4710</v>
      </c>
      <c r="H78" s="789" t="s">
        <v>291</v>
      </c>
      <c r="I78" s="791"/>
      <c r="J78" s="792" t="str">
        <f>IF(ISBLANK(HLOOKUP(CaseName,CaseData,MATCH($G78,cases!$G$4:$G$2494,0),FALSE)),"",HLOOKUP(CaseName,CaseData,MATCH($G78,cases!$G$4:$G$2494,0),FALSE))</f>
        <v/>
      </c>
      <c r="K78" s="808">
        <f>1/(1+L79*input!L283/1000+L81*input!L280/1000)</f>
        <v>0.99939559656267651</v>
      </c>
      <c r="L78" s="794">
        <f t="shared" si="4"/>
        <v>0.99939559656267651</v>
      </c>
      <c r="M78" s="789" t="s">
        <v>292</v>
      </c>
      <c r="N78" s="790"/>
      <c r="O78" s="795"/>
      <c r="P78" s="790"/>
    </row>
    <row r="79" spans="1:16" ht="12.75" customHeight="1" x14ac:dyDescent="0.3">
      <c r="A79" s="789"/>
      <c r="B79" s="790"/>
      <c r="C79" s="789" t="s">
        <v>1075</v>
      </c>
      <c r="D79" s="790"/>
      <c r="E79" s="790"/>
      <c r="F79" s="790"/>
      <c r="G79" s="801" t="s">
        <v>1087</v>
      </c>
      <c r="H79" s="789" t="s">
        <v>4706</v>
      </c>
      <c r="I79" s="791"/>
      <c r="J79" s="792" t="str">
        <f>IF(ISBLANK(HLOOKUP(CaseName,CaseData,MATCH($G79,cases!$G$4:$G$2494,0),FALSE)),"",HLOOKUP(CaseName,CaseData,MATCH($G79,cases!$G$4:$G$2494,0),FALSE))</f>
        <v/>
      </c>
      <c r="K79" s="808">
        <f>(FRorig.w2*Ksw+(1-FRorig.w2)*Ksw.alt)*(1000/RHOsolid/CORG)*L80</f>
        <v>76.953792352546415</v>
      </c>
      <c r="L79" s="794">
        <f t="shared" si="4"/>
        <v>76.953792352546415</v>
      </c>
      <c r="M79" s="789" t="s">
        <v>1078</v>
      </c>
      <c r="N79" s="790"/>
      <c r="O79" s="795"/>
      <c r="P79" s="790"/>
    </row>
    <row r="80" spans="1:16" ht="12.75" customHeight="1" x14ac:dyDescent="0.3">
      <c r="A80" s="789"/>
      <c r="B80" s="790"/>
      <c r="C80" s="789" t="s">
        <v>1079</v>
      </c>
      <c r="D80" s="790"/>
      <c r="E80" s="790"/>
      <c r="F80" s="790"/>
      <c r="G80" s="801" t="s">
        <v>1088</v>
      </c>
      <c r="H80" s="789" t="s">
        <v>291</v>
      </c>
      <c r="I80" s="791"/>
      <c r="J80" s="792" t="str">
        <f>IF(ISBLANK(HLOOKUP(CaseName,CaseData,MATCH($G80,cases!$G$4:$G$2494,0),FALSE)),"",HLOOKUP(CaseName,CaseData,MATCH($G80,cases!$G$4:$G$2494,0),FALSE))</f>
        <v/>
      </c>
      <c r="K80" s="808">
        <v>0.1</v>
      </c>
      <c r="L80" s="794">
        <f t="shared" si="4"/>
        <v>0.1</v>
      </c>
      <c r="M80" s="789" t="s">
        <v>292</v>
      </c>
      <c r="N80" s="790"/>
      <c r="O80" s="795"/>
      <c r="P80" s="790"/>
    </row>
    <row r="81" spans="1:16" ht="12.75" customHeight="1" x14ac:dyDescent="0.3">
      <c r="A81" s="789"/>
      <c r="B81" s="790"/>
      <c r="C81" s="789" t="s">
        <v>1081</v>
      </c>
      <c r="D81" s="790"/>
      <c r="E81" s="790"/>
      <c r="F81" s="790"/>
      <c r="G81" s="801" t="s">
        <v>1089</v>
      </c>
      <c r="H81" s="789" t="s">
        <v>1083</v>
      </c>
      <c r="I81" s="791"/>
      <c r="J81" s="792" t="str">
        <f>IF(ISBLANK(HLOOKUP(CaseName,CaseData,MATCH($G81,cases!$G$4:$G$2494,0),FALSE)),"",HLOOKUP(CaseName,CaseData,MATCH($G81,cases!$G$4:$G$2494,0),FALSE))</f>
        <v/>
      </c>
      <c r="K81" s="808">
        <f>0.08*D</f>
        <v>220</v>
      </c>
      <c r="L81" s="794">
        <f t="shared" si="4"/>
        <v>220</v>
      </c>
      <c r="M81" s="789" t="s">
        <v>1078</v>
      </c>
      <c r="N81" s="790"/>
      <c r="O81" s="795"/>
      <c r="P81" s="790"/>
    </row>
    <row r="82" spans="1:16" ht="12.75" customHeight="1" x14ac:dyDescent="0.3">
      <c r="A82" s="796"/>
      <c r="B82" s="797"/>
      <c r="C82" s="796" t="s">
        <v>1090</v>
      </c>
      <c r="D82" s="802"/>
      <c r="E82" s="797"/>
      <c r="F82" s="797"/>
      <c r="G82" s="802" t="s">
        <v>1091</v>
      </c>
      <c r="H82" s="796" t="s">
        <v>291</v>
      </c>
      <c r="I82" s="791"/>
      <c r="J82" s="792" t="str">
        <f>IF(ISBLANK(HLOOKUP(CaseName,CaseData,MATCH($G82,cases!$G$4:$G$2494,0),FALSE)),"",HLOOKUP(CaseName,CaseData,MATCH($G82,cases!$G$4:$G$2494,0),FALSE))</f>
        <v/>
      </c>
      <c r="K82" s="809">
        <f>L45+L46*L83*RHOsolid/1000</f>
        <v>20.038448088136601</v>
      </c>
      <c r="L82" s="794">
        <f t="shared" si="4"/>
        <v>20.038448088136601</v>
      </c>
      <c r="M82" s="796" t="s">
        <v>292</v>
      </c>
      <c r="N82" s="797"/>
      <c r="O82" s="799"/>
      <c r="P82" s="797"/>
    </row>
    <row r="83" spans="1:16" ht="12.75" customHeight="1" x14ac:dyDescent="0.3">
      <c r="A83" s="796"/>
      <c r="B83" s="797"/>
      <c r="C83" s="797"/>
      <c r="D83" s="796" t="s">
        <v>1092</v>
      </c>
      <c r="E83" s="797"/>
      <c r="F83" s="797"/>
      <c r="G83" s="802" t="s">
        <v>1093</v>
      </c>
      <c r="H83" s="796" t="s">
        <v>4706</v>
      </c>
      <c r="I83" s="791"/>
      <c r="J83" s="792" t="str">
        <f>IF(ISBLANK(HLOOKUP(CaseName,CaseData,MATCH($G83,cases!$G$4:$G$2494,0),FALSE)),"",HLOOKUP(CaseName,CaseData,MATCH($G83,cases!$G$4:$G$2494,0),FALSE))</f>
        <v/>
      </c>
      <c r="K83" s="809">
        <f>(FRorig.sd1*Ksw+(1-FRorig.sd1)*Ksw.alt)*(1000/RHOsolid/CORG)*L84</f>
        <v>38.476896176273208</v>
      </c>
      <c r="L83" s="794">
        <f t="shared" si="4"/>
        <v>38.476896176273208</v>
      </c>
      <c r="M83" s="796" t="s">
        <v>1078</v>
      </c>
      <c r="N83" s="797"/>
      <c r="O83" s="799"/>
      <c r="P83" s="797"/>
    </row>
    <row r="84" spans="1:16" ht="12.75" customHeight="1" x14ac:dyDescent="0.3">
      <c r="A84" s="796"/>
      <c r="B84" s="797"/>
      <c r="C84" s="796" t="s">
        <v>1094</v>
      </c>
      <c r="D84" s="797"/>
      <c r="E84" s="797"/>
      <c r="F84" s="797"/>
      <c r="G84" s="802" t="s">
        <v>1095</v>
      </c>
      <c r="H84" s="796" t="s">
        <v>291</v>
      </c>
      <c r="I84" s="791"/>
      <c r="J84" s="792" t="str">
        <f>IF(ISBLANK(HLOOKUP(CaseName,CaseData,MATCH($G84,cases!$G$4:$G$2494,0),FALSE)),"",HLOOKUP(CaseName,CaseData,MATCH($G84,cases!$G$4:$G$2494,0),FALSE))</f>
        <v/>
      </c>
      <c r="K84" s="809">
        <v>0.05</v>
      </c>
      <c r="L84" s="794">
        <f t="shared" si="4"/>
        <v>0.05</v>
      </c>
      <c r="M84" s="797" t="s">
        <v>292</v>
      </c>
      <c r="N84" s="797"/>
      <c r="O84" s="799"/>
      <c r="P84" s="797"/>
    </row>
    <row r="85" spans="1:16" ht="12.75" customHeight="1" x14ac:dyDescent="0.3">
      <c r="A85" s="789"/>
      <c r="B85" s="789"/>
      <c r="C85" s="789" t="s">
        <v>1096</v>
      </c>
      <c r="D85" s="801"/>
      <c r="E85" s="790"/>
      <c r="F85" s="790"/>
      <c r="G85" s="801" t="s">
        <v>1097</v>
      </c>
      <c r="H85" s="789" t="s">
        <v>291</v>
      </c>
      <c r="I85" s="791"/>
      <c r="J85" s="792" t="str">
        <f>IF(ISBLANK(HLOOKUP(CaseName,CaseData,MATCH($G85,cases!$G$4:$G$2494,0),FALSE)),"",HLOOKUP(CaseName,CaseData,MATCH($G85,cases!$G$4:$G$2494,0),FALSE))</f>
        <v/>
      </c>
      <c r="K85" s="808">
        <f>L45+L46*L86*RHOsolid/1000</f>
        <v>20.038448088136601</v>
      </c>
      <c r="L85" s="794">
        <f t="shared" si="4"/>
        <v>20.038448088136601</v>
      </c>
      <c r="M85" s="789" t="s">
        <v>292</v>
      </c>
      <c r="N85" s="790"/>
      <c r="O85" s="795"/>
      <c r="P85" s="790"/>
    </row>
    <row r="86" spans="1:16" ht="12.75" customHeight="1" x14ac:dyDescent="0.3">
      <c r="A86" s="789"/>
      <c r="B86" s="790"/>
      <c r="C86" s="790"/>
      <c r="D86" s="789" t="s">
        <v>1098</v>
      </c>
      <c r="E86" s="790"/>
      <c r="F86" s="790"/>
      <c r="G86" s="801" t="s">
        <v>1099</v>
      </c>
      <c r="H86" s="789" t="s">
        <v>4706</v>
      </c>
      <c r="I86" s="791"/>
      <c r="J86" s="792" t="str">
        <f>IF(ISBLANK(HLOOKUP(CaseName,CaseData,MATCH($G86,cases!$G$4:$G$2494,0),FALSE)),"",HLOOKUP(CaseName,CaseData,MATCH($G86,cases!$G$4:$G$2494,0),FALSE))</f>
        <v/>
      </c>
      <c r="K86" s="808">
        <f>(FRorig.sd1*Ksw+(1-FRorig.sd1)*Ksw.alt)*(1000/RHOsolid/CORG)*L87</f>
        <v>38.476896176273208</v>
      </c>
      <c r="L86" s="794">
        <f t="shared" si="4"/>
        <v>38.476896176273208</v>
      </c>
      <c r="M86" s="789" t="s">
        <v>1078</v>
      </c>
      <c r="N86" s="790"/>
      <c r="O86" s="795"/>
      <c r="P86" s="790"/>
    </row>
    <row r="87" spans="1:16" ht="12.75" customHeight="1" x14ac:dyDescent="0.3">
      <c r="A87" s="789"/>
      <c r="B87" s="790"/>
      <c r="C87" s="789" t="s">
        <v>1100</v>
      </c>
      <c r="D87" s="790"/>
      <c r="E87" s="790"/>
      <c r="F87" s="790"/>
      <c r="G87" s="801" t="s">
        <v>1101</v>
      </c>
      <c r="H87" s="789" t="s">
        <v>291</v>
      </c>
      <c r="I87" s="791"/>
      <c r="J87" s="792" t="str">
        <f>IF(ISBLANK(HLOOKUP(CaseName,CaseData,MATCH($G87,cases!$G$4:$G$2494,0),FALSE)),"",HLOOKUP(CaseName,CaseData,MATCH($G87,cases!$G$4:$G$2494,0),FALSE))</f>
        <v/>
      </c>
      <c r="K87" s="808">
        <v>0.05</v>
      </c>
      <c r="L87" s="794">
        <f t="shared" si="4"/>
        <v>0.05</v>
      </c>
      <c r="M87" s="790" t="s">
        <v>292</v>
      </c>
      <c r="N87" s="790"/>
      <c r="O87" s="795"/>
      <c r="P87" s="790"/>
    </row>
    <row r="88" spans="1:16" ht="12.75" customHeight="1" x14ac:dyDescent="0.3">
      <c r="A88" s="789"/>
      <c r="B88" s="789"/>
      <c r="C88" s="789" t="s">
        <v>1102</v>
      </c>
      <c r="D88" s="801"/>
      <c r="E88" s="790"/>
      <c r="F88" s="790"/>
      <c r="G88" s="801" t="s">
        <v>1103</v>
      </c>
      <c r="H88" s="789" t="s">
        <v>291</v>
      </c>
      <c r="I88" s="791"/>
      <c r="J88" s="792" t="str">
        <f>IF(ISBLANK(HLOOKUP(CaseName,CaseData,MATCH($G88,cases!$G$4:$G$2494,0),FALSE)),"",HLOOKUP(CaseName,CaseData,MATCH($G88,cases!$G$4:$G$2494,0),FALSE))</f>
        <v/>
      </c>
      <c r="K88" s="808">
        <f>L45+L46*L89*RHOsolid/1000</f>
        <v>20.038448088136601</v>
      </c>
      <c r="L88" s="794">
        <f t="shared" si="4"/>
        <v>20.038448088136601</v>
      </c>
      <c r="M88" s="790" t="s">
        <v>292</v>
      </c>
      <c r="N88" s="790"/>
      <c r="O88" s="795"/>
      <c r="P88" s="790"/>
    </row>
    <row r="89" spans="1:16" ht="12.75" customHeight="1" x14ac:dyDescent="0.3">
      <c r="A89" s="789"/>
      <c r="B89" s="789"/>
      <c r="C89" s="790"/>
      <c r="D89" s="789" t="s">
        <v>1104</v>
      </c>
      <c r="E89" s="790"/>
      <c r="F89" s="790"/>
      <c r="G89" s="801" t="s">
        <v>1105</v>
      </c>
      <c r="H89" s="789" t="s">
        <v>4706</v>
      </c>
      <c r="I89" s="791"/>
      <c r="J89" s="792" t="str">
        <f>IF(ISBLANK(HLOOKUP(CaseName,CaseData,MATCH($G89,cases!$G$4:$G$2494,0),FALSE)),"",HLOOKUP(CaseName,CaseData,MATCH($G89,cases!$G$4:$G$2494,0),FALSE))</f>
        <v/>
      </c>
      <c r="K89" s="808">
        <f>(FRorig.sd2*Ksw+(1-FRorig.sd2)*Ksw.alt)*(1000/RHOsolid/CORG)*L90</f>
        <v>38.476896176273208</v>
      </c>
      <c r="L89" s="794">
        <f t="shared" si="4"/>
        <v>38.476896176273208</v>
      </c>
      <c r="M89" s="789" t="s">
        <v>1078</v>
      </c>
      <c r="N89" s="790"/>
      <c r="O89" s="795"/>
      <c r="P89" s="790"/>
    </row>
    <row r="90" spans="1:16" ht="12.75" customHeight="1" x14ac:dyDescent="0.3">
      <c r="A90" s="789"/>
      <c r="B90" s="790"/>
      <c r="C90" s="789" t="s">
        <v>1106</v>
      </c>
      <c r="D90" s="790"/>
      <c r="E90" s="790"/>
      <c r="F90" s="790"/>
      <c r="G90" s="801" t="s">
        <v>1107</v>
      </c>
      <c r="H90" s="789" t="s">
        <v>291</v>
      </c>
      <c r="I90" s="791"/>
      <c r="J90" s="792" t="str">
        <f>IF(ISBLANK(HLOOKUP(CaseName,CaseData,MATCH($G90,cases!$G$4:$G$2494,0),FALSE)),"",HLOOKUP(CaseName,CaseData,MATCH($G90,cases!$G$4:$G$2494,0),FALSE))</f>
        <v/>
      </c>
      <c r="K90" s="808">
        <v>0.05</v>
      </c>
      <c r="L90" s="794">
        <f t="shared" si="4"/>
        <v>0.05</v>
      </c>
      <c r="M90" s="790" t="s">
        <v>292</v>
      </c>
      <c r="N90" s="790"/>
      <c r="O90" s="795"/>
      <c r="P90" s="790"/>
    </row>
    <row r="91" spans="1:16" ht="12.75" customHeight="1" x14ac:dyDescent="0.3">
      <c r="A91" s="789"/>
      <c r="B91" s="789"/>
      <c r="C91" s="789" t="s">
        <v>1108</v>
      </c>
      <c r="D91" s="801"/>
      <c r="E91" s="790"/>
      <c r="F91" s="790"/>
      <c r="G91" s="801" t="s">
        <v>1109</v>
      </c>
      <c r="H91" s="789" t="s">
        <v>291</v>
      </c>
      <c r="I91" s="791"/>
      <c r="J91" s="792" t="str">
        <f>IF(ISBLANK(HLOOKUP(CaseName,CaseData,MATCH($G91,cases!$G$4:$G$2494,0),FALSE)),"",HLOOKUP(CaseName,CaseData,MATCH($G91,cases!$G$4:$G$2494,0),FALSE))</f>
        <v/>
      </c>
      <c r="K91" s="808">
        <f>L36*(L67*FRorig.s1w)+L37+L38*L94*RHOsolid/1000</f>
        <v>23.304108643447179</v>
      </c>
      <c r="L91" s="794">
        <f t="shared" si="4"/>
        <v>23.304108643447179</v>
      </c>
      <c r="M91" s="790" t="s">
        <v>292</v>
      </c>
      <c r="N91" s="790"/>
      <c r="O91" s="795"/>
      <c r="P91" s="790"/>
    </row>
    <row r="92" spans="1:16" ht="12.75" customHeight="1" x14ac:dyDescent="0.3">
      <c r="A92" s="789"/>
      <c r="B92" s="789" t="s">
        <v>4711</v>
      </c>
      <c r="C92" s="801"/>
      <c r="D92" s="790"/>
      <c r="E92" s="790"/>
      <c r="F92" s="790"/>
      <c r="G92" s="801" t="s">
        <v>4712</v>
      </c>
      <c r="H92" s="789" t="s">
        <v>291</v>
      </c>
      <c r="I92" s="791"/>
      <c r="J92" s="792" t="str">
        <f>IF(ISBLANK(HLOOKUP(CaseName,CaseData,MATCH($G92,cases!$G$4:$G$2494,0),FALSE)),"",HLOOKUP(CaseName,CaseData,MATCH($G92,cases!$G$4:$G$2494,0),FALSE))</f>
        <v/>
      </c>
      <c r="K92" s="517">
        <f>L37/(L36*(L67*FRorig.s1w)+L37+L38*L94*RHOsolid/1000)</f>
        <v>8.5821776348539939E-3</v>
      </c>
      <c r="L92" s="794">
        <f t="shared" si="4"/>
        <v>8.5821776348539939E-3</v>
      </c>
      <c r="M92" s="790"/>
      <c r="N92" s="790"/>
      <c r="O92" s="795"/>
      <c r="P92" s="790"/>
    </row>
    <row r="93" spans="1:16" ht="12.75" customHeight="1" x14ac:dyDescent="0.3">
      <c r="A93" s="789"/>
      <c r="B93" s="789" t="s">
        <v>4713</v>
      </c>
      <c r="C93" s="801"/>
      <c r="D93" s="790"/>
      <c r="E93" s="790"/>
      <c r="F93" s="790"/>
      <c r="G93" s="801" t="s">
        <v>1110</v>
      </c>
      <c r="H93" s="789" t="s">
        <v>291</v>
      </c>
      <c r="I93" s="791"/>
      <c r="J93" s="792" t="str">
        <f>IF(ISBLANK(HLOOKUP(CaseName,CaseData,MATCH($G93,cases!$G$4:$G$2494,0),FALSE)),"",HLOOKUP(CaseName,CaseData,MATCH($G93,cases!$G$4:$G$2494,0),FALSE))</f>
        <v/>
      </c>
      <c r="K93" s="517">
        <f>L38 / (L36*L67*FRorig.s1w/(L94*RHOsolid/1000)+L37 /(L94*RHOsolid/1000)+L38 )</f>
        <v>0.99064667346783319</v>
      </c>
      <c r="L93" s="794">
        <f t="shared" si="4"/>
        <v>0.99064667346783319</v>
      </c>
      <c r="M93" s="790"/>
      <c r="N93" s="790"/>
      <c r="O93" s="795"/>
      <c r="P93" s="790"/>
    </row>
    <row r="94" spans="1:16" ht="12.75" customHeight="1" x14ac:dyDescent="0.3">
      <c r="A94" s="789"/>
      <c r="B94" s="790"/>
      <c r="C94" s="789" t="s">
        <v>1111</v>
      </c>
      <c r="D94" s="790"/>
      <c r="E94" s="790"/>
      <c r="F94" s="790"/>
      <c r="G94" s="801" t="s">
        <v>1112</v>
      </c>
      <c r="H94" s="789" t="s">
        <v>4706</v>
      </c>
      <c r="I94" s="791"/>
      <c r="J94" s="792" t="str">
        <f>IF(ISBLANK(HLOOKUP(CaseName,CaseData,MATCH($G94,cases!$G$4:$G$2494,0),FALSE)),"",HLOOKUP(CaseName,CaseData,MATCH($G94,cases!$G$4:$G$2494,0),FALSE))</f>
        <v/>
      </c>
      <c r="K94" s="808">
        <f>(FRorig.s1*Ksw+(1-FRorig.s1)*Ksw.alt)*(1000/RHOsolid/CORG)*L95</f>
        <v>15.390758470509281</v>
      </c>
      <c r="L94" s="794">
        <f t="shared" si="4"/>
        <v>15.390758470509281</v>
      </c>
      <c r="M94" s="789" t="s">
        <v>1078</v>
      </c>
      <c r="N94" s="790"/>
      <c r="O94" s="795"/>
      <c r="P94" s="790"/>
    </row>
    <row r="95" spans="1:16" ht="12.75" customHeight="1" x14ac:dyDescent="0.3">
      <c r="A95" s="789"/>
      <c r="B95" s="790"/>
      <c r="C95" s="789" t="s">
        <v>1113</v>
      </c>
      <c r="D95" s="790"/>
      <c r="E95" s="790"/>
      <c r="F95" s="790"/>
      <c r="G95" s="801" t="s">
        <v>1114</v>
      </c>
      <c r="H95" s="789" t="s">
        <v>291</v>
      </c>
      <c r="I95" s="791"/>
      <c r="J95" s="792" t="str">
        <f>IF(ISBLANK(HLOOKUP(CaseName,CaseData,MATCH($G95,cases!$G$4:$G$2494,0),FALSE)),"",HLOOKUP(CaseName,CaseData,MATCH($G95,cases!$G$4:$G$2494,0),FALSE))</f>
        <v/>
      </c>
      <c r="K95" s="808">
        <v>0.02</v>
      </c>
      <c r="L95" s="794">
        <f t="shared" si="4"/>
        <v>0.02</v>
      </c>
      <c r="M95" s="790" t="s">
        <v>292</v>
      </c>
      <c r="N95" s="790"/>
      <c r="O95" s="795"/>
      <c r="P95" s="790"/>
    </row>
    <row r="96" spans="1:16" ht="12.75" customHeight="1" x14ac:dyDescent="0.3">
      <c r="A96" s="789"/>
      <c r="B96" s="789"/>
      <c r="C96" s="789" t="s">
        <v>1115</v>
      </c>
      <c r="D96" s="801"/>
      <c r="E96" s="790"/>
      <c r="F96" s="790"/>
      <c r="G96" s="801" t="s">
        <v>1116</v>
      </c>
      <c r="H96" s="789" t="s">
        <v>291</v>
      </c>
      <c r="I96" s="791"/>
      <c r="J96" s="792" t="str">
        <f>IF(ISBLANK(HLOOKUP(CaseName,CaseData,MATCH($G96,cases!$G$4:$G$2494,0),FALSE)),"",HLOOKUP(CaseName,CaseData,MATCH($G96,cases!$G$4:$G$2494,0),FALSE))</f>
        <v/>
      </c>
      <c r="K96" s="808">
        <f>L39*(L67*FRorig.s2w)+L40+L41*L99*RHOsolid/1000</f>
        <v>23.304108643447179</v>
      </c>
      <c r="L96" s="794">
        <f t="shared" si="4"/>
        <v>23.304108643447179</v>
      </c>
      <c r="M96" s="790" t="s">
        <v>292</v>
      </c>
      <c r="N96" s="790"/>
      <c r="O96" s="795"/>
      <c r="P96" s="790"/>
    </row>
    <row r="97" spans="1:16" ht="12.75" customHeight="1" x14ac:dyDescent="0.3">
      <c r="A97" s="789"/>
      <c r="B97" s="789" t="s">
        <v>4714</v>
      </c>
      <c r="C97" s="801"/>
      <c r="D97" s="790"/>
      <c r="E97" s="790"/>
      <c r="F97" s="790"/>
      <c r="G97" s="801" t="s">
        <v>4715</v>
      </c>
      <c r="H97" s="789" t="s">
        <v>291</v>
      </c>
      <c r="I97" s="791"/>
      <c r="J97" s="792" t="str">
        <f>IF(ISBLANK(HLOOKUP(CaseName,CaseData,MATCH($G97,cases!$G$4:$G$2494,0),FALSE)),"",HLOOKUP(CaseName,CaseData,MATCH($G97,cases!$G$4:$G$2494,0),FALSE))</f>
        <v/>
      </c>
      <c r="K97" s="517">
        <f>L40/(L39*(L67*FRorig.s2w)+L40+L41*L99*RHOsolid/1000)</f>
        <v>8.5821776348539939E-3</v>
      </c>
      <c r="L97" s="794">
        <f t="shared" si="4"/>
        <v>8.5821776348539939E-3</v>
      </c>
      <c r="M97" s="790" t="s">
        <v>292</v>
      </c>
      <c r="N97" s="790"/>
      <c r="O97" s="795"/>
      <c r="P97" s="790"/>
    </row>
    <row r="98" spans="1:16" ht="12.75" customHeight="1" x14ac:dyDescent="0.3">
      <c r="A98" s="789"/>
      <c r="B98" s="789" t="s">
        <v>4716</v>
      </c>
      <c r="C98" s="801"/>
      <c r="D98" s="790"/>
      <c r="E98" s="790"/>
      <c r="F98" s="790"/>
      <c r="G98" s="801" t="s">
        <v>1117</v>
      </c>
      <c r="H98" s="789" t="s">
        <v>291</v>
      </c>
      <c r="I98" s="791"/>
      <c r="J98" s="792" t="str">
        <f>IF(ISBLANK(HLOOKUP(CaseName,CaseData,MATCH($G98,cases!$G$4:$G$2494,0),FALSE)),"",HLOOKUP(CaseName,CaseData,MATCH($G98,cases!$G$4:$G$2494,0),FALSE))</f>
        <v/>
      </c>
      <c r="K98" s="517">
        <f>L41/(L39*(L67*FRorig.s2w)/(L99*RHOsolid/1000)+L40/(L99*RHOsolid/1000)+L41)</f>
        <v>0.99064667346783319</v>
      </c>
      <c r="L98" s="794">
        <f t="shared" si="4"/>
        <v>0.99064667346783319</v>
      </c>
      <c r="M98" s="518" t="s">
        <v>292</v>
      </c>
      <c r="N98" s="790"/>
      <c r="O98" s="795"/>
      <c r="P98" s="790"/>
    </row>
    <row r="99" spans="1:16" ht="12.75" customHeight="1" x14ac:dyDescent="0.3">
      <c r="A99" s="789"/>
      <c r="B99" s="790"/>
      <c r="C99" s="789" t="s">
        <v>1118</v>
      </c>
      <c r="D99" s="790"/>
      <c r="E99" s="790"/>
      <c r="F99" s="790"/>
      <c r="G99" s="801" t="s">
        <v>1119</v>
      </c>
      <c r="H99" s="789" t="s">
        <v>4706</v>
      </c>
      <c r="I99" s="791"/>
      <c r="J99" s="792" t="str">
        <f>IF(ISBLANK(HLOOKUP(CaseName,CaseData,MATCH($G99,cases!$G$4:$G$2494,0),FALSE)),"",HLOOKUP(CaseName,CaseData,MATCH($G99,cases!$G$4:$G$2494,0),FALSE))</f>
        <v/>
      </c>
      <c r="K99" s="808">
        <f>(FRorig.s2*Ksw+(1-FRorig.s2)*Ksw.alt)*(1000/RHOsolid/CORG)*L100</f>
        <v>15.390758470509281</v>
      </c>
      <c r="L99" s="794">
        <f t="shared" si="4"/>
        <v>15.390758470509281</v>
      </c>
      <c r="M99" s="789" t="s">
        <v>1078</v>
      </c>
      <c r="N99" s="790"/>
      <c r="O99" s="795"/>
      <c r="P99" s="790"/>
    </row>
    <row r="100" spans="1:16" ht="12.75" customHeight="1" x14ac:dyDescent="0.3">
      <c r="A100" s="789"/>
      <c r="B100" s="790"/>
      <c r="C100" s="789" t="s">
        <v>1120</v>
      </c>
      <c r="D100" s="790"/>
      <c r="E100" s="790"/>
      <c r="F100" s="790"/>
      <c r="G100" s="801" t="s">
        <v>1121</v>
      </c>
      <c r="H100" s="789" t="s">
        <v>291</v>
      </c>
      <c r="I100" s="791"/>
      <c r="J100" s="792" t="str">
        <f>IF(ISBLANK(HLOOKUP(CaseName,CaseData,MATCH($G100,cases!$G$4:$G$2494,0),FALSE)),"",HLOOKUP(CaseName,CaseData,MATCH($G100,cases!$G$4:$G$2494,0),FALSE))</f>
        <v/>
      </c>
      <c r="K100" s="808">
        <v>0.02</v>
      </c>
      <c r="L100" s="794">
        <f t="shared" si="4"/>
        <v>0.02</v>
      </c>
      <c r="M100" s="790" t="s">
        <v>292</v>
      </c>
      <c r="N100" s="790"/>
      <c r="O100" s="795"/>
      <c r="P100" s="790"/>
    </row>
    <row r="101" spans="1:16" ht="12.75" customHeight="1" x14ac:dyDescent="0.3">
      <c r="A101" s="789"/>
      <c r="B101" s="789"/>
      <c r="C101" s="789" t="s">
        <v>1122</v>
      </c>
      <c r="D101" s="801"/>
      <c r="E101" s="790"/>
      <c r="F101" s="790"/>
      <c r="G101" s="801" t="s">
        <v>1123</v>
      </c>
      <c r="H101" s="789" t="s">
        <v>291</v>
      </c>
      <c r="I101" s="791"/>
      <c r="J101" s="792" t="str">
        <f>IF(ISBLANK(HLOOKUP(CaseName,CaseData,MATCH($G101,cases!$G$4:$G$2494,0),FALSE)),"",HLOOKUP(CaseName,CaseData,MATCH($G101,cases!$G$4:$G$2494,0),FALSE))</f>
        <v/>
      </c>
      <c r="K101" s="808">
        <f>L42*(L67*FRorig.s3w)+L43+L44*L104*RHOsolid/1000</f>
        <v>23.304108643447179</v>
      </c>
      <c r="L101" s="794">
        <f t="shared" si="4"/>
        <v>23.304108643447179</v>
      </c>
      <c r="M101" s="790" t="s">
        <v>292</v>
      </c>
      <c r="N101" s="790"/>
      <c r="O101" s="795"/>
      <c r="P101" s="790"/>
    </row>
    <row r="102" spans="1:16" ht="12.75" customHeight="1" x14ac:dyDescent="0.3">
      <c r="A102" s="789"/>
      <c r="B102" s="789" t="s">
        <v>4717</v>
      </c>
      <c r="C102" s="801"/>
      <c r="D102" s="790"/>
      <c r="E102" s="790"/>
      <c r="F102" s="790"/>
      <c r="G102" s="801" t="s">
        <v>4718</v>
      </c>
      <c r="H102" s="789" t="s">
        <v>291</v>
      </c>
      <c r="I102" s="791"/>
      <c r="J102" s="792" t="str">
        <f>IF(ISBLANK(HLOOKUP(CaseName,CaseData,MATCH($G102,cases!$G$4:$G$2494,0),FALSE)),"",HLOOKUP(CaseName,CaseData,MATCH($G102,cases!$G$4:$G$2494,0),FALSE))</f>
        <v/>
      </c>
      <c r="K102" s="517">
        <f>L43/(L42*(L67*FRorig.s3w)+L43+L44*L104*RHOsolid/1000)</f>
        <v>8.5821776348539939E-3</v>
      </c>
      <c r="L102" s="794">
        <f t="shared" si="4"/>
        <v>8.5821776348539939E-3</v>
      </c>
      <c r="M102" s="790" t="s">
        <v>292</v>
      </c>
      <c r="N102" s="790"/>
      <c r="O102" s="795"/>
      <c r="P102" s="790"/>
    </row>
    <row r="103" spans="1:16" ht="12.75" customHeight="1" x14ac:dyDescent="0.3">
      <c r="A103" s="789"/>
      <c r="B103" s="789" t="s">
        <v>4719</v>
      </c>
      <c r="C103" s="801"/>
      <c r="D103" s="790"/>
      <c r="E103" s="790"/>
      <c r="F103" s="790"/>
      <c r="G103" s="801" t="s">
        <v>1124</v>
      </c>
      <c r="H103" s="789" t="s">
        <v>291</v>
      </c>
      <c r="I103" s="791"/>
      <c r="J103" s="792" t="str">
        <f>IF(ISBLANK(HLOOKUP(CaseName,CaseData,MATCH($G103,cases!$G$4:$G$2494,0),FALSE)),"",HLOOKUP(CaseName,CaseData,MATCH($G103,cases!$G$4:$G$2494,0),FALSE))</f>
        <v/>
      </c>
      <c r="K103" s="517">
        <f>L44/(L42*(L67*FRorig.s3w)/(L104*RHOsolid/1000)+L43/(L104*RHOsolid/1000)+L44)</f>
        <v>0.99064667346783319</v>
      </c>
      <c r="L103" s="794">
        <f t="shared" si="4"/>
        <v>0.99064667346783319</v>
      </c>
      <c r="M103" s="518" t="s">
        <v>292</v>
      </c>
      <c r="N103" s="790"/>
      <c r="O103" s="795"/>
      <c r="P103" s="790"/>
    </row>
    <row r="104" spans="1:16" ht="12.75" customHeight="1" x14ac:dyDescent="0.3">
      <c r="A104" s="789"/>
      <c r="B104" s="790"/>
      <c r="C104" s="789" t="s">
        <v>1125</v>
      </c>
      <c r="D104" s="790"/>
      <c r="E104" s="790"/>
      <c r="F104" s="790"/>
      <c r="G104" s="801" t="s">
        <v>1126</v>
      </c>
      <c r="H104" s="789" t="s">
        <v>4706</v>
      </c>
      <c r="I104" s="791"/>
      <c r="J104" s="792" t="str">
        <f>IF(ISBLANK(HLOOKUP(CaseName,CaseData,MATCH($G104,cases!$G$4:$G$2494,0),FALSE)),"",HLOOKUP(CaseName,CaseData,MATCH($G104,cases!$G$4:$G$2494,0),FALSE))</f>
        <v/>
      </c>
      <c r="K104" s="808">
        <f>(FRorig.s3*Ksw+(1-FRorig.s3)*Ksw.alt)*(1000/RHOsolid/CORG)*L105</f>
        <v>15.390758470509281</v>
      </c>
      <c r="L104" s="794">
        <f t="shared" si="4"/>
        <v>15.390758470509281</v>
      </c>
      <c r="M104" s="789" t="s">
        <v>1078</v>
      </c>
      <c r="N104" s="790"/>
      <c r="O104" s="795"/>
      <c r="P104" s="790"/>
    </row>
    <row r="105" spans="1:16" ht="12.75" customHeight="1" x14ac:dyDescent="0.3">
      <c r="A105" s="789"/>
      <c r="B105" s="790"/>
      <c r="C105" s="789" t="s">
        <v>1127</v>
      </c>
      <c r="D105" s="790"/>
      <c r="E105" s="790"/>
      <c r="F105" s="790"/>
      <c r="G105" s="801" t="s">
        <v>1128</v>
      </c>
      <c r="H105" s="789" t="s">
        <v>291</v>
      </c>
      <c r="I105" s="791"/>
      <c r="J105" s="792" t="str">
        <f>IF(ISBLANK(HLOOKUP(CaseName,CaseData,MATCH($G105,cases!$G$4:$G$2494,0),FALSE)),"",HLOOKUP(CaseName,CaseData,MATCH($G105,cases!$G$4:$G$2494,0),FALSE))</f>
        <v/>
      </c>
      <c r="K105" s="808">
        <v>0.02</v>
      </c>
      <c r="L105" s="794">
        <f t="shared" si="4"/>
        <v>0.02</v>
      </c>
      <c r="M105" s="790" t="s">
        <v>292</v>
      </c>
      <c r="N105" s="790"/>
      <c r="O105" s="795"/>
      <c r="P105" s="790"/>
    </row>
    <row r="106" spans="1:16" ht="12.75" customHeight="1" x14ac:dyDescent="0.3">
      <c r="A106" s="779"/>
      <c r="D106" s="779"/>
      <c r="G106" s="810"/>
      <c r="I106" s="780"/>
      <c r="J106" s="805"/>
    </row>
    <row r="107" spans="1:16" s="784" customFormat="1" ht="12.75" customHeight="1" x14ac:dyDescent="0.3">
      <c r="A107" s="785" t="s">
        <v>1129</v>
      </c>
      <c r="G107" s="785" t="s">
        <v>258</v>
      </c>
      <c r="H107" s="785" t="s">
        <v>274</v>
      </c>
      <c r="I107" s="786" t="s">
        <v>259</v>
      </c>
      <c r="J107" s="811" t="s">
        <v>275</v>
      </c>
      <c r="K107" s="786" t="s">
        <v>260</v>
      </c>
      <c r="L107" s="787" t="s">
        <v>261</v>
      </c>
      <c r="N107" s="785" t="s">
        <v>262</v>
      </c>
      <c r="O107" s="788"/>
    </row>
    <row r="108" spans="1:16" ht="12.75" customHeight="1" x14ac:dyDescent="0.3">
      <c r="I108" s="780"/>
      <c r="J108" s="805"/>
    </row>
    <row r="109" spans="1:16" ht="12.75" customHeight="1" x14ac:dyDescent="0.3">
      <c r="A109" s="789" t="s">
        <v>4720</v>
      </c>
      <c r="B109" s="790"/>
      <c r="C109" s="790"/>
      <c r="D109" s="790"/>
      <c r="E109" s="790"/>
      <c r="F109" s="790"/>
      <c r="G109" s="789" t="s">
        <v>1130</v>
      </c>
      <c r="H109" s="789" t="s">
        <v>4690</v>
      </c>
      <c r="I109" s="812"/>
      <c r="J109" s="792" t="str">
        <f>IF(ISBLANK(HLOOKUP(CaseName,CaseData,MATCH($G109,cases!$G$4:$G$2494,0),FALSE)),"",HLOOKUP(CaseName,CaseData,MATCH($G109,cases!$G$4:$G$2494,0),FALSE))</f>
        <v/>
      </c>
      <c r="K109" s="808">
        <f>(L121+L132/L23)*L17</f>
        <v>1.425790919893887E-10</v>
      </c>
      <c r="L109" s="794">
        <f t="shared" ref="L109:L124" si="5">IF(ISBLANK(I109),IF(ISNUMBER(J109)=FALSE,K109,J109),I109)</f>
        <v>1.425790919893887E-10</v>
      </c>
      <c r="M109" s="790" t="s">
        <v>1038</v>
      </c>
      <c r="N109" s="790"/>
      <c r="O109" s="795"/>
      <c r="P109" s="790"/>
    </row>
    <row r="110" spans="1:16" ht="12.75" customHeight="1" x14ac:dyDescent="0.3">
      <c r="A110" s="789" t="s">
        <v>4721</v>
      </c>
      <c r="B110" s="790"/>
      <c r="C110" s="790"/>
      <c r="D110" s="790"/>
      <c r="E110" s="790"/>
      <c r="F110" s="790"/>
      <c r="G110" s="789" t="s">
        <v>1131</v>
      </c>
      <c r="H110" s="789" t="s">
        <v>4690</v>
      </c>
      <c r="I110" s="812"/>
      <c r="J110" s="792" t="str">
        <f>IF(ISBLANK(HLOOKUP(CaseName,CaseData,MATCH($G110,cases!$G$4:$G$2494,0),FALSE)),"",HLOOKUP(CaseName,CaseData,MATCH($G110,cases!$G$4:$G$2494,0),FALSE))</f>
        <v/>
      </c>
      <c r="K110" s="808">
        <f>(L121+L132/L23)*L18</f>
        <v>1.5683700118832757E-9</v>
      </c>
      <c r="L110" s="794">
        <f t="shared" si="5"/>
        <v>1.5683700118832757E-9</v>
      </c>
      <c r="M110" s="790" t="s">
        <v>1038</v>
      </c>
      <c r="N110" s="790"/>
      <c r="O110" s="795"/>
      <c r="P110" s="790"/>
    </row>
    <row r="111" spans="1:16" ht="12.75" customHeight="1" x14ac:dyDescent="0.3">
      <c r="A111" s="789" t="s">
        <v>4722</v>
      </c>
      <c r="B111" s="790"/>
      <c r="C111" s="790"/>
      <c r="D111" s="790"/>
      <c r="E111" s="790"/>
      <c r="F111" s="790"/>
      <c r="G111" s="789" t="s">
        <v>1132</v>
      </c>
      <c r="H111" s="789" t="s">
        <v>4690</v>
      </c>
      <c r="I111" s="812"/>
      <c r="J111" s="792" t="str">
        <f>IF(ISBLANK(HLOOKUP(CaseName,CaseData,MATCH($G111,cases!$G$4:$G$2494,0),FALSE)),"",HLOOKUP(CaseName,CaseData,MATCH($G111,cases!$G$4:$G$2494,0),FALSE))</f>
        <v/>
      </c>
      <c r="K111" s="793">
        <f>(L121+L132/L23)*L22</f>
        <v>2.4951497044999583E-10</v>
      </c>
      <c r="L111" s="794">
        <f t="shared" si="5"/>
        <v>2.4951497044999583E-10</v>
      </c>
      <c r="M111" s="790" t="s">
        <v>1038</v>
      </c>
      <c r="N111" s="790"/>
      <c r="O111" s="795"/>
      <c r="P111" s="790"/>
    </row>
    <row r="112" spans="1:16" ht="12.75" customHeight="1" x14ac:dyDescent="0.3">
      <c r="A112" s="789" t="s">
        <v>4723</v>
      </c>
      <c r="B112" s="790"/>
      <c r="C112" s="790"/>
      <c r="D112" s="790"/>
      <c r="E112" s="790"/>
      <c r="F112" s="790"/>
      <c r="G112" s="789" t="s">
        <v>1133</v>
      </c>
      <c r="H112" s="789" t="s">
        <v>4690</v>
      </c>
      <c r="I112" s="812"/>
      <c r="J112" s="792" t="str">
        <f>IF(ISBLANK(HLOOKUP(CaseName,CaseData,MATCH($G112,cases!$G$4:$G$2494,0),FALSE)),"",HLOOKUP(CaseName,CaseData,MATCH($G112,cases!$G$4:$G$2494,0),FALSE))</f>
        <v/>
      </c>
      <c r="K112" s="793">
        <f>(L121+L133/L23)*L19</f>
        <v>3.691053427152108E-10</v>
      </c>
      <c r="L112" s="794">
        <f t="shared" si="5"/>
        <v>3.691053427152108E-10</v>
      </c>
      <c r="M112" s="790" t="s">
        <v>1038</v>
      </c>
      <c r="N112" s="790"/>
      <c r="O112" s="795"/>
      <c r="P112" s="790"/>
    </row>
    <row r="113" spans="1:16" ht="12.75" customHeight="1" x14ac:dyDescent="0.3">
      <c r="A113" s="789" t="s">
        <v>4724</v>
      </c>
      <c r="B113" s="790"/>
      <c r="C113" s="790"/>
      <c r="D113" s="790"/>
      <c r="E113" s="790"/>
      <c r="F113" s="790"/>
      <c r="G113" s="789" t="s">
        <v>1134</v>
      </c>
      <c r="H113" s="789" t="s">
        <v>4690</v>
      </c>
      <c r="I113" s="812"/>
      <c r="J113" s="792" t="str">
        <f>IF(ISBLANK(HLOOKUP(CaseName,CaseData,MATCH($G113,cases!$G$4:$G$2494,0),FALSE)),"",HLOOKUP(CaseName,CaseData,MATCH($G113,cases!$G$4:$G$2494,0),FALSE))</f>
        <v/>
      </c>
      <c r="K113" s="808">
        <f>(L121+L133/L23)*L20</f>
        <v>8.2023409492269047E-10</v>
      </c>
      <c r="L113" s="794">
        <f t="shared" si="5"/>
        <v>8.2023409492269047E-10</v>
      </c>
      <c r="M113" s="790" t="s">
        <v>1038</v>
      </c>
      <c r="N113" s="790"/>
      <c r="O113" s="795"/>
      <c r="P113" s="790"/>
    </row>
    <row r="114" spans="1:16" ht="12.75" customHeight="1" x14ac:dyDescent="0.3">
      <c r="A114" s="789" t="s">
        <v>4725</v>
      </c>
      <c r="B114" s="790"/>
      <c r="C114" s="790"/>
      <c r="D114" s="790"/>
      <c r="E114" s="790"/>
      <c r="F114" s="790"/>
      <c r="G114" s="789" t="s">
        <v>1135</v>
      </c>
      <c r="H114" s="789" t="s">
        <v>4690</v>
      </c>
      <c r="I114" s="812"/>
      <c r="J114" s="792" t="str">
        <f>IF(ISBLANK(HLOOKUP(CaseName,CaseData,MATCH($G114,cases!$G$4:$G$2494,0),FALSE)),"",HLOOKUP(CaseName,CaseData,MATCH($G114,cases!$G$4:$G$2494,0),FALSE))</f>
        <v/>
      </c>
      <c r="K114" s="808">
        <f>(L121+L133/L23)*L21</f>
        <v>1.367056824871151E-10</v>
      </c>
      <c r="L114" s="794">
        <f t="shared" si="5"/>
        <v>1.367056824871151E-10</v>
      </c>
      <c r="M114" s="790" t="s">
        <v>1038</v>
      </c>
      <c r="N114" s="790"/>
      <c r="O114" s="795"/>
      <c r="P114" s="790"/>
    </row>
    <row r="115" spans="1:16" ht="12.75" customHeight="1" x14ac:dyDescent="0.3">
      <c r="A115" s="789" t="s">
        <v>4726</v>
      </c>
      <c r="B115" s="790"/>
      <c r="C115" s="790"/>
      <c r="D115" s="790"/>
      <c r="E115" s="790"/>
      <c r="F115" s="790"/>
      <c r="G115" s="789" t="s">
        <v>1136</v>
      </c>
      <c r="H115" s="789" t="s">
        <v>4690</v>
      </c>
      <c r="I115" s="812"/>
      <c r="J115" s="792" t="str">
        <f>IF(ISBLANK(HLOOKUP(CaseName,CaseData,MATCH($G115,cases!$G$4:$G$2494,0),FALSE)),"",HLOOKUP(CaseName,CaseData,MATCH($G115,cases!$G$4:$G$2494,0),FALSE))</f>
        <v/>
      </c>
      <c r="K115" s="808">
        <f>L134/L24</f>
        <v>5.123442414531955E-8</v>
      </c>
      <c r="L115" s="794">
        <f t="shared" si="5"/>
        <v>5.123442414531955E-8</v>
      </c>
      <c r="M115" s="790" t="s">
        <v>1038</v>
      </c>
      <c r="N115" s="790"/>
      <c r="O115" s="795"/>
      <c r="P115" s="790"/>
    </row>
    <row r="116" spans="1:16" ht="12.75" customHeight="1" x14ac:dyDescent="0.3">
      <c r="A116" s="789" t="s">
        <v>4727</v>
      </c>
      <c r="B116" s="790"/>
      <c r="C116" s="790"/>
      <c r="D116" s="790"/>
      <c r="E116" s="790"/>
      <c r="F116" s="790"/>
      <c r="G116" s="789" t="s">
        <v>1137</v>
      </c>
      <c r="H116" s="789" t="s">
        <v>4690</v>
      </c>
      <c r="I116" s="812"/>
      <c r="J116" s="792" t="str">
        <f>IF(ISBLANK(HLOOKUP(CaseName,CaseData,MATCH($G116,cases!$G$4:$G$2494,0),FALSE)),"",HLOOKUP(CaseName,CaseData,MATCH($G116,cases!$G$4:$G$2494,0),FALSE))</f>
        <v/>
      </c>
      <c r="K116" s="808">
        <f>L135/L25</f>
        <v>1.7059111232725971E-6</v>
      </c>
      <c r="L116" s="794">
        <f t="shared" si="5"/>
        <v>1.7059111232725971E-6</v>
      </c>
      <c r="M116" s="790" t="s">
        <v>1038</v>
      </c>
      <c r="N116" s="790"/>
      <c r="O116" s="795"/>
      <c r="P116" s="790"/>
    </row>
    <row r="117" spans="1:16" ht="12.75" customHeight="1" x14ac:dyDescent="0.3">
      <c r="A117" s="789" t="s">
        <v>4728</v>
      </c>
      <c r="B117" s="790"/>
      <c r="C117" s="790"/>
      <c r="D117" s="790"/>
      <c r="E117" s="790"/>
      <c r="F117" s="790"/>
      <c r="G117" s="789" t="s">
        <v>1138</v>
      </c>
      <c r="H117" s="789" t="s">
        <v>4690</v>
      </c>
      <c r="I117" s="812"/>
      <c r="J117" s="792" t="str">
        <f>IF(ISBLANK(HLOOKUP(CaseName,CaseData,MATCH($G117,cases!$G$4:$G$2494,0),FALSE)),"",HLOOKUP(CaseName,CaseData,MATCH($G117,cases!$G$4:$G$2494,0),FALSE))</f>
        <v/>
      </c>
      <c r="K117" s="808">
        <f>L136/L26</f>
        <v>5.1216692794123988E-7</v>
      </c>
      <c r="L117" s="794">
        <f t="shared" si="5"/>
        <v>5.1216692794123988E-7</v>
      </c>
      <c r="M117" s="790" t="s">
        <v>1038</v>
      </c>
      <c r="N117" s="790"/>
      <c r="O117" s="795"/>
      <c r="P117" s="790"/>
    </row>
    <row r="118" spans="1:16" ht="12.75" customHeight="1" x14ac:dyDescent="0.3">
      <c r="A118" s="789" t="s">
        <v>4729</v>
      </c>
      <c r="B118" s="790"/>
      <c r="C118" s="790"/>
      <c r="D118" s="790"/>
      <c r="E118" s="790"/>
      <c r="F118" s="790"/>
      <c r="G118" s="789" t="s">
        <v>1139</v>
      </c>
      <c r="H118" s="789" t="s">
        <v>4690</v>
      </c>
      <c r="I118" s="812"/>
      <c r="J118" s="792" t="str">
        <f>IF(ISBLANK(HLOOKUP(CaseName,CaseData,MATCH($G118,cases!$G$4:$G$2494,0),FALSE)),"",HLOOKUP(CaseName,CaseData,MATCH($G118,cases!$G$4:$G$2494,0),FALSE))</f>
        <v/>
      </c>
      <c r="K118" s="793">
        <f>L139/L30</f>
        <v>1.103232338463208E-7</v>
      </c>
      <c r="L118" s="794">
        <f t="shared" si="5"/>
        <v>1.103232338463208E-7</v>
      </c>
      <c r="M118" s="790" t="s">
        <v>1038</v>
      </c>
      <c r="N118" s="790"/>
      <c r="O118" s="795"/>
      <c r="P118" s="790"/>
    </row>
    <row r="119" spans="1:16" ht="12.75" customHeight="1" x14ac:dyDescent="0.3">
      <c r="A119" s="789" t="s">
        <v>4730</v>
      </c>
      <c r="B119" s="790"/>
      <c r="C119" s="790"/>
      <c r="D119" s="790"/>
      <c r="E119" s="790"/>
      <c r="F119" s="790"/>
      <c r="G119" s="789" t="s">
        <v>1140</v>
      </c>
      <c r="H119" s="789" t="s">
        <v>4690</v>
      </c>
      <c r="I119" s="812"/>
      <c r="J119" s="792" t="str">
        <f>IF(ISBLANK(HLOOKUP(CaseName,CaseData,MATCH($G119,cases!$G$4:$G$2494,0),FALSE)),"",HLOOKUP(CaseName,CaseData,MATCH($G119,cases!$G$4:$G$2494,0),FALSE))</f>
        <v/>
      </c>
      <c r="K119" s="793">
        <f>L140/L31</f>
        <v>5.0203054661890868E-8</v>
      </c>
      <c r="L119" s="794">
        <f t="shared" si="5"/>
        <v>5.0203054661890868E-8</v>
      </c>
      <c r="M119" s="790" t="s">
        <v>1038</v>
      </c>
      <c r="N119" s="790"/>
      <c r="O119" s="795"/>
      <c r="P119" s="790"/>
    </row>
    <row r="120" spans="1:16" ht="12.75" customHeight="1" x14ac:dyDescent="0.3">
      <c r="A120" s="789" t="s">
        <v>4731</v>
      </c>
      <c r="B120" s="790"/>
      <c r="C120" s="790"/>
      <c r="D120" s="790"/>
      <c r="E120" s="790"/>
      <c r="F120" s="790"/>
      <c r="G120" s="789" t="s">
        <v>1141</v>
      </c>
      <c r="H120" s="789" t="s">
        <v>4690</v>
      </c>
      <c r="I120" s="812"/>
      <c r="J120" s="792" t="str">
        <f>IF(ISBLANK(HLOOKUP(CaseName,CaseData,MATCH($G120,cases!$G$4:$G$2494,0),FALSE)),"",HLOOKUP(CaseName,CaseData,MATCH($G120,cases!$G$4:$G$2494,0),FALSE))</f>
        <v/>
      </c>
      <c r="K120" s="793">
        <f>L141/L32</f>
        <v>1.103232338463208E-7</v>
      </c>
      <c r="L120" s="794">
        <f t="shared" si="5"/>
        <v>1.103232338463208E-7</v>
      </c>
      <c r="M120" s="790" t="s">
        <v>1038</v>
      </c>
      <c r="N120" s="790"/>
      <c r="O120" s="795"/>
      <c r="P120" s="790"/>
    </row>
    <row r="121" spans="1:16" ht="12.75" customHeight="1" x14ac:dyDescent="0.3">
      <c r="A121" s="789"/>
      <c r="B121" s="789" t="s">
        <v>4732</v>
      </c>
      <c r="C121" s="790"/>
      <c r="D121" s="790"/>
      <c r="E121" s="790"/>
      <c r="F121" s="790"/>
      <c r="G121" s="813" t="s">
        <v>1142</v>
      </c>
      <c r="H121" s="789" t="s">
        <v>4690</v>
      </c>
      <c r="I121" s="812"/>
      <c r="J121" s="792" t="str">
        <f>IF(ISBLANK(HLOOKUP(CaseName,CaseData,MATCH($G121,cases!$G$4:$G$2494,0),FALSE)),"",HLOOKUP(CaseName,CaseData,MATCH($G121,cases!$G$4:$G$2494,0),FALSE))</f>
        <v/>
      </c>
      <c r="K121" s="808">
        <f>L122-SUM((L132*(L17+L18+L22)+L133*(L19+L20+L21))/L23,L205,L48)</f>
        <v>2.4721602597911412E-10</v>
      </c>
      <c r="L121" s="794">
        <f t="shared" si="5"/>
        <v>2.4721602597911412E-10</v>
      </c>
      <c r="M121" s="790"/>
      <c r="N121" s="790"/>
      <c r="O121" s="795"/>
      <c r="P121" s="790"/>
    </row>
    <row r="122" spans="1:16" ht="12.75" customHeight="1" x14ac:dyDescent="0.3">
      <c r="A122" s="789"/>
      <c r="B122" s="789"/>
      <c r="C122" s="790" t="s">
        <v>4733</v>
      </c>
      <c r="D122" s="790"/>
      <c r="E122" s="790"/>
      <c r="F122" s="790"/>
      <c r="G122" s="813" t="s">
        <v>1143</v>
      </c>
      <c r="H122" s="789" t="s">
        <v>4690</v>
      </c>
      <c r="I122" s="812"/>
      <c r="J122" s="792" t="str">
        <f>IF(ISBLANK(HLOOKUP(CaseName,CaseData,MATCH($G122,cases!$G$4:$G$2494,0),FALSE)),"",HLOOKUP(CaseName,CaseData,MATCH($G122,cases!$G$4:$G$2494,0),FALSE))</f>
        <v/>
      </c>
      <c r="K122" s="808">
        <f>((1/L123)*L125/(L125+L126)+(1/L124)*L126/(L125+L126)-((1/L124-1/L123)^2/(L125+L126))*(1-EXP(-L123*L125))*(1-EXP(-L124*L126))/(1-EXP(-L123*L125-L124*L126)))^-1</f>
        <v>9.6393676381392837E-6</v>
      </c>
      <c r="L122" s="794">
        <f t="shared" si="5"/>
        <v>9.6393676381392837E-6</v>
      </c>
      <c r="M122" s="790"/>
      <c r="N122" s="790"/>
      <c r="O122" s="795"/>
      <c r="P122" s="790"/>
    </row>
    <row r="123" spans="1:16" ht="12.75" customHeight="1" x14ac:dyDescent="0.3">
      <c r="A123" s="789"/>
      <c r="B123" s="789"/>
      <c r="C123" s="789"/>
      <c r="D123" s="789" t="s">
        <v>1144</v>
      </c>
      <c r="E123" s="790"/>
      <c r="F123" s="790"/>
      <c r="G123" s="789" t="s">
        <v>1145</v>
      </c>
      <c r="H123" s="789" t="s">
        <v>4690</v>
      </c>
      <c r="I123" s="800"/>
      <c r="J123" s="792" t="str">
        <f>IF(ISBLANK(HLOOKUP(CaseName,CaseData,MATCH($G123,cases!$G$4:$G$2494,0),FALSE)),"",HLOOKUP(CaseName,CaseData,MATCH($G123,cases!$G$4:$G$2494,0),FALSE))</f>
        <v/>
      </c>
      <c r="K123" s="793">
        <f>L127/L23  + SUM((L132*(L17+L18+L22)+L133*(L19+L20+L21))/L23,L205,L48)</f>
        <v>9.6391204574189846E-6</v>
      </c>
      <c r="L123" s="794">
        <f t="shared" si="5"/>
        <v>9.6391204574189846E-6</v>
      </c>
      <c r="M123" s="790" t="s">
        <v>1038</v>
      </c>
      <c r="N123" s="790"/>
      <c r="O123" s="795"/>
      <c r="P123" s="790"/>
    </row>
    <row r="124" spans="1:16" ht="12.75" customHeight="1" x14ac:dyDescent="0.3">
      <c r="A124" s="789"/>
      <c r="B124" s="789"/>
      <c r="C124" s="789"/>
      <c r="D124" s="789" t="s">
        <v>1146</v>
      </c>
      <c r="E124" s="790"/>
      <c r="F124" s="790"/>
      <c r="G124" s="789" t="s">
        <v>1147</v>
      </c>
      <c r="H124" s="789" t="s">
        <v>4690</v>
      </c>
      <c r="I124" s="800"/>
      <c r="J124" s="792" t="str">
        <f>IF(ISBLANK(HLOOKUP(CaseName,CaseData,MATCH($G124,cases!$G$4:$G$2494,0),FALSE)),"",HLOOKUP(CaseName,CaseData,MATCH($G124,cases!$G$4:$G$2494,0),FALSE))</f>
        <v/>
      </c>
      <c r="K124" s="793">
        <f>(L128+L129)/L23+SUM((L132*(L17+L18+L22)+L133*(L19+L20+L21))/L23,L205,L48)</f>
        <v>9.6432401938217963E-6</v>
      </c>
      <c r="L124" s="794">
        <f t="shared" si="5"/>
        <v>9.6432401938217963E-6</v>
      </c>
      <c r="M124" s="790" t="s">
        <v>1038</v>
      </c>
      <c r="N124" s="790"/>
      <c r="O124" s="795"/>
      <c r="P124" s="790"/>
    </row>
    <row r="125" spans="1:16" ht="12.75" customHeight="1" x14ac:dyDescent="0.3">
      <c r="A125" s="789"/>
      <c r="B125" s="789"/>
      <c r="C125" s="790"/>
      <c r="D125" s="790" t="s">
        <v>1148</v>
      </c>
      <c r="E125" s="790"/>
      <c r="F125" s="790"/>
      <c r="G125" s="790" t="s">
        <v>1149</v>
      </c>
      <c r="H125" s="790" t="s">
        <v>1150</v>
      </c>
      <c r="I125" s="800"/>
      <c r="J125" s="792" t="str">
        <f>IF(ISBLANK(HLOOKUP(CaseName,CaseData,MATCH($G125,cases!$G$4:$G$2494,0),FALSE)),"",HLOOKUP(CaseName,CaseData,MATCH($G125,cases!$G$4:$G$2494,0),FALSE))</f>
        <v/>
      </c>
      <c r="K125" s="814">
        <f>3.3*24</f>
        <v>79.199999999999989</v>
      </c>
      <c r="L125" s="794">
        <f>IF(ISBLANK(I125),IF(ISNUMBER(J125)=FALSE,K125*3600,J125*3600),I125*3600)</f>
        <v>285119.99999999994</v>
      </c>
      <c r="M125" s="790" t="s">
        <v>1042</v>
      </c>
      <c r="N125" s="790"/>
      <c r="O125" s="795"/>
      <c r="P125" s="790"/>
    </row>
    <row r="126" spans="1:16" ht="12.75" customHeight="1" x14ac:dyDescent="0.3">
      <c r="A126" s="789"/>
      <c r="B126" s="789"/>
      <c r="C126" s="790"/>
      <c r="D126" s="790" t="s">
        <v>1151</v>
      </c>
      <c r="E126" s="790"/>
      <c r="F126" s="790"/>
      <c r="G126" s="790" t="s">
        <v>1152</v>
      </c>
      <c r="H126" s="790" t="s">
        <v>1150</v>
      </c>
      <c r="I126" s="800"/>
      <c r="J126" s="792" t="str">
        <f>IF(ISBLANK(HLOOKUP(CaseName,CaseData,MATCH($G126,cases!$G$4:$G$2494,0),FALSE)),"",HLOOKUP(CaseName,CaseData,MATCH($G126,cases!$G$4:$G$2494,0),FALSE))</f>
        <v/>
      </c>
      <c r="K126" s="814">
        <f>3.3*24*(0.06/(1-0.06))</f>
        <v>5.0553191489361691</v>
      </c>
      <c r="L126" s="794">
        <f>IF(ISBLANK(I126),IF(ISNUMBER(J126)=FALSE,K126*3600,J126*3600),I126*3600)</f>
        <v>18199.148936170208</v>
      </c>
      <c r="M126" s="790" t="s">
        <v>1042</v>
      </c>
      <c r="N126" s="790"/>
      <c r="O126" s="795"/>
      <c r="P126" s="790"/>
    </row>
    <row r="127" spans="1:16" ht="12.75" customHeight="1" x14ac:dyDescent="0.3">
      <c r="A127" s="789"/>
      <c r="B127" s="789"/>
      <c r="C127" s="789" t="s">
        <v>1153</v>
      </c>
      <c r="D127" s="790"/>
      <c r="E127" s="790"/>
      <c r="F127" s="790"/>
      <c r="G127" s="801" t="s">
        <v>1154</v>
      </c>
      <c r="H127" s="801" t="s">
        <v>4734</v>
      </c>
      <c r="I127" s="800"/>
      <c r="J127" s="792" t="str">
        <f>IF(ISBLANK(HLOOKUP(CaseName,CaseData,MATCH($G127,cases!$G$4:$G$2494,0),FALSE)),"",HLOOKUP(CaseName,CaseData,MATCH($G127,cases!$G$4:$G$2494,0),FALSE))</f>
        <v/>
      </c>
      <c r="K127" s="793">
        <f>L130*(L65+L66)</f>
        <v>3.5305679851056702E-11</v>
      </c>
      <c r="L127" s="794">
        <f>IF(ISBLANK(I130),IF(ISNUMBER(J127)=FALSE,K127,J127),I130)</f>
        <v>3.5305679851056702E-11</v>
      </c>
      <c r="M127" s="790" t="s">
        <v>690</v>
      </c>
      <c r="N127" s="790"/>
      <c r="O127" s="795"/>
      <c r="P127" s="790"/>
    </row>
    <row r="128" spans="1:16" ht="12.75" customHeight="1" x14ac:dyDescent="0.3">
      <c r="A128" s="789"/>
      <c r="B128" s="789"/>
      <c r="C128" s="789" t="s">
        <v>1156</v>
      </c>
      <c r="D128" s="790"/>
      <c r="E128" s="790"/>
      <c r="F128" s="790"/>
      <c r="G128" s="789" t="s">
        <v>1157</v>
      </c>
      <c r="H128" s="801" t="s">
        <v>4734</v>
      </c>
      <c r="I128" s="800"/>
      <c r="J128" s="792" t="str">
        <f>IF(ISBLANK(HLOOKUP(CaseName,CaseData,MATCH($G128,cases!$G$4:$G$2494,0),FALSE)),"",HLOOKUP(CaseName,CaseData,MATCH($G128,cases!$G$4:$G$2494,0),FALSE))</f>
        <v/>
      </c>
      <c r="K128" s="793">
        <f>L66*(L125+L126)/L126*L131*RAINrate.R</f>
        <v>2.595781412110609E-9</v>
      </c>
      <c r="L128" s="794">
        <f t="shared" ref="L128:L146" si="6">IF(ISBLANK(I128),IF(ISNUMBER(J128)=FALSE,K128,J128),I128)</f>
        <v>2.595781412110609E-9</v>
      </c>
      <c r="M128" s="790" t="s">
        <v>690</v>
      </c>
      <c r="N128" s="790"/>
      <c r="O128" s="795"/>
      <c r="P128" s="790"/>
    </row>
    <row r="129" spans="1:16" ht="12.75" customHeight="1" x14ac:dyDescent="0.3">
      <c r="A129" s="789"/>
      <c r="B129" s="789"/>
      <c r="C129" s="789" t="s">
        <v>1158</v>
      </c>
      <c r="D129" s="790"/>
      <c r="E129" s="790"/>
      <c r="F129" s="790"/>
      <c r="G129" s="789" t="s">
        <v>1159</v>
      </c>
      <c r="H129" s="801" t="s">
        <v>4734</v>
      </c>
      <c r="I129" s="791"/>
      <c r="J129" s="792" t="str">
        <f>IF(ISBLANK(HLOOKUP(CaseName,CaseData,MATCH($G129,cases!$G$4:$G$2494,0),FALSE)),"",HLOOKUP(CaseName,CaseData,MATCH($G129,cases!$G$4:$G$2494,0),FALSE))</f>
        <v/>
      </c>
      <c r="K129" s="793">
        <f>L64*(L125+L126)/L126*RAINrate.R/(L67*FRorig.aerw)</f>
        <v>4.1171759270791855E-6</v>
      </c>
      <c r="L129" s="794">
        <f t="shared" si="6"/>
        <v>4.1171759270791855E-6</v>
      </c>
      <c r="M129" s="790" t="s">
        <v>690</v>
      </c>
      <c r="N129" s="790"/>
      <c r="O129" s="795"/>
      <c r="P129" s="790"/>
    </row>
    <row r="130" spans="1:16" ht="12.75" customHeight="1" x14ac:dyDescent="0.3">
      <c r="A130" s="789"/>
      <c r="B130" s="789"/>
      <c r="C130" s="790"/>
      <c r="D130" s="801" t="s">
        <v>1160</v>
      </c>
      <c r="E130" s="801"/>
      <c r="F130" s="801"/>
      <c r="G130" s="801" t="s">
        <v>1161</v>
      </c>
      <c r="H130" s="801" t="s">
        <v>4734</v>
      </c>
      <c r="I130" s="791"/>
      <c r="J130" s="792" t="str">
        <f>IF(ISBLANK(HLOOKUP(CaseName,CaseData,MATCH($G130,cases!$G$4:$G$2494,0),FALSE)),"",HLOOKUP(CaseName,CaseData,MATCH($G130,cases!$G$4:$G$2494,0),FALSE))</f>
        <v/>
      </c>
      <c r="K130" s="814">
        <v>1E-3</v>
      </c>
      <c r="L130" s="794">
        <f t="shared" si="6"/>
        <v>1E-3</v>
      </c>
      <c r="M130" s="790" t="s">
        <v>690</v>
      </c>
      <c r="N130" s="790"/>
      <c r="O130" s="795"/>
      <c r="P130" s="790"/>
    </row>
    <row r="131" spans="1:16" ht="12.75" customHeight="1" x14ac:dyDescent="0.3">
      <c r="A131" s="789"/>
      <c r="B131" s="789"/>
      <c r="C131" s="790"/>
      <c r="D131" s="789" t="s">
        <v>1162</v>
      </c>
      <c r="E131" s="790"/>
      <c r="F131" s="790"/>
      <c r="G131" s="801" t="s">
        <v>1163</v>
      </c>
      <c r="H131" s="789" t="s">
        <v>291</v>
      </c>
      <c r="I131" s="791"/>
      <c r="J131" s="792" t="str">
        <f>IF(ISBLANK(HLOOKUP(CaseName,CaseData,MATCH($G131,cases!$G$4:$G$2494,0),FALSE)),"",HLOOKUP(CaseName,CaseData,MATCH($G131,cases!$G$4:$G$2494,0),FALSE))</f>
        <v/>
      </c>
      <c r="K131" s="793">
        <v>200000</v>
      </c>
      <c r="L131" s="794">
        <f t="shared" si="6"/>
        <v>200000</v>
      </c>
      <c r="M131" s="789" t="s">
        <v>292</v>
      </c>
      <c r="N131" s="790"/>
      <c r="O131" s="795"/>
      <c r="P131" s="790"/>
    </row>
    <row r="132" spans="1:16" ht="12.75" customHeight="1" x14ac:dyDescent="0.3">
      <c r="A132" s="789"/>
      <c r="B132" s="789"/>
      <c r="C132" s="789" t="s">
        <v>1164</v>
      </c>
      <c r="D132" s="789"/>
      <c r="E132" s="790"/>
      <c r="F132" s="790"/>
      <c r="G132" s="813" t="s">
        <v>1165</v>
      </c>
      <c r="H132" s="789" t="s">
        <v>4734</v>
      </c>
      <c r="I132" s="791"/>
      <c r="J132" s="792" t="str">
        <f>IF(ISBLANK(HLOOKUP(CaseName,CaseData,MATCH($G132,cases!$G$4:$G$2494,0),FALSE)),"",HLOOKUP(CaseName,CaseData,MATCH($G132,cases!$G$4:$G$2494,0),FALSE))</f>
        <v/>
      </c>
      <c r="K132" s="793">
        <f>L64*(L137*L138/(L137*(L67*FRorig.w1)+L138))</f>
        <v>5.703393574022636E-5</v>
      </c>
      <c r="L132" s="794">
        <f t="shared" si="6"/>
        <v>5.703393574022636E-5</v>
      </c>
      <c r="M132" s="789"/>
      <c r="N132" s="790"/>
      <c r="O132" s="795"/>
      <c r="P132" s="790"/>
    </row>
    <row r="133" spans="1:16" ht="12.75" customHeight="1" x14ac:dyDescent="0.3">
      <c r="A133" s="789"/>
      <c r="B133" s="789"/>
      <c r="C133" s="789" t="s">
        <v>1166</v>
      </c>
      <c r="D133" s="789"/>
      <c r="E133" s="790"/>
      <c r="F133" s="790"/>
      <c r="G133" s="813" t="s">
        <v>1167</v>
      </c>
      <c r="H133" s="789" t="s">
        <v>4734</v>
      </c>
      <c r="I133" s="791"/>
      <c r="J133" s="792" t="str">
        <f>IF(ISBLANK(HLOOKUP(CaseName,CaseData,MATCH($G133,cases!$G$4:$G$2494,0),FALSE)),"",HLOOKUP(CaseName,CaseData,MATCH($G133,cases!$G$4:$G$2494,0),FALSE))</f>
        <v/>
      </c>
      <c r="K133" s="793">
        <f>L64*(L142*L143)/(L142*((L67*FRorig.s1w)/L91)+L143)</f>
        <v>1.1258217098815417E-6</v>
      </c>
      <c r="L133" s="794">
        <f t="shared" si="6"/>
        <v>1.1258217098815417E-6</v>
      </c>
      <c r="M133" s="789"/>
      <c r="N133" s="790"/>
      <c r="O133" s="795"/>
      <c r="P133" s="790"/>
    </row>
    <row r="134" spans="1:16" ht="12.75" customHeight="1" x14ac:dyDescent="0.3">
      <c r="A134" s="789"/>
      <c r="B134" s="789"/>
      <c r="C134" s="789" t="s">
        <v>1168</v>
      </c>
      <c r="D134" s="789"/>
      <c r="E134" s="790"/>
      <c r="F134" s="790"/>
      <c r="G134" s="813" t="s">
        <v>1169</v>
      </c>
      <c r="H134" s="789" t="s">
        <v>4734</v>
      </c>
      <c r="I134" s="791"/>
      <c r="J134" s="792" t="str">
        <f>IF(ISBLANK(HLOOKUP(CaseName,CaseData,MATCH($G134,cases!$G$4:$G$2494,0),FALSE)),"",HLOOKUP(CaseName,CaseData,MATCH($G134,cases!$G$4:$G$2494,0),FALSE))</f>
        <v/>
      </c>
      <c r="K134" s="793">
        <f>(L137*L138/(L137*(L67*FRorig.w1)+L138))*(L67*FRorig.w1)*L70</f>
        <v>5.1234424145319552E-6</v>
      </c>
      <c r="L134" s="794">
        <f t="shared" si="6"/>
        <v>5.1234424145319552E-6</v>
      </c>
      <c r="M134" s="789" t="s">
        <v>4735</v>
      </c>
      <c r="N134" s="790"/>
      <c r="O134" s="795"/>
      <c r="P134" s="790"/>
    </row>
    <row r="135" spans="1:16" ht="12.75" customHeight="1" x14ac:dyDescent="0.3">
      <c r="A135" s="789"/>
      <c r="B135" s="789"/>
      <c r="C135" s="789" t="s">
        <v>1170</v>
      </c>
      <c r="D135" s="789"/>
      <c r="E135" s="790"/>
      <c r="F135" s="790"/>
      <c r="G135" s="813" t="s">
        <v>1171</v>
      </c>
      <c r="H135" s="789" t="s">
        <v>4734</v>
      </c>
      <c r="I135" s="791"/>
      <c r="J135" s="792" t="str">
        <f>IF(ISBLANK(HLOOKUP(CaseName,CaseData,MATCH($G135,cases!$G$4:$G$2494,0),FALSE)),"",HLOOKUP(CaseName,CaseData,MATCH($G135,cases!$G$4:$G$2494,0),FALSE))</f>
        <v/>
      </c>
      <c r="K135" s="793">
        <f>(L137*L138/(L137*(L67*FRorig.w1)+L138))*(L67*FRorig.w1)*L74</f>
        <v>5.1177333698177912E-6</v>
      </c>
      <c r="L135" s="794">
        <f t="shared" si="6"/>
        <v>5.1177333698177912E-6</v>
      </c>
      <c r="M135" s="789" t="s">
        <v>4735</v>
      </c>
      <c r="N135" s="790"/>
      <c r="O135" s="795"/>
      <c r="P135" s="790"/>
    </row>
    <row r="136" spans="1:16" ht="12.75" customHeight="1" x14ac:dyDescent="0.3">
      <c r="A136" s="789"/>
      <c r="B136" s="789"/>
      <c r="C136" s="789" t="s">
        <v>1172</v>
      </c>
      <c r="D136" s="789"/>
      <c r="E136" s="790"/>
      <c r="F136" s="790"/>
      <c r="G136" s="813" t="s">
        <v>1173</v>
      </c>
      <c r="H136" s="789" t="s">
        <v>4734</v>
      </c>
      <c r="I136" s="791"/>
      <c r="J136" s="792" t="str">
        <f>IF(ISBLANK(HLOOKUP(CaseName,CaseData,MATCH($G136,cases!$G$4:$G$2494,0),FALSE)),"",HLOOKUP(CaseName,CaseData,MATCH($G136,cases!$G$4:$G$2494,0),FALSE))</f>
        <v/>
      </c>
      <c r="K136" s="793">
        <f>(L137*L138/(L137*(L67*FRorig.w2)+L138))*(L67*FRorig.w2)*L78</f>
        <v>5.1216692794123988E-6</v>
      </c>
      <c r="L136" s="794">
        <f t="shared" si="6"/>
        <v>5.1216692794123988E-6</v>
      </c>
      <c r="M136" s="789" t="s">
        <v>4735</v>
      </c>
      <c r="N136" s="790"/>
      <c r="O136" s="795"/>
      <c r="P136" s="790"/>
    </row>
    <row r="137" spans="1:16" ht="12.75" customHeight="1" x14ac:dyDescent="0.3">
      <c r="A137" s="789"/>
      <c r="B137" s="789"/>
      <c r="C137" s="790"/>
      <c r="D137" s="790" t="s">
        <v>1174</v>
      </c>
      <c r="E137" s="801"/>
      <c r="F137" s="801"/>
      <c r="G137" s="790" t="s">
        <v>4736</v>
      </c>
      <c r="H137" s="801" t="s">
        <v>4734</v>
      </c>
      <c r="I137" s="791"/>
      <c r="J137" s="792" t="str">
        <f>IF(ISBLANK(HLOOKUP(CaseName,CaseData,MATCH($G137,cases!$G$4:$G$2494,0),FALSE)),"",HLOOKUP(CaseName,CaseData,MATCH($G137,cases!$G$4:$G$2494,0),FALSE))</f>
        <v/>
      </c>
      <c r="K137" s="793">
        <f>0.01*(0.3+0.2*WINDspeed.R)*((0.018/Molweight)^(0.67*0.5))</f>
        <v>4.4535618852450994E-3</v>
      </c>
      <c r="L137" s="794">
        <f t="shared" si="6"/>
        <v>4.4535618852450994E-3</v>
      </c>
      <c r="M137" s="790" t="s">
        <v>690</v>
      </c>
      <c r="N137" s="790"/>
      <c r="O137" s="795"/>
      <c r="P137" s="790"/>
    </row>
    <row r="138" spans="1:16" ht="12.75" customHeight="1" x14ac:dyDescent="0.3">
      <c r="A138" s="789"/>
      <c r="B138" s="789"/>
      <c r="C138" s="790"/>
      <c r="D138" s="790" t="s">
        <v>1176</v>
      </c>
      <c r="E138" s="801"/>
      <c r="F138" s="801"/>
      <c r="G138" s="790" t="s">
        <v>4737</v>
      </c>
      <c r="H138" s="801" t="s">
        <v>4734</v>
      </c>
      <c r="I138" s="791"/>
      <c r="J138" s="792" t="str">
        <f>IF(ISBLANK(HLOOKUP(CaseName,CaseData,MATCH($G138,cases!$G$4:$G$2494,0),FALSE)),"",HLOOKUP(CaseName,CaseData,MATCH($G138,cases!$G$4:$G$2494,0),FALSE))</f>
        <v/>
      </c>
      <c r="K138" s="793">
        <f>0.01*(0.0004+0.00004*WINDspeed.R^2)*((0.032/Molweight)^(0.5*0.5))</f>
        <v>5.191247717588049E-6</v>
      </c>
      <c r="L138" s="794">
        <f t="shared" si="6"/>
        <v>5.191247717588049E-6</v>
      </c>
      <c r="M138" s="790" t="s">
        <v>690</v>
      </c>
      <c r="N138" s="790"/>
      <c r="O138" s="795"/>
      <c r="P138" s="790"/>
    </row>
    <row r="139" spans="1:16" ht="12.75" customHeight="1" x14ac:dyDescent="0.3">
      <c r="A139" s="789"/>
      <c r="B139" s="789" t="s">
        <v>4738</v>
      </c>
      <c r="C139" s="790"/>
      <c r="D139" s="790"/>
      <c r="E139" s="801"/>
      <c r="F139" s="801"/>
      <c r="G139" s="813" t="s">
        <v>1178</v>
      </c>
      <c r="H139" s="789" t="s">
        <v>4734</v>
      </c>
      <c r="I139" s="791"/>
      <c r="J139" s="792" t="str">
        <f>IF(ISBLANK(HLOOKUP(CaseName,CaseData,MATCH($G139,cases!$G$4:$G$2494,0),FALSE)),"",HLOOKUP(CaseName,CaseData,MATCH($G139,cases!$G$4:$G$2494,0),FALSE))</f>
        <v/>
      </c>
      <c r="K139" s="793">
        <f>(L142*L143)/(L142+L143/((L67*FRorig.s1w)/L91))*L144</f>
        <v>5.5161616923160404E-9</v>
      </c>
      <c r="L139" s="794">
        <f t="shared" si="6"/>
        <v>5.5161616923160404E-9</v>
      </c>
      <c r="M139" s="789" t="s">
        <v>4735</v>
      </c>
      <c r="N139" s="790"/>
      <c r="O139" s="795"/>
      <c r="P139" s="790"/>
    </row>
    <row r="140" spans="1:16" ht="12.75" customHeight="1" x14ac:dyDescent="0.3">
      <c r="A140" s="789"/>
      <c r="B140" s="789" t="s">
        <v>4739</v>
      </c>
      <c r="C140" s="790"/>
      <c r="D140" s="790"/>
      <c r="E140" s="801"/>
      <c r="F140" s="801"/>
      <c r="G140" s="813" t="s">
        <v>1179</v>
      </c>
      <c r="H140" s="789" t="s">
        <v>4734</v>
      </c>
      <c r="I140" s="791"/>
      <c r="J140" s="792" t="str">
        <f>IF(ISBLANK(HLOOKUP(CaseName,CaseData,MATCH($G140,cases!$G$4:$G$2494,0),FALSE)),"",HLOOKUP(CaseName,CaseData,MATCH($G140,cases!$G$4:$G$2494,0),FALSE))</f>
        <v/>
      </c>
      <c r="K140" s="793">
        <f>(L142*L143)/(L142+L143/((L67*FRorig.s2w)/L96))*L145</f>
        <v>1.0040610932378174E-8</v>
      </c>
      <c r="L140" s="794">
        <f t="shared" si="6"/>
        <v>1.0040610932378174E-8</v>
      </c>
      <c r="M140" s="789" t="s">
        <v>4735</v>
      </c>
      <c r="N140" s="790"/>
      <c r="O140" s="795"/>
      <c r="P140" s="790"/>
    </row>
    <row r="141" spans="1:16" ht="12.75" customHeight="1" x14ac:dyDescent="0.3">
      <c r="A141" s="789"/>
      <c r="B141" s="789" t="s">
        <v>4740</v>
      </c>
      <c r="C141" s="790"/>
      <c r="D141" s="790"/>
      <c r="E141" s="801"/>
      <c r="F141" s="801"/>
      <c r="G141" s="813" t="s">
        <v>1180</v>
      </c>
      <c r="H141" s="789" t="s">
        <v>4734</v>
      </c>
      <c r="I141" s="791"/>
      <c r="J141" s="792" t="str">
        <f>IF(ISBLANK(HLOOKUP(CaseName,CaseData,MATCH($G141,cases!$G$4:$G$2494,0),FALSE)),"",HLOOKUP(CaseName,CaseData,MATCH($G141,cases!$G$4:$G$2494,0),FALSE))</f>
        <v/>
      </c>
      <c r="K141" s="793">
        <f>(L142*L143)/(L142+L143/((L67*FRorig.s3w)/L101))*L146</f>
        <v>5.5161616923160404E-9</v>
      </c>
      <c r="L141" s="794">
        <f t="shared" si="6"/>
        <v>5.5161616923160404E-9</v>
      </c>
      <c r="M141" s="789" t="s">
        <v>4735</v>
      </c>
      <c r="N141" s="790"/>
      <c r="O141" s="795"/>
      <c r="P141" s="790"/>
    </row>
    <row r="142" spans="1:16" ht="12.75" customHeight="1" x14ac:dyDescent="0.3">
      <c r="A142" s="789"/>
      <c r="B142" s="789"/>
      <c r="C142" s="790" t="s">
        <v>1181</v>
      </c>
      <c r="D142" s="790"/>
      <c r="E142" s="790"/>
      <c r="F142" s="801"/>
      <c r="G142" s="790" t="s">
        <v>4741</v>
      </c>
      <c r="H142" s="801" t="s">
        <v>4734</v>
      </c>
      <c r="I142" s="791"/>
      <c r="J142" s="792" t="str">
        <f>IF(ISBLANK(HLOOKUP(CaseName,CaseData,MATCH($G142,cases!$G$4:$G$2494,0),FALSE)),"",HLOOKUP(CaseName,CaseData,MATCH($G142,cases!$G$4:$G$2494,0),FALSE))</f>
        <v/>
      </c>
      <c r="K142" s="793">
        <f>0.43/(24*3600)/0.00475</f>
        <v>1.0477582846003899E-3</v>
      </c>
      <c r="L142" s="794">
        <f t="shared" si="6"/>
        <v>1.0477582846003899E-3</v>
      </c>
      <c r="M142" s="790" t="s">
        <v>690</v>
      </c>
      <c r="N142" s="790"/>
      <c r="O142" s="795"/>
      <c r="P142" s="790"/>
    </row>
    <row r="143" spans="1:16" ht="12.75" customHeight="1" x14ac:dyDescent="0.3">
      <c r="A143" s="789"/>
      <c r="B143" s="789"/>
      <c r="C143" s="790" t="s">
        <v>1183</v>
      </c>
      <c r="D143" s="790"/>
      <c r="E143" s="801"/>
      <c r="F143" s="801"/>
      <c r="G143" s="790" t="s">
        <v>4742</v>
      </c>
      <c r="H143" s="801" t="s">
        <v>4734</v>
      </c>
      <c r="I143" s="791"/>
      <c r="J143" s="792" t="str">
        <f>IF(ISBLANK(HLOOKUP(CaseName,CaseData,MATCH($G143,cases!$G$4:$G$2494,0),FALSE)),"",HLOOKUP(CaseName,CaseData,MATCH($G143,cases!$G$4:$G$2494,0),FALSE))</f>
        <v/>
      </c>
      <c r="K143" s="793">
        <f>0.1*L218</f>
        <v>4.3455503205058606E-9</v>
      </c>
      <c r="L143" s="794">
        <f t="shared" si="6"/>
        <v>4.3455503205058606E-9</v>
      </c>
      <c r="M143" s="790" t="s">
        <v>690</v>
      </c>
      <c r="N143" s="790"/>
      <c r="O143" s="795"/>
      <c r="P143" s="790"/>
    </row>
    <row r="144" spans="1:16" ht="12.75" customHeight="1" x14ac:dyDescent="0.3">
      <c r="A144" s="789"/>
      <c r="B144" s="789"/>
      <c r="C144" s="790" t="s">
        <v>1185</v>
      </c>
      <c r="D144" s="790"/>
      <c r="E144" s="801"/>
      <c r="F144" s="801"/>
      <c r="G144" s="789" t="s">
        <v>1186</v>
      </c>
      <c r="H144" s="790" t="s">
        <v>291</v>
      </c>
      <c r="I144" s="791"/>
      <c r="J144" s="792" t="str">
        <f>IF(ISBLANK(HLOOKUP(CaseName,CaseData,MATCH($G144,cases!$G$4:$G$2494,0),FALSE)),"",HLOOKUP(CaseName,CaseData,MATCH($G144,cases!$G$4:$G$2494,0),FALSE))</f>
        <v/>
      </c>
      <c r="K144" s="793">
        <f>(EXP((-1/0.1)*0)*(1/0.1)*L30/(1-EXP((-1/0.1)*L30)))</f>
        <v>1.2707470412683992</v>
      </c>
      <c r="L144" s="794">
        <f t="shared" si="6"/>
        <v>1.2707470412683992</v>
      </c>
      <c r="M144" s="790" t="s">
        <v>292</v>
      </c>
      <c r="N144" s="790" t="s">
        <v>1187</v>
      </c>
      <c r="O144" s="795"/>
      <c r="P144" s="790"/>
    </row>
    <row r="145" spans="1:17" ht="12.75" customHeight="1" x14ac:dyDescent="0.3">
      <c r="A145" s="789"/>
      <c r="B145" s="789"/>
      <c r="C145" s="790" t="s">
        <v>1185</v>
      </c>
      <c r="D145" s="790"/>
      <c r="E145" s="801"/>
      <c r="F145" s="801"/>
      <c r="G145" s="789" t="s">
        <v>1188</v>
      </c>
      <c r="H145" s="790" t="s">
        <v>291</v>
      </c>
      <c r="I145" s="791"/>
      <c r="J145" s="792" t="str">
        <f>IF(ISBLANK(HLOOKUP(CaseName,CaseData,MATCH($G145,cases!$G$4:$G$2494,0),FALSE)),"",HLOOKUP(CaseName,CaseData,MATCH($G145,cases!$G$4:$G$2494,0),FALSE))</f>
        <v/>
      </c>
      <c r="K145" s="793">
        <f>(EXP((-1/0.1)*0)*(1/0.1)*L31/(1-EXP((-1/0.1)*L31)))</f>
        <v>2.3130352854993315</v>
      </c>
      <c r="L145" s="794">
        <f t="shared" si="6"/>
        <v>2.3130352854993315</v>
      </c>
      <c r="M145" s="790" t="s">
        <v>292</v>
      </c>
      <c r="N145" s="790" t="s">
        <v>1187</v>
      </c>
      <c r="O145" s="795"/>
      <c r="P145" s="790"/>
    </row>
    <row r="146" spans="1:17" ht="12.75" customHeight="1" x14ac:dyDescent="0.3">
      <c r="A146" s="789"/>
      <c r="B146" s="789"/>
      <c r="C146" s="790" t="s">
        <v>1185</v>
      </c>
      <c r="D146" s="790"/>
      <c r="E146" s="801"/>
      <c r="F146" s="801"/>
      <c r="G146" s="789" t="s">
        <v>1189</v>
      </c>
      <c r="H146" s="790" t="s">
        <v>291</v>
      </c>
      <c r="I146" s="791"/>
      <c r="J146" s="792" t="str">
        <f>IF(ISBLANK(HLOOKUP(CaseName,CaseData,MATCH($G146,cases!$G$4:$G$2494,0),FALSE)),"",HLOOKUP(CaseName,CaseData,MATCH($G146,cases!$G$4:$G$2494,0),FALSE))</f>
        <v/>
      </c>
      <c r="K146" s="793">
        <f>(EXP((-1/0.1)*0)*(1/0.1)*L32/(1-EXP((-1/0.1)*L32)))</f>
        <v>1.2707470412683992</v>
      </c>
      <c r="L146" s="794">
        <f t="shared" si="6"/>
        <v>1.2707470412683992</v>
      </c>
      <c r="M146" s="790" t="s">
        <v>292</v>
      </c>
      <c r="N146" s="790" t="s">
        <v>1187</v>
      </c>
      <c r="O146" s="795"/>
      <c r="P146" s="790"/>
    </row>
    <row r="147" spans="1:17" ht="12.75" customHeight="1" x14ac:dyDescent="0.3">
      <c r="I147" s="780"/>
    </row>
    <row r="148" spans="1:17" ht="12.75" customHeight="1" x14ac:dyDescent="0.3">
      <c r="A148" s="796" t="s">
        <v>1190</v>
      </c>
      <c r="B148" s="797"/>
      <c r="C148" s="797"/>
      <c r="D148" s="797"/>
      <c r="E148" s="797"/>
      <c r="F148" s="797"/>
      <c r="G148" s="796" t="s">
        <v>1191</v>
      </c>
      <c r="H148" s="796" t="s">
        <v>4690</v>
      </c>
      <c r="I148" s="812"/>
      <c r="J148" s="792" t="str">
        <f>IF(ISBLANK(HLOOKUP(CaseName,CaseData,MATCH($G148,cases!$G$4:$G$2494,0),FALSE)),"",HLOOKUP(CaseName,CaseData,MATCH($G148,cases!$G$4:$G$2494,0),FALSE))</f>
        <v/>
      </c>
      <c r="K148" s="798">
        <f>(L154)/L24</f>
        <v>7.5999494488120689E-11</v>
      </c>
      <c r="L148" s="794">
        <f t="shared" ref="L148:L166" si="7">IF(ISBLANK(I148),IF(ISNUMBER(J148)=FALSE,K148,J148),I148)</f>
        <v>7.5999494488120689E-11</v>
      </c>
      <c r="M148" s="797" t="s">
        <v>1038</v>
      </c>
      <c r="N148" s="797" t="s">
        <v>1192</v>
      </c>
      <c r="O148" s="815"/>
      <c r="P148" s="816"/>
      <c r="Q148" s="817"/>
    </row>
    <row r="149" spans="1:17" ht="12.75" customHeight="1" x14ac:dyDescent="0.3">
      <c r="A149" s="789" t="s">
        <v>1193</v>
      </c>
      <c r="B149" s="790"/>
      <c r="C149" s="790"/>
      <c r="D149" s="790"/>
      <c r="E149" s="790"/>
      <c r="F149" s="790"/>
      <c r="G149" s="789" t="s">
        <v>1194</v>
      </c>
      <c r="H149" s="789" t="s">
        <v>4690</v>
      </c>
      <c r="I149" s="812"/>
      <c r="J149" s="792" t="str">
        <f>IF(ISBLANK(HLOOKUP(CaseName,CaseData,MATCH($G149,cases!$G$4:$G$2494,0),FALSE)),"",HLOOKUP(CaseName,CaseData,MATCH($G149,cases!$G$4:$G$2494,0),FALSE))</f>
        <v/>
      </c>
      <c r="K149" s="793">
        <f>(L156+L169)/L25</f>
        <v>2.2610223962915065E-8</v>
      </c>
      <c r="L149" s="794">
        <f t="shared" si="7"/>
        <v>2.2610223962915065E-8</v>
      </c>
      <c r="M149" s="790" t="s">
        <v>1038</v>
      </c>
      <c r="N149" s="790"/>
      <c r="O149" s="818"/>
      <c r="P149" s="819"/>
      <c r="Q149" s="817"/>
    </row>
    <row r="150" spans="1:17" ht="12.75" customHeight="1" x14ac:dyDescent="0.3">
      <c r="A150" s="789" t="s">
        <v>1195</v>
      </c>
      <c r="B150" s="790"/>
      <c r="C150" s="790"/>
      <c r="D150" s="790"/>
      <c r="E150" s="790"/>
      <c r="F150" s="790"/>
      <c r="G150" s="789" t="s">
        <v>1196</v>
      </c>
      <c r="H150" s="789" t="s">
        <v>4690</v>
      </c>
      <c r="I150" s="812"/>
      <c r="J150" s="792" t="str">
        <f>IF(ISBLANK(HLOOKUP(CaseName,CaseData,MATCH($G150,cases!$G$4:$G$2494,0),FALSE)),"",HLOOKUP(CaseName,CaseData,MATCH($G150,cases!$G$4:$G$2494,0),FALSE))</f>
        <v/>
      </c>
      <c r="K150" s="793">
        <f>(L158+L171)/L26</f>
        <v>4.5264084842868786E-9</v>
      </c>
      <c r="L150" s="794">
        <f t="shared" si="7"/>
        <v>4.5264084842868786E-9</v>
      </c>
      <c r="M150" s="790" t="s">
        <v>1038</v>
      </c>
      <c r="N150" s="790"/>
      <c r="O150" s="818"/>
      <c r="P150" s="819"/>
      <c r="Q150" s="817"/>
    </row>
    <row r="151" spans="1:17" ht="12.75" customHeight="1" x14ac:dyDescent="0.3">
      <c r="A151" s="796" t="s">
        <v>1197</v>
      </c>
      <c r="B151" s="797"/>
      <c r="C151" s="797"/>
      <c r="D151" s="797"/>
      <c r="E151" s="797"/>
      <c r="F151" s="797"/>
      <c r="G151" s="796" t="s">
        <v>1198</v>
      </c>
      <c r="H151" s="796" t="s">
        <v>4690</v>
      </c>
      <c r="I151" s="812"/>
      <c r="J151" s="792" t="str">
        <f>IF(ISBLANK(HLOOKUP(CaseName,CaseData,MATCH($G151,cases!$G$4:$G$2494,0),FALSE)),"",HLOOKUP(CaseName,CaseData,MATCH($G151,cases!$G$4:$G$2494,0),FALSE))</f>
        <v/>
      </c>
      <c r="K151" s="798">
        <f>(L155)/L27</f>
        <v>0</v>
      </c>
      <c r="L151" s="794">
        <f t="shared" si="7"/>
        <v>0</v>
      </c>
      <c r="M151" s="797" t="s">
        <v>1038</v>
      </c>
      <c r="N151" s="797" t="s">
        <v>1199</v>
      </c>
      <c r="O151" s="815"/>
      <c r="P151" s="816"/>
      <c r="Q151" s="817"/>
    </row>
    <row r="152" spans="1:17" ht="12.75" customHeight="1" x14ac:dyDescent="0.3">
      <c r="A152" s="789" t="s">
        <v>1200</v>
      </c>
      <c r="B152" s="790"/>
      <c r="C152" s="790"/>
      <c r="D152" s="790"/>
      <c r="E152" s="790"/>
      <c r="F152" s="790"/>
      <c r="G152" s="789" t="s">
        <v>1201</v>
      </c>
      <c r="H152" s="789" t="s">
        <v>4690</v>
      </c>
      <c r="I152" s="812"/>
      <c r="J152" s="792" t="str">
        <f>IF(ISBLANK(HLOOKUP(CaseName,CaseData,MATCH($G152,cases!$G$4:$G$2494,0),FALSE)),"",HLOOKUP(CaseName,CaseData,MATCH($G152,cases!$G$4:$G$2494,0),FALSE))</f>
        <v/>
      </c>
      <c r="K152" s="793">
        <f>(L157+L170)/L28</f>
        <v>7.2268678089181498E-8</v>
      </c>
      <c r="L152" s="794">
        <f t="shared" si="7"/>
        <v>7.2268678089181498E-8</v>
      </c>
      <c r="M152" s="790" t="s">
        <v>1038</v>
      </c>
      <c r="N152" s="790"/>
      <c r="O152" s="818"/>
      <c r="P152" s="819"/>
      <c r="Q152" s="817"/>
    </row>
    <row r="153" spans="1:17" ht="12.75" customHeight="1" x14ac:dyDescent="0.3">
      <c r="A153" s="789" t="s">
        <v>1202</v>
      </c>
      <c r="B153" s="790"/>
      <c r="C153" s="790"/>
      <c r="D153" s="790"/>
      <c r="E153" s="790"/>
      <c r="F153" s="790"/>
      <c r="G153" s="789" t="s">
        <v>1203</v>
      </c>
      <c r="H153" s="789" t="s">
        <v>4690</v>
      </c>
      <c r="I153" s="812"/>
      <c r="J153" s="792" t="str">
        <f>IF(ISBLANK(HLOOKUP(CaseName,CaseData,MATCH($G153,cases!$G$4:$G$2494,0),FALSE)),"",HLOOKUP(CaseName,CaseData,MATCH($G153,cases!$G$4:$G$2494,0),FALSE))</f>
        <v/>
      </c>
      <c r="K153" s="793">
        <f>(L159+L172)/L29</f>
        <v>5.4642806996194794E-8</v>
      </c>
      <c r="L153" s="794">
        <f t="shared" si="7"/>
        <v>5.4642806996194794E-8</v>
      </c>
      <c r="M153" s="790" t="s">
        <v>1038</v>
      </c>
      <c r="N153" s="790"/>
      <c r="O153" s="818"/>
      <c r="P153" s="819"/>
      <c r="Q153" s="817"/>
    </row>
    <row r="154" spans="1:17" ht="12.75" customHeight="1" x14ac:dyDescent="0.3">
      <c r="A154" s="796"/>
      <c r="B154" s="796" t="s">
        <v>1204</v>
      </c>
      <c r="C154" s="797"/>
      <c r="D154" s="797"/>
      <c r="E154" s="797"/>
      <c r="F154" s="797"/>
      <c r="G154" s="796" t="s">
        <v>1205</v>
      </c>
      <c r="H154" s="802" t="s">
        <v>4734</v>
      </c>
      <c r="I154" s="812"/>
      <c r="J154" s="792" t="str">
        <f>IF(ISBLANK(HLOOKUP(CaseName,CaseData,MATCH($G154,cases!$G$4:$G$2494,0),FALSE)),"",HLOOKUP(CaseName,CaseData,MATCH($G154,cases!$G$4:$G$2494,0),FALSE))</f>
        <v/>
      </c>
      <c r="K154" s="798">
        <f>L163*(1-L70)</f>
        <v>7.5999494488120692E-9</v>
      </c>
      <c r="L154" s="794">
        <f t="shared" si="7"/>
        <v>7.5999494488120692E-9</v>
      </c>
      <c r="M154" s="797" t="s">
        <v>4743</v>
      </c>
      <c r="N154" s="797"/>
      <c r="O154" s="815"/>
      <c r="P154" s="816"/>
      <c r="Q154" s="817"/>
    </row>
    <row r="155" spans="1:17" ht="12.75" customHeight="1" x14ac:dyDescent="0.3">
      <c r="A155" s="796"/>
      <c r="B155" s="796" t="s">
        <v>1206</v>
      </c>
      <c r="C155" s="797"/>
      <c r="D155" s="797"/>
      <c r="E155" s="797"/>
      <c r="F155" s="797"/>
      <c r="G155" s="796" t="s">
        <v>1207</v>
      </c>
      <c r="H155" s="802" t="s">
        <v>4734</v>
      </c>
      <c r="I155" s="812"/>
      <c r="J155" s="792" t="str">
        <f>IF(ISBLANK(HLOOKUP(CaseName,CaseData,MATCH($G155,cases!$G$4:$G$2494,0),FALSE)),"",HLOOKUP(CaseName,CaseData,MATCH($G155,cases!$G$4:$G$2494,0),FALSE))</f>
        <v/>
      </c>
      <c r="K155" s="798">
        <f>L160-L164</f>
        <v>0</v>
      </c>
      <c r="L155" s="794">
        <f t="shared" si="7"/>
        <v>0</v>
      </c>
      <c r="M155" s="797" t="s">
        <v>4743</v>
      </c>
      <c r="N155" s="797"/>
      <c r="O155" s="815"/>
      <c r="P155" s="816"/>
      <c r="Q155" s="817"/>
    </row>
    <row r="156" spans="1:17" ht="12.75" customHeight="1" x14ac:dyDescent="0.3">
      <c r="A156" s="789"/>
      <c r="B156" s="789" t="s">
        <v>1204</v>
      </c>
      <c r="C156" s="790"/>
      <c r="D156" s="790"/>
      <c r="E156" s="790"/>
      <c r="F156" s="790"/>
      <c r="G156" s="813" t="s">
        <v>1208</v>
      </c>
      <c r="H156" s="801" t="s">
        <v>4734</v>
      </c>
      <c r="I156" s="812"/>
      <c r="J156" s="792" t="str">
        <f>IF(ISBLANK(HLOOKUP(CaseName,CaseData,MATCH($G156,cases!$G$4:$G$2494,0),FALSE)),"",HLOOKUP(CaseName,CaseData,MATCH($G156,cases!$G$4:$G$2494,0),FALSE))</f>
        <v/>
      </c>
      <c r="K156" s="793">
        <f>L163*(1-L74)</f>
        <v>4.0363469758702607E-8</v>
      </c>
      <c r="L156" s="794">
        <f t="shared" si="7"/>
        <v>4.0363469758702607E-8</v>
      </c>
      <c r="M156" s="790" t="s">
        <v>4743</v>
      </c>
      <c r="N156" s="790"/>
      <c r="O156" s="818"/>
      <c r="P156" s="819"/>
      <c r="Q156" s="817"/>
    </row>
    <row r="157" spans="1:17" ht="12.75" customHeight="1" x14ac:dyDescent="0.3">
      <c r="A157" s="789"/>
      <c r="B157" s="789" t="s">
        <v>1206</v>
      </c>
      <c r="C157" s="790"/>
      <c r="D157" s="790"/>
      <c r="E157" s="790"/>
      <c r="F157" s="790"/>
      <c r="G157" s="813" t="s">
        <v>1209</v>
      </c>
      <c r="H157" s="801" t="s">
        <v>4734</v>
      </c>
      <c r="I157" s="812"/>
      <c r="J157" s="792" t="str">
        <f>IF(ISBLANK(HLOOKUP(CaseName,CaseData,MATCH($G157,cases!$G$4:$G$2494,0),FALSE)),"",HLOOKUP(CaseName,CaseData,MATCH($G157,cases!$G$4:$G$2494,0),FALSE))</f>
        <v/>
      </c>
      <c r="K157" s="793">
        <f>L161-L165</f>
        <v>7.954515271587726E-10</v>
      </c>
      <c r="L157" s="794">
        <f t="shared" si="7"/>
        <v>7.954515271587726E-10</v>
      </c>
      <c r="M157" s="790" t="s">
        <v>4743</v>
      </c>
      <c r="N157" s="790"/>
      <c r="O157" s="818"/>
      <c r="P157" s="819"/>
      <c r="Q157" s="817"/>
    </row>
    <row r="158" spans="1:17" ht="12.75" customHeight="1" x14ac:dyDescent="0.3">
      <c r="A158" s="789"/>
      <c r="B158" s="789" t="s">
        <v>1210</v>
      </c>
      <c r="C158" s="790"/>
      <c r="D158" s="790"/>
      <c r="E158" s="790"/>
      <c r="F158" s="790"/>
      <c r="G158" s="813" t="s">
        <v>1211</v>
      </c>
      <c r="H158" s="801" t="s">
        <v>4734</v>
      </c>
      <c r="I158" s="812"/>
      <c r="J158" s="792" t="str">
        <f>IF(ISBLANK(HLOOKUP(CaseName,CaseData,MATCH($G158,cases!$G$4:$G$2494,0),FALSE)),"",HLOOKUP(CaseName,CaseData,MATCH($G158,cases!$G$4:$G$2494,0),FALSE))</f>
        <v/>
      </c>
      <c r="K158" s="793">
        <f>L163*(1-L78)</f>
        <v>1.7775758434441897E-8</v>
      </c>
      <c r="L158" s="794">
        <f t="shared" si="7"/>
        <v>1.7775758434441897E-8</v>
      </c>
      <c r="M158" s="790" t="s">
        <v>4743</v>
      </c>
      <c r="N158" s="790"/>
      <c r="O158" s="818"/>
      <c r="P158" s="819"/>
      <c r="Q158" s="817"/>
    </row>
    <row r="159" spans="1:17" ht="12.75" customHeight="1" x14ac:dyDescent="0.3">
      <c r="A159" s="789"/>
      <c r="B159" s="789" t="s">
        <v>1212</v>
      </c>
      <c r="C159" s="790"/>
      <c r="D159" s="790"/>
      <c r="E159" s="790"/>
      <c r="F159" s="790"/>
      <c r="G159" s="813" t="s">
        <v>1213</v>
      </c>
      <c r="H159" s="801" t="s">
        <v>4734</v>
      </c>
      <c r="I159" s="812"/>
      <c r="J159" s="792" t="str">
        <f>IF(ISBLANK(HLOOKUP(CaseName,CaseData,MATCH($G159,cases!$G$4:$G$2494,0),FALSE)),"",HLOOKUP(CaseName,CaseData,MATCH($G159,cases!$G$4:$G$2494,0),FALSE))</f>
        <v/>
      </c>
      <c r="K159" s="793">
        <f>L162-L166</f>
        <v>2.666753943691715E-10</v>
      </c>
      <c r="L159" s="794">
        <f t="shared" si="7"/>
        <v>2.666753943691715E-10</v>
      </c>
      <c r="M159" s="790" t="s">
        <v>4743</v>
      </c>
      <c r="N159" s="790"/>
      <c r="O159" s="818"/>
      <c r="P159" s="819"/>
      <c r="Q159" s="817"/>
    </row>
    <row r="160" spans="1:17" ht="12.75" customHeight="1" x14ac:dyDescent="0.3">
      <c r="A160" s="796"/>
      <c r="B160" s="796"/>
      <c r="C160" s="796" t="s">
        <v>1214</v>
      </c>
      <c r="D160" s="797"/>
      <c r="E160" s="797"/>
      <c r="F160" s="797"/>
      <c r="G160" s="802" t="s">
        <v>1215</v>
      </c>
      <c r="H160" s="802" t="s">
        <v>4734</v>
      </c>
      <c r="I160" s="812"/>
      <c r="J160" s="792" t="str">
        <f>IF(ISBLANK(HLOOKUP(CaseName,CaseData,MATCH($G160,cases!$G$4:$G$2494,0),FALSE)),"",HLOOKUP(CaseName,CaseData,MATCH($G160,cases!$G$4:$G$2494,0),FALSE))</f>
        <v/>
      </c>
      <c r="K160" s="798">
        <f>IF(L163*input!L281/(L46*RHOsolid)&gt;L164,L163*input!L281/(L46*RHOsolid),L164)</f>
        <v>8.6861047691527194E-11</v>
      </c>
      <c r="L160" s="794">
        <f t="shared" si="7"/>
        <v>8.6861047691527194E-11</v>
      </c>
      <c r="M160" s="797" t="s">
        <v>690</v>
      </c>
      <c r="N160" s="797"/>
      <c r="O160" s="815"/>
      <c r="P160" s="816"/>
      <c r="Q160" s="817"/>
    </row>
    <row r="161" spans="1:17" ht="12.75" customHeight="1" x14ac:dyDescent="0.3">
      <c r="A161" s="789"/>
      <c r="B161" s="789"/>
      <c r="C161" s="789" t="s">
        <v>1216</v>
      </c>
      <c r="D161" s="790"/>
      <c r="E161" s="790"/>
      <c r="F161" s="790"/>
      <c r="G161" s="801" t="s">
        <v>1217</v>
      </c>
      <c r="H161" s="801" t="s">
        <v>4734</v>
      </c>
      <c r="I161" s="812"/>
      <c r="J161" s="792" t="str">
        <f>IF(ISBLANK(HLOOKUP(CaseName,CaseData,MATCH($G161,cases!$G$4:$G$2494,0),FALSE)),"",HLOOKUP(CaseName,CaseData,MATCH($G161,cases!$G$4:$G$2494,0),FALSE))</f>
        <v/>
      </c>
      <c r="K161" s="793">
        <f>IF(L163*input!L282/(L46*RHOsolid)&gt;L165,L163*input!L282/(L46*RHOsolid),L165)</f>
        <v>8.8231257485029977E-10</v>
      </c>
      <c r="L161" s="794">
        <f t="shared" si="7"/>
        <v>8.8231257485029977E-10</v>
      </c>
      <c r="M161" s="790" t="s">
        <v>690</v>
      </c>
      <c r="N161" s="790"/>
      <c r="O161" s="818"/>
      <c r="P161" s="819"/>
      <c r="Q161" s="817"/>
    </row>
    <row r="162" spans="1:17" ht="12.75" customHeight="1" x14ac:dyDescent="0.3">
      <c r="A162" s="789"/>
      <c r="B162" s="789"/>
      <c r="C162" s="789" t="s">
        <v>1218</v>
      </c>
      <c r="D162" s="790"/>
      <c r="E162" s="801"/>
      <c r="F162" s="801"/>
      <c r="G162" s="801" t="s">
        <v>1219</v>
      </c>
      <c r="H162" s="801" t="s">
        <v>4734</v>
      </c>
      <c r="I162" s="812"/>
      <c r="J162" s="792" t="str">
        <f>IF(ISBLANK(HLOOKUP(CaseName,CaseData,MATCH($G162,cases!$G$4:$G$2494,0),FALSE)),"",HLOOKUP(CaseName,CaseData,MATCH($G162,cases!$G$4:$G$2494,0),FALSE))</f>
        <v/>
      </c>
      <c r="K162" s="793">
        <f>IF(L163*input!L283/(L46*RHOsolid)&gt;L166,L163*input!L283/(L46*RHOsolid),L166)</f>
        <v>2.9410419161676659E-10</v>
      </c>
      <c r="L162" s="794">
        <f t="shared" si="7"/>
        <v>2.9410419161676659E-10</v>
      </c>
      <c r="M162" s="790" t="s">
        <v>690</v>
      </c>
      <c r="N162" s="790"/>
      <c r="O162" s="818"/>
      <c r="P162" s="819"/>
      <c r="Q162" s="817"/>
    </row>
    <row r="163" spans="1:17" ht="12.75" customHeight="1" x14ac:dyDescent="0.3">
      <c r="A163" s="789"/>
      <c r="B163" s="789"/>
      <c r="C163" s="790"/>
      <c r="D163" s="789" t="s">
        <v>1220</v>
      </c>
      <c r="E163" s="801"/>
      <c r="F163" s="801"/>
      <c r="G163" s="801" t="s">
        <v>1221</v>
      </c>
      <c r="H163" s="801" t="s">
        <v>4734</v>
      </c>
      <c r="I163" s="812"/>
      <c r="J163" s="792" t="str">
        <f>IF(ISBLANK(HLOOKUP(CaseName,CaseData,MATCH($G163,cases!$G$4:$G$2494,0),FALSE)),"",HLOOKUP(CaseName,CaseData,MATCH($G163,cases!$G$4:$G$2494,0),FALSE))</f>
        <v/>
      </c>
      <c r="K163" s="793">
        <f>SetVelSPM.w</f>
        <v>2.9410419161676656E-5</v>
      </c>
      <c r="L163" s="794">
        <f t="shared" si="7"/>
        <v>2.9410419161676656E-5</v>
      </c>
      <c r="M163" s="790" t="s">
        <v>690</v>
      </c>
      <c r="N163" s="820" t="s">
        <v>1222</v>
      </c>
      <c r="O163" s="818"/>
      <c r="P163" s="819"/>
      <c r="Q163" s="817"/>
    </row>
    <row r="164" spans="1:17" ht="12.75" customHeight="1" x14ac:dyDescent="0.3">
      <c r="A164" s="796"/>
      <c r="B164" s="796"/>
      <c r="C164" s="797"/>
      <c r="D164" s="796" t="s">
        <v>1223</v>
      </c>
      <c r="E164" s="802"/>
      <c r="F164" s="802"/>
      <c r="G164" s="802" t="s">
        <v>1224</v>
      </c>
      <c r="H164" s="802" t="s">
        <v>866</v>
      </c>
      <c r="I164" s="812"/>
      <c r="J164" s="792" t="str">
        <f>IF(ISBLANK(HLOOKUP(CaseName,CaseData,MATCH($G164,cases!$G$4:$G$2494,0),FALSE)),"",HLOOKUP(CaseName,CaseData,MATCH($G164,cases!$G$4:$G$2494,0),FALSE))</f>
        <v/>
      </c>
      <c r="K164" s="798">
        <f>L165</f>
        <v>8.6861047691527194E-11</v>
      </c>
      <c r="L164" s="794">
        <f t="shared" si="7"/>
        <v>8.6861047691527194E-11</v>
      </c>
      <c r="M164" s="797" t="s">
        <v>690</v>
      </c>
      <c r="N164" s="797"/>
      <c r="O164" s="815"/>
      <c r="P164" s="816"/>
      <c r="Q164" s="817"/>
    </row>
    <row r="165" spans="1:17" ht="12.75" customHeight="1" x14ac:dyDescent="0.3">
      <c r="A165" s="789"/>
      <c r="B165" s="789"/>
      <c r="C165" s="790"/>
      <c r="D165" s="789" t="s">
        <v>1225</v>
      </c>
      <c r="E165" s="801"/>
      <c r="F165" s="789"/>
      <c r="G165" s="801" t="s">
        <v>1226</v>
      </c>
      <c r="H165" s="801" t="s">
        <v>4734</v>
      </c>
      <c r="I165" s="812"/>
      <c r="J165" s="792" t="str">
        <f>IF(ISBLANK(HLOOKUP(CaseName,CaseData,MATCH($G165,cases!$G$4:$G$2494,0),FALSE)),"",HLOOKUP(CaseName,CaseData,MATCH($G165,cases!$G$4:$G$2494,0),FALSE))</f>
        <v/>
      </c>
      <c r="K165" s="793">
        <v>8.6861047691527194E-11</v>
      </c>
      <c r="L165" s="794">
        <f t="shared" si="7"/>
        <v>8.6861047691527194E-11</v>
      </c>
      <c r="M165" s="790" t="s">
        <v>690</v>
      </c>
      <c r="N165" s="821" t="s">
        <v>1227</v>
      </c>
      <c r="O165" s="818"/>
      <c r="P165" s="819"/>
      <c r="Q165" s="817"/>
    </row>
    <row r="166" spans="1:17" ht="12.75" customHeight="1" x14ac:dyDescent="0.3">
      <c r="A166" s="789"/>
      <c r="B166" s="789"/>
      <c r="C166" s="790"/>
      <c r="D166" s="789" t="s">
        <v>1228</v>
      </c>
      <c r="E166" s="801"/>
      <c r="F166" s="789"/>
      <c r="G166" s="801" t="s">
        <v>1229</v>
      </c>
      <c r="H166" s="801" t="s">
        <v>4734</v>
      </c>
      <c r="I166" s="800"/>
      <c r="J166" s="792" t="str">
        <f>IF(ISBLANK(HLOOKUP(CaseName,CaseData,MATCH($G166,cases!$G$4:$G$2494,0),FALSE)),"",HLOOKUP(CaseName,CaseData,MATCH($G166,cases!$G$4:$G$2494,0),FALSE))</f>
        <v/>
      </c>
      <c r="K166" s="793">
        <v>2.7428797247595103E-11</v>
      </c>
      <c r="L166" s="794">
        <f t="shared" si="7"/>
        <v>2.7428797247595103E-11</v>
      </c>
      <c r="M166" s="790" t="s">
        <v>690</v>
      </c>
      <c r="N166" s="821" t="s">
        <v>1227</v>
      </c>
      <c r="O166" s="818"/>
      <c r="P166" s="819"/>
      <c r="Q166" s="817"/>
    </row>
    <row r="167" spans="1:17" ht="12.75" customHeight="1" x14ac:dyDescent="0.3">
      <c r="A167" s="789"/>
      <c r="B167" s="789"/>
      <c r="C167" s="790"/>
      <c r="D167" s="790"/>
      <c r="E167" s="789" t="s">
        <v>1230</v>
      </c>
      <c r="F167" s="801"/>
      <c r="G167" s="801" t="s">
        <v>1231</v>
      </c>
      <c r="H167" s="789" t="s">
        <v>4744</v>
      </c>
      <c r="I167" s="812"/>
      <c r="J167" s="792" t="str">
        <f>IF(ISBLANK(HLOOKUP(CaseName,CaseData,MATCH($G167,cases!$G$4:$G$2494,0),FALSE)),"",HLOOKUP(CaseName,CaseData,MATCH($G167,cases!$G$4:$G$2494,0),FALSE))</f>
        <v/>
      </c>
      <c r="K167" s="793">
        <v>10</v>
      </c>
      <c r="L167" s="794">
        <f>IF(ISBLANK(I167),IF(ISNUMBER(J167)=FALSE,K167/(1000*3600*24*365)*L18*L16,J167/(1000*3600*24*365)*L18*L16),I167/(1000*3600*24*365)*L18*L16)</f>
        <v>1.9931744672754947</v>
      </c>
      <c r="M167" s="790" t="s">
        <v>1233</v>
      </c>
      <c r="N167" s="790"/>
      <c r="O167" s="818"/>
      <c r="P167" s="819"/>
      <c r="Q167" s="817"/>
    </row>
    <row r="168" spans="1:17" ht="12.75" customHeight="1" x14ac:dyDescent="0.3">
      <c r="A168" s="789"/>
      <c r="B168" s="789"/>
      <c r="C168" s="790"/>
      <c r="D168" s="790"/>
      <c r="E168" s="789" t="s">
        <v>1234</v>
      </c>
      <c r="F168" s="790"/>
      <c r="G168" s="801" t="s">
        <v>1235</v>
      </c>
      <c r="H168" s="789" t="s">
        <v>4744</v>
      </c>
      <c r="I168" s="812"/>
      <c r="J168" s="792" t="str">
        <f>IF(ISBLANK(HLOOKUP(CaseName,CaseData,MATCH($G168,cases!$G$4:$G$2494,0),FALSE)),"",HLOOKUP(CaseName,CaseData,MATCH($G168,cases!$G$4:$G$2494,0),FALSE))</f>
        <v/>
      </c>
      <c r="K168" s="793">
        <v>10</v>
      </c>
      <c r="L168" s="794">
        <f>IF(ISBLANK(I168),IF(ISNUMBER(J168)=FALSE,K168/(1000*3600*24*365)*L16*L22,J168/(1000*3600*24*365)*L16*L22),I168/(1000*3600*24*365)*L16*L22)</f>
        <v>0.31709791983764618</v>
      </c>
      <c r="M168" s="790" t="s">
        <v>1233</v>
      </c>
      <c r="N168" s="790"/>
      <c r="O168" s="818"/>
      <c r="P168" s="819"/>
      <c r="Q168" s="817"/>
    </row>
    <row r="169" spans="1:17" ht="12.75" customHeight="1" x14ac:dyDescent="0.3">
      <c r="A169" s="790"/>
      <c r="B169" s="790" t="s">
        <v>1236</v>
      </c>
      <c r="C169" s="801"/>
      <c r="D169" s="801"/>
      <c r="E169" s="790"/>
      <c r="F169" s="790"/>
      <c r="G169" s="813" t="s">
        <v>1237</v>
      </c>
      <c r="H169" s="801" t="s">
        <v>4734</v>
      </c>
      <c r="I169" s="812"/>
      <c r="J169" s="792" t="str">
        <f>IF(ISBLANK(HLOOKUP(CaseName,CaseData,MATCH($G169,cases!$G$4:$G$2494,0),FALSE)),"",HLOOKUP(CaseName,CaseData,MATCH($G169,cases!$G$4:$G$2494,0),FALSE))</f>
        <v/>
      </c>
      <c r="K169" s="793">
        <f>(L173*L174)/(L173+L174)*L74</f>
        <v>2.7467202130042588E-8</v>
      </c>
      <c r="L169" s="794">
        <f t="shared" ref="L169:L174" si="8">IF(ISBLANK(I169),IF(ISNUMBER(J169)=FALSE,K169,J169),I169)</f>
        <v>2.7467202130042588E-8</v>
      </c>
      <c r="M169" s="790" t="s">
        <v>4743</v>
      </c>
      <c r="N169" s="790"/>
      <c r="O169" s="818"/>
      <c r="P169" s="819"/>
      <c r="Q169" s="817"/>
    </row>
    <row r="170" spans="1:17" ht="12.75" customHeight="1" x14ac:dyDescent="0.3">
      <c r="A170" s="790"/>
      <c r="B170" s="790" t="s">
        <v>1238</v>
      </c>
      <c r="C170" s="801"/>
      <c r="D170" s="801"/>
      <c r="E170" s="790"/>
      <c r="F170" s="790"/>
      <c r="G170" s="813" t="s">
        <v>1239</v>
      </c>
      <c r="H170" s="801" t="s">
        <v>4734</v>
      </c>
      <c r="I170" s="812"/>
      <c r="J170" s="792" t="str">
        <f>IF(ISBLANK(HLOOKUP(CaseName,CaseData,MATCH($G170,cases!$G$4:$G$2494,0),FALSE)),"",HLOOKUP(CaseName,CaseData,MATCH($G170,cases!$G$4:$G$2494,0),FALSE))</f>
        <v/>
      </c>
      <c r="K170" s="793">
        <f>((L173*L174)/(L173+L174))/L85</f>
        <v>1.3726088155166724E-9</v>
      </c>
      <c r="L170" s="794">
        <f t="shared" si="8"/>
        <v>1.3726088155166724E-9</v>
      </c>
      <c r="M170" s="790" t="s">
        <v>4743</v>
      </c>
      <c r="N170" s="790"/>
      <c r="O170" s="818"/>
      <c r="P170" s="819"/>
      <c r="Q170" s="817"/>
    </row>
    <row r="171" spans="1:17" ht="12.75" customHeight="1" x14ac:dyDescent="0.3">
      <c r="A171" s="790"/>
      <c r="B171" s="790" t="s">
        <v>1240</v>
      </c>
      <c r="C171" s="801"/>
      <c r="D171" s="801"/>
      <c r="E171" s="790"/>
      <c r="F171" s="801"/>
      <c r="G171" s="813" t="s">
        <v>1241</v>
      </c>
      <c r="H171" s="801" t="s">
        <v>4734</v>
      </c>
      <c r="I171" s="812"/>
      <c r="J171" s="792" t="str">
        <f>IF(ISBLANK(HLOOKUP(CaseName,CaseData,MATCH($G171,cases!$G$4:$G$2494,0),FALSE)),"",HLOOKUP(CaseName,CaseData,MATCH($G171,cases!$G$4:$G$2494,0),FALSE))</f>
        <v/>
      </c>
      <c r="K171" s="793">
        <f>(L173*L174)/(L173+L174)*L78</f>
        <v>2.7488326408426888E-8</v>
      </c>
      <c r="L171" s="794">
        <f t="shared" si="8"/>
        <v>2.7488326408426888E-8</v>
      </c>
      <c r="M171" s="790" t="s">
        <v>4743</v>
      </c>
      <c r="N171" s="790"/>
      <c r="O171" s="818"/>
      <c r="P171" s="819"/>
      <c r="Q171" s="817"/>
    </row>
    <row r="172" spans="1:17" ht="12.75" customHeight="1" x14ac:dyDescent="0.3">
      <c r="A172" s="790"/>
      <c r="B172" s="790" t="s">
        <v>1242</v>
      </c>
      <c r="C172" s="801"/>
      <c r="D172" s="801"/>
      <c r="E172" s="790"/>
      <c r="F172" s="801"/>
      <c r="G172" s="813" t="s">
        <v>1243</v>
      </c>
      <c r="H172" s="801" t="s">
        <v>4734</v>
      </c>
      <c r="I172" s="812"/>
      <c r="J172" s="792" t="str">
        <f>IF(ISBLANK(HLOOKUP(CaseName,CaseData,MATCH($G172,cases!$G$4:$G$2494,0),FALSE)),"",HLOOKUP(CaseName,CaseData,MATCH($G172,cases!$G$4:$G$2494,0),FALSE))</f>
        <v/>
      </c>
      <c r="K172" s="793">
        <f>((L173*L174)/(L173+L174))/L88</f>
        <v>1.3726088155166724E-9</v>
      </c>
      <c r="L172" s="794">
        <f t="shared" si="8"/>
        <v>1.3726088155166724E-9</v>
      </c>
      <c r="M172" s="790" t="s">
        <v>4743</v>
      </c>
      <c r="N172" s="790"/>
      <c r="O172" s="818"/>
      <c r="P172" s="819"/>
      <c r="Q172" s="817"/>
    </row>
    <row r="173" spans="1:17" ht="12.75" customHeight="1" x14ac:dyDescent="0.3">
      <c r="A173" s="789"/>
      <c r="B173" s="789"/>
      <c r="C173" s="790" t="s">
        <v>1244</v>
      </c>
      <c r="D173" s="790"/>
      <c r="E173" s="801"/>
      <c r="F173" s="801"/>
      <c r="G173" s="790" t="s">
        <v>1245</v>
      </c>
      <c r="H173" s="801" t="s">
        <v>4734</v>
      </c>
      <c r="I173" s="812"/>
      <c r="J173" s="792" t="str">
        <f>IF(ISBLANK(HLOOKUP(CaseName,CaseData,MATCH($G173,cases!$G$4:$G$2494,0),FALSE)),"",HLOOKUP(CaseName,CaseData,MATCH($G173,cases!$G$4:$G$2494,0),FALSE))</f>
        <v/>
      </c>
      <c r="K173" s="793">
        <v>2.7779999999999999E-6</v>
      </c>
      <c r="L173" s="794">
        <f t="shared" si="8"/>
        <v>2.7779999999999999E-6</v>
      </c>
      <c r="M173" s="790" t="s">
        <v>690</v>
      </c>
      <c r="N173" s="790"/>
      <c r="O173" s="818"/>
      <c r="P173" s="819"/>
      <c r="Q173" s="817"/>
    </row>
    <row r="174" spans="1:17" ht="12.75" customHeight="1" x14ac:dyDescent="0.3">
      <c r="A174" s="789"/>
      <c r="B174" s="789"/>
      <c r="C174" s="790" t="s">
        <v>1246</v>
      </c>
      <c r="D174" s="790"/>
      <c r="E174" s="801"/>
      <c r="F174" s="790"/>
      <c r="G174" s="790" t="s">
        <v>1247</v>
      </c>
      <c r="H174" s="801" t="s">
        <v>4734</v>
      </c>
      <c r="I174" s="812"/>
      <c r="J174" s="792" t="str">
        <f>IF(ISBLANK(HLOOKUP(CaseName,CaseData,MATCH($G174,cases!$G$4:$G$2494,0),FALSE)),"",HLOOKUP(CaseName,CaseData,MATCH($G174,cases!$G$4:$G$2494,0),FALSE))</f>
        <v/>
      </c>
      <c r="K174" s="793">
        <v>2.7780000000000001E-8</v>
      </c>
      <c r="L174" s="794">
        <f t="shared" si="8"/>
        <v>2.7780000000000001E-8</v>
      </c>
      <c r="M174" s="790" t="s">
        <v>690</v>
      </c>
      <c r="N174" s="790"/>
      <c r="O174" s="818"/>
      <c r="P174" s="819"/>
      <c r="Q174" s="817"/>
    </row>
    <row r="175" spans="1:17" ht="12.75" customHeight="1" x14ac:dyDescent="0.3">
      <c r="A175" s="789"/>
      <c r="B175" s="790"/>
      <c r="C175" s="790"/>
      <c r="D175" s="790"/>
      <c r="E175" s="790"/>
      <c r="F175" s="790"/>
      <c r="G175" s="801"/>
      <c r="H175" s="789"/>
      <c r="I175" s="822"/>
      <c r="J175" s="792"/>
      <c r="K175" s="804"/>
      <c r="L175" s="823"/>
      <c r="M175" s="789"/>
      <c r="N175" s="790"/>
      <c r="O175" s="795"/>
      <c r="P175" s="790"/>
    </row>
    <row r="176" spans="1:17" ht="12.75" customHeight="1" x14ac:dyDescent="0.3">
      <c r="A176" s="789" t="s">
        <v>4745</v>
      </c>
      <c r="B176" s="790"/>
      <c r="C176" s="790"/>
      <c r="D176" s="790"/>
      <c r="E176" s="790"/>
      <c r="F176" s="790"/>
      <c r="G176" s="789" t="s">
        <v>1248</v>
      </c>
      <c r="H176" s="789" t="s">
        <v>4690</v>
      </c>
      <c r="I176" s="812"/>
      <c r="J176" s="792" t="str">
        <f>IF(ISBLANK(HLOOKUP(CaseName,CaseData,MATCH($G176,cases!$G$4:$G$2494,0),FALSE)),"",HLOOKUP(CaseName,CaseData,MATCH($G176,cases!$G$4:$G$2494,0),FALSE))</f>
        <v/>
      </c>
      <c r="K176" s="793">
        <f>(RAINrate.R*L185/L91+L182)*L188/L30*L18/(L17+L18)</f>
        <v>5.5696901203386607E-9</v>
      </c>
      <c r="L176" s="794">
        <f t="shared" ref="L176:L190" si="9">IF(ISBLANK(I176),IF(ISNUMBER(J176)=FALSE,K176,J176),I176)</f>
        <v>5.5696901203386607E-9</v>
      </c>
      <c r="M176" s="790" t="s">
        <v>1038</v>
      </c>
      <c r="N176" s="790"/>
      <c r="O176" s="795"/>
      <c r="P176" s="790"/>
    </row>
    <row r="177" spans="1:16" ht="12.75" customHeight="1" x14ac:dyDescent="0.3">
      <c r="A177" s="789" t="s">
        <v>4746</v>
      </c>
      <c r="B177" s="790"/>
      <c r="C177" s="790"/>
      <c r="D177" s="790"/>
      <c r="E177" s="790"/>
      <c r="F177" s="790"/>
      <c r="G177" s="789" t="s">
        <v>1249</v>
      </c>
      <c r="H177" s="789" t="s">
        <v>4690</v>
      </c>
      <c r="I177" s="812"/>
      <c r="J177" s="792" t="str">
        <f>IF(ISBLANK(HLOOKUP(CaseName,CaseData,MATCH($G177,cases!$G$4:$G$2494,0),FALSE)),"",HLOOKUP(CaseName,CaseData,MATCH($G177,cases!$G$4:$G$2494,0),FALSE))</f>
        <v/>
      </c>
      <c r="K177" s="793">
        <f>(RAINrate.R*L186/L96+L183)*L189/L31*L18/(L17+L18)</f>
        <v>2.5345110709015009E-9</v>
      </c>
      <c r="L177" s="794">
        <f t="shared" si="9"/>
        <v>2.5345110709015009E-9</v>
      </c>
      <c r="M177" s="790" t="s">
        <v>1038</v>
      </c>
      <c r="N177" s="790"/>
      <c r="O177" s="795"/>
      <c r="P177" s="790"/>
    </row>
    <row r="178" spans="1:16" ht="12.75" customHeight="1" x14ac:dyDescent="0.3">
      <c r="A178" s="789" t="s">
        <v>4747</v>
      </c>
      <c r="B178" s="790"/>
      <c r="C178" s="790"/>
      <c r="D178" s="790"/>
      <c r="E178" s="790"/>
      <c r="F178" s="790"/>
      <c r="G178" s="789" t="s">
        <v>1250</v>
      </c>
      <c r="H178" s="789" t="s">
        <v>4690</v>
      </c>
      <c r="I178" s="812"/>
      <c r="J178" s="792" t="str">
        <f>IF(ISBLANK(HLOOKUP(CaseName,CaseData,MATCH($G178,cases!$G$4:$G$2494,0),FALSE)),"",HLOOKUP(CaseName,CaseData,MATCH($G178,cases!$G$4:$G$2494,0),FALSE))</f>
        <v/>
      </c>
      <c r="K178" s="793">
        <f>(RAINrate.R*L187/L101+L184)*L190/L32*L18/(L17+L18)</f>
        <v>5.5696901203386607E-9</v>
      </c>
      <c r="L178" s="794">
        <f t="shared" si="9"/>
        <v>5.5696901203386607E-9</v>
      </c>
      <c r="M178" s="790" t="s">
        <v>1038</v>
      </c>
      <c r="N178" s="790"/>
      <c r="O178" s="795"/>
      <c r="P178" s="790"/>
    </row>
    <row r="179" spans="1:16" ht="12.75" customHeight="1" x14ac:dyDescent="0.3">
      <c r="A179" s="789" t="s">
        <v>2093</v>
      </c>
      <c r="B179" s="790"/>
      <c r="C179" s="790"/>
      <c r="D179" s="790"/>
      <c r="E179" s="790"/>
      <c r="F179" s="790"/>
      <c r="G179" s="789" t="s">
        <v>4652</v>
      </c>
      <c r="H179" s="789" t="s">
        <v>335</v>
      </c>
      <c r="I179" s="812"/>
      <c r="J179" s="792" t="str">
        <f>IF(ISBLANK(HLOOKUP(CaseName,CaseData,MATCH($G179,cases!$G$4:$G$2494,0),FALSE)),"",HLOOKUP(CaseName,CaseData,MATCH($G179,cases!$G$4:$G$2494,0),FALSE))</f>
        <v/>
      </c>
      <c r="K179" s="793">
        <f>(RAINrate.R*L185/L91+L182)*L188/L30*L17/(L17+L18)</f>
        <v>5.0633546548533271E-10</v>
      </c>
      <c r="L179" s="794">
        <f t="shared" ref="L179:L181" si="10">IF(ISBLANK(I179),IF(ISNUMBER(J179)=FALSE,K179,J179),I179)</f>
        <v>5.0633546548533271E-10</v>
      </c>
      <c r="M179" s="790" t="s">
        <v>1038</v>
      </c>
      <c r="N179" s="790"/>
      <c r="O179" s="795"/>
      <c r="P179" s="790"/>
    </row>
    <row r="180" spans="1:16" ht="12.75" customHeight="1" x14ac:dyDescent="0.3">
      <c r="A180" s="789" t="s">
        <v>2095</v>
      </c>
      <c r="B180" s="790"/>
      <c r="C180" s="790"/>
      <c r="D180" s="790"/>
      <c r="E180" s="790"/>
      <c r="F180" s="790"/>
      <c r="G180" s="789" t="s">
        <v>4653</v>
      </c>
      <c r="H180" s="789" t="s">
        <v>335</v>
      </c>
      <c r="I180" s="812"/>
      <c r="J180" s="792" t="str">
        <f>IF(ISBLANK(HLOOKUP(CaseName,CaseData,MATCH($G180,cases!$G$4:$G$2494,0),FALSE)),"",HLOOKUP(CaseName,CaseData,MATCH($G180,cases!$G$4:$G$2494,0),FALSE))</f>
        <v/>
      </c>
      <c r="K180" s="793">
        <f>(RAINrate.R*L186/L96+L183)*L189/L31*L17/(L17+L18)</f>
        <v>2.304100973546819E-10</v>
      </c>
      <c r="L180" s="794">
        <f t="shared" si="10"/>
        <v>2.304100973546819E-10</v>
      </c>
      <c r="M180" s="790" t="s">
        <v>1038</v>
      </c>
      <c r="N180" s="790"/>
      <c r="O180" s="795"/>
      <c r="P180" s="790"/>
    </row>
    <row r="181" spans="1:16" ht="12.75" customHeight="1" x14ac:dyDescent="0.3">
      <c r="A181" s="789" t="s">
        <v>2097</v>
      </c>
      <c r="B181" s="790"/>
      <c r="C181" s="790"/>
      <c r="D181" s="790"/>
      <c r="E181" s="790"/>
      <c r="F181" s="790"/>
      <c r="G181" s="789" t="s">
        <v>4654</v>
      </c>
      <c r="H181" s="789" t="s">
        <v>335</v>
      </c>
      <c r="I181" s="812"/>
      <c r="J181" s="792" t="str">
        <f>IF(ISBLANK(HLOOKUP(CaseName,CaseData,MATCH($G181,cases!$G$4:$G$2494,0),FALSE)),"",HLOOKUP(CaseName,CaseData,MATCH($G181,cases!$G$4:$G$2494,0),FALSE))</f>
        <v/>
      </c>
      <c r="K181" s="793">
        <f>(RAINrate.R*L187/L101+L184)*L190/L32*L17/(L17+L18)</f>
        <v>5.0633546548533271E-10</v>
      </c>
      <c r="L181" s="794">
        <f t="shared" si="10"/>
        <v>5.0633546548533271E-10</v>
      </c>
      <c r="M181" s="790" t="s">
        <v>1038</v>
      </c>
      <c r="N181" s="790"/>
      <c r="O181" s="795"/>
      <c r="P181" s="790"/>
    </row>
    <row r="182" spans="1:16" ht="12.75" customHeight="1" x14ac:dyDescent="0.3">
      <c r="A182" s="789"/>
      <c r="B182" s="789"/>
      <c r="C182" s="801" t="s">
        <v>1251</v>
      </c>
      <c r="D182" s="790"/>
      <c r="E182" s="801"/>
      <c r="F182" s="801"/>
      <c r="G182" s="801" t="s">
        <v>1252</v>
      </c>
      <c r="H182" s="789" t="s">
        <v>4734</v>
      </c>
      <c r="I182" s="791"/>
      <c r="J182" s="792" t="str">
        <f>IF(ISBLANK(HLOOKUP(CaseName,CaseData,MATCH($G182,cases!$G$4:$G$2494,0),FALSE)),"",HLOOKUP(CaseName,CaseData,MATCH($G182,cases!$G$4:$G$2494,0),FALSE))</f>
        <v/>
      </c>
      <c r="K182" s="793">
        <f>EROSION.R</f>
        <v>9.5129375951293754E-13</v>
      </c>
      <c r="L182" s="794">
        <f t="shared" si="9"/>
        <v>9.5129375951293754E-13</v>
      </c>
      <c r="M182" s="790" t="s">
        <v>690</v>
      </c>
      <c r="N182" s="790"/>
      <c r="O182" s="795"/>
      <c r="P182" s="790"/>
    </row>
    <row r="183" spans="1:16" ht="12.75" customHeight="1" x14ac:dyDescent="0.3">
      <c r="A183" s="789"/>
      <c r="B183" s="789"/>
      <c r="C183" s="801" t="s">
        <v>1253</v>
      </c>
      <c r="D183" s="790"/>
      <c r="E183" s="801"/>
      <c r="F183" s="801"/>
      <c r="G183" s="801" t="s">
        <v>1254</v>
      </c>
      <c r="H183" s="789" t="s">
        <v>4734</v>
      </c>
      <c r="I183" s="812"/>
      <c r="J183" s="792" t="str">
        <f>IF(ISBLANK(HLOOKUP(CaseName,CaseData,MATCH($G183,cases!$G$4:$G$2494,0),FALSE)),"",HLOOKUP(CaseName,CaseData,MATCH($G183,cases!$G$4:$G$2494,0),FALSE))</f>
        <v/>
      </c>
      <c r="K183" s="793">
        <f>EROSION.R</f>
        <v>9.5129375951293754E-13</v>
      </c>
      <c r="L183" s="794">
        <f t="shared" si="9"/>
        <v>9.5129375951293754E-13</v>
      </c>
      <c r="M183" s="790" t="s">
        <v>690</v>
      </c>
      <c r="N183" s="790"/>
      <c r="O183" s="795"/>
      <c r="P183" s="790"/>
    </row>
    <row r="184" spans="1:16" ht="12.75" customHeight="1" x14ac:dyDescent="0.3">
      <c r="A184" s="789"/>
      <c r="B184" s="789"/>
      <c r="C184" s="801" t="s">
        <v>1255</v>
      </c>
      <c r="D184" s="790"/>
      <c r="E184" s="801"/>
      <c r="F184" s="801"/>
      <c r="G184" s="801" t="s">
        <v>1256</v>
      </c>
      <c r="H184" s="789" t="s">
        <v>4734</v>
      </c>
      <c r="I184" s="812"/>
      <c r="J184" s="792" t="str">
        <f>IF(ISBLANK(HLOOKUP(CaseName,CaseData,MATCH($G184,cases!$G$4:$G$2494,0),FALSE)),"",HLOOKUP(CaseName,CaseData,MATCH($G184,cases!$G$4:$G$2494,0),FALSE))</f>
        <v/>
      </c>
      <c r="K184" s="793">
        <f>EROSION.R</f>
        <v>9.5129375951293754E-13</v>
      </c>
      <c r="L184" s="794">
        <f t="shared" si="9"/>
        <v>9.5129375951293754E-13</v>
      </c>
      <c r="M184" s="790" t="s">
        <v>690</v>
      </c>
      <c r="N184" s="790"/>
      <c r="O184" s="795"/>
      <c r="P184" s="790"/>
    </row>
    <row r="185" spans="1:16" ht="12.75" customHeight="1" x14ac:dyDescent="0.3">
      <c r="A185" s="789"/>
      <c r="B185" s="789"/>
      <c r="C185" s="789" t="s">
        <v>1257</v>
      </c>
      <c r="D185" s="790"/>
      <c r="E185" s="801"/>
      <c r="F185" s="801"/>
      <c r="G185" s="801" t="s">
        <v>1258</v>
      </c>
      <c r="H185" s="789" t="s">
        <v>291</v>
      </c>
      <c r="I185" s="791"/>
      <c r="J185" s="792" t="str">
        <f>IF(ISBLANK(HLOOKUP(CaseName,CaseData,MATCH($G185,cases!$G$4:$G$2494,0),FALSE)),"",HLOOKUP(CaseName,CaseData,MATCH($G185,cases!$G$4:$G$2494,0),FALSE))</f>
        <v/>
      </c>
      <c r="K185" s="793">
        <f>FRACrun.R</f>
        <v>0.25</v>
      </c>
      <c r="L185" s="794">
        <f t="shared" si="9"/>
        <v>0.25</v>
      </c>
      <c r="M185" s="790" t="s">
        <v>292</v>
      </c>
      <c r="N185" s="790"/>
      <c r="O185" s="795"/>
      <c r="P185" s="790"/>
    </row>
    <row r="186" spans="1:16" ht="12.75" customHeight="1" x14ac:dyDescent="0.3">
      <c r="A186" s="789"/>
      <c r="B186" s="789"/>
      <c r="C186" s="789" t="s">
        <v>1259</v>
      </c>
      <c r="D186" s="790"/>
      <c r="E186" s="801"/>
      <c r="F186" s="801"/>
      <c r="G186" s="801" t="s">
        <v>1260</v>
      </c>
      <c r="H186" s="789" t="s">
        <v>291</v>
      </c>
      <c r="I186" s="812"/>
      <c r="J186" s="792" t="str">
        <f>IF(ISBLANK(HLOOKUP(CaseName,CaseData,MATCH($G186,cases!$G$4:$G$2494,0),FALSE)),"",HLOOKUP(CaseName,CaseData,MATCH($G186,cases!$G$4:$G$2494,0),FALSE))</f>
        <v/>
      </c>
      <c r="K186" s="793">
        <f>FRACrun.R</f>
        <v>0.25</v>
      </c>
      <c r="L186" s="794">
        <f t="shared" si="9"/>
        <v>0.25</v>
      </c>
      <c r="M186" s="790" t="s">
        <v>292</v>
      </c>
      <c r="N186" s="790"/>
      <c r="O186" s="795"/>
      <c r="P186" s="790"/>
    </row>
    <row r="187" spans="1:16" ht="12.75" customHeight="1" x14ac:dyDescent="0.3">
      <c r="A187" s="789"/>
      <c r="B187" s="789"/>
      <c r="C187" s="789" t="s">
        <v>1261</v>
      </c>
      <c r="D187" s="790"/>
      <c r="E187" s="801"/>
      <c r="F187" s="801"/>
      <c r="G187" s="801" t="s">
        <v>1262</v>
      </c>
      <c r="H187" s="789" t="s">
        <v>291</v>
      </c>
      <c r="I187" s="812"/>
      <c r="J187" s="792" t="str">
        <f>IF(ISBLANK(HLOOKUP(CaseName,CaseData,MATCH($G187,cases!$G$4:$G$2494,0),FALSE)),"",HLOOKUP(CaseName,CaseData,MATCH($G187,cases!$G$4:$G$2494,0),FALSE))</f>
        <v/>
      </c>
      <c r="K187" s="793">
        <f>FRACrun.R</f>
        <v>0.25</v>
      </c>
      <c r="L187" s="794">
        <f t="shared" si="9"/>
        <v>0.25</v>
      </c>
      <c r="M187" s="790" t="s">
        <v>292</v>
      </c>
      <c r="N187" s="790"/>
      <c r="O187" s="795"/>
      <c r="P187" s="790"/>
    </row>
    <row r="188" spans="1:16" ht="12.75" customHeight="1" x14ac:dyDescent="0.3">
      <c r="A188" s="789"/>
      <c r="B188" s="789"/>
      <c r="C188" s="790" t="s">
        <v>1185</v>
      </c>
      <c r="D188" s="790"/>
      <c r="E188" s="801"/>
      <c r="F188" s="801"/>
      <c r="G188" s="789" t="s">
        <v>1263</v>
      </c>
      <c r="H188" s="790" t="s">
        <v>291</v>
      </c>
      <c r="I188" s="812"/>
      <c r="J188" s="792" t="str">
        <f>IF(ISBLANK(HLOOKUP(CaseName,CaseData,MATCH($G188,cases!$G$4:$G$2494,0),FALSE)),"",HLOOKUP(CaseName,CaseData,MATCH($G188,cases!$G$4:$G$2494,0),FALSE))</f>
        <v/>
      </c>
      <c r="K188" s="793">
        <f>(EXP((-1/0.1)*0)*(1/0.1)*L30/(1-EXP((-1/0.1)*L30)))</f>
        <v>1.2707470412683992</v>
      </c>
      <c r="L188" s="794">
        <f t="shared" si="9"/>
        <v>1.2707470412683992</v>
      </c>
      <c r="M188" s="790" t="s">
        <v>292</v>
      </c>
      <c r="N188" s="790" t="s">
        <v>1187</v>
      </c>
      <c r="O188" s="795"/>
      <c r="P188" s="790"/>
    </row>
    <row r="189" spans="1:16" ht="12.75" customHeight="1" x14ac:dyDescent="0.3">
      <c r="A189" s="789"/>
      <c r="B189" s="789"/>
      <c r="C189" s="790" t="s">
        <v>1185</v>
      </c>
      <c r="D189" s="790"/>
      <c r="E189" s="801"/>
      <c r="F189" s="801"/>
      <c r="G189" s="789" t="s">
        <v>1264</v>
      </c>
      <c r="H189" s="790" t="s">
        <v>291</v>
      </c>
      <c r="I189" s="812"/>
      <c r="J189" s="792" t="str">
        <f>IF(ISBLANK(HLOOKUP(CaseName,CaseData,MATCH($G189,cases!$G$4:$G$2494,0),FALSE)),"",HLOOKUP(CaseName,CaseData,MATCH($G189,cases!$G$4:$G$2494,0),FALSE))</f>
        <v/>
      </c>
      <c r="K189" s="793">
        <f>(EXP((-1/0.1)*0)*(1/0.1)*L31/(1-EXP((-1/0.1)*L31)))</f>
        <v>2.3130352854993315</v>
      </c>
      <c r="L189" s="794">
        <f t="shared" si="9"/>
        <v>2.3130352854993315</v>
      </c>
      <c r="M189" s="790" t="s">
        <v>292</v>
      </c>
      <c r="N189" s="790" t="s">
        <v>1187</v>
      </c>
      <c r="O189" s="795"/>
      <c r="P189" s="790"/>
    </row>
    <row r="190" spans="1:16" ht="12.75" customHeight="1" x14ac:dyDescent="0.3">
      <c r="A190" s="789"/>
      <c r="B190" s="789"/>
      <c r="C190" s="790" t="s">
        <v>1185</v>
      </c>
      <c r="D190" s="790"/>
      <c r="E190" s="801"/>
      <c r="F190" s="801"/>
      <c r="G190" s="789" t="s">
        <v>1265</v>
      </c>
      <c r="H190" s="790" t="s">
        <v>291</v>
      </c>
      <c r="I190" s="812"/>
      <c r="J190" s="792" t="str">
        <f>IF(ISBLANK(HLOOKUP(CaseName,CaseData,MATCH($G190,cases!$G$4:$G$2494,0),FALSE)),"",HLOOKUP(CaseName,CaseData,MATCH($G190,cases!$G$4:$G$2494,0),FALSE))</f>
        <v/>
      </c>
      <c r="K190" s="793">
        <f>(EXP((-1/0.1)*0)*(1/0.1)*L32/(1-EXP((-1/0.1)*L32)))</f>
        <v>1.2707470412683992</v>
      </c>
      <c r="L190" s="794">
        <f t="shared" si="9"/>
        <v>1.2707470412683992</v>
      </c>
      <c r="M190" s="790" t="s">
        <v>292</v>
      </c>
      <c r="N190" s="790" t="s">
        <v>1187</v>
      </c>
      <c r="O190" s="795"/>
      <c r="P190" s="790"/>
    </row>
    <row r="191" spans="1:16" ht="12.75" customHeight="1" x14ac:dyDescent="0.3">
      <c r="I191" s="780"/>
      <c r="J191" s="805"/>
    </row>
    <row r="192" spans="1:16" s="784" customFormat="1" ht="12.75" customHeight="1" x14ac:dyDescent="0.3">
      <c r="A192" s="785" t="s">
        <v>1266</v>
      </c>
      <c r="G192" s="785" t="s">
        <v>258</v>
      </c>
      <c r="H192" s="785" t="s">
        <v>274</v>
      </c>
      <c r="I192" s="786" t="s">
        <v>259</v>
      </c>
      <c r="J192" s="811" t="s">
        <v>275</v>
      </c>
      <c r="K192" s="786" t="s">
        <v>260</v>
      </c>
      <c r="L192" s="787" t="s">
        <v>261</v>
      </c>
      <c r="N192" s="785" t="s">
        <v>262</v>
      </c>
      <c r="O192" s="788"/>
    </row>
    <row r="193" spans="1:16" ht="12.75" customHeight="1" x14ac:dyDescent="0.3">
      <c r="A193" s="779"/>
      <c r="I193" s="780"/>
      <c r="J193" s="805"/>
      <c r="K193" s="824"/>
      <c r="L193" s="825"/>
    </row>
    <row r="194" spans="1:16" ht="12.75" customHeight="1" x14ac:dyDescent="0.3">
      <c r="A194" s="789" t="s">
        <v>1267</v>
      </c>
      <c r="B194" s="790"/>
      <c r="C194" s="790"/>
      <c r="D194" s="790"/>
      <c r="E194" s="790"/>
      <c r="F194" s="790"/>
      <c r="G194" s="789" t="s">
        <v>4748</v>
      </c>
      <c r="H194" s="789" t="s">
        <v>4690</v>
      </c>
      <c r="I194" s="812"/>
      <c r="J194" s="792" t="str">
        <f>IF(ISBLANK(HLOOKUP(CaseName,CaseData,MATCH($G194,cases!$G$4:$G$2494,0),FALSE)),"",HLOOKUP(CaseName,CaseData,MATCH($G194,cases!$G$4:$G$2494,0),FALSE))</f>
        <v/>
      </c>
      <c r="K194" s="793">
        <f>L204+L205</f>
        <v>2.1630471517752678E-7</v>
      </c>
      <c r="L194" s="794">
        <f t="shared" ref="L194:L226" si="11">IF(ISBLANK(I194),IF(ISNUMBER(J194)=FALSE,K194,J194),I194)</f>
        <v>2.1630471517752678E-7</v>
      </c>
      <c r="M194" s="790" t="s">
        <v>1038</v>
      </c>
      <c r="N194" s="790"/>
      <c r="O194" s="795"/>
      <c r="P194" s="790"/>
    </row>
    <row r="195" spans="1:16" ht="12.75" customHeight="1" x14ac:dyDescent="0.3">
      <c r="A195" s="789" t="s">
        <v>1268</v>
      </c>
      <c r="B195" s="790"/>
      <c r="C195" s="790"/>
      <c r="D195" s="790"/>
      <c r="E195" s="790"/>
      <c r="F195" s="790"/>
      <c r="G195" s="789" t="s">
        <v>4749</v>
      </c>
      <c r="H195" s="789" t="s">
        <v>4690</v>
      </c>
      <c r="I195" s="812"/>
      <c r="J195" s="792" t="str">
        <f>IF(ISBLANK(HLOOKUP(CaseName,CaseData,MATCH($G195,cases!$G$4:$G$2494,0),FALSE)),"",HLOOKUP(CaseName,CaseData,MATCH($G195,cases!$G$4:$G$2494,0),FALSE))</f>
        <v/>
      </c>
      <c r="K195" s="793">
        <f>L208</f>
        <v>8.6888547727987207E-8</v>
      </c>
      <c r="L195" s="794">
        <f t="shared" si="11"/>
        <v>8.6888547727987207E-8</v>
      </c>
      <c r="M195" s="790" t="s">
        <v>1038</v>
      </c>
      <c r="N195" s="790"/>
      <c r="O195" s="795"/>
      <c r="P195" s="790"/>
    </row>
    <row r="196" spans="1:16" ht="12.75" customHeight="1" x14ac:dyDescent="0.3">
      <c r="A196" s="789" t="s">
        <v>1269</v>
      </c>
      <c r="B196" s="790"/>
      <c r="C196" s="790"/>
      <c r="D196" s="790"/>
      <c r="E196" s="790"/>
      <c r="F196" s="790"/>
      <c r="G196" s="789" t="s">
        <v>4750</v>
      </c>
      <c r="H196" s="789" t="s">
        <v>4690</v>
      </c>
      <c r="I196" s="812"/>
      <c r="J196" s="792" t="str">
        <f>IF(ISBLANK(HLOOKUP(CaseName,CaseData,MATCH($G196,cases!$G$4:$G$2494,0),FALSE)),"",HLOOKUP(CaseName,CaseData,MATCH($G196,cases!$G$4:$G$2494,0),FALSE))</f>
        <v/>
      </c>
      <c r="K196" s="793">
        <f>L209</f>
        <v>8.6791727940822063E-8</v>
      </c>
      <c r="L196" s="794">
        <f t="shared" si="11"/>
        <v>8.6791727940822063E-8</v>
      </c>
      <c r="M196" s="790" t="s">
        <v>1038</v>
      </c>
      <c r="N196" s="790"/>
      <c r="O196" s="795"/>
      <c r="P196" s="790"/>
    </row>
    <row r="197" spans="1:16" ht="12.75" customHeight="1" x14ac:dyDescent="0.3">
      <c r="A197" s="789" t="s">
        <v>1270</v>
      </c>
      <c r="B197" s="790"/>
      <c r="C197" s="790"/>
      <c r="D197" s="790"/>
      <c r="E197" s="790"/>
      <c r="F197" s="790"/>
      <c r="G197" s="789" t="s">
        <v>4751</v>
      </c>
      <c r="H197" s="789" t="s">
        <v>4690</v>
      </c>
      <c r="I197" s="812"/>
      <c r="J197" s="792" t="str">
        <f>IF(ISBLANK(HLOOKUP(CaseName,CaseData,MATCH($G197,cases!$G$4:$G$2494,0),FALSE)),"",HLOOKUP(CaseName,CaseData,MATCH($G197,cases!$G$4:$G$2494,0),FALSE))</f>
        <v/>
      </c>
      <c r="K197" s="793">
        <f>L210</f>
        <v>8.6858477099101683E-8</v>
      </c>
      <c r="L197" s="794">
        <f t="shared" si="11"/>
        <v>8.6858477099101683E-8</v>
      </c>
      <c r="M197" s="790" t="s">
        <v>1038</v>
      </c>
      <c r="N197" s="790"/>
      <c r="O197" s="795"/>
      <c r="P197" s="790"/>
    </row>
    <row r="198" spans="1:16" ht="12.75" customHeight="1" x14ac:dyDescent="0.3">
      <c r="A198" s="796" t="s">
        <v>1271</v>
      </c>
      <c r="B198" s="797"/>
      <c r="C198" s="797"/>
      <c r="D198" s="797"/>
      <c r="E198" s="797"/>
      <c r="F198" s="797"/>
      <c r="G198" s="796" t="s">
        <v>1272</v>
      </c>
      <c r="H198" s="796" t="s">
        <v>4690</v>
      </c>
      <c r="I198" s="812"/>
      <c r="J198" s="792" t="str">
        <f>IF(ISBLANK(HLOOKUP(CaseName,CaseData,MATCH($G198,cases!$G$4:$G$2494,0),FALSE)),"",HLOOKUP(CaseName,CaseData,MATCH($G198,cases!$G$4:$G$2494,0),FALSE))</f>
        <v/>
      </c>
      <c r="K198" s="798">
        <f>L215+L164/L27</f>
        <v>1.2561171773023444E-8</v>
      </c>
      <c r="L198" s="794">
        <f t="shared" si="11"/>
        <v>1.2561171773023444E-8</v>
      </c>
      <c r="M198" s="797" t="s">
        <v>1038</v>
      </c>
      <c r="N198" s="797"/>
      <c r="O198" s="799"/>
      <c r="P198" s="797"/>
    </row>
    <row r="199" spans="1:16" ht="12.75" customHeight="1" x14ac:dyDescent="0.3">
      <c r="A199" s="789" t="s">
        <v>1273</v>
      </c>
      <c r="B199" s="790"/>
      <c r="C199" s="790"/>
      <c r="D199" s="790"/>
      <c r="E199" s="790"/>
      <c r="F199" s="790"/>
      <c r="G199" s="789" t="s">
        <v>4752</v>
      </c>
      <c r="H199" s="789" t="s">
        <v>4690</v>
      </c>
      <c r="I199" s="812"/>
      <c r="J199" s="792" t="str">
        <f>IF(ISBLANK(HLOOKUP(CaseName,CaseData,MATCH($G199,cases!$G$4:$G$2494,0),FALSE)),"",HLOOKUP(CaseName,CaseData,MATCH($G199,cases!$G$4:$G$2494,0),FALSE))</f>
        <v/>
      </c>
      <c r="K199" s="793">
        <f>L216+L165/L28</f>
        <v>1.2561171773023444E-8</v>
      </c>
      <c r="L199" s="794">
        <f t="shared" si="11"/>
        <v>1.2561171773023444E-8</v>
      </c>
      <c r="M199" s="790" t="s">
        <v>1038</v>
      </c>
      <c r="N199" s="790"/>
      <c r="O199" s="795"/>
      <c r="P199" s="790"/>
    </row>
    <row r="200" spans="1:16" ht="12.75" customHeight="1" x14ac:dyDescent="0.3">
      <c r="A200" s="789" t="s">
        <v>1274</v>
      </c>
      <c r="B200" s="790"/>
      <c r="C200" s="790"/>
      <c r="D200" s="790"/>
      <c r="E200" s="790"/>
      <c r="F200" s="790"/>
      <c r="G200" s="789" t="s">
        <v>4753</v>
      </c>
      <c r="H200" s="789" t="s">
        <v>4690</v>
      </c>
      <c r="I200" s="812"/>
      <c r="J200" s="792" t="str">
        <f>IF(ISBLANK(HLOOKUP(CaseName,CaseData,MATCH($G200,cases!$G$4:$G$2494,0),FALSE)),"",HLOOKUP(CaseName,CaseData,MATCH($G200,cases!$G$4:$G$2494,0),FALSE))</f>
        <v/>
      </c>
      <c r="K200" s="793">
        <f>L217+L166/L29</f>
        <v>1.0580096758225707E-8</v>
      </c>
      <c r="L200" s="794">
        <f t="shared" si="11"/>
        <v>1.0580096758225707E-8</v>
      </c>
      <c r="M200" s="790" t="s">
        <v>1038</v>
      </c>
      <c r="N200" s="790"/>
      <c r="O200" s="795"/>
      <c r="P200" s="790"/>
    </row>
    <row r="201" spans="1:16" ht="12.75" customHeight="1" x14ac:dyDescent="0.3">
      <c r="A201" s="789" t="s">
        <v>1275</v>
      </c>
      <c r="B201" s="790"/>
      <c r="C201" s="790"/>
      <c r="D201" s="790"/>
      <c r="E201" s="790"/>
      <c r="F201" s="790"/>
      <c r="G201" s="789" t="s">
        <v>4754</v>
      </c>
      <c r="H201" s="789" t="s">
        <v>4690</v>
      </c>
      <c r="I201" s="812"/>
      <c r="J201" s="792" t="str">
        <f>IF(ISBLANK(HLOOKUP(CaseName,CaseData,MATCH($G201,cases!$G$4:$G$2494,0),FALSE)),"",HLOOKUP(CaseName,CaseData,MATCH($G201,cases!$G$4:$G$2494,0),FALSE))</f>
        <v/>
      </c>
      <c r="K201" s="793">
        <f>L218+L221*RAINrate.R/L91*L224/L30</f>
        <v>4.3496280239573685E-8</v>
      </c>
      <c r="L201" s="794">
        <f t="shared" si="11"/>
        <v>4.3496280239573685E-8</v>
      </c>
      <c r="M201" s="790" t="s">
        <v>1038</v>
      </c>
      <c r="N201" s="790"/>
      <c r="O201" s="795"/>
      <c r="P201" s="790"/>
    </row>
    <row r="202" spans="1:16" ht="12.75" customHeight="1" x14ac:dyDescent="0.3">
      <c r="A202" s="789" t="s">
        <v>1276</v>
      </c>
      <c r="B202" s="790"/>
      <c r="C202" s="790"/>
      <c r="D202" s="790"/>
      <c r="E202" s="790"/>
      <c r="F202" s="790"/>
      <c r="G202" s="789" t="s">
        <v>4755</v>
      </c>
      <c r="H202" s="789" t="s">
        <v>4690</v>
      </c>
      <c r="I202" s="812"/>
      <c r="J202" s="792" t="str">
        <f>IF(ISBLANK(HLOOKUP(CaseName,CaseData,MATCH($G202,cases!$G$4:$G$2494,0),FALSE)),"",HLOOKUP(CaseName,CaseData,MATCH($G202,cases!$G$4:$G$2494,0),FALSE))</f>
        <v/>
      </c>
      <c r="K202" s="793">
        <f>L219+L222*RAINrate.R/L96*L225/L31</f>
        <v>4.3474058967261533E-8</v>
      </c>
      <c r="L202" s="794">
        <f t="shared" si="11"/>
        <v>4.3474058967261533E-8</v>
      </c>
      <c r="M202" s="790" t="s">
        <v>1038</v>
      </c>
      <c r="N202" s="790"/>
      <c r="O202" s="795"/>
      <c r="P202" s="790"/>
    </row>
    <row r="203" spans="1:16" ht="12.75" customHeight="1" x14ac:dyDescent="0.3">
      <c r="A203" s="789" t="s">
        <v>1277</v>
      </c>
      <c r="B203" s="790"/>
      <c r="C203" s="790"/>
      <c r="D203" s="790"/>
      <c r="E203" s="790"/>
      <c r="F203" s="790"/>
      <c r="G203" s="789" t="s">
        <v>4756</v>
      </c>
      <c r="H203" s="789" t="s">
        <v>4690</v>
      </c>
      <c r="I203" s="812"/>
      <c r="J203" s="792" t="str">
        <f>IF(ISBLANK(HLOOKUP(CaseName,CaseData,MATCH($G203,cases!$G$4:$G$2494,0),FALSE)),"",HLOOKUP(CaseName,CaseData,MATCH($G203,cases!$G$4:$G$2494,0),FALSE))</f>
        <v/>
      </c>
      <c r="K203" s="793">
        <f>L220+L223*RAINrate.R/L101*L226/L32</f>
        <v>4.3496280239573685E-8</v>
      </c>
      <c r="L203" s="794">
        <f t="shared" si="11"/>
        <v>4.3496280239573685E-8</v>
      </c>
      <c r="M203" s="790" t="s">
        <v>1038</v>
      </c>
      <c r="N203" s="790"/>
      <c r="O203" s="795"/>
      <c r="P203" s="790"/>
    </row>
    <row r="204" spans="1:16" ht="12.75" customHeight="1" x14ac:dyDescent="0.3">
      <c r="A204" s="789"/>
      <c r="B204" s="789" t="s">
        <v>1278</v>
      </c>
      <c r="C204" s="801"/>
      <c r="D204" s="790"/>
      <c r="E204" s="790"/>
      <c r="F204" s="790"/>
      <c r="G204" s="801" t="s">
        <v>1279</v>
      </c>
      <c r="H204" s="789" t="s">
        <v>4690</v>
      </c>
      <c r="I204" s="812"/>
      <c r="J204" s="792" t="str">
        <f>IF(ISBLANK(HLOOKUP(CaseName,CaseData,MATCH($G204,cases!$G$4:$G$2494,0),FALSE)),"",HLOOKUP(CaseName,CaseData,MATCH($G204,cases!$G$4:$G$2494,0),FALSE))</f>
        <v/>
      </c>
      <c r="K204" s="793">
        <f>LN(2)/(60*365*24*3600)</f>
        <v>3.663258818281463E-10</v>
      </c>
      <c r="L204" s="794">
        <f t="shared" si="11"/>
        <v>3.663258818281463E-10</v>
      </c>
      <c r="M204" s="789" t="s">
        <v>1038</v>
      </c>
      <c r="N204" s="790"/>
      <c r="O204" s="795"/>
      <c r="P204" s="790"/>
    </row>
    <row r="205" spans="1:16" ht="12.75" customHeight="1" x14ac:dyDescent="0.3">
      <c r="A205" s="789"/>
      <c r="B205" s="789" t="s">
        <v>1280</v>
      </c>
      <c r="C205" s="790"/>
      <c r="D205" s="790"/>
      <c r="E205" s="790"/>
      <c r="F205" s="790"/>
      <c r="G205" s="789" t="s">
        <v>1281</v>
      </c>
      <c r="H205" s="789" t="s">
        <v>4690</v>
      </c>
      <c r="I205" s="812"/>
      <c r="J205" s="792" t="str">
        <f>IF(ISBLANK(HLOOKUP(CaseName,CaseData,MATCH($G205,cases!$G$4:$G$2494,0),FALSE)),"",HLOOKUP(CaseName,CaseData,MATCH($G205,cases!$G$4:$G$2494,0),FALSE))</f>
        <v/>
      </c>
      <c r="K205" s="793">
        <f>L64*kdegG.air*(L206/C.OHrad)*L207</f>
        <v>2.1593838929569864E-7</v>
      </c>
      <c r="L205" s="794">
        <f t="shared" si="11"/>
        <v>2.1593838929569864E-7</v>
      </c>
      <c r="M205" s="789" t="s">
        <v>1038</v>
      </c>
      <c r="N205" s="790"/>
      <c r="O205" s="795"/>
      <c r="P205" s="790"/>
    </row>
    <row r="206" spans="1:16" ht="12.75" customHeight="1" x14ac:dyDescent="0.3">
      <c r="A206" s="801"/>
      <c r="B206" s="801"/>
      <c r="C206" s="789" t="s">
        <v>1282</v>
      </c>
      <c r="D206" s="790"/>
      <c r="E206" s="790"/>
      <c r="F206" s="790"/>
      <c r="G206" s="789" t="s">
        <v>1283</v>
      </c>
      <c r="H206" s="789" t="s">
        <v>4757</v>
      </c>
      <c r="I206" s="812"/>
      <c r="J206" s="792" t="str">
        <f>IF(ISBLANK(HLOOKUP(CaseName,CaseData,MATCH($G206,cases!$G$4:$G$2494,0),FALSE)),"",HLOOKUP(CaseName,CaseData,MATCH($G206,cases!$G$4:$G$2494,0),FALSE))</f>
        <v/>
      </c>
      <c r="K206" s="793">
        <v>500000</v>
      </c>
      <c r="L206" s="794">
        <f t="shared" si="11"/>
        <v>500000</v>
      </c>
      <c r="M206" s="789" t="s">
        <v>1284</v>
      </c>
      <c r="N206" s="790"/>
      <c r="O206" s="795"/>
      <c r="P206" s="790"/>
    </row>
    <row r="207" spans="1:16" ht="12.75" customHeight="1" x14ac:dyDescent="0.3">
      <c r="A207" s="801"/>
      <c r="B207" s="801"/>
      <c r="C207" s="789" t="s">
        <v>1285</v>
      </c>
      <c r="D207" s="790"/>
      <c r="E207" s="790"/>
      <c r="F207" s="790"/>
      <c r="G207" s="789" t="s">
        <v>1286</v>
      </c>
      <c r="H207" s="789" t="s">
        <v>291</v>
      </c>
      <c r="I207" s="812"/>
      <c r="J207" s="792" t="str">
        <f>IF(ISBLANK(HLOOKUP(CaseName,CaseData,MATCH($G207,cases!$G$4:$G$2494,0),FALSE)),"",HLOOKUP(CaseName,CaseData,MATCH($G207,cases!$G$4:$G$2494,0),FALSE))</f>
        <v/>
      </c>
      <c r="K207" s="793">
        <f>EXP((Ea.OHrad/8.314)*(TEMP.R-298)/298^2)</f>
        <v>0.89974332049812744</v>
      </c>
      <c r="L207" s="794">
        <f t="shared" si="11"/>
        <v>0.89974332049812744</v>
      </c>
      <c r="M207" s="789" t="s">
        <v>292</v>
      </c>
      <c r="N207" s="790"/>
      <c r="O207" s="795"/>
      <c r="P207" s="790"/>
    </row>
    <row r="208" spans="1:16" ht="12.75" customHeight="1" x14ac:dyDescent="0.3">
      <c r="A208" s="789"/>
      <c r="B208" s="789" t="s">
        <v>1287</v>
      </c>
      <c r="C208" s="790"/>
      <c r="D208" s="790"/>
      <c r="E208" s="790"/>
      <c r="F208" s="790"/>
      <c r="G208" s="789" t="s">
        <v>1288</v>
      </c>
      <c r="H208" s="789" t="s">
        <v>4690</v>
      </c>
      <c r="I208" s="812"/>
      <c r="J208" s="792" t="str">
        <f>IF(ISBLANK(HLOOKUP(CaseName,CaseData,MATCH($G208,cases!$G$4:$G$2494,0),FALSE)),"",HLOOKUP(CaseName,CaseData,MATCH($G208,cases!$G$4:$G$2494,0),FALSE))</f>
        <v/>
      </c>
      <c r="K208" s="793">
        <f>kdeg.water*L214*(L211/BACT.test)*L70</f>
        <v>8.6888547727987207E-8</v>
      </c>
      <c r="L208" s="794">
        <f t="shared" si="11"/>
        <v>8.6888547727987207E-8</v>
      </c>
      <c r="M208" s="789" t="s">
        <v>1038</v>
      </c>
      <c r="N208" s="790"/>
      <c r="O208" s="795"/>
      <c r="P208" s="790"/>
    </row>
    <row r="209" spans="1:16" ht="12.75" customHeight="1" x14ac:dyDescent="0.3">
      <c r="A209" s="789"/>
      <c r="B209" s="789" t="s">
        <v>1289</v>
      </c>
      <c r="C209" s="790"/>
      <c r="D209" s="790"/>
      <c r="E209" s="790"/>
      <c r="F209" s="790"/>
      <c r="G209" s="789" t="s">
        <v>1290</v>
      </c>
      <c r="H209" s="789" t="s">
        <v>4690</v>
      </c>
      <c r="I209" s="812"/>
      <c r="J209" s="792" t="str">
        <f>IF(ISBLANK(HLOOKUP(CaseName,CaseData,MATCH($G209,cases!$G$4:$G$2494,0),FALSE)),"",HLOOKUP(CaseName,CaseData,MATCH($G209,cases!$G$4:$G$2494,0),FALSE))</f>
        <v/>
      </c>
      <c r="K209" s="793">
        <f>kdeg.water*L214*(L212/BACT.test)*L74</f>
        <v>8.6791727940822063E-8</v>
      </c>
      <c r="L209" s="794">
        <f t="shared" si="11"/>
        <v>8.6791727940822063E-8</v>
      </c>
      <c r="M209" s="789" t="s">
        <v>1038</v>
      </c>
      <c r="N209" s="790"/>
      <c r="O209" s="795"/>
      <c r="P209" s="790"/>
    </row>
    <row r="210" spans="1:16" ht="12.75" customHeight="1" x14ac:dyDescent="0.3">
      <c r="A210" s="789"/>
      <c r="B210" s="789" t="s">
        <v>1291</v>
      </c>
      <c r="C210" s="790"/>
      <c r="D210" s="790"/>
      <c r="E210" s="790"/>
      <c r="F210" s="790"/>
      <c r="G210" s="789" t="s">
        <v>1292</v>
      </c>
      <c r="H210" s="789" t="s">
        <v>4690</v>
      </c>
      <c r="I210" s="812"/>
      <c r="J210" s="792" t="str">
        <f>IF(ISBLANK(HLOOKUP(CaseName,CaseData,MATCH($G210,cases!$G$4:$G$2494,0),FALSE)),"",HLOOKUP(CaseName,CaseData,MATCH($G210,cases!$G$4:$G$2494,0),FALSE))</f>
        <v/>
      </c>
      <c r="K210" s="793">
        <f>kdeg.water*L214*(L213/BACT.test)*L78</f>
        <v>8.6858477099101683E-8</v>
      </c>
      <c r="L210" s="794">
        <f t="shared" si="11"/>
        <v>8.6858477099101683E-8</v>
      </c>
      <c r="M210" s="789" t="s">
        <v>1038</v>
      </c>
      <c r="N210" s="790"/>
      <c r="O210" s="795"/>
      <c r="P210" s="790"/>
    </row>
    <row r="211" spans="1:16" ht="12.75" customHeight="1" x14ac:dyDescent="0.3">
      <c r="A211" s="789"/>
      <c r="B211" s="789"/>
      <c r="C211" s="789" t="s">
        <v>1293</v>
      </c>
      <c r="D211" s="790"/>
      <c r="E211" s="790"/>
      <c r="F211" s="790"/>
      <c r="G211" s="801" t="s">
        <v>1294</v>
      </c>
      <c r="H211" s="789" t="s">
        <v>1295</v>
      </c>
      <c r="I211" s="812"/>
      <c r="J211" s="792" t="str">
        <f>IF(ISBLANK(HLOOKUP(CaseName,CaseData,MATCH($G211,cases!$G$4:$G$2494,0),FALSE)),"",HLOOKUP(CaseName,CaseData,MATCH($G211,cases!$G$4:$G$2494,0),FALSE))</f>
        <v/>
      </c>
      <c r="K211" s="793">
        <v>40000</v>
      </c>
      <c r="L211" s="794">
        <f t="shared" si="11"/>
        <v>40000</v>
      </c>
      <c r="M211" s="789" t="s">
        <v>1296</v>
      </c>
      <c r="N211" s="790"/>
      <c r="O211" s="795"/>
      <c r="P211" s="790"/>
    </row>
    <row r="212" spans="1:16" ht="12.75" customHeight="1" x14ac:dyDescent="0.3">
      <c r="A212" s="789"/>
      <c r="B212" s="789"/>
      <c r="C212" s="789" t="s">
        <v>1297</v>
      </c>
      <c r="D212" s="790"/>
      <c r="E212" s="790"/>
      <c r="F212" s="790"/>
      <c r="G212" s="801" t="s">
        <v>1298</v>
      </c>
      <c r="H212" s="789" t="s">
        <v>1295</v>
      </c>
      <c r="I212" s="812"/>
      <c r="J212" s="792" t="str">
        <f>IF(ISBLANK(HLOOKUP(CaseName,CaseData,MATCH($G212,cases!$G$4:$G$2494,0),FALSE)),"",HLOOKUP(CaseName,CaseData,MATCH($G212,cases!$G$4:$G$2494,0),FALSE))</f>
        <v/>
      </c>
      <c r="K212" s="793">
        <v>40000</v>
      </c>
      <c r="L212" s="794">
        <f t="shared" si="11"/>
        <v>40000</v>
      </c>
      <c r="M212" s="789" t="s">
        <v>1296</v>
      </c>
      <c r="N212" s="790"/>
      <c r="O212" s="795"/>
      <c r="P212" s="790"/>
    </row>
    <row r="213" spans="1:16" ht="12.75" customHeight="1" x14ac:dyDescent="0.3">
      <c r="A213" s="789"/>
      <c r="B213" s="789"/>
      <c r="C213" s="789" t="s">
        <v>1299</v>
      </c>
      <c r="D213" s="790"/>
      <c r="E213" s="790"/>
      <c r="F213" s="790"/>
      <c r="G213" s="801" t="s">
        <v>1300</v>
      </c>
      <c r="H213" s="789" t="s">
        <v>1295</v>
      </c>
      <c r="I213" s="812"/>
      <c r="J213" s="792" t="str">
        <f>IF(ISBLANK(HLOOKUP(CaseName,CaseData,MATCH($G213,cases!$G$4:$G$2494,0),FALSE)),"",HLOOKUP(CaseName,CaseData,MATCH($G213,cases!$G$4:$G$2494,0),FALSE))</f>
        <v/>
      </c>
      <c r="K213" s="793">
        <v>40000</v>
      </c>
      <c r="L213" s="794">
        <f t="shared" si="11"/>
        <v>40000</v>
      </c>
      <c r="M213" s="789" t="s">
        <v>1296</v>
      </c>
      <c r="N213" s="790"/>
      <c r="O213" s="795"/>
      <c r="P213" s="790"/>
    </row>
    <row r="214" spans="1:16" ht="12.75" customHeight="1" x14ac:dyDescent="0.3">
      <c r="A214" s="801"/>
      <c r="B214" s="801"/>
      <c r="C214" s="789" t="s">
        <v>1301</v>
      </c>
      <c r="D214" s="790"/>
      <c r="E214" s="790"/>
      <c r="F214" s="790"/>
      <c r="G214" s="789" t="s">
        <v>1302</v>
      </c>
      <c r="H214" s="789" t="s">
        <v>291</v>
      </c>
      <c r="I214" s="812"/>
      <c r="J214" s="792" t="str">
        <f>IF(ISBLANK(HLOOKUP(CaseName,CaseData,MATCH($G214,cases!$G$4:$G$2494,0),FALSE)),"",HLOOKUP(CaseName,CaseData,MATCH($G214,cases!$G$4:$G$2494,0),FALSE))</f>
        <v/>
      </c>
      <c r="K214" s="793">
        <f>Q.10^((TEMP.R-298)/10)</f>
        <v>0.40612619817811774</v>
      </c>
      <c r="L214" s="794">
        <f t="shared" si="11"/>
        <v>0.40612619817811774</v>
      </c>
      <c r="M214" s="789" t="s">
        <v>292</v>
      </c>
      <c r="N214" s="790"/>
      <c r="O214" s="795"/>
      <c r="P214" s="790"/>
    </row>
    <row r="215" spans="1:16" ht="12.75" customHeight="1" x14ac:dyDescent="0.3">
      <c r="A215" s="796"/>
      <c r="B215" s="796" t="s">
        <v>1303</v>
      </c>
      <c r="C215" s="797"/>
      <c r="D215" s="797"/>
      <c r="E215" s="797"/>
      <c r="F215" s="797"/>
      <c r="G215" s="796" t="s">
        <v>1304</v>
      </c>
      <c r="H215" s="796" t="s">
        <v>4690</v>
      </c>
      <c r="I215" s="812"/>
      <c r="J215" s="792" t="str">
        <f>IF(ISBLANK(HLOOKUP(CaseName,CaseData,MATCH($G215,cases!$G$4:$G$2494,0),FALSE)),"",HLOOKUP(CaseName,CaseData,MATCH($G215,cases!$G$4:$G$2494,0),FALSE))</f>
        <v/>
      </c>
      <c r="K215" s="798">
        <f>L214*kdeg.sed</f>
        <v>9.6658035166392035E-9</v>
      </c>
      <c r="L215" s="794">
        <f t="shared" si="11"/>
        <v>9.6658035166392035E-9</v>
      </c>
      <c r="M215" s="796" t="s">
        <v>1038</v>
      </c>
      <c r="N215" s="797"/>
      <c r="O215" s="799"/>
      <c r="P215" s="797"/>
    </row>
    <row r="216" spans="1:16" ht="12.75" customHeight="1" x14ac:dyDescent="0.3">
      <c r="A216" s="789"/>
      <c r="B216" s="789" t="s">
        <v>1305</v>
      </c>
      <c r="C216" s="790"/>
      <c r="D216" s="790"/>
      <c r="E216" s="790"/>
      <c r="F216" s="790"/>
      <c r="G216" s="789" t="s">
        <v>1306</v>
      </c>
      <c r="H216" s="789" t="s">
        <v>4690</v>
      </c>
      <c r="I216" s="812"/>
      <c r="J216" s="792" t="str">
        <f>IF(ISBLANK(HLOOKUP(CaseName,CaseData,MATCH($G216,cases!$G$4:$G$2494,0),FALSE)),"",HLOOKUP(CaseName,CaseData,MATCH($G216,cases!$G$4:$G$2494,0),FALSE))</f>
        <v/>
      </c>
      <c r="K216" s="793">
        <f>L214*kdeg.sed</f>
        <v>9.6658035166392035E-9</v>
      </c>
      <c r="L216" s="794">
        <f t="shared" si="11"/>
        <v>9.6658035166392035E-9</v>
      </c>
      <c r="M216" s="789" t="s">
        <v>1038</v>
      </c>
      <c r="N216" s="790"/>
      <c r="O216" s="795"/>
      <c r="P216" s="790"/>
    </row>
    <row r="217" spans="1:16" ht="12.75" customHeight="1" x14ac:dyDescent="0.3">
      <c r="A217" s="789"/>
      <c r="B217" s="789" t="s">
        <v>1307</v>
      </c>
      <c r="C217" s="790"/>
      <c r="D217" s="790"/>
      <c r="E217" s="790"/>
      <c r="F217" s="790"/>
      <c r="G217" s="789" t="s">
        <v>1308</v>
      </c>
      <c r="H217" s="789" t="s">
        <v>4690</v>
      </c>
      <c r="I217" s="812"/>
      <c r="J217" s="792" t="str">
        <f>IF(ISBLANK(HLOOKUP(CaseName,CaseData,MATCH($G217,cases!$G$4:$G$2494,0),FALSE)),"",HLOOKUP(CaseName,CaseData,MATCH($G217,cases!$G$4:$G$2494,0),FALSE))</f>
        <v/>
      </c>
      <c r="K217" s="793">
        <f>L214*kdeg.sed</f>
        <v>9.6658035166392035E-9</v>
      </c>
      <c r="L217" s="794">
        <f t="shared" si="11"/>
        <v>9.6658035166392035E-9</v>
      </c>
      <c r="M217" s="789" t="s">
        <v>1038</v>
      </c>
      <c r="N217" s="790"/>
      <c r="O217" s="795"/>
      <c r="P217" s="790"/>
    </row>
    <row r="218" spans="1:16" ht="12.75" customHeight="1" x14ac:dyDescent="0.3">
      <c r="A218" s="789"/>
      <c r="B218" s="789" t="s">
        <v>1309</v>
      </c>
      <c r="C218" s="790"/>
      <c r="D218" s="790"/>
      <c r="E218" s="790"/>
      <c r="F218" s="790"/>
      <c r="G218" s="789" t="s">
        <v>1310</v>
      </c>
      <c r="H218" s="789" t="s">
        <v>4690</v>
      </c>
      <c r="I218" s="812"/>
      <c r="J218" s="792" t="str">
        <f>IF(ISBLANK(HLOOKUP(CaseName,CaseData,MATCH($G218,cases!$G$4:$G$2494,0),FALSE)),"",HLOOKUP(CaseName,CaseData,MATCH($G218,cases!$G$4:$G$2494,0),FALSE))</f>
        <v/>
      </c>
      <c r="K218" s="793">
        <f>L214*kdeg.soil</f>
        <v>4.3455503205058602E-8</v>
      </c>
      <c r="L218" s="794">
        <f t="shared" si="11"/>
        <v>4.3455503205058602E-8</v>
      </c>
      <c r="M218" s="789" t="s">
        <v>1038</v>
      </c>
      <c r="N218" s="790"/>
      <c r="O218" s="795"/>
      <c r="P218" s="790"/>
    </row>
    <row r="219" spans="1:16" ht="12.75" customHeight="1" x14ac:dyDescent="0.3">
      <c r="A219" s="789"/>
      <c r="B219" s="789" t="s">
        <v>1311</v>
      </c>
      <c r="C219" s="790"/>
      <c r="D219" s="790"/>
      <c r="E219" s="790"/>
      <c r="F219" s="790"/>
      <c r="G219" s="789" t="s">
        <v>1312</v>
      </c>
      <c r="H219" s="789" t="s">
        <v>4690</v>
      </c>
      <c r="I219" s="812"/>
      <c r="J219" s="792" t="str">
        <f>IF(ISBLANK(HLOOKUP(CaseName,CaseData,MATCH($G219,cases!$G$4:$G$2494,0),FALSE)),"",HLOOKUP(CaseName,CaseData,MATCH($G219,cases!$G$4:$G$2494,0),FALSE))</f>
        <v/>
      </c>
      <c r="K219" s="793">
        <f>L214*kdeg.soil</f>
        <v>4.3455503205058602E-8</v>
      </c>
      <c r="L219" s="794">
        <f t="shared" si="11"/>
        <v>4.3455503205058602E-8</v>
      </c>
      <c r="M219" s="789" t="s">
        <v>1038</v>
      </c>
      <c r="N219" s="790"/>
      <c r="O219" s="795"/>
      <c r="P219" s="790"/>
    </row>
    <row r="220" spans="1:16" ht="12.75" customHeight="1" x14ac:dyDescent="0.3">
      <c r="A220" s="789"/>
      <c r="B220" s="789" t="s">
        <v>1313</v>
      </c>
      <c r="C220" s="790"/>
      <c r="D220" s="790"/>
      <c r="E220" s="790"/>
      <c r="F220" s="790"/>
      <c r="G220" s="789" t="s">
        <v>1314</v>
      </c>
      <c r="H220" s="789" t="s">
        <v>4690</v>
      </c>
      <c r="I220" s="812"/>
      <c r="J220" s="792" t="str">
        <f>IF(ISBLANK(HLOOKUP(CaseName,CaseData,MATCH($G220,cases!$G$4:$G$2494,0),FALSE)),"",HLOOKUP(CaseName,CaseData,MATCH($G220,cases!$G$4:$G$2494,0),FALSE))</f>
        <v/>
      </c>
      <c r="K220" s="793">
        <f>L214*kdeg.soil</f>
        <v>4.3455503205058602E-8</v>
      </c>
      <c r="L220" s="794">
        <f t="shared" si="11"/>
        <v>4.3455503205058602E-8</v>
      </c>
      <c r="M220" s="789" t="s">
        <v>1038</v>
      </c>
      <c r="N220" s="790"/>
      <c r="O220" s="795"/>
      <c r="P220" s="790"/>
    </row>
    <row r="221" spans="1:16" ht="12.75" customHeight="1" x14ac:dyDescent="0.3">
      <c r="A221" s="789"/>
      <c r="B221" s="789"/>
      <c r="C221" s="789" t="s">
        <v>1315</v>
      </c>
      <c r="D221" s="790"/>
      <c r="E221" s="790"/>
      <c r="F221" s="790"/>
      <c r="G221" s="801" t="s">
        <v>1316</v>
      </c>
      <c r="H221" s="789" t="s">
        <v>291</v>
      </c>
      <c r="I221" s="812"/>
      <c r="J221" s="792" t="str">
        <f>IF(ISBLANK(HLOOKUP(CaseName,CaseData,MATCH($G221,cases!$G$4:$G$2494,0),FALSE)),"",HLOOKUP(CaseName,CaseData,MATCH($G221,cases!$G$4:$G$2494,0),FALSE))</f>
        <v/>
      </c>
      <c r="K221" s="793">
        <f>FRACinf.R</f>
        <v>0.25</v>
      </c>
      <c r="L221" s="794">
        <f t="shared" si="11"/>
        <v>0.25</v>
      </c>
      <c r="M221" s="789" t="s">
        <v>292</v>
      </c>
      <c r="N221" s="790"/>
      <c r="O221" s="795"/>
      <c r="P221" s="790"/>
    </row>
    <row r="222" spans="1:16" ht="12.75" customHeight="1" x14ac:dyDescent="0.3">
      <c r="A222" s="789"/>
      <c r="B222" s="789"/>
      <c r="C222" s="789" t="s">
        <v>1317</v>
      </c>
      <c r="D222" s="790"/>
      <c r="E222" s="790"/>
      <c r="F222" s="790"/>
      <c r="G222" s="801" t="s">
        <v>1318</v>
      </c>
      <c r="H222" s="789" t="s">
        <v>291</v>
      </c>
      <c r="I222" s="812"/>
      <c r="J222" s="792" t="str">
        <f>IF(ISBLANK(HLOOKUP(CaseName,CaseData,MATCH($G222,cases!$G$4:$G$2494,0),FALSE)),"",HLOOKUP(CaseName,CaseData,MATCH($G222,cases!$G$4:$G$2494,0),FALSE))</f>
        <v/>
      </c>
      <c r="K222" s="793">
        <f>FRACinf.R</f>
        <v>0.25</v>
      </c>
      <c r="L222" s="794">
        <f t="shared" si="11"/>
        <v>0.25</v>
      </c>
      <c r="M222" s="789" t="s">
        <v>292</v>
      </c>
      <c r="N222" s="790"/>
      <c r="O222" s="795"/>
      <c r="P222" s="790"/>
    </row>
    <row r="223" spans="1:16" ht="12.75" customHeight="1" x14ac:dyDescent="0.3">
      <c r="A223" s="790"/>
      <c r="B223" s="790"/>
      <c r="C223" s="789" t="s">
        <v>1319</v>
      </c>
      <c r="D223" s="790"/>
      <c r="E223" s="790"/>
      <c r="F223" s="790"/>
      <c r="G223" s="801" t="s">
        <v>1320</v>
      </c>
      <c r="H223" s="789" t="s">
        <v>291</v>
      </c>
      <c r="I223" s="812"/>
      <c r="J223" s="792" t="str">
        <f>IF(ISBLANK(HLOOKUP(CaseName,CaseData,MATCH($G223,cases!$G$4:$G$2494,0),FALSE)),"",HLOOKUP(CaseName,CaseData,MATCH($G223,cases!$G$4:$G$2494,0),FALSE))</f>
        <v/>
      </c>
      <c r="K223" s="793">
        <f>FRACinf.R</f>
        <v>0.25</v>
      </c>
      <c r="L223" s="794">
        <f t="shared" si="11"/>
        <v>0.25</v>
      </c>
      <c r="M223" s="789" t="s">
        <v>292</v>
      </c>
      <c r="N223" s="790"/>
      <c r="O223" s="795"/>
      <c r="P223" s="790"/>
    </row>
    <row r="224" spans="1:16" ht="12.75" customHeight="1" x14ac:dyDescent="0.3">
      <c r="A224" s="789"/>
      <c r="B224" s="789"/>
      <c r="C224" s="790" t="s">
        <v>1185</v>
      </c>
      <c r="D224" s="790"/>
      <c r="E224" s="801"/>
      <c r="F224" s="801"/>
      <c r="G224" s="789" t="s">
        <v>1321</v>
      </c>
      <c r="H224" s="790" t="s">
        <v>291</v>
      </c>
      <c r="I224" s="812"/>
      <c r="J224" s="792" t="str">
        <f>IF(ISBLANK(HLOOKUP(CaseName,CaseData,MATCH($G224,cases!$G$4:$G$2494,0),FALSE)),"",HLOOKUP(CaseName,CaseData,MATCH($G224,cases!$G$4:$G$2494,0),FALSE))</f>
        <v/>
      </c>
      <c r="K224" s="793">
        <f>(EXP((-1/0.1)*0.5)*(1/0.1)*L30/(1-EXP((-1/0.1)*L30)))</f>
        <v>8.5622262133111474E-3</v>
      </c>
      <c r="L224" s="794">
        <f t="shared" si="11"/>
        <v>8.5622262133111474E-3</v>
      </c>
      <c r="M224" s="790" t="s">
        <v>292</v>
      </c>
      <c r="N224" s="790" t="s">
        <v>1187</v>
      </c>
      <c r="O224" s="795"/>
      <c r="P224" s="790"/>
    </row>
    <row r="225" spans="1:16" ht="12.75" customHeight="1" x14ac:dyDescent="0.3">
      <c r="A225" s="789"/>
      <c r="B225" s="789"/>
      <c r="C225" s="790" t="s">
        <v>1185</v>
      </c>
      <c r="D225" s="790"/>
      <c r="E225" s="801"/>
      <c r="F225" s="801"/>
      <c r="G225" s="789" t="s">
        <v>1322</v>
      </c>
      <c r="H225" s="790" t="s">
        <v>291</v>
      </c>
      <c r="I225" s="812"/>
      <c r="J225" s="792" t="str">
        <f>IF(ISBLANK(HLOOKUP(CaseName,CaseData,MATCH($G225,cases!$G$4:$G$2494,0),FALSE)),"",HLOOKUP(CaseName,CaseData,MATCH($G225,cases!$G$4:$G$2494,0),FALSE))</f>
        <v/>
      </c>
      <c r="K225" s="793">
        <f>(EXP((-1/0.1)*0.5)*(1/0.1)*L31/(1-EXP((-1/0.1)*L31)))</f>
        <v>1.5585109160709019E-2</v>
      </c>
      <c r="L225" s="794">
        <f t="shared" si="11"/>
        <v>1.5585109160709019E-2</v>
      </c>
      <c r="M225" s="790" t="s">
        <v>292</v>
      </c>
      <c r="N225" s="790" t="s">
        <v>1187</v>
      </c>
      <c r="O225" s="795"/>
      <c r="P225" s="790"/>
    </row>
    <row r="226" spans="1:16" ht="12.75" customHeight="1" x14ac:dyDescent="0.3">
      <c r="A226" s="789"/>
      <c r="B226" s="789"/>
      <c r="C226" s="790" t="s">
        <v>1185</v>
      </c>
      <c r="D226" s="790"/>
      <c r="E226" s="801"/>
      <c r="F226" s="801"/>
      <c r="G226" s="789" t="s">
        <v>1323</v>
      </c>
      <c r="H226" s="790" t="s">
        <v>291</v>
      </c>
      <c r="I226" s="812"/>
      <c r="J226" s="792" t="str">
        <f>IF(ISBLANK(HLOOKUP(CaseName,CaseData,MATCH($G226,cases!$G$4:$G$2494,0),FALSE)),"",HLOOKUP(CaseName,CaseData,MATCH($G226,cases!$G$4:$G$2494,0),FALSE))</f>
        <v/>
      </c>
      <c r="K226" s="793">
        <f>(EXP((-1/0.1)*0.5)*(1/0.1)*L32/(1-EXP((-1/0.1)*L32)))</f>
        <v>8.5622262133111474E-3</v>
      </c>
      <c r="L226" s="794">
        <f t="shared" si="11"/>
        <v>8.5622262133111474E-3</v>
      </c>
      <c r="M226" s="790" t="s">
        <v>292</v>
      </c>
      <c r="N226" s="790" t="s">
        <v>1187</v>
      </c>
      <c r="O226" s="795"/>
      <c r="P226" s="790"/>
    </row>
    <row r="227" spans="1:16" s="826" customFormat="1" ht="12.75" customHeight="1" x14ac:dyDescent="0.3">
      <c r="G227" s="827"/>
      <c r="H227" s="827"/>
      <c r="I227" s="828"/>
      <c r="J227" s="519"/>
      <c r="K227" s="828"/>
      <c r="L227" s="829"/>
      <c r="O227" s="830"/>
    </row>
    <row r="228" spans="1:16" ht="12.75" customHeight="1" x14ac:dyDescent="0.3">
      <c r="A228" s="778" t="s">
        <v>1324</v>
      </c>
      <c r="I228" s="780"/>
    </row>
    <row r="229" spans="1:16" s="784" customFormat="1" ht="12.75" customHeight="1" x14ac:dyDescent="0.3">
      <c r="A229" s="785" t="s">
        <v>1325</v>
      </c>
      <c r="G229" s="785" t="s">
        <v>258</v>
      </c>
      <c r="H229" s="785" t="s">
        <v>274</v>
      </c>
      <c r="I229" s="786" t="s">
        <v>259</v>
      </c>
      <c r="J229" s="811" t="s">
        <v>275</v>
      </c>
      <c r="K229" s="786" t="s">
        <v>260</v>
      </c>
      <c r="L229" s="787" t="s">
        <v>261</v>
      </c>
      <c r="N229" s="785" t="s">
        <v>262</v>
      </c>
      <c r="O229" s="788" t="s">
        <v>1326</v>
      </c>
      <c r="P229" s="784" t="s">
        <v>1327</v>
      </c>
    </row>
    <row r="230" spans="1:16" s="352" customFormat="1" ht="12.75" customHeight="1" x14ac:dyDescent="0.3">
      <c r="A230" s="352" t="s">
        <v>1328</v>
      </c>
      <c r="G230" s="520"/>
      <c r="H230" s="520"/>
      <c r="I230" s="522"/>
      <c r="J230" s="521"/>
      <c r="K230" s="522"/>
      <c r="L230" s="523"/>
      <c r="O230" s="356"/>
    </row>
    <row r="231" spans="1:16" ht="12.75" customHeight="1" x14ac:dyDescent="0.3">
      <c r="A231" s="797" t="s">
        <v>1329</v>
      </c>
      <c r="B231" s="797"/>
      <c r="C231" s="797"/>
      <c r="D231" s="797"/>
      <c r="E231" s="797"/>
      <c r="F231" s="797"/>
      <c r="G231" s="797" t="s">
        <v>1330</v>
      </c>
      <c r="H231" s="796" t="s">
        <v>335</v>
      </c>
      <c r="I231" s="800"/>
      <c r="J231" s="792" t="str">
        <f>IF(ISBLANK(HLOOKUP(CaseName,CaseData,MATCH($G231,cases!$G$4:$G$2494,0),FALSE)),"",HLOOKUP(CaseName,CaseData,MATCH($G231,cases!$G$4:$G$2494,0),FALSE))</f>
        <v/>
      </c>
      <c r="K231" s="831">
        <f>L232+L236</f>
        <v>2.145456072269009E-5</v>
      </c>
      <c r="L231" s="794">
        <f t="shared" ref="L231:L243" si="12">IF(ISBLANK(I231),IF(ISNUMBER(J231)=FALSE,K231,J231),I231)</f>
        <v>2.145456072269009E-5</v>
      </c>
      <c r="M231" s="796" t="s">
        <v>335</v>
      </c>
      <c r="N231" s="797"/>
      <c r="O231" s="799">
        <v>2</v>
      </c>
      <c r="P231" s="797" t="s">
        <v>1331</v>
      </c>
    </row>
    <row r="232" spans="1:16" ht="12.75" customHeight="1" x14ac:dyDescent="0.3">
      <c r="A232" s="797"/>
      <c r="B232" s="797" t="s">
        <v>1332</v>
      </c>
      <c r="C232" s="797"/>
      <c r="D232" s="797"/>
      <c r="E232" s="797"/>
      <c r="F232" s="797"/>
      <c r="G232" s="797" t="s">
        <v>1333</v>
      </c>
      <c r="H232" s="797" t="s">
        <v>335</v>
      </c>
      <c r="I232" s="800"/>
      <c r="J232" s="792" t="str">
        <f>IF(ISBLANK(HLOOKUP(CaseName,CaseData,MATCH($G232,cases!$G$4:$G$2494,0),FALSE)),"",HLOOKUP(CaseName,CaseData,MATCH($G232,cases!$G$4:$G$2494,0),FALSE))</f>
        <v/>
      </c>
      <c r="K232" s="831">
        <f>L233*(4*PI()*(RadNuc+RadS)*(L234+DiffS.aR))*input!L275</f>
        <v>4.8450125324910728E-6</v>
      </c>
      <c r="L232" s="794">
        <f t="shared" si="12"/>
        <v>4.8450125324910728E-6</v>
      </c>
      <c r="M232" s="797" t="s">
        <v>335</v>
      </c>
      <c r="N232" s="797"/>
      <c r="O232" s="799">
        <v>10</v>
      </c>
      <c r="P232" s="797" t="s">
        <v>908</v>
      </c>
    </row>
    <row r="233" spans="1:16" ht="12.75" customHeight="1" x14ac:dyDescent="0.3">
      <c r="A233" s="797"/>
      <c r="B233" s="797"/>
      <c r="C233" s="797" t="s">
        <v>1334</v>
      </c>
      <c r="D233" s="797"/>
      <c r="E233" s="797"/>
      <c r="F233" s="797"/>
      <c r="G233" s="796" t="s">
        <v>1335</v>
      </c>
      <c r="H233" s="796" t="s">
        <v>291</v>
      </c>
      <c r="I233" s="800"/>
      <c r="J233" s="792" t="str">
        <f>IF(ISBLANK(HLOOKUP(CaseName,CaseData,MATCH($G233,cases!$G$4:$G$2494,0),FALSE)),"",HLOOKUP(CaseName,CaseData,MATCH($G233,cases!$G$4:$G$2494,0),FALSE))</f>
        <v/>
      </c>
      <c r="K233" s="831">
        <f>(1+(4*(DiffS.aR+L234))/((RadS+RadNuc)*(ThermvelS^2+L235^2)^0.5))^-1</f>
        <v>0.22317254854238233</v>
      </c>
      <c r="L233" s="794">
        <f t="shared" si="12"/>
        <v>0.22317254854238233</v>
      </c>
      <c r="M233" s="796" t="s">
        <v>291</v>
      </c>
      <c r="N233" s="797"/>
      <c r="O233" s="832" t="s">
        <v>1336</v>
      </c>
      <c r="P233" s="797"/>
    </row>
    <row r="234" spans="1:16" ht="12.75" customHeight="1" x14ac:dyDescent="0.3">
      <c r="A234" s="797"/>
      <c r="B234" s="797"/>
      <c r="C234" s="797"/>
      <c r="D234" s="797" t="s">
        <v>1337</v>
      </c>
      <c r="E234" s="797"/>
      <c r="F234" s="797"/>
      <c r="G234" s="797" t="s">
        <v>1338</v>
      </c>
      <c r="H234" s="797" t="s">
        <v>900</v>
      </c>
      <c r="I234" s="800"/>
      <c r="J234" s="792" t="str">
        <f>IF(ISBLANK(HLOOKUP(CaseName,CaseData,MATCH($G234,cases!$G$4:$G$2494,0),FALSE)),"",HLOOKUP(CaseName,CaseData,MATCH($G234,cases!$G$4:$G$2494,0),FALSE))</f>
        <v/>
      </c>
      <c r="K234" s="831">
        <f>(kboltz*TEMP.R*(1+(66*10^-9/RadNuc)*(1.142+0.558*EXP(-0.999/(66*10^-9/RadNuc)))))/(6*PI()*DYNVISC.a*RadNuc)</f>
        <v>1.349690832911066E-8</v>
      </c>
      <c r="L234" s="794">
        <f t="shared" si="12"/>
        <v>1.349690832911066E-8</v>
      </c>
      <c r="M234" s="797" t="s">
        <v>900</v>
      </c>
      <c r="N234" s="797"/>
      <c r="O234" s="799"/>
      <c r="P234" s="797"/>
    </row>
    <row r="235" spans="1:16" ht="12.75" customHeight="1" x14ac:dyDescent="0.3">
      <c r="A235" s="797"/>
      <c r="B235" s="797"/>
      <c r="C235" s="797"/>
      <c r="D235" s="797" t="s">
        <v>1339</v>
      </c>
      <c r="E235" s="797"/>
      <c r="F235" s="797"/>
      <c r="G235" s="796" t="s">
        <v>1340</v>
      </c>
      <c r="H235" s="796" t="s">
        <v>866</v>
      </c>
      <c r="I235" s="800"/>
      <c r="J235" s="792" t="str">
        <f>IF(ISBLANK(HLOOKUP(CaseName,CaseData,MATCH($G235,cases!$G$4:$G$2494,0),FALSE)),"",HLOOKUP(CaseName,CaseData,MATCH($G235,cases!$G$4:$G$2494,0),FALSE))</f>
        <v/>
      </c>
      <c r="K235" s="831">
        <f>((8*kboltz*TEMP.R)/((PI()*(4/3*PI()*(RadNuc)^3*RhoNuc))))^0.5</f>
        <v>1.3564947467752155</v>
      </c>
      <c r="L235" s="794">
        <f t="shared" si="12"/>
        <v>1.3564947467752155</v>
      </c>
      <c r="M235" s="796" t="s">
        <v>866</v>
      </c>
      <c r="N235" s="797"/>
      <c r="O235" s="799"/>
      <c r="P235" s="797"/>
    </row>
    <row r="236" spans="1:16" ht="12.75" customHeight="1" x14ac:dyDescent="0.3">
      <c r="A236" s="797" t="s">
        <v>1341</v>
      </c>
      <c r="B236" s="797"/>
      <c r="C236" s="797"/>
      <c r="D236" s="797"/>
      <c r="E236" s="797"/>
      <c r="F236" s="797"/>
      <c r="G236" s="797" t="s">
        <v>1342</v>
      </c>
      <c r="H236" s="797" t="s">
        <v>335</v>
      </c>
      <c r="I236" s="800"/>
      <c r="J236" s="792" t="str">
        <f>IF(ISBLANK(HLOOKUP(CaseName,CaseData,MATCH($G236,cases!$G$4:$G$2494,0),FALSE)),"",HLOOKUP(CaseName,CaseData,MATCH($G236,cases!$G$4:$G$2494,0),FALSE))</f>
        <v/>
      </c>
      <c r="K236" s="831">
        <f>L239*(4*PI()*(RadAcc+RadS)*(L238+DiffS.aR))*input!L276</f>
        <v>1.6609548190199018E-5</v>
      </c>
      <c r="L236" s="794">
        <f t="shared" si="12"/>
        <v>1.6609548190199018E-5</v>
      </c>
      <c r="M236" s="797" t="s">
        <v>335</v>
      </c>
      <c r="N236" s="797"/>
      <c r="O236" s="799"/>
      <c r="P236" s="797"/>
    </row>
    <row r="237" spans="1:16" ht="12.75" customHeight="1" x14ac:dyDescent="0.3">
      <c r="A237" s="797"/>
      <c r="B237" s="797"/>
      <c r="C237" s="797" t="s">
        <v>1343</v>
      </c>
      <c r="D237" s="797"/>
      <c r="E237" s="797"/>
      <c r="F237" s="797"/>
      <c r="G237" s="796" t="s">
        <v>1344</v>
      </c>
      <c r="H237" s="796" t="s">
        <v>866</v>
      </c>
      <c r="I237" s="800"/>
      <c r="J237" s="792" t="str">
        <f>IF(ISBLANK(HLOOKUP(CaseName,CaseData,MATCH($G237,cases!$G$4:$G$2494,0),FALSE)),"",HLOOKUP(CaseName,CaseData,MATCH($G237,cases!$G$4:$G$2494,0),FALSE))</f>
        <v/>
      </c>
      <c r="K237" s="831">
        <f>((8*kboltz*TEMP.R)/((PI()*(4/3*PI()*(RadAcc)^3)*RhoAcc)))^0.5</f>
        <v>7.8294779293570968E-2</v>
      </c>
      <c r="L237" s="794">
        <f t="shared" si="12"/>
        <v>7.8294779293570968E-2</v>
      </c>
      <c r="M237" s="796" t="s">
        <v>866</v>
      </c>
      <c r="N237" s="797"/>
      <c r="O237" s="799"/>
      <c r="P237" s="797"/>
    </row>
    <row r="238" spans="1:16" ht="12.75" customHeight="1" x14ac:dyDescent="0.3">
      <c r="A238" s="797"/>
      <c r="B238" s="797"/>
      <c r="C238" s="797" t="s">
        <v>1345</v>
      </c>
      <c r="D238" s="797"/>
      <c r="E238" s="797"/>
      <c r="F238" s="797"/>
      <c r="G238" s="797" t="s">
        <v>1346</v>
      </c>
      <c r="H238" s="797" t="s">
        <v>900</v>
      </c>
      <c r="I238" s="800"/>
      <c r="J238" s="792" t="str">
        <f>IF(ISBLANK(HLOOKUP(CaseName,CaseData,MATCH($G238,cases!$G$4:$G$2494,0),FALSE)),"",HLOOKUP(CaseName,CaseData,MATCH($G238,cases!$G$4:$G$2494,0),FALSE))</f>
        <v/>
      </c>
      <c r="K238" s="831">
        <f>(kboltz*TEMP.R*(1+(66*10^-9/RadAcc)*(1.142+0.558*EXP(-0.999/(66*10^-9/RadAcc)))))/(6*PI()*DYNVISC.a*RadAcc)</f>
        <v>5.097342013000671E-10</v>
      </c>
      <c r="L238" s="794">
        <f t="shared" si="12"/>
        <v>5.097342013000671E-10</v>
      </c>
      <c r="M238" s="797" t="s">
        <v>900</v>
      </c>
      <c r="N238" s="797"/>
      <c r="O238" s="799"/>
      <c r="P238" s="797"/>
    </row>
    <row r="239" spans="1:16" ht="12.75" customHeight="1" x14ac:dyDescent="0.3">
      <c r="A239" s="797"/>
      <c r="B239" s="797"/>
      <c r="C239" s="797" t="s">
        <v>1347</v>
      </c>
      <c r="D239" s="797"/>
      <c r="E239" s="797"/>
      <c r="F239" s="797"/>
      <c r="G239" s="796" t="s">
        <v>1348</v>
      </c>
      <c r="H239" s="796" t="s">
        <v>291</v>
      </c>
      <c r="I239" s="800"/>
      <c r="J239" s="792" t="str">
        <f>IF(ISBLANK(HLOOKUP(CaseName,CaseData,MATCH($G239,cases!$G$4:$G$2494,0),FALSE)),"",HLOOKUP(CaseName,CaseData,MATCH($G239,cases!$G$4:$G$2494,0),FALSE))</f>
        <v/>
      </c>
      <c r="K239" s="831">
        <f>(1+(4*(DiffS.aR+L238))/((RadS+RadAcc)*(L237^2+ThermvelS^2)^0.5))^-1</f>
        <v>0.47852760860397098</v>
      </c>
      <c r="L239" s="794">
        <f t="shared" si="12"/>
        <v>0.47852760860397098</v>
      </c>
      <c r="M239" s="796" t="s">
        <v>291</v>
      </c>
      <c r="N239" s="797"/>
      <c r="O239" s="799"/>
      <c r="P239" s="797"/>
    </row>
    <row r="240" spans="1:16" ht="12.75" customHeight="1" x14ac:dyDescent="0.3">
      <c r="A240" s="797" t="s">
        <v>1349</v>
      </c>
      <c r="B240" s="797"/>
      <c r="C240" s="797"/>
      <c r="D240" s="797"/>
      <c r="E240" s="797"/>
      <c r="F240" s="797"/>
      <c r="G240" s="796" t="s">
        <v>1350</v>
      </c>
      <c r="H240" s="796" t="s">
        <v>335</v>
      </c>
      <c r="I240" s="800"/>
      <c r="J240" s="792" t="str">
        <f>IF(ISBLANK(HLOOKUP(CaseName,CaseData,MATCH($G240,cases!$G$4:$G$2494,0),FALSE)),"",HLOOKUP(CaseName,CaseData,MATCH($G240,cases!$G$4:$G$2494,0),FALSE))</f>
        <v/>
      </c>
      <c r="K240" s="831">
        <f>L243*(4*PI()*(RadCP.a+RadS)*(L242+DiffS.aR))*input!L277</f>
        <v>4.2954716111240836E-8</v>
      </c>
      <c r="L240" s="794">
        <f t="shared" si="12"/>
        <v>4.2954716111240836E-8</v>
      </c>
      <c r="M240" s="797" t="s">
        <v>335</v>
      </c>
      <c r="N240" s="797"/>
      <c r="O240" s="799"/>
      <c r="P240" s="797"/>
    </row>
    <row r="241" spans="1:16" ht="12.75" customHeight="1" x14ac:dyDescent="0.3">
      <c r="A241" s="797"/>
      <c r="B241" s="797" t="s">
        <v>1351</v>
      </c>
      <c r="C241" s="797"/>
      <c r="D241" s="797"/>
      <c r="E241" s="797"/>
      <c r="F241" s="797"/>
      <c r="G241" s="796" t="s">
        <v>1352</v>
      </c>
      <c r="H241" s="796" t="s">
        <v>866</v>
      </c>
      <c r="I241" s="800"/>
      <c r="J241" s="792" t="str">
        <f>IF(ISBLANK(HLOOKUP(CaseName,CaseData,MATCH($G241,cases!$G$4:$G$2494,0),FALSE)),"",HLOOKUP(CaseName,CaseData,MATCH($G241,cases!$G$4:$G$2494,0),FALSE))</f>
        <v/>
      </c>
      <c r="K241" s="831">
        <f>((8*kboltz*TEMP.R)/((PI()*(4/3*PI()*(RadCP.a)^3)*RhoCP.a)))^0.5</f>
        <v>1.2808876266468387E-3</v>
      </c>
      <c r="L241" s="794">
        <f t="shared" si="12"/>
        <v>1.2808876266468387E-3</v>
      </c>
      <c r="M241" s="796" t="s">
        <v>866</v>
      </c>
      <c r="N241" s="797"/>
      <c r="O241" s="799"/>
      <c r="P241" s="797"/>
    </row>
    <row r="242" spans="1:16" ht="12.75" customHeight="1" x14ac:dyDescent="0.3">
      <c r="A242" s="797"/>
      <c r="B242" s="797" t="s">
        <v>1353</v>
      </c>
      <c r="C242" s="797"/>
      <c r="D242" s="797"/>
      <c r="E242" s="797"/>
      <c r="F242" s="797"/>
      <c r="G242" s="797" t="s">
        <v>1354</v>
      </c>
      <c r="H242" s="797" t="s">
        <v>900</v>
      </c>
      <c r="I242" s="800"/>
      <c r="J242" s="792" t="str">
        <f>IF(ISBLANK(HLOOKUP(CaseName,CaseData,MATCH($G242,cases!$G$4:$G$2494,0),FALSE)),"",HLOOKUP(CaseName,CaseData,MATCH($G242,cases!$G$4:$G$2494,0),FALSE))</f>
        <v/>
      </c>
      <c r="K242" s="831">
        <f>(kboltz*TEMP.R)/(6*PI()*DYNVISC.a*RadCP.a)</f>
        <v>1.2814624133468318E-11</v>
      </c>
      <c r="L242" s="794">
        <f t="shared" si="12"/>
        <v>1.2814624133468318E-11</v>
      </c>
      <c r="M242" s="797" t="s">
        <v>900</v>
      </c>
      <c r="N242" s="797"/>
      <c r="O242" s="799"/>
      <c r="P242" s="797"/>
    </row>
    <row r="243" spans="1:16" ht="12.75" customHeight="1" x14ac:dyDescent="0.3">
      <c r="A243" s="797"/>
      <c r="B243" s="797" t="s">
        <v>1355</v>
      </c>
      <c r="C243" s="797"/>
      <c r="D243" s="797"/>
      <c r="E243" s="797"/>
      <c r="F243" s="797"/>
      <c r="G243" s="796" t="s">
        <v>1356</v>
      </c>
      <c r="H243" s="796" t="s">
        <v>291</v>
      </c>
      <c r="I243" s="800"/>
      <c r="J243" s="792" t="str">
        <f>IF(ISBLANK(HLOOKUP(CaseName,CaseData,MATCH($G243,cases!$G$4:$G$2494,0),FALSE)),"",HLOOKUP(CaseName,CaseData,MATCH($G243,cases!$G$4:$G$2494,0),FALSE))</f>
        <v/>
      </c>
      <c r="K243" s="831">
        <f>(1+(4*(DiffS.aR+L242))/((RadS+RadCP.a)*(L241^2+ThermvelS^2)^0.5))^-1</f>
        <v>0.92681253539704134</v>
      </c>
      <c r="L243" s="794">
        <f t="shared" si="12"/>
        <v>0.92681253539704134</v>
      </c>
      <c r="M243" s="796" t="s">
        <v>291</v>
      </c>
      <c r="N243" s="797"/>
      <c r="O243" s="799"/>
      <c r="P243" s="797"/>
    </row>
    <row r="244" spans="1:16" s="352" customFormat="1" ht="12.75" customHeight="1" x14ac:dyDescent="0.3">
      <c r="A244" s="352" t="s">
        <v>1357</v>
      </c>
      <c r="G244" s="520"/>
      <c r="H244" s="520"/>
      <c r="I244" s="522"/>
      <c r="J244" s="805"/>
      <c r="K244" s="522"/>
      <c r="L244" s="523"/>
      <c r="O244" s="356"/>
    </row>
    <row r="245" spans="1:16" ht="12.75" customHeight="1" x14ac:dyDescent="0.3">
      <c r="A245" s="797" t="s">
        <v>1358</v>
      </c>
      <c r="B245" s="797"/>
      <c r="C245" s="797"/>
      <c r="D245" s="797"/>
      <c r="E245" s="797"/>
      <c r="F245" s="797"/>
      <c r="G245" s="797" t="s">
        <v>1359</v>
      </c>
      <c r="H245" s="797" t="s">
        <v>335</v>
      </c>
      <c r="I245" s="800"/>
      <c r="J245" s="792" t="str">
        <f>IF(ISBLANK(HLOOKUP(CaseName,CaseData,MATCH($G245,cases!$G$4:$G$2494,0),FALSE)),"",HLOOKUP(CaseName,CaseData,MATCH($G245,cases!$G$4:$G$2494,0),FALSE))</f>
        <v/>
      </c>
      <c r="K245" s="831">
        <f>L247*L246*AtefSA.w0</f>
        <v>1.5805793080239788E-4</v>
      </c>
      <c r="L245" s="833">
        <f t="shared" ref="L245:L261" si="13">IF(ISBLANK(I245),IF(ISNUMBER(J245)=FALSE,K245,J245),I245)</f>
        <v>1.5805793080239788E-4</v>
      </c>
      <c r="M245" s="797" t="s">
        <v>335</v>
      </c>
      <c r="N245" s="797"/>
      <c r="O245" s="799"/>
      <c r="P245" s="797"/>
    </row>
    <row r="246" spans="1:16" ht="12.75" customHeight="1" x14ac:dyDescent="0.3">
      <c r="A246" s="797"/>
      <c r="B246" s="797" t="s">
        <v>1360</v>
      </c>
      <c r="C246" s="797"/>
      <c r="D246" s="797"/>
      <c r="E246" s="797"/>
      <c r="F246" s="797"/>
      <c r="G246" s="797" t="s">
        <v>1361</v>
      </c>
      <c r="H246" s="797" t="s">
        <v>708</v>
      </c>
      <c r="I246" s="800"/>
      <c r="J246" s="792" t="str">
        <f>IF(ISBLANK(HLOOKUP(CaseName,CaseData,MATCH($G246,cases!$G$4:$G$2494,0),FALSE)),"",HLOOKUP(CaseName,CaseData,MATCH($G246,cases!$G$4:$G$2494,0),FALSE))</f>
        <v/>
      </c>
      <c r="K246" s="831">
        <f>COL.w0R/(SingleVolNC.w*RhoNC.w)</f>
        <v>35367765131532.289</v>
      </c>
      <c r="L246" s="833">
        <f t="shared" si="13"/>
        <v>35367765131532.289</v>
      </c>
      <c r="M246" s="797" t="s">
        <v>708</v>
      </c>
      <c r="N246" s="797"/>
      <c r="O246" s="799"/>
      <c r="P246" s="797"/>
    </row>
    <row r="247" spans="1:16" ht="12.75" customHeight="1" x14ac:dyDescent="0.3">
      <c r="A247" s="797"/>
      <c r="B247" s="797" t="s">
        <v>1362</v>
      </c>
      <c r="C247" s="797"/>
      <c r="D247" s="797"/>
      <c r="E247" s="797"/>
      <c r="F247" s="797"/>
      <c r="G247" s="797" t="s">
        <v>1363</v>
      </c>
      <c r="H247" s="797" t="s">
        <v>335</v>
      </c>
      <c r="I247" s="800"/>
      <c r="J247" s="792" t="str">
        <f>IF(ISBLANK(HLOOKUP(CaseName,CaseData,MATCH($G247,cases!$G$4:$G$2494,0),FALSE)),"",HLOOKUP(CaseName,CaseData,MATCH($G247,cases!$G$4:$G$2494,0),FALSE))</f>
        <v/>
      </c>
      <c r="K247" s="831">
        <f>L260+L261+L248</f>
        <v>4.4689827082537544E-17</v>
      </c>
      <c r="L247" s="833">
        <f t="shared" si="13"/>
        <v>4.4689827082537544E-17</v>
      </c>
      <c r="M247" s="797" t="s">
        <v>335</v>
      </c>
      <c r="N247" s="797"/>
      <c r="O247" s="799"/>
      <c r="P247" s="797"/>
    </row>
    <row r="248" spans="1:16" ht="12.75" customHeight="1" x14ac:dyDescent="0.3">
      <c r="A248" s="797"/>
      <c r="B248" s="797"/>
      <c r="C248" s="797" t="s">
        <v>1364</v>
      </c>
      <c r="D248" s="797"/>
      <c r="E248" s="797"/>
      <c r="F248" s="797"/>
      <c r="G248" s="796" t="s">
        <v>1365</v>
      </c>
      <c r="H248" s="796" t="s">
        <v>335</v>
      </c>
      <c r="I248" s="800"/>
      <c r="J248" s="792" t="str">
        <f>IF(ISBLANK(HLOOKUP(CaseName,CaseData,MATCH($G248,cases!$G$4:$G$2494,0),FALSE)),"",HLOOKUP(CaseName,CaseData,MATCH($G248,cases!$G$4:$G$2494,0),FALSE))</f>
        <v/>
      </c>
      <c r="K248" s="831">
        <f>(4/3)*L249*(RadS+RadNC.w)^3</f>
        <v>5.4613333333333359E-21</v>
      </c>
      <c r="L248" s="833">
        <f t="shared" si="13"/>
        <v>5.4613333333333359E-21</v>
      </c>
      <c r="M248" s="797" t="s">
        <v>335</v>
      </c>
      <c r="N248" s="797"/>
      <c r="O248" s="799"/>
      <c r="P248" s="797"/>
    </row>
    <row r="249" spans="1:16" ht="12.75" customHeight="1" x14ac:dyDescent="0.3">
      <c r="A249" s="797"/>
      <c r="B249" s="797"/>
      <c r="C249" s="797"/>
      <c r="D249" s="797" t="s">
        <v>1366</v>
      </c>
      <c r="E249" s="797"/>
      <c r="F249" s="797"/>
      <c r="G249" s="797" t="s">
        <v>1367</v>
      </c>
      <c r="H249" s="797" t="s">
        <v>335</v>
      </c>
      <c r="I249" s="800"/>
      <c r="J249" s="792" t="str">
        <f>IF(ISBLANK(HLOOKUP(CaseName,CaseData,MATCH($G249,cases!$G$4:$G$2494,0),FALSE)),"",HLOOKUP(CaseName,CaseData,MATCH($G249,cases!$G$4:$G$2494,0),FALSE))</f>
        <v/>
      </c>
      <c r="K249" s="831">
        <v>1</v>
      </c>
      <c r="L249" s="833">
        <f t="shared" si="13"/>
        <v>1</v>
      </c>
      <c r="M249" s="797" t="s">
        <v>335</v>
      </c>
      <c r="N249" s="797"/>
      <c r="O249" s="799"/>
      <c r="P249" s="492" t="s">
        <v>1368</v>
      </c>
    </row>
    <row r="250" spans="1:16" ht="12.75" customHeight="1" x14ac:dyDescent="0.3">
      <c r="A250" s="797" t="s">
        <v>1369</v>
      </c>
      <c r="B250" s="797"/>
      <c r="C250" s="797"/>
      <c r="D250" s="797"/>
      <c r="E250" s="797"/>
      <c r="F250" s="797"/>
      <c r="G250" s="796" t="s">
        <v>1370</v>
      </c>
      <c r="H250" s="796" t="s">
        <v>335</v>
      </c>
      <c r="I250" s="800"/>
      <c r="J250" s="792" t="str">
        <f>IF(ISBLANK(HLOOKUP(CaseName,CaseData,MATCH($G250,cases!$G$4:$G$2494,0),FALSE)),"",HLOOKUP(CaseName,CaseData,MATCH($G250,cases!$G$4:$G$2494,0),FALSE))</f>
        <v/>
      </c>
      <c r="K250" s="831">
        <f>L252*L251*AtefSA.w1</f>
        <v>1.5997016683331745E-4</v>
      </c>
      <c r="L250" s="794">
        <f t="shared" si="13"/>
        <v>1.5997016683331745E-4</v>
      </c>
      <c r="M250" s="797" t="s">
        <v>335</v>
      </c>
      <c r="N250" s="797"/>
      <c r="O250" s="797"/>
      <c r="P250" s="797"/>
    </row>
    <row r="251" spans="1:16" ht="12.75" customHeight="1" x14ac:dyDescent="0.3">
      <c r="A251" s="797"/>
      <c r="B251" s="797" t="s">
        <v>1371</v>
      </c>
      <c r="C251" s="797"/>
      <c r="D251" s="797"/>
      <c r="E251" s="797"/>
      <c r="F251" s="797"/>
      <c r="G251" s="796" t="s">
        <v>1372</v>
      </c>
      <c r="H251" s="796" t="s">
        <v>708</v>
      </c>
      <c r="I251" s="800"/>
      <c r="J251" s="792" t="str">
        <f>IF(ISBLANK(HLOOKUP(CaseName,CaseData,MATCH($G251,cases!$G$4:$G$2494,0),FALSE)),"",HLOOKUP(CaseName,CaseData,MATCH($G251,cases!$G$4:$G$2494,0),FALSE))</f>
        <v/>
      </c>
      <c r="K251" s="831">
        <f>COL.w1R/(SingleVolNC.w*RhoNC.w)</f>
        <v>35367765131532.289</v>
      </c>
      <c r="L251" s="794">
        <f t="shared" si="13"/>
        <v>35367765131532.289</v>
      </c>
      <c r="M251" s="796" t="s">
        <v>708</v>
      </c>
      <c r="N251" s="797"/>
      <c r="O251" s="799"/>
      <c r="P251" s="492" t="s">
        <v>1373</v>
      </c>
    </row>
    <row r="252" spans="1:16" ht="12.75" customHeight="1" x14ac:dyDescent="0.3">
      <c r="A252" s="797"/>
      <c r="B252" s="797" t="s">
        <v>1374</v>
      </c>
      <c r="C252" s="797"/>
      <c r="D252" s="797"/>
      <c r="E252" s="797"/>
      <c r="F252" s="797"/>
      <c r="G252" s="796" t="s">
        <v>1375</v>
      </c>
      <c r="H252" s="796" t="s">
        <v>335</v>
      </c>
      <c r="I252" s="800"/>
      <c r="J252" s="792" t="str">
        <f>IF(ISBLANK(HLOOKUP(CaseName,CaseData,MATCH($G252,cases!$G$4:$G$2494,0),FALSE)),"",HLOOKUP(CaseName,CaseData,MATCH($G252,cases!$G$4:$G$2494,0),FALSE))</f>
        <v/>
      </c>
      <c r="K252" s="831">
        <f>L253+L260+L261</f>
        <v>4.5230499082537542E-17</v>
      </c>
      <c r="L252" s="794">
        <f t="shared" si="13"/>
        <v>4.5230499082537542E-17</v>
      </c>
      <c r="M252" s="797" t="s">
        <v>335</v>
      </c>
      <c r="N252" s="797"/>
      <c r="O252" s="799"/>
      <c r="P252" s="797"/>
    </row>
    <row r="253" spans="1:16" ht="12.75" customHeight="1" x14ac:dyDescent="0.3">
      <c r="A253" s="797"/>
      <c r="B253" s="797"/>
      <c r="C253" s="797" t="s">
        <v>1364</v>
      </c>
      <c r="D253" s="797"/>
      <c r="E253" s="797"/>
      <c r="F253" s="797"/>
      <c r="G253" s="796" t="s">
        <v>1376</v>
      </c>
      <c r="H253" s="796" t="s">
        <v>335</v>
      </c>
      <c r="I253" s="800"/>
      <c r="J253" s="792" t="str">
        <f>IF(ISBLANK(HLOOKUP(CaseName,CaseData,MATCH($G253,cases!$G$4:$G$2494,0),FALSE)),"",HLOOKUP(CaseName,CaseData,MATCH($G253,cases!$G$4:$G$2494,0),FALSE))</f>
        <v/>
      </c>
      <c r="K253" s="831">
        <f>(4/3)*L254*(RadS+RadNC.w)^3</f>
        <v>5.4613333333333352E-19</v>
      </c>
      <c r="L253" s="794">
        <f t="shared" si="13"/>
        <v>5.4613333333333352E-19</v>
      </c>
      <c r="M253" s="797" t="s">
        <v>335</v>
      </c>
      <c r="N253" s="797"/>
      <c r="O253" s="799"/>
      <c r="P253" s="797"/>
    </row>
    <row r="254" spans="1:16" ht="12.75" customHeight="1" x14ac:dyDescent="0.3">
      <c r="A254" s="797"/>
      <c r="B254" s="797"/>
      <c r="C254" s="797"/>
      <c r="D254" s="797" t="s">
        <v>1377</v>
      </c>
      <c r="E254" s="797"/>
      <c r="F254" s="797"/>
      <c r="G254" s="796" t="s">
        <v>1378</v>
      </c>
      <c r="H254" s="796" t="s">
        <v>335</v>
      </c>
      <c r="I254" s="800"/>
      <c r="J254" s="792" t="str">
        <f>IF(ISBLANK(HLOOKUP(CaseName,CaseData,MATCH($G254,cases!$G$4:$G$2494,0),FALSE)),"",HLOOKUP(CaseName,CaseData,MATCH($G254,cases!$G$4:$G$2494,0),FALSE))</f>
        <v/>
      </c>
      <c r="K254" s="831">
        <v>100</v>
      </c>
      <c r="L254" s="794">
        <f t="shared" si="13"/>
        <v>100</v>
      </c>
      <c r="M254" s="796" t="s">
        <v>335</v>
      </c>
      <c r="N254" s="797"/>
      <c r="O254" s="799"/>
      <c r="P254" s="492" t="s">
        <v>1379</v>
      </c>
    </row>
    <row r="255" spans="1:16" ht="12.75" customHeight="1" x14ac:dyDescent="0.3">
      <c r="A255" s="797" t="s">
        <v>1380</v>
      </c>
      <c r="B255" s="797"/>
      <c r="C255" s="797"/>
      <c r="D255" s="797"/>
      <c r="E255" s="797"/>
      <c r="F255" s="797"/>
      <c r="G255" s="796" t="s">
        <v>1381</v>
      </c>
      <c r="H255" s="796" t="s">
        <v>335</v>
      </c>
      <c r="I255" s="800"/>
      <c r="J255" s="792" t="str">
        <f>IF(ISBLANK(HLOOKUP(CaseName,CaseData,MATCH($G255,cases!$G$4:$G$2494,0),FALSE)),"",HLOOKUP(CaseName,CaseData,MATCH($G255,cases!$G$4:$G$2494,0),FALSE))</f>
        <v/>
      </c>
      <c r="K255" s="831">
        <f>L257*L256*AtefSA.w2</f>
        <v>1.5823177044157236E-3</v>
      </c>
      <c r="L255" s="794">
        <f t="shared" si="13"/>
        <v>1.5823177044157236E-3</v>
      </c>
      <c r="M255" s="797" t="s">
        <v>335</v>
      </c>
      <c r="N255" s="797"/>
      <c r="O255" s="799"/>
      <c r="P255" s="797"/>
    </row>
    <row r="256" spans="1:16" ht="12.75" customHeight="1" x14ac:dyDescent="0.3">
      <c r="A256" s="797"/>
      <c r="B256" s="797" t="s">
        <v>1382</v>
      </c>
      <c r="C256" s="797"/>
      <c r="D256" s="797"/>
      <c r="E256" s="797"/>
      <c r="F256" s="797"/>
      <c r="G256" s="796" t="s">
        <v>1383</v>
      </c>
      <c r="H256" s="796" t="s">
        <v>708</v>
      </c>
      <c r="I256" s="800"/>
      <c r="J256" s="792" t="str">
        <f>IF(ISBLANK(HLOOKUP(CaseName,CaseData,MATCH($G256,cases!$G$4:$G$2494,0),FALSE)),"",HLOOKUP(CaseName,CaseData,MATCH($G256,cases!$G$4:$G$2494,0),FALSE))</f>
        <v/>
      </c>
      <c r="K256" s="831">
        <f>COL.w2R/(SingleVolNC.w*RhoNC.w)</f>
        <v>35367765131532.289</v>
      </c>
      <c r="L256" s="794">
        <f t="shared" si="13"/>
        <v>35367765131532.289</v>
      </c>
      <c r="M256" s="796" t="s">
        <v>708</v>
      </c>
      <c r="N256" s="797"/>
      <c r="O256" s="799"/>
      <c r="P256" s="492" t="s">
        <v>1384</v>
      </c>
    </row>
    <row r="257" spans="1:16" ht="12.75" customHeight="1" x14ac:dyDescent="0.3">
      <c r="A257" s="797"/>
      <c r="B257" s="797" t="s">
        <v>1385</v>
      </c>
      <c r="C257" s="797"/>
      <c r="D257" s="797"/>
      <c r="E257" s="797"/>
      <c r="F257" s="797"/>
      <c r="G257" s="796" t="s">
        <v>1386</v>
      </c>
      <c r="H257" s="796" t="s">
        <v>335</v>
      </c>
      <c r="I257" s="800"/>
      <c r="J257" s="792" t="str">
        <f>IF(ISBLANK(HLOOKUP(CaseName,CaseData,MATCH($G257,cases!$G$4:$G$2494,0),FALSE)),"",HLOOKUP(CaseName,CaseData,MATCH($G257,cases!$G$4:$G$2494,0),FALSE))</f>
        <v/>
      </c>
      <c r="K257" s="831">
        <f>L258+L260+L261</f>
        <v>4.4738979082537541E-17</v>
      </c>
      <c r="L257" s="794">
        <f t="shared" si="13"/>
        <v>4.4738979082537541E-17</v>
      </c>
      <c r="M257" s="797" t="s">
        <v>335</v>
      </c>
      <c r="N257" s="797"/>
      <c r="O257" s="799"/>
      <c r="P257" s="797"/>
    </row>
    <row r="258" spans="1:16" ht="12.75" customHeight="1" x14ac:dyDescent="0.3">
      <c r="A258" s="797"/>
      <c r="B258" s="797"/>
      <c r="C258" s="797" t="s">
        <v>1364</v>
      </c>
      <c r="D258" s="797"/>
      <c r="E258" s="797"/>
      <c r="F258" s="797"/>
      <c r="G258" s="796" t="s">
        <v>1387</v>
      </c>
      <c r="H258" s="796" t="s">
        <v>335</v>
      </c>
      <c r="I258" s="800"/>
      <c r="J258" s="792" t="str">
        <f>IF(ISBLANK(HLOOKUP(CaseName,CaseData,MATCH($G258,cases!$G$4:$G$2494,0),FALSE)),"",HLOOKUP(CaseName,CaseData,MATCH($G258,cases!$G$4:$G$2494,0),FALSE))</f>
        <v/>
      </c>
      <c r="K258" s="831">
        <f>(4/3)*L259*(RadS+RadNC.w)^3</f>
        <v>5.4613333333333359E-20</v>
      </c>
      <c r="L258" s="794">
        <f t="shared" si="13"/>
        <v>5.4613333333333359E-20</v>
      </c>
      <c r="M258" s="797" t="s">
        <v>335</v>
      </c>
      <c r="N258" s="797"/>
      <c r="O258" s="799"/>
      <c r="P258" s="797"/>
    </row>
    <row r="259" spans="1:16" ht="12.75" customHeight="1" x14ac:dyDescent="0.3">
      <c r="A259" s="797"/>
      <c r="B259" s="797"/>
      <c r="C259" s="797"/>
      <c r="D259" s="797" t="s">
        <v>1388</v>
      </c>
      <c r="E259" s="797"/>
      <c r="F259" s="797"/>
      <c r="G259" s="796" t="s">
        <v>1389</v>
      </c>
      <c r="H259" s="796" t="s">
        <v>335</v>
      </c>
      <c r="I259" s="800"/>
      <c r="J259" s="792" t="str">
        <f>IF(ISBLANK(HLOOKUP(CaseName,CaseData,MATCH($G259,cases!$G$4:$G$2494,0),FALSE)),"",HLOOKUP(CaseName,CaseData,MATCH($G259,cases!$G$4:$G$2494,0),FALSE))</f>
        <v/>
      </c>
      <c r="K259" s="831">
        <v>10</v>
      </c>
      <c r="L259" s="794">
        <f t="shared" si="13"/>
        <v>10</v>
      </c>
      <c r="M259" s="796" t="s">
        <v>335</v>
      </c>
      <c r="N259" s="797"/>
      <c r="O259" s="799"/>
      <c r="P259" s="492" t="s">
        <v>1368</v>
      </c>
    </row>
    <row r="260" spans="1:16" ht="12.75" customHeight="1" x14ac:dyDescent="0.3">
      <c r="A260" s="797"/>
      <c r="B260" s="797"/>
      <c r="C260" s="797" t="s">
        <v>1390</v>
      </c>
      <c r="D260" s="797"/>
      <c r="E260" s="797"/>
      <c r="F260" s="797"/>
      <c r="G260" s="797" t="s">
        <v>1391</v>
      </c>
      <c r="H260" s="797" t="s">
        <v>335</v>
      </c>
      <c r="I260" s="800"/>
      <c r="J260" s="792" t="str">
        <f>IF(ISBLANK(HLOOKUP(CaseName,CaseData,MATCH($G260,cases!$G$4:$G$2494,0),FALSE)),"",HLOOKUP(CaseName,CaseData,MATCH($G260,cases!$G$4:$G$2494,0),FALSE))</f>
        <v/>
      </c>
      <c r="K260" s="831">
        <f>(2*kboltz*TEMP.R)/(3*DYNVISC.w)*(RadS+RadNC.w)^2/(RadS*RadNC.w)</f>
        <v>4.468047746640054E-17</v>
      </c>
      <c r="L260" s="833">
        <f t="shared" si="13"/>
        <v>4.468047746640054E-17</v>
      </c>
      <c r="M260" s="797" t="s">
        <v>335</v>
      </c>
      <c r="N260" s="797"/>
      <c r="O260" s="799"/>
      <c r="P260" s="797"/>
    </row>
    <row r="261" spans="1:16" ht="12.75" customHeight="1" x14ac:dyDescent="0.3">
      <c r="A261" s="797"/>
      <c r="B261" s="797"/>
      <c r="C261" s="797" t="s">
        <v>1392</v>
      </c>
      <c r="D261" s="797"/>
      <c r="E261" s="797"/>
      <c r="F261" s="797"/>
      <c r="G261" s="796" t="s">
        <v>1393</v>
      </c>
      <c r="H261" s="796" t="s">
        <v>335</v>
      </c>
      <c r="I261" s="800"/>
      <c r="J261" s="792" t="str">
        <f>IF(ISBLANK(HLOOKUP(CaseName,CaseData,MATCH($G261,cases!$G$4:$G$2494,0),FALSE)),"",HLOOKUP(CaseName,CaseData,MATCH($G261,cases!$G$4:$G$2494,0),FALSE))</f>
        <v/>
      </c>
      <c r="K261" s="831">
        <f>PI()*(RadS+RadNC.w)^2*ABS(SetVelS.w-SetVelNC.w)</f>
        <v>3.8882828036701237E-21</v>
      </c>
      <c r="L261" s="794">
        <f t="shared" si="13"/>
        <v>3.8882828036701237E-21</v>
      </c>
      <c r="M261" s="797" t="s">
        <v>335</v>
      </c>
      <c r="N261" s="797"/>
      <c r="O261" s="799"/>
      <c r="P261" s="797"/>
    </row>
    <row r="262" spans="1:16" s="352" customFormat="1" ht="12.75" customHeight="1" x14ac:dyDescent="0.3">
      <c r="A262" s="352" t="s">
        <v>1394</v>
      </c>
      <c r="G262" s="520"/>
      <c r="H262" s="520"/>
      <c r="I262" s="522"/>
      <c r="J262" s="805"/>
      <c r="K262" s="522"/>
      <c r="L262" s="523"/>
      <c r="O262" s="356"/>
    </row>
    <row r="263" spans="1:16" ht="12.75" customHeight="1" x14ac:dyDescent="0.3">
      <c r="A263" s="797" t="s">
        <v>1395</v>
      </c>
      <c r="B263" s="797"/>
      <c r="C263" s="797"/>
      <c r="D263" s="797"/>
      <c r="E263" s="797"/>
      <c r="F263" s="797"/>
      <c r="G263" s="796" t="s">
        <v>1396</v>
      </c>
      <c r="H263" s="796" t="s">
        <v>335</v>
      </c>
      <c r="I263" s="800"/>
      <c r="J263" s="792" t="str">
        <f>IF(ISBLANK(HLOOKUP(CaseName,CaseData,MATCH($G263,cases!$G$4:$G$2494,0),FALSE)),"",HLOOKUP(CaseName,CaseData,MATCH($G263,cases!$G$4:$G$2494,0),FALSE))</f>
        <v/>
      </c>
      <c r="K263" s="831">
        <f>L264*L265*AtefSP.w0</f>
        <v>2.9427711999727858E-7</v>
      </c>
      <c r="L263" s="794">
        <f t="shared" ref="L263:L276" si="14">IF(ISBLANK(I263),IF(ISNUMBER(J263)=FALSE,K263,J263),I263)</f>
        <v>2.9427711999727858E-7</v>
      </c>
      <c r="M263" s="797" t="s">
        <v>335</v>
      </c>
      <c r="N263" s="797"/>
      <c r="O263" s="799"/>
      <c r="P263" s="797"/>
    </row>
    <row r="264" spans="1:16" ht="12.75" customHeight="1" x14ac:dyDescent="0.3">
      <c r="A264" s="797"/>
      <c r="B264" s="797" t="s">
        <v>1397</v>
      </c>
      <c r="C264" s="797"/>
      <c r="D264" s="797"/>
      <c r="E264" s="797"/>
      <c r="F264" s="797"/>
      <c r="G264" s="796" t="s">
        <v>1398</v>
      </c>
      <c r="H264" s="796" t="s">
        <v>708</v>
      </c>
      <c r="I264" s="800"/>
      <c r="J264" s="792" t="str">
        <f>IF(ISBLANK(HLOOKUP(CaseName,CaseData,MATCH($G264,cases!$G$4:$G$2494,0),FALSE)),"",HLOOKUP(CaseName,CaseData,MATCH($G264,cases!$G$4:$G$2494,0),FALSE))</f>
        <v/>
      </c>
      <c r="K264" s="831">
        <f>(SUSP.w0R)/(SingleVolSPM.w*RhoSPM.w)</f>
        <v>1768388256.5766146</v>
      </c>
      <c r="L264" s="794">
        <f t="shared" si="14"/>
        <v>1768388256.5766146</v>
      </c>
      <c r="M264" s="797" t="s">
        <v>708</v>
      </c>
      <c r="N264" s="797" t="s">
        <v>1399</v>
      </c>
      <c r="O264" s="799"/>
      <c r="P264" s="797"/>
    </row>
    <row r="265" spans="1:16" ht="12.75" customHeight="1" x14ac:dyDescent="0.3">
      <c r="A265" s="797"/>
      <c r="B265" s="797" t="s">
        <v>1400</v>
      </c>
      <c r="C265" s="797"/>
      <c r="D265" s="797"/>
      <c r="E265" s="797"/>
      <c r="F265" s="797"/>
      <c r="G265" s="796" t="s">
        <v>1401</v>
      </c>
      <c r="H265" s="797" t="s">
        <v>335</v>
      </c>
      <c r="I265" s="800"/>
      <c r="J265" s="792" t="str">
        <f>IF(ISBLANK(HLOOKUP(CaseName,CaseData,MATCH($G265,cases!$G$4:$G$2494,0),FALSE)),"",HLOOKUP(CaseName,CaseData,MATCH($G265,cases!$G$4:$G$2494,0),FALSE))</f>
        <v/>
      </c>
      <c r="K265" s="831">
        <f>L275+L266+L276</f>
        <v>1.6640979089454223E-15</v>
      </c>
      <c r="L265" s="794">
        <f t="shared" si="14"/>
        <v>1.6640979089454223E-15</v>
      </c>
      <c r="M265" s="797" t="s">
        <v>335</v>
      </c>
      <c r="N265" s="797"/>
      <c r="O265" s="799"/>
      <c r="P265" s="797"/>
    </row>
    <row r="266" spans="1:16" ht="12.75" customHeight="1" x14ac:dyDescent="0.3">
      <c r="A266" s="797"/>
      <c r="B266" s="797"/>
      <c r="C266" s="797" t="s">
        <v>1402</v>
      </c>
      <c r="D266" s="797"/>
      <c r="E266" s="797"/>
      <c r="F266" s="797"/>
      <c r="G266" s="796" t="s">
        <v>1403</v>
      </c>
      <c r="H266" s="796" t="s">
        <v>335</v>
      </c>
      <c r="I266" s="800"/>
      <c r="J266" s="792" t="str">
        <f>IF(ISBLANK(HLOOKUP(CaseName,CaseData,MATCH($G266,cases!$G$4:$G$2494,0),FALSE)),"",HLOOKUP(CaseName,CaseData,MATCH($G266,cases!$G$4:$G$2494,0),FALSE))</f>
        <v/>
      </c>
      <c r="K266" s="831">
        <f>(4/3)*L249*(RadS+RadSPM.w)^3</f>
        <v>3.6361201333333331E-17</v>
      </c>
      <c r="L266" s="794">
        <f t="shared" si="14"/>
        <v>3.6361201333333331E-17</v>
      </c>
      <c r="M266" s="797" t="s">
        <v>335</v>
      </c>
      <c r="N266" s="797"/>
      <c r="O266" s="799"/>
      <c r="P266" s="797"/>
    </row>
    <row r="267" spans="1:16" ht="12.75" customHeight="1" x14ac:dyDescent="0.3">
      <c r="A267" s="797" t="s">
        <v>1404</v>
      </c>
      <c r="B267" s="797"/>
      <c r="C267" s="797"/>
      <c r="D267" s="797"/>
      <c r="E267" s="797"/>
      <c r="F267" s="797"/>
      <c r="G267" s="796" t="s">
        <v>1405</v>
      </c>
      <c r="H267" s="796" t="s">
        <v>335</v>
      </c>
      <c r="I267" s="800"/>
      <c r="J267" s="792" t="str">
        <f>IF(ISBLANK(HLOOKUP(CaseName,CaseData,MATCH($G267,cases!$G$4:$G$2494,0),FALSE)),"",HLOOKUP(CaseName,CaseData,MATCH($G267,cases!$G$4:$G$2494,0),FALSE))</f>
        <v/>
      </c>
      <c r="K267" s="831">
        <f>L268*L269*AtefSP.w1</f>
        <v>2.7925627865485082E-5</v>
      </c>
      <c r="L267" s="794">
        <f t="shared" si="14"/>
        <v>2.7925627865485082E-5</v>
      </c>
      <c r="M267" s="797" t="s">
        <v>335</v>
      </c>
      <c r="N267" s="797"/>
      <c r="O267" s="799"/>
      <c r="P267" s="797"/>
    </row>
    <row r="268" spans="1:16" ht="12.75" customHeight="1" x14ac:dyDescent="0.3">
      <c r="A268" s="797"/>
      <c r="B268" s="797" t="s">
        <v>1406</v>
      </c>
      <c r="C268" s="797"/>
      <c r="D268" s="797"/>
      <c r="E268" s="797"/>
      <c r="F268" s="797"/>
      <c r="G268" s="796" t="s">
        <v>1407</v>
      </c>
      <c r="H268" s="796" t="s">
        <v>708</v>
      </c>
      <c r="I268" s="800"/>
      <c r="J268" s="792" t="str">
        <f>IF(ISBLANK(HLOOKUP(CaseName,CaseData,MATCH($G268,cases!$G$4:$G$2494,0),FALSE)),"",HLOOKUP(CaseName,CaseData,MATCH($G268,cases!$G$4:$G$2494,0),FALSE))</f>
        <v/>
      </c>
      <c r="K268" s="831">
        <f>(SUSP.w1R)/(SingleVolSPM.w*RhoSPM.w)</f>
        <v>53051647697.298439</v>
      </c>
      <c r="L268" s="794">
        <f t="shared" si="14"/>
        <v>53051647697.298439</v>
      </c>
      <c r="M268" s="797" t="s">
        <v>708</v>
      </c>
      <c r="N268" s="797" t="s">
        <v>1408</v>
      </c>
      <c r="O268" s="799"/>
      <c r="P268" s="797"/>
    </row>
    <row r="269" spans="1:16" ht="12.75" customHeight="1" x14ac:dyDescent="0.3">
      <c r="A269" s="797"/>
      <c r="B269" s="797" t="s">
        <v>1409</v>
      </c>
      <c r="C269" s="797"/>
      <c r="D269" s="797"/>
      <c r="E269" s="797"/>
      <c r="F269" s="797"/>
      <c r="G269" s="796" t="s">
        <v>1410</v>
      </c>
      <c r="H269" s="797" t="s">
        <v>335</v>
      </c>
      <c r="I269" s="800"/>
      <c r="J269" s="792" t="str">
        <f>IF(ISBLANK(HLOOKUP(CaseName,CaseData,MATCH($G269,cases!$G$4:$G$2494,0),FALSE)),"",HLOOKUP(CaseName,CaseData,MATCH($G269,cases!$G$4:$G$2494,0),FALSE))</f>
        <v/>
      </c>
      <c r="K269" s="831">
        <f>L270+L275+L276</f>
        <v>5.2638568409454215E-15</v>
      </c>
      <c r="L269" s="794">
        <f t="shared" si="14"/>
        <v>5.2638568409454215E-15</v>
      </c>
      <c r="M269" s="797" t="s">
        <v>335</v>
      </c>
      <c r="N269" s="797"/>
      <c r="O269" s="799"/>
      <c r="P269" s="797"/>
    </row>
    <row r="270" spans="1:16" ht="12.75" customHeight="1" x14ac:dyDescent="0.3">
      <c r="A270" s="797"/>
      <c r="B270" s="797"/>
      <c r="C270" s="797" t="s">
        <v>1402</v>
      </c>
      <c r="D270" s="797"/>
      <c r="E270" s="797"/>
      <c r="F270" s="797"/>
      <c r="G270" s="796" t="s">
        <v>1411</v>
      </c>
      <c r="H270" s="796" t="s">
        <v>335</v>
      </c>
      <c r="I270" s="800"/>
      <c r="J270" s="792" t="str">
        <f>IF(ISBLANK(HLOOKUP(CaseName,CaseData,MATCH($G270,cases!$G$4:$G$2494,0),FALSE)),"",HLOOKUP(CaseName,CaseData,MATCH($G270,cases!$G$4:$G$2494,0),FALSE))</f>
        <v/>
      </c>
      <c r="K270" s="831">
        <f>(4/3)*L254*(RadS+RadSPM.w)^3</f>
        <v>3.6361201333333329E-15</v>
      </c>
      <c r="L270" s="794">
        <f t="shared" si="14"/>
        <v>3.6361201333333329E-15</v>
      </c>
      <c r="M270" s="797" t="s">
        <v>335</v>
      </c>
      <c r="N270" s="797"/>
      <c r="O270" s="799"/>
      <c r="P270" s="797"/>
    </row>
    <row r="271" spans="1:16" ht="12.75" customHeight="1" x14ac:dyDescent="0.3">
      <c r="A271" s="797" t="s">
        <v>1412</v>
      </c>
      <c r="B271" s="797"/>
      <c r="C271" s="797"/>
      <c r="D271" s="797"/>
      <c r="E271" s="797"/>
      <c r="F271" s="797"/>
      <c r="G271" s="796" t="s">
        <v>1413</v>
      </c>
      <c r="H271" s="796" t="s">
        <v>335</v>
      </c>
      <c r="I271" s="800"/>
      <c r="J271" s="792" t="str">
        <f>IF(ISBLANK(HLOOKUP(CaseName,CaseData,MATCH($G271,cases!$G$4:$G$2494,0),FALSE)),"",HLOOKUP(CaseName,CaseData,MATCH($G271,cases!$G$4:$G$2494,0),FALSE))</f>
        <v/>
      </c>
      <c r="K271" s="831">
        <f>L272*L273*AtefSP.w2</f>
        <v>3.5214776928687474E-5</v>
      </c>
      <c r="L271" s="794">
        <f t="shared" si="14"/>
        <v>3.5214776928687474E-5</v>
      </c>
      <c r="M271" s="797" t="s">
        <v>335</v>
      </c>
      <c r="N271" s="797"/>
      <c r="O271" s="799"/>
      <c r="P271" s="797"/>
    </row>
    <row r="272" spans="1:16" ht="12.75" customHeight="1" x14ac:dyDescent="0.3">
      <c r="A272" s="797"/>
      <c r="B272" s="797" t="s">
        <v>1414</v>
      </c>
      <c r="C272" s="797"/>
      <c r="D272" s="797"/>
      <c r="E272" s="797"/>
      <c r="F272" s="797"/>
      <c r="G272" s="796" t="s">
        <v>1415</v>
      </c>
      <c r="H272" s="796" t="s">
        <v>708</v>
      </c>
      <c r="I272" s="800"/>
      <c r="J272" s="792" t="str">
        <f>IF(ISBLANK(HLOOKUP(CaseName,CaseData,MATCH($G272,cases!$G$4:$G$2494,0),FALSE)),"",HLOOKUP(CaseName,CaseData,MATCH($G272,cases!$G$4:$G$2494,0),FALSE))</f>
        <v/>
      </c>
      <c r="K272" s="831">
        <f>(SUSP.w2R)/(SingleVolSPM.w*RhoSPM.w)</f>
        <v>17683882565.766148</v>
      </c>
      <c r="L272" s="794">
        <f t="shared" si="14"/>
        <v>17683882565.766148</v>
      </c>
      <c r="M272" s="797" t="s">
        <v>708</v>
      </c>
      <c r="N272" s="797" t="s">
        <v>1416</v>
      </c>
      <c r="O272" s="799"/>
      <c r="P272" s="797"/>
    </row>
    <row r="273" spans="1:16" ht="12.75" customHeight="1" x14ac:dyDescent="0.3">
      <c r="A273" s="797"/>
      <c r="B273" s="797" t="s">
        <v>1417</v>
      </c>
      <c r="C273" s="797"/>
      <c r="D273" s="797"/>
      <c r="E273" s="797"/>
      <c r="F273" s="797"/>
      <c r="G273" s="796" t="s">
        <v>1418</v>
      </c>
      <c r="H273" s="797" t="s">
        <v>335</v>
      </c>
      <c r="I273" s="800"/>
      <c r="J273" s="792" t="str">
        <f>IF(ISBLANK(HLOOKUP(CaseName,CaseData,MATCH($G273,cases!$G$4:$G$2494,0),FALSE)),"",HLOOKUP(CaseName,CaseData,MATCH($G273,cases!$G$4:$G$2494,0),FALSE))</f>
        <v/>
      </c>
      <c r="K273" s="831">
        <f>L275+L276+L274</f>
        <v>1.9913487209454223E-15</v>
      </c>
      <c r="L273" s="794">
        <f t="shared" si="14"/>
        <v>1.9913487209454223E-15</v>
      </c>
      <c r="M273" s="797" t="s">
        <v>335</v>
      </c>
      <c r="N273" s="797"/>
      <c r="O273" s="799"/>
      <c r="P273" s="797"/>
    </row>
    <row r="274" spans="1:16" ht="12.75" customHeight="1" x14ac:dyDescent="0.3">
      <c r="A274" s="797"/>
      <c r="B274" s="797"/>
      <c r="C274" s="797" t="s">
        <v>1402</v>
      </c>
      <c r="D274" s="797"/>
      <c r="E274" s="797"/>
      <c r="F274" s="797"/>
      <c r="G274" s="796" t="s">
        <v>1419</v>
      </c>
      <c r="H274" s="796" t="s">
        <v>335</v>
      </c>
      <c r="I274" s="800"/>
      <c r="J274" s="792" t="str">
        <f>IF(ISBLANK(HLOOKUP(CaseName,CaseData,MATCH($G274,cases!$G$4:$G$2494,0),FALSE)),"",HLOOKUP(CaseName,CaseData,MATCH($G274,cases!$G$4:$G$2494,0),FALSE))</f>
        <v/>
      </c>
      <c r="K274" s="831">
        <f>(4/3)*L259*(RadS+RadSPM.w)^3</f>
        <v>3.6361201333333332E-16</v>
      </c>
      <c r="L274" s="794">
        <f t="shared" si="14"/>
        <v>3.6361201333333332E-16</v>
      </c>
      <c r="M274" s="797" t="s">
        <v>335</v>
      </c>
      <c r="N274" s="797"/>
      <c r="O274" s="799"/>
      <c r="P274" s="797"/>
    </row>
    <row r="275" spans="1:16" ht="12.75" customHeight="1" x14ac:dyDescent="0.3">
      <c r="A275" s="797"/>
      <c r="B275" s="797"/>
      <c r="C275" s="797" t="s">
        <v>1420</v>
      </c>
      <c r="D275" s="797"/>
      <c r="E275" s="797"/>
      <c r="F275" s="797"/>
      <c r="G275" s="796" t="s">
        <v>1421</v>
      </c>
      <c r="H275" s="796" t="s">
        <v>335</v>
      </c>
      <c r="I275" s="800"/>
      <c r="J275" s="792" t="str">
        <f>IF(ISBLANK(HLOOKUP(CaseName,CaseData,MATCH($G275,cases!$G$4:$G$2494,0),FALSE)),"",HLOOKUP(CaseName,CaseData,MATCH($G275,cases!$G$4:$G$2494,0),FALSE))</f>
        <v/>
      </c>
      <c r="K275" s="831">
        <f>((2*kboltz*TEMP.R)/(3*DYNVISC.w))*(RadS+RadSPM.w)^2/(RadS*RadSPM.w)</f>
        <v>7.9064373807292086E-16</v>
      </c>
      <c r="L275" s="794">
        <f t="shared" si="14"/>
        <v>7.9064373807292086E-16</v>
      </c>
      <c r="M275" s="797" t="s">
        <v>335</v>
      </c>
      <c r="N275" s="797"/>
      <c r="O275" s="799"/>
      <c r="P275" s="797"/>
    </row>
    <row r="276" spans="1:16" ht="12.75" customHeight="1" x14ac:dyDescent="0.3">
      <c r="A276" s="797"/>
      <c r="B276" s="797"/>
      <c r="C276" s="797" t="s">
        <v>1422</v>
      </c>
      <c r="D276" s="797"/>
      <c r="E276" s="797"/>
      <c r="F276" s="797"/>
      <c r="G276" s="796" t="s">
        <v>1423</v>
      </c>
      <c r="H276" s="796" t="s">
        <v>335</v>
      </c>
      <c r="I276" s="800"/>
      <c r="J276" s="792" t="str">
        <f>IF(ISBLANK(HLOOKUP(CaseName,CaseData,MATCH($G276,cases!$G$4:$G$2494,0),FALSE)),"",HLOOKUP(CaseName,CaseData,MATCH($G276,cases!$G$4:$G$2494,0),FALSE))</f>
        <v/>
      </c>
      <c r="K276" s="831">
        <f>PI()*(RadS+RadSPM.w)^2*ABS(SetVelS.w-SetVelSPM.w)</f>
        <v>8.3709296953916809E-16</v>
      </c>
      <c r="L276" s="794">
        <f t="shared" si="14"/>
        <v>8.3709296953916809E-16</v>
      </c>
      <c r="M276" s="797" t="s">
        <v>335</v>
      </c>
      <c r="N276" s="797"/>
      <c r="O276" s="799"/>
      <c r="P276" s="797"/>
    </row>
    <row r="277" spans="1:16" ht="12.75" customHeight="1" x14ac:dyDescent="0.3">
      <c r="A277" s="352" t="s">
        <v>1424</v>
      </c>
      <c r="I277" s="780"/>
      <c r="J277" s="805"/>
      <c r="K277" s="778"/>
    </row>
    <row r="278" spans="1:16" ht="12.75" customHeight="1" x14ac:dyDescent="0.3">
      <c r="A278" s="797" t="s">
        <v>1425</v>
      </c>
      <c r="B278" s="797"/>
      <c r="C278" s="797"/>
      <c r="D278" s="797"/>
      <c r="E278" s="797"/>
      <c r="F278" s="797"/>
      <c r="G278" s="796" t="s">
        <v>1426</v>
      </c>
      <c r="H278" s="796" t="s">
        <v>335</v>
      </c>
      <c r="I278" s="800"/>
      <c r="J278" s="792" t="str">
        <f>IF(ISBLANK(HLOOKUP(CaseName,CaseData,MATCH($G278,cases!$G$4:$G$2494,0),FALSE)),"",HLOOKUP(CaseName,CaseData,MATCH($G278,cases!$G$4:$G$2494,0),FALSE))</f>
        <v/>
      </c>
      <c r="K278" s="831">
        <f>AtefSA.sd0*L279*(L284+L285)</f>
        <v>3.1607723057386811E-4</v>
      </c>
      <c r="L278" s="794">
        <f t="shared" ref="L278:L285" si="15">IF(ISBLANK(I278),IF(ISNUMBER(J278)=FALSE,K278,J278),I278)</f>
        <v>3.1607723057386811E-4</v>
      </c>
      <c r="M278" s="796" t="s">
        <v>335</v>
      </c>
      <c r="N278" s="797"/>
      <c r="O278" s="799"/>
      <c r="P278" s="797"/>
    </row>
    <row r="279" spans="1:16" ht="12.75" customHeight="1" x14ac:dyDescent="0.3">
      <c r="A279" s="797"/>
      <c r="B279" s="797" t="s">
        <v>1427</v>
      </c>
      <c r="C279" s="797"/>
      <c r="D279" s="797"/>
      <c r="E279" s="797"/>
      <c r="F279" s="797"/>
      <c r="G279" s="797" t="s">
        <v>1428</v>
      </c>
      <c r="H279" s="797" t="s">
        <v>708</v>
      </c>
      <c r="I279" s="800"/>
      <c r="J279" s="792" t="str">
        <f>IF(ISBLANK(HLOOKUP(CaseName,CaseData,MATCH($G279,cases!$G$4:$G$2494,0),FALSE)),"",HLOOKUP(CaseName,CaseData,MATCH($G279,cases!$G$4:$G$2494,0),FALSE))</f>
        <v/>
      </c>
      <c r="K279" s="831">
        <f>2*L246</f>
        <v>70735530263064.578</v>
      </c>
      <c r="L279" s="833">
        <f t="shared" si="15"/>
        <v>70735530263064.578</v>
      </c>
      <c r="M279" s="797" t="s">
        <v>708</v>
      </c>
      <c r="N279" s="797" t="s">
        <v>1429</v>
      </c>
      <c r="O279" s="799"/>
      <c r="P279" s="797"/>
    </row>
    <row r="280" spans="1:16" ht="12.75" customHeight="1" x14ac:dyDescent="0.3">
      <c r="A280" s="797" t="s">
        <v>1430</v>
      </c>
      <c r="B280" s="797"/>
      <c r="C280" s="797"/>
      <c r="D280" s="797"/>
      <c r="E280" s="797"/>
      <c r="F280" s="797"/>
      <c r="G280" s="796" t="s">
        <v>1431</v>
      </c>
      <c r="H280" s="796" t="s">
        <v>335</v>
      </c>
      <c r="I280" s="800"/>
      <c r="J280" s="792" t="str">
        <f>IF(ISBLANK(HLOOKUP(CaseName,CaseData,MATCH($G280,cases!$G$4:$G$2494,0),FALSE)),"",HLOOKUP(CaseName,CaseData,MATCH($G280,cases!$G$4:$G$2494,0),FALSE))</f>
        <v/>
      </c>
      <c r="K280" s="831">
        <f>AtefSA.sd1*L281*(L284+L285)</f>
        <v>3.1607723057386811E-4</v>
      </c>
      <c r="L280" s="794">
        <f t="shared" si="15"/>
        <v>3.1607723057386811E-4</v>
      </c>
      <c r="M280" s="796" t="s">
        <v>335</v>
      </c>
      <c r="N280" s="797"/>
      <c r="O280" s="799"/>
      <c r="P280" s="797"/>
    </row>
    <row r="281" spans="1:16" ht="12.75" customHeight="1" x14ac:dyDescent="0.3">
      <c r="A281" s="797"/>
      <c r="B281" s="797" t="s">
        <v>1432</v>
      </c>
      <c r="C281" s="797"/>
      <c r="D281" s="797"/>
      <c r="E281" s="797"/>
      <c r="F281" s="797"/>
      <c r="G281" s="796" t="s">
        <v>1433</v>
      </c>
      <c r="H281" s="796" t="s">
        <v>708</v>
      </c>
      <c r="I281" s="800"/>
      <c r="J281" s="792" t="str">
        <f>IF(ISBLANK(HLOOKUP(CaseName,CaseData,MATCH($G281,cases!$G$4:$G$2494,0),FALSE)),"",HLOOKUP(CaseName,CaseData,MATCH($G281,cases!$G$4:$G$2494,0),FALSE))</f>
        <v/>
      </c>
      <c r="K281" s="831">
        <f>2*L251</f>
        <v>70735530263064.578</v>
      </c>
      <c r="L281" s="794">
        <f t="shared" si="15"/>
        <v>70735530263064.578</v>
      </c>
      <c r="M281" s="796" t="s">
        <v>708</v>
      </c>
      <c r="N281" s="797" t="s">
        <v>1429</v>
      </c>
      <c r="O281" s="799"/>
      <c r="P281" s="492"/>
    </row>
    <row r="282" spans="1:16" ht="12.75" customHeight="1" x14ac:dyDescent="0.3">
      <c r="A282" s="797" t="s">
        <v>1434</v>
      </c>
      <c r="B282" s="797"/>
      <c r="C282" s="797"/>
      <c r="D282" s="797"/>
      <c r="E282" s="797"/>
      <c r="F282" s="797"/>
      <c r="G282" s="796" t="s">
        <v>1435</v>
      </c>
      <c r="H282" s="796" t="s">
        <v>335</v>
      </c>
      <c r="I282" s="800"/>
      <c r="J282" s="792" t="str">
        <f>IF(ISBLANK(HLOOKUP(CaseName,CaseData,MATCH($G282,cases!$G$4:$G$2494,0),FALSE)),"",HLOOKUP(CaseName,CaseData,MATCH($G282,cases!$G$4:$G$2494,0),FALSE))</f>
        <v/>
      </c>
      <c r="K282" s="831">
        <f>AtefSA.sd2*L283*(L284+L285)</f>
        <v>3.1607723057386805E-3</v>
      </c>
      <c r="L282" s="794">
        <f t="shared" si="15"/>
        <v>3.1607723057386805E-3</v>
      </c>
      <c r="M282" s="796" t="s">
        <v>335</v>
      </c>
      <c r="N282" s="797"/>
      <c r="O282" s="799"/>
      <c r="P282" s="797"/>
    </row>
    <row r="283" spans="1:16" ht="12.75" customHeight="1" x14ac:dyDescent="0.3">
      <c r="A283" s="797"/>
      <c r="B283" s="797" t="s">
        <v>1436</v>
      </c>
      <c r="C283" s="797"/>
      <c r="D283" s="797"/>
      <c r="E283" s="797"/>
      <c r="F283" s="797"/>
      <c r="G283" s="796" t="s">
        <v>1437</v>
      </c>
      <c r="H283" s="796" t="s">
        <v>708</v>
      </c>
      <c r="I283" s="800"/>
      <c r="J283" s="792" t="str">
        <f>IF(ISBLANK(HLOOKUP(CaseName,CaseData,MATCH($G283,cases!$G$4:$G$2494,0),FALSE)),"",HLOOKUP(CaseName,CaseData,MATCH($G283,cases!$G$4:$G$2494,0),FALSE))</f>
        <v/>
      </c>
      <c r="K283" s="831">
        <f>2*L256</f>
        <v>70735530263064.578</v>
      </c>
      <c r="L283" s="794">
        <f t="shared" si="15"/>
        <v>70735530263064.578</v>
      </c>
      <c r="M283" s="796" t="s">
        <v>708</v>
      </c>
      <c r="N283" s="797" t="s">
        <v>1429</v>
      </c>
      <c r="O283" s="799"/>
      <c r="P283" s="492"/>
    </row>
    <row r="284" spans="1:16" ht="12.75" customHeight="1" x14ac:dyDescent="0.3">
      <c r="A284" s="797"/>
      <c r="B284" s="797"/>
      <c r="C284" s="797" t="s">
        <v>1390</v>
      </c>
      <c r="D284" s="797"/>
      <c r="E284" s="797"/>
      <c r="F284" s="797"/>
      <c r="G284" s="797" t="s">
        <v>1438</v>
      </c>
      <c r="H284" s="797" t="s">
        <v>335</v>
      </c>
      <c r="I284" s="800"/>
      <c r="J284" s="792" t="str">
        <f>IF(ISBLANK(HLOOKUP(CaseName,CaseData,MATCH($G284,cases!$G$4:$G$2494,0),FALSE)),"",HLOOKUP(CaseName,CaseData,MATCH($G284,cases!$G$4:$G$2494,0),FALSE))</f>
        <v/>
      </c>
      <c r="K284" s="831">
        <f>((2*kboltz*TEMP.R)/(3*DYNVISC.w))*(RadS+RadNC.sd)^2/(RadS*RadNC.sd)</f>
        <v>4.468047746640054E-17</v>
      </c>
      <c r="L284" s="833">
        <f t="shared" si="15"/>
        <v>4.468047746640054E-17</v>
      </c>
      <c r="M284" s="797" t="s">
        <v>335</v>
      </c>
      <c r="N284" s="797"/>
      <c r="O284" s="799"/>
      <c r="P284" s="797"/>
    </row>
    <row r="285" spans="1:16" ht="12.75" customHeight="1" x14ac:dyDescent="0.3">
      <c r="A285" s="797"/>
      <c r="B285" s="797"/>
      <c r="C285" s="797" t="s">
        <v>1392</v>
      </c>
      <c r="D285" s="797"/>
      <c r="E285" s="797"/>
      <c r="F285" s="797"/>
      <c r="G285" s="796" t="s">
        <v>1439</v>
      </c>
      <c r="H285" s="796" t="s">
        <v>335</v>
      </c>
      <c r="I285" s="834"/>
      <c r="J285" s="792" t="str">
        <f>IF(ISBLANK(HLOOKUP(CaseName,CaseData,MATCH($G285,cases!$G$4:$G$2494,0),FALSE)),"",HLOOKUP(CaseName,CaseData,MATCH($G285,cases!$G$4:$G$2494,0),FALSE))</f>
        <v/>
      </c>
      <c r="K285" s="831">
        <f>PI()*(RadS+RadNC.sd)^2*ABS(SetVelS.w-SetVelNC.sd)</f>
        <v>3.8882828036701237E-21</v>
      </c>
      <c r="L285" s="794">
        <f t="shared" si="15"/>
        <v>3.8882828036701237E-21</v>
      </c>
      <c r="M285" s="797" t="s">
        <v>335</v>
      </c>
      <c r="N285" s="797"/>
      <c r="O285" s="799"/>
      <c r="P285" s="797"/>
    </row>
    <row r="286" spans="1:16" ht="12.75" customHeight="1" x14ac:dyDescent="0.3">
      <c r="A286" s="352" t="s">
        <v>1440</v>
      </c>
      <c r="I286" s="780"/>
      <c r="J286" s="805"/>
      <c r="M286" s="779"/>
    </row>
    <row r="287" spans="1:16" ht="12.75" customHeight="1" x14ac:dyDescent="0.3">
      <c r="A287" s="797" t="s">
        <v>1441</v>
      </c>
      <c r="B287" s="797"/>
      <c r="C287" s="797"/>
      <c r="D287" s="797"/>
      <c r="E287" s="797"/>
      <c r="F287" s="797"/>
      <c r="G287" s="796" t="s">
        <v>1442</v>
      </c>
      <c r="H287" s="796" t="s">
        <v>335</v>
      </c>
      <c r="I287" s="800"/>
      <c r="J287" s="792" t="str">
        <f>IF(ISBLANK(HLOOKUP(CaseName,CaseData,MATCH($G287,cases!$G$4:$G$2494,0),FALSE)),"",HLOOKUP(CaseName,CaseData,MATCH($G287,cases!$G$4:$G$2494,0),FALSE))</f>
        <v/>
      </c>
      <c r="K287" s="831">
        <f>L290*L291*L292*AtefSP.sd0</f>
        <v>2.2513643901207357E-4</v>
      </c>
      <c r="L287" s="794">
        <f t="shared" ref="L287:L302" si="16">IF(ISBLANK(I287),IF(ISNUMBER(J287)=FALSE,K287,J287),I287)</f>
        <v>2.2513643901207357E-4</v>
      </c>
      <c r="M287" s="796" t="s">
        <v>335</v>
      </c>
      <c r="N287" s="797"/>
      <c r="O287" s="799"/>
      <c r="P287" s="797"/>
    </row>
    <row r="288" spans="1:16" ht="12.75" customHeight="1" x14ac:dyDescent="0.3">
      <c r="A288" s="797" t="s">
        <v>1443</v>
      </c>
      <c r="B288" s="797"/>
      <c r="C288" s="797"/>
      <c r="D288" s="797"/>
      <c r="E288" s="797"/>
      <c r="F288" s="797"/>
      <c r="G288" s="796" t="s">
        <v>1444</v>
      </c>
      <c r="H288" s="796" t="s">
        <v>335</v>
      </c>
      <c r="I288" s="800"/>
      <c r="J288" s="792" t="str">
        <f>IF(ISBLANK(HLOOKUP(CaseName,CaseData,MATCH($G288,cases!$G$4:$G$2494,0),FALSE)),"",HLOOKUP(CaseName,CaseData,MATCH($G288,cases!$G$4:$G$2494,0),FALSE))</f>
        <v/>
      </c>
      <c r="K288" s="831">
        <f>L290*L291*L292*AtefSP.sd1</f>
        <v>2.2513643901207357E-4</v>
      </c>
      <c r="L288" s="794">
        <f t="shared" si="16"/>
        <v>2.2513643901207357E-4</v>
      </c>
      <c r="M288" s="796" t="s">
        <v>335</v>
      </c>
      <c r="N288" s="797"/>
      <c r="O288" s="799"/>
      <c r="P288" s="797"/>
    </row>
    <row r="289" spans="1:16" ht="12.75" customHeight="1" x14ac:dyDescent="0.3">
      <c r="A289" s="797" t="s">
        <v>1445</v>
      </c>
      <c r="B289" s="797"/>
      <c r="C289" s="797"/>
      <c r="D289" s="797"/>
      <c r="E289" s="797"/>
      <c r="F289" s="797"/>
      <c r="G289" s="796" t="s">
        <v>1446</v>
      </c>
      <c r="H289" s="796" t="s">
        <v>335</v>
      </c>
      <c r="I289" s="800"/>
      <c r="J289" s="792" t="str">
        <f>IF(ISBLANK(HLOOKUP(CaseName,CaseData,MATCH($G289,cases!$G$4:$G$2494,0),FALSE)),"",HLOOKUP(CaseName,CaseData,MATCH($G289,cases!$G$4:$G$2494,0),FALSE))</f>
        <v/>
      </c>
      <c r="K289" s="831">
        <f>L290*L292*L291*AtefSP.sd2</f>
        <v>2.2513643901207357E-3</v>
      </c>
      <c r="L289" s="794">
        <f t="shared" si="16"/>
        <v>2.2513643901207357E-3</v>
      </c>
      <c r="M289" s="796" t="s">
        <v>335</v>
      </c>
      <c r="N289" s="797"/>
      <c r="O289" s="797"/>
      <c r="P289" s="799"/>
    </row>
    <row r="290" spans="1:16" ht="12.75" customHeight="1" x14ac:dyDescent="0.3">
      <c r="A290" s="797"/>
      <c r="B290" s="797" t="s">
        <v>1447</v>
      </c>
      <c r="C290" s="797"/>
      <c r="D290" s="797"/>
      <c r="E290" s="797"/>
      <c r="F290" s="797"/>
      <c r="G290" s="796" t="s">
        <v>1448</v>
      </c>
      <c r="H290" s="796" t="s">
        <v>1449</v>
      </c>
      <c r="I290" s="800"/>
      <c r="J290" s="792" t="str">
        <f>IF(ISBLANK(HLOOKUP(CaseName,CaseData,MATCH($G290,cases!$G$4:$G$2494,0),FALSE)),"",HLOOKUP(CaseName,CaseData,MATCH($G290,cases!$G$4:$G$2494,0),FALSE))</f>
        <v/>
      </c>
      <c r="K290" s="831">
        <f>(3/2)*((1-L296)/(2*RadFP.sd*L296))</f>
        <v>1464.8437499999995</v>
      </c>
      <c r="L290" s="794">
        <f t="shared" si="16"/>
        <v>1464.8437499999995</v>
      </c>
      <c r="M290" s="796" t="s">
        <v>1449</v>
      </c>
      <c r="N290" s="797"/>
      <c r="O290" s="799"/>
      <c r="P290" s="797"/>
    </row>
    <row r="291" spans="1:16" ht="12.75" customHeight="1" x14ac:dyDescent="0.3">
      <c r="A291" s="797"/>
      <c r="B291" s="797" t="s">
        <v>1450</v>
      </c>
      <c r="C291" s="797"/>
      <c r="D291" s="797"/>
      <c r="E291" s="797"/>
      <c r="F291" s="797"/>
      <c r="G291" s="797" t="s">
        <v>1451</v>
      </c>
      <c r="H291" s="796" t="s">
        <v>866</v>
      </c>
      <c r="I291" s="800"/>
      <c r="J291" s="792" t="str">
        <f>IF(ISBLANK(HLOOKUP(CaseName,CaseData,MATCH($G291,cases!$G$4:$G$2494,0),FALSE)),"",HLOOKUP(CaseName,CaseData,MATCH($G291,cases!$G$4:$G$2494,0),FALSE))</f>
        <v/>
      </c>
      <c r="K291" s="616">
        <f>9*10^-6</f>
        <v>9.0000000000000002E-6</v>
      </c>
      <c r="L291" s="794">
        <f t="shared" si="16"/>
        <v>9.0000000000000002E-6</v>
      </c>
      <c r="M291" s="796" t="s">
        <v>866</v>
      </c>
      <c r="N291" s="797"/>
      <c r="O291" s="799"/>
      <c r="P291" s="797" t="s">
        <v>1452</v>
      </c>
    </row>
    <row r="292" spans="1:16" ht="12.75" customHeight="1" x14ac:dyDescent="0.3">
      <c r="A292" s="797"/>
      <c r="B292" s="797" t="s">
        <v>1453</v>
      </c>
      <c r="C292" s="797"/>
      <c r="D292" s="797"/>
      <c r="E292" s="797"/>
      <c r="F292" s="797"/>
      <c r="G292" s="796" t="s">
        <v>1454</v>
      </c>
      <c r="H292" s="796" t="s">
        <v>291</v>
      </c>
      <c r="I292" s="800"/>
      <c r="J292" s="792" t="str">
        <f>IF(ISBLANK(HLOOKUP(CaseName,CaseData,MATCH($G292,cases!$G$4:$G$2494,0),FALSE)),"",HLOOKUP(CaseName,CaseData,MATCH($G292,cases!$G$4:$G$2494,0),FALSE))</f>
        <v/>
      </c>
      <c r="K292" s="831">
        <f>L293+L297+L298</f>
        <v>0.1707701581839729</v>
      </c>
      <c r="L292" s="794">
        <f t="shared" si="16"/>
        <v>0.1707701581839729</v>
      </c>
      <c r="M292" s="796" t="s">
        <v>291</v>
      </c>
      <c r="N292" s="797"/>
      <c r="O292" s="799"/>
      <c r="P292" s="797" t="s">
        <v>1452</v>
      </c>
    </row>
    <row r="293" spans="1:16" ht="12.75" customHeight="1" x14ac:dyDescent="0.3">
      <c r="A293" s="797"/>
      <c r="B293" s="797"/>
      <c r="C293" s="797" t="s">
        <v>1455</v>
      </c>
      <c r="D293" s="797"/>
      <c r="E293" s="797"/>
      <c r="F293" s="797"/>
      <c r="G293" s="796" t="s">
        <v>1456</v>
      </c>
      <c r="H293" s="796" t="s">
        <v>291</v>
      </c>
      <c r="I293" s="800"/>
      <c r="J293" s="792" t="str">
        <f>IF(ISBLANK(HLOOKUP(CaseName,CaseData,MATCH($G293,cases!$G$4:$G$2494,0),FALSE)),"",HLOOKUP(CaseName,CaseData,MATCH($G293,cases!$G$4:$G$2494,0),FALSE))</f>
        <v/>
      </c>
      <c r="K293" s="831">
        <f>2.4*L296^(1/3)*L300^(-0.081)*L301^(-0.715)*L299^(0.053)</f>
        <v>0.17070946798210898</v>
      </c>
      <c r="L293" s="794">
        <f t="shared" si="16"/>
        <v>0.17070946798210898</v>
      </c>
      <c r="M293" s="796" t="s">
        <v>291</v>
      </c>
      <c r="N293" s="797"/>
      <c r="O293" s="799"/>
      <c r="P293" s="797" t="s">
        <v>1452</v>
      </c>
    </row>
    <row r="294" spans="1:16" ht="12.75" customHeight="1" x14ac:dyDescent="0.3">
      <c r="A294" s="797"/>
      <c r="B294" s="797"/>
      <c r="C294" s="797"/>
      <c r="D294" s="797" t="s">
        <v>1457</v>
      </c>
      <c r="E294" s="797"/>
      <c r="F294" s="797"/>
      <c r="G294" s="797" t="s">
        <v>1458</v>
      </c>
      <c r="H294" s="796" t="s">
        <v>291</v>
      </c>
      <c r="I294" s="800"/>
      <c r="J294" s="792" t="str">
        <f>IF(ISBLANK(HLOOKUP(CaseName,CaseData,MATCH($G294,cases!$G$4:$G$2494,0),FALSE)),"",HLOOKUP(CaseName,CaseData,MATCH($G294,cases!$G$4:$G$2494,0),FALSE))</f>
        <v/>
      </c>
      <c r="K294" s="524">
        <f>(2*(1-L295^5))/(2-3*L295+3*L295^5-2*L295^6)</f>
        <v>5.0249997549306684</v>
      </c>
      <c r="L294" s="794">
        <f t="shared" si="16"/>
        <v>5.0249997549306684</v>
      </c>
      <c r="M294" s="796" t="s">
        <v>291</v>
      </c>
      <c r="N294" s="797"/>
      <c r="O294" s="799"/>
      <c r="P294" s="797" t="s">
        <v>1452</v>
      </c>
    </row>
    <row r="295" spans="1:16" ht="12.75" customHeight="1" x14ac:dyDescent="0.3">
      <c r="A295" s="797"/>
      <c r="B295" s="797"/>
      <c r="C295" s="797"/>
      <c r="D295" s="797"/>
      <c r="E295" s="797" t="s">
        <v>1459</v>
      </c>
      <c r="F295" s="797"/>
      <c r="G295" s="797" t="s">
        <v>1460</v>
      </c>
      <c r="H295" s="796" t="s">
        <v>291</v>
      </c>
      <c r="I295" s="800"/>
      <c r="J295" s="792" t="str">
        <f>IF(ISBLANK(HLOOKUP(CaseName,CaseData,MATCH($G295,cases!$G$4:$G$2494,0),FALSE)),"",HLOOKUP(CaseName,CaseData,MATCH($G295,cases!$G$4:$G$2494,0),FALSE))</f>
        <v/>
      </c>
      <c r="K295" s="524">
        <f>(1-L296)^(1/3)</f>
        <v>0.58480354764257325</v>
      </c>
      <c r="L295" s="794">
        <f t="shared" si="16"/>
        <v>0.58480354764257325</v>
      </c>
      <c r="M295" s="796" t="s">
        <v>291</v>
      </c>
      <c r="N295" s="797"/>
      <c r="O295" s="799"/>
      <c r="P295" s="797" t="s">
        <v>1452</v>
      </c>
    </row>
    <row r="296" spans="1:16" ht="12.75" customHeight="1" x14ac:dyDescent="0.3">
      <c r="A296" s="797"/>
      <c r="B296" s="797"/>
      <c r="C296" s="797"/>
      <c r="D296" s="797"/>
      <c r="E296" s="797"/>
      <c r="F296" s="797" t="s">
        <v>1461</v>
      </c>
      <c r="G296" s="797" t="s">
        <v>1462</v>
      </c>
      <c r="H296" s="796" t="s">
        <v>1463</v>
      </c>
      <c r="I296" s="800"/>
      <c r="J296" s="792" t="str">
        <f>IF(ISBLANK(HLOOKUP(CaseName,CaseData,MATCH($G296,cases!$G$4:$G$2494,0),FALSE)),"",HLOOKUP(CaseName,CaseData,MATCH($G296,cases!$G$4:$G$2494,0),FALSE))</f>
        <v/>
      </c>
      <c r="K296" s="831">
        <f>L45</f>
        <v>0.8</v>
      </c>
      <c r="L296" s="794">
        <f t="shared" si="16"/>
        <v>0.8</v>
      </c>
      <c r="M296" s="796" t="s">
        <v>1463</v>
      </c>
      <c r="N296" s="797" t="s">
        <v>1464</v>
      </c>
      <c r="O296" s="799"/>
      <c r="P296" s="797"/>
    </row>
    <row r="297" spans="1:16" ht="12.75" customHeight="1" x14ac:dyDescent="0.3">
      <c r="A297" s="797"/>
      <c r="B297" s="797"/>
      <c r="C297" s="797" t="s">
        <v>1465</v>
      </c>
      <c r="D297" s="797"/>
      <c r="E297" s="797"/>
      <c r="F297" s="797"/>
      <c r="G297" s="796" t="s">
        <v>1466</v>
      </c>
      <c r="H297" s="796" t="s">
        <v>291</v>
      </c>
      <c r="I297" s="800"/>
      <c r="J297" s="792" t="str">
        <f>IF(ISBLANK(HLOOKUP(CaseName,CaseData,MATCH($G297,cases!$G$4:$G$2494,0),FALSE)),"",HLOOKUP(CaseName,CaseData,MATCH($G297,cases!$G$4:$G$2494,0),FALSE))</f>
        <v/>
      </c>
      <c r="K297" s="831">
        <f>0.55*L300^1.55*L301^-0.125*L299^0.125</f>
        <v>1.4099767714425791E-7</v>
      </c>
      <c r="L297" s="794">
        <f t="shared" si="16"/>
        <v>1.4099767714425791E-7</v>
      </c>
      <c r="M297" s="796" t="s">
        <v>291</v>
      </c>
      <c r="N297" s="797"/>
      <c r="O297" s="799"/>
      <c r="P297" s="797" t="s">
        <v>1452</v>
      </c>
    </row>
    <row r="298" spans="1:16" ht="12.75" customHeight="1" x14ac:dyDescent="0.3">
      <c r="A298" s="797"/>
      <c r="B298" s="797"/>
      <c r="C298" s="797" t="s">
        <v>1467</v>
      </c>
      <c r="D298" s="797"/>
      <c r="E298" s="797"/>
      <c r="F298" s="797"/>
      <c r="G298" s="796" t="s">
        <v>1468</v>
      </c>
      <c r="H298" s="796" t="s">
        <v>291</v>
      </c>
      <c r="I298" s="800"/>
      <c r="J298" s="792" t="str">
        <f>IF(ISBLANK(HLOOKUP(CaseName,CaseData,MATCH($G298,cases!$G$4:$G$2494,0),FALSE)),"",HLOOKUP(CaseName,CaseData,MATCH($G298,cases!$G$4:$G$2494,0),FALSE))</f>
        <v/>
      </c>
      <c r="K298" s="831">
        <f>0.22*L300^-0.24*L302^1.11*L299^0.053</f>
        <v>6.0549204186767489E-5</v>
      </c>
      <c r="L298" s="794">
        <f t="shared" si="16"/>
        <v>6.0549204186767489E-5</v>
      </c>
      <c r="M298" s="796" t="s">
        <v>291</v>
      </c>
      <c r="N298" s="797"/>
      <c r="O298" s="799"/>
      <c r="P298" s="797" t="s">
        <v>1452</v>
      </c>
    </row>
    <row r="299" spans="1:16" ht="12.75" customHeight="1" x14ac:dyDescent="0.3">
      <c r="A299" s="797"/>
      <c r="B299" s="797"/>
      <c r="C299" s="797"/>
      <c r="D299" s="797" t="s">
        <v>1469</v>
      </c>
      <c r="E299" s="797"/>
      <c r="F299" s="797"/>
      <c r="G299" s="797" t="s">
        <v>1470</v>
      </c>
      <c r="H299" s="796" t="s">
        <v>291</v>
      </c>
      <c r="I299" s="800"/>
      <c r="J299" s="792" t="str">
        <f>IF(ISBLANK(HLOOKUP(CaseName,CaseData,MATCH($G299,cases!$G$4:$G$2494,0),FALSE)),"",HLOOKUP(CaseName,CaseData,MATCH($G299,cases!$G$4:$G$2494,0),FALSE))</f>
        <v/>
      </c>
      <c r="K299" s="524">
        <f>AHamakerSP.w/(kboltz*TEMP.R)</f>
        <v>1.7535615368506079</v>
      </c>
      <c r="L299" s="794">
        <f t="shared" si="16"/>
        <v>1.7535615368506079</v>
      </c>
      <c r="M299" s="796" t="s">
        <v>291</v>
      </c>
      <c r="N299" s="797"/>
      <c r="O299" s="799"/>
      <c r="P299" s="797" t="s">
        <v>1452</v>
      </c>
    </row>
    <row r="300" spans="1:16" ht="12.75" customHeight="1" x14ac:dyDescent="0.3">
      <c r="A300" s="797"/>
      <c r="B300" s="797"/>
      <c r="C300" s="797"/>
      <c r="D300" s="797" t="s">
        <v>1471</v>
      </c>
      <c r="E300" s="797"/>
      <c r="F300" s="797"/>
      <c r="G300" s="797" t="s">
        <v>1472</v>
      </c>
      <c r="H300" s="796" t="s">
        <v>1473</v>
      </c>
      <c r="I300" s="800"/>
      <c r="J300" s="792" t="str">
        <f>IF(ISBLANK(HLOOKUP(CaseName,CaseData,MATCH($G300,cases!$G$4:$G$2494,0),FALSE)),"",HLOOKUP(CaseName,CaseData,MATCH($G300,cases!$G$4:$G$2494,0),FALSE))</f>
        <v/>
      </c>
      <c r="K300" s="524">
        <f>RadS/RadFP.sd</f>
        <v>7.8125000000000002E-5</v>
      </c>
      <c r="L300" s="794">
        <f t="shared" si="16"/>
        <v>7.8125000000000002E-5</v>
      </c>
      <c r="M300" s="796" t="s">
        <v>1473</v>
      </c>
      <c r="N300" s="797"/>
      <c r="O300" s="799"/>
      <c r="P300" s="797" t="s">
        <v>1452</v>
      </c>
    </row>
    <row r="301" spans="1:16" ht="12.75" customHeight="1" x14ac:dyDescent="0.3">
      <c r="A301" s="797"/>
      <c r="B301" s="797"/>
      <c r="C301" s="797"/>
      <c r="D301" s="797" t="s">
        <v>1474</v>
      </c>
      <c r="E301" s="797"/>
      <c r="F301" s="797"/>
      <c r="G301" s="797" t="s">
        <v>1475</v>
      </c>
      <c r="H301" s="796" t="s">
        <v>291</v>
      </c>
      <c r="I301" s="800"/>
      <c r="J301" s="792" t="str">
        <f>IF(ISBLANK(HLOOKUP(CaseName,CaseData,MATCH($G301,cases!$G$4:$G$2494,0),FALSE)),"",HLOOKUP(CaseName,CaseData,MATCH($G301,cases!$G$4:$G$2494,0),FALSE))</f>
        <v/>
      </c>
      <c r="K301" s="524">
        <f>(L291*2*RadFP.sd)/DiffS.wR</f>
        <v>110.59187966851262</v>
      </c>
      <c r="L301" s="794">
        <f t="shared" si="16"/>
        <v>110.59187966851262</v>
      </c>
      <c r="M301" s="796" t="s">
        <v>291</v>
      </c>
      <c r="N301" s="797"/>
      <c r="O301" s="799"/>
      <c r="P301" s="797" t="s">
        <v>1452</v>
      </c>
    </row>
    <row r="302" spans="1:16" ht="12.75" customHeight="1" x14ac:dyDescent="0.3">
      <c r="A302" s="797"/>
      <c r="B302" s="797"/>
      <c r="C302" s="797"/>
      <c r="D302" s="797" t="s">
        <v>1476</v>
      </c>
      <c r="E302" s="797"/>
      <c r="F302" s="797"/>
      <c r="G302" s="796" t="s">
        <v>1477</v>
      </c>
      <c r="H302" s="796" t="s">
        <v>291</v>
      </c>
      <c r="I302" s="800"/>
      <c r="J302" s="792" t="str">
        <f>IF(ISBLANK(HLOOKUP(CaseName,CaseData,MATCH($G302,cases!$G$4:$G$2494,0),FALSE)),"",HLOOKUP(CaseName,CaseData,MATCH($G302,cases!$G$4:$G$2494,0),FALSE))</f>
        <v/>
      </c>
      <c r="K302" s="524">
        <f>(2*RadS^2*(ABS(RhoS-Rho.w))*9.81)/(9*DYNVISC.w*L291)</f>
        <v>7.8129962297626983E-5</v>
      </c>
      <c r="L302" s="794">
        <f t="shared" si="16"/>
        <v>7.8129962297626983E-5</v>
      </c>
      <c r="M302" s="796" t="s">
        <v>291</v>
      </c>
      <c r="N302" s="797"/>
      <c r="O302" s="799"/>
      <c r="P302" s="797" t="s">
        <v>1452</v>
      </c>
    </row>
    <row r="303" spans="1:16" ht="12.75" customHeight="1" x14ac:dyDescent="0.3">
      <c r="A303" s="352" t="s">
        <v>1478</v>
      </c>
      <c r="I303" s="780"/>
      <c r="J303" s="805"/>
      <c r="M303" s="779"/>
    </row>
    <row r="304" spans="1:16" ht="12.75" customHeight="1" x14ac:dyDescent="0.3">
      <c r="A304" s="797" t="s">
        <v>1479</v>
      </c>
      <c r="B304" s="797"/>
      <c r="C304" s="797"/>
      <c r="D304" s="797"/>
      <c r="E304" s="797"/>
      <c r="F304" s="797"/>
      <c r="G304" s="796" t="s">
        <v>1480</v>
      </c>
      <c r="H304" s="796" t="s">
        <v>335</v>
      </c>
      <c r="I304" s="800"/>
      <c r="J304" s="792" t="str">
        <f>IF(ISBLANK(HLOOKUP(CaseName,CaseData,MATCH($G304,cases!$G$4:$G$2494,0),FALSE)),"",HLOOKUP(CaseName,CaseData,MATCH($G304,cases!$G$4:$G$2494,0),FALSE))</f>
        <v/>
      </c>
      <c r="K304" s="831">
        <f>AtefSA.s1*L307*(L308+L309)</f>
        <v>1.5803861528693407E-2</v>
      </c>
      <c r="L304" s="794">
        <f t="shared" ref="L304:L309" si="17">IF(ISBLANK(I304),IF(ISNUMBER(J304)=FALSE,K304,J304),I304)</f>
        <v>1.5803861528693407E-2</v>
      </c>
      <c r="M304" s="796" t="s">
        <v>335</v>
      </c>
      <c r="N304" s="797"/>
      <c r="O304" s="799"/>
      <c r="P304" s="797"/>
    </row>
    <row r="305" spans="1:16" ht="12.75" customHeight="1" x14ac:dyDescent="0.3">
      <c r="A305" s="797" t="s">
        <v>1481</v>
      </c>
      <c r="B305" s="797"/>
      <c r="C305" s="797"/>
      <c r="D305" s="797"/>
      <c r="E305" s="797"/>
      <c r="F305" s="797"/>
      <c r="G305" s="796" t="s">
        <v>1482</v>
      </c>
      <c r="H305" s="796" t="s">
        <v>335</v>
      </c>
      <c r="I305" s="800"/>
      <c r="J305" s="792" t="str">
        <f>IF(ISBLANK(HLOOKUP(CaseName,CaseData,MATCH($G305,cases!$G$4:$G$2494,0),FALSE)),"",HLOOKUP(CaseName,CaseData,MATCH($G305,cases!$G$4:$G$2494,0),FALSE))</f>
        <v/>
      </c>
      <c r="K305" s="831">
        <f>AtefSA.s2*L307*(L308+L309)</f>
        <v>1.5803861528693407E-2</v>
      </c>
      <c r="L305" s="794">
        <f t="shared" si="17"/>
        <v>1.5803861528693407E-2</v>
      </c>
      <c r="M305" s="796" t="s">
        <v>335</v>
      </c>
      <c r="N305" s="797"/>
      <c r="O305" s="799"/>
      <c r="P305" s="797"/>
    </row>
    <row r="306" spans="1:16" ht="12.75" customHeight="1" x14ac:dyDescent="0.3">
      <c r="A306" s="797" t="s">
        <v>1483</v>
      </c>
      <c r="B306" s="797"/>
      <c r="C306" s="797"/>
      <c r="D306" s="797"/>
      <c r="E306" s="797"/>
      <c r="F306" s="797"/>
      <c r="G306" s="796" t="s">
        <v>1484</v>
      </c>
      <c r="H306" s="796" t="s">
        <v>335</v>
      </c>
      <c r="I306" s="800"/>
      <c r="J306" s="792" t="str">
        <f>IF(ISBLANK(HLOOKUP(CaseName,CaseData,MATCH($G306,cases!$G$4:$G$2494,0),FALSE)),"",HLOOKUP(CaseName,CaseData,MATCH($G306,cases!$G$4:$G$2494,0),FALSE))</f>
        <v/>
      </c>
      <c r="K306" s="831">
        <f>AtefSA.s3*L307*(L308+L309)</f>
        <v>1.5803861528693407E-2</v>
      </c>
      <c r="L306" s="794">
        <f t="shared" si="17"/>
        <v>1.5803861528693407E-2</v>
      </c>
      <c r="M306" s="796" t="s">
        <v>335</v>
      </c>
      <c r="N306" s="797"/>
      <c r="O306" s="799"/>
      <c r="P306" s="797"/>
    </row>
    <row r="307" spans="1:16" ht="12.75" customHeight="1" x14ac:dyDescent="0.3">
      <c r="A307" s="797"/>
      <c r="B307" s="797" t="s">
        <v>1485</v>
      </c>
      <c r="C307" s="797"/>
      <c r="D307" s="797"/>
      <c r="E307" s="797"/>
      <c r="F307" s="797"/>
      <c r="G307" s="796" t="s">
        <v>1486</v>
      </c>
      <c r="H307" s="796" t="s">
        <v>708</v>
      </c>
      <c r="I307" s="800"/>
      <c r="J307" s="792" t="str">
        <f>IF(ISBLANK(HLOOKUP(CaseName,CaseData,MATCH($G307,cases!$G$4:$G$2494,0),FALSE)),"",HLOOKUP(CaseName,CaseData,MATCH($G307,cases!$G$4:$G$2494,0),FALSE))</f>
        <v/>
      </c>
      <c r="K307" s="831">
        <f>(input!L284)/(SingleVolNC.s*RhoNC.s)</f>
        <v>3536776513153229.5</v>
      </c>
      <c r="L307" s="794">
        <f t="shared" si="17"/>
        <v>3536776513153229.5</v>
      </c>
      <c r="M307" s="796" t="s">
        <v>708</v>
      </c>
      <c r="N307" s="797"/>
      <c r="O307" s="799"/>
      <c r="P307" s="797"/>
    </row>
    <row r="308" spans="1:16" ht="12.75" customHeight="1" x14ac:dyDescent="0.3">
      <c r="A308" s="797"/>
      <c r="B308" s="797" t="s">
        <v>1390</v>
      </c>
      <c r="C308" s="797"/>
      <c r="D308" s="797"/>
      <c r="E308" s="797"/>
      <c r="F308" s="797"/>
      <c r="G308" s="796" t="s">
        <v>1487</v>
      </c>
      <c r="H308" s="796" t="s">
        <v>335</v>
      </c>
      <c r="I308" s="800"/>
      <c r="J308" s="792" t="str">
        <f>IF(ISBLANK(HLOOKUP(CaseName,CaseData,MATCH($G308,cases!$G$4:$G$2494,0),FALSE)),"",HLOOKUP(CaseName,CaseData,MATCH($G308,cases!$G$4:$G$2494,0),FALSE))</f>
        <v/>
      </c>
      <c r="K308" s="831">
        <f>((2*kboltz*TEMP.R)/(3*DYNVISC.w))*(RadS+RadNC.s)^2/(RadS*RadNC.s)</f>
        <v>4.468047746640054E-17</v>
      </c>
      <c r="L308" s="794">
        <f t="shared" si="17"/>
        <v>4.468047746640054E-17</v>
      </c>
      <c r="M308" s="797" t="s">
        <v>335</v>
      </c>
      <c r="N308" s="797"/>
      <c r="O308" s="799"/>
      <c r="P308" s="797"/>
    </row>
    <row r="309" spans="1:16" ht="12.75" customHeight="1" x14ac:dyDescent="0.3">
      <c r="A309" s="797"/>
      <c r="B309" s="797" t="s">
        <v>1392</v>
      </c>
      <c r="C309" s="797"/>
      <c r="D309" s="797"/>
      <c r="E309" s="797"/>
      <c r="F309" s="797"/>
      <c r="G309" s="796" t="s">
        <v>1488</v>
      </c>
      <c r="H309" s="796" t="s">
        <v>335</v>
      </c>
      <c r="I309" s="800"/>
      <c r="J309" s="792" t="str">
        <f>IF(ISBLANK(HLOOKUP(CaseName,CaseData,MATCH($G309,cases!$G$4:$G$2494,0),FALSE)),"",HLOOKUP(CaseName,CaseData,MATCH($G309,cases!$G$4:$G$2494,0),FALSE))</f>
        <v/>
      </c>
      <c r="K309" s="831">
        <f>PI()*(RadS+RadNC.s)^2*ABS(SetVelS.w-SetVelNC.s)</f>
        <v>3.8882828036701237E-21</v>
      </c>
      <c r="L309" s="794">
        <f t="shared" si="17"/>
        <v>3.8882828036701237E-21</v>
      </c>
      <c r="M309" s="797" t="s">
        <v>335</v>
      </c>
      <c r="N309" s="797"/>
      <c r="O309" s="799"/>
      <c r="P309" s="797"/>
    </row>
    <row r="310" spans="1:16" ht="12.75" customHeight="1" x14ac:dyDescent="0.3">
      <c r="A310" s="352" t="s">
        <v>1489</v>
      </c>
      <c r="I310" s="780"/>
      <c r="J310" s="805"/>
      <c r="M310" s="779"/>
    </row>
    <row r="311" spans="1:16" ht="12.75" customHeight="1" x14ac:dyDescent="0.3">
      <c r="A311" s="797" t="s">
        <v>1490</v>
      </c>
      <c r="B311" s="797"/>
      <c r="C311" s="797"/>
      <c r="D311" s="797"/>
      <c r="E311" s="797"/>
      <c r="F311" s="797"/>
      <c r="G311" s="796" t="s">
        <v>1491</v>
      </c>
      <c r="H311" s="796" t="s">
        <v>335</v>
      </c>
      <c r="I311" s="800"/>
      <c r="J311" s="792" t="str">
        <f>IF(ISBLANK(HLOOKUP(CaseName,CaseData,MATCH($G311,cases!$G$4:$G$2494,0),FALSE)),"",HLOOKUP(CaseName,CaseData,MATCH($G311,cases!$G$4:$G$2494,0),FALSE))</f>
        <v/>
      </c>
      <c r="K311" s="831">
        <f>L312*L313*L314*AtefSP.s1</f>
        <v>4.8899399121108134E-3</v>
      </c>
      <c r="L311" s="794">
        <f t="shared" ref="L311:L324" si="18">IF(ISBLANK(I311),IF(ISNUMBER(J311)=FALSE,K311,J311),I311)</f>
        <v>4.8899399121108134E-3</v>
      </c>
      <c r="M311" s="796" t="s">
        <v>335</v>
      </c>
      <c r="N311" s="797"/>
      <c r="O311" s="799"/>
      <c r="P311" s="797" t="s">
        <v>1452</v>
      </c>
    </row>
    <row r="312" spans="1:16" ht="12.75" customHeight="1" x14ac:dyDescent="0.3">
      <c r="A312" s="797"/>
      <c r="B312" s="797" t="s">
        <v>1492</v>
      </c>
      <c r="C312" s="797"/>
      <c r="D312" s="797"/>
      <c r="E312" s="797"/>
      <c r="F312" s="797"/>
      <c r="G312" s="796" t="s">
        <v>1493</v>
      </c>
      <c r="H312" s="796" t="s">
        <v>1449</v>
      </c>
      <c r="I312" s="800"/>
      <c r="J312" s="792" t="str">
        <f>IF(ISBLANK(HLOOKUP(CaseName,CaseData,MATCH($G312,cases!$G$4:$G$2494,0),FALSE)),"",HLOOKUP(CaseName,CaseData,MATCH($G312,cases!$G$4:$G$2494,0),FALSE))</f>
        <v/>
      </c>
      <c r="K312" s="831">
        <f>(3/2)*(1-L318)/(2*RadFP.s*L318)</f>
        <v>8789.0625000000036</v>
      </c>
      <c r="L312" s="794">
        <f t="shared" si="18"/>
        <v>8789.0625000000036</v>
      </c>
      <c r="M312" s="796" t="s">
        <v>1449</v>
      </c>
      <c r="N312" s="797"/>
      <c r="O312" s="799"/>
      <c r="P312" s="797" t="s">
        <v>1452</v>
      </c>
    </row>
    <row r="313" spans="1:16" ht="12.75" customHeight="1" x14ac:dyDescent="0.3">
      <c r="A313" s="797"/>
      <c r="B313" s="797" t="s">
        <v>1494</v>
      </c>
      <c r="C313" s="797"/>
      <c r="D313" s="797"/>
      <c r="E313" s="797"/>
      <c r="F313" s="797"/>
      <c r="G313" s="797" t="s">
        <v>1495</v>
      </c>
      <c r="H313" s="796" t="s">
        <v>866</v>
      </c>
      <c r="I313" s="800"/>
      <c r="J313" s="792" t="str">
        <f>IF(ISBLANK(HLOOKUP(CaseName,CaseData,MATCH($G313,cases!$G$4:$G$2494,0),FALSE)),"",HLOOKUP(CaseName,CaseData,MATCH($G313,cases!$G$4:$G$2494,0),FALSE))</f>
        <v/>
      </c>
      <c r="K313" s="524">
        <f>9*10^-6</f>
        <v>9.0000000000000002E-6</v>
      </c>
      <c r="L313" s="794">
        <f t="shared" si="18"/>
        <v>9.0000000000000002E-6</v>
      </c>
      <c r="M313" s="796" t="s">
        <v>866</v>
      </c>
      <c r="N313" s="797"/>
      <c r="O313" s="799"/>
      <c r="P313" s="797" t="s">
        <v>1452</v>
      </c>
    </row>
    <row r="314" spans="1:16" ht="12.75" customHeight="1" x14ac:dyDescent="0.3">
      <c r="A314" s="797"/>
      <c r="B314" s="797" t="s">
        <v>1453</v>
      </c>
      <c r="C314" s="797"/>
      <c r="D314" s="797"/>
      <c r="E314" s="797"/>
      <c r="F314" s="797"/>
      <c r="G314" s="796" t="s">
        <v>1496</v>
      </c>
      <c r="H314" s="796" t="s">
        <v>291</v>
      </c>
      <c r="I314" s="800"/>
      <c r="J314" s="792" t="str">
        <f>IF(ISBLANK(HLOOKUP(CaseName,CaseData,MATCH($G314,cases!$G$4:$G$2494,0),FALSE)),"",HLOOKUP(CaseName,CaseData,MATCH($G314,cases!$G$4:$G$2494,0),FALSE))</f>
        <v/>
      </c>
      <c r="K314" s="831">
        <f>L315+L319+L320</f>
        <v>0.61818499629647783</v>
      </c>
      <c r="L314" s="794">
        <f t="shared" si="18"/>
        <v>0.61818499629647783</v>
      </c>
      <c r="M314" s="796" t="s">
        <v>291</v>
      </c>
      <c r="N314" s="797"/>
      <c r="O314" s="799"/>
      <c r="P314" s="797" t="s">
        <v>1452</v>
      </c>
    </row>
    <row r="315" spans="1:16" ht="12.75" customHeight="1" x14ac:dyDescent="0.3">
      <c r="A315" s="797"/>
      <c r="B315" s="797"/>
      <c r="C315" s="797" t="s">
        <v>1455</v>
      </c>
      <c r="D315" s="797"/>
      <c r="E315" s="797"/>
      <c r="F315" s="797"/>
      <c r="G315" s="796" t="s">
        <v>1497</v>
      </c>
      <c r="H315" s="796" t="s">
        <v>291</v>
      </c>
      <c r="I315" s="800"/>
      <c r="J315" s="792" t="str">
        <f>IF(ISBLANK(HLOOKUP(CaseName,CaseData,MATCH($G315,cases!$G$4:$G$2494,0),FALSE)),"",HLOOKUP(CaseName,CaseData,MATCH($G315,cases!$G$4:$G$2494,0),FALSE))</f>
        <v/>
      </c>
      <c r="K315" s="831">
        <f>2.4*L316^(1/3)*L322^(-0.081)*L323^-0.715*L321^0.053</f>
        <v>0.618124306094614</v>
      </c>
      <c r="L315" s="794">
        <f t="shared" si="18"/>
        <v>0.618124306094614</v>
      </c>
      <c r="M315" s="796" t="s">
        <v>291</v>
      </c>
      <c r="N315" s="797"/>
      <c r="O315" s="799"/>
      <c r="P315" s="797" t="s">
        <v>1452</v>
      </c>
    </row>
    <row r="316" spans="1:16" ht="12.75" customHeight="1" x14ac:dyDescent="0.3">
      <c r="A316" s="797"/>
      <c r="B316" s="797"/>
      <c r="C316" s="797"/>
      <c r="D316" s="797" t="s">
        <v>1457</v>
      </c>
      <c r="E316" s="797"/>
      <c r="F316" s="797"/>
      <c r="G316" s="797" t="s">
        <v>1498</v>
      </c>
      <c r="H316" s="796" t="s">
        <v>291</v>
      </c>
      <c r="I316" s="800"/>
      <c r="J316" s="792" t="str">
        <f>IF(ISBLANK(HLOOKUP(CaseName,CaseData,MATCH($G316,cases!$G$4:$G$2494,0),FALSE)),"",HLOOKUP(CaseName,CaseData,MATCH($G316,cases!$G$4:$G$2494,0),FALSE))</f>
        <v/>
      </c>
      <c r="K316" s="524">
        <f>(2*(1-L317^5))/(2-3*L317+3*L317^5-2*L317^6)</f>
        <v>37.979096123930859</v>
      </c>
      <c r="L316" s="794">
        <f t="shared" si="18"/>
        <v>37.979096123930859</v>
      </c>
      <c r="M316" s="796" t="s">
        <v>291</v>
      </c>
      <c r="N316" s="797"/>
      <c r="O316" s="799"/>
      <c r="P316" s="797" t="s">
        <v>1452</v>
      </c>
    </row>
    <row r="317" spans="1:16" ht="12.75" customHeight="1" x14ac:dyDescent="0.3">
      <c r="A317" s="797"/>
      <c r="B317" s="797"/>
      <c r="C317" s="797"/>
      <c r="D317" s="797"/>
      <c r="E317" s="797" t="s">
        <v>1499</v>
      </c>
      <c r="F317" s="797"/>
      <c r="G317" s="797" t="s">
        <v>1500</v>
      </c>
      <c r="H317" s="796" t="s">
        <v>291</v>
      </c>
      <c r="I317" s="800"/>
      <c r="J317" s="792" t="str">
        <f>IF(ISBLANK(HLOOKUP(CaseName,CaseData,MATCH($G317,cases!$G$4:$G$2494,0),FALSE)),"",HLOOKUP(CaseName,CaseData,MATCH($G317,cases!$G$4:$G$2494,0),FALSE))</f>
        <v/>
      </c>
      <c r="K317" s="524">
        <f>(1-L318)^(1/3)</f>
        <v>0.84343266530174932</v>
      </c>
      <c r="L317" s="794">
        <f t="shared" si="18"/>
        <v>0.84343266530174932</v>
      </c>
      <c r="M317" s="796" t="s">
        <v>291</v>
      </c>
      <c r="N317" s="797"/>
      <c r="O317" s="799"/>
      <c r="P317" s="797" t="s">
        <v>1452</v>
      </c>
    </row>
    <row r="318" spans="1:16" ht="12.75" customHeight="1" x14ac:dyDescent="0.3">
      <c r="A318" s="797"/>
      <c r="B318" s="797"/>
      <c r="C318" s="797"/>
      <c r="D318" s="797"/>
      <c r="E318" s="797"/>
      <c r="F318" s="797" t="s">
        <v>1501</v>
      </c>
      <c r="G318" s="797" t="s">
        <v>1502</v>
      </c>
      <c r="H318" s="796" t="s">
        <v>1463</v>
      </c>
      <c r="I318" s="800"/>
      <c r="J318" s="792" t="str">
        <f>IF(ISBLANK(HLOOKUP(CaseName,CaseData,MATCH($G318,cases!$G$4:$G$2494,0),FALSE)),"",HLOOKUP(CaseName,CaseData,MATCH($G318,cases!$G$4:$G$2494,0),FALSE))</f>
        <v/>
      </c>
      <c r="K318" s="831">
        <f>1-L38</f>
        <v>0.39999999999999991</v>
      </c>
      <c r="L318" s="794">
        <f t="shared" si="18"/>
        <v>0.39999999999999991</v>
      </c>
      <c r="M318" s="796" t="s">
        <v>1463</v>
      </c>
      <c r="N318" s="797" t="s">
        <v>1503</v>
      </c>
      <c r="O318" s="799"/>
      <c r="P318" s="797"/>
    </row>
    <row r="319" spans="1:16" ht="12.75" customHeight="1" x14ac:dyDescent="0.3">
      <c r="A319" s="797"/>
      <c r="B319" s="797"/>
      <c r="C319" s="797" t="s">
        <v>1465</v>
      </c>
      <c r="D319" s="797"/>
      <c r="E319" s="797"/>
      <c r="F319" s="797"/>
      <c r="G319" s="796" t="s">
        <v>1504</v>
      </c>
      <c r="H319" s="796" t="s">
        <v>291</v>
      </c>
      <c r="I319" s="800"/>
      <c r="J319" s="792" t="str">
        <f>IF(ISBLANK(HLOOKUP(CaseName,CaseData,MATCH($G319,cases!$G$4:$G$2494,0),FALSE)),"",HLOOKUP(CaseName,CaseData,MATCH($G319,cases!$G$4:$G$2494,0),FALSE))</f>
        <v/>
      </c>
      <c r="K319" s="831">
        <f>0.55*L322^1.55*L323^-0.125*L321^0.125</f>
        <v>1.4099767714425791E-7</v>
      </c>
      <c r="L319" s="794">
        <f t="shared" si="18"/>
        <v>1.4099767714425791E-7</v>
      </c>
      <c r="M319" s="796" t="s">
        <v>291</v>
      </c>
      <c r="N319" s="797"/>
      <c r="O319" s="799"/>
      <c r="P319" s="797" t="s">
        <v>1452</v>
      </c>
    </row>
    <row r="320" spans="1:16" ht="12.75" customHeight="1" x14ac:dyDescent="0.3">
      <c r="A320" s="797"/>
      <c r="B320" s="797"/>
      <c r="C320" s="797" t="s">
        <v>1467</v>
      </c>
      <c r="D320" s="797"/>
      <c r="E320" s="797"/>
      <c r="F320" s="797"/>
      <c r="G320" s="796" t="s">
        <v>1505</v>
      </c>
      <c r="H320" s="796" t="s">
        <v>291</v>
      </c>
      <c r="I320" s="800"/>
      <c r="J320" s="792" t="str">
        <f>IF(ISBLANK(HLOOKUP(CaseName,CaseData,MATCH($G320,cases!$G$4:$G$2494,0),FALSE)),"",HLOOKUP(CaseName,CaseData,MATCH($G320,cases!$G$4:$G$2494,0),FALSE))</f>
        <v/>
      </c>
      <c r="K320" s="831">
        <f>0.22*L322^-0.24*L324^1.11*L321^0.053</f>
        <v>6.0549204186767489E-5</v>
      </c>
      <c r="L320" s="794">
        <f t="shared" si="18"/>
        <v>6.0549204186767489E-5</v>
      </c>
      <c r="M320" s="796" t="s">
        <v>291</v>
      </c>
      <c r="N320" s="797"/>
      <c r="O320" s="799"/>
      <c r="P320" s="797" t="s">
        <v>1452</v>
      </c>
    </row>
    <row r="321" spans="1:16" ht="12.75" customHeight="1" x14ac:dyDescent="0.3">
      <c r="A321" s="797"/>
      <c r="B321" s="797"/>
      <c r="C321" s="797"/>
      <c r="D321" s="797" t="s">
        <v>1469</v>
      </c>
      <c r="E321" s="797"/>
      <c r="F321" s="797"/>
      <c r="G321" s="797" t="s">
        <v>1506</v>
      </c>
      <c r="H321" s="796" t="s">
        <v>291</v>
      </c>
      <c r="I321" s="800"/>
      <c r="J321" s="792" t="str">
        <f>IF(ISBLANK(HLOOKUP(CaseName,CaseData,MATCH($G321,cases!$G$4:$G$2494,0),FALSE)),"",HLOOKUP(CaseName,CaseData,MATCH($G321,cases!$G$4:$G$2494,0),FALSE))</f>
        <v/>
      </c>
      <c r="K321" s="524">
        <f>AHamakerSP.w/(kboltz*TEMP.R)</f>
        <v>1.7535615368506079</v>
      </c>
      <c r="L321" s="794">
        <f t="shared" si="18"/>
        <v>1.7535615368506079</v>
      </c>
      <c r="M321" s="796" t="s">
        <v>291</v>
      </c>
      <c r="N321" s="797"/>
      <c r="O321" s="799"/>
      <c r="P321" s="797" t="s">
        <v>1452</v>
      </c>
    </row>
    <row r="322" spans="1:16" ht="12.75" customHeight="1" x14ac:dyDescent="0.3">
      <c r="A322" s="797"/>
      <c r="B322" s="797"/>
      <c r="C322" s="797"/>
      <c r="D322" s="797" t="s">
        <v>1471</v>
      </c>
      <c r="E322" s="797"/>
      <c r="F322" s="797"/>
      <c r="G322" s="797" t="s">
        <v>1507</v>
      </c>
      <c r="H322" s="796" t="s">
        <v>1473</v>
      </c>
      <c r="I322" s="800"/>
      <c r="J322" s="792" t="str">
        <f>IF(ISBLANK(HLOOKUP(CaseName,CaseData,MATCH($G322,cases!$G$4:$G$2494,0),FALSE)),"",HLOOKUP(CaseName,CaseData,MATCH($G322,cases!$G$4:$G$2494,0),FALSE))</f>
        <v/>
      </c>
      <c r="K322" s="524">
        <f>RadS/RadFP.s</f>
        <v>7.8125000000000002E-5</v>
      </c>
      <c r="L322" s="794">
        <f t="shared" si="18"/>
        <v>7.8125000000000002E-5</v>
      </c>
      <c r="M322" s="796" t="s">
        <v>1473</v>
      </c>
      <c r="N322" s="797"/>
      <c r="O322" s="799"/>
      <c r="P322" s="797" t="s">
        <v>1452</v>
      </c>
    </row>
    <row r="323" spans="1:16" ht="12.75" customHeight="1" x14ac:dyDescent="0.3">
      <c r="A323" s="797"/>
      <c r="B323" s="797"/>
      <c r="C323" s="797"/>
      <c r="D323" s="797" t="s">
        <v>1474</v>
      </c>
      <c r="E323" s="797"/>
      <c r="F323" s="797"/>
      <c r="G323" s="797" t="s">
        <v>1508</v>
      </c>
      <c r="H323" s="796" t="s">
        <v>291</v>
      </c>
      <c r="I323" s="800"/>
      <c r="J323" s="792" t="str">
        <f>IF(ISBLANK(HLOOKUP(CaseName,CaseData,MATCH($G323,cases!$G$4:$G$2494,0),FALSE)),"",HLOOKUP(CaseName,CaseData,MATCH($G323,cases!$G$4:$G$2494,0),FALSE))</f>
        <v/>
      </c>
      <c r="K323" s="524">
        <f>(L313*2*RadFP.s)/(DiffS.wR)</f>
        <v>110.59187966851262</v>
      </c>
      <c r="L323" s="794">
        <f t="shared" si="18"/>
        <v>110.59187966851262</v>
      </c>
      <c r="M323" s="796" t="s">
        <v>291</v>
      </c>
      <c r="N323" s="797"/>
      <c r="O323" s="799"/>
      <c r="P323" s="797" t="s">
        <v>1452</v>
      </c>
    </row>
    <row r="324" spans="1:16" ht="12.75" customHeight="1" x14ac:dyDescent="0.3">
      <c r="A324" s="797"/>
      <c r="B324" s="797"/>
      <c r="C324" s="797"/>
      <c r="D324" s="797" t="s">
        <v>1476</v>
      </c>
      <c r="E324" s="797"/>
      <c r="F324" s="797"/>
      <c r="G324" s="796" t="s">
        <v>1509</v>
      </c>
      <c r="H324" s="796" t="s">
        <v>291</v>
      </c>
      <c r="I324" s="800"/>
      <c r="J324" s="792" t="str">
        <f>IF(ISBLANK(HLOOKUP(CaseName,CaseData,MATCH($G324,cases!$G$4:$G$2494,0),FALSE)),"",HLOOKUP(CaseName,CaseData,MATCH($G324,cases!$G$4:$G$2494,0),FALSE))</f>
        <v/>
      </c>
      <c r="K324" s="524">
        <f>(2*RadS^2*(ABS(RhoS-Rho.w))*g)/(9*DYNVISC.w*L313)</f>
        <v>7.8129962297626983E-5</v>
      </c>
      <c r="L324" s="794">
        <f t="shared" si="18"/>
        <v>7.8129962297626983E-5</v>
      </c>
      <c r="M324" s="796" t="s">
        <v>291</v>
      </c>
      <c r="N324" s="797"/>
      <c r="O324" s="799"/>
      <c r="P324" s="797" t="s">
        <v>1452</v>
      </c>
    </row>
    <row r="325" spans="1:16" ht="12.75" customHeight="1" x14ac:dyDescent="0.3">
      <c r="A325" s="797" t="s">
        <v>1510</v>
      </c>
      <c r="B325" s="797"/>
      <c r="C325" s="797"/>
      <c r="D325" s="797"/>
      <c r="E325" s="797"/>
      <c r="F325" s="797"/>
      <c r="G325" s="796" t="s">
        <v>1511</v>
      </c>
      <c r="H325" s="796" t="s">
        <v>335</v>
      </c>
      <c r="I325" s="800"/>
      <c r="J325" s="792" t="str">
        <f>IF(ISBLANK(HLOOKUP(CaseName,CaseData,MATCH($G325,cases!$G$4:$G$2494,0),FALSE)),"",HLOOKUP(CaseName,CaseData,MATCH($G325,cases!$G$4:$G$2494,0),FALSE))</f>
        <v/>
      </c>
      <c r="K325" s="831">
        <f>L326*L327*L328*AtefSP.s2</f>
        <v>4.8899399121108134E-3</v>
      </c>
      <c r="L325" s="794">
        <f>IF(ISBLANK(I330),IF(ISNUMBER(J325)=FALSE,K325,J325),I330)</f>
        <v>4.8899399121108134E-3</v>
      </c>
      <c r="M325" s="797" t="s">
        <v>335</v>
      </c>
      <c r="N325" s="797"/>
      <c r="O325" s="799"/>
      <c r="P325" s="797"/>
    </row>
    <row r="326" spans="1:16" ht="12.75" customHeight="1" x14ac:dyDescent="0.3">
      <c r="A326" s="797"/>
      <c r="B326" s="797" t="s">
        <v>1492</v>
      </c>
      <c r="C326" s="797"/>
      <c r="D326" s="797"/>
      <c r="E326" s="797"/>
      <c r="F326" s="797"/>
      <c r="G326" s="796" t="s">
        <v>1512</v>
      </c>
      <c r="H326" s="796" t="s">
        <v>1449</v>
      </c>
      <c r="I326" s="800"/>
      <c r="J326" s="792" t="str">
        <f>IF(ISBLANK(HLOOKUP(CaseName,CaseData,MATCH($G326,cases!$G$4:$G$2494,0),FALSE)),"",HLOOKUP(CaseName,CaseData,MATCH($G326,cases!$G$4:$G$2494,0),FALSE))</f>
        <v/>
      </c>
      <c r="K326" s="831">
        <f>(3/2)*(1-L332)/(2*RadFP.s*L332)</f>
        <v>8789.0625000000036</v>
      </c>
      <c r="L326" s="794">
        <f t="shared" ref="L326:L352" si="19">IF(ISBLANK(I326),IF(ISNUMBER(J326)=FALSE,K326,J326),I326)</f>
        <v>8789.0625000000036</v>
      </c>
      <c r="M326" s="796" t="s">
        <v>1449</v>
      </c>
      <c r="N326" s="797"/>
      <c r="O326" s="799"/>
      <c r="P326" s="797"/>
    </row>
    <row r="327" spans="1:16" ht="12.75" customHeight="1" x14ac:dyDescent="0.3">
      <c r="A327" s="797"/>
      <c r="B327" s="797" t="s">
        <v>1494</v>
      </c>
      <c r="C327" s="797"/>
      <c r="D327" s="797"/>
      <c r="E327" s="797"/>
      <c r="F327" s="797"/>
      <c r="G327" s="797" t="s">
        <v>1513</v>
      </c>
      <c r="H327" s="796" t="s">
        <v>866</v>
      </c>
      <c r="I327" s="800"/>
      <c r="J327" s="792" t="str">
        <f>IF(ISBLANK(HLOOKUP(CaseName,CaseData,MATCH($G327,cases!$G$4:$G$2494,0),FALSE)),"",HLOOKUP(CaseName,CaseData,MATCH($G327,cases!$G$4:$G$2494,0),FALSE))</f>
        <v/>
      </c>
      <c r="K327" s="524">
        <f>9*10^-6</f>
        <v>9.0000000000000002E-6</v>
      </c>
      <c r="L327" s="794">
        <f t="shared" si="19"/>
        <v>9.0000000000000002E-6</v>
      </c>
      <c r="M327" s="796" t="s">
        <v>866</v>
      </c>
      <c r="N327" s="797"/>
      <c r="O327" s="799"/>
      <c r="P327" s="797" t="s">
        <v>1452</v>
      </c>
    </row>
    <row r="328" spans="1:16" ht="12.75" customHeight="1" x14ac:dyDescent="0.3">
      <c r="A328" s="797"/>
      <c r="B328" s="797" t="s">
        <v>1453</v>
      </c>
      <c r="C328" s="797"/>
      <c r="D328" s="797"/>
      <c r="E328" s="797"/>
      <c r="F328" s="797"/>
      <c r="G328" s="796" t="s">
        <v>1514</v>
      </c>
      <c r="H328" s="796" t="s">
        <v>291</v>
      </c>
      <c r="I328" s="800"/>
      <c r="J328" s="792" t="str">
        <f>IF(ISBLANK(HLOOKUP(CaseName,CaseData,MATCH($G328,cases!$G$4:$G$2494,0),FALSE)),"",HLOOKUP(CaseName,CaseData,MATCH($G328,cases!$G$4:$G$2494,0),FALSE))</f>
        <v/>
      </c>
      <c r="K328" s="831">
        <f>L329+L333+L334</f>
        <v>0.61818499629647783</v>
      </c>
      <c r="L328" s="794">
        <f t="shared" si="19"/>
        <v>0.61818499629647783</v>
      </c>
      <c r="M328" s="796" t="s">
        <v>291</v>
      </c>
      <c r="N328" s="797"/>
      <c r="O328" s="799"/>
      <c r="P328" s="797" t="s">
        <v>1452</v>
      </c>
    </row>
    <row r="329" spans="1:16" ht="12.75" customHeight="1" x14ac:dyDescent="0.3">
      <c r="A329" s="797"/>
      <c r="B329" s="797"/>
      <c r="C329" s="797" t="s">
        <v>1455</v>
      </c>
      <c r="D329" s="797"/>
      <c r="E329" s="797"/>
      <c r="F329" s="797"/>
      <c r="G329" s="796" t="s">
        <v>1515</v>
      </c>
      <c r="H329" s="796" t="s">
        <v>291</v>
      </c>
      <c r="I329" s="800"/>
      <c r="J329" s="792" t="str">
        <f>IF(ISBLANK(HLOOKUP(CaseName,CaseData,MATCH($G329,cases!$G$4:$G$2494,0),FALSE)),"",HLOOKUP(CaseName,CaseData,MATCH($G329,cases!$G$4:$G$2494,0),FALSE))</f>
        <v/>
      </c>
      <c r="K329" s="831">
        <f>2.4*L330^(1/3)*L335^(-0.081)*L336^-0.715*L337^0.053</f>
        <v>0.618124306094614</v>
      </c>
      <c r="L329" s="794">
        <f t="shared" si="19"/>
        <v>0.618124306094614</v>
      </c>
      <c r="M329" s="796" t="s">
        <v>291</v>
      </c>
      <c r="N329" s="797"/>
      <c r="O329" s="799"/>
      <c r="P329" s="797" t="s">
        <v>1452</v>
      </c>
    </row>
    <row r="330" spans="1:16" ht="12.75" customHeight="1" x14ac:dyDescent="0.3">
      <c r="A330" s="797"/>
      <c r="B330" s="797"/>
      <c r="C330" s="797"/>
      <c r="D330" s="797" t="s">
        <v>1457</v>
      </c>
      <c r="E330" s="797"/>
      <c r="F330" s="797"/>
      <c r="G330" s="797" t="s">
        <v>1516</v>
      </c>
      <c r="H330" s="796" t="s">
        <v>291</v>
      </c>
      <c r="I330" s="800"/>
      <c r="J330" s="792" t="str">
        <f>IF(ISBLANK(HLOOKUP(CaseName,CaseData,MATCH($G330,cases!$G$4:$G$2494,0),FALSE)),"",HLOOKUP(CaseName,CaseData,MATCH($G330,cases!$G$4:$G$2494,0),FALSE))</f>
        <v/>
      </c>
      <c r="K330" s="524">
        <f>(2*(1-L331^5))/(2-3*L331+3*L331^5-2*L331^6)</f>
        <v>37.979096123930859</v>
      </c>
      <c r="L330" s="794">
        <f t="shared" si="19"/>
        <v>37.979096123930859</v>
      </c>
      <c r="M330" s="796" t="s">
        <v>291</v>
      </c>
      <c r="N330" s="797"/>
      <c r="O330" s="799"/>
      <c r="P330" s="797" t="s">
        <v>1452</v>
      </c>
    </row>
    <row r="331" spans="1:16" ht="12.75" customHeight="1" x14ac:dyDescent="0.3">
      <c r="A331" s="797"/>
      <c r="B331" s="797"/>
      <c r="C331" s="797"/>
      <c r="D331" s="797"/>
      <c r="E331" s="797" t="s">
        <v>1499</v>
      </c>
      <c r="F331" s="797"/>
      <c r="G331" s="797" t="s">
        <v>1517</v>
      </c>
      <c r="H331" s="796" t="s">
        <v>291</v>
      </c>
      <c r="I331" s="800"/>
      <c r="J331" s="792" t="str">
        <f>IF(ISBLANK(HLOOKUP(CaseName,CaseData,MATCH($G331,cases!$G$4:$G$2494,0),FALSE)),"",HLOOKUP(CaseName,CaseData,MATCH($G331,cases!$G$4:$G$2494,0),FALSE))</f>
        <v/>
      </c>
      <c r="K331" s="524">
        <f>(1-L332)^(1/3)</f>
        <v>0.84343266530174932</v>
      </c>
      <c r="L331" s="794">
        <f t="shared" si="19"/>
        <v>0.84343266530174932</v>
      </c>
      <c r="M331" s="796" t="s">
        <v>291</v>
      </c>
      <c r="N331" s="797"/>
      <c r="O331" s="799"/>
      <c r="P331" s="797" t="s">
        <v>1452</v>
      </c>
    </row>
    <row r="332" spans="1:16" ht="12.75" customHeight="1" x14ac:dyDescent="0.3">
      <c r="A332" s="797"/>
      <c r="B332" s="797"/>
      <c r="C332" s="797"/>
      <c r="D332" s="797"/>
      <c r="E332" s="797"/>
      <c r="F332" s="797" t="s">
        <v>1501</v>
      </c>
      <c r="G332" s="797" t="s">
        <v>1518</v>
      </c>
      <c r="H332" s="796" t="s">
        <v>1463</v>
      </c>
      <c r="I332" s="800"/>
      <c r="J332" s="792" t="str">
        <f>IF(ISBLANK(HLOOKUP(CaseName,CaseData,MATCH($G332,cases!$G$4:$G$2494,0),FALSE)),"",HLOOKUP(CaseName,CaseData,MATCH($G332,cases!$G$4:$G$2494,0),FALSE))</f>
        <v/>
      </c>
      <c r="K332" s="831">
        <f>1-L41</f>
        <v>0.39999999999999991</v>
      </c>
      <c r="L332" s="794">
        <f t="shared" si="19"/>
        <v>0.39999999999999991</v>
      </c>
      <c r="M332" s="796" t="s">
        <v>1463</v>
      </c>
      <c r="N332" s="797" t="s">
        <v>1519</v>
      </c>
      <c r="O332" s="799"/>
      <c r="P332" s="797"/>
    </row>
    <row r="333" spans="1:16" ht="12.75" customHeight="1" x14ac:dyDescent="0.3">
      <c r="A333" s="797"/>
      <c r="B333" s="797"/>
      <c r="C333" s="797" t="s">
        <v>1465</v>
      </c>
      <c r="D333" s="797"/>
      <c r="E333" s="797"/>
      <c r="F333" s="797"/>
      <c r="G333" s="796" t="s">
        <v>1520</v>
      </c>
      <c r="H333" s="796" t="s">
        <v>291</v>
      </c>
      <c r="I333" s="800"/>
      <c r="J333" s="792" t="str">
        <f>IF(ISBLANK(HLOOKUP(CaseName,CaseData,MATCH($G333,cases!$G$4:$G$2494,0),FALSE)),"",HLOOKUP(CaseName,CaseData,MATCH($G333,cases!$G$4:$G$2494,0),FALSE))</f>
        <v/>
      </c>
      <c r="K333" s="831">
        <f>0.55*L335^1.55*L336^-0.125*L337^0.125</f>
        <v>1.4099767714425791E-7</v>
      </c>
      <c r="L333" s="794">
        <f t="shared" si="19"/>
        <v>1.4099767714425791E-7</v>
      </c>
      <c r="M333" s="796" t="s">
        <v>291</v>
      </c>
      <c r="N333" s="797"/>
      <c r="O333" s="799"/>
      <c r="P333" s="797" t="s">
        <v>1452</v>
      </c>
    </row>
    <row r="334" spans="1:16" ht="12.75" customHeight="1" x14ac:dyDescent="0.3">
      <c r="A334" s="797"/>
      <c r="B334" s="797"/>
      <c r="C334" s="797" t="s">
        <v>1467</v>
      </c>
      <c r="D334" s="797"/>
      <c r="E334" s="797"/>
      <c r="F334" s="797"/>
      <c r="G334" s="796" t="s">
        <v>1521</v>
      </c>
      <c r="H334" s="796" t="s">
        <v>291</v>
      </c>
      <c r="I334" s="800"/>
      <c r="J334" s="792" t="str">
        <f>IF(ISBLANK(HLOOKUP(CaseName,CaseData,MATCH($G334,cases!$G$4:$G$2494,0),FALSE)),"",HLOOKUP(CaseName,CaseData,MATCH($G334,cases!$G$4:$G$2494,0),FALSE))</f>
        <v/>
      </c>
      <c r="K334" s="831">
        <f>0.22*L335^-0.24*L338^1.11*L337^0.053</f>
        <v>6.0549204186767489E-5</v>
      </c>
      <c r="L334" s="794">
        <f t="shared" si="19"/>
        <v>6.0549204186767489E-5</v>
      </c>
      <c r="M334" s="796" t="s">
        <v>291</v>
      </c>
      <c r="N334" s="797"/>
      <c r="O334" s="799"/>
      <c r="P334" s="797" t="s">
        <v>1452</v>
      </c>
    </row>
    <row r="335" spans="1:16" ht="12.75" customHeight="1" x14ac:dyDescent="0.3">
      <c r="A335" s="797"/>
      <c r="B335" s="797"/>
      <c r="C335" s="797"/>
      <c r="D335" s="797" t="s">
        <v>1471</v>
      </c>
      <c r="E335" s="797"/>
      <c r="F335" s="797"/>
      <c r="G335" s="797" t="s">
        <v>1522</v>
      </c>
      <c r="H335" s="796" t="s">
        <v>1473</v>
      </c>
      <c r="I335" s="800"/>
      <c r="J335" s="792" t="str">
        <f>IF(ISBLANK(HLOOKUP(CaseName,CaseData,MATCH($G335,cases!$G$4:$G$2494,0),FALSE)),"",HLOOKUP(CaseName,CaseData,MATCH($G335,cases!$G$4:$G$2494,0),FALSE))</f>
        <v/>
      </c>
      <c r="K335" s="524">
        <f>RadS/RadFP.s</f>
        <v>7.8125000000000002E-5</v>
      </c>
      <c r="L335" s="794">
        <f t="shared" si="19"/>
        <v>7.8125000000000002E-5</v>
      </c>
      <c r="M335" s="796" t="s">
        <v>1473</v>
      </c>
      <c r="N335" s="797"/>
      <c r="O335" s="799"/>
      <c r="P335" s="797" t="s">
        <v>1452</v>
      </c>
    </row>
    <row r="336" spans="1:16" ht="12.75" customHeight="1" x14ac:dyDescent="0.3">
      <c r="A336" s="797"/>
      <c r="B336" s="797"/>
      <c r="C336" s="797"/>
      <c r="D336" s="797" t="s">
        <v>1474</v>
      </c>
      <c r="E336" s="797"/>
      <c r="F336" s="797"/>
      <c r="G336" s="797" t="s">
        <v>1523</v>
      </c>
      <c r="H336" s="796" t="s">
        <v>291</v>
      </c>
      <c r="I336" s="800"/>
      <c r="J336" s="792" t="str">
        <f>IF(ISBLANK(HLOOKUP(CaseName,CaseData,MATCH($G336,cases!$G$4:$G$2494,0),FALSE)),"",HLOOKUP(CaseName,CaseData,MATCH($G336,cases!$G$4:$G$2494,0),FALSE))</f>
        <v/>
      </c>
      <c r="K336" s="524">
        <f>(L327*2*RadFP.s)/(DiffS.wR)</f>
        <v>110.59187966851262</v>
      </c>
      <c r="L336" s="794">
        <f t="shared" si="19"/>
        <v>110.59187966851262</v>
      </c>
      <c r="M336" s="796" t="s">
        <v>291</v>
      </c>
      <c r="N336" s="797"/>
      <c r="O336" s="799"/>
      <c r="P336" s="797" t="s">
        <v>1452</v>
      </c>
    </row>
    <row r="337" spans="1:16" ht="12.75" customHeight="1" x14ac:dyDescent="0.3">
      <c r="A337" s="797"/>
      <c r="B337" s="797"/>
      <c r="C337" s="797"/>
      <c r="D337" s="797" t="s">
        <v>1469</v>
      </c>
      <c r="E337" s="797"/>
      <c r="F337" s="797"/>
      <c r="G337" s="797" t="s">
        <v>1524</v>
      </c>
      <c r="H337" s="796" t="s">
        <v>291</v>
      </c>
      <c r="I337" s="800"/>
      <c r="J337" s="792" t="str">
        <f>IF(ISBLANK(HLOOKUP(CaseName,CaseData,MATCH($G337,cases!$G$4:$G$2494,0),FALSE)),"",HLOOKUP(CaseName,CaseData,MATCH($G337,cases!$G$4:$G$2494,0),FALSE))</f>
        <v/>
      </c>
      <c r="K337" s="524">
        <f>AHamakerSP.w/(kboltz*TEMP.R)</f>
        <v>1.7535615368506079</v>
      </c>
      <c r="L337" s="794">
        <f t="shared" si="19"/>
        <v>1.7535615368506079</v>
      </c>
      <c r="M337" s="796" t="s">
        <v>291</v>
      </c>
      <c r="N337" s="797"/>
      <c r="O337" s="799"/>
      <c r="P337" s="797" t="s">
        <v>1452</v>
      </c>
    </row>
    <row r="338" spans="1:16" ht="12.75" customHeight="1" x14ac:dyDescent="0.3">
      <c r="A338" s="797"/>
      <c r="B338" s="797"/>
      <c r="C338" s="797"/>
      <c r="D338" s="797" t="s">
        <v>1476</v>
      </c>
      <c r="E338" s="797"/>
      <c r="F338" s="797"/>
      <c r="G338" s="796" t="s">
        <v>1525</v>
      </c>
      <c r="H338" s="796" t="s">
        <v>291</v>
      </c>
      <c r="I338" s="800"/>
      <c r="J338" s="792" t="str">
        <f>IF(ISBLANK(HLOOKUP(CaseName,CaseData,MATCH($G338,cases!$G$4:$G$2494,0),FALSE)),"",HLOOKUP(CaseName,CaseData,MATCH($G338,cases!$G$4:$G$2494,0),FALSE))</f>
        <v/>
      </c>
      <c r="K338" s="524">
        <f>(2*RadS^2*(ABS(RhoS-Rho.w))*9.81)/(9*DYNVISC.w*L327)</f>
        <v>7.8129962297626983E-5</v>
      </c>
      <c r="L338" s="794">
        <f t="shared" si="19"/>
        <v>7.8129962297626983E-5</v>
      </c>
      <c r="M338" s="796" t="s">
        <v>291</v>
      </c>
      <c r="N338" s="797"/>
      <c r="O338" s="799"/>
      <c r="P338" s="797" t="s">
        <v>1452</v>
      </c>
    </row>
    <row r="339" spans="1:16" ht="12.75" customHeight="1" x14ac:dyDescent="0.3">
      <c r="A339" s="797" t="s">
        <v>1526</v>
      </c>
      <c r="B339" s="797"/>
      <c r="C339" s="797"/>
      <c r="D339" s="797"/>
      <c r="E339" s="797"/>
      <c r="F339" s="797"/>
      <c r="G339" s="796" t="s">
        <v>1527</v>
      </c>
      <c r="H339" s="796" t="s">
        <v>335</v>
      </c>
      <c r="I339" s="800"/>
      <c r="J339" s="792" t="str">
        <f>IF(ISBLANK(HLOOKUP(CaseName,CaseData,MATCH($G339,cases!$G$4:$G$2494,0),FALSE)),"",HLOOKUP(CaseName,CaseData,MATCH($G339,cases!$G$4:$G$2494,0),FALSE))</f>
        <v/>
      </c>
      <c r="K339" s="831">
        <f>L340*L341*L342*AtefSP.s3</f>
        <v>4.8899399121108134E-3</v>
      </c>
      <c r="L339" s="794">
        <f t="shared" si="19"/>
        <v>4.8899399121108134E-3</v>
      </c>
      <c r="M339" s="796" t="s">
        <v>335</v>
      </c>
      <c r="N339" s="797"/>
      <c r="O339" s="799"/>
      <c r="P339" s="797"/>
    </row>
    <row r="340" spans="1:16" ht="12.75" customHeight="1" x14ac:dyDescent="0.3">
      <c r="A340" s="797"/>
      <c r="B340" s="797" t="s">
        <v>1492</v>
      </c>
      <c r="C340" s="797"/>
      <c r="D340" s="797"/>
      <c r="E340" s="797"/>
      <c r="F340" s="797"/>
      <c r="G340" s="796" t="s">
        <v>1528</v>
      </c>
      <c r="H340" s="796" t="s">
        <v>1449</v>
      </c>
      <c r="I340" s="800"/>
      <c r="J340" s="792" t="str">
        <f>IF(ISBLANK(HLOOKUP(CaseName,CaseData,MATCH($G340,cases!$G$4:$G$2494,0),FALSE)),"",HLOOKUP(CaseName,CaseData,MATCH($G340,cases!$G$4:$G$2494,0),FALSE))</f>
        <v/>
      </c>
      <c r="K340" s="831">
        <f>(3/2)*(1-L346)/(2*RadFP.s*L346)</f>
        <v>8789.0625000000036</v>
      </c>
      <c r="L340" s="794">
        <f t="shared" si="19"/>
        <v>8789.0625000000036</v>
      </c>
      <c r="M340" s="796" t="s">
        <v>1449</v>
      </c>
      <c r="N340" s="797"/>
      <c r="O340" s="799"/>
      <c r="P340" s="797"/>
    </row>
    <row r="341" spans="1:16" ht="12.75" customHeight="1" x14ac:dyDescent="0.3">
      <c r="A341" s="797"/>
      <c r="B341" s="797" t="s">
        <v>1494</v>
      </c>
      <c r="C341" s="797"/>
      <c r="D341" s="797"/>
      <c r="E341" s="797"/>
      <c r="F341" s="797"/>
      <c r="G341" s="797" t="s">
        <v>1529</v>
      </c>
      <c r="H341" s="796" t="s">
        <v>866</v>
      </c>
      <c r="I341" s="800"/>
      <c r="J341" s="792" t="str">
        <f>IF(ISBLANK(HLOOKUP(CaseName,CaseData,MATCH($G341,cases!$G$4:$G$2494,0),FALSE)),"",HLOOKUP(CaseName,CaseData,MATCH($G341,cases!$G$4:$G$2494,0),FALSE))</f>
        <v/>
      </c>
      <c r="K341" s="524">
        <f>9*10^-6</f>
        <v>9.0000000000000002E-6</v>
      </c>
      <c r="L341" s="794">
        <f t="shared" si="19"/>
        <v>9.0000000000000002E-6</v>
      </c>
      <c r="M341" s="796" t="s">
        <v>866</v>
      </c>
      <c r="N341" s="797"/>
      <c r="O341" s="799"/>
      <c r="P341" s="797" t="s">
        <v>1452</v>
      </c>
    </row>
    <row r="342" spans="1:16" ht="12.75" customHeight="1" x14ac:dyDescent="0.3">
      <c r="A342" s="797"/>
      <c r="B342" s="797" t="s">
        <v>1453</v>
      </c>
      <c r="C342" s="797"/>
      <c r="D342" s="797"/>
      <c r="E342" s="797"/>
      <c r="F342" s="797"/>
      <c r="G342" s="796" t="s">
        <v>1530</v>
      </c>
      <c r="H342" s="796" t="s">
        <v>291</v>
      </c>
      <c r="I342" s="800"/>
      <c r="J342" s="792" t="str">
        <f>IF(ISBLANK(HLOOKUP(CaseName,CaseData,MATCH($G342,cases!$G$4:$G$2494,0),FALSE)),"",HLOOKUP(CaseName,CaseData,MATCH($G342,cases!$G$4:$G$2494,0),FALSE))</f>
        <v/>
      </c>
      <c r="K342" s="831">
        <f>L343+L347+L348</f>
        <v>0.61818499629647783</v>
      </c>
      <c r="L342" s="794">
        <f t="shared" si="19"/>
        <v>0.61818499629647783</v>
      </c>
      <c r="M342" s="796" t="s">
        <v>291</v>
      </c>
      <c r="N342" s="797"/>
      <c r="O342" s="799"/>
      <c r="P342" s="797" t="s">
        <v>1452</v>
      </c>
    </row>
    <row r="343" spans="1:16" ht="12.75" customHeight="1" x14ac:dyDescent="0.3">
      <c r="A343" s="797"/>
      <c r="B343" s="797"/>
      <c r="C343" s="797" t="s">
        <v>1455</v>
      </c>
      <c r="D343" s="797"/>
      <c r="E343" s="797"/>
      <c r="F343" s="797"/>
      <c r="G343" s="796" t="s">
        <v>1531</v>
      </c>
      <c r="H343" s="796" t="s">
        <v>291</v>
      </c>
      <c r="I343" s="800"/>
      <c r="J343" s="792" t="str">
        <f>IF(ISBLANK(HLOOKUP(CaseName,CaseData,MATCH($G343,cases!$G$4:$G$2494,0),FALSE)),"",HLOOKUP(CaseName,CaseData,MATCH($G343,cases!$G$4:$G$2494,0),FALSE))</f>
        <v/>
      </c>
      <c r="K343" s="831">
        <f>2.4*L344^(1/3)*L349^(-0.081)*L350^-0.715*L351^0.053</f>
        <v>0.618124306094614</v>
      </c>
      <c r="L343" s="794">
        <f t="shared" si="19"/>
        <v>0.618124306094614</v>
      </c>
      <c r="M343" s="796" t="s">
        <v>291</v>
      </c>
      <c r="N343" s="797"/>
      <c r="O343" s="799"/>
      <c r="P343" s="797" t="s">
        <v>1452</v>
      </c>
    </row>
    <row r="344" spans="1:16" ht="12.75" customHeight="1" x14ac:dyDescent="0.3">
      <c r="A344" s="797"/>
      <c r="B344" s="797"/>
      <c r="C344" s="797"/>
      <c r="D344" s="797" t="s">
        <v>1457</v>
      </c>
      <c r="E344" s="797"/>
      <c r="F344" s="797"/>
      <c r="G344" s="797" t="s">
        <v>1532</v>
      </c>
      <c r="H344" s="796" t="s">
        <v>291</v>
      </c>
      <c r="I344" s="800"/>
      <c r="J344" s="792" t="str">
        <f>IF(ISBLANK(HLOOKUP(CaseName,CaseData,MATCH($G344,cases!$G$4:$G$2494,0),FALSE)),"",HLOOKUP(CaseName,CaseData,MATCH($G344,cases!$G$4:$G$2494,0),FALSE))</f>
        <v/>
      </c>
      <c r="K344" s="524">
        <f>(2*(1-L345^5))/(2-3*L345+3*L345^5-2*L345^6)</f>
        <v>37.979096123930859</v>
      </c>
      <c r="L344" s="794">
        <f t="shared" si="19"/>
        <v>37.979096123930859</v>
      </c>
      <c r="M344" s="796" t="s">
        <v>291</v>
      </c>
      <c r="N344" s="797"/>
      <c r="O344" s="799"/>
      <c r="P344" s="797" t="s">
        <v>1452</v>
      </c>
    </row>
    <row r="345" spans="1:16" ht="12.75" customHeight="1" x14ac:dyDescent="0.3">
      <c r="A345" s="797"/>
      <c r="B345" s="797"/>
      <c r="C345" s="797"/>
      <c r="D345" s="797"/>
      <c r="E345" s="797" t="s">
        <v>1499</v>
      </c>
      <c r="F345" s="797"/>
      <c r="G345" s="797" t="s">
        <v>1533</v>
      </c>
      <c r="H345" s="796" t="s">
        <v>291</v>
      </c>
      <c r="I345" s="800"/>
      <c r="J345" s="792" t="str">
        <f>IF(ISBLANK(HLOOKUP(CaseName,CaseData,MATCH($G345,cases!$G$4:$G$2494,0),FALSE)),"",HLOOKUP(CaseName,CaseData,MATCH($G345,cases!$G$4:$G$2494,0),FALSE))</f>
        <v/>
      </c>
      <c r="K345" s="524">
        <f>(1-L346)^(1/3)</f>
        <v>0.84343266530174932</v>
      </c>
      <c r="L345" s="794">
        <f t="shared" si="19"/>
        <v>0.84343266530174932</v>
      </c>
      <c r="M345" s="796" t="s">
        <v>291</v>
      </c>
      <c r="N345" s="797"/>
      <c r="O345" s="799"/>
      <c r="P345" s="797" t="s">
        <v>1452</v>
      </c>
    </row>
    <row r="346" spans="1:16" ht="12.75" customHeight="1" x14ac:dyDescent="0.3">
      <c r="A346" s="797"/>
      <c r="B346" s="797"/>
      <c r="C346" s="797"/>
      <c r="D346" s="797"/>
      <c r="E346" s="797"/>
      <c r="F346" s="797" t="s">
        <v>1501</v>
      </c>
      <c r="G346" s="797" t="s">
        <v>1534</v>
      </c>
      <c r="H346" s="796" t="s">
        <v>1463</v>
      </c>
      <c r="I346" s="800"/>
      <c r="J346" s="792" t="str">
        <f>IF(ISBLANK(HLOOKUP(CaseName,CaseData,MATCH($G346,cases!$G$4:$G$2494,0),FALSE)),"",HLOOKUP(CaseName,CaseData,MATCH($G346,cases!$G$4:$G$2494,0),FALSE))</f>
        <v/>
      </c>
      <c r="K346" s="831">
        <f>1-L44</f>
        <v>0.39999999999999991</v>
      </c>
      <c r="L346" s="794">
        <f t="shared" si="19"/>
        <v>0.39999999999999991</v>
      </c>
      <c r="M346" s="796" t="s">
        <v>1463</v>
      </c>
      <c r="N346" s="797" t="s">
        <v>1519</v>
      </c>
      <c r="O346" s="799"/>
      <c r="P346" s="797"/>
    </row>
    <row r="347" spans="1:16" ht="12.75" customHeight="1" x14ac:dyDescent="0.3">
      <c r="A347" s="797"/>
      <c r="B347" s="797"/>
      <c r="C347" s="797" t="s">
        <v>1465</v>
      </c>
      <c r="D347" s="797"/>
      <c r="E347" s="797"/>
      <c r="F347" s="797"/>
      <c r="G347" s="796" t="s">
        <v>1535</v>
      </c>
      <c r="H347" s="796" t="s">
        <v>291</v>
      </c>
      <c r="I347" s="800"/>
      <c r="J347" s="792" t="str">
        <f>IF(ISBLANK(HLOOKUP(CaseName,CaseData,MATCH($G347,cases!$G$4:$G$2494,0),FALSE)),"",HLOOKUP(CaseName,CaseData,MATCH($G347,cases!$G$4:$G$2494,0),FALSE))</f>
        <v/>
      </c>
      <c r="K347" s="831">
        <f>0.55*L349^1.55*L350^-0.125*L351^0.125</f>
        <v>1.4099767714425791E-7</v>
      </c>
      <c r="L347" s="794">
        <f t="shared" si="19"/>
        <v>1.4099767714425791E-7</v>
      </c>
      <c r="M347" s="796" t="s">
        <v>291</v>
      </c>
      <c r="N347" s="797"/>
      <c r="O347" s="799"/>
      <c r="P347" s="797" t="s">
        <v>1452</v>
      </c>
    </row>
    <row r="348" spans="1:16" ht="12.75" customHeight="1" x14ac:dyDescent="0.3">
      <c r="A348" s="797"/>
      <c r="B348" s="797"/>
      <c r="C348" s="797" t="s">
        <v>1467</v>
      </c>
      <c r="D348" s="797"/>
      <c r="E348" s="797"/>
      <c r="F348" s="797"/>
      <c r="G348" s="796" t="s">
        <v>1536</v>
      </c>
      <c r="H348" s="796" t="s">
        <v>291</v>
      </c>
      <c r="I348" s="800"/>
      <c r="J348" s="792" t="str">
        <f>IF(ISBLANK(HLOOKUP(CaseName,CaseData,MATCH($G348,cases!$G$4:$G$2494,0),FALSE)),"",HLOOKUP(CaseName,CaseData,MATCH($G348,cases!$G$4:$G$2494,0),FALSE))</f>
        <v/>
      </c>
      <c r="K348" s="831">
        <f>0.22*L349^-0.24*L352^1.11*L351^0.053</f>
        <v>6.0549204186767489E-5</v>
      </c>
      <c r="L348" s="794">
        <f t="shared" si="19"/>
        <v>6.0549204186767489E-5</v>
      </c>
      <c r="M348" s="796" t="s">
        <v>291</v>
      </c>
      <c r="N348" s="797"/>
      <c r="O348" s="799"/>
      <c r="P348" s="797" t="s">
        <v>1452</v>
      </c>
    </row>
    <row r="349" spans="1:16" ht="12.75" customHeight="1" x14ac:dyDescent="0.3">
      <c r="A349" s="797"/>
      <c r="B349" s="797"/>
      <c r="C349" s="797"/>
      <c r="D349" s="797" t="s">
        <v>1471</v>
      </c>
      <c r="E349" s="797"/>
      <c r="F349" s="797"/>
      <c r="G349" s="797" t="s">
        <v>1537</v>
      </c>
      <c r="H349" s="796" t="s">
        <v>1473</v>
      </c>
      <c r="I349" s="800"/>
      <c r="J349" s="792" t="str">
        <f>IF(ISBLANK(HLOOKUP(CaseName,CaseData,MATCH($G349,cases!$G$4:$G$2494,0),FALSE)),"",HLOOKUP(CaseName,CaseData,MATCH($G349,cases!$G$4:$G$2494,0),FALSE))</f>
        <v/>
      </c>
      <c r="K349" s="524">
        <f>RadS/RadFP.s</f>
        <v>7.8125000000000002E-5</v>
      </c>
      <c r="L349" s="794">
        <f t="shared" si="19"/>
        <v>7.8125000000000002E-5</v>
      </c>
      <c r="M349" s="796" t="s">
        <v>1473</v>
      </c>
      <c r="N349" s="797"/>
      <c r="O349" s="799"/>
      <c r="P349" s="797" t="s">
        <v>1452</v>
      </c>
    </row>
    <row r="350" spans="1:16" ht="12.75" customHeight="1" x14ac:dyDescent="0.3">
      <c r="A350" s="797"/>
      <c r="B350" s="797"/>
      <c r="C350" s="797"/>
      <c r="D350" s="797" t="s">
        <v>1474</v>
      </c>
      <c r="E350" s="797"/>
      <c r="F350" s="797"/>
      <c r="G350" s="797" t="s">
        <v>1538</v>
      </c>
      <c r="H350" s="796" t="s">
        <v>291</v>
      </c>
      <c r="I350" s="800"/>
      <c r="J350" s="792" t="str">
        <f>IF(ISBLANK(HLOOKUP(CaseName,CaseData,MATCH($G350,cases!$G$4:$G$2494,0),FALSE)),"",HLOOKUP(CaseName,CaseData,MATCH($G350,cases!$G$4:$G$2494,0),FALSE))</f>
        <v/>
      </c>
      <c r="K350" s="524">
        <f>(L341*2*RadFP.s)/(DiffS.wR)</f>
        <v>110.59187966851262</v>
      </c>
      <c r="L350" s="794">
        <f t="shared" si="19"/>
        <v>110.59187966851262</v>
      </c>
      <c r="M350" s="796" t="s">
        <v>291</v>
      </c>
      <c r="N350" s="797"/>
      <c r="O350" s="799"/>
      <c r="P350" s="797" t="s">
        <v>1452</v>
      </c>
    </row>
    <row r="351" spans="1:16" ht="12.75" customHeight="1" x14ac:dyDescent="0.3">
      <c r="A351" s="797"/>
      <c r="B351" s="797"/>
      <c r="C351" s="797"/>
      <c r="D351" s="797" t="s">
        <v>1469</v>
      </c>
      <c r="E351" s="797"/>
      <c r="F351" s="797"/>
      <c r="G351" s="797" t="s">
        <v>1539</v>
      </c>
      <c r="H351" s="796" t="s">
        <v>291</v>
      </c>
      <c r="I351" s="800"/>
      <c r="J351" s="792" t="str">
        <f>IF(ISBLANK(HLOOKUP(CaseName,CaseData,MATCH($G351,cases!$G$4:$G$2494,0),FALSE)),"",HLOOKUP(CaseName,CaseData,MATCH($G351,cases!$G$4:$G$2494,0),FALSE))</f>
        <v/>
      </c>
      <c r="K351" s="524">
        <f>AHamakerSP.w/(kboltz*TEMP.R)</f>
        <v>1.7535615368506079</v>
      </c>
      <c r="L351" s="794">
        <f t="shared" si="19"/>
        <v>1.7535615368506079</v>
      </c>
      <c r="M351" s="796" t="s">
        <v>291</v>
      </c>
      <c r="N351" s="797"/>
      <c r="O351" s="799"/>
      <c r="P351" s="797" t="s">
        <v>1452</v>
      </c>
    </row>
    <row r="352" spans="1:16" ht="12.75" customHeight="1" x14ac:dyDescent="0.3">
      <c r="A352" s="797"/>
      <c r="B352" s="797"/>
      <c r="C352" s="797"/>
      <c r="D352" s="797" t="s">
        <v>1476</v>
      </c>
      <c r="E352" s="797"/>
      <c r="F352" s="797"/>
      <c r="G352" s="796" t="s">
        <v>1540</v>
      </c>
      <c r="H352" s="796" t="s">
        <v>291</v>
      </c>
      <c r="I352" s="800"/>
      <c r="J352" s="792" t="str">
        <f>IF(ISBLANK(HLOOKUP(CaseName,CaseData,MATCH($G352,cases!$G$4:$G$2494,0),FALSE)),"",HLOOKUP(CaseName,CaseData,MATCH($G352,cases!$G$4:$G$2494,0),FALSE))</f>
        <v/>
      </c>
      <c r="K352" s="524">
        <f>(2*RadS^2*(ABS(RhoS-Rho.w))*9.81)/(9*DYNVISC.w*L341)</f>
        <v>7.8129962297626983E-5</v>
      </c>
      <c r="L352" s="794">
        <f t="shared" si="19"/>
        <v>7.8129962297626983E-5</v>
      </c>
      <c r="M352" s="796" t="s">
        <v>291</v>
      </c>
      <c r="N352" s="797"/>
      <c r="O352" s="799"/>
      <c r="P352" s="797" t="s">
        <v>1452</v>
      </c>
    </row>
    <row r="353" spans="1:16" ht="12.75" customHeight="1" x14ac:dyDescent="0.3">
      <c r="I353" s="780"/>
      <c r="J353" s="835"/>
    </row>
    <row r="354" spans="1:16" s="837" customFormat="1" ht="12.75" customHeight="1" x14ac:dyDescent="0.3">
      <c r="A354" s="836" t="s">
        <v>1541</v>
      </c>
      <c r="G354" s="836" t="s">
        <v>258</v>
      </c>
      <c r="H354" s="836" t="s">
        <v>274</v>
      </c>
      <c r="I354" s="838" t="s">
        <v>259</v>
      </c>
      <c r="J354" s="805"/>
      <c r="K354" s="838" t="s">
        <v>260</v>
      </c>
      <c r="L354" s="839" t="s">
        <v>261</v>
      </c>
      <c r="N354" s="836" t="s">
        <v>262</v>
      </c>
      <c r="O354" s="840" t="s">
        <v>1326</v>
      </c>
      <c r="P354" s="837" t="s">
        <v>1327</v>
      </c>
    </row>
    <row r="355" spans="1:16" ht="12.75" customHeight="1" x14ac:dyDescent="0.3">
      <c r="A355" s="778" t="s">
        <v>1542</v>
      </c>
      <c r="I355" s="780"/>
      <c r="J355" s="805"/>
    </row>
    <row r="356" spans="1:16" ht="12.75" customHeight="1" x14ac:dyDescent="0.3">
      <c r="A356" s="797"/>
      <c r="B356" s="797" t="s">
        <v>1543</v>
      </c>
      <c r="C356" s="797"/>
      <c r="D356" s="797"/>
      <c r="E356" s="797"/>
      <c r="F356" s="797"/>
      <c r="G356" s="796" t="s">
        <v>1544</v>
      </c>
      <c r="H356" s="796" t="s">
        <v>813</v>
      </c>
      <c r="I356" s="800"/>
      <c r="J356" s="792" t="str">
        <f>IF(ISBLANK(HLOOKUP(CaseName,CaseData,MATCH($G356,cases!$G$4:$G$2494,0),FALSE)),"",HLOOKUP(CaseName,CaseData,MATCH($G356,cases!$G$4:$G$2494,0),FALSE))</f>
        <v/>
      </c>
      <c r="K356" s="831">
        <f>((0.7*(60*60*1000*L358)^0.25)/2)/1000</f>
        <v>1.8608721138940217E-4</v>
      </c>
      <c r="L356" s="794">
        <f t="shared" ref="L356:L362" si="20">IF(ISBLANK(I356),IF(ISNUMBER(J356)=FALSE,K356,J356),I356)</f>
        <v>1.8608721138940217E-4</v>
      </c>
      <c r="M356" s="796" t="s">
        <v>813</v>
      </c>
      <c r="N356" s="797"/>
      <c r="O356" s="799"/>
      <c r="P356" s="797" t="s">
        <v>1545</v>
      </c>
    </row>
    <row r="357" spans="1:16" ht="12.75" customHeight="1" x14ac:dyDescent="0.3">
      <c r="A357" s="797"/>
      <c r="B357" s="797" t="s">
        <v>1546</v>
      </c>
      <c r="C357" s="797"/>
      <c r="D357" s="797"/>
      <c r="E357" s="797"/>
      <c r="F357" s="797"/>
      <c r="G357" s="796" t="s">
        <v>1547</v>
      </c>
      <c r="H357" s="796" t="s">
        <v>291</v>
      </c>
      <c r="I357" s="800"/>
      <c r="J357" s="792" t="str">
        <f>IF(ISBLANK(HLOOKUP(CaseName,CaseData,MATCH($G357,cases!$G$4:$G$2494,0),FALSE)),"",HLOOKUP(CaseName,CaseData,MATCH($G357,cases!$G$4:$G$2494,0),FALSE))</f>
        <v/>
      </c>
      <c r="K357" s="831">
        <v>1</v>
      </c>
      <c r="L357" s="794">
        <f t="shared" si="20"/>
        <v>1</v>
      </c>
      <c r="M357" s="796" t="s">
        <v>291</v>
      </c>
      <c r="N357" s="841" t="s">
        <v>1548</v>
      </c>
      <c r="O357" s="799"/>
      <c r="P357" s="797"/>
    </row>
    <row r="358" spans="1:16" ht="12.75" customHeight="1" x14ac:dyDescent="0.3">
      <c r="A358" s="797"/>
      <c r="B358" s="797" t="s">
        <v>1549</v>
      </c>
      <c r="C358" s="797"/>
      <c r="D358" s="797"/>
      <c r="E358" s="797"/>
      <c r="F358" s="797"/>
      <c r="G358" s="796" t="s">
        <v>1550</v>
      </c>
      <c r="H358" s="796" t="s">
        <v>866</v>
      </c>
      <c r="I358" s="800"/>
      <c r="J358" s="792" t="str">
        <f>IF(ISBLANK(HLOOKUP(CaseName,CaseData,MATCH($G358,cases!$G$4:$G$2494,0),FALSE)),"",HLOOKUP(CaseName,CaseData,MATCH($G358,cases!$G$4:$G$2494,0),FALSE))</f>
        <v/>
      </c>
      <c r="K358" s="831">
        <f>RAINrate.R/L357</f>
        <v>2.219685438863521E-8</v>
      </c>
      <c r="L358" s="794">
        <f t="shared" si="20"/>
        <v>2.219685438863521E-8</v>
      </c>
      <c r="M358" s="796" t="s">
        <v>866</v>
      </c>
      <c r="N358" s="797" t="s">
        <v>1551</v>
      </c>
      <c r="O358" s="799"/>
      <c r="P358" s="797" t="s">
        <v>1552</v>
      </c>
    </row>
    <row r="359" spans="1:16" ht="12.75" customHeight="1" x14ac:dyDescent="0.3">
      <c r="A359" s="797"/>
      <c r="B359" s="797" t="s">
        <v>1553</v>
      </c>
      <c r="C359" s="797"/>
      <c r="D359" s="797"/>
      <c r="E359" s="797"/>
      <c r="F359" s="797"/>
      <c r="G359" s="796" t="s">
        <v>1554</v>
      </c>
      <c r="H359" s="796" t="s">
        <v>866</v>
      </c>
      <c r="I359" s="800"/>
      <c r="J359" s="792" t="str">
        <f>IF(ISBLANK(HLOOKUP(CaseName,CaseData,MATCH($G359,cases!$G$4:$G$2494,0),FALSE)),"",HLOOKUP(CaseName,CaseData,MATCH($G359,cases!$G$4:$G$2494,0),FALSE))</f>
        <v/>
      </c>
      <c r="K359" s="831">
        <f>((2*L356)^2*(Rho.w-input!L331)*g*L360)/(18*DYNVISC.a)</f>
        <v>4.1572688513602225</v>
      </c>
      <c r="L359" s="794">
        <f t="shared" si="20"/>
        <v>4.1572688513602225</v>
      </c>
      <c r="M359" s="796" t="s">
        <v>866</v>
      </c>
      <c r="N359" s="797"/>
      <c r="O359" s="799"/>
      <c r="P359" s="797"/>
    </row>
    <row r="360" spans="1:16" ht="12.75" customHeight="1" x14ac:dyDescent="0.3">
      <c r="A360" s="797"/>
      <c r="B360" s="797" t="s">
        <v>1555</v>
      </c>
      <c r="C360" s="797"/>
      <c r="D360" s="797"/>
      <c r="E360" s="797"/>
      <c r="F360" s="797"/>
      <c r="G360" s="796" t="s">
        <v>1556</v>
      </c>
      <c r="H360" s="796" t="s">
        <v>291</v>
      </c>
      <c r="I360" s="800"/>
      <c r="J360" s="792" t="str">
        <f>IF(ISBLANK(HLOOKUP(CaseName,CaseData,MATCH($G360,cases!$G$4:$G$2494,0),FALSE)),"",HLOOKUP(CaseName,CaseData,MATCH($G360,cases!$G$4:$G$2494,0),FALSE))</f>
        <v/>
      </c>
      <c r="K360" s="831">
        <v>1</v>
      </c>
      <c r="L360" s="794">
        <f t="shared" si="20"/>
        <v>1</v>
      </c>
      <c r="M360" s="796" t="s">
        <v>291</v>
      </c>
      <c r="N360" s="797"/>
      <c r="O360" s="799"/>
      <c r="P360" s="797"/>
    </row>
    <row r="361" spans="1:16" ht="12.75" customHeight="1" x14ac:dyDescent="0.3">
      <c r="A361" s="797"/>
      <c r="B361" s="797" t="s">
        <v>1557</v>
      </c>
      <c r="C361" s="797"/>
      <c r="D361" s="797"/>
      <c r="E361" s="797"/>
      <c r="F361" s="797"/>
      <c r="G361" s="796" t="s">
        <v>1558</v>
      </c>
      <c r="H361" s="796" t="s">
        <v>291</v>
      </c>
      <c r="I361" s="800"/>
      <c r="J361" s="792" t="str">
        <f>IF(ISBLANK(HLOOKUP(CaseName,CaseData,MATCH($G361,cases!$G$4:$G$2494,0),FALSE)),"",HLOOKUP(CaseName,CaseData,MATCH($G361,cases!$G$4:$G$2494,0),FALSE))</f>
        <v/>
      </c>
      <c r="K361" s="831">
        <f>((1.2+(1/12)*LN(1+L362))/(1+LN(1+L362)))</f>
        <v>0.30769776051183378</v>
      </c>
      <c r="L361" s="794">
        <f t="shared" si="20"/>
        <v>0.30769776051183378</v>
      </c>
      <c r="M361" s="796" t="s">
        <v>291</v>
      </c>
      <c r="N361" s="797"/>
      <c r="O361" s="799"/>
      <c r="P361" s="797"/>
    </row>
    <row r="362" spans="1:16" ht="12.75" customHeight="1" x14ac:dyDescent="0.3">
      <c r="A362" s="797"/>
      <c r="B362" s="797" t="s">
        <v>1559</v>
      </c>
      <c r="C362" s="797"/>
      <c r="D362" s="797"/>
      <c r="E362" s="797"/>
      <c r="F362" s="797"/>
      <c r="G362" s="796" t="s">
        <v>1560</v>
      </c>
      <c r="H362" s="796" t="s">
        <v>291</v>
      </c>
      <c r="I362" s="842"/>
      <c r="J362" s="792" t="str">
        <f>IF(ISBLANK(HLOOKUP(CaseName,CaseData,MATCH($G362,cases!$G$4:$G$2494,0),FALSE)),"",HLOOKUP(CaseName,CaseData,MATCH($G362,cases!$G$4:$G$2494,0),FALSE))</f>
        <v/>
      </c>
      <c r="K362" s="831">
        <f>((2*L356)*L359*input!L331)/(2*DYNVISC.a)</f>
        <v>52.357892002398742</v>
      </c>
      <c r="L362" s="794">
        <f t="shared" si="20"/>
        <v>52.357892002398742</v>
      </c>
      <c r="M362" s="796" t="s">
        <v>291</v>
      </c>
      <c r="N362" s="797"/>
      <c r="O362" s="799"/>
      <c r="P362" s="797"/>
    </row>
    <row r="363" spans="1:16" s="837" customFormat="1" ht="12.75" customHeight="1" x14ac:dyDescent="0.3">
      <c r="A363" s="837" t="s">
        <v>1561</v>
      </c>
      <c r="I363" s="838"/>
      <c r="J363" s="805"/>
      <c r="K363" s="838"/>
      <c r="L363" s="843"/>
      <c r="O363" s="840"/>
    </row>
    <row r="364" spans="1:16" ht="12.75" customHeight="1" x14ac:dyDescent="0.3">
      <c r="A364" s="797"/>
      <c r="B364" s="797" t="s">
        <v>1562</v>
      </c>
      <c r="C364" s="797"/>
      <c r="D364" s="797"/>
      <c r="E364" s="797"/>
      <c r="F364" s="797"/>
      <c r="G364" s="797" t="s">
        <v>1563</v>
      </c>
      <c r="H364" s="797" t="s">
        <v>813</v>
      </c>
      <c r="I364" s="800"/>
      <c r="J364" s="792" t="str">
        <f>IF(ISBLANK(HLOOKUP(CaseName,CaseData,MATCH($G364,cases!$G$4:$G$2494,0),FALSE)),"",HLOOKUP(CaseName,CaseData,MATCH($G364,cases!$G$4:$G$2494,0),FALSE))</f>
        <v/>
      </c>
      <c r="K364" s="831">
        <f>(L366/((4/3)*PI()))^(1/3)</f>
        <v>4.5513903748867723E-8</v>
      </c>
      <c r="L364" s="794">
        <f t="shared" ref="L364:L395" si="21">IF(ISBLANK(I364),IF(ISNUMBER(J364)=FALSE,K364,J364),I364)</f>
        <v>4.5513903748867723E-8</v>
      </c>
      <c r="M364" s="797" t="s">
        <v>813</v>
      </c>
      <c r="N364" s="797"/>
      <c r="O364" s="799"/>
      <c r="P364" s="797"/>
    </row>
    <row r="365" spans="1:16" ht="12.75" customHeight="1" x14ac:dyDescent="0.3">
      <c r="A365" s="797"/>
      <c r="B365" s="797" t="s">
        <v>1564</v>
      </c>
      <c r="C365" s="797"/>
      <c r="D365" s="797"/>
      <c r="E365" s="797"/>
      <c r="F365" s="797"/>
      <c r="G365" s="797" t="s">
        <v>1565</v>
      </c>
      <c r="H365" s="797" t="s">
        <v>282</v>
      </c>
      <c r="I365" s="800"/>
      <c r="J365" s="792" t="str">
        <f>IF(ISBLANK(HLOOKUP(CaseName,CaseData,MATCH($G365,cases!$G$4:$G$2494,0),FALSE)),"",HLOOKUP(CaseName,CaseData,MATCH($G365,cases!$G$4:$G$2494,0),FALSE))</f>
        <v/>
      </c>
      <c r="K365" s="831">
        <f>(L367)/L366</f>
        <v>2019.7574509045692</v>
      </c>
      <c r="L365" s="794">
        <f t="shared" si="21"/>
        <v>2019.7574509045692</v>
      </c>
      <c r="M365" s="797" t="s">
        <v>282</v>
      </c>
      <c r="N365" s="797"/>
      <c r="O365" s="799"/>
      <c r="P365" s="797"/>
    </row>
    <row r="366" spans="1:16" ht="12.75" customHeight="1" x14ac:dyDescent="0.3">
      <c r="A366" s="797"/>
      <c r="B366" s="797"/>
      <c r="C366" s="797" t="s">
        <v>1566</v>
      </c>
      <c r="D366" s="797"/>
      <c r="E366" s="797"/>
      <c r="F366" s="797"/>
      <c r="G366" s="797" t="s">
        <v>1567</v>
      </c>
      <c r="H366" s="797" t="s">
        <v>857</v>
      </c>
      <c r="I366" s="800"/>
      <c r="J366" s="792" t="str">
        <f>IF(ISBLANK(HLOOKUP(CaseName,CaseData,MATCH($G366,cases!$G$4:$G$2494,0),FALSE)),"",HLOOKUP(CaseName,CaseData,MATCH($G366,cases!$G$4:$G$2494,0),FALSE))</f>
        <v/>
      </c>
      <c r="K366" s="831">
        <f>((input!L275*(SingleVolS+(((4/3)*PI()*(RadNuc)^3))))+(input!L276*(SingleVolS+(((4/3)*PI()*(RadAcc)^3)))))/(input!L275+input!L276)</f>
        <v>3.9493067684749707E-22</v>
      </c>
      <c r="L366" s="794">
        <f t="shared" si="21"/>
        <v>3.9493067684749707E-22</v>
      </c>
      <c r="M366" s="797" t="s">
        <v>857</v>
      </c>
      <c r="N366" s="797"/>
      <c r="O366" s="799"/>
      <c r="P366" s="797"/>
    </row>
    <row r="367" spans="1:16" ht="12.75" customHeight="1" x14ac:dyDescent="0.3">
      <c r="A367" s="797"/>
      <c r="B367" s="797"/>
      <c r="C367" s="797" t="s">
        <v>1568</v>
      </c>
      <c r="D367" s="797"/>
      <c r="E367" s="797"/>
      <c r="F367" s="797"/>
      <c r="G367" s="797" t="s">
        <v>1569</v>
      </c>
      <c r="H367" s="797" t="s">
        <v>888</v>
      </c>
      <c r="I367" s="842"/>
      <c r="J367" s="792" t="str">
        <f>IF(ISBLANK(HLOOKUP(CaseName,CaseData,MATCH($G367,cases!$G$4:$G$2494,0),FALSE)),"",HLOOKUP(CaseName,CaseData,MATCH($G367,cases!$G$4:$G$2494,0),FALSE))</f>
        <v/>
      </c>
      <c r="K367" s="831">
        <f>((input!L275*(RhoNuc*(4/3*PI()*(RadNuc)^3)+RhoS*SingleVolS))+(input!L276*(RhoAcc*(4/3*PI()*(RadAcc)^3)+RhoS*SingleVolS)))/(input!L275+input!L276)</f>
        <v>7.976641771535168E-19</v>
      </c>
      <c r="L367" s="794">
        <f t="shared" si="21"/>
        <v>7.976641771535168E-19</v>
      </c>
      <c r="M367" s="797" t="s">
        <v>888</v>
      </c>
      <c r="N367" s="797" t="s">
        <v>1570</v>
      </c>
      <c r="O367" s="799"/>
      <c r="P367" s="797"/>
    </row>
    <row r="368" spans="1:16" s="837" customFormat="1" ht="12.75" customHeight="1" x14ac:dyDescent="0.3">
      <c r="A368" s="841" t="s">
        <v>1571</v>
      </c>
      <c r="B368" s="841"/>
      <c r="C368" s="841"/>
      <c r="D368" s="841"/>
      <c r="E368" s="841"/>
      <c r="F368" s="841"/>
      <c r="G368" s="844" t="s">
        <v>1572</v>
      </c>
      <c r="H368" s="844" t="s">
        <v>335</v>
      </c>
      <c r="I368" s="800"/>
      <c r="J368" s="792" t="str">
        <f>IF(ISBLANK(HLOOKUP(CaseName,CaseData,MATCH($G368,cases!$G$4:$G$2494,0),FALSE)),"",HLOOKUP(CaseName,CaseData,MATCH($G368,cases!$G$4:$G$2494,0),FALSE))</f>
        <v/>
      </c>
      <c r="K368" s="845">
        <f>(3/2)*(L376*L358)/(2*L356)</f>
        <v>4.5122011807961336E-7</v>
      </c>
      <c r="L368" s="846">
        <f t="shared" si="21"/>
        <v>4.5122011807961336E-7</v>
      </c>
      <c r="M368" s="844" t="s">
        <v>335</v>
      </c>
      <c r="N368" s="841"/>
      <c r="O368" s="847"/>
      <c r="P368" s="841"/>
    </row>
    <row r="369" spans="1:16" ht="12.75" customHeight="1" x14ac:dyDescent="0.3">
      <c r="A369" s="797"/>
      <c r="B369" s="797" t="s">
        <v>1574</v>
      </c>
      <c r="C369" s="797"/>
      <c r="D369" s="797"/>
      <c r="E369" s="797"/>
      <c r="F369" s="797"/>
      <c r="G369" s="796" t="s">
        <v>1575</v>
      </c>
      <c r="H369" s="796" t="s">
        <v>1576</v>
      </c>
      <c r="I369" s="800"/>
      <c r="J369" s="792" t="str">
        <f>IF(ISBLANK(HLOOKUP(CaseName,CaseData,MATCH($G369,cases!$G$4:$G$2494,0),FALSE)),"",HLOOKUP(CaseName,CaseData,MATCH($G369,cases!$G$4:$G$2494,0),FALSE))</f>
        <v/>
      </c>
      <c r="K369" s="831">
        <f>((RhoS-input!L331)*(2*RadS)^2*CunninghamS)/(18*DYNVISC.a)</f>
        <v>6.075883051773531E-8</v>
      </c>
      <c r="L369" s="794">
        <f t="shared" si="21"/>
        <v>6.075883051773531E-8</v>
      </c>
      <c r="M369" s="796" t="s">
        <v>1576</v>
      </c>
      <c r="N369" s="797"/>
      <c r="O369" s="799"/>
      <c r="P369" s="797"/>
    </row>
    <row r="370" spans="1:16" ht="12.75" customHeight="1" x14ac:dyDescent="0.3">
      <c r="A370" s="797"/>
      <c r="B370" s="797" t="s">
        <v>1577</v>
      </c>
      <c r="C370" s="797"/>
      <c r="D370" s="797"/>
      <c r="E370" s="797"/>
      <c r="F370" s="797"/>
      <c r="G370" s="796" t="s">
        <v>1578</v>
      </c>
      <c r="H370" s="796" t="s">
        <v>291</v>
      </c>
      <c r="I370" s="800"/>
      <c r="J370" s="792" t="str">
        <f>IF(ISBLANK(HLOOKUP(CaseName,CaseData,MATCH($G370,cases!$G$4:$G$2494,0),FALSE)),"",HLOOKUP(CaseName,CaseData,MATCH($G370,cases!$G$4:$G$2494,0),FALSE))</f>
        <v/>
      </c>
      <c r="K370" s="831">
        <f>(2*L369*(L359-L371))/(2*L356)</f>
        <v>1.3573783789631074E-3</v>
      </c>
      <c r="L370" s="794">
        <f t="shared" si="21"/>
        <v>1.3573783789631074E-3</v>
      </c>
      <c r="M370" s="796" t="s">
        <v>291</v>
      </c>
      <c r="N370" s="797"/>
      <c r="O370" s="799" t="s">
        <v>1579</v>
      </c>
      <c r="P370" s="797"/>
    </row>
    <row r="371" spans="1:16" ht="12.75" customHeight="1" x14ac:dyDescent="0.3">
      <c r="A371" s="797"/>
      <c r="B371" s="797" t="s">
        <v>1580</v>
      </c>
      <c r="C371" s="797"/>
      <c r="D371" s="797"/>
      <c r="E371" s="797"/>
      <c r="F371" s="797"/>
      <c r="G371" s="796" t="s">
        <v>1581</v>
      </c>
      <c r="H371" s="796" t="s">
        <v>866</v>
      </c>
      <c r="I371" s="800"/>
      <c r="J371" s="792" t="str">
        <f>IF(ISBLANK(HLOOKUP(CaseName,CaseData,MATCH($G371,cases!$G$4:$G$2494,0),FALSE)),"",HLOOKUP(CaseName,CaseData,MATCH($G371,cases!$G$4:$G$2494,0),FALSE))</f>
        <v/>
      </c>
      <c r="K371" s="831">
        <f>((2*RadS)^2*(RhoS-input!L331)*9.81*CunninghamS)/(18*DYNVISC.a)</f>
        <v>5.9604412737898326E-7</v>
      </c>
      <c r="L371" s="794">
        <f t="shared" si="21"/>
        <v>5.9604412737898326E-7</v>
      </c>
      <c r="M371" s="796" t="s">
        <v>866</v>
      </c>
      <c r="N371" s="797"/>
      <c r="O371" s="799"/>
      <c r="P371" s="797"/>
    </row>
    <row r="372" spans="1:16" ht="12.75" customHeight="1" x14ac:dyDescent="0.3">
      <c r="A372" s="797"/>
      <c r="B372" s="797" t="s">
        <v>1582</v>
      </c>
      <c r="C372" s="797"/>
      <c r="D372" s="797"/>
      <c r="E372" s="797"/>
      <c r="F372" s="797"/>
      <c r="G372" s="796" t="s">
        <v>1583</v>
      </c>
      <c r="H372" s="796" t="s">
        <v>291</v>
      </c>
      <c r="I372" s="800"/>
      <c r="J372" s="792" t="str">
        <f>IF(ISBLANK(HLOOKUP(CaseName,CaseData,MATCH($G372,cases!$G$4:$G$2494,0),FALSE)),"",HLOOKUP(CaseName,CaseData,MATCH($G372,cases!$G$4:$G$2494,0),FALSE))</f>
        <v/>
      </c>
      <c r="K372" s="831">
        <f>DYNVISC.a/(input!L331*DiffS.aR)</f>
        <v>1094.7329450414386</v>
      </c>
      <c r="L372" s="794">
        <f t="shared" si="21"/>
        <v>1094.7329450414386</v>
      </c>
      <c r="M372" s="796" t="s">
        <v>291</v>
      </c>
      <c r="N372" s="797"/>
      <c r="O372" s="848"/>
      <c r="P372" s="797"/>
    </row>
    <row r="373" spans="1:16" ht="12.75" customHeight="1" x14ac:dyDescent="0.3">
      <c r="A373" s="797"/>
      <c r="B373" s="797"/>
      <c r="C373" s="797" t="s">
        <v>1584</v>
      </c>
      <c r="D373" s="797"/>
      <c r="E373" s="797"/>
      <c r="F373" s="797"/>
      <c r="G373" s="796" t="s">
        <v>1585</v>
      </c>
      <c r="H373" s="796" t="s">
        <v>291</v>
      </c>
      <c r="I373" s="800"/>
      <c r="J373" s="792" t="str">
        <f>IF(ISBLANK(HLOOKUP(CaseName,CaseData,MATCH($G373,cases!$G$4:$G$2494,0),FALSE)),"",HLOOKUP(CaseName,CaseData,MATCH($G373,cases!$G$4:$G$2494,0),FALSE))</f>
        <v/>
      </c>
      <c r="K373" s="831">
        <f>(4/(L362*L372))*(1+0.4*(L362^0.5*L372^(1/3))+0.16*(L362^0.5*L372^0.5))</f>
        <v>4.8247322727130847E-3</v>
      </c>
      <c r="L373" s="794">
        <f t="shared" si="21"/>
        <v>4.8247322727130847E-3</v>
      </c>
      <c r="M373" s="796" t="s">
        <v>291</v>
      </c>
      <c r="N373" s="797"/>
      <c r="O373" s="799"/>
      <c r="P373" s="797"/>
    </row>
    <row r="374" spans="1:16" ht="12.75" customHeight="1" x14ac:dyDescent="0.3">
      <c r="A374" s="797"/>
      <c r="B374" s="797"/>
      <c r="C374" s="797" t="s">
        <v>1586</v>
      </c>
      <c r="D374" s="797"/>
      <c r="E374" s="797"/>
      <c r="F374" s="797"/>
      <c r="G374" s="796" t="s">
        <v>1587</v>
      </c>
      <c r="H374" s="796" t="s">
        <v>291</v>
      </c>
      <c r="I374" s="800"/>
      <c r="J374" s="792" t="str">
        <f>IF(ISBLANK(HLOOKUP(CaseName,CaseData,MATCH($G374,cases!$G$4:$G$2494,0),FALSE)),"",HLOOKUP(CaseName,CaseData,MATCH($G374,cases!$G$4:$G$2494,0),FALSE))</f>
        <v/>
      </c>
      <c r="K374" s="831">
        <f>4*(RadS/L356)*((DYNVISC.a/DYNVISC.w)+(1+2*L362^0.5*(RadS/L356)))</f>
        <v>2.1900302575772086E-4</v>
      </c>
      <c r="L374" s="794">
        <f t="shared" si="21"/>
        <v>2.1900302575772086E-4</v>
      </c>
      <c r="M374" s="796" t="s">
        <v>291</v>
      </c>
      <c r="N374" s="797"/>
      <c r="O374" s="799"/>
      <c r="P374" s="797"/>
    </row>
    <row r="375" spans="1:16" ht="12.75" customHeight="1" x14ac:dyDescent="0.3">
      <c r="A375" s="797"/>
      <c r="B375" s="797"/>
      <c r="C375" s="797" t="s">
        <v>1588</v>
      </c>
      <c r="D375" s="797"/>
      <c r="E375" s="797"/>
      <c r="F375" s="797"/>
      <c r="G375" s="796" t="s">
        <v>1589</v>
      </c>
      <c r="H375" s="796" t="s">
        <v>291</v>
      </c>
      <c r="I375" s="800"/>
      <c r="J375" s="792" t="str">
        <f>IF(ISBLANK(HLOOKUP(CaseName,CaseData,MATCH($G375,cases!$G$4:$G$2494,0),FALSE)),"",HLOOKUP(CaseName,CaseData,MATCH($G375,cases!$G$4:$G$2494,0),FALSE))</f>
        <v/>
      </c>
      <c r="K375" s="831">
        <f>IF(L370&gt;L361,((L370-L361)/(L370-L361+2/3))^(3/2),0)</f>
        <v>0</v>
      </c>
      <c r="L375" s="794">
        <f t="shared" si="21"/>
        <v>0</v>
      </c>
      <c r="M375" s="796" t="s">
        <v>291</v>
      </c>
      <c r="N375" s="797"/>
      <c r="O375" s="799"/>
      <c r="P375" s="797"/>
    </row>
    <row r="376" spans="1:16" ht="12.75" customHeight="1" x14ac:dyDescent="0.3">
      <c r="A376" s="797"/>
      <c r="B376" s="797"/>
      <c r="C376" s="797" t="s">
        <v>1590</v>
      </c>
      <c r="D376" s="797"/>
      <c r="E376" s="797"/>
      <c r="F376" s="797"/>
      <c r="G376" s="796" t="s">
        <v>1591</v>
      </c>
      <c r="H376" s="796" t="s">
        <v>291</v>
      </c>
      <c r="I376" s="800"/>
      <c r="J376" s="792" t="str">
        <f>IF(ISBLANK(HLOOKUP(CaseName,CaseData,MATCH($G376,cases!$G$4:$G$2494,0),FALSE)),"",HLOOKUP(CaseName,CaseData,MATCH($G376,cases!$G$4:$G$2494,0),FALSE))</f>
        <v/>
      </c>
      <c r="K376" s="831">
        <f>L373+L374+L375</f>
        <v>5.0437352984708059E-3</v>
      </c>
      <c r="L376" s="794">
        <f t="shared" si="21"/>
        <v>5.0437352984708059E-3</v>
      </c>
      <c r="M376" s="796" t="s">
        <v>291</v>
      </c>
      <c r="N376" s="797"/>
      <c r="O376" s="799"/>
      <c r="P376" s="797"/>
    </row>
    <row r="377" spans="1:16" ht="12.75" customHeight="1" x14ac:dyDescent="0.3">
      <c r="A377" s="797" t="s">
        <v>1592</v>
      </c>
      <c r="B377" s="797"/>
      <c r="C377" s="797"/>
      <c r="D377" s="797"/>
      <c r="E377" s="797"/>
      <c r="F377" s="797"/>
      <c r="G377" s="796" t="s">
        <v>1593</v>
      </c>
      <c r="H377" s="796" t="s">
        <v>335</v>
      </c>
      <c r="I377" s="800"/>
      <c r="J377" s="792" t="str">
        <f>IF(ISBLANK(HLOOKUP(CaseName,CaseData,MATCH($G377,cases!$G$4:$G$2494,0),FALSE)),"",HLOOKUP(CaseName,CaseData,MATCH($G377,cases!$G$4:$G$2494,0),FALSE))</f>
        <v/>
      </c>
      <c r="K377" s="831">
        <f>((3/2)*(L387*L358)/(2*L356))</f>
        <v>1.7485826124729893E-7</v>
      </c>
      <c r="L377" s="794">
        <f t="shared" si="21"/>
        <v>1.7485826124729893E-7</v>
      </c>
      <c r="M377" s="796" t="s">
        <v>335</v>
      </c>
      <c r="N377" s="797"/>
      <c r="O377" s="799"/>
      <c r="P377" s="797"/>
    </row>
    <row r="378" spans="1:16" ht="12.75" customHeight="1" x14ac:dyDescent="0.3">
      <c r="A378" s="797"/>
      <c r="B378" s="797" t="s">
        <v>1594</v>
      </c>
      <c r="C378" s="797"/>
      <c r="D378" s="797"/>
      <c r="E378" s="797"/>
      <c r="F378" s="797"/>
      <c r="G378" s="796" t="s">
        <v>1595</v>
      </c>
      <c r="H378" s="796" t="s">
        <v>291</v>
      </c>
      <c r="I378" s="800"/>
      <c r="J378" s="792" t="str">
        <f>IF(ISBLANK(HLOOKUP(CaseName,CaseData,MATCH($G378,cases!$G$4:$G$2494,0),FALSE)),"",HLOOKUP(CaseName,CaseData,MATCH($G378,cases!$G$4:$G$2494,0),FALSE))</f>
        <v/>
      </c>
      <c r="K378" s="831">
        <f>1+((66*10^-9)/L364)*(1.142+0.558*EXP(-0.999/((66*10^-9)/L364)))</f>
        <v>3.0623169806934145</v>
      </c>
      <c r="L378" s="794">
        <f t="shared" si="21"/>
        <v>3.0623169806934145</v>
      </c>
      <c r="M378" s="796" t="s">
        <v>291</v>
      </c>
      <c r="N378" s="797"/>
      <c r="O378" s="799"/>
      <c r="P378" s="797"/>
    </row>
    <row r="379" spans="1:16" ht="12.75" customHeight="1" x14ac:dyDescent="0.3">
      <c r="A379" s="797"/>
      <c r="B379" s="797" t="s">
        <v>1596</v>
      </c>
      <c r="C379" s="797"/>
      <c r="D379" s="797"/>
      <c r="E379" s="797"/>
      <c r="F379" s="797"/>
      <c r="G379" s="796" t="s">
        <v>1597</v>
      </c>
      <c r="H379" s="796"/>
      <c r="I379" s="800"/>
      <c r="J379" s="792" t="str">
        <f>IF(ISBLANK(HLOOKUP(CaseName,CaseData,MATCH($G379,cases!$G$4:$G$2494,0),FALSE)),"",HLOOKUP(CaseName,CaseData,MATCH($G379,cases!$G$4:$G$2494,0),FALSE))</f>
        <v/>
      </c>
      <c r="K379" s="831">
        <f>(kboltz*TEMP.R*L378)/(6*PI()*DYNVISC.a*L364)</f>
        <v>7.7598698567995119E-10</v>
      </c>
      <c r="L379" s="794">
        <f t="shared" si="21"/>
        <v>7.7598698567995119E-10</v>
      </c>
      <c r="M379" s="796"/>
      <c r="N379" s="797"/>
      <c r="O379" s="799"/>
      <c r="P379" s="797"/>
    </row>
    <row r="380" spans="1:16" ht="12.75" customHeight="1" x14ac:dyDescent="0.3">
      <c r="A380" s="797"/>
      <c r="B380" s="797" t="s">
        <v>1574</v>
      </c>
      <c r="C380" s="797"/>
      <c r="D380" s="797"/>
      <c r="E380" s="797"/>
      <c r="F380" s="797"/>
      <c r="G380" s="796" t="s">
        <v>1598</v>
      </c>
      <c r="H380" s="796" t="s">
        <v>1576</v>
      </c>
      <c r="I380" s="800"/>
      <c r="J380" s="792" t="str">
        <f>IF(ISBLANK(HLOOKUP(CaseName,CaseData,MATCH($G380,cases!$G$4:$G$2494,0),FALSE)),"",HLOOKUP(CaseName,CaseData,MATCH($G380,cases!$G$4:$G$2494,0),FALSE))</f>
        <v/>
      </c>
      <c r="K380" s="831">
        <f>((L365-input!L331)*(2*L364)^2*L378)/(18*DYNVISC.a)</f>
        <v>1.5721101191739341E-7</v>
      </c>
      <c r="L380" s="794">
        <f t="shared" si="21"/>
        <v>1.5721101191739341E-7</v>
      </c>
      <c r="M380" s="796" t="s">
        <v>1576</v>
      </c>
      <c r="N380" s="797"/>
      <c r="O380" s="799"/>
      <c r="P380" s="797"/>
    </row>
    <row r="381" spans="1:16" ht="12.75" customHeight="1" x14ac:dyDescent="0.3">
      <c r="A381" s="797"/>
      <c r="B381" s="797" t="s">
        <v>1599</v>
      </c>
      <c r="C381" s="797"/>
      <c r="D381" s="797"/>
      <c r="E381" s="797"/>
      <c r="F381" s="797"/>
      <c r="G381" s="796" t="s">
        <v>1600</v>
      </c>
      <c r="H381" s="796" t="s">
        <v>291</v>
      </c>
      <c r="I381" s="800"/>
      <c r="J381" s="792" t="str">
        <f>IF(ISBLANK(HLOOKUP(CaseName,CaseData,MATCH($G381,cases!$G$4:$G$2494,0),FALSE)),"",HLOOKUP(CaseName,CaseData,MATCH($G381,cases!$G$4:$G$2494,0),FALSE))</f>
        <v/>
      </c>
      <c r="K381" s="831">
        <f>(2*L380*(L359-L382))/(2*L356)</f>
        <v>3.5121617301958384E-3</v>
      </c>
      <c r="L381" s="794">
        <f t="shared" si="21"/>
        <v>3.5121617301958384E-3</v>
      </c>
      <c r="M381" s="796" t="s">
        <v>291</v>
      </c>
      <c r="N381" s="797"/>
      <c r="O381" s="799"/>
      <c r="P381" s="797"/>
    </row>
    <row r="382" spans="1:16" ht="12.75" customHeight="1" x14ac:dyDescent="0.3">
      <c r="A382" s="797"/>
      <c r="B382" s="797" t="s">
        <v>1580</v>
      </c>
      <c r="C382" s="797"/>
      <c r="D382" s="797"/>
      <c r="E382" s="797"/>
      <c r="F382" s="797"/>
      <c r="G382" s="796" t="s">
        <v>1601</v>
      </c>
      <c r="H382" s="796" t="s">
        <v>866</v>
      </c>
      <c r="I382" s="800"/>
      <c r="J382" s="792" t="str">
        <f>IF(ISBLANK(HLOOKUP(CaseName,CaseData,MATCH($G382,cases!$G$4:$G$2494,0),FALSE)),"",HLOOKUP(CaseName,CaseData,MATCH($G382,cases!$G$4:$G$2494,0),FALSE))</f>
        <v/>
      </c>
      <c r="K382" s="831">
        <f>((L364)^2*(L365-input!L331)*9.81*L378)/(18*DYNVISC.a)</f>
        <v>3.8556000672740732E-7</v>
      </c>
      <c r="L382" s="794">
        <f t="shared" si="21"/>
        <v>3.8556000672740732E-7</v>
      </c>
      <c r="M382" s="796" t="s">
        <v>866</v>
      </c>
      <c r="N382" s="797"/>
      <c r="O382" s="799"/>
      <c r="P382" s="797"/>
    </row>
    <row r="383" spans="1:16" ht="12.75" customHeight="1" x14ac:dyDescent="0.3">
      <c r="A383" s="797"/>
      <c r="B383" s="797" t="s">
        <v>1582</v>
      </c>
      <c r="C383" s="797"/>
      <c r="D383" s="797"/>
      <c r="E383" s="797"/>
      <c r="F383" s="797"/>
      <c r="G383" s="796" t="s">
        <v>1602</v>
      </c>
      <c r="H383" s="796" t="s">
        <v>291</v>
      </c>
      <c r="I383" s="800"/>
      <c r="J383" s="792" t="str">
        <f>IF(ISBLANK(HLOOKUP(CaseName,CaseData,MATCH($G383,cases!$G$4:$G$2494,0),FALSE)),"",HLOOKUP(CaseName,CaseData,MATCH($G383,cases!$G$4:$G$2494,0),FALSE))</f>
        <v/>
      </c>
      <c r="K383" s="831">
        <f>DYNVISC.a/(input!L331*L379)</f>
        <v>19040.925269042669</v>
      </c>
      <c r="L383" s="794">
        <f t="shared" si="21"/>
        <v>19040.925269042669</v>
      </c>
      <c r="M383" s="796" t="s">
        <v>291</v>
      </c>
      <c r="N383" s="797"/>
      <c r="O383" s="799"/>
      <c r="P383" s="797"/>
    </row>
    <row r="384" spans="1:16" ht="12.75" customHeight="1" x14ac:dyDescent="0.3">
      <c r="A384" s="797"/>
      <c r="B384" s="797"/>
      <c r="C384" s="797" t="s">
        <v>1584</v>
      </c>
      <c r="D384" s="797"/>
      <c r="E384" s="797"/>
      <c r="F384" s="797"/>
      <c r="G384" s="796" t="s">
        <v>1603</v>
      </c>
      <c r="H384" s="796" t="s">
        <v>291</v>
      </c>
      <c r="I384" s="800"/>
      <c r="J384" s="792" t="str">
        <f>IF(ISBLANK(HLOOKUP(CaseName,CaseData,MATCH($G384,cases!$G$4:$G$2494,0),FALSE)),"",HLOOKUP(CaseName,CaseData,MATCH($G384,cases!$G$4:$G$2494,0),FALSE))</f>
        <v/>
      </c>
      <c r="K384" s="831">
        <f>(4/(L362*L383))*(1+0.4*(L362^0.5*L383^(1/3))+0.16*(L362^0.5*L383^0.5))</f>
        <v>9.5509411571865729E-4</v>
      </c>
      <c r="L384" s="794">
        <f t="shared" si="21"/>
        <v>9.5509411571865729E-4</v>
      </c>
      <c r="M384" s="796" t="s">
        <v>291</v>
      </c>
      <c r="N384" s="797"/>
      <c r="O384" s="799"/>
      <c r="P384" s="797"/>
    </row>
    <row r="385" spans="1:16" ht="12.75" customHeight="1" x14ac:dyDescent="0.3">
      <c r="A385" s="797"/>
      <c r="B385" s="797"/>
      <c r="C385" s="797" t="s">
        <v>1586</v>
      </c>
      <c r="D385" s="797"/>
      <c r="E385" s="797"/>
      <c r="F385" s="797"/>
      <c r="G385" s="796" t="s">
        <v>1604</v>
      </c>
      <c r="H385" s="796" t="s">
        <v>291</v>
      </c>
      <c r="I385" s="800"/>
      <c r="J385" s="792" t="str">
        <f>IF(ISBLANK(HLOOKUP(CaseName,CaseData,MATCH($G385,cases!$G$4:$G$2494,0),FALSE)),"",HLOOKUP(CaseName,CaseData,MATCH($G385,cases!$G$4:$G$2494,0),FALSE))</f>
        <v/>
      </c>
      <c r="K385" s="831">
        <f>4*(L364/L356)*((DYNVISC.a/DYNVISC.w)+(1+2*L362^0.5*(L364/L356)))</f>
        <v>9.9947029562840492E-4</v>
      </c>
      <c r="L385" s="794">
        <f t="shared" si="21"/>
        <v>9.9947029562840492E-4</v>
      </c>
      <c r="M385" s="796" t="s">
        <v>291</v>
      </c>
      <c r="N385" s="797"/>
      <c r="O385" s="799"/>
      <c r="P385" s="797"/>
    </row>
    <row r="386" spans="1:16" ht="12.75" customHeight="1" x14ac:dyDescent="0.3">
      <c r="A386" s="797"/>
      <c r="B386" s="797"/>
      <c r="C386" s="797" t="s">
        <v>1588</v>
      </c>
      <c r="D386" s="797"/>
      <c r="E386" s="797"/>
      <c r="F386" s="797"/>
      <c r="G386" s="796" t="s">
        <v>1605</v>
      </c>
      <c r="H386" s="796" t="s">
        <v>291</v>
      </c>
      <c r="I386" s="800"/>
      <c r="J386" s="792" t="str">
        <f>IF(ISBLANK(HLOOKUP(CaseName,CaseData,MATCH($G386,cases!$G$4:$G$2494,0),FALSE)),"",HLOOKUP(CaseName,CaseData,MATCH($G386,cases!$G$4:$G$2494,0),FALSE))</f>
        <v/>
      </c>
      <c r="K386" s="831">
        <f>IF(L381&gt;L361,((L381-L361)/(L381-L361+2/3))^(3/2),0)</f>
        <v>0</v>
      </c>
      <c r="L386" s="794">
        <f t="shared" si="21"/>
        <v>0</v>
      </c>
      <c r="M386" s="796" t="s">
        <v>291</v>
      </c>
      <c r="N386" s="797"/>
      <c r="O386" s="799"/>
      <c r="P386" s="797"/>
    </row>
    <row r="387" spans="1:16" ht="12.75" customHeight="1" x14ac:dyDescent="0.3">
      <c r="A387" s="797"/>
      <c r="B387" s="797"/>
      <c r="C387" s="797" t="s">
        <v>1590</v>
      </c>
      <c r="D387" s="797"/>
      <c r="E387" s="797"/>
      <c r="F387" s="797"/>
      <c r="G387" s="796" t="s">
        <v>1606</v>
      </c>
      <c r="H387" s="796" t="s">
        <v>291</v>
      </c>
      <c r="I387" s="800"/>
      <c r="J387" s="792" t="str">
        <f>IF(ISBLANK(HLOOKUP(CaseName,CaseData,MATCH($G387,cases!$G$4:$G$2494,0),FALSE)),"",HLOOKUP(CaseName,CaseData,MATCH($G387,cases!$G$4:$G$2494,0),FALSE))</f>
        <v/>
      </c>
      <c r="K387" s="831">
        <f>L384+L385+L386</f>
        <v>1.9545644113470621E-3</v>
      </c>
      <c r="L387" s="794">
        <f t="shared" si="21"/>
        <v>1.9545644113470621E-3</v>
      </c>
      <c r="M387" s="796" t="s">
        <v>291</v>
      </c>
      <c r="N387" s="797"/>
      <c r="O387" s="799"/>
      <c r="P387" s="797"/>
    </row>
    <row r="388" spans="1:16" ht="12.75" customHeight="1" x14ac:dyDescent="0.3">
      <c r="A388" s="797" t="s">
        <v>1607</v>
      </c>
      <c r="B388" s="797"/>
      <c r="C388" s="797"/>
      <c r="D388" s="797"/>
      <c r="E388" s="797"/>
      <c r="F388" s="797"/>
      <c r="G388" s="796" t="s">
        <v>1608</v>
      </c>
      <c r="H388" s="796" t="s">
        <v>335</v>
      </c>
      <c r="I388" s="842"/>
      <c r="J388" s="792" t="str">
        <f>IF(ISBLANK(HLOOKUP(CaseName,CaseData,MATCH($G388,cases!$G$4:$G$2494,0),FALSE)),"",HLOOKUP(CaseName,CaseData,MATCH($G388,cases!$G$4:$G$2494,0),FALSE))</f>
        <v/>
      </c>
      <c r="K388" s="849">
        <f>((L125+L126)/L126*L131*RAINrate.R)/L23</f>
        <v>7.3989514628784031E-5</v>
      </c>
      <c r="L388" s="850">
        <f t="shared" si="21"/>
        <v>7.3989514628784031E-5</v>
      </c>
      <c r="M388" s="797" t="s">
        <v>335</v>
      </c>
      <c r="N388" s="797" t="s">
        <v>1609</v>
      </c>
      <c r="O388" s="799"/>
      <c r="P388" s="797"/>
    </row>
    <row r="389" spans="1:16" s="837" customFormat="1" ht="12.75" customHeight="1" x14ac:dyDescent="0.3">
      <c r="A389" s="841" t="s">
        <v>1610</v>
      </c>
      <c r="B389" s="841"/>
      <c r="C389" s="841"/>
      <c r="D389" s="841"/>
      <c r="E389" s="841"/>
      <c r="F389" s="841"/>
      <c r="G389" s="844" t="s">
        <v>1611</v>
      </c>
      <c r="H389" s="844" t="s">
        <v>335</v>
      </c>
      <c r="I389" s="800"/>
      <c r="J389" s="792" t="str">
        <f>IF(ISBLANK(HLOOKUP(CaseName,CaseData,MATCH($G389,cases!$G$4:$G$2494,0),FALSE)),"",HLOOKUP(CaseName,CaseData,MATCH($G389,cases!$G$4:$G$2494,0),FALSE))</f>
        <v/>
      </c>
      <c r="K389" s="831">
        <f>(L390*L19*L16)/(L5)</f>
        <v>4.2527826652757428E-7</v>
      </c>
      <c r="L389" s="794">
        <f t="shared" si="21"/>
        <v>4.2527826652757428E-7</v>
      </c>
      <c r="M389" s="844" t="s">
        <v>335</v>
      </c>
      <c r="N389" s="841"/>
      <c r="O389" s="847"/>
      <c r="P389" s="841"/>
    </row>
    <row r="390" spans="1:16" ht="12.75" customHeight="1" x14ac:dyDescent="0.3">
      <c r="A390" s="797"/>
      <c r="B390" s="797" t="s">
        <v>1612</v>
      </c>
      <c r="C390" s="797"/>
      <c r="D390" s="797"/>
      <c r="E390" s="797"/>
      <c r="F390" s="797"/>
      <c r="G390" s="796" t="s">
        <v>1613</v>
      </c>
      <c r="H390" s="796" t="s">
        <v>866</v>
      </c>
      <c r="I390" s="800"/>
      <c r="J390" s="792" t="str">
        <f>IF(ISBLANK(HLOOKUP(CaseName,CaseData,MATCH($G390,cases!$G$4:$G$2494,0),FALSE)),"",HLOOKUP(CaseName,CaseData,MATCH($G390,cases!$G$4:$G$2494,0),FALSE))</f>
        <v/>
      </c>
      <c r="K390" s="831">
        <f>1/(L391+L392)+L371</f>
        <v>1.5819953423360982E-3</v>
      </c>
      <c r="L390" s="794">
        <f t="shared" si="21"/>
        <v>1.5819953423360982E-3</v>
      </c>
      <c r="M390" s="796" t="s">
        <v>866</v>
      </c>
      <c r="N390" s="797"/>
      <c r="O390" s="799"/>
      <c r="P390" s="797"/>
    </row>
    <row r="391" spans="1:16" ht="12.75" customHeight="1" x14ac:dyDescent="0.3">
      <c r="A391" s="797"/>
      <c r="B391" s="797" t="s">
        <v>1614</v>
      </c>
      <c r="C391" s="797"/>
      <c r="D391" s="797"/>
      <c r="E391" s="797"/>
      <c r="F391" s="797"/>
      <c r="G391" s="796" t="s">
        <v>1615</v>
      </c>
      <c r="H391" s="796" t="s">
        <v>1616</v>
      </c>
      <c r="I391" s="800"/>
      <c r="J391" s="792" t="str">
        <f>IF(ISBLANK(HLOOKUP(CaseName,CaseData,MATCH($G391,cases!$G$4:$G$2494,0),FALSE)),"",HLOOKUP(CaseName,CaseData,MATCH($G391,cases!$G$4:$G$2494,0),FALSE))</f>
        <v/>
      </c>
      <c r="K391" s="831">
        <v>74</v>
      </c>
      <c r="L391" s="794">
        <f t="shared" si="21"/>
        <v>74</v>
      </c>
      <c r="M391" s="796" t="s">
        <v>1616</v>
      </c>
      <c r="N391" s="797"/>
      <c r="O391" s="799" t="s">
        <v>1617</v>
      </c>
      <c r="P391" s="797" t="s">
        <v>1618</v>
      </c>
    </row>
    <row r="392" spans="1:16" ht="12.75" customHeight="1" x14ac:dyDescent="0.3">
      <c r="A392" s="797"/>
      <c r="B392" s="797" t="s">
        <v>1619</v>
      </c>
      <c r="C392" s="797"/>
      <c r="D392" s="797"/>
      <c r="E392" s="797"/>
      <c r="F392" s="797"/>
      <c r="G392" s="796" t="s">
        <v>1620</v>
      </c>
      <c r="H392" s="796" t="s">
        <v>1616</v>
      </c>
      <c r="I392" s="800"/>
      <c r="J392" s="792" t="str">
        <f>IF(ISBLANK(HLOOKUP(CaseName,CaseData,MATCH($G392,cases!$G$4:$G$2494,0),FALSE)),"",HLOOKUP(CaseName,CaseData,MATCH($G392,cases!$G$4:$G$2494,0),FALSE))</f>
        <v/>
      </c>
      <c r="K392" s="831">
        <f>1/(L393*(L394+L395+L399))</f>
        <v>558.3513619442723</v>
      </c>
      <c r="L392" s="794">
        <f t="shared" si="21"/>
        <v>558.3513619442723</v>
      </c>
      <c r="M392" s="796" t="s">
        <v>1616</v>
      </c>
      <c r="N392" s="797"/>
      <c r="O392" s="799" t="s">
        <v>1621</v>
      </c>
      <c r="P392" s="797"/>
    </row>
    <row r="393" spans="1:16" ht="12.75" customHeight="1" x14ac:dyDescent="0.3">
      <c r="A393" s="797"/>
      <c r="B393" s="797"/>
      <c r="C393" s="797" t="s">
        <v>1622</v>
      </c>
      <c r="D393" s="797"/>
      <c r="E393" s="797"/>
      <c r="F393" s="797"/>
      <c r="G393" s="796" t="s">
        <v>1623</v>
      </c>
      <c r="H393" s="796" t="s">
        <v>866</v>
      </c>
      <c r="I393" s="800"/>
      <c r="J393" s="792" t="str">
        <f>IF(ISBLANK(HLOOKUP(CaseName,CaseData,MATCH($G393,cases!$G$4:$G$2494,0),FALSE)),"",HLOOKUP(CaseName,CaseData,MATCH($G393,cases!$G$4:$G$2494,0),FALSE))</f>
        <v/>
      </c>
      <c r="K393" s="831">
        <v>0.19</v>
      </c>
      <c r="L393" s="794">
        <f t="shared" si="21"/>
        <v>0.19</v>
      </c>
      <c r="M393" s="796" t="s">
        <v>866</v>
      </c>
      <c r="N393" s="797"/>
      <c r="O393" s="799" t="s">
        <v>1624</v>
      </c>
      <c r="P393" s="797" t="s">
        <v>1625</v>
      </c>
    </row>
    <row r="394" spans="1:16" ht="12.75" customHeight="1" x14ac:dyDescent="0.3">
      <c r="A394" s="797"/>
      <c r="B394" s="797"/>
      <c r="C394" s="797" t="s">
        <v>1584</v>
      </c>
      <c r="D394" s="797"/>
      <c r="E394" s="797"/>
      <c r="F394" s="797"/>
      <c r="G394" s="796" t="s">
        <v>1626</v>
      </c>
      <c r="H394" s="796" t="s">
        <v>291</v>
      </c>
      <c r="I394" s="800"/>
      <c r="J394" s="792" t="str">
        <f>IF(ISBLANK(HLOOKUP(CaseName,CaseData,MATCH($G394,cases!$G$4:$G$2494,0),FALSE)),"",HLOOKUP(CaseName,CaseData,MATCH($G394,cases!$G$4:$G$2494,0),FALSE))</f>
        <v/>
      </c>
      <c r="K394" s="831">
        <f>L372^(-2/3)</f>
        <v>9.4144410707051943E-3</v>
      </c>
      <c r="L394" s="794">
        <f t="shared" si="21"/>
        <v>9.4144410707051943E-3</v>
      </c>
      <c r="M394" s="796" t="s">
        <v>291</v>
      </c>
      <c r="N394" s="797"/>
      <c r="O394" s="799" t="s">
        <v>1621</v>
      </c>
      <c r="P394" s="797" t="s">
        <v>1627</v>
      </c>
    </row>
    <row r="395" spans="1:16" ht="12.75" customHeight="1" x14ac:dyDescent="0.3">
      <c r="A395" s="797"/>
      <c r="B395" s="797"/>
      <c r="C395" s="797" t="s">
        <v>1586</v>
      </c>
      <c r="D395" s="797"/>
      <c r="E395" s="797"/>
      <c r="F395" s="797"/>
      <c r="G395" s="796" t="s">
        <v>1628</v>
      </c>
      <c r="H395" s="796" t="s">
        <v>291</v>
      </c>
      <c r="I395" s="800"/>
      <c r="J395" s="792" t="str">
        <f>IF(ISBLANK(HLOOKUP(CaseName,CaseData,MATCH($G395,cases!$G$4:$G$2494,0),FALSE)),"",HLOOKUP(CaseName,CaseData,MATCH($G395,cases!$G$4:$G$2494,0),FALSE))</f>
        <v/>
      </c>
      <c r="K395" s="831">
        <f>0.3*(L398*(RadS/(RadS+L396))+(1-L398)*(RadS/(RadS+L397)))</f>
        <v>8.9368841993789489E-6</v>
      </c>
      <c r="L395" s="794">
        <f t="shared" si="21"/>
        <v>8.9368841993789489E-6</v>
      </c>
      <c r="M395" s="796" t="s">
        <v>291</v>
      </c>
      <c r="N395" s="797"/>
      <c r="O395" s="799" t="s">
        <v>1621</v>
      </c>
      <c r="P395" s="797" t="s">
        <v>1627</v>
      </c>
    </row>
    <row r="396" spans="1:16" ht="12.75" customHeight="1" x14ac:dyDescent="0.3">
      <c r="A396" s="797"/>
      <c r="B396" s="797"/>
      <c r="C396" s="797"/>
      <c r="D396" s="797" t="s">
        <v>1629</v>
      </c>
      <c r="E396" s="797"/>
      <c r="F396" s="797"/>
      <c r="G396" s="796" t="s">
        <v>1630</v>
      </c>
      <c r="H396" s="796" t="s">
        <v>813</v>
      </c>
      <c r="I396" s="800"/>
      <c r="J396" s="792" t="str">
        <f>IF(ISBLANK(HLOOKUP(CaseName,CaseData,MATCH($G396,cases!$G$4:$G$2494,0),FALSE)),"",HLOOKUP(CaseName,CaseData,MATCH($G396,cases!$G$4:$G$2494,0),FALSE))</f>
        <v/>
      </c>
      <c r="K396" s="831">
        <f>1*10^-5</f>
        <v>1.0000000000000001E-5</v>
      </c>
      <c r="L396" s="794">
        <f t="shared" ref="L396:L427" si="22">IF(ISBLANK(I396),IF(ISNUMBER(J396)=FALSE,K396,J396),I396)</f>
        <v>1.0000000000000001E-5</v>
      </c>
      <c r="M396" s="796" t="s">
        <v>813</v>
      </c>
      <c r="N396" s="797"/>
      <c r="O396" s="799" t="s">
        <v>1617</v>
      </c>
      <c r="P396" s="797" t="s">
        <v>1627</v>
      </c>
    </row>
    <row r="397" spans="1:16" ht="12.75" customHeight="1" x14ac:dyDescent="0.3">
      <c r="A397" s="797"/>
      <c r="B397" s="797"/>
      <c r="C397" s="797"/>
      <c r="D397" s="797" t="s">
        <v>1631</v>
      </c>
      <c r="E397" s="797"/>
      <c r="F397" s="797"/>
      <c r="G397" s="796" t="s">
        <v>1632</v>
      </c>
      <c r="H397" s="796" t="s">
        <v>813</v>
      </c>
      <c r="I397" s="800"/>
      <c r="J397" s="792" t="str">
        <f>IF(ISBLANK(HLOOKUP(CaseName,CaseData,MATCH($G397,cases!$G$4:$G$2494,0),FALSE)),"",HLOOKUP(CaseName,CaseData,MATCH($G397,cases!$G$4:$G$2494,0),FALSE))</f>
        <v/>
      </c>
      <c r="K397" s="831">
        <f>0.0005</f>
        <v>5.0000000000000001E-4</v>
      </c>
      <c r="L397" s="794">
        <f t="shared" si="22"/>
        <v>5.0000000000000001E-4</v>
      </c>
      <c r="M397" s="796" t="s">
        <v>813</v>
      </c>
      <c r="N397" s="797"/>
      <c r="O397" s="799" t="s">
        <v>1617</v>
      </c>
      <c r="P397" s="797" t="s">
        <v>1627</v>
      </c>
    </row>
    <row r="398" spans="1:16" ht="12.75" customHeight="1" x14ac:dyDescent="0.3">
      <c r="A398" s="797"/>
      <c r="B398" s="797"/>
      <c r="C398" s="797"/>
      <c r="D398" s="797" t="s">
        <v>1633</v>
      </c>
      <c r="E398" s="797"/>
      <c r="F398" s="797"/>
      <c r="G398" s="796" t="s">
        <v>1634</v>
      </c>
      <c r="H398" s="796" t="s">
        <v>291</v>
      </c>
      <c r="I398" s="800"/>
      <c r="J398" s="792" t="str">
        <f>IF(ISBLANK(HLOOKUP(CaseName,CaseData,MATCH($G398,cases!$G$4:$G$2494,0),FALSE)),"",HLOOKUP(CaseName,CaseData,MATCH($G398,cases!$G$4:$G$2494,0),FALSE))</f>
        <v/>
      </c>
      <c r="K398" s="831">
        <v>0.01</v>
      </c>
      <c r="L398" s="794">
        <f t="shared" si="22"/>
        <v>0.01</v>
      </c>
      <c r="M398" s="796" t="s">
        <v>291</v>
      </c>
      <c r="N398" s="797"/>
      <c r="O398" s="799" t="s">
        <v>1617</v>
      </c>
      <c r="P398" s="797" t="s">
        <v>1635</v>
      </c>
    </row>
    <row r="399" spans="1:16" ht="12.75" customHeight="1" x14ac:dyDescent="0.3">
      <c r="A399" s="797"/>
      <c r="B399" s="797"/>
      <c r="C399" s="797" t="s">
        <v>1588</v>
      </c>
      <c r="D399" s="797"/>
      <c r="E399" s="797"/>
      <c r="F399" s="797"/>
      <c r="G399" s="796" t="s">
        <v>1636</v>
      </c>
      <c r="H399" s="796" t="s">
        <v>291</v>
      </c>
      <c r="I399" s="800"/>
      <c r="J399" s="792" t="str">
        <f>IF(ISBLANK(HLOOKUP(CaseName,CaseData,MATCH($G399,cases!$G$4:$G$2494,0),FALSE)),"",HLOOKUP(CaseName,CaseData,MATCH($G399,cases!$G$4:$G$2494,0),FALSE))</f>
        <v/>
      </c>
      <c r="K399" s="831">
        <f>(L370/(L370+0.8))^2</f>
        <v>2.8691243711917447E-6</v>
      </c>
      <c r="L399" s="794">
        <f t="shared" si="22"/>
        <v>2.8691243711917447E-6</v>
      </c>
      <c r="M399" s="796" t="s">
        <v>291</v>
      </c>
      <c r="N399" s="797"/>
      <c r="O399" s="799" t="s">
        <v>1621</v>
      </c>
      <c r="P399" s="797" t="s">
        <v>1627</v>
      </c>
    </row>
    <row r="400" spans="1:16" ht="12.75" customHeight="1" x14ac:dyDescent="0.3">
      <c r="A400" s="797" t="s">
        <v>1637</v>
      </c>
      <c r="B400" s="797"/>
      <c r="C400" s="797"/>
      <c r="D400" s="797"/>
      <c r="E400" s="797"/>
      <c r="F400" s="797"/>
      <c r="G400" s="796" t="s">
        <v>1638</v>
      </c>
      <c r="H400" s="796" t="s">
        <v>335</v>
      </c>
      <c r="I400" s="800"/>
      <c r="J400" s="792" t="str">
        <f>IF(ISBLANK(HLOOKUP(CaseName,CaseData,MATCH($G400,cases!$G$4:$G$2494,0),FALSE)),"",HLOOKUP(CaseName,CaseData,MATCH($G400,cases!$G$4:$G$2494,0),FALSE))</f>
        <v/>
      </c>
      <c r="K400" s="831">
        <f>(L401*L20*L16)/(L5)</f>
        <v>9.4506281450572056E-7</v>
      </c>
      <c r="L400" s="794">
        <f t="shared" si="22"/>
        <v>9.4506281450572056E-7</v>
      </c>
      <c r="M400" s="796" t="s">
        <v>335</v>
      </c>
      <c r="N400" s="797"/>
      <c r="O400" s="799"/>
      <c r="P400" s="797"/>
    </row>
    <row r="401" spans="1:16" ht="12.75" customHeight="1" x14ac:dyDescent="0.3">
      <c r="A401" s="797"/>
      <c r="B401" s="797" t="s">
        <v>1612</v>
      </c>
      <c r="C401" s="797"/>
      <c r="D401" s="797"/>
      <c r="E401" s="797"/>
      <c r="F401" s="797"/>
      <c r="G401" s="796" t="s">
        <v>1639</v>
      </c>
      <c r="H401" s="796" t="s">
        <v>866</v>
      </c>
      <c r="I401" s="800"/>
      <c r="J401" s="792" t="str">
        <f>IF(ISBLANK(HLOOKUP(CaseName,CaseData,MATCH($G401,cases!$G$4:$G$2494,0),FALSE)),"",HLOOKUP(CaseName,CaseData,MATCH($G401,cases!$G$4:$G$2494,0),FALSE))</f>
        <v/>
      </c>
      <c r="K401" s="831">
        <f>1/(L402+L403)+L371</f>
        <v>1.5819953423360982E-3</v>
      </c>
      <c r="L401" s="794">
        <f t="shared" si="22"/>
        <v>1.5819953423360982E-3</v>
      </c>
      <c r="M401" s="796" t="s">
        <v>866</v>
      </c>
      <c r="N401" s="797"/>
      <c r="O401" s="799"/>
      <c r="P401" s="797"/>
    </row>
    <row r="402" spans="1:16" ht="12.75" customHeight="1" x14ac:dyDescent="0.3">
      <c r="A402" s="797"/>
      <c r="B402" s="797" t="s">
        <v>1614</v>
      </c>
      <c r="C402" s="797"/>
      <c r="D402" s="797"/>
      <c r="E402" s="797"/>
      <c r="F402" s="797"/>
      <c r="G402" s="796" t="s">
        <v>1640</v>
      </c>
      <c r="H402" s="796" t="s">
        <v>1616</v>
      </c>
      <c r="I402" s="800"/>
      <c r="J402" s="792" t="str">
        <f>IF(ISBLANK(HLOOKUP(CaseName,CaseData,MATCH($G402,cases!$G$4:$G$2494,0),FALSE)),"",HLOOKUP(CaseName,CaseData,MATCH($G402,cases!$G$4:$G$2494,0),FALSE))</f>
        <v/>
      </c>
      <c r="K402" s="831">
        <v>74</v>
      </c>
      <c r="L402" s="794">
        <f t="shared" si="22"/>
        <v>74</v>
      </c>
      <c r="M402" s="796" t="s">
        <v>1616</v>
      </c>
      <c r="N402" s="797"/>
      <c r="O402" s="799"/>
      <c r="P402" s="797" t="s">
        <v>1618</v>
      </c>
    </row>
    <row r="403" spans="1:16" ht="12.75" customHeight="1" x14ac:dyDescent="0.3">
      <c r="A403" s="797"/>
      <c r="B403" s="797" t="s">
        <v>1619</v>
      </c>
      <c r="C403" s="797"/>
      <c r="D403" s="797"/>
      <c r="E403" s="797"/>
      <c r="F403" s="797"/>
      <c r="G403" s="796" t="s">
        <v>1641</v>
      </c>
      <c r="H403" s="796" t="s">
        <v>1616</v>
      </c>
      <c r="I403" s="800"/>
      <c r="J403" s="792" t="str">
        <f>IF(ISBLANK(HLOOKUP(CaseName,CaseData,MATCH($G403,cases!$G$4:$G$2494,0),FALSE)),"",HLOOKUP(CaseName,CaseData,MATCH($G403,cases!$G$4:$G$2494,0),FALSE))</f>
        <v/>
      </c>
      <c r="K403" s="831">
        <f>1/(L404*(L405+L406+L410))</f>
        <v>558.3513619442723</v>
      </c>
      <c r="L403" s="794">
        <f t="shared" si="22"/>
        <v>558.3513619442723</v>
      </c>
      <c r="M403" s="796" t="s">
        <v>1616</v>
      </c>
      <c r="N403" s="797"/>
      <c r="O403" s="799"/>
      <c r="P403" s="797"/>
    </row>
    <row r="404" spans="1:16" ht="12.75" customHeight="1" x14ac:dyDescent="0.3">
      <c r="A404" s="797"/>
      <c r="B404" s="797"/>
      <c r="C404" s="797" t="s">
        <v>1622</v>
      </c>
      <c r="D404" s="797"/>
      <c r="E404" s="797"/>
      <c r="F404" s="797"/>
      <c r="G404" s="796" t="s">
        <v>1642</v>
      </c>
      <c r="H404" s="796" t="s">
        <v>866</v>
      </c>
      <c r="I404" s="800"/>
      <c r="J404" s="792" t="str">
        <f>IF(ISBLANK(HLOOKUP(CaseName,CaseData,MATCH($G404,cases!$G$4:$G$2494,0),FALSE)),"",HLOOKUP(CaseName,CaseData,MATCH($G404,cases!$G$4:$G$2494,0),FALSE))</f>
        <v/>
      </c>
      <c r="K404" s="831">
        <v>0.19</v>
      </c>
      <c r="L404" s="794">
        <f t="shared" si="22"/>
        <v>0.19</v>
      </c>
      <c r="M404" s="796" t="s">
        <v>866</v>
      </c>
      <c r="N404" s="797"/>
      <c r="O404" s="799"/>
      <c r="P404" s="797" t="s">
        <v>1625</v>
      </c>
    </row>
    <row r="405" spans="1:16" ht="12.75" customHeight="1" x14ac:dyDescent="0.3">
      <c r="A405" s="797"/>
      <c r="B405" s="797"/>
      <c r="C405" s="797" t="s">
        <v>1584</v>
      </c>
      <c r="D405" s="797"/>
      <c r="E405" s="797"/>
      <c r="F405" s="797"/>
      <c r="G405" s="796" t="s">
        <v>1643</v>
      </c>
      <c r="H405" s="796" t="s">
        <v>291</v>
      </c>
      <c r="I405" s="800"/>
      <c r="J405" s="792" t="str">
        <f>IF(ISBLANK(HLOOKUP(CaseName,CaseData,MATCH($G405,cases!$G$4:$G$2494,0),FALSE)),"",HLOOKUP(CaseName,CaseData,MATCH($G405,cases!$G$4:$G$2494,0),FALSE))</f>
        <v/>
      </c>
      <c r="K405" s="831">
        <f>L372^(-2/3)</f>
        <v>9.4144410707051943E-3</v>
      </c>
      <c r="L405" s="794">
        <f t="shared" si="22"/>
        <v>9.4144410707051943E-3</v>
      </c>
      <c r="M405" s="796" t="s">
        <v>291</v>
      </c>
      <c r="N405" s="797"/>
      <c r="O405" s="799"/>
      <c r="P405" s="797" t="s">
        <v>1627</v>
      </c>
    </row>
    <row r="406" spans="1:16" ht="12.75" customHeight="1" x14ac:dyDescent="0.3">
      <c r="A406" s="797"/>
      <c r="B406" s="797"/>
      <c r="C406" s="797" t="s">
        <v>1586</v>
      </c>
      <c r="D406" s="797"/>
      <c r="E406" s="797"/>
      <c r="F406" s="797"/>
      <c r="G406" s="796" t="s">
        <v>1644</v>
      </c>
      <c r="H406" s="796" t="s">
        <v>291</v>
      </c>
      <c r="I406" s="800"/>
      <c r="J406" s="792" t="str">
        <f>IF(ISBLANK(HLOOKUP(CaseName,CaseData,MATCH($G406,cases!$G$4:$G$2494,0),FALSE)),"",HLOOKUP(CaseName,CaseData,MATCH($G406,cases!$G$4:$G$2494,0),FALSE))</f>
        <v/>
      </c>
      <c r="K406" s="831">
        <f>0.3*(L409*(RadS/(RadS+L407))+(1-L409)*(RadS/(RadS+L408)))</f>
        <v>8.9368841993789489E-6</v>
      </c>
      <c r="L406" s="794">
        <f t="shared" si="22"/>
        <v>8.9368841993789489E-6</v>
      </c>
      <c r="M406" s="796" t="s">
        <v>291</v>
      </c>
      <c r="N406" s="797"/>
      <c r="O406" s="799"/>
      <c r="P406" s="797" t="s">
        <v>1627</v>
      </c>
    </row>
    <row r="407" spans="1:16" ht="12.75" customHeight="1" x14ac:dyDescent="0.3">
      <c r="A407" s="797"/>
      <c r="B407" s="797"/>
      <c r="C407" s="797"/>
      <c r="D407" s="797" t="s">
        <v>1629</v>
      </c>
      <c r="E407" s="797"/>
      <c r="F407" s="797"/>
      <c r="G407" s="796" t="s">
        <v>1645</v>
      </c>
      <c r="H407" s="796" t="s">
        <v>813</v>
      </c>
      <c r="I407" s="800"/>
      <c r="J407" s="792" t="str">
        <f>IF(ISBLANK(HLOOKUP(CaseName,CaseData,MATCH($G407,cases!$G$4:$G$2494,0),FALSE)),"",HLOOKUP(CaseName,CaseData,MATCH($G407,cases!$G$4:$G$2494,0),FALSE))</f>
        <v/>
      </c>
      <c r="K407" s="831">
        <f>1*10^-5</f>
        <v>1.0000000000000001E-5</v>
      </c>
      <c r="L407" s="794">
        <f t="shared" si="22"/>
        <v>1.0000000000000001E-5</v>
      </c>
      <c r="M407" s="796" t="s">
        <v>813</v>
      </c>
      <c r="N407" s="797"/>
      <c r="O407" s="799"/>
      <c r="P407" s="797" t="s">
        <v>1627</v>
      </c>
    </row>
    <row r="408" spans="1:16" ht="12.75" customHeight="1" x14ac:dyDescent="0.3">
      <c r="A408" s="797"/>
      <c r="B408" s="797"/>
      <c r="C408" s="797"/>
      <c r="D408" s="797" t="s">
        <v>1631</v>
      </c>
      <c r="E408" s="797"/>
      <c r="F408" s="797"/>
      <c r="G408" s="796" t="s">
        <v>1646</v>
      </c>
      <c r="H408" s="796" t="s">
        <v>813</v>
      </c>
      <c r="I408" s="800"/>
      <c r="J408" s="792" t="str">
        <f>IF(ISBLANK(HLOOKUP(CaseName,CaseData,MATCH($G408,cases!$G$4:$G$2494,0),FALSE)),"",HLOOKUP(CaseName,CaseData,MATCH($G408,cases!$G$4:$G$2494,0),FALSE))</f>
        <v/>
      </c>
      <c r="K408" s="831">
        <f>0.0005</f>
        <v>5.0000000000000001E-4</v>
      </c>
      <c r="L408" s="794">
        <f t="shared" si="22"/>
        <v>5.0000000000000001E-4</v>
      </c>
      <c r="M408" s="796" t="s">
        <v>813</v>
      </c>
      <c r="N408" s="797"/>
      <c r="O408" s="799"/>
      <c r="P408" s="797" t="s">
        <v>1627</v>
      </c>
    </row>
    <row r="409" spans="1:16" ht="12.75" customHeight="1" x14ac:dyDescent="0.3">
      <c r="A409" s="797"/>
      <c r="B409" s="797"/>
      <c r="C409" s="797"/>
      <c r="D409" s="797" t="s">
        <v>1633</v>
      </c>
      <c r="E409" s="797"/>
      <c r="F409" s="797"/>
      <c r="G409" s="796" t="s">
        <v>1647</v>
      </c>
      <c r="H409" s="796" t="s">
        <v>291</v>
      </c>
      <c r="I409" s="800"/>
      <c r="J409" s="792" t="str">
        <f>IF(ISBLANK(HLOOKUP(CaseName,CaseData,MATCH($G409,cases!$G$4:$G$2494,0),FALSE)),"",HLOOKUP(CaseName,CaseData,MATCH($G409,cases!$G$4:$G$2494,0),FALSE))</f>
        <v/>
      </c>
      <c r="K409" s="831">
        <v>0.01</v>
      </c>
      <c r="L409" s="794">
        <f t="shared" si="22"/>
        <v>0.01</v>
      </c>
      <c r="M409" s="796" t="s">
        <v>291</v>
      </c>
      <c r="N409" s="797"/>
      <c r="O409" s="799"/>
      <c r="P409" s="797" t="s">
        <v>1627</v>
      </c>
    </row>
    <row r="410" spans="1:16" ht="12.75" customHeight="1" x14ac:dyDescent="0.3">
      <c r="A410" s="797"/>
      <c r="B410" s="797"/>
      <c r="C410" s="797" t="s">
        <v>1588</v>
      </c>
      <c r="D410" s="797"/>
      <c r="E410" s="797"/>
      <c r="F410" s="797"/>
      <c r="G410" s="796" t="s">
        <v>1648</v>
      </c>
      <c r="H410" s="796" t="s">
        <v>291</v>
      </c>
      <c r="I410" s="800"/>
      <c r="J410" s="792" t="str">
        <f>IF(ISBLANK(HLOOKUP(CaseName,CaseData,MATCH($G410,cases!$G$4:$G$2494,0),FALSE)),"",HLOOKUP(CaseName,CaseData,MATCH($G410,cases!$G$4:$G$2494,0),FALSE))</f>
        <v/>
      </c>
      <c r="K410" s="831">
        <f>(L370/(L370+0.8))^2</f>
        <v>2.8691243711917447E-6</v>
      </c>
      <c r="L410" s="794">
        <f t="shared" si="22"/>
        <v>2.8691243711917447E-6</v>
      </c>
      <c r="M410" s="796" t="s">
        <v>291</v>
      </c>
      <c r="N410" s="797"/>
      <c r="O410" s="799"/>
      <c r="P410" s="797" t="s">
        <v>1627</v>
      </c>
    </row>
    <row r="411" spans="1:16" ht="12.75" customHeight="1" x14ac:dyDescent="0.3">
      <c r="A411" s="797" t="s">
        <v>1649</v>
      </c>
      <c r="B411" s="797"/>
      <c r="C411" s="797"/>
      <c r="D411" s="797"/>
      <c r="E411" s="797"/>
      <c r="F411" s="797"/>
      <c r="G411" s="796" t="s">
        <v>1650</v>
      </c>
      <c r="H411" s="796" t="s">
        <v>335</v>
      </c>
      <c r="I411" s="800"/>
      <c r="J411" s="792" t="str">
        <f>IF(ISBLANK(HLOOKUP(CaseName,CaseData,MATCH($G411,cases!$G$4:$G$2494,0),FALSE)),"",HLOOKUP(CaseName,CaseData,MATCH($G411,cases!$G$4:$G$2494,0),FALSE))</f>
        <v/>
      </c>
      <c r="K411" s="831">
        <f>(L412*L21*L16)/(L5)</f>
        <v>1.5751046908428679E-7</v>
      </c>
      <c r="L411" s="794">
        <f t="shared" si="22"/>
        <v>1.5751046908428679E-7</v>
      </c>
      <c r="M411" s="796" t="s">
        <v>335</v>
      </c>
      <c r="N411" s="797"/>
      <c r="O411" s="799"/>
      <c r="P411" s="797"/>
    </row>
    <row r="412" spans="1:16" ht="12.75" customHeight="1" x14ac:dyDescent="0.3">
      <c r="A412" s="797"/>
      <c r="B412" s="797" t="s">
        <v>1612</v>
      </c>
      <c r="C412" s="797"/>
      <c r="D412" s="797"/>
      <c r="E412" s="797"/>
      <c r="F412" s="797"/>
      <c r="G412" s="796" t="s">
        <v>1651</v>
      </c>
      <c r="H412" s="796" t="s">
        <v>866</v>
      </c>
      <c r="I412" s="800"/>
      <c r="J412" s="792" t="str">
        <f>IF(ISBLANK(HLOOKUP(CaseName,CaseData,MATCH($G412,cases!$G$4:$G$2494,0),FALSE)),"",HLOOKUP(CaseName,CaseData,MATCH($G412,cases!$G$4:$G$2494,0),FALSE))</f>
        <v/>
      </c>
      <c r="K412" s="831">
        <f>1/(L413+L414)+L371</f>
        <v>1.5819953423360982E-3</v>
      </c>
      <c r="L412" s="794">
        <f t="shared" si="22"/>
        <v>1.5819953423360982E-3</v>
      </c>
      <c r="M412" s="796" t="s">
        <v>866</v>
      </c>
      <c r="N412" s="797"/>
      <c r="O412" s="799"/>
      <c r="P412" s="797"/>
    </row>
    <row r="413" spans="1:16" ht="12.75" customHeight="1" x14ac:dyDescent="0.3">
      <c r="A413" s="797"/>
      <c r="B413" s="797" t="s">
        <v>1614</v>
      </c>
      <c r="C413" s="797"/>
      <c r="D413" s="797"/>
      <c r="E413" s="797"/>
      <c r="F413" s="797"/>
      <c r="G413" s="796" t="s">
        <v>1652</v>
      </c>
      <c r="H413" s="796" t="s">
        <v>1616</v>
      </c>
      <c r="I413" s="800"/>
      <c r="J413" s="792" t="str">
        <f>IF(ISBLANK(HLOOKUP(CaseName,CaseData,MATCH($G413,cases!$G$4:$G$2494,0),FALSE)),"",HLOOKUP(CaseName,CaseData,MATCH($G413,cases!$G$4:$G$2494,0),FALSE))</f>
        <v/>
      </c>
      <c r="K413" s="831">
        <v>74</v>
      </c>
      <c r="L413" s="794">
        <f t="shared" si="22"/>
        <v>74</v>
      </c>
      <c r="M413" s="796" t="s">
        <v>1616</v>
      </c>
      <c r="N413" s="797"/>
      <c r="O413" s="799"/>
      <c r="P413" s="797" t="s">
        <v>1625</v>
      </c>
    </row>
    <row r="414" spans="1:16" ht="12.75" customHeight="1" x14ac:dyDescent="0.3">
      <c r="A414" s="797"/>
      <c r="B414" s="797" t="s">
        <v>1619</v>
      </c>
      <c r="C414" s="797"/>
      <c r="D414" s="797"/>
      <c r="E414" s="797"/>
      <c r="F414" s="797"/>
      <c r="G414" s="796" t="s">
        <v>1653</v>
      </c>
      <c r="H414" s="796" t="s">
        <v>1616</v>
      </c>
      <c r="I414" s="800"/>
      <c r="J414" s="792" t="str">
        <f>IF(ISBLANK(HLOOKUP(CaseName,CaseData,MATCH($G414,cases!$G$4:$G$2494,0),FALSE)),"",HLOOKUP(CaseName,CaseData,MATCH($G414,cases!$G$4:$G$2494,0),FALSE))</f>
        <v/>
      </c>
      <c r="K414" s="831">
        <f>1/(L415*(L416+L417+L421))</f>
        <v>558.3513619442723</v>
      </c>
      <c r="L414" s="794">
        <f t="shared" si="22"/>
        <v>558.3513619442723</v>
      </c>
      <c r="M414" s="796" t="s">
        <v>1616</v>
      </c>
      <c r="N414" s="797"/>
      <c r="O414" s="799"/>
      <c r="P414" s="797"/>
    </row>
    <row r="415" spans="1:16" ht="12.75" customHeight="1" x14ac:dyDescent="0.3">
      <c r="A415" s="797"/>
      <c r="B415" s="797"/>
      <c r="C415" s="797" t="s">
        <v>1622</v>
      </c>
      <c r="D415" s="797"/>
      <c r="E415" s="797"/>
      <c r="F415" s="797"/>
      <c r="G415" s="796" t="s">
        <v>1654</v>
      </c>
      <c r="H415" s="796" t="s">
        <v>866</v>
      </c>
      <c r="I415" s="800"/>
      <c r="J415" s="792" t="str">
        <f>IF(ISBLANK(HLOOKUP(CaseName,CaseData,MATCH($G415,cases!$G$4:$G$2494,0),FALSE)),"",HLOOKUP(CaseName,CaseData,MATCH($G415,cases!$G$4:$G$2494,0),FALSE))</f>
        <v/>
      </c>
      <c r="K415" s="831">
        <v>0.19</v>
      </c>
      <c r="L415" s="794">
        <f t="shared" si="22"/>
        <v>0.19</v>
      </c>
      <c r="M415" s="796" t="s">
        <v>866</v>
      </c>
      <c r="N415" s="797"/>
      <c r="O415" s="799"/>
      <c r="P415" s="797" t="s">
        <v>1625</v>
      </c>
    </row>
    <row r="416" spans="1:16" ht="12.75" customHeight="1" x14ac:dyDescent="0.3">
      <c r="A416" s="797"/>
      <c r="B416" s="797"/>
      <c r="C416" s="797" t="s">
        <v>1584</v>
      </c>
      <c r="D416" s="797"/>
      <c r="E416" s="797"/>
      <c r="F416" s="797"/>
      <c r="G416" s="796" t="s">
        <v>1655</v>
      </c>
      <c r="H416" s="796" t="s">
        <v>291</v>
      </c>
      <c r="I416" s="800"/>
      <c r="J416" s="792" t="str">
        <f>IF(ISBLANK(HLOOKUP(CaseName,CaseData,MATCH($G416,cases!$G$4:$G$2494,0),FALSE)),"",HLOOKUP(CaseName,CaseData,MATCH($G416,cases!$G$4:$G$2494,0),FALSE))</f>
        <v/>
      </c>
      <c r="K416" s="831">
        <f>L372^(-2/3)</f>
        <v>9.4144410707051943E-3</v>
      </c>
      <c r="L416" s="794">
        <f t="shared" si="22"/>
        <v>9.4144410707051943E-3</v>
      </c>
      <c r="M416" s="796" t="s">
        <v>291</v>
      </c>
      <c r="N416" s="797"/>
      <c r="O416" s="799"/>
      <c r="P416" s="797" t="s">
        <v>1627</v>
      </c>
    </row>
    <row r="417" spans="1:16" ht="12.75" customHeight="1" x14ac:dyDescent="0.3">
      <c r="A417" s="797"/>
      <c r="B417" s="797"/>
      <c r="C417" s="797" t="s">
        <v>1586</v>
      </c>
      <c r="D417" s="797"/>
      <c r="E417" s="797"/>
      <c r="F417" s="797"/>
      <c r="G417" s="796" t="s">
        <v>1656</v>
      </c>
      <c r="H417" s="796" t="s">
        <v>291</v>
      </c>
      <c r="I417" s="800"/>
      <c r="J417" s="792" t="str">
        <f>IF(ISBLANK(HLOOKUP(CaseName,CaseData,MATCH($G417,cases!$G$4:$G$2494,0),FALSE)),"",HLOOKUP(CaseName,CaseData,MATCH($G417,cases!$G$4:$G$2494,0),FALSE))</f>
        <v/>
      </c>
      <c r="K417" s="831">
        <f>0.3*(L420*(RadS/(RadS+L418))+(1-L420)*(RadS/(RadS+L419)))</f>
        <v>8.9368841993789489E-6</v>
      </c>
      <c r="L417" s="794">
        <f t="shared" si="22"/>
        <v>8.9368841993789489E-6</v>
      </c>
      <c r="M417" s="796" t="s">
        <v>291</v>
      </c>
      <c r="N417" s="797"/>
      <c r="O417" s="799"/>
      <c r="P417" s="797" t="s">
        <v>1627</v>
      </c>
    </row>
    <row r="418" spans="1:16" ht="12.75" customHeight="1" x14ac:dyDescent="0.3">
      <c r="A418" s="797"/>
      <c r="B418" s="797"/>
      <c r="C418" s="797"/>
      <c r="D418" s="797" t="s">
        <v>1629</v>
      </c>
      <c r="E418" s="797"/>
      <c r="F418" s="797"/>
      <c r="G418" s="796" t="s">
        <v>1657</v>
      </c>
      <c r="H418" s="796" t="s">
        <v>813</v>
      </c>
      <c r="I418" s="800"/>
      <c r="J418" s="792" t="str">
        <f>IF(ISBLANK(HLOOKUP(CaseName,CaseData,MATCH($G418,cases!$G$4:$G$2494,0),FALSE)),"",HLOOKUP(CaseName,CaseData,MATCH($G418,cases!$G$4:$G$2494,0),FALSE))</f>
        <v/>
      </c>
      <c r="K418" s="831">
        <f>1*10^-5</f>
        <v>1.0000000000000001E-5</v>
      </c>
      <c r="L418" s="794">
        <f t="shared" si="22"/>
        <v>1.0000000000000001E-5</v>
      </c>
      <c r="M418" s="796" t="s">
        <v>813</v>
      </c>
      <c r="N418" s="797"/>
      <c r="O418" s="799"/>
      <c r="P418" s="797" t="s">
        <v>1627</v>
      </c>
    </row>
    <row r="419" spans="1:16" ht="12.75" customHeight="1" x14ac:dyDescent="0.3">
      <c r="A419" s="797"/>
      <c r="B419" s="797"/>
      <c r="C419" s="797"/>
      <c r="D419" s="797" t="s">
        <v>1631</v>
      </c>
      <c r="E419" s="797"/>
      <c r="F419" s="797"/>
      <c r="G419" s="796" t="s">
        <v>1658</v>
      </c>
      <c r="H419" s="796" t="s">
        <v>813</v>
      </c>
      <c r="I419" s="800"/>
      <c r="J419" s="792" t="str">
        <f>IF(ISBLANK(HLOOKUP(CaseName,CaseData,MATCH($G419,cases!$G$4:$G$2494,0),FALSE)),"",HLOOKUP(CaseName,CaseData,MATCH($G419,cases!$G$4:$G$2494,0),FALSE))</f>
        <v/>
      </c>
      <c r="K419" s="831">
        <f>0.0005</f>
        <v>5.0000000000000001E-4</v>
      </c>
      <c r="L419" s="794">
        <f t="shared" si="22"/>
        <v>5.0000000000000001E-4</v>
      </c>
      <c r="M419" s="796" t="s">
        <v>813</v>
      </c>
      <c r="N419" s="797"/>
      <c r="O419" s="799"/>
      <c r="P419" s="797" t="s">
        <v>1627</v>
      </c>
    </row>
    <row r="420" spans="1:16" ht="12.75" customHeight="1" x14ac:dyDescent="0.3">
      <c r="A420" s="797"/>
      <c r="B420" s="797"/>
      <c r="C420" s="797"/>
      <c r="D420" s="797" t="s">
        <v>1633</v>
      </c>
      <c r="E420" s="797"/>
      <c r="F420" s="797"/>
      <c r="G420" s="796" t="s">
        <v>1659</v>
      </c>
      <c r="H420" s="796" t="s">
        <v>291</v>
      </c>
      <c r="I420" s="800"/>
      <c r="J420" s="792" t="str">
        <f>IF(ISBLANK(HLOOKUP(CaseName,CaseData,MATCH($G420,cases!$G$4:$G$2494,0),FALSE)),"",HLOOKUP(CaseName,CaseData,MATCH($G420,cases!$G$4:$G$2494,0),FALSE))</f>
        <v/>
      </c>
      <c r="K420" s="831">
        <v>0.01</v>
      </c>
      <c r="L420" s="794">
        <f t="shared" si="22"/>
        <v>0.01</v>
      </c>
      <c r="M420" s="796" t="s">
        <v>291</v>
      </c>
      <c r="N420" s="797"/>
      <c r="O420" s="799"/>
      <c r="P420" s="797" t="s">
        <v>1627</v>
      </c>
    </row>
    <row r="421" spans="1:16" ht="12.75" customHeight="1" x14ac:dyDescent="0.3">
      <c r="A421" s="797"/>
      <c r="B421" s="797"/>
      <c r="C421" s="797" t="s">
        <v>1588</v>
      </c>
      <c r="D421" s="797"/>
      <c r="E421" s="797"/>
      <c r="F421" s="797"/>
      <c r="G421" s="796" t="s">
        <v>1660</v>
      </c>
      <c r="H421" s="796" t="s">
        <v>291</v>
      </c>
      <c r="I421" s="800"/>
      <c r="J421" s="792" t="str">
        <f>IF(ISBLANK(HLOOKUP(CaseName,CaseData,MATCH($G421,cases!$G$4:$G$2494,0),FALSE)),"",HLOOKUP(CaseName,CaseData,MATCH($G421,cases!$G$4:$G$2494,0),FALSE))</f>
        <v/>
      </c>
      <c r="K421" s="831">
        <f>(L370/(L370+0.8))^2</f>
        <v>2.8691243711917447E-6</v>
      </c>
      <c r="L421" s="794">
        <f t="shared" si="22"/>
        <v>2.8691243711917447E-6</v>
      </c>
      <c r="M421" s="796" t="s">
        <v>291</v>
      </c>
      <c r="N421" s="797"/>
      <c r="O421" s="799"/>
      <c r="P421" s="797" t="s">
        <v>1627</v>
      </c>
    </row>
    <row r="422" spans="1:16" ht="12.75" customHeight="1" x14ac:dyDescent="0.3">
      <c r="A422" s="797" t="s">
        <v>1661</v>
      </c>
      <c r="B422" s="797"/>
      <c r="C422" s="797"/>
      <c r="D422" s="797"/>
      <c r="E422" s="797"/>
      <c r="F422" s="797"/>
      <c r="G422" s="796" t="s">
        <v>1662</v>
      </c>
      <c r="H422" s="796" t="s">
        <v>335</v>
      </c>
      <c r="I422" s="800"/>
      <c r="J422" s="792" t="str">
        <f>IF(ISBLANK(HLOOKUP(CaseName,CaseData,MATCH($G422,cases!$G$4:$G$2494,0),FALSE)),"",HLOOKUP(CaseName,CaseData,MATCH($G422,cases!$G$4:$G$2494,0),FALSE))</f>
        <v/>
      </c>
      <c r="K422" s="831">
        <f>(L423*L19*L16)/(L5)</f>
        <v>7.3280360241238941E-8</v>
      </c>
      <c r="L422" s="794">
        <f t="shared" si="22"/>
        <v>7.3280360241238941E-8</v>
      </c>
      <c r="M422" s="796" t="s">
        <v>335</v>
      </c>
      <c r="N422" s="797"/>
      <c r="O422" s="799"/>
      <c r="P422" s="797"/>
    </row>
    <row r="423" spans="1:16" ht="12.75" customHeight="1" x14ac:dyDescent="0.3">
      <c r="A423" s="797"/>
      <c r="B423" s="797" t="s">
        <v>1612</v>
      </c>
      <c r="C423" s="797"/>
      <c r="D423" s="797"/>
      <c r="E423" s="797"/>
      <c r="F423" s="797"/>
      <c r="G423" s="796" t="s">
        <v>1663</v>
      </c>
      <c r="H423" s="796" t="s">
        <v>866</v>
      </c>
      <c r="I423" s="851"/>
      <c r="J423" s="792" t="str">
        <f>IF(ISBLANK(HLOOKUP(CaseName,CaseData,MATCH($G423,cases!$G$4:$G$2494,0),FALSE)),"",HLOOKUP(CaseName,CaseData,MATCH($G423,cases!$G$4:$G$2494,0),FALSE))</f>
        <v/>
      </c>
      <c r="K423" s="831">
        <f>1/(L391+L424)+L382</f>
        <v>2.7259608052139847E-4</v>
      </c>
      <c r="L423" s="794">
        <f t="shared" si="22"/>
        <v>2.7259608052139847E-4</v>
      </c>
      <c r="M423" s="796" t="s">
        <v>866</v>
      </c>
      <c r="N423" s="797"/>
      <c r="O423" s="799"/>
      <c r="P423" s="797"/>
    </row>
    <row r="424" spans="1:16" ht="12.75" customHeight="1" x14ac:dyDescent="0.3">
      <c r="A424" s="797"/>
      <c r="B424" s="797" t="s">
        <v>1619</v>
      </c>
      <c r="C424" s="797"/>
      <c r="D424" s="797"/>
      <c r="E424" s="797"/>
      <c r="F424" s="797"/>
      <c r="G424" s="796" t="s">
        <v>1664</v>
      </c>
      <c r="H424" s="796" t="s">
        <v>1616</v>
      </c>
      <c r="I424" s="800"/>
      <c r="J424" s="792" t="str">
        <f>IF(ISBLANK(HLOOKUP(CaseName,CaseData,MATCH($G424,cases!$G$4:$G$2494,0),FALSE)),"",HLOOKUP(CaseName,CaseData,MATCH($G424,cases!$G$4:$G$2494,0),FALSE))</f>
        <v/>
      </c>
      <c r="K424" s="831">
        <f>1/(L393*(L425+L426+L427))</f>
        <v>3599.627301800424</v>
      </c>
      <c r="L424" s="794">
        <f t="shared" si="22"/>
        <v>3599.627301800424</v>
      </c>
      <c r="M424" s="796" t="s">
        <v>1616</v>
      </c>
      <c r="N424" s="797"/>
      <c r="O424" s="799"/>
      <c r="P424" s="797"/>
    </row>
    <row r="425" spans="1:16" ht="12.75" customHeight="1" x14ac:dyDescent="0.3">
      <c r="A425" s="797"/>
      <c r="B425" s="797"/>
      <c r="C425" s="797" t="s">
        <v>1584</v>
      </c>
      <c r="D425" s="797"/>
      <c r="E425" s="797"/>
      <c r="F425" s="797"/>
      <c r="G425" s="796" t="s">
        <v>1665</v>
      </c>
      <c r="H425" s="796" t="s">
        <v>291</v>
      </c>
      <c r="I425" s="800"/>
      <c r="J425" s="792" t="str">
        <f>IF(ISBLANK(HLOOKUP(CaseName,CaseData,MATCH($G425,cases!$G$4:$G$2494,0),FALSE)),"",HLOOKUP(CaseName,CaseData,MATCH($G425,cases!$G$4:$G$2494,0),FALSE))</f>
        <v/>
      </c>
      <c r="K425" s="831">
        <f>L383^(-2/3)</f>
        <v>1.4024088195419206E-3</v>
      </c>
      <c r="L425" s="794">
        <f t="shared" si="22"/>
        <v>1.4024088195419206E-3</v>
      </c>
      <c r="M425" s="796" t="s">
        <v>291</v>
      </c>
      <c r="N425" s="797"/>
      <c r="O425" s="799"/>
      <c r="P425" s="797" t="s">
        <v>1627</v>
      </c>
    </row>
    <row r="426" spans="1:16" ht="12.75" customHeight="1" x14ac:dyDescent="0.3">
      <c r="A426" s="797"/>
      <c r="B426" s="797"/>
      <c r="C426" s="797" t="s">
        <v>1586</v>
      </c>
      <c r="D426" s="797"/>
      <c r="E426" s="797"/>
      <c r="F426" s="797"/>
      <c r="G426" s="796" t="s">
        <v>1666</v>
      </c>
      <c r="H426" s="796" t="s">
        <v>291</v>
      </c>
      <c r="I426" s="800"/>
      <c r="J426" s="792" t="str">
        <f>IF(ISBLANK(HLOOKUP(CaseName,CaseData,MATCH($G426,cases!$G$4:$G$2494,0),FALSE)),"",HLOOKUP(CaseName,CaseData,MATCH($G426,cases!$G$4:$G$2494,0),FALSE))</f>
        <v/>
      </c>
      <c r="K426" s="831">
        <f>0.3*(L398*(L364/(L364+L396))+(1-L398)*(L364/(L364+L397)))</f>
        <v>4.062510531885534E-5</v>
      </c>
      <c r="L426" s="794">
        <f t="shared" si="22"/>
        <v>4.062510531885534E-5</v>
      </c>
      <c r="M426" s="796" t="s">
        <v>291</v>
      </c>
      <c r="N426" s="797"/>
      <c r="O426" s="799"/>
      <c r="P426" s="797" t="s">
        <v>1627</v>
      </c>
    </row>
    <row r="427" spans="1:16" ht="12.75" customHeight="1" x14ac:dyDescent="0.3">
      <c r="A427" s="797"/>
      <c r="B427" s="797"/>
      <c r="C427" s="797" t="s">
        <v>1588</v>
      </c>
      <c r="D427" s="797"/>
      <c r="E427" s="797"/>
      <c r="F427" s="797"/>
      <c r="G427" s="796" t="s">
        <v>1667</v>
      </c>
      <c r="H427" s="796" t="s">
        <v>291</v>
      </c>
      <c r="I427" s="800"/>
      <c r="J427" s="792" t="str">
        <f>IF(ISBLANK(HLOOKUP(CaseName,CaseData,MATCH($G427,cases!$G$4:$G$2494,0),FALSE)),"",HLOOKUP(CaseName,CaseData,MATCH($G427,cases!$G$4:$G$2494,0),FALSE))</f>
        <v/>
      </c>
      <c r="K427" s="831">
        <f>(L381/(L381+0.8))^2</f>
        <v>1.9105750572947769E-5</v>
      </c>
      <c r="L427" s="794">
        <f t="shared" si="22"/>
        <v>1.9105750572947769E-5</v>
      </c>
      <c r="M427" s="796" t="s">
        <v>291</v>
      </c>
      <c r="N427" s="797"/>
      <c r="O427" s="799"/>
      <c r="P427" s="797" t="s">
        <v>1627</v>
      </c>
    </row>
    <row r="428" spans="1:16" ht="12.75" customHeight="1" x14ac:dyDescent="0.3">
      <c r="A428" s="797" t="s">
        <v>1668</v>
      </c>
      <c r="B428" s="797"/>
      <c r="C428" s="797"/>
      <c r="D428" s="797"/>
      <c r="E428" s="797"/>
      <c r="F428" s="797"/>
      <c r="G428" s="796" t="s">
        <v>1669</v>
      </c>
      <c r="H428" s="796" t="s">
        <v>335</v>
      </c>
      <c r="I428" s="800"/>
      <c r="J428" s="792" t="str">
        <f>IF(ISBLANK(HLOOKUP(CaseName,CaseData,MATCH($G428,cases!$G$4:$G$2494,0),FALSE)),"",HLOOKUP(CaseName,CaseData,MATCH($G428,cases!$G$4:$G$2494,0),FALSE))</f>
        <v/>
      </c>
      <c r="K428" s="831">
        <f>(L429*L20*L16)/(L5)</f>
        <v>1.6284524498053096E-7</v>
      </c>
      <c r="L428" s="794">
        <f t="shared" ref="L428:L459" si="23">IF(ISBLANK(I428),IF(ISNUMBER(J428)=FALSE,K428,J428),I428)</f>
        <v>1.6284524498053096E-7</v>
      </c>
      <c r="M428" s="796" t="s">
        <v>335</v>
      </c>
      <c r="N428" s="797"/>
      <c r="O428" s="799"/>
      <c r="P428" s="797"/>
    </row>
    <row r="429" spans="1:16" ht="12.75" customHeight="1" x14ac:dyDescent="0.3">
      <c r="A429" s="797"/>
      <c r="B429" s="797" t="s">
        <v>1612</v>
      </c>
      <c r="C429" s="797"/>
      <c r="D429" s="797"/>
      <c r="E429" s="797"/>
      <c r="F429" s="797"/>
      <c r="G429" s="796" t="s">
        <v>1670</v>
      </c>
      <c r="H429" s="796" t="s">
        <v>866</v>
      </c>
      <c r="I429" s="800"/>
      <c r="J429" s="792" t="str">
        <f>IF(ISBLANK(HLOOKUP(CaseName,CaseData,MATCH($G429,cases!$G$4:$G$2494,0),FALSE)),"",HLOOKUP(CaseName,CaseData,MATCH($G429,cases!$G$4:$G$2494,0),FALSE))</f>
        <v/>
      </c>
      <c r="K429" s="831">
        <f>1/(L402+L430)+L382</f>
        <v>2.7259608052139847E-4</v>
      </c>
      <c r="L429" s="794">
        <f t="shared" si="23"/>
        <v>2.7259608052139847E-4</v>
      </c>
      <c r="M429" s="796" t="s">
        <v>866</v>
      </c>
      <c r="N429" s="797"/>
      <c r="O429" s="799"/>
      <c r="P429" s="797"/>
    </row>
    <row r="430" spans="1:16" ht="12.75" customHeight="1" x14ac:dyDescent="0.3">
      <c r="A430" s="797"/>
      <c r="B430" s="797" t="s">
        <v>1619</v>
      </c>
      <c r="C430" s="797"/>
      <c r="D430" s="797"/>
      <c r="E430" s="797"/>
      <c r="F430" s="797"/>
      <c r="G430" s="796" t="s">
        <v>1671</v>
      </c>
      <c r="H430" s="796" t="s">
        <v>1616</v>
      </c>
      <c r="I430" s="800"/>
      <c r="J430" s="792" t="str">
        <f>IF(ISBLANK(HLOOKUP(CaseName,CaseData,MATCH($G430,cases!$G$4:$G$2494,0),FALSE)),"",HLOOKUP(CaseName,CaseData,MATCH($G430,cases!$G$4:$G$2494,0),FALSE))</f>
        <v/>
      </c>
      <c r="K430" s="831">
        <f>1/(L404*(L431+L432+L433))</f>
        <v>3599.627301800424</v>
      </c>
      <c r="L430" s="794">
        <f t="shared" si="23"/>
        <v>3599.627301800424</v>
      </c>
      <c r="M430" s="796" t="s">
        <v>1616</v>
      </c>
      <c r="N430" s="797"/>
      <c r="O430" s="799"/>
      <c r="P430" s="797"/>
    </row>
    <row r="431" spans="1:16" ht="12.75" customHeight="1" x14ac:dyDescent="0.3">
      <c r="A431" s="797"/>
      <c r="B431" s="797"/>
      <c r="C431" s="797" t="s">
        <v>1584</v>
      </c>
      <c r="D431" s="797"/>
      <c r="E431" s="797"/>
      <c r="F431" s="797"/>
      <c r="G431" s="796" t="s">
        <v>1672</v>
      </c>
      <c r="H431" s="796" t="s">
        <v>291</v>
      </c>
      <c r="I431" s="800"/>
      <c r="J431" s="792" t="str">
        <f>IF(ISBLANK(HLOOKUP(CaseName,CaseData,MATCH($G431,cases!$G$4:$G$2494,0),FALSE)),"",HLOOKUP(CaseName,CaseData,MATCH($G431,cases!$G$4:$G$2494,0),FALSE))</f>
        <v/>
      </c>
      <c r="K431" s="831">
        <f>L383^(-2/3)</f>
        <v>1.4024088195419206E-3</v>
      </c>
      <c r="L431" s="794">
        <f t="shared" si="23"/>
        <v>1.4024088195419206E-3</v>
      </c>
      <c r="M431" s="796" t="s">
        <v>291</v>
      </c>
      <c r="N431" s="797"/>
      <c r="O431" s="799"/>
      <c r="P431" s="797" t="s">
        <v>1627</v>
      </c>
    </row>
    <row r="432" spans="1:16" ht="12.75" customHeight="1" x14ac:dyDescent="0.3">
      <c r="A432" s="797"/>
      <c r="B432" s="797"/>
      <c r="C432" s="797" t="s">
        <v>1586</v>
      </c>
      <c r="D432" s="797"/>
      <c r="E432" s="797"/>
      <c r="F432" s="797"/>
      <c r="G432" s="796" t="s">
        <v>1673</v>
      </c>
      <c r="H432" s="796" t="s">
        <v>291</v>
      </c>
      <c r="I432" s="800"/>
      <c r="J432" s="792" t="str">
        <f>IF(ISBLANK(HLOOKUP(CaseName,CaseData,MATCH($G432,cases!$G$4:$G$2494,0),FALSE)),"",HLOOKUP(CaseName,CaseData,MATCH($G432,cases!$G$4:$G$2494,0),FALSE))</f>
        <v/>
      </c>
      <c r="K432" s="831">
        <f>0.3*(L409*(L364/(L364+L407))+(1-L409)*(L364/(L364+L408)))</f>
        <v>4.062510531885534E-5</v>
      </c>
      <c r="L432" s="794">
        <f t="shared" si="23"/>
        <v>4.062510531885534E-5</v>
      </c>
      <c r="M432" s="796" t="s">
        <v>291</v>
      </c>
      <c r="N432" s="797"/>
      <c r="O432" s="799"/>
      <c r="P432" s="797" t="s">
        <v>1627</v>
      </c>
    </row>
    <row r="433" spans="1:16" ht="12.75" customHeight="1" x14ac:dyDescent="0.3">
      <c r="A433" s="797"/>
      <c r="B433" s="797"/>
      <c r="C433" s="797" t="s">
        <v>1588</v>
      </c>
      <c r="D433" s="797"/>
      <c r="E433" s="797"/>
      <c r="F433" s="797"/>
      <c r="G433" s="796" t="s">
        <v>1674</v>
      </c>
      <c r="H433" s="796" t="s">
        <v>291</v>
      </c>
      <c r="I433" s="800"/>
      <c r="J433" s="792" t="str">
        <f>IF(ISBLANK(HLOOKUP(CaseName,CaseData,MATCH($G433,cases!$G$4:$G$2494,0),FALSE)),"",HLOOKUP(CaseName,CaseData,MATCH($G433,cases!$G$4:$G$2494,0),FALSE))</f>
        <v/>
      </c>
      <c r="K433" s="831">
        <f>(L381/(L381+0.8))^2</f>
        <v>1.9105750572947769E-5</v>
      </c>
      <c r="L433" s="794">
        <f t="shared" si="23"/>
        <v>1.9105750572947769E-5</v>
      </c>
      <c r="M433" s="796" t="s">
        <v>291</v>
      </c>
      <c r="N433" s="797"/>
      <c r="O433" s="799"/>
      <c r="P433" s="797" t="s">
        <v>1627</v>
      </c>
    </row>
    <row r="434" spans="1:16" ht="12.75" customHeight="1" x14ac:dyDescent="0.3">
      <c r="A434" s="797" t="s">
        <v>1675</v>
      </c>
      <c r="B434" s="797"/>
      <c r="C434" s="797"/>
      <c r="D434" s="797"/>
      <c r="E434" s="797"/>
      <c r="F434" s="797"/>
      <c r="G434" s="796" t="s">
        <v>1676</v>
      </c>
      <c r="H434" s="796" t="s">
        <v>335</v>
      </c>
      <c r="I434" s="800"/>
      <c r="J434" s="792" t="str">
        <f>IF(ISBLANK(HLOOKUP(CaseName,CaseData,MATCH($G434,cases!$G$4:$G$2494,0),FALSE)),"",HLOOKUP(CaseName,CaseData,MATCH($G434,cases!$G$4:$G$2494,0),FALSE))</f>
        <v/>
      </c>
      <c r="K434" s="831">
        <f>(L435*L21*L16)/(L5)</f>
        <v>2.7140874163421829E-8</v>
      </c>
      <c r="L434" s="794">
        <f t="shared" si="23"/>
        <v>2.7140874163421829E-8</v>
      </c>
      <c r="M434" s="796" t="s">
        <v>335</v>
      </c>
      <c r="N434" s="797"/>
      <c r="O434" s="799"/>
      <c r="P434" s="797"/>
    </row>
    <row r="435" spans="1:16" ht="12.75" customHeight="1" x14ac:dyDescent="0.3">
      <c r="A435" s="797"/>
      <c r="B435" s="797" t="s">
        <v>1612</v>
      </c>
      <c r="C435" s="797"/>
      <c r="D435" s="797"/>
      <c r="E435" s="797"/>
      <c r="F435" s="797"/>
      <c r="G435" s="796" t="s">
        <v>1677</v>
      </c>
      <c r="H435" s="796" t="s">
        <v>866</v>
      </c>
      <c r="I435" s="800"/>
      <c r="J435" s="792" t="str">
        <f>IF(ISBLANK(HLOOKUP(CaseName,CaseData,MATCH($G435,cases!$G$4:$G$2494,0),FALSE)),"",HLOOKUP(CaseName,CaseData,MATCH($G435,cases!$G$4:$G$2494,0),FALSE))</f>
        <v/>
      </c>
      <c r="K435" s="831">
        <f>1/(L413+L436)+L382</f>
        <v>2.7259608052139847E-4</v>
      </c>
      <c r="L435" s="794">
        <f t="shared" si="23"/>
        <v>2.7259608052139847E-4</v>
      </c>
      <c r="M435" s="796" t="s">
        <v>866</v>
      </c>
      <c r="N435" s="797"/>
      <c r="O435" s="799"/>
      <c r="P435" s="797"/>
    </row>
    <row r="436" spans="1:16" ht="12.75" customHeight="1" x14ac:dyDescent="0.3">
      <c r="A436" s="797"/>
      <c r="B436" s="797" t="s">
        <v>1619</v>
      </c>
      <c r="C436" s="797"/>
      <c r="D436" s="797"/>
      <c r="E436" s="797"/>
      <c r="F436" s="797"/>
      <c r="G436" s="796" t="s">
        <v>1678</v>
      </c>
      <c r="H436" s="796" t="s">
        <v>1616</v>
      </c>
      <c r="I436" s="800"/>
      <c r="J436" s="792" t="str">
        <f>IF(ISBLANK(HLOOKUP(CaseName,CaseData,MATCH($G436,cases!$G$4:$G$2494,0),FALSE)),"",HLOOKUP(CaseName,CaseData,MATCH($G436,cases!$G$4:$G$2494,0),FALSE))</f>
        <v/>
      </c>
      <c r="K436" s="831">
        <f>1/(L415*(L437+L438+L439))</f>
        <v>3599.627301800424</v>
      </c>
      <c r="L436" s="794">
        <f t="shared" si="23"/>
        <v>3599.627301800424</v>
      </c>
      <c r="M436" s="796" t="s">
        <v>1616</v>
      </c>
      <c r="N436" s="797"/>
      <c r="O436" s="799"/>
      <c r="P436" s="797"/>
    </row>
    <row r="437" spans="1:16" ht="12.75" customHeight="1" x14ac:dyDescent="0.3">
      <c r="A437" s="797"/>
      <c r="B437" s="797"/>
      <c r="C437" s="797" t="s">
        <v>1584</v>
      </c>
      <c r="D437" s="797"/>
      <c r="E437" s="797"/>
      <c r="F437" s="797"/>
      <c r="G437" s="796" t="s">
        <v>1679</v>
      </c>
      <c r="H437" s="796" t="s">
        <v>291</v>
      </c>
      <c r="I437" s="800"/>
      <c r="J437" s="792" t="str">
        <f>IF(ISBLANK(HLOOKUP(CaseName,CaseData,MATCH($G437,cases!$G$4:$G$2494,0),FALSE)),"",HLOOKUP(CaseName,CaseData,MATCH($G437,cases!$G$4:$G$2494,0),FALSE))</f>
        <v/>
      </c>
      <c r="K437" s="831">
        <f>L383^(-2/3)</f>
        <v>1.4024088195419206E-3</v>
      </c>
      <c r="L437" s="794">
        <f t="shared" si="23"/>
        <v>1.4024088195419206E-3</v>
      </c>
      <c r="M437" s="796" t="s">
        <v>291</v>
      </c>
      <c r="N437" s="797"/>
      <c r="O437" s="799"/>
      <c r="P437" s="797" t="s">
        <v>1627</v>
      </c>
    </row>
    <row r="438" spans="1:16" ht="12.75" customHeight="1" x14ac:dyDescent="0.3">
      <c r="A438" s="797"/>
      <c r="B438" s="797"/>
      <c r="C438" s="797" t="s">
        <v>1586</v>
      </c>
      <c r="D438" s="797"/>
      <c r="E438" s="797"/>
      <c r="F438" s="797"/>
      <c r="G438" s="796" t="s">
        <v>1680</v>
      </c>
      <c r="H438" s="796" t="s">
        <v>291</v>
      </c>
      <c r="I438" s="800"/>
      <c r="J438" s="792" t="str">
        <f>IF(ISBLANK(HLOOKUP(CaseName,CaseData,MATCH($G438,cases!$G$4:$G$2494,0),FALSE)),"",HLOOKUP(CaseName,CaseData,MATCH($G438,cases!$G$4:$G$2494,0),FALSE))</f>
        <v/>
      </c>
      <c r="K438" s="831">
        <f>0.3*(L420*(L364/(L364+L418))+(1-L420)*(L364/(L364+L419)))</f>
        <v>4.062510531885534E-5</v>
      </c>
      <c r="L438" s="794">
        <f t="shared" si="23"/>
        <v>4.062510531885534E-5</v>
      </c>
      <c r="M438" s="796" t="s">
        <v>291</v>
      </c>
      <c r="N438" s="797"/>
      <c r="O438" s="799"/>
      <c r="P438" s="797" t="s">
        <v>1627</v>
      </c>
    </row>
    <row r="439" spans="1:16" ht="12.75" customHeight="1" x14ac:dyDescent="0.3">
      <c r="A439" s="797"/>
      <c r="B439" s="797"/>
      <c r="C439" s="797" t="s">
        <v>1588</v>
      </c>
      <c r="D439" s="797"/>
      <c r="E439" s="797"/>
      <c r="F439" s="797"/>
      <c r="G439" s="796" t="s">
        <v>1681</v>
      </c>
      <c r="H439" s="796" t="s">
        <v>291</v>
      </c>
      <c r="I439" s="800"/>
      <c r="J439" s="792" t="str">
        <f>IF(ISBLANK(HLOOKUP(CaseName,CaseData,MATCH($G439,cases!$G$4:$G$2494,0),FALSE)),"",HLOOKUP(CaseName,CaseData,MATCH($G439,cases!$G$4:$G$2494,0),FALSE))</f>
        <v/>
      </c>
      <c r="K439" s="831">
        <f>(L381/(L381+0.8))^2</f>
        <v>1.9105750572947769E-5</v>
      </c>
      <c r="L439" s="794">
        <f t="shared" si="23"/>
        <v>1.9105750572947769E-5</v>
      </c>
      <c r="M439" s="796" t="s">
        <v>291</v>
      </c>
      <c r="N439" s="797"/>
      <c r="O439" s="799"/>
      <c r="P439" s="797" t="s">
        <v>1627</v>
      </c>
    </row>
    <row r="440" spans="1:16" ht="12.75" customHeight="1" x14ac:dyDescent="0.3">
      <c r="A440" s="797" t="s">
        <v>1682</v>
      </c>
      <c r="B440" s="797"/>
      <c r="C440" s="797"/>
      <c r="D440" s="797"/>
      <c r="E440" s="797"/>
      <c r="F440" s="797"/>
      <c r="G440" s="796" t="s">
        <v>1683</v>
      </c>
      <c r="H440" s="796" t="s">
        <v>335</v>
      </c>
      <c r="I440" s="800"/>
      <c r="J440" s="792" t="str">
        <f>IF(ISBLANK(HLOOKUP(CaseName,CaseData,MATCH($G440,cases!$G$4:$G$2494,0),FALSE)),"",HLOOKUP(CaseName,CaseData,MATCH($G440,cases!$G$4:$G$2494,0),FALSE))</f>
        <v/>
      </c>
      <c r="K440" s="831">
        <f>(L130*L19*L16)/(L5)</f>
        <v>2.6882396878588473E-7</v>
      </c>
      <c r="L440" s="794">
        <f t="shared" si="23"/>
        <v>2.6882396878588473E-7</v>
      </c>
      <c r="M440" s="796" t="s">
        <v>335</v>
      </c>
      <c r="N440" s="797" t="s">
        <v>1684</v>
      </c>
      <c r="O440" s="799"/>
      <c r="P440" s="797"/>
    </row>
    <row r="441" spans="1:16" ht="12.75" customHeight="1" x14ac:dyDescent="0.3">
      <c r="A441" s="797" t="s">
        <v>1685</v>
      </c>
      <c r="B441" s="797"/>
      <c r="C441" s="797"/>
      <c r="D441" s="797"/>
      <c r="E441" s="797"/>
      <c r="F441" s="797"/>
      <c r="G441" s="796" t="s">
        <v>1686</v>
      </c>
      <c r="H441" s="796" t="s">
        <v>335</v>
      </c>
      <c r="I441" s="800"/>
      <c r="J441" s="792" t="str">
        <f>IF(ISBLANK(HLOOKUP(CaseName,CaseData,MATCH($G441,cases!$G$4:$G$2494,0),FALSE)),"",HLOOKUP(CaseName,CaseData,MATCH($G441,cases!$G$4:$G$2494,0),FALSE))</f>
        <v/>
      </c>
      <c r="K441" s="831">
        <f>(L130*L20*L16)/(L5)</f>
        <v>5.9738659730196605E-7</v>
      </c>
      <c r="L441" s="794">
        <f t="shared" si="23"/>
        <v>5.9738659730196605E-7</v>
      </c>
      <c r="M441" s="796" t="s">
        <v>335</v>
      </c>
      <c r="N441" s="797" t="s">
        <v>1684</v>
      </c>
      <c r="O441" s="799"/>
      <c r="P441" s="797"/>
    </row>
    <row r="442" spans="1:16" ht="12.75" customHeight="1" x14ac:dyDescent="0.3">
      <c r="A442" s="797" t="s">
        <v>1687</v>
      </c>
      <c r="B442" s="797"/>
      <c r="C442" s="797"/>
      <c r="D442" s="797"/>
      <c r="E442" s="797"/>
      <c r="F442" s="797"/>
      <c r="G442" s="796" t="s">
        <v>1688</v>
      </c>
      <c r="H442" s="796" t="s">
        <v>335</v>
      </c>
      <c r="I442" s="800"/>
      <c r="J442" s="792" t="str">
        <f>IF(ISBLANK(HLOOKUP(CaseName,CaseData,MATCH($G442,cases!$G$4:$G$2494,0),FALSE)),"",HLOOKUP(CaseName,CaseData,MATCH($G442,cases!$G$4:$G$2494,0),FALSE))</f>
        <v/>
      </c>
      <c r="K442" s="831">
        <f>(L130*L21*L16)/(L5)</f>
        <v>9.9564432883661004E-8</v>
      </c>
      <c r="L442" s="794">
        <f t="shared" si="23"/>
        <v>9.9564432883661004E-8</v>
      </c>
      <c r="M442" s="796" t="s">
        <v>335</v>
      </c>
      <c r="N442" s="797" t="s">
        <v>1684</v>
      </c>
      <c r="O442" s="799"/>
      <c r="P442" s="797"/>
    </row>
    <row r="443" spans="1:16" ht="12.75" customHeight="1" x14ac:dyDescent="0.3">
      <c r="A443" s="797" t="s">
        <v>1689</v>
      </c>
      <c r="B443" s="797"/>
      <c r="C443" s="797"/>
      <c r="D443" s="797"/>
      <c r="E443" s="797"/>
      <c r="F443" s="797"/>
      <c r="G443" s="796" t="s">
        <v>1690</v>
      </c>
      <c r="H443" s="796" t="s">
        <v>335</v>
      </c>
      <c r="I443" s="800"/>
      <c r="J443" s="792" t="str">
        <f>IF(ISBLANK(HLOOKUP(CaseName,CaseData,MATCH($G443,cases!$G$4:$G$2494,0),FALSE)),"",HLOOKUP(CaseName,CaseData,MATCH($G443,cases!$G$4:$G$2494,0),FALSE))</f>
        <v/>
      </c>
      <c r="K443" s="831">
        <f>(L444*L17*L16)/(L5)</f>
        <v>1.0032526446876755E-8</v>
      </c>
      <c r="L443" s="794">
        <f t="shared" si="23"/>
        <v>1.0032526446876755E-8</v>
      </c>
      <c r="M443" s="796" t="s">
        <v>335</v>
      </c>
      <c r="N443" s="797"/>
      <c r="O443" s="799"/>
      <c r="P443" s="797"/>
    </row>
    <row r="444" spans="1:16" ht="12.75" customHeight="1" x14ac:dyDescent="0.3">
      <c r="A444" s="797"/>
      <c r="B444" s="797" t="s">
        <v>1612</v>
      </c>
      <c r="C444" s="797"/>
      <c r="D444" s="797"/>
      <c r="E444" s="797"/>
      <c r="F444" s="797"/>
      <c r="G444" s="796" t="s">
        <v>1691</v>
      </c>
      <c r="H444" s="796" t="s">
        <v>866</v>
      </c>
      <c r="I444" s="800"/>
      <c r="J444" s="792" t="str">
        <f>IF(ISBLANK(HLOOKUP(CaseName,CaseData,MATCH($G444,cases!$G$4:$G$2494,0),FALSE)),"",HLOOKUP(CaseName,CaseData,MATCH($G444,cases!$G$4:$G$2494,0),FALSE))</f>
        <v/>
      </c>
      <c r="K444" s="831">
        <f>1/(L445+L446)+L371</f>
        <v>4.0305664005938976E-3</v>
      </c>
      <c r="L444" s="794">
        <f t="shared" si="23"/>
        <v>4.0305664005938976E-3</v>
      </c>
      <c r="M444" s="796" t="s">
        <v>866</v>
      </c>
      <c r="N444" s="797"/>
      <c r="O444" s="799"/>
      <c r="P444" s="797"/>
    </row>
    <row r="445" spans="1:16" ht="12.75" customHeight="1" x14ac:dyDescent="0.3">
      <c r="A445" s="797"/>
      <c r="B445" s="797"/>
      <c r="C445" s="797" t="s">
        <v>1692</v>
      </c>
      <c r="D445" s="797"/>
      <c r="E445" s="797"/>
      <c r="F445" s="797"/>
      <c r="G445" s="797" t="s">
        <v>1693</v>
      </c>
      <c r="H445" s="796" t="s">
        <v>1616</v>
      </c>
      <c r="I445" s="800"/>
      <c r="J445" s="792" t="str">
        <f>IF(ISBLANK(HLOOKUP(CaseName,CaseData,MATCH($G445,cases!$G$4:$G$2494,0),FALSE)),"",HLOOKUP(CaseName,CaseData,MATCH($G445,cases!$G$4:$G$2494,0),FALSE))</f>
        <v/>
      </c>
      <c r="K445" s="831">
        <v>74</v>
      </c>
      <c r="L445" s="794">
        <f t="shared" si="23"/>
        <v>74</v>
      </c>
      <c r="M445" s="796" t="s">
        <v>1616</v>
      </c>
      <c r="N445" s="797"/>
      <c r="O445" s="799"/>
      <c r="P445" s="797" t="s">
        <v>1618</v>
      </c>
    </row>
    <row r="446" spans="1:16" ht="12.75" customHeight="1" x14ac:dyDescent="0.3">
      <c r="A446" s="797"/>
      <c r="B446" s="797"/>
      <c r="C446" s="797" t="s">
        <v>1694</v>
      </c>
      <c r="D446" s="797"/>
      <c r="E446" s="797"/>
      <c r="F446" s="797"/>
      <c r="G446" s="796" t="s">
        <v>1695</v>
      </c>
      <c r="H446" s="796" t="s">
        <v>1616</v>
      </c>
      <c r="I446" s="800"/>
      <c r="J446" s="792" t="str">
        <f>IF(ISBLANK(HLOOKUP(CaseName,CaseData,MATCH($G446,cases!$G$4:$G$2494,0),FALSE)),"",HLOOKUP(CaseName,CaseData,MATCH($G446,cases!$G$4:$G$2494,0),FALSE))</f>
        <v/>
      </c>
      <c r="K446" s="831">
        <f>1/(L447*(L448+L449))</f>
        <v>174.14078306938237</v>
      </c>
      <c r="L446" s="794">
        <f t="shared" si="23"/>
        <v>174.14078306938237</v>
      </c>
      <c r="M446" s="796" t="s">
        <v>1616</v>
      </c>
      <c r="N446" s="797"/>
      <c r="O446" s="799"/>
      <c r="P446" s="797"/>
    </row>
    <row r="447" spans="1:16" ht="12.75" customHeight="1" x14ac:dyDescent="0.3">
      <c r="A447" s="797"/>
      <c r="B447" s="797"/>
      <c r="C447" s="797" t="s">
        <v>1696</v>
      </c>
      <c r="D447" s="797"/>
      <c r="E447" s="797"/>
      <c r="F447" s="797"/>
      <c r="G447" s="796" t="s">
        <v>1697</v>
      </c>
      <c r="H447" s="796" t="s">
        <v>866</v>
      </c>
      <c r="I447" s="800"/>
      <c r="J447" s="792" t="str">
        <f>IF(ISBLANK(HLOOKUP(CaseName,CaseData,MATCH($G447,cases!$G$4:$G$2494,0),FALSE)),"",HLOOKUP(CaseName,CaseData,MATCH($G447,cases!$G$4:$G$2494,0),FALSE))</f>
        <v/>
      </c>
      <c r="K447" s="831">
        <v>0.19</v>
      </c>
      <c r="L447" s="794">
        <f t="shared" si="23"/>
        <v>0.19</v>
      </c>
      <c r="M447" s="796" t="s">
        <v>866</v>
      </c>
      <c r="N447" s="797"/>
      <c r="O447" s="799" t="s">
        <v>1624</v>
      </c>
      <c r="P447" s="797" t="s">
        <v>1625</v>
      </c>
    </row>
    <row r="448" spans="1:16" ht="12.75" customHeight="1" x14ac:dyDescent="0.3">
      <c r="A448" s="797"/>
      <c r="B448" s="797"/>
      <c r="C448" s="797"/>
      <c r="D448" s="797" t="s">
        <v>1584</v>
      </c>
      <c r="E448" s="797"/>
      <c r="F448" s="797"/>
      <c r="G448" s="796" t="s">
        <v>1698</v>
      </c>
      <c r="H448" s="796" t="s">
        <v>291</v>
      </c>
      <c r="I448" s="800"/>
      <c r="J448" s="792" t="str">
        <f>IF(ISBLANK(HLOOKUP(CaseName,CaseData,MATCH($G448,cases!$G$4:$G$2494,0),FALSE)),"",HLOOKUP(CaseName,CaseData,MATCH($G448,cases!$G$4:$G$2494,0),FALSE))</f>
        <v/>
      </c>
      <c r="K448" s="831">
        <f>L372^-(1/2)</f>
        <v>3.0223580036618181E-2</v>
      </c>
      <c r="L448" s="794">
        <f t="shared" si="23"/>
        <v>3.0223580036618181E-2</v>
      </c>
      <c r="M448" s="796" t="s">
        <v>291</v>
      </c>
      <c r="N448" s="797"/>
      <c r="O448" s="799"/>
      <c r="P448" s="797"/>
    </row>
    <row r="449" spans="1:16" ht="12.75" customHeight="1" x14ac:dyDescent="0.3">
      <c r="A449" s="797"/>
      <c r="B449" s="797"/>
      <c r="C449" s="797"/>
      <c r="D449" s="797" t="s">
        <v>1588</v>
      </c>
      <c r="E449" s="797"/>
      <c r="F449" s="797"/>
      <c r="G449" s="796" t="s">
        <v>1699</v>
      </c>
      <c r="H449" s="796" t="s">
        <v>291</v>
      </c>
      <c r="I449" s="800"/>
      <c r="J449" s="792" t="str">
        <f>IF(ISBLANK(HLOOKUP(CaseName,CaseData,MATCH($G449,cases!$G$4:$G$2494,0),FALSE)),"",HLOOKUP(CaseName,CaseData,MATCH($G449,cases!$G$4:$G$2494,0),FALSE))</f>
        <v/>
      </c>
      <c r="K449" s="831">
        <f>10^(-3/L370)</f>
        <v>0</v>
      </c>
      <c r="L449" s="794">
        <f t="shared" si="23"/>
        <v>0</v>
      </c>
      <c r="M449" s="796" t="s">
        <v>291</v>
      </c>
      <c r="N449" s="797"/>
      <c r="O449" s="799"/>
      <c r="P449" s="797"/>
    </row>
    <row r="450" spans="1:16" ht="12.75" customHeight="1" x14ac:dyDescent="0.3">
      <c r="A450" s="797" t="s">
        <v>1700</v>
      </c>
      <c r="B450" s="797"/>
      <c r="C450" s="797"/>
      <c r="D450" s="797"/>
      <c r="E450" s="797"/>
      <c r="F450" s="797"/>
      <c r="G450" s="796" t="s">
        <v>1701</v>
      </c>
      <c r="H450" s="796" t="s">
        <v>335</v>
      </c>
      <c r="I450" s="800"/>
      <c r="J450" s="792" t="str">
        <f>IF(ISBLANK(HLOOKUP(CaseName,CaseData,MATCH($G450,cases!$G$4:$G$2494,0),FALSE)),"",HLOOKUP(CaseName,CaseData,MATCH($G450,cases!$G$4:$G$2494,0),FALSE))</f>
        <v/>
      </c>
      <c r="K450" s="831">
        <f>(L451*L18*L16)/(L5)</f>
        <v>1.1035779091564432E-7</v>
      </c>
      <c r="L450" s="794">
        <f t="shared" si="23"/>
        <v>1.1035779091564432E-7</v>
      </c>
      <c r="M450" s="796" t="s">
        <v>335</v>
      </c>
      <c r="N450" s="797"/>
      <c r="O450" s="799"/>
      <c r="P450" s="797"/>
    </row>
    <row r="451" spans="1:16" ht="12.75" customHeight="1" x14ac:dyDescent="0.3">
      <c r="A451" s="797"/>
      <c r="B451" s="797" t="s">
        <v>1612</v>
      </c>
      <c r="C451" s="797"/>
      <c r="D451" s="797"/>
      <c r="E451" s="797"/>
      <c r="F451" s="797"/>
      <c r="G451" s="796" t="s">
        <v>1702</v>
      </c>
      <c r="H451" s="796" t="s">
        <v>866</v>
      </c>
      <c r="I451" s="800"/>
      <c r="J451" s="792" t="str">
        <f>IF(ISBLANK(HLOOKUP(CaseName,CaseData,MATCH($G451,cases!$G$4:$G$2494,0),FALSE)),"",HLOOKUP(CaseName,CaseData,MATCH($G451,cases!$G$4:$G$2494,0),FALSE))</f>
        <v/>
      </c>
      <c r="K451" s="831">
        <f>1/(L452+L446)+L371</f>
        <v>4.0305664005938976E-3</v>
      </c>
      <c r="L451" s="794">
        <f t="shared" si="23"/>
        <v>4.0305664005938976E-3</v>
      </c>
      <c r="M451" s="796" t="s">
        <v>866</v>
      </c>
      <c r="N451" s="797"/>
      <c r="O451" s="799"/>
      <c r="P451" s="797"/>
    </row>
    <row r="452" spans="1:16" ht="12.75" customHeight="1" x14ac:dyDescent="0.3">
      <c r="A452" s="797"/>
      <c r="B452" s="797"/>
      <c r="C452" s="797" t="s">
        <v>1703</v>
      </c>
      <c r="D452" s="797"/>
      <c r="E452" s="797"/>
      <c r="F452" s="797"/>
      <c r="G452" s="797" t="s">
        <v>1704</v>
      </c>
      <c r="H452" s="796" t="s">
        <v>1616</v>
      </c>
      <c r="I452" s="800"/>
      <c r="J452" s="792" t="str">
        <f>IF(ISBLANK(HLOOKUP(CaseName,CaseData,MATCH($G452,cases!$G$4:$G$2494,0),FALSE)),"",HLOOKUP(CaseName,CaseData,MATCH($G452,cases!$G$4:$G$2494,0),FALSE))</f>
        <v/>
      </c>
      <c r="K452" s="831">
        <v>74</v>
      </c>
      <c r="L452" s="794">
        <f t="shared" si="23"/>
        <v>74</v>
      </c>
      <c r="M452" s="796" t="s">
        <v>1616</v>
      </c>
      <c r="N452" s="797"/>
      <c r="O452" s="799" t="s">
        <v>1617</v>
      </c>
      <c r="P452" s="797" t="s">
        <v>1618</v>
      </c>
    </row>
    <row r="453" spans="1:16" ht="12.75" customHeight="1" x14ac:dyDescent="0.3">
      <c r="A453" s="797" t="s">
        <v>1705</v>
      </c>
      <c r="B453" s="797"/>
      <c r="C453" s="797"/>
      <c r="D453" s="797"/>
      <c r="E453" s="797"/>
      <c r="F453" s="797"/>
      <c r="G453" s="796" t="s">
        <v>1706</v>
      </c>
      <c r="H453" s="796" t="s">
        <v>335</v>
      </c>
      <c r="I453" s="800"/>
      <c r="J453" s="792" t="str">
        <f>IF(ISBLANK(HLOOKUP(CaseName,CaseData,MATCH($G453,cases!$G$4:$G$2494,0),FALSE)),"",HLOOKUP(CaseName,CaseData,MATCH($G453,cases!$G$4:$G$2494,0),FALSE))</f>
        <v/>
      </c>
      <c r="K453" s="831">
        <f>(L454*L22*L16)/(L5)</f>
        <v>1.4093170620238035E-8</v>
      </c>
      <c r="L453" s="794">
        <f t="shared" si="23"/>
        <v>1.4093170620238035E-8</v>
      </c>
      <c r="M453" s="796" t="s">
        <v>335</v>
      </c>
      <c r="N453" s="797"/>
      <c r="O453" s="799"/>
      <c r="P453" s="797"/>
    </row>
    <row r="454" spans="1:16" ht="12.75" customHeight="1" x14ac:dyDescent="0.3">
      <c r="A454" s="797"/>
      <c r="B454" s="797" t="s">
        <v>1612</v>
      </c>
      <c r="C454" s="797"/>
      <c r="D454" s="797"/>
      <c r="E454" s="797"/>
      <c r="F454" s="797"/>
      <c r="G454" s="796" t="s">
        <v>1707</v>
      </c>
      <c r="H454" s="796" t="s">
        <v>866</v>
      </c>
      <c r="I454" s="800"/>
      <c r="J454" s="792" t="str">
        <f>IF(ISBLANK(HLOOKUP(CaseName,CaseData,MATCH($G454,cases!$G$4:$G$2494,0),FALSE)),"",HLOOKUP(CaseName,CaseData,MATCH($G454,cases!$G$4:$G$2494,0),FALSE))</f>
        <v/>
      </c>
      <c r="K454" s="831">
        <f>1/(L455+L446)+L371</f>
        <v>3.2353682086772887E-3</v>
      </c>
      <c r="L454" s="794">
        <f t="shared" si="23"/>
        <v>3.2353682086772887E-3</v>
      </c>
      <c r="M454" s="796" t="s">
        <v>866</v>
      </c>
      <c r="N454" s="797"/>
      <c r="O454" s="799"/>
      <c r="P454" s="797"/>
    </row>
    <row r="455" spans="1:16" ht="12.75" customHeight="1" x14ac:dyDescent="0.3">
      <c r="A455" s="797"/>
      <c r="B455" s="797"/>
      <c r="C455" s="797" t="s">
        <v>1708</v>
      </c>
      <c r="D455" s="797"/>
      <c r="E455" s="797"/>
      <c r="F455" s="797"/>
      <c r="G455" s="797" t="s">
        <v>1709</v>
      </c>
      <c r="H455" s="796" t="s">
        <v>1616</v>
      </c>
      <c r="I455" s="800"/>
      <c r="J455" s="792" t="str">
        <f>IF(ISBLANK(HLOOKUP(CaseName,CaseData,MATCH($G455,cases!$G$4:$G$2494,0),FALSE)),"",HLOOKUP(CaseName,CaseData,MATCH($G455,cases!$G$4:$G$2494,0),FALSE))</f>
        <v/>
      </c>
      <c r="K455" s="831">
        <v>135</v>
      </c>
      <c r="L455" s="794">
        <f t="shared" si="23"/>
        <v>135</v>
      </c>
      <c r="M455" s="796" t="s">
        <v>1616</v>
      </c>
      <c r="N455" s="797"/>
      <c r="O455" s="799" t="s">
        <v>1617</v>
      </c>
      <c r="P455" s="797" t="s">
        <v>1618</v>
      </c>
    </row>
    <row r="456" spans="1:16" ht="12.75" customHeight="1" x14ac:dyDescent="0.3">
      <c r="A456" s="797" t="s">
        <v>1710</v>
      </c>
      <c r="B456" s="797"/>
      <c r="C456" s="797"/>
      <c r="D456" s="797"/>
      <c r="E456" s="797"/>
      <c r="F456" s="797"/>
      <c r="G456" s="797" t="s">
        <v>1711</v>
      </c>
      <c r="H456" s="796" t="s">
        <v>335</v>
      </c>
      <c r="I456" s="800"/>
      <c r="J456" s="792" t="str">
        <f>IF(ISBLANK(HLOOKUP(CaseName,CaseData,MATCH($G456,cases!$G$4:$G$2494,0),FALSE)),"",HLOOKUP(CaseName,CaseData,MATCH($G456,cases!$G$4:$G$2494,0),FALSE))</f>
        <v/>
      </c>
      <c r="K456" s="831">
        <f>L457*L17*L16/L5</f>
        <v>3.1113484188777306E-9</v>
      </c>
      <c r="L456" s="794">
        <f t="shared" si="23"/>
        <v>3.1113484188777306E-9</v>
      </c>
      <c r="M456" s="796" t="s">
        <v>335</v>
      </c>
      <c r="N456" s="797"/>
      <c r="O456" s="799"/>
      <c r="P456" s="797"/>
    </row>
    <row r="457" spans="1:16" ht="12.75" customHeight="1" x14ac:dyDescent="0.3">
      <c r="A457" s="797"/>
      <c r="B457" s="797" t="s">
        <v>1612</v>
      </c>
      <c r="C457" s="797"/>
      <c r="D457" s="797"/>
      <c r="E457" s="797"/>
      <c r="F457" s="797"/>
      <c r="G457" s="796" t="s">
        <v>1712</v>
      </c>
      <c r="H457" s="796" t="s">
        <v>866</v>
      </c>
      <c r="I457" s="800"/>
      <c r="J457" s="792" t="str">
        <f>IF(ISBLANK(HLOOKUP(CaseName,CaseData,MATCH($G457,cases!$G$4:$G$2494,0),FALSE)),"",HLOOKUP(CaseName,CaseData,MATCH($G457,cases!$G$4:$G$2494,0),FALSE))</f>
        <v/>
      </c>
      <c r="K457" s="831">
        <f>1/(L445+L458)+L382</f>
        <v>1.2499838863194361E-3</v>
      </c>
      <c r="L457" s="794">
        <f t="shared" si="23"/>
        <v>1.2499838863194361E-3</v>
      </c>
      <c r="M457" s="796" t="s">
        <v>866</v>
      </c>
      <c r="N457" s="797"/>
      <c r="O457" s="799"/>
      <c r="P457" s="797"/>
    </row>
    <row r="458" spans="1:16" ht="12.75" customHeight="1" x14ac:dyDescent="0.3">
      <c r="A458" s="797"/>
      <c r="B458" s="797"/>
      <c r="C458" s="797" t="s">
        <v>1713</v>
      </c>
      <c r="D458" s="797"/>
      <c r="E458" s="797"/>
      <c r="F458" s="797"/>
      <c r="G458" s="796" t="s">
        <v>1714</v>
      </c>
      <c r="H458" s="796" t="s">
        <v>1616</v>
      </c>
      <c r="I458" s="800"/>
      <c r="J458" s="792" t="str">
        <f>IF(ISBLANK(HLOOKUP(CaseName,CaseData,MATCH($G458,cases!$G$4:$G$2494,0),FALSE)),"",HLOOKUP(CaseName,CaseData,MATCH($G458,cases!$G$4:$G$2494,0),FALSE))</f>
        <v/>
      </c>
      <c r="K458" s="831">
        <f>1/(L447*(L459+L460))</f>
        <v>726.25715379339636</v>
      </c>
      <c r="L458" s="794">
        <f t="shared" si="23"/>
        <v>726.25715379339636</v>
      </c>
      <c r="M458" s="796" t="s">
        <v>1616</v>
      </c>
      <c r="N458" s="797"/>
      <c r="O458" s="799"/>
      <c r="P458" s="797"/>
    </row>
    <row r="459" spans="1:16" ht="12.75" customHeight="1" x14ac:dyDescent="0.3">
      <c r="A459" s="797"/>
      <c r="B459" s="797"/>
      <c r="C459" s="797"/>
      <c r="D459" s="797" t="s">
        <v>1584</v>
      </c>
      <c r="E459" s="797"/>
      <c r="F459" s="797"/>
      <c r="G459" s="796" t="s">
        <v>1715</v>
      </c>
      <c r="H459" s="796" t="s">
        <v>291</v>
      </c>
      <c r="I459" s="800"/>
      <c r="J459" s="792" t="str">
        <f>IF(ISBLANK(HLOOKUP(CaseName,CaseData,MATCH($G459,cases!$G$4:$G$2494,0),FALSE)),"",HLOOKUP(CaseName,CaseData,MATCH($G459,cases!$G$4:$G$2494,0),FALSE))</f>
        <v/>
      </c>
      <c r="K459" s="831">
        <f>L383^-(1/2)</f>
        <v>7.2469618608866611E-3</v>
      </c>
      <c r="L459" s="794">
        <f t="shared" si="23"/>
        <v>7.2469618608866611E-3</v>
      </c>
      <c r="M459" s="796" t="s">
        <v>291</v>
      </c>
      <c r="N459" s="797"/>
      <c r="O459" s="799"/>
      <c r="P459" s="797"/>
    </row>
    <row r="460" spans="1:16" ht="12.75" customHeight="1" x14ac:dyDescent="0.3">
      <c r="A460" s="797"/>
      <c r="B460" s="797"/>
      <c r="C460" s="797"/>
      <c r="D460" s="797" t="s">
        <v>1588</v>
      </c>
      <c r="E460" s="797"/>
      <c r="F460" s="797"/>
      <c r="G460" s="796" t="s">
        <v>1716</v>
      </c>
      <c r="H460" s="796" t="s">
        <v>291</v>
      </c>
      <c r="I460" s="800"/>
      <c r="J460" s="792" t="str">
        <f>IF(ISBLANK(HLOOKUP(CaseName,CaseData,MATCH($G460,cases!$G$4:$G$2494,0),FALSE)),"",HLOOKUP(CaseName,CaseData,MATCH($G460,cases!$G$4:$G$2494,0),FALSE))</f>
        <v/>
      </c>
      <c r="K460" s="831">
        <f>10^(-3/L381)</f>
        <v>0</v>
      </c>
      <c r="L460" s="794">
        <f t="shared" ref="L460:L491" si="24">IF(ISBLANK(I460),IF(ISNUMBER(J460)=FALSE,K460,J460),I460)</f>
        <v>0</v>
      </c>
      <c r="M460" s="796" t="s">
        <v>291</v>
      </c>
      <c r="N460" s="797"/>
      <c r="O460" s="799"/>
      <c r="P460" s="797"/>
    </row>
    <row r="461" spans="1:16" ht="12.75" customHeight="1" x14ac:dyDescent="0.3">
      <c r="A461" s="797" t="s">
        <v>1717</v>
      </c>
      <c r="B461" s="797"/>
      <c r="C461" s="797"/>
      <c r="D461" s="797"/>
      <c r="E461" s="797"/>
      <c r="F461" s="797"/>
      <c r="G461" s="797" t="s">
        <v>1718</v>
      </c>
      <c r="H461" s="796" t="s">
        <v>335</v>
      </c>
      <c r="I461" s="800"/>
      <c r="J461" s="792" t="str">
        <f>IF(ISBLANK(HLOOKUP(CaseName,CaseData,MATCH($G461,cases!$G$4:$G$2494,0),FALSE)),"",HLOOKUP(CaseName,CaseData,MATCH($G461,cases!$G$4:$G$2494,0),FALSE))</f>
        <v/>
      </c>
      <c r="K461" s="831">
        <f>L462*L18*L16/L5</f>
        <v>3.422483260765504E-8</v>
      </c>
      <c r="L461" s="794">
        <f t="shared" si="24"/>
        <v>3.422483260765504E-8</v>
      </c>
      <c r="M461" s="796" t="s">
        <v>335</v>
      </c>
      <c r="N461" s="797"/>
      <c r="O461" s="799"/>
      <c r="P461" s="797"/>
    </row>
    <row r="462" spans="1:16" ht="12.75" customHeight="1" x14ac:dyDescent="0.3">
      <c r="A462" s="797"/>
      <c r="B462" s="797" t="s">
        <v>1612</v>
      </c>
      <c r="C462" s="797"/>
      <c r="D462" s="797"/>
      <c r="E462" s="797"/>
      <c r="F462" s="797"/>
      <c r="G462" s="796" t="s">
        <v>1719</v>
      </c>
      <c r="H462" s="796" t="s">
        <v>866</v>
      </c>
      <c r="I462" s="800"/>
      <c r="J462" s="792" t="str">
        <f>IF(ISBLANK(HLOOKUP(CaseName,CaseData,MATCH($G462,cases!$G$4:$G$2494,0),FALSE)),"",HLOOKUP(CaseName,CaseData,MATCH($G462,cases!$G$4:$G$2494,0),FALSE))</f>
        <v/>
      </c>
      <c r="K462" s="831">
        <f>1/(L452+L458)+L382</f>
        <v>1.2499838863194361E-3</v>
      </c>
      <c r="L462" s="794">
        <f t="shared" si="24"/>
        <v>1.2499838863194361E-3</v>
      </c>
      <c r="M462" s="796" t="s">
        <v>866</v>
      </c>
      <c r="N462" s="797"/>
      <c r="O462" s="799"/>
      <c r="P462" s="797"/>
    </row>
    <row r="463" spans="1:16" ht="12.75" customHeight="1" x14ac:dyDescent="0.3">
      <c r="A463" s="797" t="s">
        <v>1720</v>
      </c>
      <c r="B463" s="797"/>
      <c r="C463" s="797"/>
      <c r="D463" s="797"/>
      <c r="E463" s="797"/>
      <c r="F463" s="797"/>
      <c r="G463" s="797" t="s">
        <v>1721</v>
      </c>
      <c r="H463" s="796" t="s">
        <v>335</v>
      </c>
      <c r="I463" s="800"/>
      <c r="J463" s="792" t="str">
        <f>IF(ISBLANK(HLOOKUP(CaseName,CaseData,MATCH($G463,cases!$G$4:$G$2494,0),FALSE)),"",HLOOKUP(CaseName,CaseData,MATCH($G463,cases!$G$4:$G$2494,0),FALSE))</f>
        <v/>
      </c>
      <c r="K463" s="831">
        <f>L464*L22*L16/L5</f>
        <v>5.0593688720911604E-9</v>
      </c>
      <c r="L463" s="794">
        <f t="shared" si="24"/>
        <v>5.0593688720911604E-9</v>
      </c>
      <c r="M463" s="796" t="s">
        <v>335</v>
      </c>
      <c r="N463" s="797"/>
      <c r="O463" s="799"/>
      <c r="P463" s="797"/>
    </row>
    <row r="464" spans="1:16" ht="12.75" customHeight="1" x14ac:dyDescent="0.3">
      <c r="A464" s="797"/>
      <c r="B464" s="797" t="s">
        <v>1612</v>
      </c>
      <c r="C464" s="797"/>
      <c r="D464" s="797"/>
      <c r="E464" s="797"/>
      <c r="F464" s="797"/>
      <c r="G464" s="796" t="s">
        <v>1722</v>
      </c>
      <c r="H464" s="796" t="s">
        <v>866</v>
      </c>
      <c r="I464" s="800"/>
      <c r="J464" s="792" t="str">
        <f>IF(ISBLANK(HLOOKUP(CaseName,CaseData,MATCH($G464,cases!$G$4:$G$2494,0),FALSE)),"",HLOOKUP(CaseName,CaseData,MATCH($G464,cases!$G$4:$G$2494,0),FALSE))</f>
        <v/>
      </c>
      <c r="K464" s="831">
        <f>1/(L455+L458)+L382</f>
        <v>1.1614789635221729E-3</v>
      </c>
      <c r="L464" s="794">
        <f t="shared" si="24"/>
        <v>1.1614789635221729E-3</v>
      </c>
      <c r="M464" s="796" t="s">
        <v>866</v>
      </c>
      <c r="N464" s="797"/>
      <c r="O464" s="799"/>
      <c r="P464" s="797"/>
    </row>
    <row r="465" spans="1:16" ht="12.75" customHeight="1" x14ac:dyDescent="0.3">
      <c r="A465" s="797" t="s">
        <v>1723</v>
      </c>
      <c r="B465" s="797"/>
      <c r="C465" s="797"/>
      <c r="D465" s="797"/>
      <c r="E465" s="797"/>
      <c r="F465" s="797"/>
      <c r="G465" s="797" t="s">
        <v>1724</v>
      </c>
      <c r="H465" s="796" t="s">
        <v>335</v>
      </c>
      <c r="I465" s="800"/>
      <c r="J465" s="792" t="str">
        <f>IF(ISBLANK(HLOOKUP(CaseName,CaseData,MATCH($G465,cases!$G$4:$G$2494,0),FALSE)),"",HLOOKUP(CaseName,CaseData,MATCH($G465,cases!$G$4:$G$2494,0),FALSE))</f>
        <v/>
      </c>
      <c r="K465" s="831">
        <f>(L130*L17*L16)/L5</f>
        <v>2.4891108220915248E-9</v>
      </c>
      <c r="L465" s="794">
        <f t="shared" si="24"/>
        <v>2.4891108220915248E-9</v>
      </c>
      <c r="M465" s="796" t="s">
        <v>335</v>
      </c>
      <c r="N465" s="797" t="s">
        <v>1684</v>
      </c>
      <c r="O465" s="799"/>
      <c r="P465" s="797"/>
    </row>
    <row r="466" spans="1:16" ht="12.75" customHeight="1" x14ac:dyDescent="0.3">
      <c r="A466" s="797" t="s">
        <v>1725</v>
      </c>
      <c r="B466" s="797"/>
      <c r="C466" s="797"/>
      <c r="D466" s="797"/>
      <c r="E466" s="797"/>
      <c r="F466" s="797"/>
      <c r="G466" s="797" t="s">
        <v>1726</v>
      </c>
      <c r="H466" s="796" t="s">
        <v>335</v>
      </c>
      <c r="I466" s="800"/>
      <c r="J466" s="792" t="str">
        <f>IF(ISBLANK(HLOOKUP(CaseName,CaseData,MATCH($G466,cases!$G$4:$G$2494,0),FALSE)),"",HLOOKUP(CaseName,CaseData,MATCH($G466,cases!$G$4:$G$2494,0),FALSE))</f>
        <v/>
      </c>
      <c r="K466" s="831">
        <f>(L130*L18*L16)/L5</f>
        <v>2.7380219043006776E-8</v>
      </c>
      <c r="L466" s="794">
        <f t="shared" si="24"/>
        <v>2.7380219043006776E-8</v>
      </c>
      <c r="M466" s="796" t="s">
        <v>335</v>
      </c>
      <c r="N466" s="797" t="s">
        <v>1684</v>
      </c>
      <c r="O466" s="799"/>
      <c r="P466" s="797"/>
    </row>
    <row r="467" spans="1:16" ht="12.75" customHeight="1" x14ac:dyDescent="0.3">
      <c r="A467" s="797" t="s">
        <v>1727</v>
      </c>
      <c r="B467" s="797"/>
      <c r="C467" s="797"/>
      <c r="D467" s="797"/>
      <c r="E467" s="797"/>
      <c r="F467" s="797"/>
      <c r="G467" s="797" t="s">
        <v>1728</v>
      </c>
      <c r="H467" s="796" t="s">
        <v>335</v>
      </c>
      <c r="I467" s="800"/>
      <c r="J467" s="792" t="str">
        <f>IF(ISBLANK(HLOOKUP(CaseName,CaseData,MATCH($G467,cases!$G$4:$G$2494,0),FALSE)),"",HLOOKUP(CaseName,CaseData,MATCH($G467,cases!$G$4:$G$2494,0),FALSE))</f>
        <v/>
      </c>
      <c r="K467" s="831">
        <f>(L130*L22*L16)/L5</f>
        <v>4.3559711634799455E-9</v>
      </c>
      <c r="L467" s="794">
        <f t="shared" si="24"/>
        <v>4.3559711634799455E-9</v>
      </c>
      <c r="M467" s="796" t="s">
        <v>335</v>
      </c>
      <c r="N467" s="797" t="s">
        <v>1684</v>
      </c>
      <c r="O467" s="799"/>
      <c r="P467" s="797"/>
    </row>
    <row r="468" spans="1:16" s="837" customFormat="1" ht="12.75" customHeight="1" x14ac:dyDescent="0.3">
      <c r="A468" s="841" t="s">
        <v>1729</v>
      </c>
      <c r="B468" s="841"/>
      <c r="C468" s="841"/>
      <c r="D468" s="841"/>
      <c r="E468" s="841"/>
      <c r="F468" s="841"/>
      <c r="G468" s="844" t="s">
        <v>1730</v>
      </c>
      <c r="H468" s="844" t="s">
        <v>335</v>
      </c>
      <c r="I468" s="800"/>
      <c r="J468" s="792" t="str">
        <f>IF(ISBLANK(HLOOKUP(CaseName,CaseData,MATCH($G468,cases!$G$4:$G$2494,0),FALSE)),"",HLOOKUP(CaseName,CaseData,MATCH($G468,cases!$G$4:$G$2494,0),FALSE))</f>
        <v/>
      </c>
      <c r="K468" s="845">
        <f>(RAINrate.R*L19*L16)/(L6)</f>
        <v>1.9890154971051001E-5</v>
      </c>
      <c r="L468" s="846">
        <f t="shared" si="24"/>
        <v>1.9890154971051001E-5</v>
      </c>
      <c r="M468" s="844" t="s">
        <v>335</v>
      </c>
      <c r="N468" s="841" t="s">
        <v>1731</v>
      </c>
      <c r="O468" s="847"/>
      <c r="P468" s="841"/>
    </row>
    <row r="469" spans="1:16" ht="12" customHeight="1" x14ac:dyDescent="0.3">
      <c r="A469" s="797" t="s">
        <v>1732</v>
      </c>
      <c r="B469" s="797"/>
      <c r="C469" s="797"/>
      <c r="D469" s="797"/>
      <c r="E469" s="797"/>
      <c r="F469" s="797"/>
      <c r="G469" s="796" t="s">
        <v>1733</v>
      </c>
      <c r="H469" s="796" t="s">
        <v>335</v>
      </c>
      <c r="I469" s="800"/>
      <c r="J469" s="792" t="str">
        <f>IF(ISBLANK(HLOOKUP(CaseName,CaseData,MATCH($G469,cases!$G$4:$G$2494,0),FALSE)),"",HLOOKUP(CaseName,CaseData,MATCH($G469,cases!$G$4:$G$2494,0),FALSE))</f>
        <v/>
      </c>
      <c r="K469" s="831">
        <f>(RAINrate.R*L20*L16)/L6</f>
        <v>4.4200344380113331E-5</v>
      </c>
      <c r="L469" s="794">
        <f t="shared" si="24"/>
        <v>4.4200344380113331E-5</v>
      </c>
      <c r="M469" s="796" t="s">
        <v>335</v>
      </c>
      <c r="N469" s="797" t="s">
        <v>1731</v>
      </c>
      <c r="O469" s="799"/>
      <c r="P469" s="797"/>
    </row>
    <row r="470" spans="1:16" ht="12.75" customHeight="1" x14ac:dyDescent="0.3">
      <c r="A470" s="797" t="s">
        <v>1734</v>
      </c>
      <c r="B470" s="797"/>
      <c r="C470" s="797"/>
      <c r="D470" s="797"/>
      <c r="E470" s="797"/>
      <c r="F470" s="797"/>
      <c r="G470" s="796" t="s">
        <v>1735</v>
      </c>
      <c r="H470" s="796" t="s">
        <v>335</v>
      </c>
      <c r="I470" s="800"/>
      <c r="J470" s="792" t="str">
        <f>IF(ISBLANK(HLOOKUP(CaseName,CaseData,MATCH($G470,cases!$G$4:$G$2494,0),FALSE)),"",HLOOKUP(CaseName,CaseData,MATCH($G470,cases!$G$4:$G$2494,0),FALSE))</f>
        <v/>
      </c>
      <c r="K470" s="831">
        <f>(RAINrate.R*L21*L16)/(L6)</f>
        <v>7.3667240633522224E-6</v>
      </c>
      <c r="L470" s="794">
        <f t="shared" si="24"/>
        <v>7.3667240633522224E-6</v>
      </c>
      <c r="M470" s="796" t="s">
        <v>335</v>
      </c>
      <c r="N470" s="797"/>
      <c r="O470" s="799"/>
      <c r="P470" s="797"/>
    </row>
    <row r="471" spans="1:16" ht="12.75" customHeight="1" x14ac:dyDescent="0.3">
      <c r="A471" s="797" t="s">
        <v>1736</v>
      </c>
      <c r="B471" s="797"/>
      <c r="C471" s="797"/>
      <c r="D471" s="797"/>
      <c r="E471" s="797"/>
      <c r="F471" s="797"/>
      <c r="G471" s="796" t="s">
        <v>1737</v>
      </c>
      <c r="H471" s="796" t="s">
        <v>335</v>
      </c>
      <c r="I471" s="800"/>
      <c r="J471" s="792" t="str">
        <f>IF(ISBLANK(HLOOKUP(CaseName,CaseData,MATCH($G471,cases!$G$4:$G$2494,0),FALSE)),"",HLOOKUP(CaseName,CaseData,MATCH($G471,cases!$G$4:$G$2494,0),FALSE))</f>
        <v/>
      </c>
      <c r="K471" s="831">
        <f>(RAINrate.R*L19*L16)/(L6)</f>
        <v>1.9890154971051001E-5</v>
      </c>
      <c r="L471" s="794">
        <f t="shared" si="24"/>
        <v>1.9890154971051001E-5</v>
      </c>
      <c r="M471" s="796" t="s">
        <v>335</v>
      </c>
      <c r="N471" s="797"/>
      <c r="O471" s="799"/>
      <c r="P471" s="797"/>
    </row>
    <row r="472" spans="1:16" ht="12.75" customHeight="1" x14ac:dyDescent="0.3">
      <c r="A472" s="797" t="s">
        <v>1738</v>
      </c>
      <c r="B472" s="797"/>
      <c r="C472" s="797"/>
      <c r="D472" s="797"/>
      <c r="E472" s="797"/>
      <c r="F472" s="797"/>
      <c r="G472" s="796" t="s">
        <v>1739</v>
      </c>
      <c r="H472" s="796" t="s">
        <v>335</v>
      </c>
      <c r="I472" s="800"/>
      <c r="J472" s="792" t="str">
        <f>IF(ISBLANK(HLOOKUP(CaseName,CaseData,MATCH($G472,cases!$G$4:$G$2494,0),FALSE)),"",HLOOKUP(CaseName,CaseData,MATCH($G472,cases!$G$4:$G$2494,0),FALSE))</f>
        <v/>
      </c>
      <c r="K472" s="831">
        <f>(RAINrate.R*L20*L16)/L6</f>
        <v>4.4200344380113331E-5</v>
      </c>
      <c r="L472" s="794">
        <f t="shared" si="24"/>
        <v>4.4200344380113331E-5</v>
      </c>
      <c r="M472" s="796" t="s">
        <v>335</v>
      </c>
      <c r="N472" s="797"/>
      <c r="O472" s="799"/>
      <c r="P472" s="797"/>
    </row>
    <row r="473" spans="1:16" ht="12.75" customHeight="1" x14ac:dyDescent="0.3">
      <c r="A473" s="797" t="s">
        <v>1740</v>
      </c>
      <c r="B473" s="797"/>
      <c r="C473" s="797"/>
      <c r="D473" s="797"/>
      <c r="E473" s="797"/>
      <c r="F473" s="797"/>
      <c r="G473" s="796" t="s">
        <v>1741</v>
      </c>
      <c r="H473" s="796" t="s">
        <v>335</v>
      </c>
      <c r="I473" s="800"/>
      <c r="J473" s="792" t="str">
        <f>IF(ISBLANK(HLOOKUP(CaseName,CaseData,MATCH($G473,cases!$G$4:$G$2494,0),FALSE)),"",HLOOKUP(CaseName,CaseData,MATCH($G473,cases!$G$4:$G$2494,0),FALSE))</f>
        <v/>
      </c>
      <c r="K473" s="831">
        <f>(RAINrate.R*L21*L16)/(L6)</f>
        <v>7.3667240633522224E-6</v>
      </c>
      <c r="L473" s="794">
        <f t="shared" si="24"/>
        <v>7.3667240633522224E-6</v>
      </c>
      <c r="M473" s="796" t="s">
        <v>335</v>
      </c>
      <c r="N473" s="797"/>
      <c r="O473" s="799"/>
      <c r="P473" s="797"/>
    </row>
    <row r="474" spans="1:16" ht="12.75" customHeight="1" x14ac:dyDescent="0.3">
      <c r="A474" s="797" t="s">
        <v>1742</v>
      </c>
      <c r="B474" s="797"/>
      <c r="C474" s="797"/>
      <c r="D474" s="797"/>
      <c r="E474" s="797"/>
      <c r="F474" s="797"/>
      <c r="G474" s="796" t="s">
        <v>1743</v>
      </c>
      <c r="H474" s="796" t="s">
        <v>335</v>
      </c>
      <c r="I474" s="800"/>
      <c r="J474" s="792" t="str">
        <f>IF(ISBLANK(HLOOKUP(CaseName,CaseData,MATCH($G474,cases!$G$4:$G$2494,0),FALSE)),"",HLOOKUP(CaseName,CaseData,MATCH($G474,cases!$G$4:$G$2494,0),FALSE))</f>
        <v/>
      </c>
      <c r="K474" s="831">
        <f>(RAINrate.R*L19*L16)/(L6)</f>
        <v>1.9890154971051001E-5</v>
      </c>
      <c r="L474" s="794">
        <f t="shared" si="24"/>
        <v>1.9890154971051001E-5</v>
      </c>
      <c r="M474" s="796" t="s">
        <v>335</v>
      </c>
      <c r="N474" s="797"/>
      <c r="O474" s="799"/>
      <c r="P474" s="797"/>
    </row>
    <row r="475" spans="1:16" ht="12.75" customHeight="1" x14ac:dyDescent="0.3">
      <c r="A475" s="797" t="s">
        <v>1744</v>
      </c>
      <c r="B475" s="797"/>
      <c r="C475" s="797"/>
      <c r="D475" s="797"/>
      <c r="E475" s="797"/>
      <c r="F475" s="797"/>
      <c r="G475" s="796" t="s">
        <v>1745</v>
      </c>
      <c r="H475" s="796" t="s">
        <v>335</v>
      </c>
      <c r="I475" s="800"/>
      <c r="J475" s="792" t="str">
        <f>IF(ISBLANK(HLOOKUP(CaseName,CaseData,MATCH($G475,cases!$G$4:$G$2494,0),FALSE)),"",HLOOKUP(CaseName,CaseData,MATCH($G475,cases!$G$4:$G$2494,0),FALSE))</f>
        <v/>
      </c>
      <c r="K475" s="831">
        <f>(RAINrate.R*L20*L16)/(L6)</f>
        <v>4.4200344380113331E-5</v>
      </c>
      <c r="L475" s="794">
        <f t="shared" si="24"/>
        <v>4.4200344380113331E-5</v>
      </c>
      <c r="M475" s="796" t="s">
        <v>335</v>
      </c>
      <c r="N475" s="797"/>
      <c r="O475" s="799"/>
      <c r="P475" s="797"/>
    </row>
    <row r="476" spans="1:16" ht="12.75" customHeight="1" x14ac:dyDescent="0.3">
      <c r="A476" s="797" t="s">
        <v>1746</v>
      </c>
      <c r="B476" s="797"/>
      <c r="C476" s="797"/>
      <c r="D476" s="797"/>
      <c r="E476" s="797"/>
      <c r="F476" s="797"/>
      <c r="G476" s="796" t="s">
        <v>1747</v>
      </c>
      <c r="H476" s="796" t="s">
        <v>335</v>
      </c>
      <c r="I476" s="800"/>
      <c r="J476" s="792" t="str">
        <f>IF(ISBLANK(HLOOKUP(CaseName,CaseData,MATCH($G476,cases!$G$4:$G$2494,0),FALSE)),"",HLOOKUP(CaseName,CaseData,MATCH($G476,cases!$G$4:$G$2494,0),FALSE))</f>
        <v/>
      </c>
      <c r="K476" s="831">
        <f>(RAINrate.R*L21*L16)/L6</f>
        <v>7.3667240633522224E-6</v>
      </c>
      <c r="L476" s="794">
        <f t="shared" si="24"/>
        <v>7.3667240633522224E-6</v>
      </c>
      <c r="M476" s="796" t="s">
        <v>335</v>
      </c>
      <c r="N476" s="797"/>
      <c r="O476" s="799"/>
      <c r="P476" s="797"/>
    </row>
    <row r="477" spans="1:16" ht="12.75" customHeight="1" x14ac:dyDescent="0.3">
      <c r="A477" s="797" t="s">
        <v>1748</v>
      </c>
      <c r="B477" s="797"/>
      <c r="C477" s="797"/>
      <c r="D477" s="797"/>
      <c r="E477" s="797"/>
      <c r="F477" s="797"/>
      <c r="G477" s="796" t="s">
        <v>1749</v>
      </c>
      <c r="H477" s="796" t="s">
        <v>335</v>
      </c>
      <c r="I477" s="800"/>
      <c r="J477" s="792" t="str">
        <f>IF(ISBLANK(HLOOKUP(CaseName,CaseData,MATCH($G477,cases!$G$4:$G$2494,0),FALSE)),"",HLOOKUP(CaseName,CaseData,MATCH($G477,cases!$G$4:$G$2494,0),FALSE))</f>
        <v/>
      </c>
      <c r="K477" s="831">
        <f>(RAINrate.R*L17*L16)/(L6)</f>
        <v>1.8416810158380553E-7</v>
      </c>
      <c r="L477" s="794">
        <f t="shared" si="24"/>
        <v>1.8416810158380553E-7</v>
      </c>
      <c r="M477" s="796" t="s">
        <v>335</v>
      </c>
      <c r="N477" s="797"/>
      <c r="O477" s="799"/>
      <c r="P477" s="797"/>
    </row>
    <row r="478" spans="1:16" ht="12.75" customHeight="1" x14ac:dyDescent="0.3">
      <c r="A478" s="797" t="s">
        <v>1750</v>
      </c>
      <c r="B478" s="797"/>
      <c r="C478" s="797"/>
      <c r="D478" s="797"/>
      <c r="E478" s="797"/>
      <c r="F478" s="797"/>
      <c r="G478" s="796" t="s">
        <v>1751</v>
      </c>
      <c r="H478" s="796" t="s">
        <v>335</v>
      </c>
      <c r="I478" s="800"/>
      <c r="J478" s="792" t="str">
        <f>IF(ISBLANK(HLOOKUP(CaseName,CaseData,MATCH($G478,cases!$G$4:$G$2494,0),FALSE)),"",HLOOKUP(CaseName,CaseData,MATCH($G478,cases!$G$4:$G$2494,0),FALSE))</f>
        <v/>
      </c>
      <c r="K478" s="831">
        <f>(RAINrate.R*L18*L16)/(L6)</f>
        <v>2.0258491174218609E-6</v>
      </c>
      <c r="L478" s="794">
        <f t="shared" si="24"/>
        <v>2.0258491174218609E-6</v>
      </c>
      <c r="M478" s="796" t="s">
        <v>335</v>
      </c>
      <c r="N478" s="797"/>
      <c r="O478" s="799"/>
      <c r="P478" s="797"/>
    </row>
    <row r="479" spans="1:16" ht="12.75" customHeight="1" x14ac:dyDescent="0.3">
      <c r="A479" s="797" t="s">
        <v>1752</v>
      </c>
      <c r="B479" s="797"/>
      <c r="C479" s="797"/>
      <c r="D479" s="797"/>
      <c r="E479" s="797"/>
      <c r="F479" s="797"/>
      <c r="G479" s="796" t="s">
        <v>1753</v>
      </c>
      <c r="H479" s="796" t="s">
        <v>335</v>
      </c>
      <c r="I479" s="800"/>
      <c r="J479" s="792" t="str">
        <f>IF(ISBLANK(HLOOKUP(CaseName,CaseData,MATCH($G479,cases!$G$4:$G$2494,0),FALSE)),"",HLOOKUP(CaseName,CaseData,MATCH($G479,cases!$G$4:$G$2494,0),FALSE))</f>
        <v/>
      </c>
      <c r="K479" s="831">
        <f>(RAINrate.R*L22*L16)/(L6)</f>
        <v>3.2229619212286083E-7</v>
      </c>
      <c r="L479" s="794">
        <f t="shared" si="24"/>
        <v>3.2229619212286083E-7</v>
      </c>
      <c r="M479" s="796" t="s">
        <v>335</v>
      </c>
      <c r="N479" s="797"/>
      <c r="O479" s="799"/>
      <c r="P479" s="797"/>
    </row>
    <row r="480" spans="1:16" ht="12.75" customHeight="1" x14ac:dyDescent="0.3">
      <c r="A480" s="797" t="s">
        <v>1754</v>
      </c>
      <c r="B480" s="797"/>
      <c r="C480" s="797"/>
      <c r="D480" s="797"/>
      <c r="E480" s="797"/>
      <c r="F480" s="797"/>
      <c r="G480" s="796" t="s">
        <v>1755</v>
      </c>
      <c r="H480" s="796" t="s">
        <v>335</v>
      </c>
      <c r="I480" s="800"/>
      <c r="J480" s="792" t="str">
        <f>IF(ISBLANK(HLOOKUP(CaseName,CaseData,MATCH($G480,cases!$G$4:$G$2494,0),FALSE)),"",HLOOKUP(CaseName,CaseData,MATCH($G480,cases!$G$4:$G$2494,0),FALSE))</f>
        <v/>
      </c>
      <c r="K480" s="831">
        <f>(RAINrate.R*L17*L16)/(L6)</f>
        <v>1.8416810158380553E-7</v>
      </c>
      <c r="L480" s="794">
        <f t="shared" si="24"/>
        <v>1.8416810158380553E-7</v>
      </c>
      <c r="M480" s="796" t="s">
        <v>335</v>
      </c>
      <c r="N480" s="797"/>
      <c r="O480" s="799"/>
      <c r="P480" s="797"/>
    </row>
    <row r="481" spans="1:19" ht="12.75" customHeight="1" x14ac:dyDescent="0.3">
      <c r="A481" s="797" t="s">
        <v>1756</v>
      </c>
      <c r="B481" s="797"/>
      <c r="C481" s="797"/>
      <c r="D481" s="797"/>
      <c r="E481" s="797"/>
      <c r="F481" s="797"/>
      <c r="G481" s="796" t="s">
        <v>1757</v>
      </c>
      <c r="H481" s="796" t="s">
        <v>335</v>
      </c>
      <c r="I481" s="800"/>
      <c r="J481" s="792" t="str">
        <f>IF(ISBLANK(HLOOKUP(CaseName,CaseData,MATCH($G481,cases!$G$4:$G$2494,0),FALSE)),"",HLOOKUP(CaseName,CaseData,MATCH($G481,cases!$G$4:$G$2494,0),FALSE))</f>
        <v/>
      </c>
      <c r="K481" s="831">
        <f>(RAINrate.R*L18*L16)/(L6)</f>
        <v>2.0258491174218609E-6</v>
      </c>
      <c r="L481" s="794">
        <f t="shared" si="24"/>
        <v>2.0258491174218609E-6</v>
      </c>
      <c r="M481" s="796" t="s">
        <v>335</v>
      </c>
      <c r="N481" s="797"/>
      <c r="O481" s="799"/>
      <c r="P481" s="797"/>
    </row>
    <row r="482" spans="1:19" ht="12.75" customHeight="1" x14ac:dyDescent="0.3">
      <c r="A482" s="797" t="s">
        <v>1758</v>
      </c>
      <c r="B482" s="797"/>
      <c r="C482" s="797"/>
      <c r="D482" s="797"/>
      <c r="E482" s="797"/>
      <c r="F482" s="797"/>
      <c r="G482" s="796" t="s">
        <v>1759</v>
      </c>
      <c r="H482" s="796" t="s">
        <v>335</v>
      </c>
      <c r="I482" s="800"/>
      <c r="J482" s="792" t="str">
        <f>IF(ISBLANK(HLOOKUP(CaseName,CaseData,MATCH($G482,cases!$G$4:$G$2494,0),FALSE)),"",HLOOKUP(CaseName,CaseData,MATCH($G482,cases!$G$4:$G$2494,0),FALSE))</f>
        <v/>
      </c>
      <c r="K482" s="831">
        <f>(RAINrate.R*L22*L16)/(L6)</f>
        <v>3.2229619212286083E-7</v>
      </c>
      <c r="L482" s="794">
        <f t="shared" si="24"/>
        <v>3.2229619212286083E-7</v>
      </c>
      <c r="M482" s="796" t="s">
        <v>335</v>
      </c>
      <c r="N482" s="797"/>
      <c r="O482" s="799"/>
      <c r="P482" s="797"/>
    </row>
    <row r="483" spans="1:19" ht="12.75" customHeight="1" x14ac:dyDescent="0.3">
      <c r="A483" s="797" t="s">
        <v>1760</v>
      </c>
      <c r="B483" s="797"/>
      <c r="C483" s="797"/>
      <c r="D483" s="797"/>
      <c r="E483" s="797"/>
      <c r="F483" s="797"/>
      <c r="G483" s="796" t="s">
        <v>1761</v>
      </c>
      <c r="H483" s="796" t="s">
        <v>335</v>
      </c>
      <c r="I483" s="800"/>
      <c r="J483" s="792" t="str">
        <f>IF(ISBLANK(HLOOKUP(CaseName,CaseData,MATCH($G483,cases!$G$4:$G$2494,0),FALSE)),"",HLOOKUP(CaseName,CaseData,MATCH($G483,cases!$G$4:$G$2494,0),FALSE))</f>
        <v/>
      </c>
      <c r="K483" s="831">
        <f>(RAINrate.R*L17*L16)/(L6)</f>
        <v>1.8416810158380553E-7</v>
      </c>
      <c r="L483" s="794">
        <f t="shared" si="24"/>
        <v>1.8416810158380553E-7</v>
      </c>
      <c r="M483" s="796" t="s">
        <v>335</v>
      </c>
      <c r="N483" s="797"/>
      <c r="O483" s="799"/>
      <c r="P483" s="797"/>
    </row>
    <row r="484" spans="1:19" ht="12.75" customHeight="1" x14ac:dyDescent="0.3">
      <c r="A484" s="797" t="s">
        <v>1762</v>
      </c>
      <c r="B484" s="797"/>
      <c r="C484" s="797"/>
      <c r="D484" s="797"/>
      <c r="E484" s="797"/>
      <c r="F484" s="797"/>
      <c r="G484" s="796" t="s">
        <v>1763</v>
      </c>
      <c r="H484" s="796" t="s">
        <v>335</v>
      </c>
      <c r="I484" s="800"/>
      <c r="J484" s="792" t="str">
        <f>IF(ISBLANK(HLOOKUP(CaseName,CaseData,MATCH($G484,cases!$G$4:$G$2494,0),FALSE)),"",HLOOKUP(CaseName,CaseData,MATCH($G484,cases!$G$4:$G$2494,0),FALSE))</f>
        <v/>
      </c>
      <c r="K484" s="831">
        <f>(RAINrate.R*L18*L16)/(L6)</f>
        <v>2.0258491174218609E-6</v>
      </c>
      <c r="L484" s="794">
        <f t="shared" si="24"/>
        <v>2.0258491174218609E-6</v>
      </c>
      <c r="M484" s="796" t="s">
        <v>335</v>
      </c>
      <c r="N484" s="797"/>
      <c r="O484" s="799"/>
      <c r="P484" s="797"/>
    </row>
    <row r="485" spans="1:19" ht="12.75" customHeight="1" x14ac:dyDescent="0.3">
      <c r="A485" s="797" t="s">
        <v>1764</v>
      </c>
      <c r="B485" s="797"/>
      <c r="C485" s="797"/>
      <c r="D485" s="797"/>
      <c r="E485" s="797"/>
      <c r="F485" s="797"/>
      <c r="G485" s="796" t="s">
        <v>1765</v>
      </c>
      <c r="H485" s="796" t="s">
        <v>335</v>
      </c>
      <c r="I485" s="800"/>
      <c r="J485" s="792" t="str">
        <f>IF(ISBLANK(HLOOKUP(CaseName,CaseData,MATCH($G485,cases!$G$4:$G$2494,0),FALSE)),"",HLOOKUP(CaseName,CaseData,MATCH($G485,cases!$G$4:$G$2494,0),FALSE))</f>
        <v/>
      </c>
      <c r="K485" s="831">
        <f>(RAINrate.R*L22*L16)/(L6)</f>
        <v>3.2229619212286083E-7</v>
      </c>
      <c r="L485" s="794">
        <f t="shared" si="24"/>
        <v>3.2229619212286083E-7</v>
      </c>
      <c r="M485" s="796" t="s">
        <v>335</v>
      </c>
      <c r="N485" s="797"/>
      <c r="O485" s="799"/>
      <c r="P485" s="797"/>
    </row>
    <row r="486" spans="1:19" s="837" customFormat="1" ht="12.75" customHeight="1" x14ac:dyDescent="0.3">
      <c r="A486" s="841" t="s">
        <v>1766</v>
      </c>
      <c r="B486" s="841"/>
      <c r="C486" s="841"/>
      <c r="D486" s="841"/>
      <c r="E486" s="841"/>
      <c r="F486" s="841"/>
      <c r="G486" s="844" t="s">
        <v>1767</v>
      </c>
      <c r="H486" s="844" t="s">
        <v>335</v>
      </c>
      <c r="I486" s="800"/>
      <c r="J486" s="792" t="str">
        <f>IF(ISBLANK(HLOOKUP(CaseName,CaseData,MATCH($G486,cases!$G$4:$G$2494,0),FALSE)),"",HLOOKUP(CaseName,CaseData,MATCH($G486,cases!$G$4:$G$2494,0),FALSE))</f>
        <v/>
      </c>
      <c r="K486" s="845">
        <f>IF(SetVelS.w/L24&gt;0,SetVelS.w/L24,0)</f>
        <v>7.0316966067864289E-12</v>
      </c>
      <c r="L486" s="846">
        <f t="shared" si="24"/>
        <v>7.0316966067864289E-12</v>
      </c>
      <c r="M486" s="844" t="s">
        <v>335</v>
      </c>
      <c r="N486" s="799"/>
      <c r="O486" s="831"/>
      <c r="P486" s="797"/>
      <c r="Q486" s="780"/>
      <c r="R486" s="778"/>
      <c r="S486" s="778"/>
    </row>
    <row r="487" spans="1:19" ht="12.75" customHeight="1" x14ac:dyDescent="0.3">
      <c r="A487" s="797" t="s">
        <v>1768</v>
      </c>
      <c r="B487" s="797"/>
      <c r="C487" s="797"/>
      <c r="D487" s="797"/>
      <c r="E487" s="797"/>
      <c r="F487" s="797"/>
      <c r="G487" s="796" t="s">
        <v>1769</v>
      </c>
      <c r="H487" s="796" t="s">
        <v>335</v>
      </c>
      <c r="I487" s="800"/>
      <c r="J487" s="792" t="str">
        <f>IF(ISBLANK(HLOOKUP(CaseName,CaseData,MATCH($G487,cases!$G$4:$G$2494,0),FALSE)),"",HLOOKUP(CaseName,CaseData,MATCH($G487,cases!$G$4:$G$2494,0),FALSE))</f>
        <v/>
      </c>
      <c r="K487" s="831">
        <f>IF(SetVelS.w/L25&gt;0,SetVelS.w/L25,0)</f>
        <v>2.3438988689288094E-10</v>
      </c>
      <c r="L487" s="794">
        <f t="shared" si="24"/>
        <v>2.3438988689288094E-10</v>
      </c>
      <c r="M487" s="796" t="s">
        <v>335</v>
      </c>
      <c r="N487" s="799"/>
      <c r="O487" s="831"/>
      <c r="P487" s="797"/>
      <c r="Q487" s="780"/>
    </row>
    <row r="488" spans="1:19" ht="12.75" customHeight="1" x14ac:dyDescent="0.3">
      <c r="A488" s="797" t="s">
        <v>1770</v>
      </c>
      <c r="B488" s="797"/>
      <c r="C488" s="797"/>
      <c r="D488" s="797"/>
      <c r="E488" s="797"/>
      <c r="F488" s="797"/>
      <c r="G488" s="796" t="s">
        <v>1771</v>
      </c>
      <c r="H488" s="796" t="s">
        <v>335</v>
      </c>
      <c r="I488" s="800"/>
      <c r="J488" s="792" t="str">
        <f>IF(ISBLANK(HLOOKUP(CaseName,CaseData,MATCH($G488,cases!$G$4:$G$2494,0),FALSE)),"",HLOOKUP(CaseName,CaseData,MATCH($G488,cases!$G$4:$G$2494,0),FALSE))</f>
        <v/>
      </c>
      <c r="K488" s="831">
        <f>IF(SetVelS.w/L26&gt;0,SetVelS.w/L26,0)</f>
        <v>7.0316966067864291E-11</v>
      </c>
      <c r="L488" s="794">
        <f t="shared" si="24"/>
        <v>7.0316966067864291E-11</v>
      </c>
      <c r="M488" s="796" t="s">
        <v>335</v>
      </c>
      <c r="N488" s="799"/>
      <c r="O488" s="831"/>
      <c r="P488" s="797"/>
      <c r="Q488" s="780"/>
    </row>
    <row r="489" spans="1:19" ht="12.75" customHeight="1" x14ac:dyDescent="0.3">
      <c r="A489" s="797" t="s">
        <v>1772</v>
      </c>
      <c r="B489" s="797"/>
      <c r="C489" s="797"/>
      <c r="D489" s="797"/>
      <c r="E489" s="797"/>
      <c r="F489" s="797"/>
      <c r="G489" s="796" t="s">
        <v>1773</v>
      </c>
      <c r="H489" s="796" t="s">
        <v>335</v>
      </c>
      <c r="I489" s="800"/>
      <c r="J489" s="792" t="str">
        <f>IF(ISBLANK(HLOOKUP(CaseName,CaseData,MATCH($G489,cases!$G$4:$G$2494,0),FALSE)),"",HLOOKUP(CaseName,CaseData,MATCH($G489,cases!$G$4:$G$2494,0),FALSE))</f>
        <v/>
      </c>
      <c r="K489" s="831">
        <f>IF(SetVelA.w/L24&gt;0,SetVelA.w/L24,0)</f>
        <v>4.9092029860631688E-10</v>
      </c>
      <c r="L489" s="794">
        <f t="shared" si="24"/>
        <v>4.9092029860631688E-10</v>
      </c>
      <c r="M489" s="796" t="s">
        <v>335</v>
      </c>
      <c r="N489" s="799"/>
      <c r="O489" s="831"/>
      <c r="P489" s="797"/>
      <c r="Q489" s="780"/>
    </row>
    <row r="490" spans="1:19" ht="12.75" customHeight="1" x14ac:dyDescent="0.3">
      <c r="A490" s="797" t="s">
        <v>1774</v>
      </c>
      <c r="B490" s="797"/>
      <c r="C490" s="797"/>
      <c r="D490" s="797"/>
      <c r="E490" s="797"/>
      <c r="F490" s="797"/>
      <c r="G490" s="796" t="s">
        <v>1775</v>
      </c>
      <c r="H490" s="796" t="s">
        <v>335</v>
      </c>
      <c r="I490" s="800"/>
      <c r="J490" s="792" t="str">
        <f>IF(ISBLANK(HLOOKUP(CaseName,CaseData,MATCH($G490,cases!$G$4:$G$2494,0),FALSE)),"",HLOOKUP(CaseName,CaseData,MATCH($G490,cases!$G$4:$G$2494,0),FALSE))</f>
        <v/>
      </c>
      <c r="K490" s="831">
        <f>IF(SetVelA.w/L25&gt;0,SetVelA.w/L25,0)</f>
        <v>1.6364009953543896E-8</v>
      </c>
      <c r="L490" s="794">
        <f t="shared" si="24"/>
        <v>1.6364009953543896E-8</v>
      </c>
      <c r="M490" s="796" t="s">
        <v>335</v>
      </c>
      <c r="N490" s="799"/>
      <c r="O490" s="831"/>
      <c r="P490" s="797"/>
      <c r="Q490" s="780"/>
    </row>
    <row r="491" spans="1:19" ht="12.75" customHeight="1" x14ac:dyDescent="0.3">
      <c r="A491" s="797" t="s">
        <v>1776</v>
      </c>
      <c r="B491" s="797"/>
      <c r="C491" s="797"/>
      <c r="D491" s="797"/>
      <c r="E491" s="797"/>
      <c r="F491" s="797"/>
      <c r="G491" s="796" t="s">
        <v>1777</v>
      </c>
      <c r="H491" s="796" t="s">
        <v>335</v>
      </c>
      <c r="I491" s="800"/>
      <c r="J491" s="792" t="str">
        <f>IF(ISBLANK(HLOOKUP(CaseName,CaseData,MATCH($G491,cases!$G$4:$G$2494,0),FALSE)),"",HLOOKUP(CaseName,CaseData,MATCH($G491,cases!$G$4:$G$2494,0),FALSE))</f>
        <v/>
      </c>
      <c r="K491" s="831">
        <f>IF(SetVelA.w/L26&gt;0,SetVelA.w/L26,0)</f>
        <v>4.9092029860631694E-9</v>
      </c>
      <c r="L491" s="794">
        <f t="shared" si="24"/>
        <v>4.9092029860631694E-9</v>
      </c>
      <c r="M491" s="796" t="s">
        <v>335</v>
      </c>
      <c r="N491" s="799"/>
      <c r="O491" s="831"/>
      <c r="P491" s="797"/>
      <c r="Q491" s="780"/>
    </row>
    <row r="492" spans="1:19" ht="12.75" customHeight="1" x14ac:dyDescent="0.3">
      <c r="A492" s="797" t="s">
        <v>1778</v>
      </c>
      <c r="B492" s="797"/>
      <c r="C492" s="797"/>
      <c r="D492" s="797"/>
      <c r="E492" s="797"/>
      <c r="F492" s="797"/>
      <c r="G492" s="796" t="s">
        <v>1779</v>
      </c>
      <c r="H492" s="796" t="s">
        <v>335</v>
      </c>
      <c r="I492" s="800"/>
      <c r="J492" s="792" t="str">
        <f>IF(ISBLANK(HLOOKUP(CaseName,CaseData,MATCH($G492,cases!$G$4:$G$2494,0),FALSE)),"",HLOOKUP(CaseName,CaseData,MATCH($G492,cases!$G$4:$G$2494,0),FALSE))</f>
        <v/>
      </c>
      <c r="K492" s="831">
        <f>IF(SetVelP.w/L24&gt;0,SetVelP.w/L24,0)</f>
        <v>2.9410421142483869E-7</v>
      </c>
      <c r="L492" s="794">
        <f t="shared" ref="L492:L521" si="25">IF(ISBLANK(I492),IF(ISNUMBER(J492)=FALSE,K492,J492),I492)</f>
        <v>2.9410421142483869E-7</v>
      </c>
      <c r="M492" s="796" t="s">
        <v>335</v>
      </c>
      <c r="N492" s="799"/>
      <c r="O492" s="831"/>
      <c r="P492" s="797"/>
      <c r="Q492" s="780"/>
    </row>
    <row r="493" spans="1:19" ht="12.75" customHeight="1" x14ac:dyDescent="0.3">
      <c r="A493" s="797" t="s">
        <v>1780</v>
      </c>
      <c r="B493" s="797"/>
      <c r="C493" s="797"/>
      <c r="D493" s="797"/>
      <c r="E493" s="797"/>
      <c r="F493" s="797"/>
      <c r="G493" s="796" t="s">
        <v>1781</v>
      </c>
      <c r="H493" s="796" t="s">
        <v>335</v>
      </c>
      <c r="I493" s="800"/>
      <c r="J493" s="792" t="str">
        <f>IF(ISBLANK(HLOOKUP(CaseName,CaseData,MATCH($G493,cases!$G$4:$G$2494,0),FALSE)),"",HLOOKUP(CaseName,CaseData,MATCH($G493,cases!$G$4:$G$2494,0),FALSE))</f>
        <v/>
      </c>
      <c r="K493" s="831">
        <f>IF(SetVelP.w/L25&gt;0,SetVelP.w/L25,0)</f>
        <v>9.803473714161289E-6</v>
      </c>
      <c r="L493" s="794">
        <f t="shared" si="25"/>
        <v>9.803473714161289E-6</v>
      </c>
      <c r="M493" s="796" t="s">
        <v>335</v>
      </c>
      <c r="N493" s="799"/>
      <c r="O493" s="831"/>
      <c r="P493" s="797"/>
      <c r="Q493" s="780"/>
    </row>
    <row r="494" spans="1:19" ht="12.75" customHeight="1" x14ac:dyDescent="0.3">
      <c r="A494" s="797" t="s">
        <v>1782</v>
      </c>
      <c r="B494" s="797"/>
      <c r="C494" s="797"/>
      <c r="D494" s="797"/>
      <c r="E494" s="797"/>
      <c r="F494" s="797"/>
      <c r="G494" s="796" t="s">
        <v>1783</v>
      </c>
      <c r="H494" s="796" t="s">
        <v>335</v>
      </c>
      <c r="I494" s="842"/>
      <c r="J494" s="792" t="str">
        <f>IF(ISBLANK(HLOOKUP(CaseName,CaseData,MATCH($G494,cases!$G$4:$G$2494,0),FALSE)),"",HLOOKUP(CaseName,CaseData,MATCH($G494,cases!$G$4:$G$2494,0),FALSE))</f>
        <v/>
      </c>
      <c r="K494" s="831">
        <f>IF(SetVelP.w/L26&gt;0,SetVelP.w/L26,0)</f>
        <v>2.9410421142483869E-6</v>
      </c>
      <c r="L494" s="794">
        <f t="shared" si="25"/>
        <v>2.9410421142483869E-6</v>
      </c>
      <c r="M494" s="796" t="s">
        <v>335</v>
      </c>
      <c r="N494" s="799"/>
      <c r="O494" s="831"/>
      <c r="P494" s="797"/>
      <c r="Q494" s="780"/>
    </row>
    <row r="495" spans="1:19" s="837" customFormat="1" ht="12.75" customHeight="1" x14ac:dyDescent="0.3">
      <c r="A495" s="841" t="s">
        <v>1784</v>
      </c>
      <c r="B495" s="841"/>
      <c r="C495" s="841"/>
      <c r="D495" s="841"/>
      <c r="E495" s="841"/>
      <c r="F495" s="841"/>
      <c r="G495" s="844" t="s">
        <v>1785</v>
      </c>
      <c r="H495" s="844" t="s">
        <v>335</v>
      </c>
      <c r="I495" s="800"/>
      <c r="J495" s="792" t="str">
        <f>IF(ISBLANK(HLOOKUP(CaseName,CaseData,MATCH($G495,cases!$G$4:$G$2494,0),FALSE)),"",HLOOKUP(CaseName,CaseData,MATCH($G495,cases!$G$4:$G$2494,0),FALSE))</f>
        <v/>
      </c>
      <c r="K495" s="845">
        <f>L155/L27</f>
        <v>0</v>
      </c>
      <c r="L495" s="846">
        <f t="shared" si="25"/>
        <v>0</v>
      </c>
      <c r="M495" s="844" t="s">
        <v>335</v>
      </c>
      <c r="N495" s="797" t="s">
        <v>1786</v>
      </c>
      <c r="O495" s="799"/>
      <c r="P495" s="797"/>
      <c r="Q495" s="778"/>
      <c r="R495" s="778"/>
      <c r="S495" s="778"/>
    </row>
    <row r="496" spans="1:19" ht="12.75" customHeight="1" x14ac:dyDescent="0.3">
      <c r="A496" s="797" t="s">
        <v>1787</v>
      </c>
      <c r="B496" s="797"/>
      <c r="C496" s="797"/>
      <c r="D496" s="797"/>
      <c r="E496" s="797"/>
      <c r="F496" s="797"/>
      <c r="G496" s="796" t="s">
        <v>1788</v>
      </c>
      <c r="H496" s="796" t="s">
        <v>335</v>
      </c>
      <c r="I496" s="800"/>
      <c r="J496" s="792" t="str">
        <f>IF(ISBLANK(HLOOKUP(CaseName,CaseData,MATCH($G496,cases!$G$4:$G$2494,0),FALSE)),"",HLOOKUP(CaseName,CaseData,MATCH($G496,cases!$G$4:$G$2494,0),FALSE))</f>
        <v/>
      </c>
      <c r="K496" s="831">
        <f>L157/L28</f>
        <v>2.6515050905292422E-8</v>
      </c>
      <c r="L496" s="794">
        <f t="shared" si="25"/>
        <v>2.6515050905292422E-8</v>
      </c>
      <c r="M496" s="796" t="s">
        <v>335</v>
      </c>
      <c r="N496" s="797" t="s">
        <v>1786</v>
      </c>
      <c r="O496" s="799"/>
      <c r="P496" s="797"/>
    </row>
    <row r="497" spans="1:16" ht="12.75" customHeight="1" x14ac:dyDescent="0.3">
      <c r="A497" s="797" t="s">
        <v>1789</v>
      </c>
      <c r="B497" s="797"/>
      <c r="C497" s="797"/>
      <c r="D497" s="797"/>
      <c r="E497" s="797"/>
      <c r="F497" s="797"/>
      <c r="G497" s="796" t="s">
        <v>1790</v>
      </c>
      <c r="H497" s="796" t="s">
        <v>335</v>
      </c>
      <c r="I497" s="800"/>
      <c r="J497" s="792" t="str">
        <f>IF(ISBLANK(HLOOKUP(CaseName,CaseData,MATCH($G497,cases!$G$4:$G$2494,0),FALSE)),"",HLOOKUP(CaseName,CaseData,MATCH($G497,cases!$G$4:$G$2494,0),FALSE))</f>
        <v/>
      </c>
      <c r="K497" s="831">
        <f>L159/L29</f>
        <v>8.8891798123057166E-9</v>
      </c>
      <c r="L497" s="794">
        <f t="shared" si="25"/>
        <v>8.8891798123057166E-9</v>
      </c>
      <c r="M497" s="796" t="s">
        <v>335</v>
      </c>
      <c r="N497" s="797" t="s">
        <v>1786</v>
      </c>
      <c r="O497" s="799"/>
      <c r="P497" s="797"/>
    </row>
    <row r="498" spans="1:16" ht="12.75" customHeight="1" x14ac:dyDescent="0.3">
      <c r="A498" s="797" t="s">
        <v>1791</v>
      </c>
      <c r="B498" s="797"/>
      <c r="C498" s="797"/>
      <c r="D498" s="797"/>
      <c r="E498" s="797"/>
      <c r="F498" s="797"/>
      <c r="G498" s="796" t="s">
        <v>1792</v>
      </c>
      <c r="H498" s="796" t="s">
        <v>335</v>
      </c>
      <c r="I498" s="800"/>
      <c r="J498" s="792" t="str">
        <f>IF(ISBLANK(HLOOKUP(CaseName,CaseData,MATCH($G498,cases!$G$4:$G$2494,0),FALSE)),"",HLOOKUP(CaseName,CaseData,MATCH($G498,cases!$G$4:$G$2494,0),FALSE))</f>
        <v/>
      </c>
      <c r="K498" s="831">
        <f>L155/L27</f>
        <v>0</v>
      </c>
      <c r="L498" s="794">
        <f t="shared" si="25"/>
        <v>0</v>
      </c>
      <c r="M498" s="796" t="s">
        <v>335</v>
      </c>
      <c r="N498" s="797" t="s">
        <v>1786</v>
      </c>
      <c r="O498" s="799"/>
      <c r="P498" s="797"/>
    </row>
    <row r="499" spans="1:16" ht="12.75" customHeight="1" x14ac:dyDescent="0.3">
      <c r="A499" s="797" t="s">
        <v>1793</v>
      </c>
      <c r="B499" s="797"/>
      <c r="C499" s="797"/>
      <c r="D499" s="797"/>
      <c r="E499" s="797"/>
      <c r="F499" s="797"/>
      <c r="G499" s="796" t="s">
        <v>1794</v>
      </c>
      <c r="H499" s="796" t="s">
        <v>335</v>
      </c>
      <c r="I499" s="800"/>
      <c r="J499" s="792" t="str">
        <f>IF(ISBLANK(HLOOKUP(CaseName,CaseData,MATCH($G499,cases!$G$4:$G$2494,0),FALSE)),"",HLOOKUP(CaseName,CaseData,MATCH($G499,cases!$G$4:$G$2494,0),FALSE))</f>
        <v/>
      </c>
      <c r="K499" s="831">
        <f>L157/L28</f>
        <v>2.6515050905292422E-8</v>
      </c>
      <c r="L499" s="794">
        <f t="shared" si="25"/>
        <v>2.6515050905292422E-8</v>
      </c>
      <c r="M499" s="796" t="s">
        <v>335</v>
      </c>
      <c r="N499" s="797" t="s">
        <v>1786</v>
      </c>
      <c r="O499" s="799"/>
      <c r="P499" s="797"/>
    </row>
    <row r="500" spans="1:16" ht="12.75" customHeight="1" x14ac:dyDescent="0.3">
      <c r="A500" s="797" t="s">
        <v>1795</v>
      </c>
      <c r="B500" s="797"/>
      <c r="C500" s="797"/>
      <c r="D500" s="797"/>
      <c r="E500" s="797"/>
      <c r="F500" s="797"/>
      <c r="G500" s="796" t="s">
        <v>1796</v>
      </c>
      <c r="H500" s="796" t="s">
        <v>335</v>
      </c>
      <c r="I500" s="800"/>
      <c r="J500" s="792" t="str">
        <f>IF(ISBLANK(HLOOKUP(CaseName,CaseData,MATCH($G500,cases!$G$4:$G$2494,0),FALSE)),"",HLOOKUP(CaseName,CaseData,MATCH($G500,cases!$G$4:$G$2494,0),FALSE))</f>
        <v/>
      </c>
      <c r="K500" s="831">
        <f>L159/L29</f>
        <v>8.8891798123057166E-9</v>
      </c>
      <c r="L500" s="794">
        <f t="shared" si="25"/>
        <v>8.8891798123057166E-9</v>
      </c>
      <c r="M500" s="796" t="s">
        <v>335</v>
      </c>
      <c r="N500" s="797" t="s">
        <v>1786</v>
      </c>
      <c r="O500" s="799"/>
      <c r="P500" s="797"/>
    </row>
    <row r="501" spans="1:16" ht="12.75" customHeight="1" x14ac:dyDescent="0.3">
      <c r="A501" s="797" t="s">
        <v>1797</v>
      </c>
      <c r="B501" s="797"/>
      <c r="C501" s="797"/>
      <c r="D501" s="797"/>
      <c r="E501" s="797"/>
      <c r="F501" s="797"/>
      <c r="G501" s="796" t="s">
        <v>1798</v>
      </c>
      <c r="H501" s="796" t="s">
        <v>335</v>
      </c>
      <c r="I501" s="800"/>
      <c r="J501" s="792" t="str">
        <f>IF(ISBLANK(HLOOKUP(CaseName,CaseData,MATCH($G501,cases!$G$4:$G$2494,0),FALSE)),"",HLOOKUP(CaseName,CaseData,MATCH($G501,cases!$G$4:$G$2494,0),FALSE))</f>
        <v/>
      </c>
      <c r="K501" s="831">
        <f>L155/L27</f>
        <v>0</v>
      </c>
      <c r="L501" s="794">
        <f t="shared" si="25"/>
        <v>0</v>
      </c>
      <c r="M501" s="796" t="s">
        <v>335</v>
      </c>
      <c r="N501" s="797" t="s">
        <v>1786</v>
      </c>
      <c r="O501" s="799"/>
      <c r="P501" s="797"/>
    </row>
    <row r="502" spans="1:16" ht="12.75" customHeight="1" x14ac:dyDescent="0.3">
      <c r="A502" s="797" t="s">
        <v>1799</v>
      </c>
      <c r="B502" s="797"/>
      <c r="C502" s="797"/>
      <c r="D502" s="797"/>
      <c r="E502" s="797"/>
      <c r="F502" s="797"/>
      <c r="G502" s="796" t="s">
        <v>1800</v>
      </c>
      <c r="H502" s="796" t="s">
        <v>335</v>
      </c>
      <c r="I502" s="800"/>
      <c r="J502" s="792" t="str">
        <f>IF(ISBLANK(HLOOKUP(CaseName,CaseData,MATCH($G502,cases!$G$4:$G$2494,0),FALSE)),"",HLOOKUP(CaseName,CaseData,MATCH($G502,cases!$G$4:$G$2494,0),FALSE))</f>
        <v/>
      </c>
      <c r="K502" s="831">
        <f>L157/L28</f>
        <v>2.6515050905292422E-8</v>
      </c>
      <c r="L502" s="794">
        <f t="shared" si="25"/>
        <v>2.6515050905292422E-8</v>
      </c>
      <c r="M502" s="796" t="s">
        <v>335</v>
      </c>
      <c r="N502" s="797" t="s">
        <v>1786</v>
      </c>
      <c r="O502" s="799"/>
      <c r="P502" s="797"/>
    </row>
    <row r="503" spans="1:16" s="826" customFormat="1" ht="12.75" customHeight="1" x14ac:dyDescent="0.3">
      <c r="A503" s="852" t="s">
        <v>1801</v>
      </c>
      <c r="B503" s="852"/>
      <c r="C503" s="852"/>
      <c r="D503" s="852"/>
      <c r="E503" s="852"/>
      <c r="F503" s="852"/>
      <c r="G503" s="853" t="s">
        <v>1802</v>
      </c>
      <c r="H503" s="853" t="s">
        <v>335</v>
      </c>
      <c r="I503" s="842"/>
      <c r="J503" s="792" t="str">
        <f>IF(ISBLANK(HLOOKUP(CaseName,CaseData,MATCH($G503,cases!$G$4:$G$2494,0),FALSE)),"",HLOOKUP(CaseName,CaseData,MATCH($G503,cases!$G$4:$G$2494,0),FALSE))</f>
        <v/>
      </c>
      <c r="K503" s="849">
        <f>L159/L29</f>
        <v>8.8891798123057166E-9</v>
      </c>
      <c r="L503" s="850">
        <f t="shared" si="25"/>
        <v>8.8891798123057166E-9</v>
      </c>
      <c r="M503" s="853" t="s">
        <v>335</v>
      </c>
      <c r="N503" s="852" t="s">
        <v>1786</v>
      </c>
      <c r="O503" s="854"/>
      <c r="P503" s="852"/>
    </row>
    <row r="504" spans="1:16" s="837" customFormat="1" ht="12.75" customHeight="1" x14ac:dyDescent="0.3">
      <c r="A504" s="841" t="s">
        <v>1803</v>
      </c>
      <c r="B504" s="841"/>
      <c r="C504" s="841"/>
      <c r="D504" s="841"/>
      <c r="E504" s="841"/>
      <c r="F504" s="841"/>
      <c r="G504" s="844" t="s">
        <v>4655</v>
      </c>
      <c r="H504" s="796" t="s">
        <v>335</v>
      </c>
      <c r="I504" s="800"/>
      <c r="J504" s="792" t="str">
        <f>IF(ISBLANK(HLOOKUP(CaseName,CaseData,MATCH($G504,cases!$G$4:$G$2494,0),FALSE)),"",HLOOKUP(CaseName,CaseData,MATCH($G504,cases!$G$4:$G$2494,0),FALSE))</f>
        <v/>
      </c>
      <c r="K504" s="845">
        <f>((L185*RAINrate.R*L188+L182)/L30)*L17/(L17+L18)</f>
        <v>1.1754330089525718E-8</v>
      </c>
      <c r="L504" s="846">
        <f t="shared" si="25"/>
        <v>1.1754330089525718E-8</v>
      </c>
      <c r="M504" s="844" t="s">
        <v>335</v>
      </c>
      <c r="N504" s="797" t="s">
        <v>1805</v>
      </c>
      <c r="O504" s="855"/>
      <c r="P504" s="841"/>
    </row>
    <row r="505" spans="1:16" ht="12.75" customHeight="1" x14ac:dyDescent="0.3">
      <c r="A505" s="797" t="s">
        <v>1806</v>
      </c>
      <c r="B505" s="797"/>
      <c r="C505" s="797"/>
      <c r="D505" s="797"/>
      <c r="E505" s="797"/>
      <c r="F505" s="797"/>
      <c r="G505" s="796" t="s">
        <v>4656</v>
      </c>
      <c r="H505" s="796" t="s">
        <v>335</v>
      </c>
      <c r="I505" s="800"/>
      <c r="J505" s="792" t="str">
        <f>IF(ISBLANK(HLOOKUP(CaseName,CaseData,MATCH($G505,cases!$G$4:$G$2494,0),FALSE)),"",HLOOKUP(CaseName,CaseData,MATCH($G505,cases!$G$4:$G$2494,0),FALSE))</f>
        <v/>
      </c>
      <c r="K505" s="831">
        <f>((L186*RAINrate.R*L189+L183)/L31)*L17/(L17+L18)</f>
        <v>5.3485325628168728E-9</v>
      </c>
      <c r="L505" s="794">
        <f t="shared" si="25"/>
        <v>5.3485325628168728E-9</v>
      </c>
      <c r="M505" s="796" t="s">
        <v>335</v>
      </c>
      <c r="N505" s="797" t="s">
        <v>1805</v>
      </c>
      <c r="O505" s="799"/>
      <c r="P505" s="797"/>
    </row>
    <row r="506" spans="1:16" ht="12.75" customHeight="1" x14ac:dyDescent="0.3">
      <c r="A506" s="797" t="s">
        <v>1808</v>
      </c>
      <c r="B506" s="797"/>
      <c r="C506" s="797"/>
      <c r="D506" s="797"/>
      <c r="E506" s="797"/>
      <c r="F506" s="797"/>
      <c r="G506" s="796" t="s">
        <v>4657</v>
      </c>
      <c r="H506" s="796" t="s">
        <v>335</v>
      </c>
      <c r="I506" s="800"/>
      <c r="J506" s="792" t="str">
        <f>IF(ISBLANK(HLOOKUP(CaseName,CaseData,MATCH($G506,cases!$G$4:$G$2494,0),FALSE)),"",HLOOKUP(CaseName,CaseData,MATCH($G506,cases!$G$4:$G$2494,0),FALSE))</f>
        <v/>
      </c>
      <c r="K506" s="831">
        <f>((L187*RAINrate.R*L190+L184)/L32)*L17/(L17+L18)</f>
        <v>1.1754330089525718E-8</v>
      </c>
      <c r="L506" s="794">
        <f t="shared" si="25"/>
        <v>1.1754330089525718E-8</v>
      </c>
      <c r="M506" s="796" t="s">
        <v>335</v>
      </c>
      <c r="N506" s="797" t="s">
        <v>1805</v>
      </c>
      <c r="O506" s="799"/>
      <c r="P506" s="797"/>
    </row>
    <row r="507" spans="1:16" ht="12.75" customHeight="1" x14ac:dyDescent="0.3">
      <c r="A507" s="797" t="s">
        <v>1810</v>
      </c>
      <c r="B507" s="797"/>
      <c r="C507" s="797"/>
      <c r="D507" s="797"/>
      <c r="E507" s="797"/>
      <c r="F507" s="797"/>
      <c r="G507" s="796" t="s">
        <v>4658</v>
      </c>
      <c r="H507" s="796" t="s">
        <v>335</v>
      </c>
      <c r="I507" s="800"/>
      <c r="J507" s="792" t="str">
        <f>IF(ISBLANK(HLOOKUP(CaseName,CaseData,MATCH($G507,cases!$G$4:$G$2494,0),FALSE)),"",HLOOKUP(CaseName,CaseData,MATCH($G507,cases!$G$4:$G$2494,0),FALSE))</f>
        <v/>
      </c>
      <c r="K507" s="831">
        <f>((L185*RAINrate.R*L188+L182)/L30)*L17/(L17+L18)</f>
        <v>1.1754330089525718E-8</v>
      </c>
      <c r="L507" s="794">
        <f t="shared" si="25"/>
        <v>1.1754330089525718E-8</v>
      </c>
      <c r="M507" s="796" t="s">
        <v>335</v>
      </c>
      <c r="N507" s="797" t="s">
        <v>1805</v>
      </c>
      <c r="O507" s="799"/>
      <c r="P507" s="797"/>
    </row>
    <row r="508" spans="1:16" ht="12.75" customHeight="1" x14ac:dyDescent="0.3">
      <c r="A508" s="797" t="s">
        <v>1812</v>
      </c>
      <c r="B508" s="797"/>
      <c r="C508" s="797"/>
      <c r="D508" s="797"/>
      <c r="E508" s="797"/>
      <c r="F508" s="797"/>
      <c r="G508" s="796" t="s">
        <v>4659</v>
      </c>
      <c r="H508" s="796" t="s">
        <v>335</v>
      </c>
      <c r="I508" s="800"/>
      <c r="J508" s="792" t="str">
        <f>IF(ISBLANK(HLOOKUP(CaseName,CaseData,MATCH($G508,cases!$G$4:$G$2494,0),FALSE)),"",HLOOKUP(CaseName,CaseData,MATCH($G508,cases!$G$4:$G$2494,0),FALSE))</f>
        <v/>
      </c>
      <c r="K508" s="831">
        <f>((L186*RAINrate.R*L189+L183)/L31)*L17/(L17+L18)</f>
        <v>5.3485325628168728E-9</v>
      </c>
      <c r="L508" s="794">
        <f t="shared" si="25"/>
        <v>5.3485325628168728E-9</v>
      </c>
      <c r="M508" s="796" t="s">
        <v>335</v>
      </c>
      <c r="N508" s="797" t="s">
        <v>1805</v>
      </c>
      <c r="O508" s="799"/>
      <c r="P508" s="797"/>
    </row>
    <row r="509" spans="1:16" ht="12" customHeight="1" x14ac:dyDescent="0.3">
      <c r="A509" s="797" t="s">
        <v>1814</v>
      </c>
      <c r="B509" s="797"/>
      <c r="C509" s="797"/>
      <c r="D509" s="797"/>
      <c r="E509" s="797"/>
      <c r="F509" s="797"/>
      <c r="G509" s="796" t="s">
        <v>4660</v>
      </c>
      <c r="H509" s="796" t="s">
        <v>335</v>
      </c>
      <c r="I509" s="800"/>
      <c r="J509" s="792" t="str">
        <f>IF(ISBLANK(HLOOKUP(CaseName,CaseData,MATCH($G509,cases!$G$4:$G$2494,0),FALSE)),"",HLOOKUP(CaseName,CaseData,MATCH($G509,cases!$G$4:$G$2494,0),FALSE))</f>
        <v/>
      </c>
      <c r="K509" s="831">
        <f>((L187*RAINrate.R*L190+L184)/L32)*L17/(L17+L18)</f>
        <v>1.1754330089525718E-8</v>
      </c>
      <c r="L509" s="794">
        <f t="shared" si="25"/>
        <v>1.1754330089525718E-8</v>
      </c>
      <c r="M509" s="796" t="s">
        <v>335</v>
      </c>
      <c r="N509" s="797" t="s">
        <v>1805</v>
      </c>
      <c r="O509" s="799"/>
      <c r="P509" s="797"/>
    </row>
    <row r="510" spans="1:16" ht="12.75" customHeight="1" x14ac:dyDescent="0.3">
      <c r="A510" s="797" t="s">
        <v>1816</v>
      </c>
      <c r="B510" s="797"/>
      <c r="C510" s="797"/>
      <c r="D510" s="797"/>
      <c r="E510" s="797"/>
      <c r="F510" s="797"/>
      <c r="G510" s="796" t="s">
        <v>4661</v>
      </c>
      <c r="H510" s="796" t="s">
        <v>335</v>
      </c>
      <c r="I510" s="800"/>
      <c r="J510" s="792" t="str">
        <f>IF(ISBLANK(HLOOKUP(CaseName,CaseData,MATCH($G510,cases!$G$4:$G$2494,0),FALSE)),"",HLOOKUP(CaseName,CaseData,MATCH($G510,cases!$G$4:$G$2494,0),FALSE))</f>
        <v/>
      </c>
      <c r="K510" s="831">
        <f>(L182/L30)*L17/(L17+L18)</f>
        <v>1.5854895991882292E-12</v>
      </c>
      <c r="L510" s="794">
        <f t="shared" si="25"/>
        <v>1.5854895991882292E-12</v>
      </c>
      <c r="M510" s="796" t="s">
        <v>335</v>
      </c>
      <c r="N510" s="797" t="s">
        <v>1818</v>
      </c>
      <c r="O510" s="799"/>
      <c r="P510" s="797"/>
    </row>
    <row r="511" spans="1:16" ht="12.75" customHeight="1" x14ac:dyDescent="0.3">
      <c r="A511" s="797" t="s">
        <v>1819</v>
      </c>
      <c r="B511" s="797"/>
      <c r="C511" s="797"/>
      <c r="D511" s="797"/>
      <c r="E511" s="797"/>
      <c r="F511" s="797"/>
      <c r="G511" s="796" t="s">
        <v>4662</v>
      </c>
      <c r="H511" s="796" t="s">
        <v>335</v>
      </c>
      <c r="I511" s="800"/>
      <c r="J511" s="792" t="str">
        <f>IF(ISBLANK(HLOOKUP(CaseName,CaseData,MATCH($G511,cases!$G$4:$G$2494,0),FALSE)),"",HLOOKUP(CaseName,CaseData,MATCH($G511,cases!$G$4:$G$2494,0),FALSE))</f>
        <v/>
      </c>
      <c r="K511" s="831">
        <f>(L183/L31)*L17/(L17+L18)</f>
        <v>3.9637239979705729E-13</v>
      </c>
      <c r="L511" s="794">
        <f t="shared" si="25"/>
        <v>3.9637239979705729E-13</v>
      </c>
      <c r="M511" s="796" t="s">
        <v>335</v>
      </c>
      <c r="N511" s="797" t="s">
        <v>1818</v>
      </c>
      <c r="O511" s="799"/>
      <c r="P511" s="797"/>
    </row>
    <row r="512" spans="1:16" s="826" customFormat="1" ht="12.75" customHeight="1" x14ac:dyDescent="0.3">
      <c r="A512" s="852" t="s">
        <v>1821</v>
      </c>
      <c r="B512" s="852"/>
      <c r="C512" s="852"/>
      <c r="D512" s="852"/>
      <c r="E512" s="852"/>
      <c r="F512" s="852"/>
      <c r="G512" s="853" t="s">
        <v>4663</v>
      </c>
      <c r="H512" s="853" t="s">
        <v>335</v>
      </c>
      <c r="I512" s="842"/>
      <c r="J512" s="792" t="str">
        <f>IF(ISBLANK(HLOOKUP(CaseName,CaseData,MATCH($G512,cases!$G$4:$G$2494,0),FALSE)),"",HLOOKUP(CaseName,CaseData,MATCH($G512,cases!$G$4:$G$2494,0),FALSE))</f>
        <v/>
      </c>
      <c r="K512" s="849">
        <f>(L184/L32)*L17/(L17+L18)</f>
        <v>1.5854895991882292E-12</v>
      </c>
      <c r="L512" s="850">
        <f t="shared" si="25"/>
        <v>1.5854895991882292E-12</v>
      </c>
      <c r="M512" s="853" t="s">
        <v>335</v>
      </c>
      <c r="N512" s="852" t="s">
        <v>1818</v>
      </c>
      <c r="O512" s="854"/>
      <c r="P512" s="852"/>
    </row>
    <row r="513" spans="1:19" s="837" customFormat="1" ht="12.75" customHeight="1" x14ac:dyDescent="0.3">
      <c r="A513" s="841" t="s">
        <v>1803</v>
      </c>
      <c r="B513" s="841"/>
      <c r="C513" s="841"/>
      <c r="D513" s="841"/>
      <c r="E513" s="841"/>
      <c r="F513" s="841"/>
      <c r="G513" s="844" t="s">
        <v>1804</v>
      </c>
      <c r="H513" s="796" t="s">
        <v>335</v>
      </c>
      <c r="I513" s="800"/>
      <c r="J513" s="792" t="str">
        <f>IF(ISBLANK(HLOOKUP(CaseName,CaseData,MATCH($G513,cases!$G$4:$G$2494,0),FALSE)),"",HLOOKUP(CaseName,CaseData,MATCH($G513,cases!$G$4:$G$2494,0),FALSE))</f>
        <v/>
      </c>
      <c r="K513" s="845">
        <f>((L185*RAINrate.R*L188+L182)/L30)*L18/(L17+L18)</f>
        <v>1.292976309847829E-7</v>
      </c>
      <c r="L513" s="846">
        <f t="shared" si="25"/>
        <v>1.292976309847829E-7</v>
      </c>
      <c r="M513" s="796" t="s">
        <v>335</v>
      </c>
      <c r="N513" s="797" t="s">
        <v>1805</v>
      </c>
      <c r="O513" s="855"/>
      <c r="P513" s="841"/>
    </row>
    <row r="514" spans="1:19" ht="12.75" customHeight="1" x14ac:dyDescent="0.3">
      <c r="A514" s="797" t="s">
        <v>1806</v>
      </c>
      <c r="B514" s="797"/>
      <c r="C514" s="797"/>
      <c r="D514" s="797"/>
      <c r="E514" s="797"/>
      <c r="F514" s="797"/>
      <c r="G514" s="796" t="s">
        <v>1807</v>
      </c>
      <c r="H514" s="796" t="s">
        <v>335</v>
      </c>
      <c r="I514" s="800"/>
      <c r="J514" s="792" t="str">
        <f>IF(ISBLANK(HLOOKUP(CaseName,CaseData,MATCH($G514,cases!$G$4:$G$2494,0),FALSE)),"",HLOOKUP(CaseName,CaseData,MATCH($G514,cases!$G$4:$G$2494,0),FALSE))</f>
        <v/>
      </c>
      <c r="K514" s="831">
        <f>((L186*RAINrate.R*L189+L183)/L31)*L18/(L17+L18)</f>
        <v>5.8833858190985604E-8</v>
      </c>
      <c r="L514" s="794">
        <f t="shared" si="25"/>
        <v>5.8833858190985604E-8</v>
      </c>
      <c r="M514" s="796" t="s">
        <v>335</v>
      </c>
      <c r="N514" s="797" t="s">
        <v>1805</v>
      </c>
      <c r="O514" s="799"/>
      <c r="P514" s="797"/>
    </row>
    <row r="515" spans="1:19" ht="12.75" customHeight="1" x14ac:dyDescent="0.3">
      <c r="A515" s="797" t="s">
        <v>1808</v>
      </c>
      <c r="B515" s="797"/>
      <c r="C515" s="797"/>
      <c r="D515" s="797"/>
      <c r="E515" s="797"/>
      <c r="F515" s="797"/>
      <c r="G515" s="796" t="s">
        <v>1809</v>
      </c>
      <c r="H515" s="796" t="s">
        <v>335</v>
      </c>
      <c r="I515" s="800"/>
      <c r="J515" s="792" t="str">
        <f>IF(ISBLANK(HLOOKUP(CaseName,CaseData,MATCH($G515,cases!$G$4:$G$2494,0),FALSE)),"",HLOOKUP(CaseName,CaseData,MATCH($G515,cases!$G$4:$G$2494,0),FALSE))</f>
        <v/>
      </c>
      <c r="K515" s="831">
        <f>((L187*RAINrate.R*L190+L184)/L32)*L18/(L17+L18)</f>
        <v>1.292976309847829E-7</v>
      </c>
      <c r="L515" s="794">
        <f t="shared" si="25"/>
        <v>1.292976309847829E-7</v>
      </c>
      <c r="M515" s="796" t="s">
        <v>335</v>
      </c>
      <c r="N515" s="797" t="s">
        <v>1805</v>
      </c>
      <c r="O515" s="799"/>
      <c r="P515" s="797"/>
    </row>
    <row r="516" spans="1:19" ht="12.75" customHeight="1" x14ac:dyDescent="0.3">
      <c r="A516" s="797" t="s">
        <v>1810</v>
      </c>
      <c r="B516" s="797"/>
      <c r="C516" s="797"/>
      <c r="D516" s="797"/>
      <c r="E516" s="797"/>
      <c r="F516" s="797"/>
      <c r="G516" s="796" t="s">
        <v>1811</v>
      </c>
      <c r="H516" s="796" t="s">
        <v>335</v>
      </c>
      <c r="I516" s="800"/>
      <c r="J516" s="792" t="str">
        <f>IF(ISBLANK(HLOOKUP(CaseName,CaseData,MATCH($G516,cases!$G$4:$G$2494,0),FALSE)),"",HLOOKUP(CaseName,CaseData,MATCH($G516,cases!$G$4:$G$2494,0),FALSE))</f>
        <v/>
      </c>
      <c r="K516" s="831">
        <f>((L185*RAINrate.R*L188+L182)/L30)*L18/(L17+L18)</f>
        <v>1.292976309847829E-7</v>
      </c>
      <c r="L516" s="794">
        <f t="shared" si="25"/>
        <v>1.292976309847829E-7</v>
      </c>
      <c r="M516" s="796" t="s">
        <v>335</v>
      </c>
      <c r="N516" s="797" t="s">
        <v>1805</v>
      </c>
      <c r="O516" s="799"/>
      <c r="P516" s="797"/>
    </row>
    <row r="517" spans="1:19" ht="12.75" customHeight="1" x14ac:dyDescent="0.3">
      <c r="A517" s="797" t="s">
        <v>1812</v>
      </c>
      <c r="B517" s="797"/>
      <c r="C517" s="797"/>
      <c r="D517" s="797"/>
      <c r="E517" s="797"/>
      <c r="F517" s="797"/>
      <c r="G517" s="796" t="s">
        <v>1813</v>
      </c>
      <c r="H517" s="796" t="s">
        <v>335</v>
      </c>
      <c r="I517" s="800"/>
      <c r="J517" s="792" t="str">
        <f>IF(ISBLANK(HLOOKUP(CaseName,CaseData,MATCH($G517,cases!$G$4:$G$2494,0),FALSE)),"",HLOOKUP(CaseName,CaseData,MATCH($G517,cases!$G$4:$G$2494,0),FALSE))</f>
        <v/>
      </c>
      <c r="K517" s="831">
        <f>((L186*RAINrate.R*L189+L183)/L31)*L18/(L17+L18)</f>
        <v>5.8833858190985604E-8</v>
      </c>
      <c r="L517" s="794">
        <f t="shared" si="25"/>
        <v>5.8833858190985604E-8</v>
      </c>
      <c r="M517" s="796" t="s">
        <v>335</v>
      </c>
      <c r="N517" s="797" t="s">
        <v>1805</v>
      </c>
      <c r="O517" s="799"/>
      <c r="P517" s="797"/>
    </row>
    <row r="518" spans="1:19" ht="12" customHeight="1" x14ac:dyDescent="0.3">
      <c r="A518" s="797" t="s">
        <v>1814</v>
      </c>
      <c r="B518" s="797"/>
      <c r="C518" s="797"/>
      <c r="D518" s="797"/>
      <c r="E518" s="797"/>
      <c r="F518" s="797"/>
      <c r="G518" s="796" t="s">
        <v>1815</v>
      </c>
      <c r="H518" s="796" t="s">
        <v>335</v>
      </c>
      <c r="I518" s="800"/>
      <c r="J518" s="792" t="str">
        <f>IF(ISBLANK(HLOOKUP(CaseName,CaseData,MATCH($G518,cases!$G$4:$G$2494,0),FALSE)),"",HLOOKUP(CaseName,CaseData,MATCH($G518,cases!$G$4:$G$2494,0),FALSE))</f>
        <v/>
      </c>
      <c r="K518" s="831">
        <f>((L187*RAINrate.R*L190+L184)/L32)*L18/(L17+L18)</f>
        <v>1.292976309847829E-7</v>
      </c>
      <c r="L518" s="794">
        <f t="shared" si="25"/>
        <v>1.292976309847829E-7</v>
      </c>
      <c r="M518" s="796" t="s">
        <v>335</v>
      </c>
      <c r="N518" s="797" t="s">
        <v>1805</v>
      </c>
      <c r="O518" s="799"/>
      <c r="P518" s="797"/>
    </row>
    <row r="519" spans="1:19" ht="12.75" customHeight="1" x14ac:dyDescent="0.3">
      <c r="A519" s="797" t="s">
        <v>1816</v>
      </c>
      <c r="B519" s="797"/>
      <c r="C519" s="797"/>
      <c r="D519" s="797"/>
      <c r="E519" s="797"/>
      <c r="F519" s="797"/>
      <c r="G519" s="796" t="s">
        <v>1817</v>
      </c>
      <c r="H519" s="796" t="s">
        <v>335</v>
      </c>
      <c r="I519" s="800"/>
      <c r="J519" s="792" t="str">
        <f>IF(ISBLANK(HLOOKUP(CaseName,CaseData,MATCH($G519,cases!$G$4:$G$2494,0),FALSE)),"",HLOOKUP(CaseName,CaseData,MATCH($G519,cases!$G$4:$G$2494,0),FALSE))</f>
        <v/>
      </c>
      <c r="K519" s="831">
        <f>(L182/L30)*L18/(L17+L18)</f>
        <v>1.7440385591070524E-11</v>
      </c>
      <c r="L519" s="794">
        <f t="shared" si="25"/>
        <v>1.7440385591070524E-11</v>
      </c>
      <c r="M519" s="796" t="s">
        <v>335</v>
      </c>
      <c r="N519" s="797" t="s">
        <v>1818</v>
      </c>
      <c r="O519" s="799"/>
      <c r="P519" s="797"/>
    </row>
    <row r="520" spans="1:19" ht="12.75" customHeight="1" x14ac:dyDescent="0.3">
      <c r="A520" s="797" t="s">
        <v>1819</v>
      </c>
      <c r="B520" s="797"/>
      <c r="C520" s="797"/>
      <c r="D520" s="797"/>
      <c r="E520" s="797"/>
      <c r="F520" s="797"/>
      <c r="G520" s="796" t="s">
        <v>1820</v>
      </c>
      <c r="H520" s="796" t="s">
        <v>335</v>
      </c>
      <c r="I520" s="800"/>
      <c r="J520" s="792" t="str">
        <f>IF(ISBLANK(HLOOKUP(CaseName,CaseData,MATCH($G520,cases!$G$4:$G$2494,0),FALSE)),"",HLOOKUP(CaseName,CaseData,MATCH($G520,cases!$G$4:$G$2494,0),FALSE))</f>
        <v/>
      </c>
      <c r="K520" s="831">
        <f>(L183/L31)*L18/(L17+L18)</f>
        <v>4.3600963977676309E-12</v>
      </c>
      <c r="L520" s="794">
        <f t="shared" si="25"/>
        <v>4.3600963977676309E-12</v>
      </c>
      <c r="M520" s="796" t="s">
        <v>335</v>
      </c>
      <c r="N520" s="797" t="s">
        <v>1818</v>
      </c>
      <c r="O520" s="799"/>
      <c r="P520" s="797"/>
    </row>
    <row r="521" spans="1:19" s="826" customFormat="1" ht="12.75" customHeight="1" x14ac:dyDescent="0.3">
      <c r="A521" s="852" t="s">
        <v>1821</v>
      </c>
      <c r="B521" s="852"/>
      <c r="C521" s="852"/>
      <c r="D521" s="852"/>
      <c r="E521" s="852"/>
      <c r="F521" s="852"/>
      <c r="G521" s="853" t="s">
        <v>1822</v>
      </c>
      <c r="H521" s="853" t="s">
        <v>335</v>
      </c>
      <c r="I521" s="842"/>
      <c r="J521" s="792" t="str">
        <f>IF(ISBLANK(HLOOKUP(CaseName,CaseData,MATCH($G521,cases!$G$4:$G$2494,0),FALSE)),"",HLOOKUP(CaseName,CaseData,MATCH($G521,cases!$G$4:$G$2494,0),FALSE))</f>
        <v/>
      </c>
      <c r="K521" s="849">
        <f>(L184/L32)*L18/(L17+L18)</f>
        <v>1.7440385591070524E-11</v>
      </c>
      <c r="L521" s="850">
        <f t="shared" si="25"/>
        <v>1.7440385591070524E-11</v>
      </c>
      <c r="M521" s="853" t="s">
        <v>335</v>
      </c>
      <c r="N521" s="852" t="s">
        <v>1818</v>
      </c>
      <c r="O521" s="854"/>
      <c r="P521" s="852"/>
    </row>
    <row r="522" spans="1:19" s="826" customFormat="1" ht="12.75" customHeight="1" x14ac:dyDescent="0.3">
      <c r="G522" s="827"/>
      <c r="H522" s="827"/>
      <c r="I522" s="828"/>
      <c r="J522" s="856"/>
      <c r="K522" s="828"/>
      <c r="L522" s="829"/>
      <c r="M522" s="827"/>
      <c r="N522" s="778"/>
      <c r="O522" s="830"/>
    </row>
    <row r="523" spans="1:19" s="837" customFormat="1" ht="12.75" customHeight="1" x14ac:dyDescent="0.3">
      <c r="A523" s="836" t="s">
        <v>1823</v>
      </c>
      <c r="G523" s="836" t="s">
        <v>258</v>
      </c>
      <c r="H523" s="836" t="s">
        <v>274</v>
      </c>
      <c r="I523" s="838" t="s">
        <v>259</v>
      </c>
      <c r="J523" s="805"/>
      <c r="K523" s="838" t="s">
        <v>260</v>
      </c>
      <c r="L523" s="839" t="s">
        <v>261</v>
      </c>
      <c r="N523" s="836" t="s">
        <v>262</v>
      </c>
      <c r="O523" s="840"/>
    </row>
    <row r="524" spans="1:19" ht="12.75" customHeight="1" x14ac:dyDescent="0.3">
      <c r="A524" s="796" t="s">
        <v>1267</v>
      </c>
      <c r="B524" s="797"/>
      <c r="C524" s="797"/>
      <c r="D524" s="797"/>
      <c r="E524" s="797"/>
      <c r="F524" s="797"/>
      <c r="G524" s="796" t="s">
        <v>1824</v>
      </c>
      <c r="H524" s="796" t="s">
        <v>4690</v>
      </c>
      <c r="I524" s="857"/>
      <c r="J524" s="792" t="str">
        <f>IF(ISBLANK(HLOOKUP(CaseName,CaseData,MATCH($G524,cases!$G$4:$G$2494,0),FALSE)),"",HLOOKUP(CaseName,CaseData,MATCH($G524,cases!$G$4:$G$2494,0),FALSE))</f>
        <v/>
      </c>
      <c r="K524" s="858">
        <f>L204+kdegS.a</f>
        <v>3.663258818281463E-10</v>
      </c>
      <c r="L524" s="794">
        <f t="shared" ref="L524:L559" si="26">IF(ISBLANK(I524),IF(ISNUMBER(J524)=FALSE,K524,J524),I524)</f>
        <v>3.663258818281463E-10</v>
      </c>
      <c r="M524" s="797" t="s">
        <v>1038</v>
      </c>
      <c r="N524" s="796"/>
      <c r="O524" s="799"/>
      <c r="P524" s="797"/>
      <c r="Q524" s="858"/>
      <c r="S524" s="603"/>
    </row>
    <row r="525" spans="1:19" ht="12.75" customHeight="1" x14ac:dyDescent="0.3">
      <c r="A525" s="796" t="s">
        <v>1267</v>
      </c>
      <c r="B525" s="797"/>
      <c r="C525" s="797"/>
      <c r="D525" s="797"/>
      <c r="E525" s="797"/>
      <c r="F525" s="797"/>
      <c r="G525" s="796" t="s">
        <v>1825</v>
      </c>
      <c r="H525" s="796" t="s">
        <v>4690</v>
      </c>
      <c r="I525" s="857"/>
      <c r="J525" s="792" t="str">
        <f>IF(ISBLANK(HLOOKUP(CaseName,CaseData,MATCH($G525,cases!$G$4:$G$2494,0),FALSE)),"",HLOOKUP(CaseName,CaseData,MATCH($G525,cases!$G$4:$G$2494,0),FALSE))</f>
        <v/>
      </c>
      <c r="K525" s="858">
        <f>L204+kdegA.a</f>
        <v>3.663258818281463E-10</v>
      </c>
      <c r="L525" s="794">
        <f t="shared" si="26"/>
        <v>3.663258818281463E-10</v>
      </c>
      <c r="M525" s="797" t="s">
        <v>1038</v>
      </c>
      <c r="N525" s="796"/>
      <c r="O525" s="799"/>
      <c r="P525" s="797"/>
      <c r="Q525" s="858"/>
      <c r="S525" s="603"/>
    </row>
    <row r="526" spans="1:19" ht="12.75" customHeight="1" x14ac:dyDescent="0.3">
      <c r="A526" s="796" t="s">
        <v>1267</v>
      </c>
      <c r="B526" s="797"/>
      <c r="C526" s="797"/>
      <c r="D526" s="797"/>
      <c r="E526" s="797"/>
      <c r="F526" s="797"/>
      <c r="G526" s="796" t="s">
        <v>1826</v>
      </c>
      <c r="H526" s="796" t="s">
        <v>4690</v>
      </c>
      <c r="I526" s="857"/>
      <c r="J526" s="792" t="str">
        <f>IF(ISBLANK(HLOOKUP(CaseName,CaseData,MATCH($G526,cases!$G$4:$G$2494,0),FALSE)),"",HLOOKUP(CaseName,CaseData,MATCH($G526,cases!$G$4:$G$2494,0),FALSE))</f>
        <v/>
      </c>
      <c r="K526" s="858">
        <f>L204+kdegP.a</f>
        <v>3.663258818281463E-10</v>
      </c>
      <c r="L526" s="794">
        <f t="shared" si="26"/>
        <v>3.663258818281463E-10</v>
      </c>
      <c r="M526" s="797" t="s">
        <v>1038</v>
      </c>
      <c r="N526" s="796"/>
      <c r="O526" s="799"/>
      <c r="P526" s="797"/>
      <c r="Q526" s="858"/>
      <c r="S526" s="603"/>
    </row>
    <row r="527" spans="1:19" ht="12.75" customHeight="1" x14ac:dyDescent="0.3">
      <c r="A527" s="796" t="s">
        <v>1268</v>
      </c>
      <c r="B527" s="797"/>
      <c r="C527" s="797"/>
      <c r="D527" s="797"/>
      <c r="E527" s="797"/>
      <c r="F527" s="797"/>
      <c r="G527" s="796" t="s">
        <v>1827</v>
      </c>
      <c r="H527" s="796" t="s">
        <v>4690</v>
      </c>
      <c r="I527" s="857"/>
      <c r="J527" s="792" t="str">
        <f>IF(ISBLANK(HLOOKUP(CaseName,CaseData,MATCH($G527,cases!$G$4:$G$2494,0),FALSE)),"",HLOOKUP(CaseName,CaseData,MATCH($G527,cases!$G$4:$G$2494,0),FALSE))</f>
        <v/>
      </c>
      <c r="K527" s="858">
        <f>kdegS.w0</f>
        <v>0</v>
      </c>
      <c r="L527" s="794">
        <f t="shared" si="26"/>
        <v>0</v>
      </c>
      <c r="M527" s="797" t="s">
        <v>1828</v>
      </c>
      <c r="N527" s="796"/>
      <c r="O527" s="799"/>
      <c r="P527" s="797"/>
      <c r="Q527" s="858"/>
      <c r="S527" s="603"/>
    </row>
    <row r="528" spans="1:19" ht="12.75" customHeight="1" x14ac:dyDescent="0.3">
      <c r="A528" s="796" t="s">
        <v>1268</v>
      </c>
      <c r="B528" s="797"/>
      <c r="C528" s="797"/>
      <c r="D528" s="797"/>
      <c r="E528" s="797"/>
      <c r="F528" s="797"/>
      <c r="G528" s="796" t="s">
        <v>1829</v>
      </c>
      <c r="H528" s="796" t="s">
        <v>4690</v>
      </c>
      <c r="I528" s="857"/>
      <c r="J528" s="792" t="str">
        <f>IF(ISBLANK(HLOOKUP(CaseName,CaseData,MATCH($G528,cases!$G$4:$G$2494,0),FALSE)),"",HLOOKUP(CaseName,CaseData,MATCH($G528,cases!$G$4:$G$2494,0),FALSE))</f>
        <v/>
      </c>
      <c r="K528" s="858">
        <f>kdegA.w0</f>
        <v>0</v>
      </c>
      <c r="L528" s="794">
        <f t="shared" si="26"/>
        <v>0</v>
      </c>
      <c r="M528" s="797" t="s">
        <v>1828</v>
      </c>
      <c r="N528" s="796"/>
      <c r="O528" s="799"/>
      <c r="P528" s="797"/>
      <c r="Q528" s="858"/>
      <c r="S528" s="603"/>
    </row>
    <row r="529" spans="1:19" ht="12.75" customHeight="1" x14ac:dyDescent="0.3">
      <c r="A529" s="796" t="s">
        <v>1268</v>
      </c>
      <c r="B529" s="797"/>
      <c r="C529" s="797"/>
      <c r="D529" s="797"/>
      <c r="E529" s="797"/>
      <c r="F529" s="797"/>
      <c r="G529" s="796" t="s">
        <v>1830</v>
      </c>
      <c r="H529" s="796" t="s">
        <v>4690</v>
      </c>
      <c r="I529" s="857"/>
      <c r="J529" s="792" t="str">
        <f>IF(ISBLANK(HLOOKUP(CaseName,CaseData,MATCH($G529,cases!$G$4:$G$2494,0),FALSE)),"",HLOOKUP(CaseName,CaseData,MATCH($G529,cases!$G$4:$G$2494,0),FALSE))</f>
        <v/>
      </c>
      <c r="K529" s="858">
        <f>kdegP.w0</f>
        <v>0</v>
      </c>
      <c r="L529" s="794">
        <f t="shared" si="26"/>
        <v>0</v>
      </c>
      <c r="M529" s="797" t="s">
        <v>1828</v>
      </c>
      <c r="N529" s="796"/>
      <c r="O529" s="799"/>
      <c r="P529" s="797"/>
      <c r="Q529" s="858"/>
      <c r="S529" s="603"/>
    </row>
    <row r="530" spans="1:19" ht="12.75" customHeight="1" x14ac:dyDescent="0.3">
      <c r="A530" s="796" t="s">
        <v>1269</v>
      </c>
      <c r="B530" s="797"/>
      <c r="C530" s="797"/>
      <c r="D530" s="797"/>
      <c r="E530" s="797"/>
      <c r="F530" s="797"/>
      <c r="G530" s="796" t="s">
        <v>1831</v>
      </c>
      <c r="H530" s="796" t="s">
        <v>4690</v>
      </c>
      <c r="I530" s="857"/>
      <c r="J530" s="792" t="str">
        <f>IF(ISBLANK(HLOOKUP(CaseName,CaseData,MATCH($G530,cases!$G$4:$G$2494,0),FALSE)),"",HLOOKUP(CaseName,CaseData,MATCH($G530,cases!$G$4:$G$2494,0),FALSE))</f>
        <v/>
      </c>
      <c r="K530" s="858">
        <f>kdegS.w1</f>
        <v>0</v>
      </c>
      <c r="L530" s="794">
        <f t="shared" si="26"/>
        <v>0</v>
      </c>
      <c r="M530" s="797" t="s">
        <v>1828</v>
      </c>
      <c r="N530" s="796"/>
      <c r="O530" s="799"/>
      <c r="P530" s="797"/>
      <c r="Q530" s="858"/>
      <c r="S530" s="603"/>
    </row>
    <row r="531" spans="1:19" ht="12.75" customHeight="1" x14ac:dyDescent="0.3">
      <c r="A531" s="796" t="s">
        <v>1269</v>
      </c>
      <c r="B531" s="797"/>
      <c r="C531" s="797"/>
      <c r="D531" s="797"/>
      <c r="E531" s="797"/>
      <c r="F531" s="797"/>
      <c r="G531" s="796" t="s">
        <v>1832</v>
      </c>
      <c r="H531" s="796" t="s">
        <v>4690</v>
      </c>
      <c r="I531" s="857"/>
      <c r="J531" s="792" t="str">
        <f>IF(ISBLANK(HLOOKUP(CaseName,CaseData,MATCH($G531,cases!$G$4:$G$2494,0),FALSE)),"",HLOOKUP(CaseName,CaseData,MATCH($G531,cases!$G$4:$G$2494,0),FALSE))</f>
        <v/>
      </c>
      <c r="K531" s="858">
        <f>kdegA.w1</f>
        <v>0</v>
      </c>
      <c r="L531" s="794">
        <f t="shared" si="26"/>
        <v>0</v>
      </c>
      <c r="M531" s="797" t="s">
        <v>1828</v>
      </c>
      <c r="N531" s="796"/>
      <c r="O531" s="799"/>
      <c r="P531" s="797"/>
      <c r="Q531" s="858"/>
      <c r="S531" s="603"/>
    </row>
    <row r="532" spans="1:19" ht="12.75" customHeight="1" x14ac:dyDescent="0.3">
      <c r="A532" s="796" t="s">
        <v>1269</v>
      </c>
      <c r="B532" s="797"/>
      <c r="C532" s="797"/>
      <c r="D532" s="797"/>
      <c r="E532" s="797"/>
      <c r="F532" s="797"/>
      <c r="G532" s="796" t="s">
        <v>1833</v>
      </c>
      <c r="H532" s="796" t="s">
        <v>4690</v>
      </c>
      <c r="I532" s="857"/>
      <c r="J532" s="792" t="str">
        <f>IF(ISBLANK(HLOOKUP(CaseName,CaseData,MATCH($G532,cases!$G$4:$G$2494,0),FALSE)),"",HLOOKUP(CaseName,CaseData,MATCH($G532,cases!$G$4:$G$2494,0),FALSE))</f>
        <v/>
      </c>
      <c r="K532" s="858">
        <f>kdegP.w1</f>
        <v>0</v>
      </c>
      <c r="L532" s="794">
        <f t="shared" si="26"/>
        <v>0</v>
      </c>
      <c r="M532" s="797" t="s">
        <v>1828</v>
      </c>
      <c r="N532" s="796"/>
      <c r="O532" s="799"/>
      <c r="P532" s="797"/>
      <c r="Q532" s="858"/>
      <c r="S532" s="603"/>
    </row>
    <row r="533" spans="1:19" ht="12.75" customHeight="1" x14ac:dyDescent="0.3">
      <c r="A533" s="796" t="s">
        <v>1270</v>
      </c>
      <c r="B533" s="797"/>
      <c r="C533" s="797"/>
      <c r="D533" s="797"/>
      <c r="E533" s="797"/>
      <c r="F533" s="797"/>
      <c r="G533" s="796" t="s">
        <v>1834</v>
      </c>
      <c r="H533" s="796" t="s">
        <v>4690</v>
      </c>
      <c r="I533" s="857"/>
      <c r="J533" s="792" t="str">
        <f>IF(ISBLANK(HLOOKUP(CaseName,CaseData,MATCH($G533,cases!$G$4:$G$2494,0),FALSE)),"",HLOOKUP(CaseName,CaseData,MATCH($G533,cases!$G$4:$G$2494,0),FALSE))</f>
        <v/>
      </c>
      <c r="K533" s="858">
        <f>kdegS.w2</f>
        <v>0</v>
      </c>
      <c r="L533" s="794">
        <f t="shared" si="26"/>
        <v>0</v>
      </c>
      <c r="M533" s="797" t="s">
        <v>1828</v>
      </c>
      <c r="N533" s="796"/>
      <c r="O533" s="799"/>
      <c r="P533" s="797"/>
      <c r="Q533" s="858"/>
      <c r="S533" s="603"/>
    </row>
    <row r="534" spans="1:19" ht="12.75" customHeight="1" x14ac:dyDescent="0.3">
      <c r="A534" s="796" t="s">
        <v>1270</v>
      </c>
      <c r="B534" s="797"/>
      <c r="C534" s="797"/>
      <c r="D534" s="797"/>
      <c r="E534" s="797"/>
      <c r="F534" s="797"/>
      <c r="G534" s="796" t="s">
        <v>1835</v>
      </c>
      <c r="H534" s="796" t="s">
        <v>4690</v>
      </c>
      <c r="I534" s="857"/>
      <c r="J534" s="792" t="str">
        <f>IF(ISBLANK(HLOOKUP(CaseName,CaseData,MATCH($G534,cases!$G$4:$G$2494,0),FALSE)),"",HLOOKUP(CaseName,CaseData,MATCH($G534,cases!$G$4:$G$2494,0),FALSE))</f>
        <v/>
      </c>
      <c r="K534" s="858">
        <f>kdegA.w2</f>
        <v>0</v>
      </c>
      <c r="L534" s="794">
        <f t="shared" si="26"/>
        <v>0</v>
      </c>
      <c r="M534" s="797" t="s">
        <v>1828</v>
      </c>
      <c r="N534" s="796"/>
      <c r="O534" s="799"/>
      <c r="P534" s="797"/>
      <c r="Q534" s="858"/>
      <c r="S534" s="603"/>
    </row>
    <row r="535" spans="1:19" ht="12.75" customHeight="1" x14ac:dyDescent="0.3">
      <c r="A535" s="796" t="s">
        <v>1270</v>
      </c>
      <c r="B535" s="797"/>
      <c r="C535" s="797"/>
      <c r="D535" s="797"/>
      <c r="E535" s="797"/>
      <c r="F535" s="797"/>
      <c r="G535" s="796" t="s">
        <v>1836</v>
      </c>
      <c r="H535" s="796" t="s">
        <v>4690</v>
      </c>
      <c r="I535" s="857"/>
      <c r="J535" s="792" t="str">
        <f>IF(ISBLANK(HLOOKUP(CaseName,CaseData,MATCH($G535,cases!$G$4:$G$2494,0),FALSE)),"",HLOOKUP(CaseName,CaseData,MATCH($G535,cases!$G$4:$G$2494,0),FALSE))</f>
        <v/>
      </c>
      <c r="K535" s="858">
        <f>kdegP.w2</f>
        <v>0</v>
      </c>
      <c r="L535" s="794">
        <f t="shared" si="26"/>
        <v>0</v>
      </c>
      <c r="M535" s="797" t="s">
        <v>1828</v>
      </c>
      <c r="N535" s="796"/>
      <c r="O535" s="799"/>
      <c r="P535" s="797"/>
      <c r="Q535" s="858"/>
      <c r="S535" s="603"/>
    </row>
    <row r="536" spans="1:19" ht="12.75" customHeight="1" x14ac:dyDescent="0.3">
      <c r="A536" s="796" t="s">
        <v>1271</v>
      </c>
      <c r="B536" s="797"/>
      <c r="C536" s="797"/>
      <c r="D536" s="797"/>
      <c r="E536" s="797"/>
      <c r="F536" s="797"/>
      <c r="G536" s="796" t="s">
        <v>1837</v>
      </c>
      <c r="H536" s="796" t="s">
        <v>4690</v>
      </c>
      <c r="I536" s="857"/>
      <c r="J536" s="792" t="str">
        <f>IF(ISBLANK(HLOOKUP(CaseName,CaseData,MATCH($G536,cases!$G$4:$G$2494,0),FALSE)),"",HLOOKUP(CaseName,CaseData,MATCH($G536,cases!$G$4:$G$2494,0),FALSE))</f>
        <v/>
      </c>
      <c r="K536" s="859">
        <f>L557+kdegS.sd0</f>
        <v>2.8953682563842399E-9</v>
      </c>
      <c r="L536" s="794">
        <f t="shared" si="26"/>
        <v>2.8953682563842399E-9</v>
      </c>
      <c r="M536" s="797" t="s">
        <v>1828</v>
      </c>
      <c r="N536" s="796"/>
      <c r="O536" s="799"/>
      <c r="P536" s="797"/>
      <c r="Q536" s="859"/>
      <c r="S536" s="603"/>
    </row>
    <row r="537" spans="1:19" ht="12.75" customHeight="1" x14ac:dyDescent="0.3">
      <c r="A537" s="796" t="s">
        <v>1271</v>
      </c>
      <c r="B537" s="797"/>
      <c r="C537" s="797"/>
      <c r="D537" s="797"/>
      <c r="E537" s="797"/>
      <c r="F537" s="797"/>
      <c r="G537" s="796" t="s">
        <v>1838</v>
      </c>
      <c r="H537" s="796" t="s">
        <v>4690</v>
      </c>
      <c r="I537" s="857"/>
      <c r="J537" s="792" t="str">
        <f>IF(ISBLANK(HLOOKUP(CaseName,CaseData,MATCH($G537,cases!$G$4:$G$2494,0),FALSE)),"",HLOOKUP(CaseName,CaseData,MATCH($G537,cases!$G$4:$G$2494,0),FALSE))</f>
        <v/>
      </c>
      <c r="K537" s="859">
        <f>L557+kdegA.sd0</f>
        <v>2.8953682563842399E-9</v>
      </c>
      <c r="L537" s="794">
        <f t="shared" si="26"/>
        <v>2.8953682563842399E-9</v>
      </c>
      <c r="M537" s="797" t="s">
        <v>1828</v>
      </c>
      <c r="N537" s="796"/>
      <c r="O537" s="799"/>
      <c r="P537" s="797"/>
      <c r="Q537" s="859"/>
      <c r="S537" s="603"/>
    </row>
    <row r="538" spans="1:19" ht="12.75" customHeight="1" x14ac:dyDescent="0.3">
      <c r="A538" s="796" t="s">
        <v>1271</v>
      </c>
      <c r="B538" s="797"/>
      <c r="C538" s="797"/>
      <c r="D538" s="797"/>
      <c r="E538" s="797"/>
      <c r="F538" s="797"/>
      <c r="G538" s="796" t="s">
        <v>1839</v>
      </c>
      <c r="H538" s="796" t="s">
        <v>4690</v>
      </c>
      <c r="I538" s="857"/>
      <c r="J538" s="792" t="str">
        <f>IF(ISBLANK(HLOOKUP(CaseName,CaseData,MATCH($G538,cases!$G$4:$G$2494,0),FALSE)),"",HLOOKUP(CaseName,CaseData,MATCH($G538,cases!$G$4:$G$2494,0),FALSE))</f>
        <v/>
      </c>
      <c r="K538" s="859">
        <f>L557+kdegP.sd0</f>
        <v>2.8953682563842399E-9</v>
      </c>
      <c r="L538" s="794">
        <f t="shared" si="26"/>
        <v>2.8953682563842399E-9</v>
      </c>
      <c r="M538" s="797" t="s">
        <v>1828</v>
      </c>
      <c r="N538" s="796"/>
      <c r="O538" s="799"/>
      <c r="P538" s="797"/>
      <c r="Q538" s="859"/>
      <c r="S538" s="603"/>
    </row>
    <row r="539" spans="1:19" ht="12.75" customHeight="1" x14ac:dyDescent="0.3">
      <c r="A539" s="796" t="s">
        <v>1273</v>
      </c>
      <c r="B539" s="797"/>
      <c r="C539" s="797"/>
      <c r="D539" s="797"/>
      <c r="E539" s="797"/>
      <c r="F539" s="797"/>
      <c r="G539" s="796" t="s">
        <v>1840</v>
      </c>
      <c r="H539" s="796" t="s">
        <v>4690</v>
      </c>
      <c r="I539" s="857"/>
      <c r="J539" s="792" t="str">
        <f>IF(ISBLANK(HLOOKUP(CaseName,CaseData,MATCH($G539,cases!$G$4:$G$2494,0),FALSE)),"",HLOOKUP(CaseName,CaseData,MATCH($G539,cases!$G$4:$G$2494,0),FALSE))</f>
        <v/>
      </c>
      <c r="K539" s="859">
        <f>L558+kdegS.sd1</f>
        <v>2.8953682563842399E-9</v>
      </c>
      <c r="L539" s="794">
        <f t="shared" si="26"/>
        <v>2.8953682563842399E-9</v>
      </c>
      <c r="M539" s="797" t="s">
        <v>1828</v>
      </c>
      <c r="N539" s="796"/>
      <c r="O539" s="799"/>
      <c r="P539" s="797"/>
      <c r="Q539" s="859"/>
      <c r="S539" s="603"/>
    </row>
    <row r="540" spans="1:19" ht="12.75" customHeight="1" x14ac:dyDescent="0.3">
      <c r="A540" s="796" t="s">
        <v>1273</v>
      </c>
      <c r="B540" s="797"/>
      <c r="C540" s="797"/>
      <c r="D540" s="797"/>
      <c r="E540" s="797"/>
      <c r="F540" s="797"/>
      <c r="G540" s="796" t="s">
        <v>1841</v>
      </c>
      <c r="H540" s="796" t="s">
        <v>4690</v>
      </c>
      <c r="I540" s="857"/>
      <c r="J540" s="792" t="str">
        <f>IF(ISBLANK(HLOOKUP(CaseName,CaseData,MATCH($G540,cases!$G$4:$G$2494,0),FALSE)),"",HLOOKUP(CaseName,CaseData,MATCH($G540,cases!$G$4:$G$2494,0),FALSE))</f>
        <v/>
      </c>
      <c r="K540" s="859">
        <f>L558+kdegA.sd1</f>
        <v>2.8953682563842399E-9</v>
      </c>
      <c r="L540" s="794">
        <f t="shared" si="26"/>
        <v>2.8953682563842399E-9</v>
      </c>
      <c r="M540" s="797" t="s">
        <v>1828</v>
      </c>
      <c r="N540" s="796"/>
      <c r="O540" s="799"/>
      <c r="P540" s="797"/>
      <c r="Q540" s="859"/>
      <c r="S540" s="603"/>
    </row>
    <row r="541" spans="1:19" ht="12.75" customHeight="1" x14ac:dyDescent="0.3">
      <c r="A541" s="796" t="s">
        <v>1273</v>
      </c>
      <c r="B541" s="797"/>
      <c r="C541" s="797"/>
      <c r="D541" s="797"/>
      <c r="E541" s="797"/>
      <c r="F541" s="797"/>
      <c r="G541" s="796" t="s">
        <v>1842</v>
      </c>
      <c r="H541" s="796" t="s">
        <v>4690</v>
      </c>
      <c r="I541" s="857"/>
      <c r="J541" s="792" t="str">
        <f>IF(ISBLANK(HLOOKUP(CaseName,CaseData,MATCH($G541,cases!$G$4:$G$2494,0),FALSE)),"",HLOOKUP(CaseName,CaseData,MATCH($G541,cases!$G$4:$G$2494,0),FALSE))</f>
        <v/>
      </c>
      <c r="K541" s="859">
        <f>L558+kdegP.sd1</f>
        <v>2.8953682563842399E-9</v>
      </c>
      <c r="L541" s="794">
        <f t="shared" si="26"/>
        <v>2.8953682563842399E-9</v>
      </c>
      <c r="M541" s="797" t="s">
        <v>1828</v>
      </c>
      <c r="N541" s="796"/>
      <c r="O541" s="799"/>
      <c r="P541" s="797"/>
      <c r="Q541" s="859"/>
      <c r="S541" s="603"/>
    </row>
    <row r="542" spans="1:19" ht="12.75" customHeight="1" x14ac:dyDescent="0.3">
      <c r="A542" s="796" t="s">
        <v>1274</v>
      </c>
      <c r="B542" s="797"/>
      <c r="C542" s="797"/>
      <c r="D542" s="797"/>
      <c r="E542" s="797"/>
      <c r="F542" s="797"/>
      <c r="G542" s="796" t="s">
        <v>1843</v>
      </c>
      <c r="H542" s="796" t="s">
        <v>4690</v>
      </c>
      <c r="I542" s="857"/>
      <c r="J542" s="792" t="str">
        <f>IF(ISBLANK(HLOOKUP(CaseName,CaseData,MATCH($G542,cases!$G$4:$G$2494,0),FALSE)),"",HLOOKUP(CaseName,CaseData,MATCH($G542,cases!$G$4:$G$2494,0),FALSE))</f>
        <v/>
      </c>
      <c r="K542" s="859">
        <f>L559+kdegS.sd2</f>
        <v>9.1429324158650348E-10</v>
      </c>
      <c r="L542" s="794">
        <f t="shared" si="26"/>
        <v>9.1429324158650348E-10</v>
      </c>
      <c r="M542" s="797" t="s">
        <v>1828</v>
      </c>
      <c r="N542" s="796"/>
      <c r="O542" s="799"/>
      <c r="P542" s="797"/>
      <c r="Q542" s="859"/>
      <c r="S542" s="603"/>
    </row>
    <row r="543" spans="1:19" ht="12.75" customHeight="1" x14ac:dyDescent="0.3">
      <c r="A543" s="796" t="s">
        <v>1274</v>
      </c>
      <c r="B543" s="797"/>
      <c r="C543" s="797"/>
      <c r="D543" s="797"/>
      <c r="E543" s="797"/>
      <c r="F543" s="797"/>
      <c r="G543" s="796" t="s">
        <v>1844</v>
      </c>
      <c r="H543" s="796" t="s">
        <v>4690</v>
      </c>
      <c r="I543" s="857"/>
      <c r="J543" s="792" t="str">
        <f>IF(ISBLANK(HLOOKUP(CaseName,CaseData,MATCH($G543,cases!$G$4:$G$2494,0),FALSE)),"",HLOOKUP(CaseName,CaseData,MATCH($G543,cases!$G$4:$G$2494,0),FALSE))</f>
        <v/>
      </c>
      <c r="K543" s="859">
        <f>L559+kdegA.sd2</f>
        <v>9.1429324158650348E-10</v>
      </c>
      <c r="L543" s="794">
        <f t="shared" si="26"/>
        <v>9.1429324158650348E-10</v>
      </c>
      <c r="M543" s="797" t="s">
        <v>1828</v>
      </c>
      <c r="N543" s="796"/>
      <c r="O543" s="799"/>
      <c r="P543" s="797"/>
      <c r="Q543" s="859"/>
      <c r="S543" s="603"/>
    </row>
    <row r="544" spans="1:19" ht="12.75" customHeight="1" x14ac:dyDescent="0.3">
      <c r="A544" s="796" t="s">
        <v>1274</v>
      </c>
      <c r="B544" s="797"/>
      <c r="C544" s="797"/>
      <c r="D544" s="797"/>
      <c r="E544" s="797"/>
      <c r="F544" s="797"/>
      <c r="G544" s="796" t="s">
        <v>1845</v>
      </c>
      <c r="H544" s="796" t="s">
        <v>4690</v>
      </c>
      <c r="I544" s="857"/>
      <c r="J544" s="792" t="str">
        <f>IF(ISBLANK(HLOOKUP(CaseName,CaseData,MATCH($G544,cases!$G$4:$G$2494,0),FALSE)),"",HLOOKUP(CaseName,CaseData,MATCH($G544,cases!$G$4:$G$2494,0),FALSE))</f>
        <v/>
      </c>
      <c r="K544" s="859">
        <f>L559+kdegP.sd2</f>
        <v>9.1429324158650348E-10</v>
      </c>
      <c r="L544" s="794">
        <f t="shared" si="26"/>
        <v>9.1429324158650348E-10</v>
      </c>
      <c r="M544" s="797" t="s">
        <v>1828</v>
      </c>
      <c r="N544" s="796"/>
      <c r="O544" s="799"/>
      <c r="P544" s="797"/>
      <c r="Q544" s="859"/>
      <c r="S544" s="603"/>
    </row>
    <row r="545" spans="1:19" ht="12.75" customHeight="1" x14ac:dyDescent="0.3">
      <c r="A545" s="796" t="s">
        <v>1275</v>
      </c>
      <c r="B545" s="797"/>
      <c r="C545" s="797"/>
      <c r="D545" s="797"/>
      <c r="E545" s="797"/>
      <c r="F545" s="797"/>
      <c r="G545" s="796" t="s">
        <v>1846</v>
      </c>
      <c r="H545" s="796" t="s">
        <v>4690</v>
      </c>
      <c r="I545" s="857"/>
      <c r="J545" s="792" t="str">
        <f>IF(ISBLANK(HLOOKUP(CaseName,CaseData,MATCH($G545,cases!$G$4:$G$2494,0),FALSE)),"",HLOOKUP(CaseName,CaseData,MATCH($G545,cases!$G$4:$G$2494,0),FALSE))</f>
        <v/>
      </c>
      <c r="K545" s="859">
        <f>L554+kdegS.s1</f>
        <v>9.5027244249711473E-10</v>
      </c>
      <c r="L545" s="794">
        <f t="shared" si="26"/>
        <v>9.5027244249711473E-10</v>
      </c>
      <c r="M545" s="797" t="s">
        <v>1828</v>
      </c>
      <c r="N545" s="796"/>
      <c r="O545" s="799"/>
      <c r="P545" s="797"/>
      <c r="Q545" s="859"/>
      <c r="S545" s="603"/>
    </row>
    <row r="546" spans="1:19" ht="12.75" customHeight="1" x14ac:dyDescent="0.3">
      <c r="A546" s="796" t="s">
        <v>1275</v>
      </c>
      <c r="B546" s="797"/>
      <c r="C546" s="797"/>
      <c r="D546" s="797"/>
      <c r="E546" s="797"/>
      <c r="F546" s="797"/>
      <c r="G546" s="796" t="s">
        <v>1847</v>
      </c>
      <c r="H546" s="796" t="s">
        <v>4690</v>
      </c>
      <c r="I546" s="857"/>
      <c r="J546" s="792" t="str">
        <f>IF(ISBLANK(HLOOKUP(CaseName,CaseData,MATCH($G546,cases!$G$4:$G$2494,0),FALSE)),"",HLOOKUP(CaseName,CaseData,MATCH($G546,cases!$G$4:$G$2494,0),FALSE))</f>
        <v/>
      </c>
      <c r="K546" s="859">
        <f>L554+kdegA.s1</f>
        <v>9.5027244249711473E-10</v>
      </c>
      <c r="L546" s="794">
        <f t="shared" si="26"/>
        <v>9.5027244249711473E-10</v>
      </c>
      <c r="M546" s="797" t="s">
        <v>1828</v>
      </c>
      <c r="N546" s="796"/>
      <c r="O546" s="799"/>
      <c r="P546" s="797"/>
      <c r="Q546" s="859"/>
      <c r="S546" s="603"/>
    </row>
    <row r="547" spans="1:19" ht="12.75" customHeight="1" x14ac:dyDescent="0.3">
      <c r="A547" s="796" t="s">
        <v>1275</v>
      </c>
      <c r="B547" s="797"/>
      <c r="C547" s="797"/>
      <c r="D547" s="797"/>
      <c r="E547" s="797"/>
      <c r="F547" s="797"/>
      <c r="G547" s="796" t="s">
        <v>1848</v>
      </c>
      <c r="H547" s="796" t="s">
        <v>4690</v>
      </c>
      <c r="I547" s="857"/>
      <c r="J547" s="792" t="str">
        <f>IF(ISBLANK(HLOOKUP(CaseName,CaseData,MATCH($G547,cases!$G$4:$G$2494,0),FALSE)),"",HLOOKUP(CaseName,CaseData,MATCH($G547,cases!$G$4:$G$2494,0),FALSE))</f>
        <v/>
      </c>
      <c r="K547" s="858">
        <f>kdegP.s1</f>
        <v>0</v>
      </c>
      <c r="L547" s="794">
        <f t="shared" si="26"/>
        <v>0</v>
      </c>
      <c r="M547" s="797" t="s">
        <v>1828</v>
      </c>
      <c r="N547" s="796"/>
      <c r="O547" s="799"/>
      <c r="P547" s="797"/>
      <c r="Q547" s="858"/>
      <c r="S547" s="603"/>
    </row>
    <row r="548" spans="1:19" ht="12.75" customHeight="1" x14ac:dyDescent="0.3">
      <c r="A548" s="796" t="s">
        <v>1276</v>
      </c>
      <c r="B548" s="797"/>
      <c r="C548" s="797"/>
      <c r="D548" s="797"/>
      <c r="E548" s="797"/>
      <c r="F548" s="797"/>
      <c r="G548" s="796" t="s">
        <v>1849</v>
      </c>
      <c r="H548" s="796" t="s">
        <v>4690</v>
      </c>
      <c r="I548" s="857"/>
      <c r="J548" s="792" t="str">
        <f>IF(ISBLANK(HLOOKUP(CaseName,CaseData,MATCH($G548,cases!$G$4:$G$2494,0),FALSE)),"",HLOOKUP(CaseName,CaseData,MATCH($G548,cases!$G$4:$G$2494,0),FALSE))</f>
        <v/>
      </c>
      <c r="K548" s="859">
        <f>L555+kdegS.s2</f>
        <v>4.3242549833905347E-10</v>
      </c>
      <c r="L548" s="794">
        <f t="shared" si="26"/>
        <v>4.3242549833905347E-10</v>
      </c>
      <c r="M548" s="797" t="s">
        <v>1828</v>
      </c>
      <c r="N548" s="796"/>
      <c r="O548" s="799"/>
      <c r="P548" s="797"/>
      <c r="Q548" s="859"/>
      <c r="S548" s="603"/>
    </row>
    <row r="549" spans="1:19" ht="12.75" customHeight="1" x14ac:dyDescent="0.3">
      <c r="A549" s="796" t="s">
        <v>1276</v>
      </c>
      <c r="B549" s="797"/>
      <c r="C549" s="797"/>
      <c r="D549" s="797"/>
      <c r="E549" s="797"/>
      <c r="F549" s="797"/>
      <c r="G549" s="796" t="s">
        <v>1850</v>
      </c>
      <c r="H549" s="796" t="s">
        <v>4690</v>
      </c>
      <c r="I549" s="857"/>
      <c r="J549" s="792" t="str">
        <f>IF(ISBLANK(HLOOKUP(CaseName,CaseData,MATCH($G549,cases!$G$4:$G$2494,0),FALSE)),"",HLOOKUP(CaseName,CaseData,MATCH($G549,cases!$G$4:$G$2494,0),FALSE))</f>
        <v/>
      </c>
      <c r="K549" s="859">
        <f>L555+kdegA.s2</f>
        <v>4.3242549833905347E-10</v>
      </c>
      <c r="L549" s="794">
        <f t="shared" si="26"/>
        <v>4.3242549833905347E-10</v>
      </c>
      <c r="M549" s="797" t="s">
        <v>1828</v>
      </c>
      <c r="N549" s="796"/>
      <c r="O549" s="799"/>
      <c r="P549" s="797"/>
      <c r="Q549" s="859"/>
      <c r="S549" s="603"/>
    </row>
    <row r="550" spans="1:19" ht="12.75" customHeight="1" x14ac:dyDescent="0.3">
      <c r="A550" s="796" t="s">
        <v>1276</v>
      </c>
      <c r="B550" s="797"/>
      <c r="C550" s="797"/>
      <c r="D550" s="797"/>
      <c r="E550" s="797"/>
      <c r="F550" s="797"/>
      <c r="G550" s="796" t="s">
        <v>1851</v>
      </c>
      <c r="H550" s="796" t="s">
        <v>4690</v>
      </c>
      <c r="I550" s="857"/>
      <c r="J550" s="792" t="str">
        <f>IF(ISBLANK(HLOOKUP(CaseName,CaseData,MATCH($G550,cases!$G$4:$G$2494,0),FALSE)),"",HLOOKUP(CaseName,CaseData,MATCH($G550,cases!$G$4:$G$2494,0),FALSE))</f>
        <v/>
      </c>
      <c r="K550" s="858">
        <f>kdegP.s2</f>
        <v>0</v>
      </c>
      <c r="L550" s="794">
        <f t="shared" si="26"/>
        <v>0</v>
      </c>
      <c r="M550" s="797" t="s">
        <v>1828</v>
      </c>
      <c r="N550" s="796"/>
      <c r="O550" s="799"/>
      <c r="P550" s="797"/>
      <c r="Q550" s="858"/>
      <c r="S550" s="603"/>
    </row>
    <row r="551" spans="1:19" ht="12.75" customHeight="1" x14ac:dyDescent="0.3">
      <c r="A551" s="796" t="s">
        <v>1277</v>
      </c>
      <c r="B551" s="797"/>
      <c r="C551" s="797"/>
      <c r="D551" s="797"/>
      <c r="E551" s="797"/>
      <c r="F551" s="797"/>
      <c r="G551" s="796" t="s">
        <v>1852</v>
      </c>
      <c r="H551" s="796" t="s">
        <v>4690</v>
      </c>
      <c r="I551" s="857"/>
      <c r="J551" s="792" t="str">
        <f>IF(ISBLANK(HLOOKUP(CaseName,CaseData,MATCH($G551,cases!$G$4:$G$2494,0),FALSE)),"",HLOOKUP(CaseName,CaseData,MATCH($G551,cases!$G$4:$G$2494,0),FALSE))</f>
        <v/>
      </c>
      <c r="K551" s="859">
        <f>L556+kdegS.s3</f>
        <v>9.5027244249711473E-10</v>
      </c>
      <c r="L551" s="794">
        <f t="shared" si="26"/>
        <v>9.5027244249711473E-10</v>
      </c>
      <c r="M551" s="797" t="s">
        <v>1828</v>
      </c>
      <c r="N551" s="796"/>
      <c r="O551" s="799"/>
      <c r="P551" s="797"/>
      <c r="Q551" s="859"/>
      <c r="S551" s="603"/>
    </row>
    <row r="552" spans="1:19" ht="12.75" customHeight="1" x14ac:dyDescent="0.3">
      <c r="A552" s="796" t="s">
        <v>1277</v>
      </c>
      <c r="B552" s="797"/>
      <c r="C552" s="797"/>
      <c r="D552" s="797"/>
      <c r="E552" s="797"/>
      <c r="F552" s="797"/>
      <c r="G552" s="796" t="s">
        <v>1853</v>
      </c>
      <c r="H552" s="796" t="s">
        <v>4690</v>
      </c>
      <c r="I552" s="857"/>
      <c r="J552" s="792" t="str">
        <f>IF(ISBLANK(HLOOKUP(CaseName,CaseData,MATCH($G552,cases!$G$4:$G$2494,0),FALSE)),"",HLOOKUP(CaseName,CaseData,MATCH($G552,cases!$G$4:$G$2494,0),FALSE))</f>
        <v/>
      </c>
      <c r="K552" s="859">
        <f>L556+kdegA.s3</f>
        <v>9.5027244249711473E-10</v>
      </c>
      <c r="L552" s="794">
        <f t="shared" si="26"/>
        <v>9.5027244249711473E-10</v>
      </c>
      <c r="M552" s="797" t="s">
        <v>1828</v>
      </c>
      <c r="N552" s="796"/>
      <c r="O552" s="799"/>
      <c r="P552" s="797"/>
      <c r="Q552" s="859"/>
      <c r="S552" s="603"/>
    </row>
    <row r="553" spans="1:19" ht="12.75" customHeight="1" x14ac:dyDescent="0.3">
      <c r="A553" s="796" t="s">
        <v>1277</v>
      </c>
      <c r="B553" s="797"/>
      <c r="C553" s="797"/>
      <c r="D553" s="797"/>
      <c r="E553" s="797"/>
      <c r="F553" s="797"/>
      <c r="G553" s="796" t="s">
        <v>1854</v>
      </c>
      <c r="H553" s="796" t="s">
        <v>4690</v>
      </c>
      <c r="I553" s="857"/>
      <c r="J553" s="792" t="str">
        <f>IF(ISBLANK(HLOOKUP(CaseName,CaseData,MATCH($G553,cases!$G$4:$G$2494,0),FALSE)),"",HLOOKUP(CaseName,CaseData,MATCH($G553,cases!$G$4:$G$2494,0),FALSE))</f>
        <v/>
      </c>
      <c r="K553" s="858">
        <f>kdegP.s3</f>
        <v>0</v>
      </c>
      <c r="L553" s="794">
        <f t="shared" si="26"/>
        <v>0</v>
      </c>
      <c r="M553" s="797" t="s">
        <v>1828</v>
      </c>
      <c r="N553" s="796"/>
      <c r="O553" s="799"/>
      <c r="P553" s="797"/>
      <c r="Q553" s="858"/>
      <c r="S553" s="603"/>
    </row>
    <row r="554" spans="1:19" ht="12.75" customHeight="1" x14ac:dyDescent="0.3">
      <c r="A554" s="797"/>
      <c r="B554" s="797" t="s">
        <v>1855</v>
      </c>
      <c r="C554" s="797"/>
      <c r="D554" s="797"/>
      <c r="E554" s="797"/>
      <c r="F554" s="797"/>
      <c r="G554" s="796" t="s">
        <v>1856</v>
      </c>
      <c r="H554" s="796" t="s">
        <v>335</v>
      </c>
      <c r="I554" s="857"/>
      <c r="J554" s="792" t="str">
        <f>IF(ISBLANK(HLOOKUP(CaseName,CaseData,MATCH($G554,cases!$G$4:$G$2494,0),FALSE)),"",HLOOKUP(CaseName,CaseData,MATCH($G554,cases!$G$4:$G$2494,0),FALSE))</f>
        <v/>
      </c>
      <c r="K554" s="831">
        <f>(L221*RAINrate.R*L224)/L30</f>
        <v>9.5027244249711473E-10</v>
      </c>
      <c r="L554" s="794">
        <f t="shared" si="26"/>
        <v>9.5027244249711473E-10</v>
      </c>
      <c r="M554" s="797" t="s">
        <v>1828</v>
      </c>
      <c r="N554" s="797" t="s">
        <v>1857</v>
      </c>
      <c r="O554" s="799"/>
      <c r="P554" s="797"/>
    </row>
    <row r="555" spans="1:19" ht="12.75" customHeight="1" x14ac:dyDescent="0.3">
      <c r="A555" s="797"/>
      <c r="B555" s="797" t="s">
        <v>1858</v>
      </c>
      <c r="C555" s="797"/>
      <c r="D555" s="797"/>
      <c r="E555" s="797"/>
      <c r="F555" s="797"/>
      <c r="G555" s="796" t="s">
        <v>1859</v>
      </c>
      <c r="H555" s="796" t="s">
        <v>335</v>
      </c>
      <c r="I555" s="857"/>
      <c r="J555" s="792" t="str">
        <f>IF(ISBLANK(HLOOKUP(CaseName,CaseData,MATCH($G555,cases!$G$4:$G$2494,0),FALSE)),"",HLOOKUP(CaseName,CaseData,MATCH($G555,cases!$G$4:$G$2494,0),FALSE))</f>
        <v/>
      </c>
      <c r="K555" s="831">
        <f>(L222*RAINrate.R*L225)/L31</f>
        <v>4.3242549833905347E-10</v>
      </c>
      <c r="L555" s="794">
        <f t="shared" si="26"/>
        <v>4.3242549833905347E-10</v>
      </c>
      <c r="M555" s="797" t="s">
        <v>1828</v>
      </c>
      <c r="N555" s="797" t="s">
        <v>1857</v>
      </c>
      <c r="O555" s="799"/>
      <c r="P555" s="797"/>
    </row>
    <row r="556" spans="1:19" ht="12.75" customHeight="1" x14ac:dyDescent="0.3">
      <c r="A556" s="797"/>
      <c r="B556" s="797" t="s">
        <v>1860</v>
      </c>
      <c r="C556" s="797"/>
      <c r="D556" s="797"/>
      <c r="E556" s="797"/>
      <c r="F556" s="797"/>
      <c r="G556" s="796" t="s">
        <v>1861</v>
      </c>
      <c r="H556" s="796" t="s">
        <v>335</v>
      </c>
      <c r="I556" s="857"/>
      <c r="J556" s="792" t="str">
        <f>IF(ISBLANK(HLOOKUP(CaseName,CaseData,MATCH($G556,cases!$G$4:$G$2494,0),FALSE)),"",HLOOKUP(CaseName,CaseData,MATCH($G556,cases!$G$4:$G$2494,0),FALSE))</f>
        <v/>
      </c>
      <c r="K556" s="831">
        <f>(L223*RAINrate.R*L226)/L32</f>
        <v>9.5027244249711473E-10</v>
      </c>
      <c r="L556" s="794">
        <f t="shared" si="26"/>
        <v>9.5027244249711473E-10</v>
      </c>
      <c r="M556" s="797" t="s">
        <v>1828</v>
      </c>
      <c r="N556" s="797" t="s">
        <v>1857</v>
      </c>
      <c r="O556" s="799"/>
      <c r="P556" s="797"/>
      <c r="S556" s="603"/>
    </row>
    <row r="557" spans="1:19" ht="12.75" customHeight="1" x14ac:dyDescent="0.3">
      <c r="A557" s="797"/>
      <c r="B557" s="797" t="s">
        <v>1862</v>
      </c>
      <c r="C557" s="797"/>
      <c r="D557" s="797"/>
      <c r="E557" s="797"/>
      <c r="F557" s="797"/>
      <c r="G557" s="796" t="s">
        <v>1863</v>
      </c>
      <c r="H557" s="796" t="s">
        <v>335</v>
      </c>
      <c r="I557" s="857"/>
      <c r="J557" s="792" t="str">
        <f>IF(ISBLANK(HLOOKUP(CaseName,CaseData,MATCH($G557,cases!$G$4:$G$2494,0),FALSE)),"",HLOOKUP(CaseName,CaseData,MATCH($G557,cases!$G$4:$G$2494,0),FALSE))</f>
        <v/>
      </c>
      <c r="K557" s="831">
        <f>L164/L27</f>
        <v>2.8953682563842399E-9</v>
      </c>
      <c r="L557" s="794">
        <f t="shared" si="26"/>
        <v>2.8953682563842399E-9</v>
      </c>
      <c r="M557" s="797" t="s">
        <v>1828</v>
      </c>
      <c r="N557" s="797" t="s">
        <v>1864</v>
      </c>
      <c r="O557" s="799"/>
      <c r="P557" s="797"/>
      <c r="S557" s="603"/>
    </row>
    <row r="558" spans="1:19" ht="12.75" customHeight="1" x14ac:dyDescent="0.3">
      <c r="A558" s="797"/>
      <c r="B558" s="797" t="s">
        <v>1865</v>
      </c>
      <c r="C558" s="797"/>
      <c r="D558" s="797"/>
      <c r="E558" s="797"/>
      <c r="F558" s="797"/>
      <c r="G558" s="796" t="s">
        <v>1866</v>
      </c>
      <c r="H558" s="796" t="s">
        <v>335</v>
      </c>
      <c r="I558" s="857"/>
      <c r="J558" s="792" t="str">
        <f>IF(ISBLANK(HLOOKUP(CaseName,CaseData,MATCH($G558,cases!$G$4:$G$2494,0),FALSE)),"",HLOOKUP(CaseName,CaseData,MATCH($G558,cases!$G$4:$G$2494,0),FALSE))</f>
        <v/>
      </c>
      <c r="K558" s="831">
        <f>L165/L28</f>
        <v>2.8953682563842399E-9</v>
      </c>
      <c r="L558" s="794">
        <f t="shared" si="26"/>
        <v>2.8953682563842399E-9</v>
      </c>
      <c r="M558" s="797" t="s">
        <v>1828</v>
      </c>
      <c r="N558" s="797" t="s">
        <v>1864</v>
      </c>
      <c r="O558" s="799"/>
      <c r="P558" s="797"/>
    </row>
    <row r="559" spans="1:19" ht="12.75" customHeight="1" x14ac:dyDescent="0.3">
      <c r="A559" s="797"/>
      <c r="B559" s="797" t="s">
        <v>1867</v>
      </c>
      <c r="C559" s="797"/>
      <c r="D559" s="797"/>
      <c r="E559" s="797"/>
      <c r="F559" s="797"/>
      <c r="G559" s="796" t="s">
        <v>1868</v>
      </c>
      <c r="H559" s="796" t="s">
        <v>335</v>
      </c>
      <c r="I559" s="857"/>
      <c r="J559" s="792" t="str">
        <f>IF(ISBLANK(HLOOKUP(CaseName,CaseData,MATCH($G559,cases!$G$4:$G$2494,0),FALSE)),"",HLOOKUP(CaseName,CaseData,MATCH($G559,cases!$G$4:$G$2494,0),FALSE))</f>
        <v/>
      </c>
      <c r="K559" s="831">
        <f>L166/L29</f>
        <v>9.1429324158650348E-10</v>
      </c>
      <c r="L559" s="794">
        <f t="shared" si="26"/>
        <v>9.1429324158650348E-10</v>
      </c>
      <c r="M559" s="797" t="s">
        <v>1828</v>
      </c>
      <c r="N559" s="797" t="s">
        <v>1864</v>
      </c>
      <c r="O559" s="799"/>
      <c r="P559" s="797"/>
    </row>
  </sheetData>
  <dataConsolidate/>
  <customSheetViews>
    <customSheetView guid="{E10D53E2-7CBD-11D4-9F98-0000E22085C7}" scale="61" fitToPage="1" showRuler="0" topLeftCell="O58">
      <selection activeCell="N58" sqref="N58"/>
      <pageMargins left="0" right="0" top="0" bottom="0" header="0" footer="0"/>
      <printOptions gridLines="1"/>
      <pageSetup paperSize="9" scale="52" orientation="portrait" horizontalDpi="4294967292" verticalDpi="4294967292" r:id="rId1"/>
      <headerFooter alignWithMargins="0">
        <oddHeader>&amp;L&amp;D, &amp;T&amp;C&amp;P&amp;R&amp;F</oddHeader>
      </headerFooter>
    </customSheetView>
    <customSheetView guid="{E10D53EE-7CBD-11D4-9F98-0000E22085C7}" scale="92" showPageBreaks="1" showRuler="0">
      <selection activeCell="H5" sqref="H5"/>
      <pageMargins left="0" right="0" top="0" bottom="0" header="0" footer="0"/>
      <pageSetup paperSize="9" scale="52" orientation="portrait" horizontalDpi="4294967292" verticalDpi="4294967292" r:id="rId2"/>
      <headerFooter alignWithMargins="0">
        <oddHeader>&amp;L&amp;D, &amp;T&amp;C&amp;P&amp;R&amp;F</oddHeader>
      </headerFooter>
    </customSheetView>
    <customSheetView guid="{E10D53F3-7CBD-11D4-9F98-0000E22085C7}" scale="51" fitToPage="1" showRuler="0" topLeftCell="AS3">
      <selection activeCell="AR3" sqref="AR3"/>
      <pageMargins left="0" right="0" top="0" bottom="0" header="0" footer="0"/>
      <pageSetup paperSize="9" scale="52" orientation="landscape" horizontalDpi="4294967292" verticalDpi="4294967292" r:id="rId3"/>
      <headerFooter alignWithMargins="0">
        <oddHeader>&amp;L&amp;D, &amp;T&amp;C&amp;P&amp;R&amp;F</oddHeader>
      </headerFooter>
    </customSheetView>
    <customSheetView guid="{E10D53F8-7CBD-11D4-9F98-0000E22085C7}" scale="92" showPageBreaks="1" showRuler="0" topLeftCell="O1">
      <selection activeCell="N1" sqref="N1"/>
      <pageMargins left="0" right="0" top="0" bottom="0" header="0" footer="0"/>
      <pageSetup paperSize="9" scale="52" orientation="portrait" horizontalDpi="4294967292" verticalDpi="4294967292" r:id="rId4"/>
      <headerFooter alignWithMargins="0">
        <oddHeader>&amp;L&amp;D, &amp;T&amp;C&amp;P&amp;R&amp;F</oddHeader>
      </headerFooter>
    </customSheetView>
    <customSheetView guid="{E10D53FD-7CBD-11D4-9F98-0000E22085C7}" scale="92" showPageBreaks="1" showRuler="0" topLeftCell="AA1">
      <selection activeCell="Z1" sqref="Z1"/>
      <pageMargins left="0" right="0" top="0" bottom="0" header="0" footer="0"/>
      <pageSetup paperSize="9" scale="52" orientation="portrait" horizontalDpi="4294967292" verticalDpi="4294967292" r:id="rId5"/>
      <headerFooter alignWithMargins="0">
        <oddHeader>&amp;L&amp;D, &amp;T&amp;C&amp;P&amp;R&amp;F</oddHeader>
      </headerFooter>
    </customSheetView>
    <customSheetView guid="{E10D5409-7CBD-11D4-9F98-0000E22085C7}" scale="84" fitToPage="1" showRuler="0" topLeftCell="AF1">
      <selection activeCell="AE2" sqref="AE2"/>
      <pageMargins left="0" right="0" top="0" bottom="0" header="0" footer="0"/>
      <pageSetup paperSize="9" scale="52" orientation="portrait" horizontalDpi="4294967292" verticalDpi="4294967292" r:id="rId6"/>
      <headerFooter alignWithMargins="0">
        <oddHeader>&amp;L&amp;D, &amp;T&amp;C&amp;P&amp;R&amp;F</oddHeader>
      </headerFooter>
    </customSheetView>
  </customSheetViews>
  <phoneticPr fontId="6" type="noConversion"/>
  <conditionalFormatting sqref="I163">
    <cfRule type="cellIs" dxfId="45" priority="1" operator="equal">
      <formula>0</formula>
    </cfRule>
  </conditionalFormatting>
  <conditionalFormatting sqref="K130">
    <cfRule type="cellIs" dxfId="44" priority="4" operator="equal">
      <formula>0</formula>
    </cfRule>
  </conditionalFormatting>
  <conditionalFormatting sqref="Q231:Q243">
    <cfRule type="cellIs" dxfId="43" priority="6" stopIfTrue="1" operator="greaterThanOrEqual">
      <formula>0.0000000001</formula>
    </cfRule>
  </conditionalFormatting>
  <pageMargins left="0.98425196850393704" right="0.98425196850393704" top="0.98425196850393704" bottom="0.98425196850393704" header="0.51181102362204722" footer="0.51181102362204722"/>
  <pageSetup paperSize="9" scale="52" orientation="portrait" horizontalDpi="4294967292" verticalDpi="4294967292" r:id="rId7"/>
  <headerFooter alignWithMargins="0"/>
  <legacyDrawing r:id="rId8"/>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syncVertical="1" syncRef="A1" transitionEvaluation="1" transitionEntry="1" codeName="Sheet3"/>
  <dimension ref="A1:U565"/>
  <sheetViews>
    <sheetView zoomScaleNormal="100" workbookViewId="0"/>
  </sheetViews>
  <sheetFormatPr defaultColWidth="10.6640625" defaultRowHeight="12.75" customHeight="1" x14ac:dyDescent="0.3"/>
  <cols>
    <col min="1" max="5" width="1.6640625" style="778" customWidth="1" collapsed="1"/>
    <col min="6" max="6" width="49.88671875" style="778" customWidth="1" collapsed="1"/>
    <col min="7" max="7" width="22.6640625" style="778" customWidth="1" collapsed="1"/>
    <col min="8" max="8" width="10.6640625" style="778" customWidth="1" collapsed="1"/>
    <col min="9" max="10" width="9.109375" style="909" customWidth="1" collapsed="1"/>
    <col min="11" max="11" width="9.88671875" style="781" customWidth="1" collapsed="1"/>
    <col min="12" max="12" width="9.109375" style="781" customWidth="1" collapsed="1"/>
    <col min="13" max="13" width="9.109375" style="778" customWidth="1" collapsed="1"/>
    <col min="14" max="14" width="48.33203125" style="778" customWidth="1" collapsed="1"/>
    <col min="15" max="15" width="34.44140625" style="778" bestFit="1" customWidth="1" collapsed="1"/>
    <col min="16" max="16" width="35" style="778" bestFit="1" customWidth="1" collapsed="1"/>
    <col min="17" max="16384" width="10.6640625" style="778" collapsed="1"/>
  </cols>
  <sheetData>
    <row r="1" spans="1:14" ht="12.75" customHeight="1" x14ac:dyDescent="0.3">
      <c r="A1" s="233" t="s">
        <v>1869</v>
      </c>
      <c r="B1" s="860"/>
      <c r="C1" s="860"/>
      <c r="D1" s="860"/>
      <c r="E1" s="860"/>
      <c r="F1" s="860"/>
      <c r="G1" s="821"/>
      <c r="H1" s="860"/>
      <c r="I1" s="861"/>
      <c r="J1" s="862"/>
      <c r="K1" s="863"/>
      <c r="L1" s="863"/>
      <c r="M1" s="860"/>
      <c r="N1" s="860"/>
    </row>
    <row r="2" spans="1:14" ht="12.75" customHeight="1" x14ac:dyDescent="0.3">
      <c r="A2" s="860"/>
      <c r="B2" s="860"/>
      <c r="C2" s="860"/>
      <c r="D2" s="860"/>
      <c r="E2" s="860"/>
      <c r="F2" s="860"/>
      <c r="G2" s="860"/>
      <c r="H2" s="860"/>
      <c r="I2" s="861"/>
      <c r="J2" s="862"/>
      <c r="K2" s="863"/>
      <c r="L2" s="863"/>
      <c r="M2" s="860"/>
      <c r="N2" s="860"/>
    </row>
    <row r="3" spans="1:14" ht="12.75" customHeight="1" x14ac:dyDescent="0.3">
      <c r="A3" s="864" t="s">
        <v>947</v>
      </c>
      <c r="B3" s="864"/>
      <c r="C3" s="864"/>
      <c r="D3" s="864"/>
      <c r="E3" s="864"/>
      <c r="F3" s="864"/>
      <c r="G3" s="865" t="s">
        <v>258</v>
      </c>
      <c r="H3" s="865" t="s">
        <v>274</v>
      </c>
      <c r="I3" s="864" t="s">
        <v>259</v>
      </c>
      <c r="J3" s="866" t="s">
        <v>275</v>
      </c>
      <c r="K3" s="867" t="s">
        <v>260</v>
      </c>
      <c r="L3" s="867" t="s">
        <v>261</v>
      </c>
      <c r="M3" s="864"/>
      <c r="N3" s="865" t="s">
        <v>262</v>
      </c>
    </row>
    <row r="4" spans="1:14" ht="12.75" customHeight="1" x14ac:dyDescent="0.3">
      <c r="A4" s="860"/>
      <c r="B4" s="860"/>
      <c r="C4" s="821"/>
      <c r="D4" s="821"/>
      <c r="E4" s="860"/>
      <c r="F4" s="860"/>
      <c r="G4" s="860"/>
      <c r="H4" s="860"/>
      <c r="I4" s="792"/>
      <c r="J4" s="868"/>
      <c r="K4" s="863"/>
      <c r="L4" s="863"/>
      <c r="M4" s="860"/>
      <c r="N4" s="860"/>
    </row>
    <row r="5" spans="1:14" ht="12.75" customHeight="1" x14ac:dyDescent="0.3">
      <c r="A5" s="821" t="s">
        <v>948</v>
      </c>
      <c r="B5" s="860"/>
      <c r="C5" s="860"/>
      <c r="D5" s="860"/>
      <c r="E5" s="860"/>
      <c r="F5" s="860"/>
      <c r="G5" s="821" t="s">
        <v>1870</v>
      </c>
      <c r="H5" s="860" t="s">
        <v>4683</v>
      </c>
      <c r="I5" s="869"/>
      <c r="J5" s="792" t="str">
        <f>IF(ISBLANK(HLOOKUP(CaseName,CaseData,MATCH($G5,cases!$G$4:$G$2494,0),FALSE)),"",HLOOKUP(CaseName,CaseData,MATCH($G5,cases!$G$4:$G$2494,0),FALSE))</f>
        <v/>
      </c>
      <c r="K5" s="870">
        <f>L16*L23*(1-L33)</f>
        <v>7199247840225000</v>
      </c>
      <c r="L5" s="794">
        <f t="shared" ref="L5:L15" si="0">IF(ISBLANK(I5),IF(ISNUMBER(J5)=FALSE,K5,J5),I5)</f>
        <v>7199247840225000</v>
      </c>
      <c r="M5" s="821" t="s">
        <v>951</v>
      </c>
      <c r="N5" s="860"/>
    </row>
    <row r="6" spans="1:14" ht="12.75" customHeight="1" x14ac:dyDescent="0.3">
      <c r="A6" s="796" t="s">
        <v>1871</v>
      </c>
      <c r="B6" s="797"/>
      <c r="C6" s="797"/>
      <c r="D6" s="797"/>
      <c r="E6" s="797"/>
      <c r="F6" s="797"/>
      <c r="G6" s="796" t="s">
        <v>1872</v>
      </c>
      <c r="H6" s="797" t="s">
        <v>4683</v>
      </c>
      <c r="I6" s="869"/>
      <c r="J6" s="792" t="str">
        <f>IF(ISBLANK(HLOOKUP(CaseName,CaseData,MATCH($G6,cases!$G$4:$G$2494,0),FALSE)),"",HLOOKUP(CaseName,CaseData,MATCH($G6,cases!$G$4:$G$2494,0),FALSE))</f>
        <v/>
      </c>
      <c r="K6" s="870">
        <f>L33*L5</f>
        <v>2159774352.0675001</v>
      </c>
      <c r="L6" s="794">
        <f t="shared" si="0"/>
        <v>2159774352.0675001</v>
      </c>
      <c r="M6" s="796" t="s">
        <v>951</v>
      </c>
      <c r="N6" s="797"/>
    </row>
    <row r="7" spans="1:14" ht="12.75" customHeight="1" x14ac:dyDescent="0.3">
      <c r="A7" s="821" t="s">
        <v>955</v>
      </c>
      <c r="B7" s="860"/>
      <c r="C7" s="860"/>
      <c r="D7" s="860"/>
      <c r="E7" s="860"/>
      <c r="F7" s="860"/>
      <c r="G7" s="821" t="s">
        <v>1873</v>
      </c>
      <c r="H7" s="821" t="s">
        <v>4683</v>
      </c>
      <c r="I7" s="871"/>
      <c r="J7" s="792" t="str">
        <f>IF(ISBLANK(HLOOKUP(CaseName,CaseData,MATCH($G7,cases!$G$4:$G$2494,0),FALSE)),"",HLOOKUP(CaseName,CaseData,MATCH($G7,cases!$G$4:$G$2494,0),FALSE))</f>
        <v/>
      </c>
      <c r="K7" s="870">
        <f>L16*L17*L24</f>
        <v>871460000000</v>
      </c>
      <c r="L7" s="794">
        <f t="shared" si="0"/>
        <v>871460000000</v>
      </c>
      <c r="M7" s="821" t="s">
        <v>951</v>
      </c>
      <c r="N7" s="860"/>
    </row>
    <row r="8" spans="1:14" ht="12.75" customHeight="1" x14ac:dyDescent="0.3">
      <c r="A8" s="821" t="s">
        <v>957</v>
      </c>
      <c r="B8" s="860"/>
      <c r="C8" s="860"/>
      <c r="D8" s="860"/>
      <c r="E8" s="860"/>
      <c r="F8" s="860"/>
      <c r="G8" s="821" t="s">
        <v>1874</v>
      </c>
      <c r="H8" s="860" t="s">
        <v>4683</v>
      </c>
      <c r="I8" s="869"/>
      <c r="J8" s="792" t="str">
        <f>IF(ISBLANK(HLOOKUP(CaseName,CaseData,MATCH($G8,cases!$G$4:$G$2494,0),FALSE)),"",HLOOKUP(CaseName,CaseData,MATCH($G8,cases!$G$4:$G$2494,0),FALSE))</f>
        <v/>
      </c>
      <c r="K8" s="870">
        <f>L16*L18*L25</f>
        <v>287581800000</v>
      </c>
      <c r="L8" s="794">
        <f t="shared" si="0"/>
        <v>287581800000</v>
      </c>
      <c r="M8" s="821" t="s">
        <v>951</v>
      </c>
      <c r="N8" s="860"/>
    </row>
    <row r="9" spans="1:14" ht="12.75" customHeight="1" x14ac:dyDescent="0.3">
      <c r="A9" s="821" t="s">
        <v>959</v>
      </c>
      <c r="B9" s="860"/>
      <c r="C9" s="860"/>
      <c r="D9" s="860"/>
      <c r="E9" s="860"/>
      <c r="F9" s="860"/>
      <c r="G9" s="821" t="s">
        <v>1875</v>
      </c>
      <c r="H9" s="860" t="s">
        <v>4683</v>
      </c>
      <c r="I9" s="869"/>
      <c r="J9" s="792" t="str">
        <f>IF(ISBLANK(HLOOKUP(CaseName,CaseData,MATCH($G9,cases!$G$4:$G$2494,0),FALSE)),"",HLOOKUP(CaseName,CaseData,MATCH($G9,cases!$G$4:$G$2494,0),FALSE))</f>
        <v/>
      </c>
      <c r="K9" s="870">
        <f>L16*L22*L26</f>
        <v>742682000000000</v>
      </c>
      <c r="L9" s="794">
        <f t="shared" si="0"/>
        <v>742682000000000</v>
      </c>
      <c r="M9" s="821" t="s">
        <v>951</v>
      </c>
      <c r="N9" s="860"/>
    </row>
    <row r="10" spans="1:14" ht="12.75" customHeight="1" x14ac:dyDescent="0.3">
      <c r="A10" s="796" t="s">
        <v>1876</v>
      </c>
      <c r="B10" s="797"/>
      <c r="C10" s="797"/>
      <c r="D10" s="797"/>
      <c r="E10" s="797"/>
      <c r="F10" s="797"/>
      <c r="G10" s="796" t="s">
        <v>1877</v>
      </c>
      <c r="H10" s="797" t="s">
        <v>4683</v>
      </c>
      <c r="I10" s="869"/>
      <c r="J10" s="792" t="str">
        <f>IF(ISBLANK(HLOOKUP(CaseName,CaseData,MATCH($G10,cases!$G$4:$G$2494,0),FALSE)),"",HLOOKUP(CaseName,CaseData,MATCH($G10,cases!$G$4:$G$2494,0),FALSE))</f>
        <v/>
      </c>
      <c r="K10" s="870">
        <f>L17*L16*L27</f>
        <v>261438000</v>
      </c>
      <c r="L10" s="794">
        <f t="shared" si="0"/>
        <v>261438000</v>
      </c>
      <c r="M10" s="796" t="s">
        <v>951</v>
      </c>
      <c r="N10" s="797"/>
    </row>
    <row r="11" spans="1:14" ht="12.75" customHeight="1" x14ac:dyDescent="0.3">
      <c r="A11" s="821" t="s">
        <v>963</v>
      </c>
      <c r="B11" s="860"/>
      <c r="C11" s="860"/>
      <c r="D11" s="860"/>
      <c r="E11" s="860"/>
      <c r="F11" s="860"/>
      <c r="G11" s="821" t="s">
        <v>1878</v>
      </c>
      <c r="H11" s="860" t="s">
        <v>4683</v>
      </c>
      <c r="I11" s="869"/>
      <c r="J11" s="792" t="str">
        <f>IF(ISBLANK(HLOOKUP(CaseName,CaseData,MATCH($G11,cases!$G$4:$G$2494,0),FALSE)),"",HLOOKUP(CaseName,CaseData,MATCH($G11,cases!$G$4:$G$2494,0),FALSE))</f>
        <v/>
      </c>
      <c r="K11" s="870">
        <f>L16*L18*L28</f>
        <v>2875818000</v>
      </c>
      <c r="L11" s="794">
        <f t="shared" si="0"/>
        <v>2875818000</v>
      </c>
      <c r="M11" s="821" t="s">
        <v>951</v>
      </c>
      <c r="N11" s="860"/>
    </row>
    <row r="12" spans="1:14" ht="12.75" customHeight="1" x14ac:dyDescent="0.3">
      <c r="A12" s="821" t="s">
        <v>965</v>
      </c>
      <c r="B12" s="860"/>
      <c r="C12" s="860"/>
      <c r="D12" s="860"/>
      <c r="E12" s="860"/>
      <c r="F12" s="860"/>
      <c r="G12" s="821" t="s">
        <v>1879</v>
      </c>
      <c r="H12" s="860" t="s">
        <v>4683</v>
      </c>
      <c r="I12" s="869"/>
      <c r="J12" s="792" t="str">
        <f>IF(ISBLANK(HLOOKUP(CaseName,CaseData,MATCH($G12,cases!$G$4:$G$2494,0),FALSE)),"",HLOOKUP(CaseName,CaseData,MATCH($G12,cases!$G$4:$G$2494,0),FALSE))</f>
        <v/>
      </c>
      <c r="K12" s="870">
        <f>L16*L22*L29</f>
        <v>111402300000</v>
      </c>
      <c r="L12" s="794">
        <f t="shared" si="0"/>
        <v>111402300000</v>
      </c>
      <c r="M12" s="821" t="s">
        <v>951</v>
      </c>
      <c r="N12" s="860"/>
    </row>
    <row r="13" spans="1:14" ht="12.75" customHeight="1" x14ac:dyDescent="0.3">
      <c r="A13" s="821" t="s">
        <v>967</v>
      </c>
      <c r="B13" s="860"/>
      <c r="C13" s="860"/>
      <c r="D13" s="860"/>
      <c r="E13" s="860"/>
      <c r="F13" s="860"/>
      <c r="G13" s="821" t="s">
        <v>1880</v>
      </c>
      <c r="H13" s="860" t="s">
        <v>4683</v>
      </c>
      <c r="I13" s="869"/>
      <c r="J13" s="792" t="str">
        <f>IF(ISBLANK(HLOOKUP(CaseName,CaseData,MATCH($G13,cases!$G$4:$G$2494,0),FALSE)),"",HLOOKUP(CaseName,CaseData,MATCH($G13,cases!$G$4:$G$2494,0),FALSE))</f>
        <v/>
      </c>
      <c r="K13" s="870">
        <f>L16*L19*L30</f>
        <v>47058840000.000015</v>
      </c>
      <c r="L13" s="794">
        <f t="shared" si="0"/>
        <v>47058840000.000015</v>
      </c>
      <c r="M13" s="821" t="s">
        <v>951</v>
      </c>
      <c r="N13" s="860"/>
    </row>
    <row r="14" spans="1:14" ht="12.75" customHeight="1" x14ac:dyDescent="0.3">
      <c r="A14" s="821" t="s">
        <v>969</v>
      </c>
      <c r="B14" s="860"/>
      <c r="C14" s="860"/>
      <c r="D14" s="860"/>
      <c r="E14" s="860"/>
      <c r="F14" s="860"/>
      <c r="G14" s="821" t="s">
        <v>1881</v>
      </c>
      <c r="H14" s="860" t="s">
        <v>4683</v>
      </c>
      <c r="I14" s="869"/>
      <c r="J14" s="792" t="str">
        <f>IF(ISBLANK(HLOOKUP(CaseName,CaseData,MATCH($G14,cases!$G$4:$G$2494,0),FALSE)),"",HLOOKUP(CaseName,CaseData,MATCH($G14,cases!$G$4:$G$2494,0),FALSE))</f>
        <v/>
      </c>
      <c r="K14" s="870">
        <f>L16*L20*L31</f>
        <v>418300800000.00006</v>
      </c>
      <c r="L14" s="794">
        <f t="shared" si="0"/>
        <v>418300800000.00006</v>
      </c>
      <c r="M14" s="821" t="s">
        <v>951</v>
      </c>
      <c r="N14" s="860"/>
    </row>
    <row r="15" spans="1:14" ht="12.75" customHeight="1" x14ac:dyDescent="0.3">
      <c r="A15" s="821" t="s">
        <v>971</v>
      </c>
      <c r="B15" s="860"/>
      <c r="C15" s="860"/>
      <c r="D15" s="860"/>
      <c r="E15" s="860"/>
      <c r="F15" s="860"/>
      <c r="G15" s="821" t="s">
        <v>1882</v>
      </c>
      <c r="H15" s="860" t="s">
        <v>4683</v>
      </c>
      <c r="I15" s="869"/>
      <c r="J15" s="792" t="str">
        <f>IF(ISBLANK(HLOOKUP(CaseName,CaseData,MATCH($G15,cases!$G$4:$G$2494,0),FALSE)),"",HLOOKUP(CaseName,CaseData,MATCH($G15,cases!$G$4:$G$2494,0),FALSE))</f>
        <v/>
      </c>
      <c r="K15" s="870">
        <f>L16*L21*L32</f>
        <v>17429200000</v>
      </c>
      <c r="L15" s="794">
        <f t="shared" si="0"/>
        <v>17429200000</v>
      </c>
      <c r="M15" s="821" t="s">
        <v>951</v>
      </c>
      <c r="N15" s="860"/>
    </row>
    <row r="16" spans="1:14" ht="12.75" customHeight="1" x14ac:dyDescent="0.3">
      <c r="A16" s="821"/>
      <c r="B16" s="872" t="s">
        <v>1883</v>
      </c>
      <c r="C16" s="860"/>
      <c r="D16" s="860"/>
      <c r="E16" s="860"/>
      <c r="F16" s="860"/>
      <c r="G16" s="821" t="s">
        <v>1884</v>
      </c>
      <c r="H16" s="860" t="s">
        <v>4684</v>
      </c>
      <c r="I16" s="869"/>
      <c r="J16" s="792" t="str">
        <f>IF(ISBLANK(HLOOKUP(CaseName,CaseData,MATCH($G16,cases!$G$4:$G$2494,0),FALSE)),"",HLOOKUP(CaseName,CaseData,MATCH($G16,cases!$G$4:$G$2494,0),FALSE))</f>
        <v/>
      </c>
      <c r="K16" s="870">
        <f>(AREAland.C+AREAsea.C)/1000000</f>
        <v>7199250</v>
      </c>
      <c r="L16" s="794">
        <f>IF(ISBLANK(I16),IF(ISNUMBER(J16)=FALSE,K16*1000000,J16*1000000),I16*1000000)</f>
        <v>7199250000000</v>
      </c>
      <c r="M16" s="821" t="s">
        <v>673</v>
      </c>
      <c r="N16" s="860"/>
    </row>
    <row r="17" spans="1:14" ht="12.75" customHeight="1" x14ac:dyDescent="0.3">
      <c r="A17" s="821"/>
      <c r="B17" s="821" t="s">
        <v>975</v>
      </c>
      <c r="C17" s="860"/>
      <c r="D17" s="860"/>
      <c r="E17" s="860"/>
      <c r="F17" s="860"/>
      <c r="G17" s="872" t="s">
        <v>1885</v>
      </c>
      <c r="H17" s="821" t="s">
        <v>291</v>
      </c>
      <c r="I17" s="869"/>
      <c r="J17" s="792" t="str">
        <f>IF(ISBLANK(HLOOKUP(CaseName,CaseData,MATCH($G17,cases!$G$4:$G$2494,0),FALSE)),"",HLOOKUP(CaseName,CaseData,MATCH($G17,cases!$G$4:$G$2494,0),FALSE))</f>
        <v/>
      </c>
      <c r="K17" s="870">
        <f>AREAland.C*FRAClake.C/L16</f>
        <v>1.2104872035281454E-3</v>
      </c>
      <c r="L17" s="794">
        <f t="shared" ref="L17:L26" si="1">IF(ISBLANK(I17),IF(ISNUMBER(J17)=FALSE,K17,J17),I17)</f>
        <v>1.2104872035281454E-3</v>
      </c>
      <c r="M17" s="860" t="s">
        <v>292</v>
      </c>
      <c r="N17" s="860"/>
    </row>
    <row r="18" spans="1:14" ht="12.75" customHeight="1" x14ac:dyDescent="0.3">
      <c r="A18" s="821"/>
      <c r="B18" s="821" t="s">
        <v>977</v>
      </c>
      <c r="C18" s="860"/>
      <c r="D18" s="860"/>
      <c r="E18" s="860"/>
      <c r="F18" s="860"/>
      <c r="G18" s="872" t="s">
        <v>1886</v>
      </c>
      <c r="H18" s="860" t="s">
        <v>291</v>
      </c>
      <c r="I18" s="869"/>
      <c r="J18" s="792" t="str">
        <f>IF(ISBLANK(HLOOKUP(CaseName,CaseData,MATCH($G18,cases!$G$4:$G$2494,0),FALSE)),"",HLOOKUP(CaseName,CaseData,MATCH($G18,cases!$G$4:$G$2494,0),FALSE))</f>
        <v/>
      </c>
      <c r="K18" s="870">
        <f>AREAland.C*FRACfresh.C/L16</f>
        <v>1.3315359238809598E-2</v>
      </c>
      <c r="L18" s="794">
        <f t="shared" si="1"/>
        <v>1.3315359238809598E-2</v>
      </c>
      <c r="M18" s="860" t="s">
        <v>292</v>
      </c>
      <c r="N18" s="860"/>
    </row>
    <row r="19" spans="1:14" ht="12.75" customHeight="1" x14ac:dyDescent="0.3">
      <c r="A19" s="821"/>
      <c r="B19" s="821" t="s">
        <v>979</v>
      </c>
      <c r="C19" s="860"/>
      <c r="D19" s="860"/>
      <c r="E19" s="860"/>
      <c r="F19" s="860"/>
      <c r="G19" s="872" t="s">
        <v>1887</v>
      </c>
      <c r="H19" s="860" t="s">
        <v>291</v>
      </c>
      <c r="I19" s="869"/>
      <c r="J19" s="792" t="str">
        <f>IF(ISBLANK(HLOOKUP(CaseName,CaseData,MATCH($G19,cases!$G$4:$G$2494,0),FALSE)),"",HLOOKUP(CaseName,CaseData,MATCH($G19,cases!$G$4:$G$2494,0),FALSE))</f>
        <v/>
      </c>
      <c r="K19" s="870">
        <f>AREAland.C*FRACnatsoil.C/L16</f>
        <v>0.13073261798103972</v>
      </c>
      <c r="L19" s="794">
        <f t="shared" si="1"/>
        <v>0.13073261798103972</v>
      </c>
      <c r="M19" s="860" t="s">
        <v>292</v>
      </c>
      <c r="N19" s="860"/>
    </row>
    <row r="20" spans="1:14" ht="12.75" customHeight="1" x14ac:dyDescent="0.3">
      <c r="A20" s="821"/>
      <c r="B20" s="821" t="s">
        <v>981</v>
      </c>
      <c r="C20" s="860"/>
      <c r="D20" s="860"/>
      <c r="E20" s="860"/>
      <c r="F20" s="860"/>
      <c r="G20" s="872" t="s">
        <v>1888</v>
      </c>
      <c r="H20" s="860" t="s">
        <v>291</v>
      </c>
      <c r="I20" s="869"/>
      <c r="J20" s="792" t="str">
        <f>IF(ISBLANK(HLOOKUP(CaseName,CaseData,MATCH($G20,cases!$G$4:$G$2494,0),FALSE)),"",HLOOKUP(CaseName,CaseData,MATCH($G20,cases!$G$4:$G$2494,0),FALSE))</f>
        <v/>
      </c>
      <c r="K20" s="870">
        <f>AREAland.C*FRACagsoil.C/L16</f>
        <v>0.2905169288467549</v>
      </c>
      <c r="L20" s="794">
        <f t="shared" si="1"/>
        <v>0.2905169288467549</v>
      </c>
      <c r="M20" s="860" t="s">
        <v>292</v>
      </c>
      <c r="N20" s="860"/>
    </row>
    <row r="21" spans="1:14" ht="12.75" customHeight="1" x14ac:dyDescent="0.3">
      <c r="A21" s="821"/>
      <c r="B21" s="821" t="s">
        <v>983</v>
      </c>
      <c r="C21" s="860"/>
      <c r="D21" s="860"/>
      <c r="E21" s="860"/>
      <c r="F21" s="860"/>
      <c r="G21" s="872" t="s">
        <v>1889</v>
      </c>
      <c r="H21" s="860" t="s">
        <v>291</v>
      </c>
      <c r="I21" s="869"/>
      <c r="J21" s="792" t="str">
        <f>IF(ISBLANK(HLOOKUP(CaseName,CaseData,MATCH($G21,cases!$G$4:$G$2494,0),FALSE)),"",HLOOKUP(CaseName,CaseData,MATCH($G21,cases!$G$4:$G$2494,0),FALSE))</f>
        <v/>
      </c>
      <c r="K21" s="870">
        <f>AREAland.C*FRACothersoil.C/L16</f>
        <v>4.8419488141125809E-2</v>
      </c>
      <c r="L21" s="794">
        <f t="shared" si="1"/>
        <v>4.8419488141125809E-2</v>
      </c>
      <c r="M21" s="860" t="s">
        <v>292</v>
      </c>
      <c r="N21" s="860"/>
    </row>
    <row r="22" spans="1:14" ht="12.75" customHeight="1" x14ac:dyDescent="0.3">
      <c r="A22" s="821"/>
      <c r="B22" s="821" t="s">
        <v>985</v>
      </c>
      <c r="C22" s="860"/>
      <c r="D22" s="860"/>
      <c r="E22" s="860"/>
      <c r="F22" s="860"/>
      <c r="G22" s="872" t="s">
        <v>1890</v>
      </c>
      <c r="H22" s="860" t="s">
        <v>291</v>
      </c>
      <c r="I22" s="869"/>
      <c r="J22" s="792" t="str">
        <f>IF(ISBLANK(HLOOKUP(CaseName,CaseData,MATCH($G22,cases!$G$4:$G$2494,0),FALSE)),"",HLOOKUP(CaseName,CaseData,MATCH($G22,cases!$G$4:$G$2494,0),FALSE))</f>
        <v/>
      </c>
      <c r="K22" s="870">
        <f>1-L17-L18-L19-L20-L21</f>
        <v>0.5158051185887419</v>
      </c>
      <c r="L22" s="794">
        <f t="shared" si="1"/>
        <v>0.5158051185887419</v>
      </c>
      <c r="M22" s="860" t="s">
        <v>292</v>
      </c>
      <c r="N22" s="860"/>
    </row>
    <row r="23" spans="1:14" ht="12.75" customHeight="1" x14ac:dyDescent="0.3">
      <c r="A23" s="821"/>
      <c r="B23" s="860"/>
      <c r="C23" s="821" t="s">
        <v>987</v>
      </c>
      <c r="D23" s="872"/>
      <c r="E23" s="872"/>
      <c r="F23" s="860"/>
      <c r="G23" s="872" t="s">
        <v>1891</v>
      </c>
      <c r="H23" s="860" t="s">
        <v>813</v>
      </c>
      <c r="I23" s="869"/>
      <c r="J23" s="792" t="str">
        <f>IF(ISBLANK(HLOOKUP(CaseName,CaseData,MATCH($G23,cases!$G$4:$G$2494,0),FALSE)),"",HLOOKUP(CaseName,CaseData,MATCH($G23,cases!$G$4:$G$2494,0),FALSE))</f>
        <v/>
      </c>
      <c r="K23" s="870">
        <v>1000</v>
      </c>
      <c r="L23" s="794">
        <f t="shared" si="1"/>
        <v>1000</v>
      </c>
      <c r="M23" s="821" t="s">
        <v>279</v>
      </c>
      <c r="N23" s="860"/>
    </row>
    <row r="24" spans="1:14" ht="12.75" customHeight="1" x14ac:dyDescent="0.3">
      <c r="A24" s="821"/>
      <c r="B24" s="860"/>
      <c r="C24" s="821" t="s">
        <v>989</v>
      </c>
      <c r="D24" s="872"/>
      <c r="E24" s="872"/>
      <c r="F24" s="860"/>
      <c r="G24" s="872" t="s">
        <v>1892</v>
      </c>
      <c r="H24" s="821" t="s">
        <v>813</v>
      </c>
      <c r="I24" s="869"/>
      <c r="J24" s="792" t="str">
        <f>IF(ISBLANK(HLOOKUP(CaseName,CaseData,MATCH($G24,cases!$G$4:$G$2494,0),FALSE)),"",HLOOKUP(CaseName,CaseData,MATCH($G24,cases!$G$4:$G$2494,0),FALSE))</f>
        <v/>
      </c>
      <c r="K24" s="870">
        <f>DEPTHlake.C</f>
        <v>100</v>
      </c>
      <c r="L24" s="794">
        <f t="shared" si="1"/>
        <v>100</v>
      </c>
      <c r="M24" s="821" t="s">
        <v>279</v>
      </c>
      <c r="N24" s="860"/>
    </row>
    <row r="25" spans="1:14" ht="12.75" customHeight="1" x14ac:dyDescent="0.3">
      <c r="A25" s="821"/>
      <c r="B25" s="860"/>
      <c r="C25" s="821" t="s">
        <v>991</v>
      </c>
      <c r="D25" s="872"/>
      <c r="E25" s="872"/>
      <c r="F25" s="860"/>
      <c r="G25" s="872" t="s">
        <v>1893</v>
      </c>
      <c r="H25" s="860" t="s">
        <v>813</v>
      </c>
      <c r="I25" s="869"/>
      <c r="J25" s="792" t="str">
        <f>IF(ISBLANK(HLOOKUP(CaseName,CaseData,MATCH($G25,cases!$G$4:$G$2494,0),FALSE)),"",HLOOKUP(CaseName,CaseData,MATCH($G25,cases!$G$4:$G$2494,0),FALSE))</f>
        <v/>
      </c>
      <c r="K25" s="870">
        <f>DEPTHfreshwater.C</f>
        <v>3</v>
      </c>
      <c r="L25" s="794">
        <f t="shared" si="1"/>
        <v>3</v>
      </c>
      <c r="M25" s="821" t="s">
        <v>279</v>
      </c>
      <c r="N25" s="860"/>
    </row>
    <row r="26" spans="1:14" ht="12.75" customHeight="1" x14ac:dyDescent="0.3">
      <c r="A26" s="821"/>
      <c r="B26" s="860"/>
      <c r="C26" s="821" t="s">
        <v>993</v>
      </c>
      <c r="D26" s="872"/>
      <c r="E26" s="872"/>
      <c r="F26" s="860"/>
      <c r="G26" s="872" t="s">
        <v>1894</v>
      </c>
      <c r="H26" s="860" t="s">
        <v>813</v>
      </c>
      <c r="I26" s="869"/>
      <c r="J26" s="792" t="str">
        <f>IF(ISBLANK(HLOOKUP(CaseName,CaseData,MATCH($G26,cases!$G$4:$G$2494,0),FALSE)),"",HLOOKUP(CaseName,CaseData,MATCH($G26,cases!$G$4:$G$2494,0),FALSE))</f>
        <v/>
      </c>
      <c r="K26" s="870">
        <v>200</v>
      </c>
      <c r="L26" s="794">
        <f t="shared" si="1"/>
        <v>200</v>
      </c>
      <c r="M26" s="821" t="s">
        <v>279</v>
      </c>
      <c r="N26" s="860"/>
    </row>
    <row r="27" spans="1:14" ht="12.75" customHeight="1" x14ac:dyDescent="0.3">
      <c r="A27" s="796"/>
      <c r="B27" s="797"/>
      <c r="C27" s="796" t="s">
        <v>1895</v>
      </c>
      <c r="D27" s="802"/>
      <c r="E27" s="802"/>
      <c r="F27" s="797"/>
      <c r="G27" s="802" t="s">
        <v>1896</v>
      </c>
      <c r="H27" s="797" t="s">
        <v>997</v>
      </c>
      <c r="I27" s="869"/>
      <c r="J27" s="792" t="str">
        <f>IF(ISBLANK(HLOOKUP(CaseName,CaseData,MATCH($G27,cases!$G$4:$G$2494,0),FALSE)),"",HLOOKUP(CaseName,CaseData,MATCH($G27,cases!$G$4:$G$2494,0),FALSE))</f>
        <v/>
      </c>
      <c r="K27" s="870">
        <v>3</v>
      </c>
      <c r="L27" s="794">
        <f>IF(ISBLANK(I27),IF(ISNUMBER(J27)=FALSE,K27/100,J27/100),I27/100)</f>
        <v>0.03</v>
      </c>
      <c r="M27" s="796" t="s">
        <v>279</v>
      </c>
      <c r="N27" s="797"/>
    </row>
    <row r="28" spans="1:14" ht="12.75" customHeight="1" x14ac:dyDescent="0.3">
      <c r="A28" s="821"/>
      <c r="B28" s="860"/>
      <c r="C28" s="821" t="s">
        <v>998</v>
      </c>
      <c r="D28" s="872"/>
      <c r="E28" s="872"/>
      <c r="F28" s="860"/>
      <c r="G28" s="872" t="s">
        <v>1897</v>
      </c>
      <c r="H28" s="860" t="s">
        <v>997</v>
      </c>
      <c r="I28" s="869"/>
      <c r="J28" s="792" t="str">
        <f>IF(ISBLANK(HLOOKUP(CaseName,CaseData,MATCH($G28,cases!$G$4:$G$2494,0),FALSE)),"",HLOOKUP(CaseName,CaseData,MATCH($G28,cases!$G$4:$G$2494,0),FALSE))</f>
        <v/>
      </c>
      <c r="K28" s="870">
        <v>3</v>
      </c>
      <c r="L28" s="794">
        <f>IF(ISBLANK(I28),IF(ISNUMBER(J28)=FALSE,K28/100,J28/100),I28/100)</f>
        <v>0.03</v>
      </c>
      <c r="M28" s="860" t="s">
        <v>279</v>
      </c>
      <c r="N28" s="860"/>
    </row>
    <row r="29" spans="1:14" ht="12.75" customHeight="1" x14ac:dyDescent="0.3">
      <c r="A29" s="821"/>
      <c r="B29" s="860"/>
      <c r="C29" s="821" t="s">
        <v>1000</v>
      </c>
      <c r="D29" s="872"/>
      <c r="E29" s="872"/>
      <c r="F29" s="860"/>
      <c r="G29" s="872" t="s">
        <v>1898</v>
      </c>
      <c r="H29" s="860" t="s">
        <v>997</v>
      </c>
      <c r="I29" s="869"/>
      <c r="J29" s="792" t="str">
        <f>IF(ISBLANK(HLOOKUP(CaseName,CaseData,MATCH($G29,cases!$G$4:$G$2494,0),FALSE)),"",HLOOKUP(CaseName,CaseData,MATCH($G29,cases!$G$4:$G$2494,0),FALSE))</f>
        <v/>
      </c>
      <c r="K29" s="870">
        <v>3</v>
      </c>
      <c r="L29" s="794">
        <f>IF(ISBLANK(I29),IF(ISNUMBER(J29)=FALSE,K29/100,J29/100),I29/100)</f>
        <v>0.03</v>
      </c>
      <c r="M29" s="860" t="s">
        <v>279</v>
      </c>
      <c r="N29" s="860"/>
    </row>
    <row r="30" spans="1:14" ht="12.75" customHeight="1" x14ac:dyDescent="0.3">
      <c r="A30" s="821"/>
      <c r="B30" s="860"/>
      <c r="C30" s="821" t="s">
        <v>4685</v>
      </c>
      <c r="D30" s="872"/>
      <c r="E30" s="872"/>
      <c r="F30" s="860"/>
      <c r="G30" s="872" t="s">
        <v>1899</v>
      </c>
      <c r="H30" s="860" t="s">
        <v>813</v>
      </c>
      <c r="I30" s="871"/>
      <c r="J30" s="792" t="str">
        <f>IF(ISBLANK(HLOOKUP(CaseName,CaseData,MATCH($G30,cases!$G$4:$G$2494,0),FALSE)),"",HLOOKUP(CaseName,CaseData,MATCH($G30,cases!$G$4:$G$2494,0),FALSE))</f>
        <v/>
      </c>
      <c r="K30" s="870">
        <v>0.05</v>
      </c>
      <c r="L30" s="794">
        <f t="shared" ref="L30:L46" si="2">IF(ISBLANK(I30),IF(ISNUMBER(J30)=FALSE,K30,J30),I30)</f>
        <v>0.05</v>
      </c>
      <c r="M30" s="860" t="s">
        <v>279</v>
      </c>
      <c r="N30" s="860"/>
    </row>
    <row r="31" spans="1:14" ht="12.75" customHeight="1" x14ac:dyDescent="0.3">
      <c r="A31" s="821"/>
      <c r="B31" s="860"/>
      <c r="C31" s="821" t="s">
        <v>4758</v>
      </c>
      <c r="D31" s="872"/>
      <c r="E31" s="872"/>
      <c r="F31" s="860"/>
      <c r="G31" s="872" t="s">
        <v>1900</v>
      </c>
      <c r="H31" s="860" t="s">
        <v>813</v>
      </c>
      <c r="I31" s="871"/>
      <c r="J31" s="792" t="str">
        <f>IF(ISBLANK(HLOOKUP(CaseName,CaseData,MATCH($G31,cases!$G$4:$G$2494,0),FALSE)),"",HLOOKUP(CaseName,CaseData,MATCH($G31,cases!$G$4:$G$2494,0),FALSE))</f>
        <v/>
      </c>
      <c r="K31" s="870">
        <v>0.2</v>
      </c>
      <c r="L31" s="794">
        <f t="shared" si="2"/>
        <v>0.2</v>
      </c>
      <c r="M31" s="860" t="s">
        <v>279</v>
      </c>
      <c r="N31" s="860"/>
    </row>
    <row r="32" spans="1:14" ht="12.75" customHeight="1" x14ac:dyDescent="0.3">
      <c r="A32" s="821"/>
      <c r="B32" s="860"/>
      <c r="C32" s="821" t="s">
        <v>4687</v>
      </c>
      <c r="D32" s="872"/>
      <c r="E32" s="872"/>
      <c r="F32" s="860"/>
      <c r="G32" s="872" t="s">
        <v>1901</v>
      </c>
      <c r="H32" s="860" t="s">
        <v>813</v>
      </c>
      <c r="I32" s="871"/>
      <c r="J32" s="792" t="str">
        <f>IF(ISBLANK(HLOOKUP(CaseName,CaseData,MATCH($G32,cases!$G$4:$G$2494,0),FALSE)),"",HLOOKUP(CaseName,CaseData,MATCH($G32,cases!$G$4:$G$2494,0),FALSE))</f>
        <v/>
      </c>
      <c r="K32" s="870">
        <v>0.05</v>
      </c>
      <c r="L32" s="794">
        <f t="shared" si="2"/>
        <v>0.05</v>
      </c>
      <c r="M32" s="860" t="s">
        <v>279</v>
      </c>
      <c r="N32" s="860"/>
    </row>
    <row r="33" spans="1:14" ht="12.75" customHeight="1" x14ac:dyDescent="0.3">
      <c r="A33" s="797"/>
      <c r="B33" s="797"/>
      <c r="C33" s="797" t="s">
        <v>1005</v>
      </c>
      <c r="D33" s="797"/>
      <c r="E33" s="797"/>
      <c r="F33" s="797"/>
      <c r="G33" s="796" t="s">
        <v>4759</v>
      </c>
      <c r="H33" s="796" t="s">
        <v>1007</v>
      </c>
      <c r="I33" s="871"/>
      <c r="J33" s="792" t="str">
        <f>IF(ISBLANK(HLOOKUP(CaseName,CaseData,MATCH($G33,cases!$G$4:$G$2494,0),FALSE)),"",HLOOKUP(CaseName,CaseData,MATCH($G33,cases!$G$4:$G$2494,0),FALSE))</f>
        <v/>
      </c>
      <c r="K33" s="870">
        <v>2.9999999999999999E-7</v>
      </c>
      <c r="L33" s="794">
        <f t="shared" si="2"/>
        <v>2.9999999999999999E-7</v>
      </c>
      <c r="M33" s="796" t="s">
        <v>292</v>
      </c>
      <c r="N33" s="797" t="s">
        <v>1011</v>
      </c>
    </row>
    <row r="34" spans="1:14" ht="12.75" customHeight="1" x14ac:dyDescent="0.3">
      <c r="A34" s="860"/>
      <c r="B34" s="860"/>
      <c r="C34" s="860" t="s">
        <v>1009</v>
      </c>
      <c r="D34" s="860"/>
      <c r="E34" s="860"/>
      <c r="F34" s="860"/>
      <c r="G34" s="821" t="s">
        <v>4760</v>
      </c>
      <c r="H34" s="821" t="s">
        <v>1007</v>
      </c>
      <c r="I34" s="871"/>
      <c r="J34" s="792" t="str">
        <f>IF(ISBLANK(HLOOKUP(CaseName,CaseData,MATCH($G34,cases!$G$4:$G$2494,0),FALSE)),"",HLOOKUP(CaseName,CaseData,MATCH($G34,cases!$G$4:$G$2494,0),FALSE))</f>
        <v/>
      </c>
      <c r="K34" s="870">
        <v>1.9999999999999999E-11</v>
      </c>
      <c r="L34" s="794">
        <f t="shared" si="2"/>
        <v>1.9999999999999999E-11</v>
      </c>
      <c r="M34" s="821" t="s">
        <v>292</v>
      </c>
      <c r="N34" s="860" t="s">
        <v>1011</v>
      </c>
    </row>
    <row r="35" spans="1:14" ht="12.75" customHeight="1" x14ac:dyDescent="0.3">
      <c r="A35" s="860"/>
      <c r="B35" s="860"/>
      <c r="C35" s="860" t="s">
        <v>1012</v>
      </c>
      <c r="D35" s="860"/>
      <c r="E35" s="860"/>
      <c r="F35" s="860"/>
      <c r="G35" s="821" t="s">
        <v>4761</v>
      </c>
      <c r="H35" s="821" t="s">
        <v>1007</v>
      </c>
      <c r="I35" s="871"/>
      <c r="J35" s="792" t="str">
        <f>IF(ISBLANK(HLOOKUP(CaseName,CaseData,MATCH($G35,cases!$G$4:$G$2494,0),FALSE)),"",HLOOKUP(CaseName,CaseData,MATCH($G35,cases!$G$4:$G$2494,0),FALSE))</f>
        <v/>
      </c>
      <c r="K35" s="870">
        <v>1.9999999999999999E-11</v>
      </c>
      <c r="L35" s="794">
        <f t="shared" si="2"/>
        <v>1.9999999999999999E-11</v>
      </c>
      <c r="M35" s="821" t="s">
        <v>292</v>
      </c>
      <c r="N35" s="860" t="s">
        <v>1011</v>
      </c>
    </row>
    <row r="36" spans="1:14" ht="12.75" customHeight="1" x14ac:dyDescent="0.3">
      <c r="A36" s="821"/>
      <c r="B36" s="860"/>
      <c r="C36" s="821" t="s">
        <v>1014</v>
      </c>
      <c r="D36" s="872"/>
      <c r="E36" s="872"/>
      <c r="F36" s="860"/>
      <c r="G36" s="872" t="s">
        <v>1905</v>
      </c>
      <c r="H36" s="860" t="s">
        <v>1007</v>
      </c>
      <c r="I36" s="869"/>
      <c r="J36" s="792" t="str">
        <f>IF(ISBLANK(HLOOKUP(CaseName,CaseData,MATCH($G36,cases!$G$4:$G$2494,0),FALSE)),"",HLOOKUP(CaseName,CaseData,MATCH($G36,cases!$G$4:$G$2494,0),FALSE))</f>
        <v/>
      </c>
      <c r="K36" s="870">
        <v>0.2</v>
      </c>
      <c r="L36" s="794">
        <f t="shared" si="2"/>
        <v>0.2</v>
      </c>
      <c r="M36" s="821" t="s">
        <v>292</v>
      </c>
      <c r="N36" s="860"/>
    </row>
    <row r="37" spans="1:14" ht="12.75" customHeight="1" x14ac:dyDescent="0.3">
      <c r="A37" s="821"/>
      <c r="B37" s="860"/>
      <c r="C37" s="821" t="s">
        <v>1016</v>
      </c>
      <c r="D37" s="872"/>
      <c r="E37" s="872"/>
      <c r="F37" s="860"/>
      <c r="G37" s="872" t="s">
        <v>1906</v>
      </c>
      <c r="H37" s="860" t="s">
        <v>1007</v>
      </c>
      <c r="I37" s="869"/>
      <c r="J37" s="792" t="str">
        <f>IF(ISBLANK(HLOOKUP(CaseName,CaseData,MATCH($G37,cases!$G$4:$G$2494,0),FALSE)),"",HLOOKUP(CaseName,CaseData,MATCH($G37,cases!$G$4:$G$2494,0),FALSE))</f>
        <v/>
      </c>
      <c r="K37" s="870">
        <v>0.2</v>
      </c>
      <c r="L37" s="794">
        <f t="shared" si="2"/>
        <v>0.2</v>
      </c>
      <c r="M37" s="821" t="s">
        <v>292</v>
      </c>
      <c r="N37" s="860"/>
    </row>
    <row r="38" spans="1:14" ht="12.75" customHeight="1" x14ac:dyDescent="0.3">
      <c r="A38" s="821"/>
      <c r="B38" s="860"/>
      <c r="C38" s="821" t="s">
        <v>1018</v>
      </c>
      <c r="D38" s="872"/>
      <c r="E38" s="872"/>
      <c r="F38" s="860"/>
      <c r="G38" s="872" t="s">
        <v>1907</v>
      </c>
      <c r="H38" s="860" t="s">
        <v>1007</v>
      </c>
      <c r="I38" s="869"/>
      <c r="J38" s="792" t="str">
        <f>IF(ISBLANK(HLOOKUP(CaseName,CaseData,MATCH($G38,cases!$G$4:$G$2494,0),FALSE)),"",HLOOKUP(CaseName,CaseData,MATCH($G38,cases!$G$4:$G$2494,0),FALSE))</f>
        <v/>
      </c>
      <c r="K38" s="870">
        <f>1-L36-L37</f>
        <v>0.60000000000000009</v>
      </c>
      <c r="L38" s="794">
        <f t="shared" si="2"/>
        <v>0.60000000000000009</v>
      </c>
      <c r="M38" s="821" t="s">
        <v>292</v>
      </c>
      <c r="N38" s="860"/>
    </row>
    <row r="39" spans="1:14" ht="12.75" customHeight="1" x14ac:dyDescent="0.3">
      <c r="A39" s="821"/>
      <c r="B39" s="860"/>
      <c r="C39" s="821" t="s">
        <v>1020</v>
      </c>
      <c r="D39" s="872"/>
      <c r="E39" s="872"/>
      <c r="F39" s="860"/>
      <c r="G39" s="872" t="s">
        <v>1908</v>
      </c>
      <c r="H39" s="860" t="s">
        <v>1007</v>
      </c>
      <c r="I39" s="869"/>
      <c r="J39" s="792" t="str">
        <f>IF(ISBLANK(HLOOKUP(CaseName,CaseData,MATCH($G39,cases!$G$4:$G$2494,0),FALSE)),"",HLOOKUP(CaseName,CaseData,MATCH($G39,cases!$G$4:$G$2494,0),FALSE))</f>
        <v/>
      </c>
      <c r="K39" s="870">
        <v>0.2</v>
      </c>
      <c r="L39" s="794">
        <f t="shared" si="2"/>
        <v>0.2</v>
      </c>
      <c r="M39" s="821" t="s">
        <v>292</v>
      </c>
      <c r="N39" s="860"/>
    </row>
    <row r="40" spans="1:14" ht="12.75" customHeight="1" x14ac:dyDescent="0.3">
      <c r="A40" s="821"/>
      <c r="B40" s="860"/>
      <c r="C40" s="821" t="s">
        <v>1022</v>
      </c>
      <c r="D40" s="872"/>
      <c r="E40" s="872"/>
      <c r="F40" s="860"/>
      <c r="G40" s="872" t="s">
        <v>1909</v>
      </c>
      <c r="H40" s="860" t="s">
        <v>1007</v>
      </c>
      <c r="I40" s="869"/>
      <c r="J40" s="792" t="str">
        <f>IF(ISBLANK(HLOOKUP(CaseName,CaseData,MATCH($G40,cases!$G$4:$G$2494,0),FALSE)),"",HLOOKUP(CaseName,CaseData,MATCH($G40,cases!$G$4:$G$2494,0),FALSE))</f>
        <v/>
      </c>
      <c r="K40" s="870">
        <v>0.2</v>
      </c>
      <c r="L40" s="794">
        <f t="shared" si="2"/>
        <v>0.2</v>
      </c>
      <c r="M40" s="821" t="s">
        <v>292</v>
      </c>
      <c r="N40" s="860"/>
    </row>
    <row r="41" spans="1:14" ht="12.75" customHeight="1" x14ac:dyDescent="0.3">
      <c r="A41" s="821"/>
      <c r="B41" s="860"/>
      <c r="C41" s="821" t="s">
        <v>1024</v>
      </c>
      <c r="D41" s="872"/>
      <c r="E41" s="872"/>
      <c r="F41" s="860"/>
      <c r="G41" s="872" t="s">
        <v>1910</v>
      </c>
      <c r="H41" s="860" t="s">
        <v>1007</v>
      </c>
      <c r="I41" s="869"/>
      <c r="J41" s="792" t="str">
        <f>IF(ISBLANK(HLOOKUP(CaseName,CaseData,MATCH($G41,cases!$G$4:$G$2494,0),FALSE)),"",HLOOKUP(CaseName,CaseData,MATCH($G41,cases!$G$4:$G$2494,0),FALSE))</f>
        <v/>
      </c>
      <c r="K41" s="870">
        <f>1-L39-L40</f>
        <v>0.60000000000000009</v>
      </c>
      <c r="L41" s="794">
        <f t="shared" si="2"/>
        <v>0.60000000000000009</v>
      </c>
      <c r="M41" s="821" t="s">
        <v>292</v>
      </c>
      <c r="N41" s="860"/>
    </row>
    <row r="42" spans="1:14" ht="12.75" customHeight="1" x14ac:dyDescent="0.3">
      <c r="A42" s="821"/>
      <c r="B42" s="860"/>
      <c r="C42" s="821" t="s">
        <v>1026</v>
      </c>
      <c r="D42" s="872"/>
      <c r="E42" s="872"/>
      <c r="F42" s="860"/>
      <c r="G42" s="872" t="s">
        <v>1911</v>
      </c>
      <c r="H42" s="860" t="s">
        <v>1007</v>
      </c>
      <c r="I42" s="869"/>
      <c r="J42" s="792" t="str">
        <f>IF(ISBLANK(HLOOKUP(CaseName,CaseData,MATCH($G42,cases!$G$4:$G$2494,0),FALSE)),"",HLOOKUP(CaseName,CaseData,MATCH($G42,cases!$G$4:$G$2494,0),FALSE))</f>
        <v/>
      </c>
      <c r="K42" s="870">
        <v>0.2</v>
      </c>
      <c r="L42" s="794">
        <f t="shared" si="2"/>
        <v>0.2</v>
      </c>
      <c r="M42" s="821" t="s">
        <v>292</v>
      </c>
      <c r="N42" s="860"/>
    </row>
    <row r="43" spans="1:14" ht="12.75" customHeight="1" x14ac:dyDescent="0.3">
      <c r="A43" s="821"/>
      <c r="B43" s="860"/>
      <c r="C43" s="821" t="s">
        <v>1028</v>
      </c>
      <c r="D43" s="872"/>
      <c r="E43" s="872"/>
      <c r="F43" s="860"/>
      <c r="G43" s="872" t="s">
        <v>1912</v>
      </c>
      <c r="H43" s="860" t="s">
        <v>1007</v>
      </c>
      <c r="I43" s="869"/>
      <c r="J43" s="792" t="str">
        <f>IF(ISBLANK(HLOOKUP(CaseName,CaseData,MATCH($G43,cases!$G$4:$G$2494,0),FALSE)),"",HLOOKUP(CaseName,CaseData,MATCH($G43,cases!$G$4:$G$2494,0),FALSE))</f>
        <v/>
      </c>
      <c r="K43" s="870">
        <v>0.2</v>
      </c>
      <c r="L43" s="794">
        <f t="shared" si="2"/>
        <v>0.2</v>
      </c>
      <c r="M43" s="821" t="s">
        <v>292</v>
      </c>
      <c r="N43" s="860"/>
    </row>
    <row r="44" spans="1:14" ht="12.75" customHeight="1" x14ac:dyDescent="0.3">
      <c r="A44" s="821"/>
      <c r="B44" s="860"/>
      <c r="C44" s="821" t="s">
        <v>1030</v>
      </c>
      <c r="D44" s="872"/>
      <c r="E44" s="872"/>
      <c r="F44" s="860"/>
      <c r="G44" s="872" t="s">
        <v>1913</v>
      </c>
      <c r="H44" s="860" t="s">
        <v>1007</v>
      </c>
      <c r="I44" s="869"/>
      <c r="J44" s="792" t="str">
        <f>IF(ISBLANK(HLOOKUP(CaseName,CaseData,MATCH($G44,cases!$G$4:$G$2494,0),FALSE)),"",HLOOKUP(CaseName,CaseData,MATCH($G44,cases!$G$4:$G$2494,0),FALSE))</f>
        <v/>
      </c>
      <c r="K44" s="870">
        <f>1-L42-L43</f>
        <v>0.60000000000000009</v>
      </c>
      <c r="L44" s="794">
        <f t="shared" si="2"/>
        <v>0.60000000000000009</v>
      </c>
      <c r="M44" s="821" t="s">
        <v>292</v>
      </c>
      <c r="N44" s="860"/>
    </row>
    <row r="45" spans="1:14" ht="12.75" customHeight="1" x14ac:dyDescent="0.3">
      <c r="A45" s="821"/>
      <c r="B45" s="860"/>
      <c r="C45" s="821" t="s">
        <v>1032</v>
      </c>
      <c r="D45" s="872"/>
      <c r="E45" s="872"/>
      <c r="F45" s="860"/>
      <c r="G45" s="872" t="s">
        <v>1914</v>
      </c>
      <c r="H45" s="860" t="s">
        <v>1007</v>
      </c>
      <c r="I45" s="869"/>
      <c r="J45" s="792" t="str">
        <f>IF(ISBLANK(HLOOKUP(CaseName,CaseData,MATCH($G45,cases!$G$4:$G$2494,0),FALSE)),"",HLOOKUP(CaseName,CaseData,MATCH($G45,cases!$G$4:$G$2494,0),FALSE))</f>
        <v/>
      </c>
      <c r="K45" s="870">
        <v>0.8</v>
      </c>
      <c r="L45" s="794">
        <f t="shared" si="2"/>
        <v>0.8</v>
      </c>
      <c r="M45" s="821" t="s">
        <v>292</v>
      </c>
      <c r="N45" s="860"/>
    </row>
    <row r="46" spans="1:14" ht="12.75" customHeight="1" x14ac:dyDescent="0.3">
      <c r="A46" s="821"/>
      <c r="B46" s="860"/>
      <c r="C46" s="821" t="s">
        <v>1034</v>
      </c>
      <c r="D46" s="872"/>
      <c r="E46" s="872"/>
      <c r="F46" s="860"/>
      <c r="G46" s="872" t="s">
        <v>1915</v>
      </c>
      <c r="H46" s="860" t="s">
        <v>1007</v>
      </c>
      <c r="I46" s="869"/>
      <c r="J46" s="792" t="str">
        <f>IF(ISBLANK(HLOOKUP(CaseName,CaseData,MATCH($G46,cases!$G$4:$G$2494,0),FALSE)),"",HLOOKUP(CaseName,CaseData,MATCH($G46,cases!$G$4:$G$2494,0),FALSE))</f>
        <v/>
      </c>
      <c r="K46" s="870">
        <f>1-L45</f>
        <v>0.19999999999999996</v>
      </c>
      <c r="L46" s="794">
        <f t="shared" si="2"/>
        <v>0.19999999999999996</v>
      </c>
      <c r="M46" s="821" t="s">
        <v>292</v>
      </c>
      <c r="N46" s="860"/>
    </row>
    <row r="47" spans="1:14" ht="12.75" customHeight="1" x14ac:dyDescent="0.3">
      <c r="A47" s="821"/>
      <c r="B47" s="860"/>
      <c r="C47" s="821"/>
      <c r="D47" s="872"/>
      <c r="E47" s="872"/>
      <c r="F47" s="860"/>
      <c r="G47" s="872"/>
      <c r="H47" s="872"/>
      <c r="I47" s="872"/>
      <c r="J47" s="792"/>
      <c r="K47" s="873"/>
      <c r="L47" s="873"/>
      <c r="M47" s="872"/>
      <c r="N47" s="860"/>
    </row>
    <row r="48" spans="1:14" ht="12.75" customHeight="1" x14ac:dyDescent="0.3">
      <c r="A48" s="821" t="s">
        <v>1916</v>
      </c>
      <c r="B48" s="860"/>
      <c r="C48" s="860"/>
      <c r="D48" s="860"/>
      <c r="E48" s="860"/>
      <c r="F48" s="860"/>
      <c r="G48" s="821" t="s">
        <v>1917</v>
      </c>
      <c r="H48" s="821" t="s">
        <v>4690</v>
      </c>
      <c r="I48" s="812"/>
      <c r="J48" s="792" t="str">
        <f>IF(ISBLANK(HLOOKUP(CaseName,CaseData,MATCH($G48,cases!$G$4:$G$2494,0),FALSE)),"",HLOOKUP(CaseName,CaseData,MATCH($G48,cases!$G$4:$G$2494,0),FALSE))</f>
        <v/>
      </c>
      <c r="K48" s="874">
        <f>k.aR.aC*VOLUME.aR/L5</f>
        <v>3.0038992516460084E-7</v>
      </c>
      <c r="L48" s="794">
        <f>IF(ISBLANK(I48),IF(ISNUMBER(J48)=FALSE,K48,J48),I48)</f>
        <v>3.0038992516460084E-7</v>
      </c>
      <c r="M48" s="860" t="s">
        <v>1038</v>
      </c>
      <c r="N48" s="860"/>
    </row>
    <row r="49" spans="1:14" ht="12.75" customHeight="1" x14ac:dyDescent="0.3">
      <c r="A49" s="821" t="s">
        <v>1918</v>
      </c>
      <c r="B49" s="860"/>
      <c r="C49" s="860"/>
      <c r="D49" s="860"/>
      <c r="E49" s="860"/>
      <c r="F49" s="860"/>
      <c r="G49" s="821" t="s">
        <v>1919</v>
      </c>
      <c r="H49" s="821" t="s">
        <v>4690</v>
      </c>
      <c r="I49" s="875"/>
      <c r="J49" s="792" t="str">
        <f>IF(ISBLANK(HLOOKUP(CaseName,CaseData,MATCH($G49,cases!$G$4:$G$2494,0),FALSE)),"",HLOOKUP(CaseName,CaseData,MATCH($G49,cases!$G$4:$G$2494,0),FALSE))</f>
        <v/>
      </c>
      <c r="K49" s="874">
        <f>1/L50-L48</f>
        <v>1.3817860384619942E-6</v>
      </c>
      <c r="L49" s="794">
        <f>IF(ISBLANK(I49),IF(ISNUMBER(J49)=FALSE,K49,J49),I49)</f>
        <v>1.3817860384619942E-6</v>
      </c>
      <c r="M49" s="860" t="s">
        <v>1038</v>
      </c>
      <c r="N49" s="860"/>
    </row>
    <row r="50" spans="1:14" ht="12.75" customHeight="1" x14ac:dyDescent="0.3">
      <c r="A50" s="821"/>
      <c r="B50" s="821"/>
      <c r="C50" s="821" t="s">
        <v>1920</v>
      </c>
      <c r="D50" s="860"/>
      <c r="E50" s="860"/>
      <c r="F50" s="860"/>
      <c r="G50" s="821" t="s">
        <v>1921</v>
      </c>
      <c r="H50" s="860" t="s">
        <v>1041</v>
      </c>
      <c r="I50" s="869"/>
      <c r="J50" s="792" t="str">
        <f>IF(ISBLANK(HLOOKUP(CaseName,CaseData,MATCH($G50,cases!$G$4:$G$2494,0),FALSE)),"",HLOOKUP(CaseName,CaseData,MATCH($G50,cases!$G$4:$G$2494,0),FALSE))</f>
        <v/>
      </c>
      <c r="K50" s="874">
        <f>1.5*(0.5*SQRT(L16*PI()/4)/WINDspeed.C)/(3600*24)</f>
        <v>6.8804181752315516</v>
      </c>
      <c r="L50" s="794">
        <f>IF(ISBLANK(I50),IF(ISNUMBER(J50)=FALSE,K50*(3600*24),J50*(3600*24)),I50*(3600*24))</f>
        <v>594468.13034000609</v>
      </c>
      <c r="M50" s="821" t="s">
        <v>1042</v>
      </c>
      <c r="N50" s="860"/>
    </row>
    <row r="51" spans="1:14" ht="12.75" customHeight="1" x14ac:dyDescent="0.3">
      <c r="A51" s="821"/>
      <c r="B51" s="860"/>
      <c r="C51" s="821"/>
      <c r="D51" s="872"/>
      <c r="E51" s="872"/>
      <c r="F51" s="860"/>
      <c r="G51" s="872"/>
      <c r="H51" s="872"/>
      <c r="I51" s="872"/>
      <c r="J51" s="792"/>
      <c r="K51" s="873"/>
      <c r="L51" s="873"/>
      <c r="M51" s="872"/>
      <c r="N51" s="860"/>
    </row>
    <row r="52" spans="1:14" ht="12.75" customHeight="1" x14ac:dyDescent="0.3">
      <c r="A52" s="821" t="s">
        <v>1922</v>
      </c>
      <c r="B52" s="860"/>
      <c r="C52" s="860"/>
      <c r="D52" s="860"/>
      <c r="E52" s="860"/>
      <c r="F52" s="860"/>
      <c r="G52" s="821" t="s">
        <v>1923</v>
      </c>
      <c r="H52" s="821" t="s">
        <v>4690</v>
      </c>
      <c r="I52" s="875"/>
      <c r="J52" s="792" t="str">
        <f>IF(ISBLANK(HLOOKUP(CaseName,CaseData,MATCH($G52,cases!$G$4:$G$2494,0),FALSE)),"",HLOOKUP(CaseName,CaseData,MATCH($G52,cases!$G$4:$G$2494,0),FALSE))</f>
        <v/>
      </c>
      <c r="K52" s="870">
        <f>L57/L7</f>
        <v>2.3972602739726029E-9</v>
      </c>
      <c r="L52" s="794">
        <f t="shared" ref="L52:L65" si="3">IF(ISBLANK(I52),IF(ISNUMBER(J52)=FALSE,K52,J52),I52)</f>
        <v>2.3972602739726029E-9</v>
      </c>
      <c r="M52" s="860" t="s">
        <v>1038</v>
      </c>
      <c r="N52" s="860"/>
    </row>
    <row r="53" spans="1:14" ht="12.75" customHeight="1" x14ac:dyDescent="0.3">
      <c r="A53" s="821" t="s">
        <v>1924</v>
      </c>
      <c r="B53" s="860"/>
      <c r="C53" s="860"/>
      <c r="D53" s="860"/>
      <c r="E53" s="860"/>
      <c r="F53" s="860"/>
      <c r="G53" s="821" t="s">
        <v>1925</v>
      </c>
      <c r="H53" s="821" t="s">
        <v>4690</v>
      </c>
      <c r="I53" s="875"/>
      <c r="J53" s="792" t="str">
        <f>IF(ISBLANK(HLOOKUP(CaseName,CaseData,MATCH($G53,cases!$G$4:$G$2494,0),FALSE)),"",HLOOKUP(CaseName,CaseData,MATCH($G53,cases!$G$4:$G$2494,0),FALSE))</f>
        <v/>
      </c>
      <c r="K53" s="870">
        <f>L58/L7</f>
        <v>0</v>
      </c>
      <c r="L53" s="794">
        <f t="shared" si="3"/>
        <v>0</v>
      </c>
      <c r="M53" s="860" t="s">
        <v>1038</v>
      </c>
      <c r="N53" s="860"/>
    </row>
    <row r="54" spans="1:14" ht="12.75" customHeight="1" x14ac:dyDescent="0.3">
      <c r="A54" s="821" t="s">
        <v>1926</v>
      </c>
      <c r="B54" s="860"/>
      <c r="C54" s="860"/>
      <c r="D54" s="860"/>
      <c r="E54" s="860"/>
      <c r="F54" s="860"/>
      <c r="G54" s="821" t="s">
        <v>1927</v>
      </c>
      <c r="H54" s="821" t="s">
        <v>4690</v>
      </c>
      <c r="I54" s="875"/>
      <c r="J54" s="792" t="str">
        <f>IF(ISBLANK(HLOOKUP(CaseName,CaseData,MATCH($G54,cases!$G$4:$G$2494,0),FALSE)),"",HLOOKUP(CaseName,CaseData,MATCH($G54,cases!$G$4:$G$2494,0),FALSE))</f>
        <v/>
      </c>
      <c r="K54" s="870">
        <f>L59/L8</f>
        <v>0</v>
      </c>
      <c r="L54" s="794">
        <f t="shared" si="3"/>
        <v>0</v>
      </c>
      <c r="M54" s="860" t="s">
        <v>1038</v>
      </c>
      <c r="N54" s="860"/>
    </row>
    <row r="55" spans="1:14" ht="12.75" customHeight="1" x14ac:dyDescent="0.3">
      <c r="A55" s="821" t="s">
        <v>1928</v>
      </c>
      <c r="B55" s="860"/>
      <c r="C55" s="860"/>
      <c r="D55" s="860"/>
      <c r="E55" s="860"/>
      <c r="F55" s="860"/>
      <c r="G55" s="821" t="s">
        <v>1929</v>
      </c>
      <c r="H55" s="821" t="s">
        <v>4690</v>
      </c>
      <c r="I55" s="875"/>
      <c r="J55" s="792" t="str">
        <f>IF(ISBLANK(HLOOKUP(CaseName,CaseData,MATCH($G55,cases!$G$4:$G$2494,0),FALSE)),"",HLOOKUP(CaseName,CaseData,MATCH($G55,cases!$G$4:$G$2494,0),FALSE))</f>
        <v/>
      </c>
      <c r="K55" s="870">
        <f>L60/L8</f>
        <v>0</v>
      </c>
      <c r="L55" s="794">
        <f t="shared" si="3"/>
        <v>0</v>
      </c>
      <c r="M55" s="860" t="s">
        <v>1038</v>
      </c>
      <c r="N55" s="860"/>
    </row>
    <row r="56" spans="1:14" ht="12.75" customHeight="1" x14ac:dyDescent="0.3">
      <c r="A56" s="821" t="s">
        <v>1930</v>
      </c>
      <c r="B56" s="860"/>
      <c r="C56" s="860"/>
      <c r="D56" s="860"/>
      <c r="E56" s="860"/>
      <c r="F56" s="860"/>
      <c r="G56" s="821" t="s">
        <v>1931</v>
      </c>
      <c r="H56" s="821" t="s">
        <v>4690</v>
      </c>
      <c r="I56" s="875"/>
      <c r="J56" s="792" t="str">
        <f>IF(ISBLANK(HLOOKUP(CaseName,CaseData,MATCH($G56,cases!$G$4:$G$2494,0),FALSE)),"",HLOOKUP(CaseName,CaseData,MATCH($G56,cases!$G$4:$G$2494,0),FALSE))</f>
        <v/>
      </c>
      <c r="K56" s="870">
        <f>L61/L8</f>
        <v>7.2644250726442513E-8</v>
      </c>
      <c r="L56" s="794">
        <f t="shared" si="3"/>
        <v>7.2644250726442513E-8</v>
      </c>
      <c r="M56" s="860" t="s">
        <v>1038</v>
      </c>
      <c r="N56" s="860"/>
    </row>
    <row r="57" spans="1:14" ht="12.75" customHeight="1" x14ac:dyDescent="0.3">
      <c r="A57" s="821"/>
      <c r="B57" s="821" t="s">
        <v>1932</v>
      </c>
      <c r="C57" s="860"/>
      <c r="D57" s="860"/>
      <c r="E57" s="872"/>
      <c r="F57" s="872"/>
      <c r="G57" s="872" t="s">
        <v>1933</v>
      </c>
      <c r="H57" s="821" t="s">
        <v>4691</v>
      </c>
      <c r="I57" s="876"/>
      <c r="J57" s="792" t="str">
        <f>IF(ISBLANK(HLOOKUP(CaseName,CaseData,MATCH($G57,cases!$G$4:$G$2494,0),FALSE)),"",HLOOKUP(CaseName,CaseData,MATCH($G57,cases!$G$4:$G$2494,0),FALSE))</f>
        <v/>
      </c>
      <c r="K57" s="870">
        <f>0.1*L61</f>
        <v>2089.1164383561645</v>
      </c>
      <c r="L57" s="794">
        <f t="shared" si="3"/>
        <v>2089.1164383561645</v>
      </c>
      <c r="M57" s="860" t="s">
        <v>4692</v>
      </c>
      <c r="N57" s="860"/>
    </row>
    <row r="58" spans="1:14" ht="12.75" customHeight="1" x14ac:dyDescent="0.3">
      <c r="A58" s="821"/>
      <c r="B58" s="821" t="s">
        <v>1934</v>
      </c>
      <c r="C58" s="860"/>
      <c r="D58" s="860"/>
      <c r="E58" s="872"/>
      <c r="F58" s="872"/>
      <c r="G58" s="872" t="s">
        <v>1935</v>
      </c>
      <c r="H58" s="821" t="s">
        <v>4691</v>
      </c>
      <c r="I58" s="876"/>
      <c r="J58" s="792" t="str">
        <f>IF(ISBLANK(HLOOKUP(CaseName,CaseData,MATCH($G58,cases!$G$4:$G$2494,0),FALSE)),"",HLOOKUP(CaseName,CaseData,MATCH($G58,cases!$G$4:$G$2494,0),FALSE))</f>
        <v/>
      </c>
      <c r="K58" s="870">
        <v>0</v>
      </c>
      <c r="L58" s="794">
        <f t="shared" si="3"/>
        <v>0</v>
      </c>
      <c r="M58" s="860" t="s">
        <v>4692</v>
      </c>
      <c r="N58" s="860"/>
    </row>
    <row r="59" spans="1:14" ht="12.75" customHeight="1" x14ac:dyDescent="0.3">
      <c r="A59" s="821"/>
      <c r="B59" s="821" t="s">
        <v>1936</v>
      </c>
      <c r="C59" s="860"/>
      <c r="D59" s="860"/>
      <c r="E59" s="872"/>
      <c r="F59" s="872"/>
      <c r="G59" s="872" t="s">
        <v>1937</v>
      </c>
      <c r="H59" s="821" t="s">
        <v>4691</v>
      </c>
      <c r="I59" s="876"/>
      <c r="J59" s="792" t="str">
        <f>IF(ISBLANK(HLOOKUP(CaseName,CaseData,MATCH($G59,cases!$G$4:$G$2494,0),FALSE)),"",HLOOKUP(CaseName,CaseData,MATCH($G59,cases!$G$4:$G$2494,0),FALSE))</f>
        <v/>
      </c>
      <c r="K59" s="870">
        <v>0</v>
      </c>
      <c r="L59" s="794">
        <f t="shared" si="3"/>
        <v>0</v>
      </c>
      <c r="M59" s="860" t="s">
        <v>4692</v>
      </c>
      <c r="N59" s="860"/>
    </row>
    <row r="60" spans="1:14" ht="12.75" customHeight="1" x14ac:dyDescent="0.3">
      <c r="A60" s="821"/>
      <c r="B60" s="821" t="s">
        <v>1938</v>
      </c>
      <c r="C60" s="860"/>
      <c r="D60" s="860"/>
      <c r="E60" s="872"/>
      <c r="F60" s="872"/>
      <c r="G60" s="872" t="s">
        <v>1939</v>
      </c>
      <c r="H60" s="860" t="s">
        <v>4691</v>
      </c>
      <c r="I60" s="869"/>
      <c r="J60" s="792" t="str">
        <f>IF(ISBLANK(HLOOKUP(CaseName,CaseData,MATCH($G60,cases!$G$4:$G$2494,0),FALSE)),"",HLOOKUP(CaseName,CaseData,MATCH($G60,cases!$G$4:$G$2494,0),FALSE))</f>
        <v/>
      </c>
      <c r="K60" s="877">
        <f>((L18+L19*L191+L20*L192+L21*L193)*RAINrate.C*L16+L57)*FRAC.w1C.w1R</f>
        <v>0</v>
      </c>
      <c r="L60" s="794">
        <f t="shared" si="3"/>
        <v>0</v>
      </c>
      <c r="M60" s="860" t="s">
        <v>4692</v>
      </c>
      <c r="N60" s="860"/>
    </row>
    <row r="61" spans="1:14" ht="12.75" customHeight="1" x14ac:dyDescent="0.3">
      <c r="A61" s="821"/>
      <c r="B61" s="821" t="s">
        <v>1940</v>
      </c>
      <c r="C61" s="860"/>
      <c r="D61" s="860"/>
      <c r="E61" s="872"/>
      <c r="F61" s="872"/>
      <c r="G61" s="872" t="s">
        <v>1941</v>
      </c>
      <c r="H61" s="860" t="s">
        <v>4691</v>
      </c>
      <c r="I61" s="869"/>
      <c r="J61" s="792" t="str">
        <f>IF(ISBLANK(HLOOKUP(CaseName,CaseData,MATCH($G61,cases!$G$4:$G$2494,0),FALSE)),"",HLOOKUP(CaseName,CaseData,MATCH($G61,cases!$G$4:$G$2494,0),FALSE))</f>
        <v/>
      </c>
      <c r="K61" s="877">
        <f>((L18+L19*L191+L20*L192+L21*L193)*RAINrate.C*L16)*(1-FRAC.w1C.w1R)</f>
        <v>20891.164383561645</v>
      </c>
      <c r="L61" s="794">
        <f t="shared" si="3"/>
        <v>20891.164383561645</v>
      </c>
      <c r="M61" s="860" t="s">
        <v>4692</v>
      </c>
      <c r="N61" s="860"/>
    </row>
    <row r="62" spans="1:14" ht="12.75" customHeight="1" x14ac:dyDescent="0.3">
      <c r="A62" s="821" t="s">
        <v>1942</v>
      </c>
      <c r="B62" s="860"/>
      <c r="C62" s="860"/>
      <c r="D62" s="860"/>
      <c r="E62" s="860"/>
      <c r="F62" s="860"/>
      <c r="G62" s="821" t="s">
        <v>1943</v>
      </c>
      <c r="H62" s="821" t="s">
        <v>4690</v>
      </c>
      <c r="I62" s="812"/>
      <c r="J62" s="792" t="str">
        <f>IF(ISBLANK(HLOOKUP(CaseName,CaseData,MATCH($G62,cases!$G$4:$G$2494,0),FALSE)),"",HLOOKUP(CaseName,CaseData,MATCH($G62,cases!$G$4:$G$2494,0),FALSE))</f>
        <v/>
      </c>
      <c r="K62" s="870">
        <f>L64/L9</f>
        <v>1.660022737657995E-11</v>
      </c>
      <c r="L62" s="794">
        <f t="shared" si="3"/>
        <v>1.660022737657995E-11</v>
      </c>
      <c r="M62" s="860" t="s">
        <v>1038</v>
      </c>
      <c r="N62" s="860"/>
    </row>
    <row r="63" spans="1:14" ht="12.75" customHeight="1" x14ac:dyDescent="0.3">
      <c r="A63" s="821" t="s">
        <v>1944</v>
      </c>
      <c r="B63" s="860"/>
      <c r="C63" s="860"/>
      <c r="D63" s="860"/>
      <c r="E63" s="860"/>
      <c r="F63" s="860"/>
      <c r="G63" s="821" t="s">
        <v>1945</v>
      </c>
      <c r="H63" s="821" t="s">
        <v>4690</v>
      </c>
      <c r="I63" s="875"/>
      <c r="J63" s="792" t="str">
        <f>IF(ISBLANK(HLOOKUP(CaseName,CaseData,MATCH($G63,cases!$G$4:$G$2494,0),FALSE)),"",HLOOKUP(CaseName,CaseData,MATCH($G63,cases!$G$4:$G$2494,0),FALSE))</f>
        <v/>
      </c>
      <c r="K63" s="870">
        <f>L65/L9</f>
        <v>3.1691347286679496E-8</v>
      </c>
      <c r="L63" s="794">
        <f t="shared" si="3"/>
        <v>3.1691347286679496E-8</v>
      </c>
      <c r="M63" s="860" t="s">
        <v>1038</v>
      </c>
      <c r="N63" s="860"/>
    </row>
    <row r="64" spans="1:14" ht="12.75" customHeight="1" x14ac:dyDescent="0.3">
      <c r="A64" s="821"/>
      <c r="B64" s="821" t="s">
        <v>1946</v>
      </c>
      <c r="C64" s="860"/>
      <c r="D64" s="860"/>
      <c r="E64" s="860"/>
      <c r="F64" s="860"/>
      <c r="G64" s="872" t="s">
        <v>1947</v>
      </c>
      <c r="H64" s="860" t="s">
        <v>4691</v>
      </c>
      <c r="I64" s="869"/>
      <c r="J64" s="792" t="str">
        <f>IF(ISBLANK(HLOOKUP(CaseName,CaseData,MATCH($G64,cases!$G$4:$G$2494,0),FALSE)),"",HLOOKUP(CaseName,CaseData,MATCH($G64,cases!$G$4:$G$2494,0),FALSE))</f>
        <v/>
      </c>
      <c r="K64" s="870">
        <f>(10-1)*WATERflow.w1R.w2R</f>
        <v>12328.69006849315</v>
      </c>
      <c r="L64" s="794">
        <f t="shared" si="3"/>
        <v>12328.69006849315</v>
      </c>
      <c r="M64" s="860" t="s">
        <v>4692</v>
      </c>
      <c r="N64" s="860"/>
    </row>
    <row r="65" spans="1:14" ht="12.75" customHeight="1" x14ac:dyDescent="0.3">
      <c r="A65" s="821"/>
      <c r="B65" s="821" t="s">
        <v>1948</v>
      </c>
      <c r="C65" s="860"/>
      <c r="D65" s="860"/>
      <c r="E65" s="872"/>
      <c r="F65" s="872"/>
      <c r="G65" s="872" t="s">
        <v>1949</v>
      </c>
      <c r="H65" s="860" t="s">
        <v>4691</v>
      </c>
      <c r="I65" s="869"/>
      <c r="J65" s="792" t="str">
        <f>IF(ISBLANK(HLOOKUP(CaseName,CaseData,MATCH($G65,cases!$G$4:$G$2494,0),FALSE)),"",HLOOKUP(CaseName,CaseData,MATCH($G65,cases!$G$4:$G$2494,0),FALSE))</f>
        <v/>
      </c>
      <c r="K65" s="870">
        <f>(L9/L66)-WATERflow.w2R.w2C</f>
        <v>23536593.185565703</v>
      </c>
      <c r="L65" s="794">
        <f t="shared" si="3"/>
        <v>23536593.185565703</v>
      </c>
      <c r="M65" s="860" t="s">
        <v>4692</v>
      </c>
      <c r="N65" s="860"/>
    </row>
    <row r="66" spans="1:14" ht="12.75" customHeight="1" x14ac:dyDescent="0.3">
      <c r="A66" s="821"/>
      <c r="B66" s="821"/>
      <c r="C66" s="821" t="s">
        <v>1950</v>
      </c>
      <c r="D66" s="860"/>
      <c r="E66" s="860"/>
      <c r="F66" s="860"/>
      <c r="G66" s="821" t="s">
        <v>1951</v>
      </c>
      <c r="H66" s="821" t="s">
        <v>1041</v>
      </c>
      <c r="I66" s="871"/>
      <c r="J66" s="792" t="str">
        <f>IF(ISBLANK(HLOOKUP(CaseName,CaseData,MATCH($G66,cases!$G$4:$G$2494,0),FALSE)),"",HLOOKUP(CaseName,CaseData,MATCH($G66,cases!$G$4:$G$2494,0),FALSE))</f>
        <v/>
      </c>
      <c r="K66" s="874">
        <v>365</v>
      </c>
      <c r="L66" s="794">
        <f>IF(ISBLANK(I66),IF(ISNUMBER(J66)=FALSE,K66*(3600*24),J66*(3600*24)),I66*(3600*24))</f>
        <v>31536000</v>
      </c>
      <c r="M66" s="821" t="s">
        <v>1042</v>
      </c>
      <c r="N66" s="860"/>
    </row>
    <row r="67" spans="1:14" ht="12.75" customHeight="1" x14ac:dyDescent="0.3">
      <c r="A67" s="860"/>
      <c r="B67" s="860"/>
      <c r="C67" s="860"/>
      <c r="D67" s="860"/>
      <c r="E67" s="860"/>
      <c r="F67" s="860"/>
      <c r="G67" s="860"/>
      <c r="H67" s="860"/>
      <c r="I67" s="861"/>
      <c r="J67" s="792"/>
      <c r="K67" s="863"/>
      <c r="L67" s="863"/>
      <c r="M67" s="860"/>
      <c r="N67" s="860"/>
    </row>
    <row r="68" spans="1:14" ht="12.75" customHeight="1" x14ac:dyDescent="0.3">
      <c r="A68" s="865" t="s">
        <v>1952</v>
      </c>
      <c r="B68" s="864"/>
      <c r="C68" s="864"/>
      <c r="D68" s="864"/>
      <c r="E68" s="864"/>
      <c r="F68" s="864"/>
      <c r="G68" s="865" t="s">
        <v>258</v>
      </c>
      <c r="H68" s="865" t="s">
        <v>274</v>
      </c>
      <c r="I68" s="864" t="s">
        <v>259</v>
      </c>
      <c r="J68" s="866" t="s">
        <v>275</v>
      </c>
      <c r="K68" s="867" t="s">
        <v>260</v>
      </c>
      <c r="L68" s="867" t="s">
        <v>261</v>
      </c>
      <c r="M68" s="864"/>
      <c r="N68" s="865" t="s">
        <v>262</v>
      </c>
    </row>
    <row r="69" spans="1:14" ht="12.75" customHeight="1" x14ac:dyDescent="0.3">
      <c r="A69" s="878"/>
      <c r="B69" s="879"/>
      <c r="C69" s="880"/>
      <c r="D69" s="880"/>
      <c r="E69" s="878"/>
      <c r="F69" s="878"/>
      <c r="G69" s="878"/>
      <c r="H69" s="880"/>
      <c r="I69" s="881"/>
      <c r="J69" s="792"/>
      <c r="K69" s="882"/>
      <c r="L69" s="883"/>
      <c r="M69" s="880"/>
      <c r="N69" s="860"/>
    </row>
    <row r="70" spans="1:14" ht="12.75" customHeight="1" x14ac:dyDescent="0.3">
      <c r="A70" s="5"/>
      <c r="B70" s="821" t="s">
        <v>1953</v>
      </c>
      <c r="C70" s="821"/>
      <c r="D70" s="821"/>
      <c r="E70" s="821"/>
      <c r="F70" s="821"/>
      <c r="G70" s="821" t="s">
        <v>4762</v>
      </c>
      <c r="H70" s="821" t="s">
        <v>291</v>
      </c>
      <c r="I70" s="875"/>
      <c r="J70" s="792" t="str">
        <f>IF(ISBLANK(HLOOKUP(CaseName,CaseData,MATCH($G70,cases!$G$4:$G$2494,0),FALSE)),"",HLOOKUP(CaseName,CaseData,MATCH($G70,cases!$G$4:$G$2494,0),FALSE))</f>
        <v/>
      </c>
      <c r="K70" s="575">
        <f>1-L35*L74/(1+L35*L74+L34*L75)-L34*L75/(1+L35*L74+L34*L75)</f>
        <v>0.99999996469432006</v>
      </c>
      <c r="L70" s="794">
        <f t="shared" ref="L70:L111" si="4">IF(ISBLANK(I70),IF(ISNUMBER(J70)=FALSE,K70,J70),I70)</f>
        <v>0.99999996469432006</v>
      </c>
      <c r="M70" s="20" t="s">
        <v>292</v>
      </c>
      <c r="N70" s="860"/>
    </row>
    <row r="71" spans="1:14" ht="12.75" customHeight="1" x14ac:dyDescent="0.3">
      <c r="A71" s="860"/>
      <c r="B71" s="860" t="s">
        <v>1955</v>
      </c>
      <c r="C71" s="860"/>
      <c r="D71" s="860"/>
      <c r="E71" s="860"/>
      <c r="F71" s="860"/>
      <c r="G71" s="860" t="s">
        <v>1956</v>
      </c>
      <c r="H71" s="860" t="s">
        <v>291</v>
      </c>
      <c r="I71" s="884"/>
      <c r="J71" s="792" t="str">
        <f>IF(ISBLANK(HLOOKUP(CaseName,CaseData,MATCH($G71,cases!$G$4:$G$2494,0),FALSE)),"",HLOOKUP(CaseName,CaseData,MATCH($G71,cases!$G$4:$G$2494,0),FALSE))</f>
        <v/>
      </c>
      <c r="K71" s="575">
        <f>L35*L74/(1+L35*L74+L34*L75)</f>
        <v>2.2258158863377581E-10</v>
      </c>
      <c r="L71" s="794">
        <f t="shared" si="4"/>
        <v>2.2258158863377581E-10</v>
      </c>
      <c r="M71" s="821" t="s">
        <v>292</v>
      </c>
      <c r="N71" s="860" t="s">
        <v>1067</v>
      </c>
    </row>
    <row r="72" spans="1:14" ht="12.75" customHeight="1" x14ac:dyDescent="0.3">
      <c r="A72" s="860"/>
      <c r="B72" s="860" t="s">
        <v>1957</v>
      </c>
      <c r="C72" s="860"/>
      <c r="D72" s="860"/>
      <c r="E72" s="860"/>
      <c r="F72" s="860"/>
      <c r="G72" s="860" t="s">
        <v>1958</v>
      </c>
      <c r="H72" s="860" t="s">
        <v>291</v>
      </c>
      <c r="I72" s="884"/>
      <c r="J72" s="792" t="str">
        <f>IF(ISBLANK(HLOOKUP(CaseName,CaseData,MATCH($G72,cases!$G$4:$G$2494,0),FALSE)),"",HLOOKUP(CaseName,CaseData,MATCH($G72,cases!$G$4:$G$2494,0),FALSE))</f>
        <v/>
      </c>
      <c r="K72" s="575">
        <f>L34*L75/(1+L35*L74+L34*L75)</f>
        <v>3.5083098262422926E-8</v>
      </c>
      <c r="L72" s="794">
        <f t="shared" si="4"/>
        <v>3.5083098262422926E-8</v>
      </c>
      <c r="M72" s="821" t="s">
        <v>292</v>
      </c>
      <c r="N72" s="860" t="s">
        <v>1067</v>
      </c>
    </row>
    <row r="73" spans="1:14" ht="12.75" customHeight="1" x14ac:dyDescent="0.3">
      <c r="A73" s="860"/>
      <c r="B73" s="860"/>
      <c r="C73" s="821" t="s">
        <v>1959</v>
      </c>
      <c r="D73" s="821"/>
      <c r="E73" s="821"/>
      <c r="F73" s="821"/>
      <c r="G73" s="821" t="s">
        <v>4763</v>
      </c>
      <c r="H73" s="821" t="s">
        <v>291</v>
      </c>
      <c r="I73" s="869"/>
      <c r="J73" s="792" t="str">
        <f>IF(ISBLANK(HLOOKUP(CaseName,CaseData,MATCH($G73,cases!$G$4:$G$2494,0),FALSE)),"",HLOOKUP(CaseName,CaseData,MATCH($G73,cases!$G$4:$G$2494,0),FALSE))</f>
        <v/>
      </c>
      <c r="K73" s="575">
        <f>Kaw*EXP((H0vap/8.314)*(1/298-1/TEMP.C))*EXP(-(H0sol/8.314)*(1/298-1/TEMP.C))*(298/TEMP.C)</f>
        <v>8.9854688416270423E-2</v>
      </c>
      <c r="L73" s="794">
        <f t="shared" si="4"/>
        <v>8.9854688416270423E-2</v>
      </c>
      <c r="M73" s="821" t="s">
        <v>292</v>
      </c>
      <c r="N73" s="860"/>
    </row>
    <row r="74" spans="1:14" ht="12.75" customHeight="1" x14ac:dyDescent="0.35">
      <c r="A74" s="860"/>
      <c r="B74" s="860"/>
      <c r="C74" s="860" t="s">
        <v>1961</v>
      </c>
      <c r="D74" s="860"/>
      <c r="E74" s="860"/>
      <c r="F74" s="860"/>
      <c r="G74" s="860" t="s">
        <v>1962</v>
      </c>
      <c r="H74" s="860" t="s">
        <v>4701</v>
      </c>
      <c r="I74" s="884"/>
      <c r="J74" s="792" t="str">
        <f>IF(ISBLANK(HLOOKUP(CaseName,CaseData,MATCH($G74,cases!$G$4:$G$2494,0),FALSE)),"",HLOOKUP(CaseName,CaseData,MATCH($G74,cases!$G$4:$G$2494,0),FALSE))</f>
        <v/>
      </c>
      <c r="K74" s="575">
        <f>1/(L73*FRorig.aerw)</f>
        <v>11.129079824608519</v>
      </c>
      <c r="L74" s="794">
        <f t="shared" si="4"/>
        <v>11.129079824608519</v>
      </c>
      <c r="M74" s="821" t="s">
        <v>292</v>
      </c>
      <c r="N74" s="860"/>
    </row>
    <row r="75" spans="1:14" ht="12.75" customHeight="1" x14ac:dyDescent="0.35">
      <c r="A75" s="860"/>
      <c r="B75" s="860"/>
      <c r="C75" s="860" t="s">
        <v>1963</v>
      </c>
      <c r="D75" s="860"/>
      <c r="E75" s="860"/>
      <c r="F75" s="860"/>
      <c r="G75" s="860" t="s">
        <v>1964</v>
      </c>
      <c r="H75" s="860" t="s">
        <v>4703</v>
      </c>
      <c r="I75" s="884"/>
      <c r="J75" s="792" t="str">
        <f>IF(ISBLANK(HLOOKUP(CaseName,CaseData,MATCH($G75,cases!$G$4:$G$2494,0),FALSE)),"",HLOOKUP(CaseName,CaseData,MATCH($G75,cases!$G$4:$G$2494,0),FALSE))</f>
        <v/>
      </c>
      <c r="K75" s="575">
        <f>0.54*(Kow/Kaw)*CORGaer*(RHOaers/1000)</f>
        <v>1754.1549750527802</v>
      </c>
      <c r="L75" s="794">
        <f t="shared" si="4"/>
        <v>1754.1549750527802</v>
      </c>
      <c r="M75" s="821" t="s">
        <v>292</v>
      </c>
      <c r="N75" s="860" t="s">
        <v>1074</v>
      </c>
    </row>
    <row r="76" spans="1:14" ht="12.75" customHeight="1" x14ac:dyDescent="0.3">
      <c r="A76" s="821"/>
      <c r="B76" s="821" t="s">
        <v>1965</v>
      </c>
      <c r="C76" s="872"/>
      <c r="D76" s="860"/>
      <c r="E76" s="860"/>
      <c r="F76" s="860"/>
      <c r="G76" s="872" t="s">
        <v>1966</v>
      </c>
      <c r="H76" s="821" t="s">
        <v>291</v>
      </c>
      <c r="I76" s="871"/>
      <c r="J76" s="792" t="str">
        <f>IF(ISBLANK(HLOOKUP(CaseName,CaseData,MATCH($G76,cases!$G$4:$G$2494,0),FALSE)),"",HLOOKUP(CaseName,CaseData,MATCH($G76,cases!$G$4:$G$2494,0),FALSE))</f>
        <v/>
      </c>
      <c r="K76" s="575">
        <f>1/(1+L77*input!L311/1000+L79*input!L308/1000)</f>
        <v>0.99974158989686501</v>
      </c>
      <c r="L76" s="794">
        <f t="shared" si="4"/>
        <v>0.99974158989686501</v>
      </c>
      <c r="M76" s="821" t="s">
        <v>292</v>
      </c>
      <c r="N76" s="860"/>
    </row>
    <row r="77" spans="1:14" ht="12.75" customHeight="1" x14ac:dyDescent="0.3">
      <c r="A77" s="821"/>
      <c r="B77" s="860"/>
      <c r="C77" s="821" t="s">
        <v>1075</v>
      </c>
      <c r="D77" s="860"/>
      <c r="E77" s="860"/>
      <c r="F77" s="860"/>
      <c r="G77" s="872" t="s">
        <v>1967</v>
      </c>
      <c r="H77" s="821" t="s">
        <v>4706</v>
      </c>
      <c r="I77" s="871"/>
      <c r="J77" s="792" t="str">
        <f>IF(ISBLANK(HLOOKUP(CaseName,CaseData,MATCH($G77,cases!$G$4:$G$2494,0),FALSE)),"",HLOOKUP(CaseName,CaseData,MATCH($G77,cases!$G$4:$G$2494,0),FALSE))</f>
        <v/>
      </c>
      <c r="K77" s="885">
        <f>(FRorig.w1*Ksw+(1-FRorig.w1)*Ksw.alt)*(1000/RHOsolid/CORG)*L78</f>
        <v>76.953792352546415</v>
      </c>
      <c r="L77" s="794">
        <f t="shared" si="4"/>
        <v>76.953792352546415</v>
      </c>
      <c r="M77" s="821" t="s">
        <v>1078</v>
      </c>
      <c r="N77" s="860"/>
    </row>
    <row r="78" spans="1:14" ht="12.75" customHeight="1" x14ac:dyDescent="0.3">
      <c r="A78" s="821"/>
      <c r="B78" s="860"/>
      <c r="C78" s="821" t="s">
        <v>1079</v>
      </c>
      <c r="D78" s="860"/>
      <c r="E78" s="860"/>
      <c r="F78" s="860"/>
      <c r="G78" s="872" t="s">
        <v>1968</v>
      </c>
      <c r="H78" s="821" t="s">
        <v>291</v>
      </c>
      <c r="I78" s="871"/>
      <c r="J78" s="792" t="str">
        <f>IF(ISBLANK(HLOOKUP(CaseName,CaseData,MATCH($G78,cases!$G$4:$G$2494,0),FALSE)),"",HLOOKUP(CaseName,CaseData,MATCH($G78,cases!$G$4:$G$2494,0),FALSE))</f>
        <v/>
      </c>
      <c r="K78" s="870">
        <v>0.1</v>
      </c>
      <c r="L78" s="794">
        <f t="shared" si="4"/>
        <v>0.1</v>
      </c>
      <c r="M78" s="821" t="s">
        <v>292</v>
      </c>
      <c r="N78" s="860"/>
    </row>
    <row r="79" spans="1:14" ht="12.75" customHeight="1" x14ac:dyDescent="0.3">
      <c r="A79" s="821"/>
      <c r="B79" s="860"/>
      <c r="C79" s="821" t="s">
        <v>1081</v>
      </c>
      <c r="D79" s="860"/>
      <c r="E79" s="860"/>
      <c r="F79" s="860"/>
      <c r="G79" s="872" t="s">
        <v>1969</v>
      </c>
      <c r="H79" s="821" t="s">
        <v>1083</v>
      </c>
      <c r="I79" s="871"/>
      <c r="J79" s="792" t="str">
        <f>IF(ISBLANK(HLOOKUP(CaseName,CaseData,MATCH($G79,cases!$G$4:$G$2494,0),FALSE)),"",HLOOKUP(CaseName,CaseData,MATCH($G79,cases!$G$4:$G$2494,0),FALSE))</f>
        <v/>
      </c>
      <c r="K79" s="870">
        <f>0.08*D</f>
        <v>220</v>
      </c>
      <c r="L79" s="794">
        <f t="shared" si="4"/>
        <v>220</v>
      </c>
      <c r="M79" s="821" t="s">
        <v>1078</v>
      </c>
      <c r="N79" s="860"/>
    </row>
    <row r="80" spans="1:14" ht="12.75" customHeight="1" x14ac:dyDescent="0.3">
      <c r="A80" s="821"/>
      <c r="B80" s="821" t="s">
        <v>4764</v>
      </c>
      <c r="C80" s="872"/>
      <c r="D80" s="860"/>
      <c r="E80" s="860"/>
      <c r="F80" s="860"/>
      <c r="G80" s="872" t="s">
        <v>1970</v>
      </c>
      <c r="H80" s="821" t="s">
        <v>291</v>
      </c>
      <c r="I80" s="869"/>
      <c r="J80" s="792" t="str">
        <f>IF(ISBLANK(HLOOKUP(CaseName,CaseData,MATCH($G80,cases!$G$4:$G$2494,0),FALSE)),"",HLOOKUP(CaseName,CaseData,MATCH($G80,cases!$G$4:$G$2494,0),FALSE))</f>
        <v/>
      </c>
      <c r="K80" s="870">
        <f>1/(1+L81*input!L312/1000+L83*input!L309/1000)</f>
        <v>0.99862757924200896</v>
      </c>
      <c r="L80" s="794">
        <f t="shared" si="4"/>
        <v>0.99862757924200896</v>
      </c>
      <c r="M80" s="821" t="s">
        <v>292</v>
      </c>
      <c r="N80" s="860"/>
    </row>
    <row r="81" spans="1:14" ht="12.75" customHeight="1" x14ac:dyDescent="0.3">
      <c r="A81" s="821"/>
      <c r="B81" s="860"/>
      <c r="C81" s="821" t="s">
        <v>1075</v>
      </c>
      <c r="D81" s="860"/>
      <c r="E81" s="860"/>
      <c r="F81" s="860"/>
      <c r="G81" s="872" t="s">
        <v>1971</v>
      </c>
      <c r="H81" s="821" t="s">
        <v>1083</v>
      </c>
      <c r="I81" s="869"/>
      <c r="J81" s="792" t="str">
        <f>IF(ISBLANK(HLOOKUP(CaseName,CaseData,MATCH($G81,cases!$G$4:$G$2494,0),FALSE)),"",HLOOKUP(CaseName,CaseData,MATCH($G81,cases!$G$4:$G$2494,0),FALSE))</f>
        <v/>
      </c>
      <c r="K81" s="870">
        <f>(FRorig.w1*Ksw+(1-FRorig.w1)*Ksw.alt)*(1000/RHOsolid/CORG)*L82</f>
        <v>76.953792352546415</v>
      </c>
      <c r="L81" s="794">
        <f t="shared" si="4"/>
        <v>76.953792352546415</v>
      </c>
      <c r="M81" s="821" t="s">
        <v>1078</v>
      </c>
      <c r="N81" s="860"/>
    </row>
    <row r="82" spans="1:14" ht="12.75" customHeight="1" x14ac:dyDescent="0.3">
      <c r="A82" s="821"/>
      <c r="B82" s="860"/>
      <c r="C82" s="821" t="s">
        <v>1079</v>
      </c>
      <c r="D82" s="860"/>
      <c r="E82" s="860"/>
      <c r="F82" s="860"/>
      <c r="G82" s="872" t="s">
        <v>1972</v>
      </c>
      <c r="H82" s="821" t="s">
        <v>291</v>
      </c>
      <c r="I82" s="869"/>
      <c r="J82" s="792" t="str">
        <f>IF(ISBLANK(HLOOKUP(CaseName,CaseData,MATCH($G82,cases!$G$4:$G$2494,0),FALSE)),"",HLOOKUP(CaseName,CaseData,MATCH($G82,cases!$G$4:$G$2494,0),FALSE))</f>
        <v/>
      </c>
      <c r="K82" s="870">
        <v>0.1</v>
      </c>
      <c r="L82" s="794">
        <f t="shared" si="4"/>
        <v>0.1</v>
      </c>
      <c r="M82" s="821" t="s">
        <v>292</v>
      </c>
      <c r="N82" s="860"/>
    </row>
    <row r="83" spans="1:14" ht="12.75" customHeight="1" x14ac:dyDescent="0.3">
      <c r="A83" s="821"/>
      <c r="B83" s="860"/>
      <c r="C83" s="821" t="s">
        <v>1081</v>
      </c>
      <c r="D83" s="860"/>
      <c r="E83" s="860"/>
      <c r="F83" s="860"/>
      <c r="G83" s="872" t="s">
        <v>1973</v>
      </c>
      <c r="H83" s="821" t="s">
        <v>1083</v>
      </c>
      <c r="I83" s="871"/>
      <c r="J83" s="792" t="str">
        <f>IF(ISBLANK(HLOOKUP(CaseName,CaseData,MATCH($G83,cases!$G$4:$G$2494,0),FALSE)),"",HLOOKUP(CaseName,CaseData,MATCH($G83,cases!$G$4:$G$2494,0),FALSE))</f>
        <v/>
      </c>
      <c r="K83" s="870">
        <f>0.08*D</f>
        <v>220</v>
      </c>
      <c r="L83" s="794">
        <f t="shared" si="4"/>
        <v>220</v>
      </c>
      <c r="M83" s="821" t="s">
        <v>1078</v>
      </c>
      <c r="N83" s="860"/>
    </row>
    <row r="84" spans="1:14" ht="12.75" customHeight="1" x14ac:dyDescent="0.3">
      <c r="A84" s="821"/>
      <c r="B84" s="821" t="s">
        <v>4765</v>
      </c>
      <c r="C84" s="872"/>
      <c r="D84" s="860"/>
      <c r="E84" s="860"/>
      <c r="F84" s="860"/>
      <c r="G84" s="872" t="s">
        <v>1974</v>
      </c>
      <c r="H84" s="821" t="s">
        <v>291</v>
      </c>
      <c r="I84" s="869"/>
      <c r="J84" s="792" t="str">
        <f>IF(ISBLANK(HLOOKUP(CaseName,CaseData,MATCH($G84,cases!$G$4:$G$2494,0),FALSE)),"",HLOOKUP(CaseName,CaseData,MATCH($G84,cases!$G$4:$G$2494,0),FALSE))</f>
        <v/>
      </c>
      <c r="K84" s="870">
        <f>1/(1+L85*input!L313/1000+L87*input!L310/1000)</f>
        <v>0.99939559656267651</v>
      </c>
      <c r="L84" s="794">
        <f t="shared" si="4"/>
        <v>0.99939559656267651</v>
      </c>
      <c r="M84" s="821" t="s">
        <v>292</v>
      </c>
      <c r="N84" s="860"/>
    </row>
    <row r="85" spans="1:14" ht="12.75" customHeight="1" x14ac:dyDescent="0.3">
      <c r="A85" s="821"/>
      <c r="B85" s="860"/>
      <c r="C85" s="821" t="s">
        <v>1075</v>
      </c>
      <c r="D85" s="860"/>
      <c r="E85" s="860"/>
      <c r="F85" s="860"/>
      <c r="G85" s="872" t="s">
        <v>1975</v>
      </c>
      <c r="H85" s="821" t="s">
        <v>1083</v>
      </c>
      <c r="I85" s="869"/>
      <c r="J85" s="792" t="str">
        <f>IF(ISBLANK(HLOOKUP(CaseName,CaseData,MATCH($G85,cases!$G$4:$G$2494,0),FALSE)),"",HLOOKUP(CaseName,CaseData,MATCH($G85,cases!$G$4:$G$2494,0),FALSE))</f>
        <v/>
      </c>
      <c r="K85" s="870">
        <f>(FRorig.w2*Ksw+(1-FRorig.w2)*Ksw.alt)*(1000/RHOsolid/CORG)*L86</f>
        <v>76.953792352546415</v>
      </c>
      <c r="L85" s="794">
        <f t="shared" si="4"/>
        <v>76.953792352546415</v>
      </c>
      <c r="M85" s="821" t="s">
        <v>1078</v>
      </c>
      <c r="N85" s="860"/>
    </row>
    <row r="86" spans="1:14" ht="12.75" customHeight="1" x14ac:dyDescent="0.3">
      <c r="A86" s="821"/>
      <c r="B86" s="860"/>
      <c r="C86" s="821" t="s">
        <v>1079</v>
      </c>
      <c r="D86" s="860"/>
      <c r="E86" s="860"/>
      <c r="F86" s="860"/>
      <c r="G86" s="872" t="s">
        <v>1976</v>
      </c>
      <c r="H86" s="821" t="s">
        <v>291</v>
      </c>
      <c r="I86" s="869"/>
      <c r="J86" s="792" t="str">
        <f>IF(ISBLANK(HLOOKUP(CaseName,CaseData,MATCH($G86,cases!$G$4:$G$2494,0),FALSE)),"",HLOOKUP(CaseName,CaseData,MATCH($G86,cases!$G$4:$G$2494,0),FALSE))</f>
        <v/>
      </c>
      <c r="K86" s="870">
        <v>0.1</v>
      </c>
      <c r="L86" s="794">
        <f t="shared" si="4"/>
        <v>0.1</v>
      </c>
      <c r="M86" s="821" t="s">
        <v>292</v>
      </c>
      <c r="N86" s="860"/>
    </row>
    <row r="87" spans="1:14" ht="12.75" customHeight="1" x14ac:dyDescent="0.3">
      <c r="A87" s="821"/>
      <c r="B87" s="860"/>
      <c r="C87" s="821" t="s">
        <v>1081</v>
      </c>
      <c r="D87" s="860"/>
      <c r="E87" s="860"/>
      <c r="F87" s="860"/>
      <c r="G87" s="872" t="s">
        <v>1977</v>
      </c>
      <c r="H87" s="821" t="s">
        <v>1083</v>
      </c>
      <c r="I87" s="871"/>
      <c r="J87" s="792" t="str">
        <f>IF(ISBLANK(HLOOKUP(CaseName,CaseData,MATCH($G87,cases!$G$4:$G$2494,0),FALSE)),"",HLOOKUP(CaseName,CaseData,MATCH($G87,cases!$G$4:$G$2494,0),FALSE))</f>
        <v/>
      </c>
      <c r="K87" s="870">
        <f>0.08*D</f>
        <v>220</v>
      </c>
      <c r="L87" s="794">
        <f t="shared" si="4"/>
        <v>220</v>
      </c>
      <c r="M87" s="821" t="s">
        <v>1078</v>
      </c>
      <c r="N87" s="860"/>
    </row>
    <row r="88" spans="1:14" ht="12.75" customHeight="1" x14ac:dyDescent="0.3">
      <c r="A88" s="796"/>
      <c r="B88" s="796" t="s">
        <v>1090</v>
      </c>
      <c r="C88" s="802"/>
      <c r="D88" s="797"/>
      <c r="E88" s="797"/>
      <c r="F88" s="797"/>
      <c r="G88" s="802" t="s">
        <v>1978</v>
      </c>
      <c r="H88" s="796" t="s">
        <v>291</v>
      </c>
      <c r="I88" s="869"/>
      <c r="J88" s="792" t="str">
        <f>IF(ISBLANK(HLOOKUP(CaseName,CaseData,MATCH($G88,cases!$G$4:$G$2494,0),FALSE)),"",HLOOKUP(CaseName,CaseData,MATCH($G88,cases!$G$4:$G$2494,0),FALSE))</f>
        <v/>
      </c>
      <c r="K88" s="870">
        <f>L45+L46*L89*RHOsolid/1000</f>
        <v>20.038448088136601</v>
      </c>
      <c r="L88" s="794">
        <f t="shared" si="4"/>
        <v>20.038448088136601</v>
      </c>
      <c r="M88" s="796" t="s">
        <v>292</v>
      </c>
      <c r="N88" s="797"/>
    </row>
    <row r="89" spans="1:14" ht="12.75" customHeight="1" x14ac:dyDescent="0.3">
      <c r="A89" s="796"/>
      <c r="B89" s="797"/>
      <c r="C89" s="796" t="s">
        <v>1092</v>
      </c>
      <c r="D89" s="797"/>
      <c r="E89" s="797"/>
      <c r="F89" s="797"/>
      <c r="G89" s="802" t="s">
        <v>1979</v>
      </c>
      <c r="H89" s="796" t="s">
        <v>1083</v>
      </c>
      <c r="I89" s="869"/>
      <c r="J89" s="792" t="str">
        <f>IF(ISBLANK(HLOOKUP(CaseName,CaseData,MATCH($G89,cases!$G$4:$G$2494,0),FALSE)),"",HLOOKUP(CaseName,CaseData,MATCH($G89,cases!$G$4:$G$2494,0),FALSE))</f>
        <v/>
      </c>
      <c r="K89" s="870">
        <f>(FRorig.sd1*Ksw+(1-FRorig.sd1)*Ksw.alt)*(1000/RHOsolid/CORG)*L90</f>
        <v>38.476896176273208</v>
      </c>
      <c r="L89" s="794">
        <f t="shared" si="4"/>
        <v>38.476896176273208</v>
      </c>
      <c r="M89" s="796" t="s">
        <v>1078</v>
      </c>
      <c r="N89" s="797"/>
    </row>
    <row r="90" spans="1:14" ht="12.75" customHeight="1" x14ac:dyDescent="0.3">
      <c r="A90" s="796"/>
      <c r="B90" s="797"/>
      <c r="C90" s="796" t="s">
        <v>1094</v>
      </c>
      <c r="D90" s="797"/>
      <c r="E90" s="797"/>
      <c r="F90" s="797"/>
      <c r="G90" s="802" t="s">
        <v>1980</v>
      </c>
      <c r="H90" s="796" t="s">
        <v>291</v>
      </c>
      <c r="I90" s="869"/>
      <c r="J90" s="792" t="str">
        <f>IF(ISBLANK(HLOOKUP(CaseName,CaseData,MATCH($G90,cases!$G$4:$G$2494,0),FALSE)),"",HLOOKUP(CaseName,CaseData,MATCH($G90,cases!$G$4:$G$2494,0),FALSE))</f>
        <v/>
      </c>
      <c r="K90" s="870">
        <v>0.05</v>
      </c>
      <c r="L90" s="794">
        <f t="shared" si="4"/>
        <v>0.05</v>
      </c>
      <c r="M90" s="797" t="s">
        <v>292</v>
      </c>
      <c r="N90" s="797"/>
    </row>
    <row r="91" spans="1:14" ht="12.75" customHeight="1" x14ac:dyDescent="0.3">
      <c r="A91" s="821"/>
      <c r="B91" s="821" t="s">
        <v>1096</v>
      </c>
      <c r="C91" s="872"/>
      <c r="D91" s="860"/>
      <c r="E91" s="860"/>
      <c r="F91" s="860"/>
      <c r="G91" s="872" t="s">
        <v>1981</v>
      </c>
      <c r="H91" s="821" t="s">
        <v>291</v>
      </c>
      <c r="I91" s="869"/>
      <c r="J91" s="792" t="str">
        <f>IF(ISBLANK(HLOOKUP(CaseName,CaseData,MATCH($G91,cases!$G$4:$G$2494,0),FALSE)),"",HLOOKUP(CaseName,CaseData,MATCH($G91,cases!$G$4:$G$2494,0),FALSE))</f>
        <v/>
      </c>
      <c r="K91" s="870">
        <f>L45+L46*L92*RHOsolid/1000</f>
        <v>20.038448088136601</v>
      </c>
      <c r="L91" s="794">
        <f t="shared" si="4"/>
        <v>20.038448088136601</v>
      </c>
      <c r="M91" s="821" t="s">
        <v>292</v>
      </c>
      <c r="N91" s="860"/>
    </row>
    <row r="92" spans="1:14" ht="12.75" customHeight="1" x14ac:dyDescent="0.3">
      <c r="A92" s="821"/>
      <c r="B92" s="860"/>
      <c r="C92" s="821" t="s">
        <v>1098</v>
      </c>
      <c r="D92" s="860"/>
      <c r="E92" s="860"/>
      <c r="F92" s="860"/>
      <c r="G92" s="872" t="s">
        <v>1982</v>
      </c>
      <c r="H92" s="821" t="s">
        <v>1083</v>
      </c>
      <c r="I92" s="869"/>
      <c r="J92" s="792" t="str">
        <f>IF(ISBLANK(HLOOKUP(CaseName,CaseData,MATCH($G92,cases!$G$4:$G$2494,0),FALSE)),"",HLOOKUP(CaseName,CaseData,MATCH($G92,cases!$G$4:$G$2494,0),FALSE))</f>
        <v/>
      </c>
      <c r="K92" s="870">
        <f>(FRorig.sd1*Ksw+(1-FRorig.sd1)*Ksw.alt)*(1000/RHOsolid/CORG)*L93</f>
        <v>38.476896176273208</v>
      </c>
      <c r="L92" s="794">
        <f t="shared" si="4"/>
        <v>38.476896176273208</v>
      </c>
      <c r="M92" s="821" t="s">
        <v>1078</v>
      </c>
      <c r="N92" s="860"/>
    </row>
    <row r="93" spans="1:14" ht="12.75" customHeight="1" x14ac:dyDescent="0.3">
      <c r="A93" s="821"/>
      <c r="B93" s="860"/>
      <c r="C93" s="821" t="s">
        <v>1100</v>
      </c>
      <c r="D93" s="860"/>
      <c r="E93" s="860"/>
      <c r="F93" s="860"/>
      <c r="G93" s="872" t="s">
        <v>1983</v>
      </c>
      <c r="H93" s="821" t="s">
        <v>291</v>
      </c>
      <c r="I93" s="869"/>
      <c r="J93" s="792" t="str">
        <f>IF(ISBLANK(HLOOKUP(CaseName,CaseData,MATCH($G93,cases!$G$4:$G$2494,0),FALSE)),"",HLOOKUP(CaseName,CaseData,MATCH($G93,cases!$G$4:$G$2494,0),FALSE))</f>
        <v/>
      </c>
      <c r="K93" s="870">
        <v>0.05</v>
      </c>
      <c r="L93" s="794">
        <f t="shared" si="4"/>
        <v>0.05</v>
      </c>
      <c r="M93" s="860" t="s">
        <v>292</v>
      </c>
      <c r="N93" s="860"/>
    </row>
    <row r="94" spans="1:14" ht="12.75" customHeight="1" x14ac:dyDescent="0.3">
      <c r="A94" s="821"/>
      <c r="B94" s="821" t="s">
        <v>1102</v>
      </c>
      <c r="C94" s="872"/>
      <c r="D94" s="860"/>
      <c r="E94" s="860"/>
      <c r="F94" s="860"/>
      <c r="G94" s="872" t="s">
        <v>1984</v>
      </c>
      <c r="H94" s="821" t="s">
        <v>291</v>
      </c>
      <c r="I94" s="869"/>
      <c r="J94" s="792" t="str">
        <f>IF(ISBLANK(HLOOKUP(CaseName,CaseData,MATCH($G94,cases!$G$4:$G$2494,0),FALSE)),"",HLOOKUP(CaseName,CaseData,MATCH($G94,cases!$G$4:$G$2494,0),FALSE))</f>
        <v/>
      </c>
      <c r="K94" s="870">
        <f>L45+L46*L95*RHOsolid/1000</f>
        <v>20.038448088136601</v>
      </c>
      <c r="L94" s="794">
        <f t="shared" si="4"/>
        <v>20.038448088136601</v>
      </c>
      <c r="M94" s="860" t="s">
        <v>292</v>
      </c>
      <c r="N94" s="860"/>
    </row>
    <row r="95" spans="1:14" ht="12.75" customHeight="1" x14ac:dyDescent="0.3">
      <c r="A95" s="821"/>
      <c r="B95" s="860"/>
      <c r="C95" s="821" t="s">
        <v>1104</v>
      </c>
      <c r="D95" s="860"/>
      <c r="E95" s="860"/>
      <c r="F95" s="860"/>
      <c r="G95" s="872" t="s">
        <v>1985</v>
      </c>
      <c r="H95" s="821" t="s">
        <v>1083</v>
      </c>
      <c r="I95" s="869"/>
      <c r="J95" s="792" t="str">
        <f>IF(ISBLANK(HLOOKUP(CaseName,CaseData,MATCH($G95,cases!$G$4:$G$2494,0),FALSE)),"",HLOOKUP(CaseName,CaseData,MATCH($G95,cases!$G$4:$G$2494,0),FALSE))</f>
        <v/>
      </c>
      <c r="K95" s="870">
        <f>(FRorig.sd2*Ksw+(1-FRorig.sd2)*Ksw.alt)*(1000/RHOsolid/CORG)*L96</f>
        <v>38.476896176273208</v>
      </c>
      <c r="L95" s="794">
        <f t="shared" si="4"/>
        <v>38.476896176273208</v>
      </c>
      <c r="M95" s="821" t="s">
        <v>1078</v>
      </c>
      <c r="N95" s="860"/>
    </row>
    <row r="96" spans="1:14" ht="12.75" customHeight="1" x14ac:dyDescent="0.3">
      <c r="A96" s="821"/>
      <c r="B96" s="860"/>
      <c r="C96" s="821" t="s">
        <v>1106</v>
      </c>
      <c r="D96" s="860"/>
      <c r="E96" s="860"/>
      <c r="F96" s="860"/>
      <c r="G96" s="872" t="s">
        <v>1986</v>
      </c>
      <c r="H96" s="821" t="s">
        <v>291</v>
      </c>
      <c r="I96" s="869"/>
      <c r="J96" s="792" t="str">
        <f>IF(ISBLANK(HLOOKUP(CaseName,CaseData,MATCH($G96,cases!$G$4:$G$2494,0),FALSE)),"",HLOOKUP(CaseName,CaseData,MATCH($G96,cases!$G$4:$G$2494,0),FALSE))</f>
        <v/>
      </c>
      <c r="K96" s="870">
        <v>0.05</v>
      </c>
      <c r="L96" s="794">
        <f t="shared" si="4"/>
        <v>0.05</v>
      </c>
      <c r="M96" s="860" t="s">
        <v>292</v>
      </c>
      <c r="N96" s="860"/>
    </row>
    <row r="97" spans="1:14" ht="12.75" customHeight="1" x14ac:dyDescent="0.3">
      <c r="A97" s="821"/>
      <c r="B97" s="821" t="s">
        <v>1108</v>
      </c>
      <c r="C97" s="872"/>
      <c r="D97" s="860"/>
      <c r="E97" s="860"/>
      <c r="F97" s="860"/>
      <c r="G97" s="872" t="s">
        <v>1987</v>
      </c>
      <c r="H97" s="821" t="s">
        <v>291</v>
      </c>
      <c r="I97" s="869"/>
      <c r="J97" s="792" t="str">
        <f>IF(ISBLANK(HLOOKUP(CaseName,CaseData,MATCH($G97,cases!$G$4:$G$2494,0),FALSE)),"",HLOOKUP(CaseName,CaseData,MATCH($G97,cases!$G$4:$G$2494,0),FALSE))</f>
        <v/>
      </c>
      <c r="K97" s="870">
        <f>L36*(L73*FRorig.s1w)+L37+L38*L100*RHOsolid/1000</f>
        <v>23.304108643447179</v>
      </c>
      <c r="L97" s="794">
        <f t="shared" si="4"/>
        <v>23.304108643447179</v>
      </c>
      <c r="M97" s="860" t="s">
        <v>292</v>
      </c>
      <c r="N97" s="860"/>
    </row>
    <row r="98" spans="1:14" ht="12.75" customHeight="1" x14ac:dyDescent="0.3">
      <c r="A98" s="821"/>
      <c r="B98" s="821" t="s">
        <v>1988</v>
      </c>
      <c r="C98" s="872"/>
      <c r="D98" s="860"/>
      <c r="E98" s="860"/>
      <c r="F98" s="860"/>
      <c r="G98" s="872" t="s">
        <v>1989</v>
      </c>
      <c r="H98" s="821" t="s">
        <v>291</v>
      </c>
      <c r="I98" s="869"/>
      <c r="J98" s="792" t="str">
        <f>IF(ISBLANK(HLOOKUP(CaseName,CaseData,MATCH($G98,cases!$G$4:$G$2494,0),FALSE)),"",HLOOKUP(CaseName,CaseData,MATCH($G98,cases!$G$4:$G$2494,0),FALSE))</f>
        <v/>
      </c>
      <c r="K98" s="870">
        <f>L37/(L36*(L73*FRorig.s1w)+L37+L38*L100*RHOsolid/1000)</f>
        <v>8.5821776348539939E-3</v>
      </c>
      <c r="L98" s="794">
        <f t="shared" si="4"/>
        <v>8.5821776348539939E-3</v>
      </c>
      <c r="M98" s="860" t="s">
        <v>292</v>
      </c>
      <c r="N98" s="860"/>
    </row>
    <row r="99" spans="1:14" ht="12.75" customHeight="1" x14ac:dyDescent="0.3">
      <c r="A99" s="821"/>
      <c r="B99" s="821" t="s">
        <v>1990</v>
      </c>
      <c r="C99" s="872"/>
      <c r="D99" s="860"/>
      <c r="E99" s="860"/>
      <c r="F99" s="860"/>
      <c r="G99" s="872" t="s">
        <v>1991</v>
      </c>
      <c r="H99" s="821" t="s">
        <v>291</v>
      </c>
      <c r="I99" s="869"/>
      <c r="J99" s="792" t="str">
        <f>IF(ISBLANK(HLOOKUP(CaseName,CaseData,MATCH($G99,cases!$G$4:$G$2494,0),FALSE)),"",HLOOKUP(CaseName,CaseData,MATCH($G99,cases!$G$4:$G$2494,0),FALSE))</f>
        <v/>
      </c>
      <c r="K99" s="870">
        <f>L38 / (L36*L73*FRorig.s1w/(L100*RHOsolid/1000)+L37 /(L100*RHOsolid/1000)+L38 )</f>
        <v>0.99064667346783319</v>
      </c>
      <c r="L99" s="794">
        <f t="shared" si="4"/>
        <v>0.99064667346783319</v>
      </c>
      <c r="M99" s="5" t="s">
        <v>292</v>
      </c>
      <c r="N99" s="860"/>
    </row>
    <row r="100" spans="1:14" ht="12.75" customHeight="1" x14ac:dyDescent="0.3">
      <c r="A100" s="821"/>
      <c r="B100" s="860"/>
      <c r="C100" s="821" t="s">
        <v>1111</v>
      </c>
      <c r="D100" s="860"/>
      <c r="E100" s="860"/>
      <c r="F100" s="860"/>
      <c r="G100" s="872" t="s">
        <v>1992</v>
      </c>
      <c r="H100" s="821" t="s">
        <v>1083</v>
      </c>
      <c r="I100" s="869"/>
      <c r="J100" s="792" t="str">
        <f>IF(ISBLANK(HLOOKUP(CaseName,CaseData,MATCH($G100,cases!$G$4:$G$2494,0),FALSE)),"",HLOOKUP(CaseName,CaseData,MATCH($G100,cases!$G$4:$G$2494,0),FALSE))</f>
        <v/>
      </c>
      <c r="K100" s="870">
        <f>(FRorig.s1*Ksw+(1-FRorig.s1)*Ksw.alt)*(1000/RHOsolid/CORG)*L101</f>
        <v>15.390758470509281</v>
      </c>
      <c r="L100" s="794">
        <f t="shared" si="4"/>
        <v>15.390758470509281</v>
      </c>
      <c r="M100" s="821" t="s">
        <v>1078</v>
      </c>
      <c r="N100" s="860"/>
    </row>
    <row r="101" spans="1:14" ht="12.75" customHeight="1" x14ac:dyDescent="0.3">
      <c r="A101" s="821"/>
      <c r="B101" s="860"/>
      <c r="C101" s="821" t="s">
        <v>1113</v>
      </c>
      <c r="D101" s="860"/>
      <c r="E101" s="860"/>
      <c r="F101" s="860"/>
      <c r="G101" s="872" t="s">
        <v>1993</v>
      </c>
      <c r="H101" s="821" t="s">
        <v>291</v>
      </c>
      <c r="I101" s="869"/>
      <c r="J101" s="792" t="str">
        <f>IF(ISBLANK(HLOOKUP(CaseName,CaseData,MATCH($G101,cases!$G$4:$G$2494,0),FALSE)),"",HLOOKUP(CaseName,CaseData,MATCH($G101,cases!$G$4:$G$2494,0),FALSE))</f>
        <v/>
      </c>
      <c r="K101" s="870">
        <v>0.02</v>
      </c>
      <c r="L101" s="794">
        <f t="shared" si="4"/>
        <v>0.02</v>
      </c>
      <c r="M101" s="860" t="s">
        <v>292</v>
      </c>
      <c r="N101" s="860"/>
    </row>
    <row r="102" spans="1:14" ht="12.75" customHeight="1" x14ac:dyDescent="0.3">
      <c r="A102" s="821"/>
      <c r="B102" s="821" t="s">
        <v>1115</v>
      </c>
      <c r="C102" s="872"/>
      <c r="D102" s="860"/>
      <c r="E102" s="860"/>
      <c r="F102" s="860"/>
      <c r="G102" s="872" t="s">
        <v>1994</v>
      </c>
      <c r="H102" s="821" t="s">
        <v>291</v>
      </c>
      <c r="I102" s="869"/>
      <c r="J102" s="792" t="str">
        <f>IF(ISBLANK(HLOOKUP(CaseName,CaseData,MATCH($G102,cases!$G$4:$G$2494,0),FALSE)),"",HLOOKUP(CaseName,CaseData,MATCH($G102,cases!$G$4:$G$2494,0),FALSE))</f>
        <v/>
      </c>
      <c r="K102" s="870">
        <f>L39*(L73*FRorig.s2w)+L40+L41*L105*RHOsolid/1000</f>
        <v>23.304108643447179</v>
      </c>
      <c r="L102" s="794">
        <f t="shared" si="4"/>
        <v>23.304108643447179</v>
      </c>
      <c r="M102" s="860" t="s">
        <v>292</v>
      </c>
      <c r="N102" s="860"/>
    </row>
    <row r="103" spans="1:14" ht="12.75" customHeight="1" x14ac:dyDescent="0.3">
      <c r="A103" s="821"/>
      <c r="B103" s="821" t="s">
        <v>1995</v>
      </c>
      <c r="C103" s="872"/>
      <c r="D103" s="860"/>
      <c r="E103" s="860"/>
      <c r="F103" s="860"/>
      <c r="G103" s="872" t="s">
        <v>1996</v>
      </c>
      <c r="H103" s="821" t="s">
        <v>291</v>
      </c>
      <c r="I103" s="869"/>
      <c r="J103" s="792" t="str">
        <f>IF(ISBLANK(HLOOKUP(CaseName,CaseData,MATCH($G103,cases!$G$4:$G$2494,0),FALSE)),"",HLOOKUP(CaseName,CaseData,MATCH($G103,cases!$G$4:$G$2494,0),FALSE))</f>
        <v/>
      </c>
      <c r="K103" s="870">
        <f>L40/(L39*(L73*FRorig.s2w)+L40+L41*L105*RHOsolid/1000)</f>
        <v>8.5821776348539939E-3</v>
      </c>
      <c r="L103" s="794">
        <f t="shared" si="4"/>
        <v>8.5821776348539939E-3</v>
      </c>
      <c r="M103" s="860" t="s">
        <v>292</v>
      </c>
      <c r="N103" s="860"/>
    </row>
    <row r="104" spans="1:14" ht="12.75" customHeight="1" x14ac:dyDescent="0.3">
      <c r="A104" s="821"/>
      <c r="B104" s="821" t="s">
        <v>1997</v>
      </c>
      <c r="C104" s="872"/>
      <c r="D104" s="860"/>
      <c r="E104" s="860"/>
      <c r="F104" s="860"/>
      <c r="G104" s="872" t="s">
        <v>1998</v>
      </c>
      <c r="H104" s="821" t="s">
        <v>291</v>
      </c>
      <c r="I104" s="869"/>
      <c r="J104" s="792" t="str">
        <f>IF(ISBLANK(HLOOKUP(CaseName,CaseData,MATCH($G104,cases!$G$4:$G$2494,0),FALSE)),"",HLOOKUP(CaseName,CaseData,MATCH($G104,cases!$G$4:$G$2494,0),FALSE))</f>
        <v/>
      </c>
      <c r="K104" s="870">
        <f>L41 / (L39*L73*FRorig.s2w/(L105*RHOsolid/1000)+L40 /(L105*RHOsolid/1000)+L41 )</f>
        <v>0.99064667346783319</v>
      </c>
      <c r="L104" s="794">
        <f t="shared" si="4"/>
        <v>0.99064667346783319</v>
      </c>
      <c r="M104" s="5" t="s">
        <v>292</v>
      </c>
      <c r="N104" s="860"/>
    </row>
    <row r="105" spans="1:14" ht="12.75" customHeight="1" x14ac:dyDescent="0.3">
      <c r="A105" s="821"/>
      <c r="B105" s="860"/>
      <c r="C105" s="821" t="s">
        <v>1118</v>
      </c>
      <c r="D105" s="860"/>
      <c r="E105" s="860"/>
      <c r="F105" s="860"/>
      <c r="G105" s="872" t="s">
        <v>1999</v>
      </c>
      <c r="H105" s="821" t="s">
        <v>1083</v>
      </c>
      <c r="I105" s="869"/>
      <c r="J105" s="792" t="str">
        <f>IF(ISBLANK(HLOOKUP(CaseName,CaseData,MATCH($G105,cases!$G$4:$G$2494,0),FALSE)),"",HLOOKUP(CaseName,CaseData,MATCH($G105,cases!$G$4:$G$2494,0),FALSE))</f>
        <v/>
      </c>
      <c r="K105" s="870">
        <f>(FRorig.s2*Ksw+(1-FRorig.s2)*Ksw.alt)*(1000/RHOsolid/CORG)*L106</f>
        <v>15.390758470509281</v>
      </c>
      <c r="L105" s="794">
        <f t="shared" si="4"/>
        <v>15.390758470509281</v>
      </c>
      <c r="M105" s="821" t="s">
        <v>1078</v>
      </c>
      <c r="N105" s="860"/>
    </row>
    <row r="106" spans="1:14" ht="12.75" customHeight="1" x14ac:dyDescent="0.3">
      <c r="A106" s="821"/>
      <c r="B106" s="860"/>
      <c r="C106" s="821" t="s">
        <v>1120</v>
      </c>
      <c r="D106" s="860"/>
      <c r="E106" s="860"/>
      <c r="F106" s="860"/>
      <c r="G106" s="872" t="s">
        <v>2000</v>
      </c>
      <c r="H106" s="821" t="s">
        <v>291</v>
      </c>
      <c r="I106" s="869"/>
      <c r="J106" s="792" t="str">
        <f>IF(ISBLANK(HLOOKUP(CaseName,CaseData,MATCH($G106,cases!$G$4:$G$2494,0),FALSE)),"",HLOOKUP(CaseName,CaseData,MATCH($G106,cases!$G$4:$G$2494,0),FALSE))</f>
        <v/>
      </c>
      <c r="K106" s="870">
        <v>0.02</v>
      </c>
      <c r="L106" s="794">
        <f t="shared" si="4"/>
        <v>0.02</v>
      </c>
      <c r="M106" s="860" t="s">
        <v>292</v>
      </c>
      <c r="N106" s="860"/>
    </row>
    <row r="107" spans="1:14" ht="12.75" customHeight="1" x14ac:dyDescent="0.3">
      <c r="A107" s="821"/>
      <c r="B107" s="821" t="s">
        <v>1122</v>
      </c>
      <c r="C107" s="872"/>
      <c r="D107" s="860"/>
      <c r="E107" s="860"/>
      <c r="F107" s="860"/>
      <c r="G107" s="872" t="s">
        <v>2001</v>
      </c>
      <c r="H107" s="821" t="s">
        <v>291</v>
      </c>
      <c r="I107" s="869"/>
      <c r="J107" s="792" t="str">
        <f>IF(ISBLANK(HLOOKUP(CaseName,CaseData,MATCH($G107,cases!$G$4:$G$2494,0),FALSE)),"",HLOOKUP(CaseName,CaseData,MATCH($G107,cases!$G$4:$G$2494,0),FALSE))</f>
        <v/>
      </c>
      <c r="K107" s="870">
        <f>L42*(L73*FRorig.s3w)+L43+L44*L110*RHOsolid/1000</f>
        <v>23.304108643447179</v>
      </c>
      <c r="L107" s="794">
        <f t="shared" si="4"/>
        <v>23.304108643447179</v>
      </c>
      <c r="M107" s="860" t="s">
        <v>292</v>
      </c>
      <c r="N107" s="860"/>
    </row>
    <row r="108" spans="1:14" ht="12.75" customHeight="1" x14ac:dyDescent="0.3">
      <c r="A108" s="821"/>
      <c r="B108" s="821" t="s">
        <v>2002</v>
      </c>
      <c r="C108" s="872"/>
      <c r="D108" s="860"/>
      <c r="E108" s="860"/>
      <c r="F108" s="860"/>
      <c r="G108" s="872" t="s">
        <v>2003</v>
      </c>
      <c r="H108" s="821" t="s">
        <v>291</v>
      </c>
      <c r="I108" s="869"/>
      <c r="J108" s="792" t="str">
        <f>IF(ISBLANK(HLOOKUP(CaseName,CaseData,MATCH($G108,cases!$G$4:$G$2494,0),FALSE)),"",HLOOKUP(CaseName,CaseData,MATCH($G108,cases!$G$4:$G$2494,0),FALSE))</f>
        <v/>
      </c>
      <c r="K108" s="870">
        <f>L43/(L42*(L73*FRorig.s3w)+L43+L44*L110*RHOsolid/1000)</f>
        <v>8.5821776348539939E-3</v>
      </c>
      <c r="L108" s="794">
        <f t="shared" si="4"/>
        <v>8.5821776348539939E-3</v>
      </c>
      <c r="M108" s="860" t="s">
        <v>292</v>
      </c>
      <c r="N108" s="860"/>
    </row>
    <row r="109" spans="1:14" ht="12.75" customHeight="1" x14ac:dyDescent="0.3">
      <c r="A109" s="821"/>
      <c r="B109" s="821" t="s">
        <v>2004</v>
      </c>
      <c r="C109" s="872"/>
      <c r="D109" s="860"/>
      <c r="E109" s="860"/>
      <c r="F109" s="860"/>
      <c r="G109" s="872" t="s">
        <v>2005</v>
      </c>
      <c r="H109" s="821" t="s">
        <v>291</v>
      </c>
      <c r="I109" s="869"/>
      <c r="J109" s="792" t="str">
        <f>IF(ISBLANK(HLOOKUP(CaseName,CaseData,MATCH($G109,cases!$G$4:$G$2494,0),FALSE)),"",HLOOKUP(CaseName,CaseData,MATCH($G109,cases!$G$4:$G$2494,0),FALSE))</f>
        <v/>
      </c>
      <c r="K109" s="870">
        <f>L44 / (L42*L73*FRorig.s2w/(L110*RHOsolid/1000)+L43 /(L110*RHOsolid/1000)+L44 )</f>
        <v>0.99064667346783319</v>
      </c>
      <c r="L109" s="794">
        <f t="shared" si="4"/>
        <v>0.99064667346783319</v>
      </c>
      <c r="M109" s="5" t="s">
        <v>292</v>
      </c>
      <c r="N109" s="860"/>
    </row>
    <row r="110" spans="1:14" ht="12.75" customHeight="1" x14ac:dyDescent="0.3">
      <c r="A110" s="821"/>
      <c r="B110" s="860"/>
      <c r="C110" s="821" t="s">
        <v>1125</v>
      </c>
      <c r="D110" s="860"/>
      <c r="E110" s="860"/>
      <c r="F110" s="860"/>
      <c r="G110" s="872" t="s">
        <v>2006</v>
      </c>
      <c r="H110" s="821" t="s">
        <v>1083</v>
      </c>
      <c r="I110" s="869"/>
      <c r="J110" s="792" t="str">
        <f>IF(ISBLANK(HLOOKUP(CaseName,CaseData,MATCH($G110,cases!$G$4:$G$2494,0),FALSE)),"",HLOOKUP(CaseName,CaseData,MATCH($G110,cases!$G$4:$G$2494,0),FALSE))</f>
        <v/>
      </c>
      <c r="K110" s="870">
        <f>(FRorig.s3*Ksw+(1-FRorig.s3)*Ksw.alt)*(1000/RHOsolid/CORG)*L111</f>
        <v>15.390758470509281</v>
      </c>
      <c r="L110" s="794">
        <f t="shared" si="4"/>
        <v>15.390758470509281</v>
      </c>
      <c r="M110" s="821" t="s">
        <v>1078</v>
      </c>
      <c r="N110" s="860"/>
    </row>
    <row r="111" spans="1:14" ht="12.75" customHeight="1" x14ac:dyDescent="0.3">
      <c r="A111" s="821"/>
      <c r="B111" s="860"/>
      <c r="C111" s="821" t="s">
        <v>1127</v>
      </c>
      <c r="D111" s="860"/>
      <c r="E111" s="860"/>
      <c r="F111" s="860"/>
      <c r="G111" s="872" t="s">
        <v>2007</v>
      </c>
      <c r="H111" s="821" t="s">
        <v>291</v>
      </c>
      <c r="I111" s="869"/>
      <c r="J111" s="792" t="str">
        <f>IF(ISBLANK(HLOOKUP(CaseName,CaseData,MATCH($G111,cases!$G$4:$G$2494,0),FALSE)),"",HLOOKUP(CaseName,CaseData,MATCH($G111,cases!$G$4:$G$2494,0),FALSE))</f>
        <v/>
      </c>
      <c r="K111" s="870">
        <v>0.02</v>
      </c>
      <c r="L111" s="794">
        <f t="shared" si="4"/>
        <v>0.02</v>
      </c>
      <c r="M111" s="860" t="s">
        <v>292</v>
      </c>
      <c r="N111" s="860"/>
    </row>
    <row r="112" spans="1:14" ht="12.75" customHeight="1" x14ac:dyDescent="0.3">
      <c r="A112" s="860"/>
      <c r="B112" s="860"/>
      <c r="C112" s="860"/>
      <c r="D112" s="860"/>
      <c r="E112" s="860"/>
      <c r="F112" s="860"/>
      <c r="G112" s="860"/>
      <c r="H112" s="860"/>
      <c r="I112" s="860"/>
      <c r="J112" s="792"/>
      <c r="K112" s="863"/>
      <c r="L112" s="863"/>
      <c r="M112" s="860"/>
      <c r="N112" s="860"/>
    </row>
    <row r="113" spans="1:14" ht="12.75" customHeight="1" x14ac:dyDescent="0.3">
      <c r="A113" s="865" t="s">
        <v>1129</v>
      </c>
      <c r="B113" s="864"/>
      <c r="C113" s="864"/>
      <c r="D113" s="864"/>
      <c r="E113" s="864"/>
      <c r="F113" s="864"/>
      <c r="G113" s="865" t="s">
        <v>258</v>
      </c>
      <c r="H113" s="865" t="s">
        <v>274</v>
      </c>
      <c r="I113" s="864" t="s">
        <v>259</v>
      </c>
      <c r="J113" s="866" t="s">
        <v>275</v>
      </c>
      <c r="K113" s="867" t="s">
        <v>260</v>
      </c>
      <c r="L113" s="867" t="s">
        <v>261</v>
      </c>
      <c r="M113" s="864"/>
      <c r="N113" s="865" t="s">
        <v>262</v>
      </c>
    </row>
    <row r="114" spans="1:14" ht="12.75" customHeight="1" x14ac:dyDescent="0.3">
      <c r="A114" s="860"/>
      <c r="B114" s="860"/>
      <c r="C114" s="860"/>
      <c r="D114" s="860"/>
      <c r="E114" s="860"/>
      <c r="F114" s="860"/>
      <c r="G114" s="860"/>
      <c r="H114" s="860"/>
      <c r="I114" s="860"/>
      <c r="J114" s="792"/>
      <c r="K114" s="863"/>
      <c r="L114" s="863"/>
      <c r="M114" s="860"/>
      <c r="N114" s="860"/>
    </row>
    <row r="115" spans="1:14" ht="12.75" customHeight="1" x14ac:dyDescent="0.3">
      <c r="A115" s="821" t="s">
        <v>2008</v>
      </c>
      <c r="B115" s="860"/>
      <c r="C115" s="860"/>
      <c r="D115" s="860"/>
      <c r="E115" s="860"/>
      <c r="F115" s="860"/>
      <c r="G115" s="821" t="s">
        <v>2009</v>
      </c>
      <c r="H115" s="821" t="s">
        <v>4690</v>
      </c>
      <c r="I115" s="875"/>
      <c r="J115" s="792" t="str">
        <f>IF(ISBLANK(HLOOKUP(CaseName,CaseData,MATCH($G115,cases!$G$4:$G$2494,0),FALSE)),"",HLOOKUP(CaseName,CaseData,MATCH($G115,cases!$G$4:$G$2494,0),FALSE))</f>
        <v/>
      </c>
      <c r="K115" s="874">
        <f>(L127+L138/L23)*L17</f>
        <v>6.9338104448822831E-11</v>
      </c>
      <c r="L115" s="794">
        <f t="shared" ref="L115:L130" si="5">IF(ISBLANK(I115),IF(ISNUMBER(J115)=FALSE,K115,J115),I115)</f>
        <v>6.9338104448822831E-11</v>
      </c>
      <c r="M115" s="860" t="s">
        <v>1038</v>
      </c>
      <c r="N115" s="860"/>
    </row>
    <row r="116" spans="1:14" ht="12.75" customHeight="1" x14ac:dyDescent="0.3">
      <c r="A116" s="821" t="s">
        <v>2010</v>
      </c>
      <c r="B116" s="860"/>
      <c r="C116" s="860"/>
      <c r="D116" s="860"/>
      <c r="E116" s="860"/>
      <c r="F116" s="860"/>
      <c r="G116" s="821" t="s">
        <v>2011</v>
      </c>
      <c r="H116" s="821" t="s">
        <v>4690</v>
      </c>
      <c r="I116" s="875"/>
      <c r="J116" s="792" t="str">
        <f>IF(ISBLANK(HLOOKUP(CaseName,CaseData,MATCH($G116,cases!$G$4:$G$2494,0),FALSE)),"",HLOOKUP(CaseName,CaseData,MATCH($G116,cases!$G$4:$G$2494,0),FALSE))</f>
        <v/>
      </c>
      <c r="K116" s="874">
        <f>(L127+L138/L23)*L18</f>
        <v>7.6271914893705106E-10</v>
      </c>
      <c r="L116" s="794">
        <f t="shared" si="5"/>
        <v>7.6271914893705106E-10</v>
      </c>
      <c r="M116" s="860" t="s">
        <v>1038</v>
      </c>
      <c r="N116" s="860"/>
    </row>
    <row r="117" spans="1:14" ht="12.75" customHeight="1" x14ac:dyDescent="0.3">
      <c r="A117" s="821" t="s">
        <v>2012</v>
      </c>
      <c r="B117" s="860"/>
      <c r="C117" s="860"/>
      <c r="D117" s="860"/>
      <c r="E117" s="860"/>
      <c r="F117" s="860"/>
      <c r="G117" s="821" t="s">
        <v>2013</v>
      </c>
      <c r="H117" s="821" t="s">
        <v>4690</v>
      </c>
      <c r="I117" s="875"/>
      <c r="J117" s="792" t="str">
        <f>IF(ISBLANK(HLOOKUP(CaseName,CaseData,MATCH($G117,cases!$G$4:$G$2494,0),FALSE)),"",HLOOKUP(CaseName,CaseData,MATCH($G117,cases!$G$4:$G$2494,0),FALSE))</f>
        <v/>
      </c>
      <c r="K117" s="874">
        <f>(L127+L138/L23)*L22</f>
        <v>2.9545912657070109E-8</v>
      </c>
      <c r="L117" s="794">
        <f t="shared" si="5"/>
        <v>2.9545912657070109E-8</v>
      </c>
      <c r="M117" s="860" t="s">
        <v>1038</v>
      </c>
      <c r="N117" s="860"/>
    </row>
    <row r="118" spans="1:14" ht="12.75" customHeight="1" x14ac:dyDescent="0.3">
      <c r="A118" s="821" t="s">
        <v>2014</v>
      </c>
      <c r="B118" s="860"/>
      <c r="C118" s="860"/>
      <c r="D118" s="860"/>
      <c r="E118" s="860"/>
      <c r="F118" s="860"/>
      <c r="G118" s="821" t="s">
        <v>2015</v>
      </c>
      <c r="H118" s="821" t="s">
        <v>4690</v>
      </c>
      <c r="I118" s="875"/>
      <c r="J118" s="792" t="str">
        <f>IF(ISBLANK(HLOOKUP(CaseName,CaseData,MATCH($G118,cases!$G$4:$G$2494,0),FALSE)),"",HLOOKUP(CaseName,CaseData,MATCH($G118,cases!$G$4:$G$2494,0),FALSE))</f>
        <v/>
      </c>
      <c r="K118" s="874">
        <f>(L127+L139/L23)*L19</f>
        <v>1.7950116690339043E-10</v>
      </c>
      <c r="L118" s="794">
        <f t="shared" si="5"/>
        <v>1.7950116690339043E-10</v>
      </c>
      <c r="M118" s="860" t="s">
        <v>1038</v>
      </c>
      <c r="N118" s="860"/>
    </row>
    <row r="119" spans="1:14" ht="12.75" customHeight="1" x14ac:dyDescent="0.3">
      <c r="A119" s="821" t="s">
        <v>2016</v>
      </c>
      <c r="B119" s="860"/>
      <c r="C119" s="860"/>
      <c r="D119" s="860"/>
      <c r="E119" s="860"/>
      <c r="F119" s="860"/>
      <c r="G119" s="821" t="s">
        <v>2017</v>
      </c>
      <c r="H119" s="821" t="s">
        <v>4690</v>
      </c>
      <c r="I119" s="875"/>
      <c r="J119" s="792" t="str">
        <f>IF(ISBLANK(HLOOKUP(CaseName,CaseData,MATCH($G119,cases!$G$4:$G$2494,0),FALSE)),"",HLOOKUP(CaseName,CaseData,MATCH($G119,cases!$G$4:$G$2494,0),FALSE))</f>
        <v/>
      </c>
      <c r="K119" s="874">
        <f>(L127+L139/L23)*L20</f>
        <v>3.9889148200753424E-10</v>
      </c>
      <c r="L119" s="794">
        <f t="shared" si="5"/>
        <v>3.9889148200753424E-10</v>
      </c>
      <c r="M119" s="860" t="s">
        <v>1038</v>
      </c>
      <c r="N119" s="860"/>
    </row>
    <row r="120" spans="1:14" ht="12.75" customHeight="1" x14ac:dyDescent="0.3">
      <c r="A120" s="821" t="s">
        <v>2018</v>
      </c>
      <c r="B120" s="860"/>
      <c r="C120" s="860"/>
      <c r="D120" s="860"/>
      <c r="E120" s="860"/>
      <c r="F120" s="860"/>
      <c r="G120" s="821" t="s">
        <v>2019</v>
      </c>
      <c r="H120" s="821" t="s">
        <v>4690</v>
      </c>
      <c r="I120" s="875"/>
      <c r="J120" s="792" t="str">
        <f>IF(ISBLANK(HLOOKUP(CaseName,CaseData,MATCH($G120,cases!$G$4:$G$2494,0),FALSE)),"",HLOOKUP(CaseName,CaseData,MATCH($G120,cases!$G$4:$G$2494,0),FALSE))</f>
        <v/>
      </c>
      <c r="K120" s="874">
        <f>(L127+L139/L23)*L21</f>
        <v>6.6481913667922365E-11</v>
      </c>
      <c r="L120" s="794">
        <f t="shared" si="5"/>
        <v>6.6481913667922365E-11</v>
      </c>
      <c r="M120" s="860" t="s">
        <v>1038</v>
      </c>
      <c r="N120" s="860"/>
    </row>
    <row r="121" spans="1:14" ht="12.75" customHeight="1" x14ac:dyDescent="0.3">
      <c r="A121" s="821" t="s">
        <v>2020</v>
      </c>
      <c r="B121" s="860"/>
      <c r="C121" s="860"/>
      <c r="D121" s="860"/>
      <c r="E121" s="860"/>
      <c r="F121" s="860"/>
      <c r="G121" s="821" t="s">
        <v>2021</v>
      </c>
      <c r="H121" s="821" t="s">
        <v>4690</v>
      </c>
      <c r="I121" s="875"/>
      <c r="J121" s="792" t="str">
        <f>IF(ISBLANK(HLOOKUP(CaseName,CaseData,MATCH($G121,cases!$G$4:$G$2494,0),FALSE)),"",HLOOKUP(CaseName,CaseData,MATCH($G121,cases!$G$4:$G$2494,0),FALSE))</f>
        <v/>
      </c>
      <c r="K121" s="874">
        <f>L140/L24</f>
        <v>5.123442414531955E-8</v>
      </c>
      <c r="L121" s="794">
        <f t="shared" si="5"/>
        <v>5.123442414531955E-8</v>
      </c>
      <c r="M121" s="860" t="s">
        <v>1038</v>
      </c>
      <c r="N121" s="860"/>
    </row>
    <row r="122" spans="1:14" ht="12.75" customHeight="1" x14ac:dyDescent="0.3">
      <c r="A122" s="821" t="s">
        <v>2020</v>
      </c>
      <c r="B122" s="860"/>
      <c r="C122" s="860"/>
      <c r="D122" s="860"/>
      <c r="E122" s="860"/>
      <c r="F122" s="860"/>
      <c r="G122" s="821" t="s">
        <v>2022</v>
      </c>
      <c r="H122" s="821" t="s">
        <v>4690</v>
      </c>
      <c r="I122" s="875"/>
      <c r="J122" s="792" t="str">
        <f>IF(ISBLANK(HLOOKUP(CaseName,CaseData,MATCH($G122,cases!$G$4:$G$2494,0),FALSE)),"",HLOOKUP(CaseName,CaseData,MATCH($G122,cases!$G$4:$G$2494,0),FALSE))</f>
        <v/>
      </c>
      <c r="K122" s="874">
        <f>L141/L25</f>
        <v>1.7059111232725971E-6</v>
      </c>
      <c r="L122" s="794">
        <f t="shared" si="5"/>
        <v>1.7059111232725971E-6</v>
      </c>
      <c r="M122" s="860" t="s">
        <v>1038</v>
      </c>
      <c r="N122" s="860"/>
    </row>
    <row r="123" spans="1:14" ht="12.75" customHeight="1" x14ac:dyDescent="0.3">
      <c r="A123" s="821" t="s">
        <v>2023</v>
      </c>
      <c r="B123" s="860"/>
      <c r="C123" s="860"/>
      <c r="D123" s="860"/>
      <c r="E123" s="860"/>
      <c r="F123" s="860"/>
      <c r="G123" s="821" t="s">
        <v>2024</v>
      </c>
      <c r="H123" s="821" t="s">
        <v>4690</v>
      </c>
      <c r="I123" s="875"/>
      <c r="J123" s="792" t="str">
        <f>IF(ISBLANK(HLOOKUP(CaseName,CaseData,MATCH($G123,cases!$G$4:$G$2494,0),FALSE)),"",HLOOKUP(CaseName,CaseData,MATCH($G123,cases!$G$4:$G$2494,0),FALSE))</f>
        <v/>
      </c>
      <c r="K123" s="874">
        <f>L142/L26</f>
        <v>2.5608346397061995E-8</v>
      </c>
      <c r="L123" s="794">
        <f t="shared" si="5"/>
        <v>2.5608346397061995E-8</v>
      </c>
      <c r="M123" s="860" t="s">
        <v>1038</v>
      </c>
      <c r="N123" s="860"/>
    </row>
    <row r="124" spans="1:14" ht="12.75" customHeight="1" x14ac:dyDescent="0.3">
      <c r="A124" s="821" t="s">
        <v>2025</v>
      </c>
      <c r="B124" s="860"/>
      <c r="C124" s="860"/>
      <c r="D124" s="860"/>
      <c r="E124" s="860"/>
      <c r="F124" s="860"/>
      <c r="G124" s="821" t="s">
        <v>2026</v>
      </c>
      <c r="H124" s="821" t="s">
        <v>4690</v>
      </c>
      <c r="I124" s="875"/>
      <c r="J124" s="792" t="str">
        <f>IF(ISBLANK(HLOOKUP(CaseName,CaseData,MATCH($G124,cases!$G$4:$G$2494,0),FALSE)),"",HLOOKUP(CaseName,CaseData,MATCH($G124,cases!$G$4:$G$2494,0),FALSE))</f>
        <v/>
      </c>
      <c r="K124" s="874">
        <f>L145/L30</f>
        <v>1.103232338463208E-7</v>
      </c>
      <c r="L124" s="794">
        <f t="shared" si="5"/>
        <v>1.103232338463208E-7</v>
      </c>
      <c r="M124" s="860" t="s">
        <v>1038</v>
      </c>
      <c r="N124" s="860"/>
    </row>
    <row r="125" spans="1:14" ht="12.75" customHeight="1" x14ac:dyDescent="0.3">
      <c r="A125" s="821" t="s">
        <v>2027</v>
      </c>
      <c r="B125" s="860"/>
      <c r="C125" s="860"/>
      <c r="D125" s="860"/>
      <c r="E125" s="860"/>
      <c r="F125" s="860"/>
      <c r="G125" s="821" t="s">
        <v>2028</v>
      </c>
      <c r="H125" s="821" t="s">
        <v>4690</v>
      </c>
      <c r="I125" s="875"/>
      <c r="J125" s="792" t="str">
        <f>IF(ISBLANK(HLOOKUP(CaseName,CaseData,MATCH($G125,cases!$G$4:$G$2494,0),FALSE)),"",HLOOKUP(CaseName,CaseData,MATCH($G125,cases!$G$4:$G$2494,0),FALSE))</f>
        <v/>
      </c>
      <c r="K125" s="874">
        <f>L146/L31</f>
        <v>5.0203054661890868E-8</v>
      </c>
      <c r="L125" s="794">
        <f t="shared" si="5"/>
        <v>5.0203054661890868E-8</v>
      </c>
      <c r="M125" s="860" t="s">
        <v>1038</v>
      </c>
      <c r="N125" s="860"/>
    </row>
    <row r="126" spans="1:14" ht="12.75" customHeight="1" x14ac:dyDescent="0.3">
      <c r="A126" s="821" t="s">
        <v>2029</v>
      </c>
      <c r="B126" s="860"/>
      <c r="C126" s="860"/>
      <c r="D126" s="860"/>
      <c r="E126" s="860"/>
      <c r="F126" s="860"/>
      <c r="G126" s="821" t="s">
        <v>2030</v>
      </c>
      <c r="H126" s="821" t="s">
        <v>4690</v>
      </c>
      <c r="I126" s="875"/>
      <c r="J126" s="792" t="str">
        <f>IF(ISBLANK(HLOOKUP(CaseName,CaseData,MATCH($G126,cases!$G$4:$G$2494,0),FALSE)),"",HLOOKUP(CaseName,CaseData,MATCH($G126,cases!$G$4:$G$2494,0),FALSE))</f>
        <v/>
      </c>
      <c r="K126" s="874">
        <f>L147/L32</f>
        <v>1.103232338463208E-7</v>
      </c>
      <c r="L126" s="794">
        <f t="shared" si="5"/>
        <v>1.103232338463208E-7</v>
      </c>
      <c r="M126" s="860" t="s">
        <v>1038</v>
      </c>
      <c r="N126" s="860"/>
    </row>
    <row r="127" spans="1:14" ht="12.75" customHeight="1" x14ac:dyDescent="0.3">
      <c r="A127" s="821"/>
      <c r="B127" s="860" t="s">
        <v>2031</v>
      </c>
      <c r="C127" s="860"/>
      <c r="D127" s="860"/>
      <c r="E127" s="860"/>
      <c r="F127" s="860"/>
      <c r="G127" s="821" t="s">
        <v>2032</v>
      </c>
      <c r="H127" s="821" t="s">
        <v>335</v>
      </c>
      <c r="I127" s="875"/>
      <c r="J127" s="792" t="str">
        <f>IF(ISBLANK(HLOOKUP(CaseName,CaseData,MATCH($G127,cases!$G$4:$G$2494,0),FALSE)),"",HLOOKUP(CaseName,CaseData,MATCH($G127,cases!$G$4:$G$2494,0),FALSE))</f>
        <v/>
      </c>
      <c r="K127" s="874">
        <f>L128-SUM((L138*(L17+L18+L22)+L139*(L19+L20+L21))/L23,L211,L48,L49)</f>
        <v>2.472186963728766E-10</v>
      </c>
      <c r="L127" s="794">
        <f t="shared" si="5"/>
        <v>2.472186963728766E-10</v>
      </c>
      <c r="M127" s="860" t="s">
        <v>1038</v>
      </c>
      <c r="N127" s="860"/>
    </row>
    <row r="128" spans="1:14" ht="12.75" customHeight="1" x14ac:dyDescent="0.3">
      <c r="A128" s="821"/>
      <c r="B128" s="860"/>
      <c r="C128" s="860" t="s">
        <v>2033</v>
      </c>
      <c r="D128" s="860"/>
      <c r="E128" s="860"/>
      <c r="F128" s="860"/>
      <c r="G128" s="821" t="s">
        <v>2034</v>
      </c>
      <c r="H128" s="821" t="s">
        <v>335</v>
      </c>
      <c r="I128" s="875"/>
      <c r="J128" s="792" t="str">
        <f>IF(ISBLANK(HLOOKUP(CaseName,CaseData,MATCH($G128,cases!$G$4:$G$2494,0),FALSE)),"",HLOOKUP(CaseName,CaseData,MATCH($G128,cases!$G$4:$G$2494,0),FALSE))</f>
        <v/>
      </c>
      <c r="K128" s="874">
        <f>((1/L129)*L131/(L131+L132)+(1/L130)*L132/(L131+L132)-((1/L130-1/L129)^2/(L131+L132))*(1-EXP(-L129*L131))*(1-EXP(-L130*L132))/(1-EXP(-L129*L131-L130*L132)))^-1</f>
        <v>1.9291371973953285E-6</v>
      </c>
      <c r="L128" s="794">
        <f t="shared" si="5"/>
        <v>1.9291371973953285E-6</v>
      </c>
      <c r="M128" s="860" t="s">
        <v>1038</v>
      </c>
      <c r="N128" s="860"/>
    </row>
    <row r="129" spans="1:14" ht="12.75" customHeight="1" x14ac:dyDescent="0.3">
      <c r="A129" s="821"/>
      <c r="B129" s="860"/>
      <c r="C129" s="860"/>
      <c r="D129" s="860" t="s">
        <v>2035</v>
      </c>
      <c r="E129" s="860"/>
      <c r="F129" s="860"/>
      <c r="G129" s="821" t="s">
        <v>2036</v>
      </c>
      <c r="H129" s="821" t="s">
        <v>335</v>
      </c>
      <c r="I129" s="875"/>
      <c r="J129" s="792" t="str">
        <f>IF(ISBLANK(HLOOKUP(CaseName,CaseData,MATCH($G129,cases!$G$4:$G$2494,0),FALSE)),"",HLOOKUP(CaseName,CaseData,MATCH($G129,cases!$G$4:$G$2494,0),FALSE))</f>
        <v/>
      </c>
      <c r="K129" s="874">
        <f>L133/L23 + SUM((L138*(L17+L18+L22)+L139*(L19+L20+L21))/L23,L211,L48,L49)</f>
        <v>1.9288900140046357E-6</v>
      </c>
      <c r="L129" s="794">
        <f t="shared" si="5"/>
        <v>1.9288900140046357E-6</v>
      </c>
      <c r="M129" s="860" t="s">
        <v>1038</v>
      </c>
      <c r="N129" s="860"/>
    </row>
    <row r="130" spans="1:14" ht="12.75" customHeight="1" x14ac:dyDescent="0.3">
      <c r="A130" s="821"/>
      <c r="B130" s="860"/>
      <c r="C130" s="860"/>
      <c r="D130" s="860" t="s">
        <v>2037</v>
      </c>
      <c r="E130" s="860"/>
      <c r="F130" s="860"/>
      <c r="G130" s="821" t="s">
        <v>2038</v>
      </c>
      <c r="H130" s="821" t="s">
        <v>335</v>
      </c>
      <c r="I130" s="875"/>
      <c r="J130" s="792" t="str">
        <f>IF(ISBLANK(HLOOKUP(CaseName,CaseData,MATCH($G130,cases!$G$4:$G$2494,0),FALSE)),"",HLOOKUP(CaseName,CaseData,MATCH($G130,cases!$G$4:$G$2494,0),FALSE))</f>
        <v/>
      </c>
      <c r="K130" s="874">
        <f>(L134+L135)/L23 + SUM((L138*(L17+L18+L22)+L139*(L19+L20+L21))/L23,L211,L48,L49)</f>
        <v>1.933009750407447E-6</v>
      </c>
      <c r="L130" s="794">
        <f t="shared" si="5"/>
        <v>1.933009750407447E-6</v>
      </c>
      <c r="M130" s="860" t="s">
        <v>1038</v>
      </c>
      <c r="N130" s="860"/>
    </row>
    <row r="131" spans="1:14" ht="12.75" customHeight="1" x14ac:dyDescent="0.3">
      <c r="A131" s="821"/>
      <c r="B131" s="860" t="s">
        <v>1148</v>
      </c>
      <c r="C131" s="860"/>
      <c r="D131" s="860"/>
      <c r="E131" s="860"/>
      <c r="F131" s="860"/>
      <c r="G131" s="821" t="s">
        <v>2039</v>
      </c>
      <c r="H131" s="821" t="s">
        <v>1150</v>
      </c>
      <c r="I131" s="875"/>
      <c r="J131" s="792" t="str">
        <f>IF(ISBLANK(HLOOKUP(CaseName,CaseData,MATCH($G131,cases!$G$4:$G$2494,0),FALSE)),"",HLOOKUP(CaseName,CaseData,MATCH($G131,cases!$G$4:$G$2494,0),FALSE))</f>
        <v/>
      </c>
      <c r="K131" s="874">
        <f>3.3*24</f>
        <v>79.199999999999989</v>
      </c>
      <c r="L131" s="794">
        <f>IF(ISBLANK(I131),IF(ISNUMBER(J131)=FALSE,K131*3600,J131*3600),I131*3600)</f>
        <v>285119.99999999994</v>
      </c>
      <c r="M131" s="860" t="s">
        <v>1042</v>
      </c>
      <c r="N131" s="860"/>
    </row>
    <row r="132" spans="1:14" ht="12.75" customHeight="1" x14ac:dyDescent="0.3">
      <c r="A132" s="821"/>
      <c r="B132" s="860" t="s">
        <v>1151</v>
      </c>
      <c r="C132" s="860"/>
      <c r="D132" s="860"/>
      <c r="E132" s="860"/>
      <c r="F132" s="860"/>
      <c r="G132" s="821" t="s">
        <v>2040</v>
      </c>
      <c r="H132" s="821" t="s">
        <v>1150</v>
      </c>
      <c r="I132" s="875"/>
      <c r="J132" s="792" t="str">
        <f>IF(ISBLANK(HLOOKUP(CaseName,CaseData,MATCH($G132,cases!$G$4:$G$2494,0),FALSE)),"",HLOOKUP(CaseName,CaseData,MATCH($G132,cases!$G$4:$G$2494,0),FALSE))</f>
        <v/>
      </c>
      <c r="K132" s="874">
        <f>3.3*24*(0.06/(1-0.06))</f>
        <v>5.0553191489361691</v>
      </c>
      <c r="L132" s="794">
        <f>IF(ISBLANK(I132),IF(ISNUMBER(J132)=FALSE,K132*3600,J132*3600),I132*3600)</f>
        <v>18199.148936170208</v>
      </c>
      <c r="M132" s="860" t="s">
        <v>1042</v>
      </c>
      <c r="N132" s="860"/>
    </row>
    <row r="133" spans="1:14" ht="12.75" customHeight="1" x14ac:dyDescent="0.3">
      <c r="A133" s="821"/>
      <c r="B133" s="860" t="s">
        <v>1153</v>
      </c>
      <c r="C133" s="860"/>
      <c r="D133" s="860"/>
      <c r="E133" s="860"/>
      <c r="F133" s="860"/>
      <c r="G133" s="821" t="s">
        <v>2041</v>
      </c>
      <c r="H133" s="821" t="s">
        <v>866</v>
      </c>
      <c r="I133" s="875"/>
      <c r="J133" s="792" t="str">
        <f>IF(ISBLANK(HLOOKUP(CaseName,CaseData,MATCH($G133,cases!$G$4:$G$2494,0),FALSE)),"",HLOOKUP(CaseName,CaseData,MATCH($G133,cases!$G$4:$G$2494,0),FALSE))</f>
        <v/>
      </c>
      <c r="K133" s="874">
        <f>L136*(L71+L72)</f>
        <v>3.5305679851056702E-11</v>
      </c>
      <c r="L133" s="794">
        <f t="shared" ref="L133:L152" si="6">IF(ISBLANK(I133),IF(ISNUMBER(J133)=FALSE,K133,J133),I133)</f>
        <v>3.5305679851056702E-11</v>
      </c>
      <c r="M133" s="860" t="s">
        <v>690</v>
      </c>
      <c r="N133" s="860"/>
    </row>
    <row r="134" spans="1:14" ht="12.75" customHeight="1" x14ac:dyDescent="0.3">
      <c r="A134" s="821"/>
      <c r="B134" s="860" t="s">
        <v>1156</v>
      </c>
      <c r="C134" s="860"/>
      <c r="D134" s="860"/>
      <c r="E134" s="860"/>
      <c r="F134" s="860"/>
      <c r="G134" s="821" t="s">
        <v>2042</v>
      </c>
      <c r="H134" s="821" t="s">
        <v>866</v>
      </c>
      <c r="I134" s="875"/>
      <c r="J134" s="792" t="str">
        <f>IF(ISBLANK(HLOOKUP(CaseName,CaseData,MATCH($G134,cases!$G$4:$G$2494,0),FALSE)),"",HLOOKUP(CaseName,CaseData,MATCH($G134,cases!$G$4:$G$2494,0),FALSE))</f>
        <v/>
      </c>
      <c r="K134" s="874">
        <f>L72*(L131+L132)/L132*RAINrate.C*L137</f>
        <v>2.595781412110609E-9</v>
      </c>
      <c r="L134" s="794">
        <f t="shared" si="6"/>
        <v>2.595781412110609E-9</v>
      </c>
      <c r="M134" s="860" t="s">
        <v>690</v>
      </c>
      <c r="N134" s="860"/>
    </row>
    <row r="135" spans="1:14" ht="12.75" customHeight="1" x14ac:dyDescent="0.3">
      <c r="A135" s="821"/>
      <c r="B135" s="860" t="s">
        <v>2043</v>
      </c>
      <c r="C135" s="860"/>
      <c r="D135" s="860"/>
      <c r="E135" s="860"/>
      <c r="F135" s="860"/>
      <c r="G135" s="821" t="s">
        <v>2044</v>
      </c>
      <c r="H135" s="821" t="s">
        <v>866</v>
      </c>
      <c r="I135" s="875"/>
      <c r="J135" s="792" t="str">
        <f>IF(ISBLANK(HLOOKUP(CaseName,CaseData,MATCH($G135,cases!$G$4:$G$2494,0),FALSE)),"",HLOOKUP(CaseName,CaseData,MATCH($G135,cases!$G$4:$G$2494,0),FALSE))</f>
        <v/>
      </c>
      <c r="K135" s="874">
        <f>L70*(L131+L132)/L132*RAINrate.C/(L73*FRorig.aerw)</f>
        <v>4.1171759270791855E-6</v>
      </c>
      <c r="L135" s="794">
        <f t="shared" si="6"/>
        <v>4.1171759270791855E-6</v>
      </c>
      <c r="M135" s="860" t="s">
        <v>690</v>
      </c>
      <c r="N135" s="860"/>
    </row>
    <row r="136" spans="1:14" ht="12.75" customHeight="1" x14ac:dyDescent="0.3">
      <c r="A136" s="821"/>
      <c r="B136" s="860"/>
      <c r="C136" s="860" t="s">
        <v>1160</v>
      </c>
      <c r="D136" s="860"/>
      <c r="E136" s="860"/>
      <c r="F136" s="860"/>
      <c r="G136" s="821" t="s">
        <v>2045</v>
      </c>
      <c r="H136" s="821" t="s">
        <v>866</v>
      </c>
      <c r="I136" s="875"/>
      <c r="J136" s="792" t="str">
        <f>IF(ISBLANK(HLOOKUP(CaseName,CaseData,MATCH($G136,cases!$G$4:$G$2494,0),FALSE)),"",HLOOKUP(CaseName,CaseData,MATCH($G136,cases!$G$4:$G$2494,0),FALSE))</f>
        <v/>
      </c>
      <c r="K136" s="874">
        <v>1E-3</v>
      </c>
      <c r="L136" s="794">
        <f t="shared" si="6"/>
        <v>1E-3</v>
      </c>
      <c r="M136" s="860" t="s">
        <v>690</v>
      </c>
      <c r="N136" s="860"/>
    </row>
    <row r="137" spans="1:14" ht="12.75" customHeight="1" x14ac:dyDescent="0.3">
      <c r="A137" s="821"/>
      <c r="B137" s="860"/>
      <c r="C137" s="860" t="s">
        <v>1162</v>
      </c>
      <c r="D137" s="860"/>
      <c r="E137" s="860"/>
      <c r="F137" s="860"/>
      <c r="G137" s="821" t="s">
        <v>2046</v>
      </c>
      <c r="H137" s="821" t="s">
        <v>291</v>
      </c>
      <c r="I137" s="875"/>
      <c r="J137" s="792" t="str">
        <f>IF(ISBLANK(HLOOKUP(CaseName,CaseData,MATCH($G137,cases!$G$4:$G$2494,0),FALSE)),"",HLOOKUP(CaseName,CaseData,MATCH($G137,cases!$G$4:$G$2494,0),FALSE))</f>
        <v/>
      </c>
      <c r="K137" s="874">
        <v>200000</v>
      </c>
      <c r="L137" s="794">
        <f t="shared" si="6"/>
        <v>200000</v>
      </c>
      <c r="M137" s="821" t="s">
        <v>292</v>
      </c>
      <c r="N137" s="860"/>
    </row>
    <row r="138" spans="1:14" ht="12.75" customHeight="1" x14ac:dyDescent="0.3">
      <c r="A138" s="821"/>
      <c r="B138" s="860" t="s">
        <v>1164</v>
      </c>
      <c r="C138" s="860"/>
      <c r="D138" s="860"/>
      <c r="E138" s="860"/>
      <c r="F138" s="860"/>
      <c r="G138" s="821" t="s">
        <v>2047</v>
      </c>
      <c r="H138" s="821" t="s">
        <v>866</v>
      </c>
      <c r="I138" s="875"/>
      <c r="J138" s="792" t="str">
        <f>IF(ISBLANK(HLOOKUP(CaseName,CaseData,MATCH($G138,cases!$G$4:$G$2494,0),FALSE)),"",HLOOKUP(CaseName,CaseData,MATCH($G138,cases!$G$4:$G$2494,0),FALSE))</f>
        <v/>
      </c>
      <c r="K138" s="874">
        <f>L70*(L143*L144/(FRorig.w1*L143*L73+L144))</f>
        <v>5.703393574022636E-5</v>
      </c>
      <c r="L138" s="794">
        <f t="shared" si="6"/>
        <v>5.703393574022636E-5</v>
      </c>
      <c r="M138" s="821" t="s">
        <v>4766</v>
      </c>
      <c r="N138" s="860"/>
    </row>
    <row r="139" spans="1:14" ht="12.75" customHeight="1" x14ac:dyDescent="0.3">
      <c r="A139" s="821"/>
      <c r="B139" s="860" t="s">
        <v>1166</v>
      </c>
      <c r="C139" s="860"/>
      <c r="D139" s="860"/>
      <c r="E139" s="860"/>
      <c r="F139" s="860"/>
      <c r="G139" s="821" t="s">
        <v>2048</v>
      </c>
      <c r="H139" s="821" t="s">
        <v>866</v>
      </c>
      <c r="I139" s="875"/>
      <c r="J139" s="792" t="str">
        <f>IF(ISBLANK(HLOOKUP(CaseName,CaseData,MATCH($G139,cases!$G$4:$G$2494,0),FALSE)),"",HLOOKUP(CaseName,CaseData,MATCH($G139,cases!$G$4:$G$2494,0),FALSE))</f>
        <v/>
      </c>
      <c r="K139" s="874">
        <f>L70*(L148*L149)/(L148*((L73*FRorig.s1w)/L97)+L149)</f>
        <v>1.1258217098815417E-6</v>
      </c>
      <c r="L139" s="794">
        <f t="shared" si="6"/>
        <v>1.1258217098815417E-6</v>
      </c>
      <c r="M139" s="821" t="s">
        <v>4766</v>
      </c>
      <c r="N139" s="860"/>
    </row>
    <row r="140" spans="1:14" ht="12.75" customHeight="1" x14ac:dyDescent="0.3">
      <c r="A140" s="821"/>
      <c r="B140" s="860" t="s">
        <v>1168</v>
      </c>
      <c r="C140" s="860"/>
      <c r="D140" s="860"/>
      <c r="E140" s="860"/>
      <c r="F140" s="860"/>
      <c r="G140" s="821" t="s">
        <v>2049</v>
      </c>
      <c r="H140" s="821" t="s">
        <v>866</v>
      </c>
      <c r="I140" s="875"/>
      <c r="J140" s="792" t="str">
        <f>IF(ISBLANK(HLOOKUP(CaseName,CaseData,MATCH($G140,cases!$G$4:$G$2494,0),FALSE)),"",HLOOKUP(CaseName,CaseData,MATCH($G140,cases!$G$4:$G$2494,0),FALSE))</f>
        <v/>
      </c>
      <c r="K140" s="874">
        <f>(L143*L144/(FRorig.w1*L143*L73+L144))*L73*(L76*FRorig.w1)</f>
        <v>5.1234424145319552E-6</v>
      </c>
      <c r="L140" s="794">
        <f t="shared" si="6"/>
        <v>5.1234424145319552E-6</v>
      </c>
      <c r="M140" s="821" t="s">
        <v>4766</v>
      </c>
      <c r="N140" s="860"/>
    </row>
    <row r="141" spans="1:14" ht="12.75" customHeight="1" x14ac:dyDescent="0.3">
      <c r="A141" s="821"/>
      <c r="B141" s="860" t="s">
        <v>1170</v>
      </c>
      <c r="C141" s="860"/>
      <c r="D141" s="860"/>
      <c r="E141" s="860"/>
      <c r="F141" s="860"/>
      <c r="G141" s="821" t="s">
        <v>2050</v>
      </c>
      <c r="H141" s="821" t="s">
        <v>866</v>
      </c>
      <c r="I141" s="875"/>
      <c r="J141" s="792" t="str">
        <f>IF(ISBLANK(HLOOKUP(CaseName,CaseData,MATCH($G141,cases!$G$4:$G$2494,0),FALSE)),"",HLOOKUP(CaseName,CaseData,MATCH($G141,cases!$G$4:$G$2494,0),FALSE))</f>
        <v/>
      </c>
      <c r="K141" s="874">
        <f>(L143*L144/(FRorig.w1*L143*L73+L144))*L73*(L80*FRorig.w1)</f>
        <v>5.1177333698177912E-6</v>
      </c>
      <c r="L141" s="794">
        <f t="shared" si="6"/>
        <v>5.1177333698177912E-6</v>
      </c>
      <c r="M141" s="821" t="s">
        <v>4766</v>
      </c>
      <c r="N141" s="860"/>
    </row>
    <row r="142" spans="1:14" ht="12.75" customHeight="1" x14ac:dyDescent="0.3">
      <c r="A142" s="821"/>
      <c r="B142" s="860" t="s">
        <v>1172</v>
      </c>
      <c r="C142" s="860"/>
      <c r="D142" s="860"/>
      <c r="E142" s="860"/>
      <c r="F142" s="860"/>
      <c r="G142" s="821" t="s">
        <v>2051</v>
      </c>
      <c r="H142" s="821" t="s">
        <v>866</v>
      </c>
      <c r="I142" s="875"/>
      <c r="J142" s="792" t="str">
        <f>IF(ISBLANK(HLOOKUP(CaseName,CaseData,MATCH($G142,cases!$G$4:$G$2494,0),FALSE)),"",HLOOKUP(CaseName,CaseData,MATCH($G142,cases!$G$4:$G$2494,0),FALSE))</f>
        <v/>
      </c>
      <c r="K142" s="874">
        <f>(L143*L144/(FRorig.w2*L143*L73+L144))*L73*(L84*FRorig.w2)</f>
        <v>5.1216692794123988E-6</v>
      </c>
      <c r="L142" s="794">
        <f t="shared" si="6"/>
        <v>5.1216692794123988E-6</v>
      </c>
      <c r="M142" s="821" t="s">
        <v>4766</v>
      </c>
      <c r="N142" s="860"/>
    </row>
    <row r="143" spans="1:14" ht="12.75" customHeight="1" x14ac:dyDescent="0.3">
      <c r="A143" s="821"/>
      <c r="B143" s="860"/>
      <c r="C143" s="860" t="s">
        <v>1174</v>
      </c>
      <c r="D143" s="860"/>
      <c r="E143" s="860"/>
      <c r="F143" s="860"/>
      <c r="G143" s="821" t="s">
        <v>2052</v>
      </c>
      <c r="H143" s="821" t="s">
        <v>866</v>
      </c>
      <c r="I143" s="875"/>
      <c r="J143" s="792" t="str">
        <f>IF(ISBLANK(HLOOKUP(CaseName,CaseData,MATCH($G143,cases!$G$4:$G$2494,0),FALSE)),"",HLOOKUP(CaseName,CaseData,MATCH($G143,cases!$G$4:$G$2494,0),FALSE))</f>
        <v/>
      </c>
      <c r="K143" s="874">
        <f>0.01*(0.3+0.2*WINDspeed.C)*((0.018/Molweight)^(0.67*0.5))</f>
        <v>4.4535618852450994E-3</v>
      </c>
      <c r="L143" s="794">
        <f t="shared" si="6"/>
        <v>4.4535618852450994E-3</v>
      </c>
      <c r="M143" s="860" t="s">
        <v>690</v>
      </c>
      <c r="N143" s="860"/>
    </row>
    <row r="144" spans="1:14" ht="12.75" customHeight="1" x14ac:dyDescent="0.3">
      <c r="A144" s="821"/>
      <c r="B144" s="860"/>
      <c r="C144" s="860" t="s">
        <v>1176</v>
      </c>
      <c r="D144" s="860"/>
      <c r="E144" s="860"/>
      <c r="F144" s="860"/>
      <c r="G144" s="821" t="s">
        <v>2053</v>
      </c>
      <c r="H144" s="821" t="s">
        <v>866</v>
      </c>
      <c r="I144" s="875"/>
      <c r="J144" s="792" t="str">
        <f>IF(ISBLANK(HLOOKUP(CaseName,CaseData,MATCH($G144,cases!$G$4:$G$2494,0),FALSE)),"",HLOOKUP(CaseName,CaseData,MATCH($G144,cases!$G$4:$G$2494,0),FALSE))</f>
        <v/>
      </c>
      <c r="K144" s="874">
        <f>0.01*(0.0004+0.00004*WINDspeed.C^2)*((0.032/Molweight)^(0.5*0.5))</f>
        <v>5.191247717588049E-6</v>
      </c>
      <c r="L144" s="794">
        <f t="shared" si="6"/>
        <v>5.191247717588049E-6</v>
      </c>
      <c r="M144" s="860" t="s">
        <v>690</v>
      </c>
      <c r="N144" s="860"/>
    </row>
    <row r="145" spans="1:14" ht="12.75" customHeight="1" x14ac:dyDescent="0.3">
      <c r="A145" s="821"/>
      <c r="B145" s="860" t="s">
        <v>2054</v>
      </c>
      <c r="C145" s="860"/>
      <c r="D145" s="860"/>
      <c r="E145" s="860"/>
      <c r="F145" s="860"/>
      <c r="G145" s="821" t="s">
        <v>2055</v>
      </c>
      <c r="H145" s="821" t="s">
        <v>866</v>
      </c>
      <c r="I145" s="875"/>
      <c r="J145" s="792" t="str">
        <f>IF(ISBLANK(HLOOKUP(CaseName,CaseData,MATCH($G145,cases!$G$4:$G$2494,0),FALSE)),"",HLOOKUP(CaseName,CaseData,MATCH($G145,cases!$G$4:$G$2494,0),FALSE))</f>
        <v/>
      </c>
      <c r="K145" s="874">
        <f>(L148*L149)/(L148+L149/((L73*FRorig.s1w)/L97))*L150</f>
        <v>5.5161616923160404E-9</v>
      </c>
      <c r="L145" s="794">
        <f t="shared" si="6"/>
        <v>5.5161616923160404E-9</v>
      </c>
      <c r="M145" s="821" t="s">
        <v>4766</v>
      </c>
      <c r="N145" s="886"/>
    </row>
    <row r="146" spans="1:14" ht="12.75" customHeight="1" x14ac:dyDescent="0.3">
      <c r="A146" s="821"/>
      <c r="B146" s="860" t="s">
        <v>2056</v>
      </c>
      <c r="C146" s="860"/>
      <c r="D146" s="860"/>
      <c r="E146" s="860"/>
      <c r="F146" s="860"/>
      <c r="G146" s="821" t="s">
        <v>2057</v>
      </c>
      <c r="H146" s="821" t="s">
        <v>866</v>
      </c>
      <c r="I146" s="875"/>
      <c r="J146" s="792" t="str">
        <f>IF(ISBLANK(HLOOKUP(CaseName,CaseData,MATCH($G146,cases!$G$4:$G$2494,0),FALSE)),"",HLOOKUP(CaseName,CaseData,MATCH($G146,cases!$G$4:$G$2494,0),FALSE))</f>
        <v/>
      </c>
      <c r="K146" s="874">
        <f>(L148*L149)/(L148+L149/((L73*FRorig.s1w)/L97))*L151</f>
        <v>1.0040610932378174E-8</v>
      </c>
      <c r="L146" s="794">
        <f t="shared" si="6"/>
        <v>1.0040610932378174E-8</v>
      </c>
      <c r="M146" s="821" t="s">
        <v>4766</v>
      </c>
      <c r="N146" s="860"/>
    </row>
    <row r="147" spans="1:14" ht="12.75" customHeight="1" x14ac:dyDescent="0.3">
      <c r="A147" s="821"/>
      <c r="B147" s="860" t="s">
        <v>2058</v>
      </c>
      <c r="C147" s="860"/>
      <c r="D147" s="860"/>
      <c r="E147" s="860"/>
      <c r="F147" s="860"/>
      <c r="G147" s="821" t="s">
        <v>2059</v>
      </c>
      <c r="H147" s="821" t="s">
        <v>866</v>
      </c>
      <c r="I147" s="875"/>
      <c r="J147" s="792" t="str">
        <f>IF(ISBLANK(HLOOKUP(CaseName,CaseData,MATCH($G147,cases!$G$4:$G$2494,0),FALSE)),"",HLOOKUP(CaseName,CaseData,MATCH($G147,cases!$G$4:$G$2494,0),FALSE))</f>
        <v/>
      </c>
      <c r="K147" s="874">
        <f>(L148*L149)/(L148+L149/((L73*FRorig.s1w)/L97))*L152</f>
        <v>5.5161616923160404E-9</v>
      </c>
      <c r="L147" s="794">
        <f t="shared" si="6"/>
        <v>5.5161616923160404E-9</v>
      </c>
      <c r="M147" s="821" t="s">
        <v>4766</v>
      </c>
      <c r="N147" s="860"/>
    </row>
    <row r="148" spans="1:14" ht="12.75" customHeight="1" x14ac:dyDescent="0.3">
      <c r="A148" s="821"/>
      <c r="B148" s="860"/>
      <c r="C148" s="860" t="s">
        <v>1181</v>
      </c>
      <c r="D148" s="860"/>
      <c r="E148" s="860"/>
      <c r="F148" s="860"/>
      <c r="G148" s="821" t="s">
        <v>2060</v>
      </c>
      <c r="H148" s="821" t="s">
        <v>866</v>
      </c>
      <c r="I148" s="875"/>
      <c r="J148" s="792" t="str">
        <f>IF(ISBLANK(HLOOKUP(CaseName,CaseData,MATCH($G148,cases!$G$4:$G$2494,0),FALSE)),"",HLOOKUP(CaseName,CaseData,MATCH($G148,cases!$G$4:$G$2494,0),FALSE))</f>
        <v/>
      </c>
      <c r="K148" s="874">
        <f>0.43/(24*3600)/0.00475</f>
        <v>1.0477582846003899E-3</v>
      </c>
      <c r="L148" s="794">
        <f t="shared" si="6"/>
        <v>1.0477582846003899E-3</v>
      </c>
      <c r="M148" s="860" t="s">
        <v>690</v>
      </c>
      <c r="N148" s="860"/>
    </row>
    <row r="149" spans="1:14" ht="12.75" customHeight="1" x14ac:dyDescent="0.3">
      <c r="A149" s="821"/>
      <c r="B149" s="860"/>
      <c r="C149" s="860" t="s">
        <v>1183</v>
      </c>
      <c r="D149" s="860"/>
      <c r="E149" s="860"/>
      <c r="F149" s="860"/>
      <c r="G149" s="821" t="s">
        <v>2061</v>
      </c>
      <c r="H149" s="821" t="s">
        <v>866</v>
      </c>
      <c r="I149" s="875"/>
      <c r="J149" s="792" t="str">
        <f>IF(ISBLANK(HLOOKUP(CaseName,CaseData,MATCH($G149,cases!$G$4:$G$2494,0),FALSE)),"",HLOOKUP(CaseName,CaseData,MATCH($G149,cases!$G$4:$G$2494,0),FALSE))</f>
        <v/>
      </c>
      <c r="K149" s="874">
        <f>0.1*L224</f>
        <v>4.3455503205058606E-9</v>
      </c>
      <c r="L149" s="794">
        <f t="shared" si="6"/>
        <v>4.3455503205058606E-9</v>
      </c>
      <c r="M149" s="860" t="s">
        <v>690</v>
      </c>
      <c r="N149" s="860" t="s">
        <v>2062</v>
      </c>
    </row>
    <row r="150" spans="1:14" ht="12.75" customHeight="1" x14ac:dyDescent="0.3">
      <c r="A150" s="821"/>
      <c r="B150" s="860"/>
      <c r="C150" s="860" t="s">
        <v>1185</v>
      </c>
      <c r="D150" s="860"/>
      <c r="E150" s="860"/>
      <c r="F150" s="860"/>
      <c r="G150" s="821" t="s">
        <v>2063</v>
      </c>
      <c r="H150" s="821" t="s">
        <v>291</v>
      </c>
      <c r="I150" s="875"/>
      <c r="J150" s="792" t="str">
        <f>IF(ISBLANK(HLOOKUP(CaseName,CaseData,MATCH($G150,cases!$G$4:$G$2494,0),FALSE)),"",HLOOKUP(CaseName,CaseData,MATCH($G150,cases!$G$4:$G$2494,0),FALSE))</f>
        <v/>
      </c>
      <c r="K150" s="874">
        <f>(EXP((-1/0.1)*0)*(1/0.1)*L30/(1-EXP((-1/0.1)*L30)))</f>
        <v>1.2707470412683992</v>
      </c>
      <c r="L150" s="794">
        <f t="shared" si="6"/>
        <v>1.2707470412683992</v>
      </c>
      <c r="M150" s="860" t="s">
        <v>292</v>
      </c>
      <c r="N150" s="860" t="s">
        <v>1187</v>
      </c>
    </row>
    <row r="151" spans="1:14" ht="12.75" customHeight="1" x14ac:dyDescent="0.3">
      <c r="A151" s="821"/>
      <c r="B151" s="860"/>
      <c r="C151" s="860" t="s">
        <v>1185</v>
      </c>
      <c r="D151" s="860"/>
      <c r="E151" s="860"/>
      <c r="F151" s="860"/>
      <c r="G151" s="821" t="s">
        <v>2064</v>
      </c>
      <c r="H151" s="821" t="s">
        <v>291</v>
      </c>
      <c r="I151" s="875"/>
      <c r="J151" s="792" t="str">
        <f>IF(ISBLANK(HLOOKUP(CaseName,CaseData,MATCH($G151,cases!$G$4:$G$2494,0),FALSE)),"",HLOOKUP(CaseName,CaseData,MATCH($G151,cases!$G$4:$G$2494,0),FALSE))</f>
        <v/>
      </c>
      <c r="K151" s="874">
        <f>(EXP((-1/0.1)*0)*(1/0.1)*L31/(1-EXP((-1/0.1)*L31)))</f>
        <v>2.3130352854993315</v>
      </c>
      <c r="L151" s="794">
        <f t="shared" si="6"/>
        <v>2.3130352854993315</v>
      </c>
      <c r="M151" s="860" t="s">
        <v>292</v>
      </c>
      <c r="N151" s="860" t="s">
        <v>1187</v>
      </c>
    </row>
    <row r="152" spans="1:14" ht="12.75" customHeight="1" x14ac:dyDescent="0.3">
      <c r="A152" s="821"/>
      <c r="B152" s="860"/>
      <c r="C152" s="860" t="s">
        <v>1185</v>
      </c>
      <c r="D152" s="860"/>
      <c r="E152" s="860"/>
      <c r="F152" s="860"/>
      <c r="G152" s="821" t="s">
        <v>2065</v>
      </c>
      <c r="H152" s="821" t="s">
        <v>291</v>
      </c>
      <c r="I152" s="875"/>
      <c r="J152" s="792" t="str">
        <f>IF(ISBLANK(HLOOKUP(CaseName,CaseData,MATCH($G152,cases!$G$4:$G$2494,0),FALSE)),"",HLOOKUP(CaseName,CaseData,MATCH($G152,cases!$G$4:$G$2494,0),FALSE))</f>
        <v/>
      </c>
      <c r="K152" s="874">
        <f>(EXP((-1/0.1)*0)*(1/0.1)*L32/(1-EXP((-1/0.1)*L32)))</f>
        <v>1.2707470412683992</v>
      </c>
      <c r="L152" s="794">
        <f t="shared" si="6"/>
        <v>1.2707470412683992</v>
      </c>
      <c r="M152" s="860" t="s">
        <v>292</v>
      </c>
      <c r="N152" s="860" t="s">
        <v>1187</v>
      </c>
    </row>
    <row r="153" spans="1:14" ht="12.75" customHeight="1" x14ac:dyDescent="0.3">
      <c r="A153" s="821"/>
      <c r="B153" s="860"/>
      <c r="C153" s="821"/>
      <c r="D153" s="872"/>
      <c r="E153" s="872"/>
      <c r="F153" s="860"/>
      <c r="G153" s="872"/>
      <c r="H153" s="872"/>
      <c r="I153" s="872"/>
      <c r="J153" s="792"/>
      <c r="K153" s="873"/>
      <c r="L153" s="873"/>
      <c r="M153" s="872"/>
      <c r="N153" s="860"/>
    </row>
    <row r="154" spans="1:14" ht="12.75" customHeight="1" x14ac:dyDescent="0.3">
      <c r="A154" s="796" t="s">
        <v>1190</v>
      </c>
      <c r="B154" s="797"/>
      <c r="C154" s="797"/>
      <c r="D154" s="797"/>
      <c r="E154" s="797"/>
      <c r="F154" s="797"/>
      <c r="G154" s="796" t="s">
        <v>2066</v>
      </c>
      <c r="H154" s="796" t="s">
        <v>4690</v>
      </c>
      <c r="I154" s="875"/>
      <c r="J154" s="792" t="str">
        <f>IF(ISBLANK(HLOOKUP(CaseName,CaseData,MATCH($G154,cases!$G$4:$G$2494,0),FALSE)),"",HLOOKUP(CaseName,CaseData,MATCH($G154,cases!$G$4:$G$2494,0),FALSE))</f>
        <v/>
      </c>
      <c r="K154" s="870">
        <f>(L160)/L24</f>
        <v>7.4771441879336588E-11</v>
      </c>
      <c r="L154" s="794">
        <f t="shared" ref="L154:L172" si="7">IF(ISBLANK(I154),IF(ISNUMBER(J154)=FALSE,K154,J154),I154)</f>
        <v>7.4771441879336588E-11</v>
      </c>
      <c r="M154" s="797" t="s">
        <v>1038</v>
      </c>
      <c r="N154" s="797"/>
    </row>
    <row r="155" spans="1:14" ht="12.75" customHeight="1" x14ac:dyDescent="0.3">
      <c r="A155" s="821" t="s">
        <v>1193</v>
      </c>
      <c r="B155" s="860"/>
      <c r="C155" s="860"/>
      <c r="D155" s="860"/>
      <c r="E155" s="860"/>
      <c r="F155" s="860"/>
      <c r="G155" s="821" t="s">
        <v>2067</v>
      </c>
      <c r="H155" s="821" t="s">
        <v>4690</v>
      </c>
      <c r="I155" s="875"/>
      <c r="J155" s="792" t="str">
        <f>IF(ISBLANK(HLOOKUP(CaseName,CaseData,MATCH($G155,cases!$G$4:$G$2494,0),FALSE)),"",HLOOKUP(CaseName,CaseData,MATCH($G155,cases!$G$4:$G$2494,0),FALSE))</f>
        <v/>
      </c>
      <c r="K155" s="870">
        <f>(L162+L175)/L25</f>
        <v>2.2392816971501889E-8</v>
      </c>
      <c r="L155" s="794">
        <f t="shared" si="7"/>
        <v>2.2392816971501889E-8</v>
      </c>
      <c r="M155" s="860" t="s">
        <v>1038</v>
      </c>
      <c r="N155" s="860"/>
    </row>
    <row r="156" spans="1:14" ht="12.75" customHeight="1" x14ac:dyDescent="0.3">
      <c r="A156" s="821" t="s">
        <v>1195</v>
      </c>
      <c r="B156" s="860"/>
      <c r="C156" s="860"/>
      <c r="D156" s="860"/>
      <c r="E156" s="860"/>
      <c r="F156" s="860"/>
      <c r="G156" s="821" t="s">
        <v>2068</v>
      </c>
      <c r="H156" s="821" t="s">
        <v>4690</v>
      </c>
      <c r="I156" s="875"/>
      <c r="J156" s="792" t="str">
        <f>IF(ISBLANK(HLOOKUP(CaseName,CaseData,MATCH($G156,cases!$G$4:$G$2494,0),FALSE)),"",HLOOKUP(CaseName,CaseData,MATCH($G156,cases!$G$4:$G$2494,0),FALSE))</f>
        <v/>
      </c>
      <c r="K156" s="870">
        <f>(L164+L177)/L26</f>
        <v>2.2488425896972215E-10</v>
      </c>
      <c r="L156" s="794">
        <f t="shared" si="7"/>
        <v>2.2488425896972215E-10</v>
      </c>
      <c r="M156" s="860" t="s">
        <v>1038</v>
      </c>
      <c r="N156" s="860"/>
    </row>
    <row r="157" spans="1:14" ht="12.75" customHeight="1" x14ac:dyDescent="0.3">
      <c r="A157" s="796" t="s">
        <v>1197</v>
      </c>
      <c r="B157" s="797"/>
      <c r="C157" s="797"/>
      <c r="D157" s="797"/>
      <c r="E157" s="797"/>
      <c r="F157" s="797"/>
      <c r="G157" s="796" t="s">
        <v>2069</v>
      </c>
      <c r="H157" s="796" t="s">
        <v>4690</v>
      </c>
      <c r="I157" s="875"/>
      <c r="J157" s="792" t="str">
        <f>IF(ISBLANK(HLOOKUP(CaseName,CaseData,MATCH($G157,cases!$G$4:$G$2494,0),FALSE)),"",HLOOKUP(CaseName,CaseData,MATCH($G157,cases!$G$4:$G$2494,0),FALSE))</f>
        <v/>
      </c>
      <c r="K157" s="870">
        <f>(L161)/L27</f>
        <v>0</v>
      </c>
      <c r="L157" s="794">
        <f t="shared" si="7"/>
        <v>0</v>
      </c>
      <c r="M157" s="797" t="s">
        <v>1038</v>
      </c>
      <c r="N157" s="797"/>
    </row>
    <row r="158" spans="1:14" ht="12.75" customHeight="1" x14ac:dyDescent="0.3">
      <c r="A158" s="821" t="s">
        <v>1200</v>
      </c>
      <c r="B158" s="860"/>
      <c r="C158" s="860"/>
      <c r="D158" s="860"/>
      <c r="E158" s="860"/>
      <c r="F158" s="860"/>
      <c r="G158" s="821" t="s">
        <v>2070</v>
      </c>
      <c r="H158" s="821" t="s">
        <v>4690</v>
      </c>
      <c r="I158" s="875"/>
      <c r="J158" s="792" t="str">
        <f>IF(ISBLANK(HLOOKUP(CaseName,CaseData,MATCH($G158,cases!$G$4:$G$2494,0),FALSE)),"",HLOOKUP(CaseName,CaseData,MATCH($G158,cases!$G$4:$G$2494,0),FALSE))</f>
        <v/>
      </c>
      <c r="K158" s="870">
        <f>(L163+L176)/L28</f>
        <v>7.1814583973920701E-8</v>
      </c>
      <c r="L158" s="794">
        <f t="shared" si="7"/>
        <v>7.1814583973920701E-8</v>
      </c>
      <c r="M158" s="860" t="s">
        <v>1038</v>
      </c>
      <c r="N158" s="860"/>
    </row>
    <row r="159" spans="1:14" ht="12.75" customHeight="1" x14ac:dyDescent="0.3">
      <c r="A159" s="821" t="s">
        <v>1202</v>
      </c>
      <c r="B159" s="860"/>
      <c r="C159" s="860"/>
      <c r="D159" s="860"/>
      <c r="E159" s="860"/>
      <c r="F159" s="860"/>
      <c r="G159" s="821" t="s">
        <v>2071</v>
      </c>
      <c r="H159" s="821" t="s">
        <v>4690</v>
      </c>
      <c r="I159" s="875"/>
      <c r="J159" s="792" t="str">
        <f>IF(ISBLANK(HLOOKUP(CaseName,CaseData,MATCH($G159,cases!$G$4:$G$2494,0),FALSE)),"",HLOOKUP(CaseName,CaseData,MATCH($G159,cases!$G$4:$G$2494,0),FALSE))</f>
        <v/>
      </c>
      <c r="K159" s="870">
        <f>(L165+L178)/L29</f>
        <v>5.4485355578950803E-8</v>
      </c>
      <c r="L159" s="794">
        <f t="shared" si="7"/>
        <v>5.4485355578950803E-8</v>
      </c>
      <c r="M159" s="860" t="s">
        <v>1038</v>
      </c>
      <c r="N159" s="860"/>
    </row>
    <row r="160" spans="1:14" ht="12.75" customHeight="1" x14ac:dyDescent="0.3">
      <c r="A160" s="796"/>
      <c r="B160" s="797" t="s">
        <v>1204</v>
      </c>
      <c r="C160" s="797"/>
      <c r="D160" s="797"/>
      <c r="E160" s="797"/>
      <c r="F160" s="797"/>
      <c r="G160" s="796" t="s">
        <v>2072</v>
      </c>
      <c r="H160" s="796" t="s">
        <v>866</v>
      </c>
      <c r="I160" s="875"/>
      <c r="J160" s="792" t="str">
        <f>IF(ISBLANK(HLOOKUP(CaseName,CaseData,MATCH($G160,cases!$G$4:$G$2494,0),FALSE)),"",HLOOKUP(CaseName,CaseData,MATCH($G160,cases!$G$4:$G$2494,0),FALSE))</f>
        <v/>
      </c>
      <c r="K160" s="870">
        <f>L169*(1-L76)</f>
        <v>7.4771441879336593E-9</v>
      </c>
      <c r="L160" s="794">
        <f t="shared" si="7"/>
        <v>7.4771441879336593E-9</v>
      </c>
      <c r="M160" s="797"/>
      <c r="N160" s="797"/>
    </row>
    <row r="161" spans="1:14" ht="12.75" customHeight="1" x14ac:dyDescent="0.3">
      <c r="A161" s="796"/>
      <c r="B161" s="797" t="s">
        <v>1206</v>
      </c>
      <c r="C161" s="797"/>
      <c r="D161" s="797"/>
      <c r="E161" s="797"/>
      <c r="F161" s="797"/>
      <c r="G161" s="796" t="s">
        <v>2073</v>
      </c>
      <c r="H161" s="796" t="s">
        <v>866</v>
      </c>
      <c r="I161" s="875"/>
      <c r="J161" s="792" t="str">
        <f>IF(ISBLANK(HLOOKUP(CaseName,CaseData,MATCH($G161,cases!$G$4:$G$2494,0),FALSE)),"",HLOOKUP(CaseName,CaseData,MATCH($G161,cases!$G$4:$G$2494,0),FALSE))</f>
        <v/>
      </c>
      <c r="K161" s="870">
        <f>L166-L170</f>
        <v>0</v>
      </c>
      <c r="L161" s="794">
        <f t="shared" si="7"/>
        <v>0</v>
      </c>
      <c r="M161" s="797"/>
      <c r="N161" s="797"/>
    </row>
    <row r="162" spans="1:14" ht="12.75" customHeight="1" x14ac:dyDescent="0.3">
      <c r="A162" s="789"/>
      <c r="B162" s="789" t="s">
        <v>1204</v>
      </c>
      <c r="C162" s="790"/>
      <c r="D162" s="790"/>
      <c r="E162" s="790"/>
      <c r="F162" s="790"/>
      <c r="G162" s="813" t="s">
        <v>2074</v>
      </c>
      <c r="H162" s="789" t="s">
        <v>4735</v>
      </c>
      <c r="I162" s="875"/>
      <c r="J162" s="792" t="str">
        <f>IF(ISBLANK(HLOOKUP(CaseName,CaseData,MATCH($G162,cases!$G$4:$G$2494,0),FALSE)),"",HLOOKUP(CaseName,CaseData,MATCH($G162,cases!$G$4:$G$2494,0),FALSE))</f>
        <v/>
      </c>
      <c r="K162" s="870">
        <f>L169*(1-L80)</f>
        <v>3.9711248784463084E-8</v>
      </c>
      <c r="L162" s="794">
        <f t="shared" si="7"/>
        <v>3.9711248784463084E-8</v>
      </c>
      <c r="M162" s="790"/>
      <c r="N162" s="790"/>
    </row>
    <row r="163" spans="1:14" ht="12.75" customHeight="1" x14ac:dyDescent="0.3">
      <c r="A163" s="789"/>
      <c r="B163" s="789" t="s">
        <v>1206</v>
      </c>
      <c r="C163" s="790"/>
      <c r="D163" s="790"/>
      <c r="E163" s="790"/>
      <c r="F163" s="790"/>
      <c r="G163" s="813" t="s">
        <v>2075</v>
      </c>
      <c r="H163" s="789" t="s">
        <v>4735</v>
      </c>
      <c r="I163" s="875"/>
      <c r="J163" s="792" t="str">
        <f>IF(ISBLANK(HLOOKUP(CaseName,CaseData,MATCH($G163,cases!$G$4:$G$2494,0),FALSE)),"",HLOOKUP(CaseName,CaseData,MATCH($G163,cases!$G$4:$G$2494,0),FALSE))</f>
        <v/>
      </c>
      <c r="K163" s="870">
        <f>L167-L171</f>
        <v>7.8182870370094893E-10</v>
      </c>
      <c r="L163" s="794">
        <f t="shared" si="7"/>
        <v>7.8182870370094893E-10</v>
      </c>
      <c r="M163" s="790"/>
      <c r="N163" s="790"/>
    </row>
    <row r="164" spans="1:14" ht="12.75" customHeight="1" x14ac:dyDescent="0.3">
      <c r="A164" s="789"/>
      <c r="B164" s="789" t="s">
        <v>1210</v>
      </c>
      <c r="C164" s="790"/>
      <c r="D164" s="790"/>
      <c r="E164" s="790"/>
      <c r="F164" s="790"/>
      <c r="G164" s="813" t="s">
        <v>2076</v>
      </c>
      <c r="H164" s="789" t="s">
        <v>4735</v>
      </c>
      <c r="I164" s="875"/>
      <c r="J164" s="792" t="str">
        <f>IF(ISBLANK(HLOOKUP(CaseName,CaseData,MATCH($G164,cases!$G$4:$G$2494,0),FALSE)),"",HLOOKUP(CaseName,CaseData,MATCH($G164,cases!$G$4:$G$2494,0),FALSE))</f>
        <v/>
      </c>
      <c r="K164" s="870">
        <f>L169*(1-L84)</f>
        <v>1.7488525385517546E-8</v>
      </c>
      <c r="L164" s="794">
        <f t="shared" si="7"/>
        <v>1.7488525385517546E-8</v>
      </c>
      <c r="M164" s="790"/>
      <c r="N164" s="790"/>
    </row>
    <row r="165" spans="1:14" ht="12.75" customHeight="1" x14ac:dyDescent="0.3">
      <c r="A165" s="789"/>
      <c r="B165" s="789" t="s">
        <v>1212</v>
      </c>
      <c r="C165" s="790"/>
      <c r="D165" s="790"/>
      <c r="E165" s="790"/>
      <c r="F165" s="790"/>
      <c r="G165" s="813" t="s">
        <v>2077</v>
      </c>
      <c r="H165" s="789" t="s">
        <v>4735</v>
      </c>
      <c r="I165" s="875"/>
      <c r="J165" s="792" t="str">
        <f>IF(ISBLANK(HLOOKUP(CaseName,CaseData,MATCH($G165,cases!$G$4:$G$2494,0),FALSE)),"",HLOOKUP(CaseName,CaseData,MATCH($G165,cases!$G$4:$G$2494,0),FALSE))</f>
        <v/>
      </c>
      <c r="K165" s="870">
        <f>L168-L172</f>
        <v>2.6195185185185192E-10</v>
      </c>
      <c r="L165" s="794">
        <f t="shared" si="7"/>
        <v>2.6195185185185192E-10</v>
      </c>
      <c r="M165" s="790"/>
      <c r="N165" s="790"/>
    </row>
    <row r="166" spans="1:14" ht="12.75" customHeight="1" x14ac:dyDescent="0.3">
      <c r="A166" s="796"/>
      <c r="B166" s="796"/>
      <c r="C166" s="796" t="s">
        <v>1214</v>
      </c>
      <c r="D166" s="797"/>
      <c r="E166" s="797"/>
      <c r="F166" s="797"/>
      <c r="G166" s="887" t="s">
        <v>2078</v>
      </c>
      <c r="H166" s="802" t="s">
        <v>4734</v>
      </c>
      <c r="I166" s="875"/>
      <c r="J166" s="792" t="str">
        <f>IF(ISBLANK(HLOOKUP(CaseName,CaseData,MATCH($G166,cases!$G$4:$G$2494,0),FALSE)),"",HLOOKUP(CaseName,CaseData,MATCH($G166,cases!$G$4:$G$2494,0),FALSE))</f>
        <v/>
      </c>
      <c r="K166" s="870">
        <f>IF(L169*input!L311/(L46*RHOsolid)&gt;L170,L169*input!L311/(L46*RHOsolid),L170)</f>
        <v>8.6226851854606775E-11</v>
      </c>
      <c r="L166" s="794">
        <f t="shared" si="7"/>
        <v>8.6226851854606775E-11</v>
      </c>
      <c r="M166" s="797"/>
      <c r="N166" s="797"/>
    </row>
    <row r="167" spans="1:14" ht="12.75" customHeight="1" x14ac:dyDescent="0.3">
      <c r="A167" s="789"/>
      <c r="B167" s="789"/>
      <c r="C167" s="789" t="s">
        <v>1216</v>
      </c>
      <c r="D167" s="790"/>
      <c r="E167" s="790"/>
      <c r="F167" s="790"/>
      <c r="G167" s="888" t="s">
        <v>2079</v>
      </c>
      <c r="H167" s="801" t="s">
        <v>4734</v>
      </c>
      <c r="I167" s="875"/>
      <c r="J167" s="792" t="str">
        <f>IF(ISBLANK(HLOOKUP(CaseName,CaseData,MATCH($G167,cases!$G$4:$G$2494,0),FALSE)),"",HLOOKUP(CaseName,CaseData,MATCH($G167,cases!$G$4:$G$2494,0),FALSE))</f>
        <v/>
      </c>
      <c r="K167" s="870">
        <f>IF(L169*input!L312/(L46*RHOsolid)&gt;L171,L169*input!L312/(L46*RHOsolid),L171)</f>
        <v>8.6805555555555575E-10</v>
      </c>
      <c r="L167" s="794">
        <f t="shared" si="7"/>
        <v>8.6805555555555575E-10</v>
      </c>
      <c r="M167" s="790"/>
      <c r="N167" s="790"/>
    </row>
    <row r="168" spans="1:14" ht="12.75" customHeight="1" x14ac:dyDescent="0.3">
      <c r="A168" s="789"/>
      <c r="B168" s="789"/>
      <c r="C168" s="789" t="s">
        <v>1218</v>
      </c>
      <c r="D168" s="790"/>
      <c r="E168" s="790"/>
      <c r="F168" s="790"/>
      <c r="G168" s="888" t="s">
        <v>2080</v>
      </c>
      <c r="H168" s="801" t="s">
        <v>4734</v>
      </c>
      <c r="I168" s="875"/>
      <c r="J168" s="792" t="str">
        <f>IF(ISBLANK(HLOOKUP(CaseName,CaseData,MATCH($G168,cases!$G$4:$G$2494,0),FALSE)),"",HLOOKUP(CaseName,CaseData,MATCH($G168,cases!$G$4:$G$2494,0),FALSE))</f>
        <v/>
      </c>
      <c r="K168" s="870">
        <f>IF(L169*input!L313/(L46*RHOsolid)&gt;L172,L169*input!L313/(L46*RHOsolid),L172)</f>
        <v>2.893518518518519E-10</v>
      </c>
      <c r="L168" s="794">
        <f t="shared" si="7"/>
        <v>2.893518518518519E-10</v>
      </c>
      <c r="M168" s="790"/>
      <c r="N168" s="790"/>
    </row>
    <row r="169" spans="1:14" ht="12.75" customHeight="1" x14ac:dyDescent="0.3">
      <c r="A169" s="789"/>
      <c r="B169" s="789"/>
      <c r="C169" s="790"/>
      <c r="D169" s="789" t="s">
        <v>1220</v>
      </c>
      <c r="E169" s="801"/>
      <c r="F169" s="801"/>
      <c r="G169" s="888" t="s">
        <v>2081</v>
      </c>
      <c r="H169" s="801" t="s">
        <v>4734</v>
      </c>
      <c r="I169" s="875"/>
      <c r="J169" s="792" t="str">
        <f>IF(ISBLANK(HLOOKUP(CaseName,CaseData,MATCH($G169,cases!$G$4:$G$2494,0),FALSE)),"",HLOOKUP(CaseName,CaseData,MATCH($G169,cases!$G$4:$G$2494,0),FALSE))</f>
        <v/>
      </c>
      <c r="K169" s="870">
        <f>2.5/(24*3600)</f>
        <v>2.8935185185185186E-5</v>
      </c>
      <c r="L169" s="794">
        <f t="shared" si="7"/>
        <v>2.8935185185185186E-5</v>
      </c>
      <c r="M169" s="790"/>
      <c r="N169" s="790"/>
    </row>
    <row r="170" spans="1:14" ht="12.75" customHeight="1" x14ac:dyDescent="0.3">
      <c r="A170" s="796"/>
      <c r="B170" s="796"/>
      <c r="C170" s="797"/>
      <c r="D170" s="796" t="s">
        <v>1223</v>
      </c>
      <c r="E170" s="802"/>
      <c r="F170" s="802"/>
      <c r="G170" s="887" t="s">
        <v>2082</v>
      </c>
      <c r="H170" s="802" t="s">
        <v>4734</v>
      </c>
      <c r="I170" s="875"/>
      <c r="J170" s="792" t="str">
        <f>IF(ISBLANK(HLOOKUP(CaseName,CaseData,MATCH($G170,cases!$G$4:$G$2494,0),FALSE)),"",HLOOKUP(CaseName,CaseData,MATCH($G170,cases!$G$4:$G$2494,0),FALSE))</f>
        <v/>
      </c>
      <c r="K170" s="870">
        <v>8.6226851854606775E-11</v>
      </c>
      <c r="L170" s="794">
        <f t="shared" si="7"/>
        <v>8.6226851854606775E-11</v>
      </c>
      <c r="M170" s="797"/>
      <c r="N170" s="797"/>
    </row>
    <row r="171" spans="1:14" ht="12.75" customHeight="1" x14ac:dyDescent="0.3">
      <c r="A171" s="789"/>
      <c r="B171" s="789"/>
      <c r="C171" s="790"/>
      <c r="D171" s="789" t="s">
        <v>1225</v>
      </c>
      <c r="E171" s="801"/>
      <c r="F171" s="801"/>
      <c r="G171" s="888" t="s">
        <v>2083</v>
      </c>
      <c r="H171" s="801" t="s">
        <v>4734</v>
      </c>
      <c r="I171" s="875"/>
      <c r="J171" s="792" t="str">
        <f>IF(ISBLANK(HLOOKUP(CaseName,CaseData,MATCH($G171,cases!$G$4:$G$2494,0),FALSE)),"",HLOOKUP(CaseName,CaseData,MATCH($G171,cases!$G$4:$G$2494,0),FALSE))</f>
        <v/>
      </c>
      <c r="K171" s="870">
        <v>8.6226851854606775E-11</v>
      </c>
      <c r="L171" s="794">
        <f t="shared" si="7"/>
        <v>8.6226851854606775E-11</v>
      </c>
      <c r="M171" s="790"/>
      <c r="N171" s="790"/>
    </row>
    <row r="172" spans="1:14" ht="12.75" customHeight="1" x14ac:dyDescent="0.3">
      <c r="A172" s="789"/>
      <c r="B172" s="789"/>
      <c r="C172" s="790"/>
      <c r="D172" s="789" t="s">
        <v>1228</v>
      </c>
      <c r="E172" s="801"/>
      <c r="F172" s="801"/>
      <c r="G172" s="888" t="s">
        <v>2084</v>
      </c>
      <c r="H172" s="801" t="s">
        <v>4734</v>
      </c>
      <c r="I172" s="875"/>
      <c r="J172" s="792" t="str">
        <f>IF(ISBLANK(HLOOKUP(CaseName,CaseData,MATCH($G172,cases!$G$4:$G$2494,0),FALSE)),"",HLOOKUP(CaseName,CaseData,MATCH($G172,cases!$G$4:$G$2494,0),FALSE))</f>
        <v/>
      </c>
      <c r="K172" s="889">
        <v>2.74E-11</v>
      </c>
      <c r="L172" s="794">
        <f t="shared" si="7"/>
        <v>2.74E-11</v>
      </c>
      <c r="M172" s="790"/>
      <c r="N172" s="790"/>
    </row>
    <row r="173" spans="1:14" ht="12.75" customHeight="1" x14ac:dyDescent="0.3">
      <c r="A173" s="789"/>
      <c r="B173" s="789"/>
      <c r="C173" s="790"/>
      <c r="D173" s="790"/>
      <c r="E173" s="789" t="s">
        <v>1230</v>
      </c>
      <c r="F173" s="789"/>
      <c r="G173" s="888" t="s">
        <v>2085</v>
      </c>
      <c r="H173" s="789" t="s">
        <v>4744</v>
      </c>
      <c r="I173" s="875"/>
      <c r="J173" s="792" t="str">
        <f>IF(ISBLANK(HLOOKUP(CaseName,CaseData,MATCH($G173,cases!$G$4:$G$2494,0),FALSE)),"",HLOOKUP(CaseName,CaseData,MATCH($G173,cases!$G$4:$G$2494,0),FALSE))</f>
        <v/>
      </c>
      <c r="K173" s="870">
        <v>10</v>
      </c>
      <c r="L173" s="794">
        <f>IF(ISBLANK(I173),IF(ISNUMBER(J173)=FALSE,K173/(1000*3600*24*365)*L18*L16,J173/(1000*3600*24*365)*L18*L16),I173/(1000*3600*24*365)*L18*L16)</f>
        <v>30.397196854388636</v>
      </c>
      <c r="M173" s="790"/>
      <c r="N173" s="790"/>
    </row>
    <row r="174" spans="1:14" ht="12.75" customHeight="1" x14ac:dyDescent="0.3">
      <c r="A174" s="789"/>
      <c r="B174" s="789"/>
      <c r="C174" s="790"/>
      <c r="D174" s="790"/>
      <c r="E174" s="789" t="s">
        <v>1234</v>
      </c>
      <c r="F174" s="789"/>
      <c r="G174" s="888" t="s">
        <v>2086</v>
      </c>
      <c r="H174" s="789" t="s">
        <v>4744</v>
      </c>
      <c r="I174" s="875"/>
      <c r="J174" s="792" t="str">
        <f>IF(ISBLANK(HLOOKUP(CaseName,CaseData,MATCH($G174,cases!$G$4:$G$2494,0),FALSE)),"",HLOOKUP(CaseName,CaseData,MATCH($G174,cases!$G$4:$G$2494,0),FALSE))</f>
        <v/>
      </c>
      <c r="K174" s="870">
        <v>5</v>
      </c>
      <c r="L174" s="794">
        <f>IF(ISBLANK(I174),IF(ISNUMBER(J174)=FALSE,K174/(1000*3600*24*365)*L22*L16,J174/(1000*3600*24*365)*L22*L16),I174/(1000*3600*24*365)*L22*L16)</f>
        <v>588.75729325215627</v>
      </c>
      <c r="M174" s="790"/>
      <c r="N174" s="790"/>
    </row>
    <row r="175" spans="1:14" ht="12.75" customHeight="1" x14ac:dyDescent="0.3">
      <c r="A175" s="790"/>
      <c r="B175" s="790" t="s">
        <v>1236</v>
      </c>
      <c r="C175" s="801"/>
      <c r="D175" s="801"/>
      <c r="E175" s="790"/>
      <c r="F175" s="790"/>
      <c r="G175" s="813" t="s">
        <v>2087</v>
      </c>
      <c r="H175" s="789" t="s">
        <v>4735</v>
      </c>
      <c r="I175" s="875"/>
      <c r="J175" s="792" t="str">
        <f>IF(ISBLANK(HLOOKUP(CaseName,CaseData,MATCH($G175,cases!$G$4:$G$2494,0),FALSE)),"",HLOOKUP(CaseName,CaseData,MATCH($G175,cases!$G$4:$G$2494,0),FALSE))</f>
        <v/>
      </c>
      <c r="K175" s="870">
        <f>(L179*L180)/(L179+L180)*L80</f>
        <v>2.7467202130042585E-8</v>
      </c>
      <c r="L175" s="794">
        <f t="shared" ref="L175:L180" si="8">IF(ISBLANK(I175),IF(ISNUMBER(J175)=FALSE,K175,J175),I175)</f>
        <v>2.7467202130042585E-8</v>
      </c>
      <c r="M175" s="790"/>
      <c r="N175" s="790"/>
    </row>
    <row r="176" spans="1:14" ht="12.75" customHeight="1" x14ac:dyDescent="0.3">
      <c r="A176" s="790"/>
      <c r="B176" s="790" t="s">
        <v>1238</v>
      </c>
      <c r="C176" s="801"/>
      <c r="D176" s="801"/>
      <c r="E176" s="790"/>
      <c r="F176" s="790"/>
      <c r="G176" s="813" t="s">
        <v>2088</v>
      </c>
      <c r="H176" s="789" t="s">
        <v>4735</v>
      </c>
      <c r="I176" s="875"/>
      <c r="J176" s="792" t="str">
        <f>IF(ISBLANK(HLOOKUP(CaseName,CaseData,MATCH($G176,cases!$G$4:$G$2494,0),FALSE)),"",HLOOKUP(CaseName,CaseData,MATCH($G176,cases!$G$4:$G$2494,0),FALSE))</f>
        <v/>
      </c>
      <c r="K176" s="870">
        <f>((L179*L180)/(L179+L180))/L91</f>
        <v>1.3726088155166722E-9</v>
      </c>
      <c r="L176" s="794">
        <f t="shared" si="8"/>
        <v>1.3726088155166722E-9</v>
      </c>
      <c r="M176" s="790"/>
      <c r="N176" s="790"/>
    </row>
    <row r="177" spans="1:14" ht="12.75" customHeight="1" x14ac:dyDescent="0.3">
      <c r="A177" s="790"/>
      <c r="B177" s="790" t="s">
        <v>1240</v>
      </c>
      <c r="C177" s="801"/>
      <c r="D177" s="801"/>
      <c r="E177" s="790"/>
      <c r="F177" s="801"/>
      <c r="G177" s="813" t="s">
        <v>2089</v>
      </c>
      <c r="H177" s="789" t="s">
        <v>4735</v>
      </c>
      <c r="I177" s="875"/>
      <c r="J177" s="792" t="str">
        <f>IF(ISBLANK(HLOOKUP(CaseName,CaseData,MATCH($G177,cases!$G$4:$G$2494,0),FALSE)),"",HLOOKUP(CaseName,CaseData,MATCH($G177,cases!$G$4:$G$2494,0),FALSE))</f>
        <v/>
      </c>
      <c r="K177" s="870">
        <f>(L179*L180)/(L179+L180)*L84</f>
        <v>2.7488326408426885E-8</v>
      </c>
      <c r="L177" s="794">
        <f t="shared" si="8"/>
        <v>2.7488326408426885E-8</v>
      </c>
      <c r="M177" s="790"/>
      <c r="N177" s="790"/>
    </row>
    <row r="178" spans="1:14" ht="12.75" customHeight="1" x14ac:dyDescent="0.3">
      <c r="A178" s="790"/>
      <c r="B178" s="790" t="s">
        <v>1242</v>
      </c>
      <c r="C178" s="801"/>
      <c r="D178" s="801"/>
      <c r="E178" s="790"/>
      <c r="F178" s="801"/>
      <c r="G178" s="813" t="s">
        <v>2090</v>
      </c>
      <c r="H178" s="789" t="s">
        <v>4735</v>
      </c>
      <c r="I178" s="875"/>
      <c r="J178" s="792" t="str">
        <f>IF(ISBLANK(HLOOKUP(CaseName,CaseData,MATCH($G178,cases!$G$4:$G$2494,0),FALSE)),"",HLOOKUP(CaseName,CaseData,MATCH($G178,cases!$G$4:$G$2494,0),FALSE))</f>
        <v/>
      </c>
      <c r="K178" s="870">
        <f>((L179*L180)/(L179+L180))/L94</f>
        <v>1.3726088155166722E-9</v>
      </c>
      <c r="L178" s="794">
        <f t="shared" si="8"/>
        <v>1.3726088155166722E-9</v>
      </c>
      <c r="M178" s="790"/>
      <c r="N178" s="790"/>
    </row>
    <row r="179" spans="1:14" ht="12.75" customHeight="1" x14ac:dyDescent="0.3">
      <c r="A179" s="789"/>
      <c r="B179" s="789"/>
      <c r="C179" s="790" t="s">
        <v>1244</v>
      </c>
      <c r="D179" s="790"/>
      <c r="E179" s="801"/>
      <c r="F179" s="801"/>
      <c r="G179" s="790" t="s">
        <v>2091</v>
      </c>
      <c r="H179" s="801" t="s">
        <v>4734</v>
      </c>
      <c r="I179" s="875"/>
      <c r="J179" s="792" t="str">
        <f>IF(ISBLANK(HLOOKUP(CaseName,CaseData,MATCH($G179,cases!$G$4:$G$2494,0),FALSE)),"",HLOOKUP(CaseName,CaseData,MATCH($G179,cases!$G$4:$G$2494,0),FALSE))</f>
        <v/>
      </c>
      <c r="K179" s="870">
        <v>2.7779999999999999E-6</v>
      </c>
      <c r="L179" s="794">
        <f t="shared" si="8"/>
        <v>2.7779999999999999E-6</v>
      </c>
      <c r="M179" s="790"/>
      <c r="N179" s="790"/>
    </row>
    <row r="180" spans="1:14" ht="12.75" customHeight="1" x14ac:dyDescent="0.3">
      <c r="A180" s="789"/>
      <c r="B180" s="789"/>
      <c r="C180" s="790" t="s">
        <v>1246</v>
      </c>
      <c r="D180" s="790"/>
      <c r="E180" s="801"/>
      <c r="F180" s="801"/>
      <c r="G180" s="790" t="s">
        <v>2092</v>
      </c>
      <c r="H180" s="801" t="s">
        <v>4734</v>
      </c>
      <c r="I180" s="875"/>
      <c r="J180" s="792" t="str">
        <f>IF(ISBLANK(HLOOKUP(CaseName,CaseData,MATCH($G180,cases!$G$4:$G$2494,0),FALSE)),"",HLOOKUP(CaseName,CaseData,MATCH($G180,cases!$G$4:$G$2494,0),FALSE))</f>
        <v/>
      </c>
      <c r="K180" s="870">
        <v>2.7779999999999998E-8</v>
      </c>
      <c r="L180" s="794">
        <f t="shared" si="8"/>
        <v>2.7779999999999998E-8</v>
      </c>
      <c r="M180" s="790"/>
      <c r="N180" s="790"/>
    </row>
    <row r="181" spans="1:14" ht="12.75" customHeight="1" x14ac:dyDescent="0.3">
      <c r="A181" s="821"/>
      <c r="B181" s="860"/>
      <c r="C181" s="821"/>
      <c r="D181" s="872"/>
      <c r="E181" s="872"/>
      <c r="F181" s="860"/>
      <c r="G181" s="872"/>
      <c r="H181" s="872"/>
      <c r="I181" s="872"/>
      <c r="J181" s="792"/>
      <c r="K181" s="873"/>
      <c r="L181" s="873"/>
      <c r="M181" s="872"/>
      <c r="N181" s="860"/>
    </row>
    <row r="182" spans="1:14" ht="12.75" customHeight="1" x14ac:dyDescent="0.3">
      <c r="A182" s="821" t="s">
        <v>2093</v>
      </c>
      <c r="B182" s="860"/>
      <c r="C182" s="860"/>
      <c r="D182" s="860"/>
      <c r="E182" s="860"/>
      <c r="F182" s="860"/>
      <c r="G182" s="821" t="s">
        <v>4667</v>
      </c>
      <c r="H182" s="821" t="s">
        <v>4690</v>
      </c>
      <c r="I182" s="875"/>
      <c r="J182" s="792" t="str">
        <f>IF(ISBLANK(HLOOKUP(CaseName,CaseData,MATCH($G182,cases!$G$4:$G$2494,0),FALSE)),"",HLOOKUP(CaseName,CaseData,MATCH($G182,cases!$G$4:$G$2494,0),FALSE))</f>
        <v/>
      </c>
      <c r="K182" s="890">
        <f>(RAINrate.C*L191/L97+L188)*L194/L30*L18/(L18+L17)</f>
        <v>5.5696901203386599E-9</v>
      </c>
      <c r="L182" s="794">
        <f t="shared" ref="L182:L196" si="9">IF(ISBLANK(I182),IF(ISNUMBER(J182)=FALSE,K182,J182),I182)</f>
        <v>5.5696901203386599E-9</v>
      </c>
      <c r="M182" s="872" t="s">
        <v>336</v>
      </c>
      <c r="N182" s="860"/>
    </row>
    <row r="183" spans="1:14" ht="12.75" customHeight="1" x14ac:dyDescent="0.3">
      <c r="A183" s="821" t="s">
        <v>2095</v>
      </c>
      <c r="B183" s="860"/>
      <c r="C183" s="860"/>
      <c r="D183" s="860"/>
      <c r="E183" s="860"/>
      <c r="F183" s="860"/>
      <c r="G183" s="821" t="s">
        <v>4668</v>
      </c>
      <c r="H183" s="821" t="s">
        <v>4690</v>
      </c>
      <c r="I183" s="875"/>
      <c r="J183" s="792" t="str">
        <f>IF(ISBLANK(HLOOKUP(CaseName,CaseData,MATCH($G183,cases!$G$4:$G$2494,0),FALSE)),"",HLOOKUP(CaseName,CaseData,MATCH($G183,cases!$G$4:$G$2494,0),FALSE))</f>
        <v/>
      </c>
      <c r="K183" s="890">
        <f>(RAINrate.C*L192/L102+L189)*L195/L31*L18/(L18+L17)</f>
        <v>2.5345110709015013E-9</v>
      </c>
      <c r="L183" s="794">
        <f t="shared" si="9"/>
        <v>2.5345110709015013E-9</v>
      </c>
      <c r="M183" s="872" t="s">
        <v>336</v>
      </c>
      <c r="N183" s="860"/>
    </row>
    <row r="184" spans="1:14" ht="12.75" customHeight="1" x14ac:dyDescent="0.3">
      <c r="A184" s="821" t="s">
        <v>2097</v>
      </c>
      <c r="B184" s="860"/>
      <c r="C184" s="860"/>
      <c r="D184" s="860"/>
      <c r="E184" s="860"/>
      <c r="F184" s="860"/>
      <c r="G184" s="821" t="s">
        <v>4669</v>
      </c>
      <c r="H184" s="821" t="s">
        <v>4690</v>
      </c>
      <c r="I184" s="875"/>
      <c r="J184" s="792" t="str">
        <f>IF(ISBLANK(HLOOKUP(CaseName,CaseData,MATCH($G184,cases!$G$4:$G$2494,0),FALSE)),"",HLOOKUP(CaseName,CaseData,MATCH($G184,cases!$G$4:$G$2494,0),FALSE))</f>
        <v/>
      </c>
      <c r="K184" s="890">
        <f>(RAINrate.C*L193/L107+L190)*L196/L32*L18/(L18+L17)</f>
        <v>5.5696901203386599E-9</v>
      </c>
      <c r="L184" s="794">
        <f t="shared" si="9"/>
        <v>5.5696901203386599E-9</v>
      </c>
      <c r="M184" s="872" t="s">
        <v>336</v>
      </c>
      <c r="N184" s="860"/>
    </row>
    <row r="185" spans="1:14" ht="12.75" customHeight="1" x14ac:dyDescent="0.3">
      <c r="A185" s="821" t="s">
        <v>2093</v>
      </c>
      <c r="B185" s="860"/>
      <c r="C185" s="860"/>
      <c r="D185" s="860"/>
      <c r="E185" s="860"/>
      <c r="F185" s="860"/>
      <c r="G185" s="821" t="s">
        <v>4670</v>
      </c>
      <c r="H185" s="821" t="s">
        <v>335</v>
      </c>
      <c r="I185" s="875"/>
      <c r="J185" s="792" t="str">
        <f>IF(ISBLANK(HLOOKUP(CaseName,CaseData,MATCH($G185,cases!$G$4:$G$2494,0),FALSE)),"",HLOOKUP(CaseName,CaseData,MATCH($G185,cases!$G$4:$G$2494,0),FALSE))</f>
        <v/>
      </c>
      <c r="K185" s="890">
        <f>(RAINrate.C*L191/L97+L188)*L194/L30*L17/(L18+L17)</f>
        <v>5.0633546548533281E-10</v>
      </c>
      <c r="L185" s="794">
        <f t="shared" si="9"/>
        <v>5.0633546548533281E-10</v>
      </c>
      <c r="M185" s="872" t="s">
        <v>336</v>
      </c>
      <c r="N185" s="860"/>
    </row>
    <row r="186" spans="1:14" ht="12.75" customHeight="1" x14ac:dyDescent="0.3">
      <c r="A186" s="821" t="s">
        <v>2095</v>
      </c>
      <c r="B186" s="860"/>
      <c r="C186" s="860"/>
      <c r="D186" s="860"/>
      <c r="E186" s="860"/>
      <c r="F186" s="860"/>
      <c r="G186" s="821" t="s">
        <v>4671</v>
      </c>
      <c r="H186" s="821" t="s">
        <v>335</v>
      </c>
      <c r="I186" s="875"/>
      <c r="J186" s="792" t="str">
        <f>IF(ISBLANK(HLOOKUP(CaseName,CaseData,MATCH($G186,cases!$G$4:$G$2494,0),FALSE)),"",HLOOKUP(CaseName,CaseData,MATCH($G186,cases!$G$4:$G$2494,0),FALSE))</f>
        <v/>
      </c>
      <c r="K186" s="890">
        <f>(RAINrate.C*L192/L102+L189)*L195/L31*L17/(L18+L17)</f>
        <v>2.3041009735468192E-10</v>
      </c>
      <c r="L186" s="794">
        <f t="shared" si="9"/>
        <v>2.3041009735468192E-10</v>
      </c>
      <c r="M186" s="872" t="s">
        <v>336</v>
      </c>
      <c r="N186" s="860"/>
    </row>
    <row r="187" spans="1:14" ht="12.75" customHeight="1" x14ac:dyDescent="0.3">
      <c r="A187" s="821" t="s">
        <v>2097</v>
      </c>
      <c r="B187" s="860"/>
      <c r="C187" s="860"/>
      <c r="D187" s="860"/>
      <c r="E187" s="860"/>
      <c r="F187" s="860"/>
      <c r="G187" s="821" t="s">
        <v>4672</v>
      </c>
      <c r="H187" s="821" t="s">
        <v>335</v>
      </c>
      <c r="I187" s="875"/>
      <c r="J187" s="792" t="str">
        <f>IF(ISBLANK(HLOOKUP(CaseName,CaseData,MATCH($G187,cases!$G$4:$G$2494,0),FALSE)),"",HLOOKUP(CaseName,CaseData,MATCH($G187,cases!$G$4:$G$2494,0),FALSE))</f>
        <v/>
      </c>
      <c r="K187" s="890">
        <f>(RAINrate.C*L193/L107+L190)*L196/L32*L17/(L18+L17)</f>
        <v>5.0633546548533281E-10</v>
      </c>
      <c r="L187" s="794">
        <f t="shared" si="9"/>
        <v>5.0633546548533281E-10</v>
      </c>
      <c r="M187" s="872" t="s">
        <v>336</v>
      </c>
      <c r="N187" s="860"/>
    </row>
    <row r="188" spans="1:14" ht="12.75" customHeight="1" x14ac:dyDescent="0.3">
      <c r="A188" s="821"/>
      <c r="B188" s="872" t="s">
        <v>1251</v>
      </c>
      <c r="C188" s="860"/>
      <c r="D188" s="872"/>
      <c r="E188" s="872"/>
      <c r="F188" s="872"/>
      <c r="G188" s="891" t="s">
        <v>2099</v>
      </c>
      <c r="H188" s="872" t="s">
        <v>4734</v>
      </c>
      <c r="I188" s="892"/>
      <c r="J188" s="792" t="str">
        <f>IF(ISBLANK(HLOOKUP(CaseName,CaseData,MATCH($G188,cases!$G$4:$G$2494,0),FALSE)),"",HLOOKUP(CaseName,CaseData,MATCH($G188,cases!$G$4:$G$2494,0),FALSE))</f>
        <v/>
      </c>
      <c r="K188" s="890">
        <f>EROSION.C</f>
        <v>9.5129375951293754E-13</v>
      </c>
      <c r="L188" s="794">
        <f t="shared" si="9"/>
        <v>9.5129375951293754E-13</v>
      </c>
      <c r="M188" s="860"/>
      <c r="N188" s="860"/>
    </row>
    <row r="189" spans="1:14" ht="12.75" customHeight="1" x14ac:dyDescent="0.3">
      <c r="A189" s="821"/>
      <c r="B189" s="872" t="s">
        <v>1253</v>
      </c>
      <c r="C189" s="860"/>
      <c r="D189" s="872"/>
      <c r="E189" s="872"/>
      <c r="F189" s="872"/>
      <c r="G189" s="891" t="s">
        <v>2100</v>
      </c>
      <c r="H189" s="872" t="s">
        <v>4734</v>
      </c>
      <c r="I189" s="892"/>
      <c r="J189" s="792" t="str">
        <f>IF(ISBLANK(HLOOKUP(CaseName,CaseData,MATCH($G189,cases!$G$4:$G$2494,0),FALSE)),"",HLOOKUP(CaseName,CaseData,MATCH($G189,cases!$G$4:$G$2494,0),FALSE))</f>
        <v/>
      </c>
      <c r="K189" s="890">
        <f>EROSION.C</f>
        <v>9.5129375951293754E-13</v>
      </c>
      <c r="L189" s="794">
        <f t="shared" si="9"/>
        <v>9.5129375951293754E-13</v>
      </c>
      <c r="M189" s="860"/>
      <c r="N189" s="860"/>
    </row>
    <row r="190" spans="1:14" ht="12.75" customHeight="1" x14ac:dyDescent="0.3">
      <c r="A190" s="821"/>
      <c r="B190" s="872" t="s">
        <v>1255</v>
      </c>
      <c r="C190" s="860"/>
      <c r="D190" s="872"/>
      <c r="E190" s="872"/>
      <c r="F190" s="872"/>
      <c r="G190" s="891" t="s">
        <v>2101</v>
      </c>
      <c r="H190" s="872" t="s">
        <v>4734</v>
      </c>
      <c r="I190" s="893"/>
      <c r="J190" s="792" t="str">
        <f>IF(ISBLANK(HLOOKUP(CaseName,CaseData,MATCH($G190,cases!$G$4:$G$2494,0),FALSE)),"",HLOOKUP(CaseName,CaseData,MATCH($G190,cases!$G$4:$G$2494,0),FALSE))</f>
        <v/>
      </c>
      <c r="K190" s="890">
        <f>EROSION.C</f>
        <v>9.5129375951293754E-13</v>
      </c>
      <c r="L190" s="794">
        <f t="shared" si="9"/>
        <v>9.5129375951293754E-13</v>
      </c>
      <c r="M190" s="860"/>
      <c r="N190" s="860"/>
    </row>
    <row r="191" spans="1:14" ht="12.75" customHeight="1" x14ac:dyDescent="0.3">
      <c r="A191" s="821"/>
      <c r="B191" s="821" t="s">
        <v>1257</v>
      </c>
      <c r="C191" s="860"/>
      <c r="D191" s="872"/>
      <c r="E191" s="872"/>
      <c r="F191" s="872"/>
      <c r="G191" s="891" t="s">
        <v>2102</v>
      </c>
      <c r="H191" s="821" t="s">
        <v>291</v>
      </c>
      <c r="I191" s="892"/>
      <c r="J191" s="792" t="str">
        <f>IF(ISBLANK(HLOOKUP(CaseName,CaseData,MATCH($G191,cases!$G$4:$G$2494,0),FALSE)),"",HLOOKUP(CaseName,CaseData,MATCH($G191,cases!$G$4:$G$2494,0),FALSE))</f>
        <v/>
      </c>
      <c r="K191" s="890">
        <f>FRACrun.C</f>
        <v>0.25</v>
      </c>
      <c r="L191" s="794">
        <f t="shared" si="9"/>
        <v>0.25</v>
      </c>
      <c r="M191" s="860"/>
      <c r="N191" s="860"/>
    </row>
    <row r="192" spans="1:14" ht="12.75" customHeight="1" x14ac:dyDescent="0.3">
      <c r="A192" s="821"/>
      <c r="B192" s="821" t="s">
        <v>1259</v>
      </c>
      <c r="C192" s="860"/>
      <c r="D192" s="872"/>
      <c r="E192" s="872"/>
      <c r="F192" s="872"/>
      <c r="G192" s="891" t="s">
        <v>2103</v>
      </c>
      <c r="H192" s="821" t="s">
        <v>291</v>
      </c>
      <c r="I192" s="892"/>
      <c r="J192" s="792" t="str">
        <f>IF(ISBLANK(HLOOKUP(CaseName,CaseData,MATCH($G192,cases!$G$4:$G$2494,0),FALSE)),"",HLOOKUP(CaseName,CaseData,MATCH($G192,cases!$G$4:$G$2494,0),FALSE))</f>
        <v/>
      </c>
      <c r="K192" s="890">
        <f>FRACrun.C</f>
        <v>0.25</v>
      </c>
      <c r="L192" s="794">
        <f t="shared" si="9"/>
        <v>0.25</v>
      </c>
      <c r="M192" s="860"/>
      <c r="N192" s="860"/>
    </row>
    <row r="193" spans="1:14" ht="12.75" customHeight="1" x14ac:dyDescent="0.3">
      <c r="A193" s="821"/>
      <c r="B193" s="821" t="s">
        <v>1261</v>
      </c>
      <c r="C193" s="860"/>
      <c r="D193" s="872"/>
      <c r="E193" s="872"/>
      <c r="F193" s="872"/>
      <c r="G193" s="891" t="s">
        <v>2104</v>
      </c>
      <c r="H193" s="821" t="s">
        <v>291</v>
      </c>
      <c r="I193" s="892"/>
      <c r="J193" s="792" t="str">
        <f>IF(ISBLANK(HLOOKUP(CaseName,CaseData,MATCH($G193,cases!$G$4:$G$2494,0),FALSE)),"",HLOOKUP(CaseName,CaseData,MATCH($G193,cases!$G$4:$G$2494,0),FALSE))</f>
        <v/>
      </c>
      <c r="K193" s="890">
        <f>FRACrun.C</f>
        <v>0.25</v>
      </c>
      <c r="L193" s="794">
        <f t="shared" si="9"/>
        <v>0.25</v>
      </c>
      <c r="M193" s="860"/>
      <c r="N193" s="860"/>
    </row>
    <row r="194" spans="1:14" ht="12.75" customHeight="1" x14ac:dyDescent="0.3">
      <c r="A194" s="821"/>
      <c r="B194" s="860" t="s">
        <v>1185</v>
      </c>
      <c r="C194" s="860"/>
      <c r="D194" s="872"/>
      <c r="E194" s="872"/>
      <c r="F194" s="872"/>
      <c r="G194" s="894" t="s">
        <v>2105</v>
      </c>
      <c r="H194" s="860" t="s">
        <v>291</v>
      </c>
      <c r="I194" s="893"/>
      <c r="J194" s="792" t="str">
        <f>IF(ISBLANK(HLOOKUP(CaseName,CaseData,MATCH($G194,cases!$G$4:$G$2494,0),FALSE)),"",HLOOKUP(CaseName,CaseData,MATCH($G194,cases!$G$4:$G$2494,0),FALSE))</f>
        <v/>
      </c>
      <c r="K194" s="890">
        <f>(EXP((-1/0.1)*0)*(1/0.1)*L30/(1-EXP((-1/0.1)*L30)))</f>
        <v>1.2707470412683992</v>
      </c>
      <c r="L194" s="794">
        <f t="shared" si="9"/>
        <v>1.2707470412683992</v>
      </c>
      <c r="M194" s="860"/>
      <c r="N194" s="860"/>
    </row>
    <row r="195" spans="1:14" ht="12.75" customHeight="1" x14ac:dyDescent="0.3">
      <c r="A195" s="821"/>
      <c r="B195" s="860" t="s">
        <v>1185</v>
      </c>
      <c r="C195" s="860"/>
      <c r="D195" s="872"/>
      <c r="E195" s="872"/>
      <c r="F195" s="872"/>
      <c r="G195" s="894" t="s">
        <v>2106</v>
      </c>
      <c r="H195" s="860" t="s">
        <v>291</v>
      </c>
      <c r="I195" s="893"/>
      <c r="J195" s="792" t="str">
        <f>IF(ISBLANK(HLOOKUP(CaseName,CaseData,MATCH($G195,cases!$G$4:$G$2494,0),FALSE)),"",HLOOKUP(CaseName,CaseData,MATCH($G195,cases!$G$4:$G$2494,0),FALSE))</f>
        <v/>
      </c>
      <c r="K195" s="890">
        <f>(EXP((-1/0.1)*0)*(1/0.1)*L31/(1-EXP((-1/0.1)*L31)))</f>
        <v>2.3130352854993315</v>
      </c>
      <c r="L195" s="794">
        <f t="shared" si="9"/>
        <v>2.3130352854993315</v>
      </c>
      <c r="M195" s="860"/>
      <c r="N195" s="860"/>
    </row>
    <row r="196" spans="1:14" ht="12.75" customHeight="1" x14ac:dyDescent="0.3">
      <c r="A196" s="821"/>
      <c r="B196" s="860" t="s">
        <v>1185</v>
      </c>
      <c r="C196" s="860"/>
      <c r="D196" s="872"/>
      <c r="E196" s="872"/>
      <c r="F196" s="872"/>
      <c r="G196" s="894" t="s">
        <v>2107</v>
      </c>
      <c r="H196" s="860" t="s">
        <v>291</v>
      </c>
      <c r="I196" s="893"/>
      <c r="J196" s="792" t="str">
        <f>IF(ISBLANK(HLOOKUP(CaseName,CaseData,MATCH($G196,cases!$G$4:$G$2494,0),FALSE)),"",HLOOKUP(CaseName,CaseData,MATCH($G196,cases!$G$4:$G$2494,0),FALSE))</f>
        <v/>
      </c>
      <c r="K196" s="890">
        <f>(EXP((-1/0.1)*0)*(1/0.1)*L32/(1-EXP((-1/0.1)*L32)))</f>
        <v>1.2707470412683992</v>
      </c>
      <c r="L196" s="794">
        <f t="shared" si="9"/>
        <v>1.2707470412683992</v>
      </c>
      <c r="M196" s="860"/>
      <c r="N196" s="860"/>
    </row>
    <row r="197" spans="1:14" ht="12.75" customHeight="1" x14ac:dyDescent="0.3">
      <c r="A197" s="860"/>
      <c r="B197" s="860"/>
      <c r="C197" s="860"/>
      <c r="D197" s="860"/>
      <c r="E197" s="860"/>
      <c r="F197" s="860"/>
      <c r="G197" s="860"/>
      <c r="H197" s="860"/>
      <c r="I197" s="861"/>
      <c r="J197" s="792"/>
      <c r="K197" s="863"/>
      <c r="L197" s="863"/>
      <c r="M197" s="860"/>
      <c r="N197" s="860"/>
    </row>
    <row r="198" spans="1:14" ht="12.75" customHeight="1" x14ac:dyDescent="0.3">
      <c r="A198" s="865" t="s">
        <v>1266</v>
      </c>
      <c r="B198" s="864"/>
      <c r="C198" s="864"/>
      <c r="D198" s="864"/>
      <c r="E198" s="864"/>
      <c r="F198" s="864"/>
      <c r="G198" s="865" t="s">
        <v>258</v>
      </c>
      <c r="H198" s="865" t="s">
        <v>274</v>
      </c>
      <c r="I198" s="864" t="s">
        <v>259</v>
      </c>
      <c r="J198" s="866" t="s">
        <v>275</v>
      </c>
      <c r="K198" s="867" t="s">
        <v>260</v>
      </c>
      <c r="L198" s="867" t="s">
        <v>261</v>
      </c>
      <c r="M198" s="864"/>
      <c r="N198" s="865" t="s">
        <v>262</v>
      </c>
    </row>
    <row r="199" spans="1:14" ht="12.75" customHeight="1" x14ac:dyDescent="0.3">
      <c r="A199" s="821"/>
      <c r="B199" s="860"/>
      <c r="C199" s="860"/>
      <c r="D199" s="860"/>
      <c r="E199" s="860"/>
      <c r="F199" s="860"/>
      <c r="G199" s="860"/>
      <c r="H199" s="860"/>
      <c r="I199" s="861"/>
      <c r="J199" s="792"/>
      <c r="K199" s="863"/>
      <c r="L199" s="863"/>
      <c r="M199" s="860"/>
      <c r="N199" s="860"/>
    </row>
    <row r="200" spans="1:14" ht="12.75" customHeight="1" x14ac:dyDescent="0.3">
      <c r="A200" s="821" t="s">
        <v>1267</v>
      </c>
      <c r="B200" s="860"/>
      <c r="C200" s="860"/>
      <c r="D200" s="860"/>
      <c r="E200" s="860"/>
      <c r="F200" s="860"/>
      <c r="G200" s="821" t="s">
        <v>2108</v>
      </c>
      <c r="H200" s="821" t="s">
        <v>4690</v>
      </c>
      <c r="I200" s="875"/>
      <c r="J200" s="792" t="str">
        <f>IF(ISBLANK(HLOOKUP(CaseName,CaseData,MATCH($G200,cases!$G$4:$G$2494,0),FALSE)),"",HLOOKUP(CaseName,CaseData,MATCH($G200,cases!$G$4:$G$2494,0),FALSE))</f>
        <v/>
      </c>
      <c r="K200" s="874">
        <f>L210+L70*kdegG.air*(L212/C.OHrad)*L213</f>
        <v>2.1630471517752678E-7</v>
      </c>
      <c r="L200" s="794">
        <f t="shared" ref="L200:L232" si="10">IF(ISBLANK(I200),IF(ISNUMBER(J200)=FALSE,K200,J200),I200)</f>
        <v>2.1630471517752678E-7</v>
      </c>
      <c r="M200" s="860" t="s">
        <v>1038</v>
      </c>
      <c r="N200" s="860"/>
    </row>
    <row r="201" spans="1:14" ht="12.75" customHeight="1" x14ac:dyDescent="0.3">
      <c r="A201" s="821" t="s">
        <v>1268</v>
      </c>
      <c r="B201" s="860"/>
      <c r="C201" s="860"/>
      <c r="D201" s="860"/>
      <c r="E201" s="860"/>
      <c r="F201" s="860"/>
      <c r="G201" s="821" t="s">
        <v>2109</v>
      </c>
      <c r="H201" s="821" t="s">
        <v>4690</v>
      </c>
      <c r="I201" s="875"/>
      <c r="J201" s="792" t="str">
        <f>IF(ISBLANK(HLOOKUP(CaseName,CaseData,MATCH($G201,cases!$G$4:$G$2494,0),FALSE)),"",HLOOKUP(CaseName,CaseData,MATCH($G201,cases!$G$4:$G$2494,0),FALSE))</f>
        <v/>
      </c>
      <c r="K201" s="874">
        <f>kdeg.water*L220*(L217/BACT.test)*L76</f>
        <v>8.6888547727987207E-8</v>
      </c>
      <c r="L201" s="794">
        <f t="shared" si="10"/>
        <v>8.6888547727987207E-8</v>
      </c>
      <c r="M201" s="860" t="s">
        <v>1038</v>
      </c>
      <c r="N201" s="860"/>
    </row>
    <row r="202" spans="1:14" ht="12.75" customHeight="1" x14ac:dyDescent="0.3">
      <c r="A202" s="821" t="s">
        <v>1269</v>
      </c>
      <c r="B202" s="860"/>
      <c r="C202" s="860"/>
      <c r="D202" s="860"/>
      <c r="E202" s="860"/>
      <c r="F202" s="860"/>
      <c r="G202" s="821" t="s">
        <v>2110</v>
      </c>
      <c r="H202" s="821" t="s">
        <v>4690</v>
      </c>
      <c r="I202" s="875"/>
      <c r="J202" s="792" t="str">
        <f>IF(ISBLANK(HLOOKUP(CaseName,CaseData,MATCH($G202,cases!$G$4:$G$2494,0),FALSE)),"",HLOOKUP(CaseName,CaseData,MATCH($G202,cases!$G$4:$G$2494,0),FALSE))</f>
        <v/>
      </c>
      <c r="K202" s="874">
        <f>kdeg.water*L220*(L218/BACT.test)*L80</f>
        <v>8.6791727940822063E-8</v>
      </c>
      <c r="L202" s="794">
        <f t="shared" si="10"/>
        <v>8.6791727940822063E-8</v>
      </c>
      <c r="M202" s="860" t="s">
        <v>1038</v>
      </c>
      <c r="N202" s="860"/>
    </row>
    <row r="203" spans="1:14" ht="12.75" customHeight="1" x14ac:dyDescent="0.3">
      <c r="A203" s="821" t="s">
        <v>1270</v>
      </c>
      <c r="B203" s="860"/>
      <c r="C203" s="860"/>
      <c r="D203" s="860"/>
      <c r="E203" s="860"/>
      <c r="F203" s="860"/>
      <c r="G203" s="821" t="s">
        <v>2111</v>
      </c>
      <c r="H203" s="821" t="s">
        <v>4690</v>
      </c>
      <c r="I203" s="875"/>
      <c r="J203" s="792" t="str">
        <f>IF(ISBLANK(HLOOKUP(CaseName,CaseData,MATCH($G203,cases!$G$4:$G$2494,0),FALSE)),"",HLOOKUP(CaseName,CaseData,MATCH($G203,cases!$G$4:$G$2494,0),FALSE))</f>
        <v/>
      </c>
      <c r="K203" s="870">
        <f>kdeg.water*L220*(L219/BACT.test)*L84</f>
        <v>8.6858477099101683E-8</v>
      </c>
      <c r="L203" s="794">
        <f t="shared" si="10"/>
        <v>8.6858477099101683E-8</v>
      </c>
      <c r="M203" s="860" t="s">
        <v>1038</v>
      </c>
      <c r="N203" s="860"/>
    </row>
    <row r="204" spans="1:14" ht="12.75" customHeight="1" x14ac:dyDescent="0.3">
      <c r="A204" s="821" t="s">
        <v>1271</v>
      </c>
      <c r="B204" s="860"/>
      <c r="C204" s="860"/>
      <c r="D204" s="860"/>
      <c r="E204" s="860"/>
      <c r="F204" s="860"/>
      <c r="G204" s="821" t="s">
        <v>2112</v>
      </c>
      <c r="H204" s="821" t="s">
        <v>4690</v>
      </c>
      <c r="I204" s="875"/>
      <c r="J204" s="792" t="str">
        <f>IF(ISBLANK(HLOOKUP(CaseName,CaseData,MATCH($G204,cases!$G$4:$G$2494,0),FALSE)),"",HLOOKUP(CaseName,CaseData,MATCH($G204,cases!$G$4:$G$2494,0),FALSE))</f>
        <v/>
      </c>
      <c r="K204" s="890">
        <f>L221+L170/L27</f>
        <v>1.2540031911792764E-8</v>
      </c>
      <c r="L204" s="794">
        <f t="shared" si="10"/>
        <v>1.2540031911792764E-8</v>
      </c>
      <c r="M204" s="860" t="s">
        <v>1038</v>
      </c>
      <c r="N204" s="860"/>
    </row>
    <row r="205" spans="1:14" ht="12.75" customHeight="1" x14ac:dyDescent="0.3">
      <c r="A205" s="821" t="s">
        <v>1273</v>
      </c>
      <c r="B205" s="860"/>
      <c r="C205" s="860"/>
      <c r="D205" s="860"/>
      <c r="E205" s="860"/>
      <c r="F205" s="860"/>
      <c r="G205" s="821" t="s">
        <v>2113</v>
      </c>
      <c r="H205" s="821" t="s">
        <v>4690</v>
      </c>
      <c r="I205" s="875"/>
      <c r="J205" s="792" t="str">
        <f>IF(ISBLANK(HLOOKUP(CaseName,CaseData,MATCH($G205,cases!$G$4:$G$2494,0),FALSE)),"",HLOOKUP(CaseName,CaseData,MATCH($G205,cases!$G$4:$G$2494,0),FALSE))</f>
        <v/>
      </c>
      <c r="K205" s="890">
        <f>L222+L171/L28</f>
        <v>1.2540031911792764E-8</v>
      </c>
      <c r="L205" s="794">
        <f t="shared" si="10"/>
        <v>1.2540031911792764E-8</v>
      </c>
      <c r="M205" s="860" t="s">
        <v>1038</v>
      </c>
      <c r="N205" s="860"/>
    </row>
    <row r="206" spans="1:14" ht="12.75" customHeight="1" x14ac:dyDescent="0.3">
      <c r="A206" s="821" t="s">
        <v>1274</v>
      </c>
      <c r="B206" s="860"/>
      <c r="C206" s="860"/>
      <c r="D206" s="860"/>
      <c r="E206" s="860"/>
      <c r="F206" s="860"/>
      <c r="G206" s="821" t="s">
        <v>2114</v>
      </c>
      <c r="H206" s="821" t="s">
        <v>4690</v>
      </c>
      <c r="I206" s="875"/>
      <c r="J206" s="792" t="str">
        <f>IF(ISBLANK(HLOOKUP(CaseName,CaseData,MATCH($G206,cases!$G$4:$G$2494,0),FALSE)),"",HLOOKUP(CaseName,CaseData,MATCH($G206,cases!$G$4:$G$2494,0),FALSE))</f>
        <v/>
      </c>
      <c r="K206" s="890">
        <f>L223+L172/L29</f>
        <v>1.0579136849972537E-8</v>
      </c>
      <c r="L206" s="794">
        <f t="shared" si="10"/>
        <v>1.0579136849972537E-8</v>
      </c>
      <c r="M206" s="860" t="s">
        <v>1038</v>
      </c>
      <c r="N206" s="860"/>
    </row>
    <row r="207" spans="1:14" ht="12.75" customHeight="1" x14ac:dyDescent="0.3">
      <c r="A207" s="821" t="s">
        <v>1275</v>
      </c>
      <c r="B207" s="860"/>
      <c r="C207" s="860"/>
      <c r="D207" s="860"/>
      <c r="E207" s="860"/>
      <c r="F207" s="860"/>
      <c r="G207" s="821" t="s">
        <v>2115</v>
      </c>
      <c r="H207" s="821" t="s">
        <v>4690</v>
      </c>
      <c r="I207" s="875"/>
      <c r="J207" s="792" t="str">
        <f>IF(ISBLANK(HLOOKUP(CaseName,CaseData,MATCH($G207,cases!$G$4:$G$2494,0),FALSE)),"",HLOOKUP(CaseName,CaseData,MATCH($G207,cases!$G$4:$G$2494,0),FALSE))</f>
        <v/>
      </c>
      <c r="K207" s="890">
        <f>L224+L227*RAINrate.C/L97*L230/L30</f>
        <v>4.3496280239573685E-8</v>
      </c>
      <c r="L207" s="794">
        <f t="shared" si="10"/>
        <v>4.3496280239573685E-8</v>
      </c>
      <c r="M207" s="860" t="s">
        <v>1038</v>
      </c>
      <c r="N207" s="860"/>
    </row>
    <row r="208" spans="1:14" ht="12.75" customHeight="1" x14ac:dyDescent="0.3">
      <c r="A208" s="821" t="s">
        <v>1275</v>
      </c>
      <c r="B208" s="860"/>
      <c r="C208" s="860"/>
      <c r="D208" s="860"/>
      <c r="E208" s="860"/>
      <c r="F208" s="860"/>
      <c r="G208" s="821" t="s">
        <v>2116</v>
      </c>
      <c r="H208" s="821" t="s">
        <v>4690</v>
      </c>
      <c r="I208" s="875"/>
      <c r="J208" s="792" t="str">
        <f>IF(ISBLANK(HLOOKUP(CaseName,CaseData,MATCH($G208,cases!$G$4:$G$2494,0),FALSE)),"",HLOOKUP(CaseName,CaseData,MATCH($G208,cases!$G$4:$G$2494,0),FALSE))</f>
        <v/>
      </c>
      <c r="K208" s="890">
        <f>L225+L228*RAINrate.C/L102*L231/L31</f>
        <v>4.3474058967261533E-8</v>
      </c>
      <c r="L208" s="794">
        <f t="shared" si="10"/>
        <v>4.3474058967261533E-8</v>
      </c>
      <c r="M208" s="860" t="s">
        <v>1038</v>
      </c>
      <c r="N208" s="860"/>
    </row>
    <row r="209" spans="1:14" ht="12.75" customHeight="1" x14ac:dyDescent="0.3">
      <c r="A209" s="821" t="s">
        <v>1275</v>
      </c>
      <c r="B209" s="860"/>
      <c r="C209" s="860"/>
      <c r="D209" s="860"/>
      <c r="E209" s="860"/>
      <c r="F209" s="860"/>
      <c r="G209" s="821" t="s">
        <v>2117</v>
      </c>
      <c r="H209" s="821" t="s">
        <v>4690</v>
      </c>
      <c r="I209" s="875"/>
      <c r="J209" s="792" t="str">
        <f>IF(ISBLANK(HLOOKUP(CaseName,CaseData,MATCH($G209,cases!$G$4:$G$2494,0),FALSE)),"",HLOOKUP(CaseName,CaseData,MATCH($G209,cases!$G$4:$G$2494,0),FALSE))</f>
        <v/>
      </c>
      <c r="K209" s="890">
        <f>L226+L229*RAINrate.C/L107*L232/L32</f>
        <v>4.3496280239573685E-8</v>
      </c>
      <c r="L209" s="794">
        <f t="shared" si="10"/>
        <v>4.3496280239573685E-8</v>
      </c>
      <c r="M209" s="860" t="s">
        <v>1038</v>
      </c>
      <c r="N209" s="860"/>
    </row>
    <row r="210" spans="1:14" ht="12.75" customHeight="1" x14ac:dyDescent="0.3">
      <c r="A210" s="821"/>
      <c r="B210" s="821" t="s">
        <v>1278</v>
      </c>
      <c r="C210" s="872"/>
      <c r="D210" s="860"/>
      <c r="E210" s="860"/>
      <c r="F210" s="860"/>
      <c r="G210" s="872" t="s">
        <v>2118</v>
      </c>
      <c r="H210" s="821" t="s">
        <v>4690</v>
      </c>
      <c r="I210" s="869"/>
      <c r="J210" s="792" t="str">
        <f>IF(ISBLANK(HLOOKUP(CaseName,CaseData,MATCH($G210,cases!$G$4:$G$2494,0),FALSE)),"",HLOOKUP(CaseName,CaseData,MATCH($G210,cases!$G$4:$G$2494,0),FALSE))</f>
        <v/>
      </c>
      <c r="K210" s="874">
        <f>LN(2)/(60*365*24*3600)</f>
        <v>3.663258818281463E-10</v>
      </c>
      <c r="L210" s="794">
        <f t="shared" si="10"/>
        <v>3.663258818281463E-10</v>
      </c>
      <c r="M210" s="821" t="s">
        <v>1038</v>
      </c>
      <c r="N210" s="860"/>
    </row>
    <row r="211" spans="1:14" ht="12.75" customHeight="1" x14ac:dyDescent="0.3">
      <c r="A211" s="821"/>
      <c r="B211" s="821" t="s">
        <v>1280</v>
      </c>
      <c r="C211" s="860"/>
      <c r="D211" s="860"/>
      <c r="E211" s="860"/>
      <c r="F211" s="860"/>
      <c r="G211" s="821" t="s">
        <v>2119</v>
      </c>
      <c r="H211" s="821" t="s">
        <v>4690</v>
      </c>
      <c r="I211" s="869"/>
      <c r="J211" s="792" t="str">
        <f>IF(ISBLANK(HLOOKUP(CaseName,CaseData,MATCH($G211,cases!$G$4:$G$2494,0),FALSE)),"",HLOOKUP(CaseName,CaseData,MATCH($G211,cases!$G$4:$G$2494,0),FALSE))</f>
        <v/>
      </c>
      <c r="K211" s="874">
        <f>L70*kdegG.air*(L212/C.OHrad)*L213</f>
        <v>2.1593838929569864E-7</v>
      </c>
      <c r="L211" s="794">
        <f t="shared" si="10"/>
        <v>2.1593838929569864E-7</v>
      </c>
      <c r="M211" s="821" t="s">
        <v>1038</v>
      </c>
      <c r="N211" s="860"/>
    </row>
    <row r="212" spans="1:14" ht="12.75" customHeight="1" x14ac:dyDescent="0.3">
      <c r="A212" s="872"/>
      <c r="B212" s="872"/>
      <c r="C212" s="821" t="s">
        <v>2120</v>
      </c>
      <c r="D212" s="860"/>
      <c r="E212" s="860"/>
      <c r="F212" s="860"/>
      <c r="G212" s="821" t="s">
        <v>2121</v>
      </c>
      <c r="H212" s="821" t="s">
        <v>4757</v>
      </c>
      <c r="I212" s="869"/>
      <c r="J212" s="792" t="str">
        <f>IF(ISBLANK(HLOOKUP(CaseName,CaseData,MATCH($G212,cases!$G$4:$G$2494,0),FALSE)),"",HLOOKUP(CaseName,CaseData,MATCH($G212,cases!$G$4:$G$2494,0),FALSE))</f>
        <v/>
      </c>
      <c r="K212" s="874">
        <v>500000</v>
      </c>
      <c r="L212" s="794">
        <f t="shared" si="10"/>
        <v>500000</v>
      </c>
      <c r="M212" s="821" t="s">
        <v>1284</v>
      </c>
      <c r="N212" s="860"/>
    </row>
    <row r="213" spans="1:14" ht="12.75" customHeight="1" x14ac:dyDescent="0.3">
      <c r="A213" s="872"/>
      <c r="B213" s="872"/>
      <c r="C213" s="821" t="s">
        <v>2122</v>
      </c>
      <c r="D213" s="860"/>
      <c r="E213" s="860"/>
      <c r="F213" s="860"/>
      <c r="G213" s="821" t="s">
        <v>2123</v>
      </c>
      <c r="H213" s="821" t="s">
        <v>291</v>
      </c>
      <c r="I213" s="869"/>
      <c r="J213" s="792" t="str">
        <f>IF(ISBLANK(HLOOKUP(CaseName,CaseData,MATCH($G213,cases!$G$4:$G$2494,0),FALSE)),"",HLOOKUP(CaseName,CaseData,MATCH($G213,cases!$G$4:$G$2494,0),FALSE))</f>
        <v/>
      </c>
      <c r="K213" s="874">
        <f>EXP((Ea.OHrad/8.314)*(TEMP.C-298)/298^2)</f>
        <v>0.89974332049812744</v>
      </c>
      <c r="L213" s="794">
        <f t="shared" si="10"/>
        <v>0.89974332049812744</v>
      </c>
      <c r="M213" s="821" t="s">
        <v>292</v>
      </c>
      <c r="N213" s="860"/>
    </row>
    <row r="214" spans="1:14" ht="12.75" customHeight="1" x14ac:dyDescent="0.3">
      <c r="A214" s="821"/>
      <c r="B214" s="821" t="s">
        <v>1287</v>
      </c>
      <c r="C214" s="860"/>
      <c r="D214" s="860"/>
      <c r="E214" s="860"/>
      <c r="F214" s="860"/>
      <c r="G214" s="821" t="s">
        <v>2124</v>
      </c>
      <c r="H214" s="821" t="s">
        <v>4690</v>
      </c>
      <c r="I214" s="871"/>
      <c r="J214" s="792" t="str">
        <f>IF(ISBLANK(HLOOKUP(CaseName,CaseData,MATCH($G214,cases!$G$4:$G$2494,0),FALSE)),"",HLOOKUP(CaseName,CaseData,MATCH($G214,cases!$G$4:$G$2494,0),FALSE))</f>
        <v/>
      </c>
      <c r="K214" s="874">
        <f>kdeg.water*L220*(L217/BACT.test)*L76</f>
        <v>8.6888547727987207E-8</v>
      </c>
      <c r="L214" s="794">
        <f t="shared" si="10"/>
        <v>8.6888547727987207E-8</v>
      </c>
      <c r="M214" s="821" t="s">
        <v>1038</v>
      </c>
      <c r="N214" s="860"/>
    </row>
    <row r="215" spans="1:14" ht="12.75" customHeight="1" x14ac:dyDescent="0.3">
      <c r="A215" s="821"/>
      <c r="B215" s="821" t="s">
        <v>1289</v>
      </c>
      <c r="C215" s="860"/>
      <c r="D215" s="860"/>
      <c r="E215" s="860"/>
      <c r="F215" s="860"/>
      <c r="G215" s="821" t="s">
        <v>2125</v>
      </c>
      <c r="H215" s="821" t="s">
        <v>4690</v>
      </c>
      <c r="I215" s="869"/>
      <c r="J215" s="792" t="str">
        <f>IF(ISBLANK(HLOOKUP(CaseName,CaseData,MATCH($G215,cases!$G$4:$G$2494,0),FALSE)),"",HLOOKUP(CaseName,CaseData,MATCH($G215,cases!$G$4:$G$2494,0),FALSE))</f>
        <v/>
      </c>
      <c r="K215" s="874">
        <f>kdeg.water*L220*(L218/BACT.test)*L80</f>
        <v>8.6791727940822063E-8</v>
      </c>
      <c r="L215" s="794">
        <f t="shared" si="10"/>
        <v>8.6791727940822063E-8</v>
      </c>
      <c r="M215" s="821" t="s">
        <v>1038</v>
      </c>
      <c r="N215" s="860"/>
    </row>
    <row r="216" spans="1:14" ht="12.75" customHeight="1" x14ac:dyDescent="0.3">
      <c r="A216" s="821"/>
      <c r="B216" s="821" t="s">
        <v>1291</v>
      </c>
      <c r="C216" s="860"/>
      <c r="D216" s="860"/>
      <c r="E216" s="860"/>
      <c r="F216" s="860"/>
      <c r="G216" s="821" t="s">
        <v>2126</v>
      </c>
      <c r="H216" s="821" t="s">
        <v>4690</v>
      </c>
      <c r="I216" s="869"/>
      <c r="J216" s="792" t="str">
        <f>IF(ISBLANK(HLOOKUP(CaseName,CaseData,MATCH($G216,cases!$G$4:$G$2494,0),FALSE)),"",HLOOKUP(CaseName,CaseData,MATCH($G216,cases!$G$4:$G$2494,0),FALSE))</f>
        <v/>
      </c>
      <c r="K216" s="874">
        <f>kdeg.water*L220*(L219/BACT.test)*L84</f>
        <v>8.6858477099101683E-8</v>
      </c>
      <c r="L216" s="794">
        <f t="shared" si="10"/>
        <v>8.6858477099101683E-8</v>
      </c>
      <c r="M216" s="821" t="s">
        <v>1038</v>
      </c>
      <c r="N216" s="860"/>
    </row>
    <row r="217" spans="1:14" ht="12.75" customHeight="1" x14ac:dyDescent="0.3">
      <c r="A217" s="821"/>
      <c r="B217" s="821"/>
      <c r="C217" s="821" t="s">
        <v>1293</v>
      </c>
      <c r="D217" s="860"/>
      <c r="E217" s="860"/>
      <c r="F217" s="860"/>
      <c r="G217" s="872" t="s">
        <v>2127</v>
      </c>
      <c r="H217" s="821" t="s">
        <v>1295</v>
      </c>
      <c r="I217" s="871"/>
      <c r="J217" s="792" t="str">
        <f>IF(ISBLANK(HLOOKUP(CaseName,CaseData,MATCH($G217,cases!$G$4:$G$2494,0),FALSE)),"",HLOOKUP(CaseName,CaseData,MATCH($G217,cases!$G$4:$G$2494,0),FALSE))</f>
        <v/>
      </c>
      <c r="K217" s="874">
        <v>40000</v>
      </c>
      <c r="L217" s="794">
        <f t="shared" si="10"/>
        <v>40000</v>
      </c>
      <c r="M217" s="821" t="s">
        <v>1296</v>
      </c>
      <c r="N217" s="860"/>
    </row>
    <row r="218" spans="1:14" ht="12.75" customHeight="1" x14ac:dyDescent="0.3">
      <c r="A218" s="821"/>
      <c r="B218" s="821"/>
      <c r="C218" s="821" t="s">
        <v>1297</v>
      </c>
      <c r="D218" s="860"/>
      <c r="E218" s="860"/>
      <c r="F218" s="860"/>
      <c r="G218" s="872" t="s">
        <v>2128</v>
      </c>
      <c r="H218" s="821" t="s">
        <v>1295</v>
      </c>
      <c r="I218" s="869"/>
      <c r="J218" s="792" t="str">
        <f>IF(ISBLANK(HLOOKUP(CaseName,CaseData,MATCH($G218,cases!$G$4:$G$2494,0),FALSE)),"",HLOOKUP(CaseName,CaseData,MATCH($G218,cases!$G$4:$G$2494,0),FALSE))</f>
        <v/>
      </c>
      <c r="K218" s="874">
        <v>40000</v>
      </c>
      <c r="L218" s="794">
        <f t="shared" si="10"/>
        <v>40000</v>
      </c>
      <c r="M218" s="821" t="s">
        <v>638</v>
      </c>
      <c r="N218" s="860"/>
    </row>
    <row r="219" spans="1:14" ht="12.75" customHeight="1" x14ac:dyDescent="0.3">
      <c r="A219" s="821"/>
      <c r="B219" s="821"/>
      <c r="C219" s="821" t="s">
        <v>1299</v>
      </c>
      <c r="D219" s="860"/>
      <c r="E219" s="860"/>
      <c r="F219" s="860"/>
      <c r="G219" s="872" t="s">
        <v>2129</v>
      </c>
      <c r="H219" s="821" t="s">
        <v>1295</v>
      </c>
      <c r="I219" s="869"/>
      <c r="J219" s="792" t="str">
        <f>IF(ISBLANK(HLOOKUP(CaseName,CaseData,MATCH($G219,cases!$G$4:$G$2494,0),FALSE)),"",HLOOKUP(CaseName,CaseData,MATCH($G219,cases!$G$4:$G$2494,0),FALSE))</f>
        <v/>
      </c>
      <c r="K219" s="874">
        <v>40000</v>
      </c>
      <c r="L219" s="794">
        <f t="shared" si="10"/>
        <v>40000</v>
      </c>
      <c r="M219" s="821" t="s">
        <v>638</v>
      </c>
      <c r="N219" s="860"/>
    </row>
    <row r="220" spans="1:14" ht="12.75" customHeight="1" x14ac:dyDescent="0.3">
      <c r="A220" s="872"/>
      <c r="B220" s="872"/>
      <c r="C220" s="821" t="s">
        <v>1301</v>
      </c>
      <c r="D220" s="860"/>
      <c r="E220" s="860"/>
      <c r="F220" s="860"/>
      <c r="G220" s="821" t="s">
        <v>2130</v>
      </c>
      <c r="H220" s="821" t="s">
        <v>291</v>
      </c>
      <c r="I220" s="869"/>
      <c r="J220" s="792" t="str">
        <f>IF(ISBLANK(HLOOKUP(CaseName,CaseData,MATCH($G220,cases!$G$4:$G$2494,0),FALSE)),"",HLOOKUP(CaseName,CaseData,MATCH($G220,cases!$G$4:$G$2494,0),FALSE))</f>
        <v/>
      </c>
      <c r="K220" s="874">
        <f>Q.10^((TEMP.C-298)/10)</f>
        <v>0.40612619817811774</v>
      </c>
      <c r="L220" s="794">
        <f t="shared" si="10"/>
        <v>0.40612619817811774</v>
      </c>
      <c r="M220" s="821" t="s">
        <v>292</v>
      </c>
      <c r="N220" s="860"/>
    </row>
    <row r="221" spans="1:14" ht="12.75" customHeight="1" x14ac:dyDescent="0.3">
      <c r="A221" s="872"/>
      <c r="B221" s="821" t="s">
        <v>2131</v>
      </c>
      <c r="C221" s="860"/>
      <c r="D221" s="860"/>
      <c r="E221" s="860"/>
      <c r="F221" s="860"/>
      <c r="G221" s="821" t="s">
        <v>2132</v>
      </c>
      <c r="H221" s="821" t="s">
        <v>4690</v>
      </c>
      <c r="I221" s="869"/>
      <c r="J221" s="792" t="str">
        <f>IF(ISBLANK(HLOOKUP(CaseName,CaseData,MATCH($G221,cases!$G$4:$G$2494,0),FALSE)),"",HLOOKUP(CaseName,CaseData,MATCH($G221,cases!$G$4:$G$2494,0),FALSE))</f>
        <v/>
      </c>
      <c r="K221" s="372">
        <f>L220*kdeg.sed</f>
        <v>9.6658035166392035E-9</v>
      </c>
      <c r="L221" s="794">
        <f t="shared" si="10"/>
        <v>9.6658035166392035E-9</v>
      </c>
      <c r="M221" s="821" t="s">
        <v>1038</v>
      </c>
      <c r="N221" s="860"/>
    </row>
    <row r="222" spans="1:14" ht="12.75" customHeight="1" x14ac:dyDescent="0.3">
      <c r="A222" s="821"/>
      <c r="B222" s="821" t="s">
        <v>1305</v>
      </c>
      <c r="C222" s="860"/>
      <c r="D222" s="860"/>
      <c r="E222" s="860"/>
      <c r="F222" s="860"/>
      <c r="G222" s="821" t="s">
        <v>2133</v>
      </c>
      <c r="H222" s="821" t="s">
        <v>4690</v>
      </c>
      <c r="I222" s="869"/>
      <c r="J222" s="792" t="str">
        <f>IF(ISBLANK(HLOOKUP(CaseName,CaseData,MATCH($G222,cases!$G$4:$G$2494,0),FALSE)),"",HLOOKUP(CaseName,CaseData,MATCH($G222,cases!$G$4:$G$2494,0),FALSE))</f>
        <v/>
      </c>
      <c r="K222" s="372">
        <f>L220*kdeg.sed</f>
        <v>9.6658035166392035E-9</v>
      </c>
      <c r="L222" s="794">
        <f t="shared" si="10"/>
        <v>9.6658035166392035E-9</v>
      </c>
      <c r="M222" s="821" t="s">
        <v>1038</v>
      </c>
      <c r="N222" s="860"/>
    </row>
    <row r="223" spans="1:14" ht="12.75" customHeight="1" x14ac:dyDescent="0.3">
      <c r="A223" s="821"/>
      <c r="B223" s="821" t="s">
        <v>1307</v>
      </c>
      <c r="C223" s="860"/>
      <c r="D223" s="860"/>
      <c r="E223" s="860"/>
      <c r="F223" s="860"/>
      <c r="G223" s="821" t="s">
        <v>2134</v>
      </c>
      <c r="H223" s="821" t="s">
        <v>4690</v>
      </c>
      <c r="I223" s="869"/>
      <c r="J223" s="792" t="str">
        <f>IF(ISBLANK(HLOOKUP(CaseName,CaseData,MATCH($G223,cases!$G$4:$G$2494,0),FALSE)),"",HLOOKUP(CaseName,CaseData,MATCH($G223,cases!$G$4:$G$2494,0),FALSE))</f>
        <v/>
      </c>
      <c r="K223" s="372">
        <f>L220*kdeg.sed</f>
        <v>9.6658035166392035E-9</v>
      </c>
      <c r="L223" s="794">
        <f t="shared" si="10"/>
        <v>9.6658035166392035E-9</v>
      </c>
      <c r="M223" s="821" t="s">
        <v>1038</v>
      </c>
      <c r="N223" s="860"/>
    </row>
    <row r="224" spans="1:14" ht="12.75" customHeight="1" x14ac:dyDescent="0.3">
      <c r="A224" s="821"/>
      <c r="B224" s="821" t="s">
        <v>1309</v>
      </c>
      <c r="C224" s="860"/>
      <c r="D224" s="860"/>
      <c r="E224" s="860"/>
      <c r="F224" s="860"/>
      <c r="G224" s="821" t="s">
        <v>2135</v>
      </c>
      <c r="H224" s="821" t="s">
        <v>4690</v>
      </c>
      <c r="I224" s="869"/>
      <c r="J224" s="792" t="str">
        <f>IF(ISBLANK(HLOOKUP(CaseName,CaseData,MATCH($G224,cases!$G$4:$G$2494,0),FALSE)),"",HLOOKUP(CaseName,CaseData,MATCH($G224,cases!$G$4:$G$2494,0),FALSE))</f>
        <v/>
      </c>
      <c r="K224" s="372">
        <f>L220*kdeg.soil</f>
        <v>4.3455503205058602E-8</v>
      </c>
      <c r="L224" s="794">
        <f t="shared" si="10"/>
        <v>4.3455503205058602E-8</v>
      </c>
      <c r="M224" s="821" t="s">
        <v>1038</v>
      </c>
      <c r="N224" s="860"/>
    </row>
    <row r="225" spans="1:16" ht="12.75" customHeight="1" x14ac:dyDescent="0.3">
      <c r="A225" s="821"/>
      <c r="B225" s="821" t="s">
        <v>1311</v>
      </c>
      <c r="C225" s="860"/>
      <c r="D225" s="860"/>
      <c r="E225" s="860"/>
      <c r="F225" s="860"/>
      <c r="G225" s="821" t="s">
        <v>2136</v>
      </c>
      <c r="H225" s="821" t="s">
        <v>4690</v>
      </c>
      <c r="I225" s="869"/>
      <c r="J225" s="792" t="str">
        <f>IF(ISBLANK(HLOOKUP(CaseName,CaseData,MATCH($G225,cases!$G$4:$G$2494,0),FALSE)),"",HLOOKUP(CaseName,CaseData,MATCH($G225,cases!$G$4:$G$2494,0),FALSE))</f>
        <v/>
      </c>
      <c r="K225" s="372">
        <f>L220*kdeg.soil</f>
        <v>4.3455503205058602E-8</v>
      </c>
      <c r="L225" s="794">
        <f t="shared" si="10"/>
        <v>4.3455503205058602E-8</v>
      </c>
      <c r="M225" s="821" t="s">
        <v>1038</v>
      </c>
      <c r="N225" s="860"/>
    </row>
    <row r="226" spans="1:16" ht="12.75" customHeight="1" x14ac:dyDescent="0.3">
      <c r="A226" s="821"/>
      <c r="B226" s="821" t="s">
        <v>1313</v>
      </c>
      <c r="C226" s="860"/>
      <c r="D226" s="860"/>
      <c r="E226" s="860"/>
      <c r="F226" s="860"/>
      <c r="G226" s="821" t="s">
        <v>2137</v>
      </c>
      <c r="H226" s="821" t="s">
        <v>4690</v>
      </c>
      <c r="I226" s="869"/>
      <c r="J226" s="792" t="str">
        <f>IF(ISBLANK(HLOOKUP(CaseName,CaseData,MATCH($G226,cases!$G$4:$G$2494,0),FALSE)),"",HLOOKUP(CaseName,CaseData,MATCH($G226,cases!$G$4:$G$2494,0),FALSE))</f>
        <v/>
      </c>
      <c r="K226" s="372">
        <f>L220*kdeg.soil</f>
        <v>4.3455503205058602E-8</v>
      </c>
      <c r="L226" s="794">
        <f t="shared" si="10"/>
        <v>4.3455503205058602E-8</v>
      </c>
      <c r="M226" s="821" t="s">
        <v>1038</v>
      </c>
      <c r="N226" s="860"/>
    </row>
    <row r="227" spans="1:16" ht="12.75" customHeight="1" x14ac:dyDescent="0.3">
      <c r="A227" s="821"/>
      <c r="B227" s="821"/>
      <c r="C227" s="821" t="s">
        <v>1315</v>
      </c>
      <c r="D227" s="860"/>
      <c r="E227" s="860"/>
      <c r="F227" s="860"/>
      <c r="G227" s="872" t="s">
        <v>2138</v>
      </c>
      <c r="H227" s="821" t="s">
        <v>291</v>
      </c>
      <c r="I227" s="869"/>
      <c r="J227" s="792" t="str">
        <f>IF(ISBLANK(HLOOKUP(CaseName,CaseData,MATCH($G227,cases!$G$4:$G$2494,0),FALSE)),"",HLOOKUP(CaseName,CaseData,MATCH($G227,cases!$G$4:$G$2494,0),FALSE))</f>
        <v/>
      </c>
      <c r="K227" s="874">
        <f>FRACinf.C</f>
        <v>0.25</v>
      </c>
      <c r="L227" s="794">
        <f t="shared" si="10"/>
        <v>0.25</v>
      </c>
      <c r="M227" s="821" t="s">
        <v>292</v>
      </c>
      <c r="N227" s="860"/>
    </row>
    <row r="228" spans="1:16" ht="12.75" customHeight="1" x14ac:dyDescent="0.3">
      <c r="A228" s="821"/>
      <c r="B228" s="821"/>
      <c r="C228" s="821" t="s">
        <v>1317</v>
      </c>
      <c r="D228" s="860"/>
      <c r="E228" s="860"/>
      <c r="F228" s="860"/>
      <c r="G228" s="872" t="s">
        <v>2139</v>
      </c>
      <c r="H228" s="821" t="s">
        <v>291</v>
      </c>
      <c r="I228" s="869"/>
      <c r="J228" s="792" t="str">
        <f>IF(ISBLANK(HLOOKUP(CaseName,CaseData,MATCH($G228,cases!$G$4:$G$2494,0),FALSE)),"",HLOOKUP(CaseName,CaseData,MATCH($G228,cases!$G$4:$G$2494,0),FALSE))</f>
        <v/>
      </c>
      <c r="K228" s="874">
        <f>FRACinf.C</f>
        <v>0.25</v>
      </c>
      <c r="L228" s="794">
        <f t="shared" si="10"/>
        <v>0.25</v>
      </c>
      <c r="M228" s="821" t="s">
        <v>292</v>
      </c>
      <c r="N228" s="860"/>
    </row>
    <row r="229" spans="1:16" ht="12.75" customHeight="1" x14ac:dyDescent="0.3">
      <c r="A229" s="860"/>
      <c r="B229" s="860"/>
      <c r="C229" s="821" t="s">
        <v>1319</v>
      </c>
      <c r="D229" s="860"/>
      <c r="E229" s="860"/>
      <c r="F229" s="860"/>
      <c r="G229" s="872" t="s">
        <v>2140</v>
      </c>
      <c r="H229" s="821" t="s">
        <v>291</v>
      </c>
      <c r="I229" s="869"/>
      <c r="J229" s="792" t="str">
        <f>IF(ISBLANK(HLOOKUP(CaseName,CaseData,MATCH($G229,cases!$G$4:$G$2494,0),FALSE)),"",HLOOKUP(CaseName,CaseData,MATCH($G229,cases!$G$4:$G$2494,0),FALSE))</f>
        <v/>
      </c>
      <c r="K229" s="874">
        <f>FRACinf.C</f>
        <v>0.25</v>
      </c>
      <c r="L229" s="794">
        <f t="shared" si="10"/>
        <v>0.25</v>
      </c>
      <c r="M229" s="821" t="s">
        <v>292</v>
      </c>
      <c r="N229" s="860"/>
    </row>
    <row r="230" spans="1:16" ht="12.75" customHeight="1" x14ac:dyDescent="0.3">
      <c r="A230" s="821"/>
      <c r="B230" s="821"/>
      <c r="C230" s="860" t="s">
        <v>1185</v>
      </c>
      <c r="D230" s="860"/>
      <c r="E230" s="872"/>
      <c r="F230" s="872"/>
      <c r="G230" s="821" t="s">
        <v>2141</v>
      </c>
      <c r="H230" s="860" t="s">
        <v>291</v>
      </c>
      <c r="I230" s="875"/>
      <c r="J230" s="792" t="str">
        <f>IF(ISBLANK(HLOOKUP(CaseName,CaseData,MATCH($G230,cases!$G$4:$G$2494,0),FALSE)),"",HLOOKUP(CaseName,CaseData,MATCH($G230,cases!$G$4:$G$2494,0),FALSE))</f>
        <v/>
      </c>
      <c r="K230" s="890">
        <f>(EXP((-1/0.1)*0.5)*(1/0.1)*L30/(1-EXP((-1/0.1)*L30)))</f>
        <v>8.5622262133111474E-3</v>
      </c>
      <c r="L230" s="794">
        <f t="shared" si="10"/>
        <v>8.5622262133111474E-3</v>
      </c>
      <c r="M230" s="860" t="s">
        <v>292</v>
      </c>
      <c r="N230" s="860" t="s">
        <v>1187</v>
      </c>
    </row>
    <row r="231" spans="1:16" ht="12.75" customHeight="1" x14ac:dyDescent="0.3">
      <c r="A231" s="821"/>
      <c r="B231" s="821"/>
      <c r="C231" s="860" t="s">
        <v>1185</v>
      </c>
      <c r="D231" s="860"/>
      <c r="E231" s="872"/>
      <c r="F231" s="872"/>
      <c r="G231" s="821" t="s">
        <v>2142</v>
      </c>
      <c r="H231" s="860" t="s">
        <v>291</v>
      </c>
      <c r="I231" s="875"/>
      <c r="J231" s="792" t="str">
        <f>IF(ISBLANK(HLOOKUP(CaseName,CaseData,MATCH($G231,cases!$G$4:$G$2494,0),FALSE)),"",HLOOKUP(CaseName,CaseData,MATCH($G231,cases!$G$4:$G$2494,0),FALSE))</f>
        <v/>
      </c>
      <c r="K231" s="890">
        <f>(EXP((-1/0.1)*0.5)*(1/0.1)*L31/(1-EXP((-1/0.1)*L31)))</f>
        <v>1.5585109160709019E-2</v>
      </c>
      <c r="L231" s="794">
        <f t="shared" si="10"/>
        <v>1.5585109160709019E-2</v>
      </c>
      <c r="M231" s="860" t="s">
        <v>292</v>
      </c>
      <c r="N231" s="860" t="s">
        <v>1187</v>
      </c>
    </row>
    <row r="232" spans="1:16" ht="12.75" customHeight="1" x14ac:dyDescent="0.3">
      <c r="A232" s="821"/>
      <c r="B232" s="821"/>
      <c r="C232" s="860" t="s">
        <v>1185</v>
      </c>
      <c r="D232" s="860"/>
      <c r="E232" s="872"/>
      <c r="F232" s="872"/>
      <c r="G232" s="821" t="s">
        <v>2143</v>
      </c>
      <c r="H232" s="860" t="s">
        <v>291</v>
      </c>
      <c r="I232" s="875"/>
      <c r="J232" s="792" t="str">
        <f>IF(ISBLANK(HLOOKUP(CaseName,CaseData,MATCH($G232,cases!$G$4:$G$2494,0),FALSE)),"",HLOOKUP(CaseName,CaseData,MATCH($G232,cases!$G$4:$G$2494,0),FALSE))</f>
        <v/>
      </c>
      <c r="K232" s="890">
        <f>(EXP((-1/0.1)*0.5)*(1/0.1)*L32/(1-EXP((-1/0.1)*L32)))</f>
        <v>8.5622262133111474E-3</v>
      </c>
      <c r="L232" s="794">
        <f t="shared" si="10"/>
        <v>8.5622262133111474E-3</v>
      </c>
      <c r="M232" s="860" t="s">
        <v>292</v>
      </c>
      <c r="N232" s="860" t="s">
        <v>1187</v>
      </c>
    </row>
    <row r="233" spans="1:16" ht="12.75" customHeight="1" x14ac:dyDescent="0.3">
      <c r="A233" s="895"/>
      <c r="B233" s="895"/>
      <c r="C233" s="895"/>
      <c r="D233" s="895"/>
      <c r="E233" s="895"/>
      <c r="F233" s="895"/>
      <c r="G233" s="895"/>
      <c r="H233" s="895"/>
      <c r="I233" s="896"/>
      <c r="J233" s="896"/>
      <c r="K233" s="897"/>
      <c r="L233" s="897"/>
      <c r="M233" s="895"/>
      <c r="N233" s="895"/>
    </row>
    <row r="235" spans="1:16" s="784" customFormat="1" ht="12.75" customHeight="1" x14ac:dyDescent="0.3">
      <c r="A235" s="785" t="s">
        <v>1325</v>
      </c>
      <c r="G235" s="785" t="s">
        <v>258</v>
      </c>
      <c r="H235" s="785" t="s">
        <v>274</v>
      </c>
      <c r="I235" s="784" t="s">
        <v>259</v>
      </c>
      <c r="J235" s="811" t="s">
        <v>275</v>
      </c>
      <c r="K235" s="786" t="s">
        <v>260</v>
      </c>
      <c r="L235" s="787" t="s">
        <v>261</v>
      </c>
      <c r="N235" s="785" t="s">
        <v>262</v>
      </c>
      <c r="O235" s="788" t="s">
        <v>1326</v>
      </c>
      <c r="P235" s="784" t="s">
        <v>1327</v>
      </c>
    </row>
    <row r="236" spans="1:16" s="352" customFormat="1" ht="12.75" customHeight="1" x14ac:dyDescent="0.3">
      <c r="A236" s="352" t="s">
        <v>1328</v>
      </c>
      <c r="G236" s="520"/>
      <c r="H236" s="520"/>
      <c r="J236" s="521"/>
      <c r="K236" s="522"/>
      <c r="L236" s="523"/>
      <c r="O236" s="356"/>
    </row>
    <row r="237" spans="1:16" ht="12.75" customHeight="1" x14ac:dyDescent="0.3">
      <c r="A237" s="797" t="s">
        <v>1329</v>
      </c>
      <c r="B237" s="797"/>
      <c r="C237" s="797"/>
      <c r="D237" s="797"/>
      <c r="E237" s="797"/>
      <c r="F237" s="797"/>
      <c r="G237" s="797" t="s">
        <v>2144</v>
      </c>
      <c r="H237" s="796" t="s">
        <v>335</v>
      </c>
      <c r="I237" s="876"/>
      <c r="J237" s="792" t="str">
        <f>IF(ISBLANK(HLOOKUP(CaseName,CaseData,MATCH($G237,cases!$G$4:$G$2494,0),FALSE)),"",HLOOKUP(CaseName,CaseData,MATCH($G237,cases!$G$4:$G$2494,0),FALSE))</f>
        <v/>
      </c>
      <c r="K237" s="798">
        <f>L238+L242</f>
        <v>2.145456072269009E-5</v>
      </c>
      <c r="L237" s="794">
        <f t="shared" ref="L237:L249" si="11">IF(ISBLANK(I237),IF(ISNUMBER(J237)=FALSE,K237,J237),I237)</f>
        <v>2.145456072269009E-5</v>
      </c>
      <c r="M237" s="796" t="s">
        <v>335</v>
      </c>
      <c r="N237" s="797"/>
      <c r="O237" s="799">
        <v>2</v>
      </c>
      <c r="P237" s="797" t="s">
        <v>1331</v>
      </c>
    </row>
    <row r="238" spans="1:16" ht="12.75" customHeight="1" x14ac:dyDescent="0.3">
      <c r="A238" s="797"/>
      <c r="B238" s="797" t="s">
        <v>1332</v>
      </c>
      <c r="C238" s="797"/>
      <c r="D238" s="797"/>
      <c r="E238" s="797"/>
      <c r="F238" s="797"/>
      <c r="G238" s="797" t="s">
        <v>2145</v>
      </c>
      <c r="H238" s="797" t="s">
        <v>335</v>
      </c>
      <c r="I238" s="876"/>
      <c r="J238" s="792" t="str">
        <f>IF(ISBLANK(HLOOKUP(CaseName,CaseData,MATCH($G238,cases!$G$4:$G$2494,0),FALSE)),"",HLOOKUP(CaseName,CaseData,MATCH($G238,cases!$G$4:$G$2494,0),FALSE))</f>
        <v/>
      </c>
      <c r="K238" s="798">
        <f>L241*(4*PI()*(RadNuc+RadS)*(L240+DiffS.aC))*input!L305</f>
        <v>4.8450125324910728E-6</v>
      </c>
      <c r="L238" s="794">
        <f t="shared" si="11"/>
        <v>4.8450125324910728E-6</v>
      </c>
      <c r="M238" s="797" t="s">
        <v>335</v>
      </c>
      <c r="N238" s="797"/>
      <c r="O238" s="799">
        <v>10</v>
      </c>
      <c r="P238" s="797" t="s">
        <v>908</v>
      </c>
    </row>
    <row r="239" spans="1:16" ht="12.75" customHeight="1" x14ac:dyDescent="0.3">
      <c r="A239" s="797"/>
      <c r="B239" s="797"/>
      <c r="C239" s="797" t="s">
        <v>1339</v>
      </c>
      <c r="D239" s="797"/>
      <c r="E239" s="797"/>
      <c r="F239" s="797"/>
      <c r="G239" s="796" t="s">
        <v>2146</v>
      </c>
      <c r="H239" s="796" t="s">
        <v>866</v>
      </c>
      <c r="I239" s="876"/>
      <c r="J239" s="792" t="str">
        <f>IF(ISBLANK(HLOOKUP(CaseName,CaseData,MATCH($G239,cases!$G$4:$G$2494,0),FALSE)),"",HLOOKUP(CaseName,CaseData,MATCH($G239,cases!$G$4:$G$2494,0),FALSE))</f>
        <v/>
      </c>
      <c r="K239" s="798">
        <f>((8*kboltz*TEMP.C)/((PI()*(4/3*PI()*(RadNuc)^3)*RhoNuc)))^0.5</f>
        <v>1.3564947467752155</v>
      </c>
      <c r="L239" s="794">
        <f t="shared" si="11"/>
        <v>1.3564947467752155</v>
      </c>
      <c r="M239" s="796" t="s">
        <v>866</v>
      </c>
      <c r="N239" s="797"/>
      <c r="O239" s="799"/>
      <c r="P239" s="797"/>
    </row>
    <row r="240" spans="1:16" ht="12.75" customHeight="1" x14ac:dyDescent="0.3">
      <c r="A240" s="797"/>
      <c r="B240" s="797"/>
      <c r="C240" s="797" t="s">
        <v>1337</v>
      </c>
      <c r="D240" s="797"/>
      <c r="E240" s="797"/>
      <c r="F240" s="797"/>
      <c r="G240" s="797" t="s">
        <v>2147</v>
      </c>
      <c r="H240" s="797" t="s">
        <v>900</v>
      </c>
      <c r="I240" s="876"/>
      <c r="J240" s="792" t="str">
        <f>IF(ISBLANK(HLOOKUP(CaseName,CaseData,MATCH($G240,cases!$G$4:$G$2494,0),FALSE)),"",HLOOKUP(CaseName,CaseData,MATCH($G240,cases!$G$4:$G$2494,0),FALSE))</f>
        <v/>
      </c>
      <c r="K240" s="798">
        <f>(kboltz*TEMP.C*(1+(66*10^-9/RadNuc)*(1.142+0.558*EXP(-0.999/(66*10^-9/RadNuc)))))/(6*PI()*DYNVISC.a*RadNuc)</f>
        <v>1.349690832911066E-8</v>
      </c>
      <c r="L240" s="794">
        <f t="shared" si="11"/>
        <v>1.349690832911066E-8</v>
      </c>
      <c r="M240" s="797" t="s">
        <v>900</v>
      </c>
      <c r="N240" s="797"/>
      <c r="O240" s="799"/>
      <c r="P240" s="797"/>
    </row>
    <row r="241" spans="1:16" ht="12.75" customHeight="1" x14ac:dyDescent="0.3">
      <c r="A241" s="797"/>
      <c r="B241" s="797"/>
      <c r="C241" s="797" t="s">
        <v>1334</v>
      </c>
      <c r="D241" s="797"/>
      <c r="E241" s="797"/>
      <c r="F241" s="797"/>
      <c r="G241" s="796" t="s">
        <v>2148</v>
      </c>
      <c r="H241" s="796" t="s">
        <v>291</v>
      </c>
      <c r="I241" s="876"/>
      <c r="J241" s="792" t="str">
        <f>IF(ISBLANK(HLOOKUP(CaseName,CaseData,MATCH($G241,cases!$G$4:$G$2494,0),FALSE)),"",HLOOKUP(CaseName,CaseData,MATCH($G241,cases!$G$4:$G$2494,0),FALSE))</f>
        <v/>
      </c>
      <c r="K241" s="798">
        <f>(1+(4*(DiffS.aC+L240))/((RadS+RadNuc)*(ThermvelS^2+L239^2)^0.5))^-1</f>
        <v>0.22317254854238233</v>
      </c>
      <c r="L241" s="794">
        <f t="shared" si="11"/>
        <v>0.22317254854238233</v>
      </c>
      <c r="M241" s="796" t="s">
        <v>291</v>
      </c>
      <c r="N241" s="797"/>
      <c r="O241" s="832" t="s">
        <v>1336</v>
      </c>
      <c r="P241" s="797"/>
    </row>
    <row r="242" spans="1:16" ht="12.75" customHeight="1" x14ac:dyDescent="0.3">
      <c r="A242" s="797" t="s">
        <v>1341</v>
      </c>
      <c r="B242" s="797"/>
      <c r="C242" s="797"/>
      <c r="D242" s="797"/>
      <c r="E242" s="797"/>
      <c r="F242" s="797"/>
      <c r="G242" s="797" t="s">
        <v>2149</v>
      </c>
      <c r="H242" s="797" t="s">
        <v>335</v>
      </c>
      <c r="I242" s="876"/>
      <c r="J242" s="792" t="str">
        <f>IF(ISBLANK(HLOOKUP(CaseName,CaseData,MATCH($G242,cases!$G$4:$G$2494,0),FALSE)),"",HLOOKUP(CaseName,CaseData,MATCH($G242,cases!$G$4:$G$2494,0),FALSE))</f>
        <v/>
      </c>
      <c r="K242" s="798">
        <f>L245*(4*PI()*(RadAcc+RadS)*(L244+DiffS.aC))*input!L306</f>
        <v>1.6609548190199018E-5</v>
      </c>
      <c r="L242" s="794">
        <f t="shared" si="11"/>
        <v>1.6609548190199018E-5</v>
      </c>
      <c r="M242" s="797" t="s">
        <v>335</v>
      </c>
      <c r="N242" s="797"/>
      <c r="O242" s="799"/>
      <c r="P242" s="797"/>
    </row>
    <row r="243" spans="1:16" ht="12.75" customHeight="1" x14ac:dyDescent="0.3">
      <c r="A243" s="797"/>
      <c r="B243" s="797"/>
      <c r="C243" s="797" t="s">
        <v>1343</v>
      </c>
      <c r="D243" s="797"/>
      <c r="E243" s="797"/>
      <c r="F243" s="797"/>
      <c r="G243" s="796" t="s">
        <v>2150</v>
      </c>
      <c r="H243" s="796" t="s">
        <v>866</v>
      </c>
      <c r="I243" s="876"/>
      <c r="J243" s="792" t="str">
        <f>IF(ISBLANK(HLOOKUP(CaseName,CaseData,MATCH($G243,cases!$G$4:$G$2494,0),FALSE)),"",HLOOKUP(CaseName,CaseData,MATCH($G243,cases!$G$4:$G$2494,0),FALSE))</f>
        <v/>
      </c>
      <c r="K243" s="798">
        <f>((8*kboltz*TEMP.C)/((PI()*(4/3*PI()*(RadAcc)^3)*RhoAcc)))^0.5</f>
        <v>7.8294779293570968E-2</v>
      </c>
      <c r="L243" s="794">
        <f t="shared" si="11"/>
        <v>7.8294779293570968E-2</v>
      </c>
      <c r="M243" s="796" t="s">
        <v>866</v>
      </c>
      <c r="N243" s="797"/>
      <c r="O243" s="799"/>
      <c r="P243" s="797"/>
    </row>
    <row r="244" spans="1:16" ht="12.75" customHeight="1" x14ac:dyDescent="0.3">
      <c r="A244" s="797"/>
      <c r="B244" s="797"/>
      <c r="C244" s="797" t="s">
        <v>1345</v>
      </c>
      <c r="D244" s="797"/>
      <c r="E244" s="797"/>
      <c r="F244" s="797"/>
      <c r="G244" s="797" t="s">
        <v>2151</v>
      </c>
      <c r="H244" s="797" t="s">
        <v>900</v>
      </c>
      <c r="I244" s="876"/>
      <c r="J244" s="792" t="str">
        <f>IF(ISBLANK(HLOOKUP(CaseName,CaseData,MATCH($G244,cases!$G$4:$G$2494,0),FALSE)),"",HLOOKUP(CaseName,CaseData,MATCH($G244,cases!$G$4:$G$2494,0),FALSE))</f>
        <v/>
      </c>
      <c r="K244" s="798">
        <f>(kboltz*TEMP.C*(1+(66*10^-9/RadAcc)*(1.142+0.558*EXP(-0.999/(66*10^-9/RadAcc)))))/(6*PI()*DYNVISC.a*RadAcc)</f>
        <v>5.097342013000671E-10</v>
      </c>
      <c r="L244" s="794">
        <f t="shared" si="11"/>
        <v>5.097342013000671E-10</v>
      </c>
      <c r="M244" s="797" t="s">
        <v>900</v>
      </c>
      <c r="N244" s="797"/>
      <c r="O244" s="799"/>
      <c r="P244" s="797"/>
    </row>
    <row r="245" spans="1:16" ht="12.75" customHeight="1" x14ac:dyDescent="0.3">
      <c r="A245" s="797"/>
      <c r="B245" s="797"/>
      <c r="C245" s="797" t="s">
        <v>1347</v>
      </c>
      <c r="D245" s="797"/>
      <c r="E245" s="797"/>
      <c r="F245" s="797"/>
      <c r="G245" s="796" t="s">
        <v>2152</v>
      </c>
      <c r="H245" s="796" t="s">
        <v>291</v>
      </c>
      <c r="I245" s="876"/>
      <c r="J245" s="792" t="str">
        <f>IF(ISBLANK(HLOOKUP(CaseName,CaseData,MATCH($G245,cases!$G$4:$G$2494,0),FALSE)),"",HLOOKUP(CaseName,CaseData,MATCH($G245,cases!$G$4:$G$2494,0),FALSE))</f>
        <v/>
      </c>
      <c r="K245" s="798">
        <f>(1+(4*(DiffS.aC+L244))/((RadS+RadAcc)*(L243^2+ThermvelS^2)^0.5))^-1</f>
        <v>0.47852760860397098</v>
      </c>
      <c r="L245" s="794">
        <f t="shared" si="11"/>
        <v>0.47852760860397098</v>
      </c>
      <c r="M245" s="796" t="s">
        <v>291</v>
      </c>
      <c r="N245" s="797"/>
      <c r="O245" s="799"/>
      <c r="P245" s="797"/>
    </row>
    <row r="246" spans="1:16" ht="12.75" customHeight="1" x14ac:dyDescent="0.3">
      <c r="A246" s="797" t="s">
        <v>1349</v>
      </c>
      <c r="B246" s="797"/>
      <c r="C246" s="797"/>
      <c r="D246" s="797"/>
      <c r="E246" s="797"/>
      <c r="F246" s="797"/>
      <c r="G246" s="796" t="s">
        <v>2153</v>
      </c>
      <c r="H246" s="796" t="s">
        <v>335</v>
      </c>
      <c r="I246" s="876"/>
      <c r="J246" s="792" t="str">
        <f>IF(ISBLANK(HLOOKUP(CaseName,CaseData,MATCH($G246,cases!$G$4:$G$2494,0),FALSE)),"",HLOOKUP(CaseName,CaseData,MATCH($G246,cases!$G$4:$G$2494,0),FALSE))</f>
        <v/>
      </c>
      <c r="K246" s="798">
        <f>L249*(4*PI()*(RadCP.a+RadS)*(L248+DiffS.aC))*input!L307</f>
        <v>4.2954716111240836E-8</v>
      </c>
      <c r="L246" s="794">
        <f t="shared" si="11"/>
        <v>4.2954716111240836E-8</v>
      </c>
      <c r="M246" s="797" t="s">
        <v>335</v>
      </c>
      <c r="N246" s="797"/>
      <c r="O246" s="799"/>
      <c r="P246" s="797"/>
    </row>
    <row r="247" spans="1:16" ht="12.75" customHeight="1" x14ac:dyDescent="0.3">
      <c r="A247" s="797"/>
      <c r="B247" s="797" t="s">
        <v>1351</v>
      </c>
      <c r="C247" s="797"/>
      <c r="D247" s="797"/>
      <c r="E247" s="797"/>
      <c r="F247" s="797"/>
      <c r="G247" s="796" t="s">
        <v>2154</v>
      </c>
      <c r="H247" s="796" t="s">
        <v>866</v>
      </c>
      <c r="I247" s="876"/>
      <c r="J247" s="792" t="str">
        <f>IF(ISBLANK(HLOOKUP(CaseName,CaseData,MATCH($G247,cases!$G$4:$G$2494,0),FALSE)),"",HLOOKUP(CaseName,CaseData,MATCH($G247,cases!$G$4:$G$2494,0),FALSE))</f>
        <v/>
      </c>
      <c r="K247" s="798">
        <f>((8*kboltz*TEMP.C)/((PI()*(4/3*PI()*(RadCP.a)^3)*RhoCP.a)))^0.5</f>
        <v>1.2808876266468387E-3</v>
      </c>
      <c r="L247" s="794">
        <f t="shared" si="11"/>
        <v>1.2808876266468387E-3</v>
      </c>
      <c r="M247" s="796" t="s">
        <v>866</v>
      </c>
      <c r="N247" s="797"/>
      <c r="O247" s="799"/>
      <c r="P247" s="797"/>
    </row>
    <row r="248" spans="1:16" ht="12.75" customHeight="1" x14ac:dyDescent="0.3">
      <c r="A248" s="797"/>
      <c r="B248" s="797" t="s">
        <v>1353</v>
      </c>
      <c r="C248" s="797"/>
      <c r="D248" s="797"/>
      <c r="E248" s="797"/>
      <c r="F248" s="797"/>
      <c r="G248" s="797" t="s">
        <v>2155</v>
      </c>
      <c r="H248" s="797" t="s">
        <v>900</v>
      </c>
      <c r="I248" s="876"/>
      <c r="J248" s="792" t="str">
        <f>IF(ISBLANK(HLOOKUP(CaseName,CaseData,MATCH($G248,cases!$G$4:$G$2494,0),FALSE)),"",HLOOKUP(CaseName,CaseData,MATCH($G248,cases!$G$4:$G$2494,0),FALSE))</f>
        <v/>
      </c>
      <c r="K248" s="798">
        <f>(kboltz*TEMP.C)/(6*PI()*DYNVISC.a*RadCP.a)</f>
        <v>1.2814624133468318E-11</v>
      </c>
      <c r="L248" s="794">
        <f t="shared" si="11"/>
        <v>1.2814624133468318E-11</v>
      </c>
      <c r="M248" s="797" t="s">
        <v>900</v>
      </c>
      <c r="N248" s="797"/>
      <c r="O248" s="799"/>
      <c r="P248" s="797"/>
    </row>
    <row r="249" spans="1:16" ht="12.75" customHeight="1" x14ac:dyDescent="0.3">
      <c r="A249" s="797"/>
      <c r="B249" s="797" t="s">
        <v>1355</v>
      </c>
      <c r="C249" s="797"/>
      <c r="D249" s="797"/>
      <c r="E249" s="797"/>
      <c r="F249" s="797"/>
      <c r="G249" s="796" t="s">
        <v>2156</v>
      </c>
      <c r="H249" s="796" t="s">
        <v>291</v>
      </c>
      <c r="I249" s="876"/>
      <c r="J249" s="792" t="str">
        <f>IF(ISBLANK(HLOOKUP(CaseName,CaseData,MATCH($G249,cases!$G$4:$G$2494,0),FALSE)),"",HLOOKUP(CaseName,CaseData,MATCH($G249,cases!$G$4:$G$2494,0),FALSE))</f>
        <v/>
      </c>
      <c r="K249" s="798">
        <f>(1+(4*(DiffS.aC+L248))/((RadS+RadCP.a)*(L247^2+ThermvelS^2)^0.5))^-1</f>
        <v>0.92681253539704134</v>
      </c>
      <c r="L249" s="794">
        <f t="shared" si="11"/>
        <v>0.92681253539704134</v>
      </c>
      <c r="M249" s="796" t="s">
        <v>291</v>
      </c>
      <c r="N249" s="797"/>
      <c r="O249" s="799"/>
      <c r="P249" s="797"/>
    </row>
    <row r="250" spans="1:16" s="352" customFormat="1" ht="12.75" customHeight="1" x14ac:dyDescent="0.3">
      <c r="A250" s="352" t="s">
        <v>1357</v>
      </c>
      <c r="G250" s="520"/>
      <c r="H250" s="520"/>
      <c r="J250" s="521"/>
      <c r="K250" s="522"/>
      <c r="L250" s="523"/>
      <c r="O250" s="356"/>
    </row>
    <row r="251" spans="1:16" ht="12.75" customHeight="1" x14ac:dyDescent="0.3">
      <c r="A251" s="797" t="s">
        <v>1358</v>
      </c>
      <c r="B251" s="797"/>
      <c r="C251" s="797"/>
      <c r="D251" s="797"/>
      <c r="E251" s="797"/>
      <c r="F251" s="797"/>
      <c r="G251" s="797" t="s">
        <v>2157</v>
      </c>
      <c r="H251" s="797" t="s">
        <v>335</v>
      </c>
      <c r="I251" s="876"/>
      <c r="J251" s="792" t="str">
        <f>IF(ISBLANK(HLOOKUP(CaseName,CaseData,MATCH($G251,cases!$G$4:$G$2494,0),FALSE)),"",HLOOKUP(CaseName,CaseData,MATCH($G251,cases!$G$4:$G$2494,0),FALSE))</f>
        <v/>
      </c>
      <c r="K251" s="859">
        <f>L253*L252*AtefSA.w0</f>
        <v>1.5805793080239788E-4</v>
      </c>
      <c r="L251" s="833">
        <f t="shared" ref="L251:L267" si="12">IF(ISBLANK(I251),IF(ISNUMBER(J251)=FALSE,K251,J251),I251)</f>
        <v>1.5805793080239788E-4</v>
      </c>
      <c r="M251" s="797" t="s">
        <v>335</v>
      </c>
      <c r="N251" s="797"/>
      <c r="O251" s="799"/>
      <c r="P251" s="797"/>
    </row>
    <row r="252" spans="1:16" ht="12.75" customHeight="1" x14ac:dyDescent="0.3">
      <c r="A252" s="797"/>
      <c r="B252" s="797" t="s">
        <v>1360</v>
      </c>
      <c r="C252" s="797"/>
      <c r="D252" s="797"/>
      <c r="E252" s="797"/>
      <c r="F252" s="797"/>
      <c r="G252" s="797" t="s">
        <v>2158</v>
      </c>
      <c r="H252" s="797" t="s">
        <v>708</v>
      </c>
      <c r="I252" s="876"/>
      <c r="J252" s="792" t="str">
        <f>IF(ISBLANK(HLOOKUP(CaseName,CaseData,MATCH($G252,cases!$G$4:$G$2494,0),FALSE)),"",HLOOKUP(CaseName,CaseData,MATCH($G252,cases!$G$4:$G$2494,0),FALSE))</f>
        <v/>
      </c>
      <c r="K252" s="859">
        <f>COL.w0C/(SingleVolNC.w*RhoNC.w)</f>
        <v>35367765131532.289</v>
      </c>
      <c r="L252" s="833">
        <f t="shared" si="12"/>
        <v>35367765131532.289</v>
      </c>
      <c r="M252" s="797" t="s">
        <v>708</v>
      </c>
      <c r="N252" s="797"/>
      <c r="O252" s="799"/>
      <c r="P252" s="797"/>
    </row>
    <row r="253" spans="1:16" ht="12.75" customHeight="1" x14ac:dyDescent="0.3">
      <c r="A253" s="797"/>
      <c r="B253" s="797" t="s">
        <v>1362</v>
      </c>
      <c r="C253" s="797"/>
      <c r="D253" s="797"/>
      <c r="E253" s="797"/>
      <c r="F253" s="797"/>
      <c r="G253" s="797" t="s">
        <v>2159</v>
      </c>
      <c r="H253" s="797" t="s">
        <v>335</v>
      </c>
      <c r="I253" s="876"/>
      <c r="J253" s="792" t="str">
        <f>IF(ISBLANK(HLOOKUP(CaseName,CaseData,MATCH($G253,cases!$G$4:$G$2494,0),FALSE)),"",HLOOKUP(CaseName,CaseData,MATCH($G253,cases!$G$4:$G$2494,0),FALSE))</f>
        <v/>
      </c>
      <c r="K253" s="859">
        <f>L266+L267+L254</f>
        <v>4.4689827082537544E-17</v>
      </c>
      <c r="L253" s="833">
        <f t="shared" si="12"/>
        <v>4.4689827082537544E-17</v>
      </c>
      <c r="M253" s="797" t="s">
        <v>335</v>
      </c>
      <c r="N253" s="797"/>
      <c r="O253" s="799"/>
      <c r="P253" s="797"/>
    </row>
    <row r="254" spans="1:16" ht="12.75" customHeight="1" x14ac:dyDescent="0.3">
      <c r="A254" s="797"/>
      <c r="B254" s="797"/>
      <c r="C254" s="797" t="s">
        <v>1364</v>
      </c>
      <c r="D254" s="797"/>
      <c r="E254" s="797"/>
      <c r="F254" s="797"/>
      <c r="G254" s="796" t="s">
        <v>2160</v>
      </c>
      <c r="H254" s="796" t="s">
        <v>335</v>
      </c>
      <c r="I254" s="876"/>
      <c r="J254" s="792" t="str">
        <f>IF(ISBLANK(HLOOKUP(CaseName,CaseData,MATCH($G254,cases!$G$4:$G$2494,0),FALSE)),"",HLOOKUP(CaseName,CaseData,MATCH($G254,cases!$G$4:$G$2494,0),FALSE))</f>
        <v/>
      </c>
      <c r="K254" s="859">
        <f>(4/3)*L255*(RadS+RadNC.w)^3</f>
        <v>5.4613333333333359E-21</v>
      </c>
      <c r="L254" s="833">
        <f t="shared" si="12"/>
        <v>5.4613333333333359E-21</v>
      </c>
      <c r="M254" s="797" t="s">
        <v>335</v>
      </c>
      <c r="N254" s="797"/>
      <c r="O254" s="799"/>
      <c r="P254" s="797"/>
    </row>
    <row r="255" spans="1:16" ht="12.75" customHeight="1" x14ac:dyDescent="0.3">
      <c r="A255" s="797"/>
      <c r="B255" s="797"/>
      <c r="C255" s="797"/>
      <c r="D255" s="797" t="s">
        <v>1366</v>
      </c>
      <c r="E255" s="797"/>
      <c r="F255" s="797"/>
      <c r="G255" s="797" t="s">
        <v>2161</v>
      </c>
      <c r="H255" s="797" t="s">
        <v>335</v>
      </c>
      <c r="I255" s="876"/>
      <c r="J255" s="792" t="str">
        <f>IF(ISBLANK(HLOOKUP(CaseName,CaseData,MATCH($G255,cases!$G$4:$G$2494,0),FALSE)),"",HLOOKUP(CaseName,CaseData,MATCH($G255,cases!$G$4:$G$2494,0),FALSE))</f>
        <v/>
      </c>
      <c r="K255" s="859">
        <v>1</v>
      </c>
      <c r="L255" s="833">
        <f t="shared" si="12"/>
        <v>1</v>
      </c>
      <c r="M255" s="797" t="s">
        <v>335</v>
      </c>
      <c r="N255" s="797"/>
      <c r="O255" s="799"/>
      <c r="P255" s="492" t="s">
        <v>1368</v>
      </c>
    </row>
    <row r="256" spans="1:16" ht="12.75" customHeight="1" x14ac:dyDescent="0.3">
      <c r="A256" s="797" t="s">
        <v>1369</v>
      </c>
      <c r="B256" s="797"/>
      <c r="C256" s="797"/>
      <c r="D256" s="797"/>
      <c r="E256" s="797"/>
      <c r="F256" s="797"/>
      <c r="G256" s="796" t="s">
        <v>2162</v>
      </c>
      <c r="H256" s="796" t="s">
        <v>335</v>
      </c>
      <c r="I256" s="876"/>
      <c r="J256" s="792" t="str">
        <f>IF(ISBLANK(HLOOKUP(CaseName,CaseData,MATCH($G256,cases!$G$4:$G$2494,0),FALSE)),"",HLOOKUP(CaseName,CaseData,MATCH($G256,cases!$G$4:$G$2494,0),FALSE))</f>
        <v/>
      </c>
      <c r="K256" s="859">
        <f>L258*L257*AtefSA.w1</f>
        <v>1.5997016683331745E-4</v>
      </c>
      <c r="L256" s="794">
        <f t="shared" si="12"/>
        <v>1.5997016683331745E-4</v>
      </c>
      <c r="M256" s="797" t="s">
        <v>335</v>
      </c>
      <c r="N256" s="797"/>
      <c r="O256" s="799"/>
      <c r="P256" s="797"/>
    </row>
    <row r="257" spans="1:16" ht="12.75" customHeight="1" x14ac:dyDescent="0.3">
      <c r="A257" s="797"/>
      <c r="B257" s="797" t="s">
        <v>1371</v>
      </c>
      <c r="C257" s="797"/>
      <c r="D257" s="797"/>
      <c r="E257" s="797"/>
      <c r="F257" s="797"/>
      <c r="G257" s="796" t="s">
        <v>2163</v>
      </c>
      <c r="H257" s="796" t="s">
        <v>708</v>
      </c>
      <c r="I257" s="876"/>
      <c r="J257" s="792" t="str">
        <f>IF(ISBLANK(HLOOKUP(CaseName,CaseData,MATCH($G257,cases!$G$4:$G$2494,0),FALSE)),"",HLOOKUP(CaseName,CaseData,MATCH($G257,cases!$G$4:$G$2494,0),FALSE))</f>
        <v/>
      </c>
      <c r="K257" s="859">
        <f>COL.w1C/(SingleVolNC.w*RhoNC.w)</f>
        <v>35367765131532.289</v>
      </c>
      <c r="L257" s="794">
        <f t="shared" si="12"/>
        <v>35367765131532.289</v>
      </c>
      <c r="M257" s="796" t="s">
        <v>708</v>
      </c>
      <c r="N257" s="797"/>
      <c r="O257" s="799"/>
      <c r="P257" s="492" t="s">
        <v>1373</v>
      </c>
    </row>
    <row r="258" spans="1:16" ht="12.75" customHeight="1" x14ac:dyDescent="0.3">
      <c r="A258" s="797"/>
      <c r="B258" s="797" t="s">
        <v>1374</v>
      </c>
      <c r="C258" s="797"/>
      <c r="D258" s="797"/>
      <c r="E258" s="797"/>
      <c r="F258" s="797"/>
      <c r="G258" s="796" t="s">
        <v>2164</v>
      </c>
      <c r="H258" s="796" t="s">
        <v>335</v>
      </c>
      <c r="I258" s="876"/>
      <c r="J258" s="792" t="str">
        <f>IF(ISBLANK(HLOOKUP(CaseName,CaseData,MATCH($G258,cases!$G$4:$G$2494,0),FALSE)),"",HLOOKUP(CaseName,CaseData,MATCH($G258,cases!$G$4:$G$2494,0),FALSE))</f>
        <v/>
      </c>
      <c r="K258" s="859">
        <f>L259+L266+L267</f>
        <v>4.5230499082537542E-17</v>
      </c>
      <c r="L258" s="794">
        <f t="shared" si="12"/>
        <v>4.5230499082537542E-17</v>
      </c>
      <c r="M258" s="797" t="s">
        <v>335</v>
      </c>
      <c r="N258" s="797"/>
      <c r="O258" s="799"/>
      <c r="P258" s="797"/>
    </row>
    <row r="259" spans="1:16" ht="12.75" customHeight="1" x14ac:dyDescent="0.3">
      <c r="A259" s="797"/>
      <c r="B259" s="797"/>
      <c r="C259" s="797" t="s">
        <v>1364</v>
      </c>
      <c r="D259" s="797"/>
      <c r="E259" s="797"/>
      <c r="F259" s="797"/>
      <c r="G259" s="796" t="s">
        <v>2165</v>
      </c>
      <c r="H259" s="796" t="s">
        <v>335</v>
      </c>
      <c r="I259" s="876"/>
      <c r="J259" s="792" t="str">
        <f>IF(ISBLANK(HLOOKUP(CaseName,CaseData,MATCH($G259,cases!$G$4:$G$2494,0),FALSE)),"",HLOOKUP(CaseName,CaseData,MATCH($G259,cases!$G$4:$G$2494,0),FALSE))</f>
        <v/>
      </c>
      <c r="K259" s="859">
        <f>(4/3)*L260*(RadS+RadNC.w)^3</f>
        <v>5.4613333333333352E-19</v>
      </c>
      <c r="L259" s="794">
        <f t="shared" si="12"/>
        <v>5.4613333333333352E-19</v>
      </c>
      <c r="M259" s="797" t="s">
        <v>335</v>
      </c>
      <c r="N259" s="797"/>
      <c r="O259" s="799"/>
      <c r="P259" s="797"/>
    </row>
    <row r="260" spans="1:16" ht="12.75" customHeight="1" x14ac:dyDescent="0.3">
      <c r="A260" s="797"/>
      <c r="B260" s="797"/>
      <c r="C260" s="797"/>
      <c r="D260" s="797" t="s">
        <v>1377</v>
      </c>
      <c r="E260" s="797"/>
      <c r="F260" s="797"/>
      <c r="G260" s="796" t="s">
        <v>2166</v>
      </c>
      <c r="H260" s="796" t="s">
        <v>335</v>
      </c>
      <c r="I260" s="876"/>
      <c r="J260" s="792" t="str">
        <f>IF(ISBLANK(HLOOKUP(CaseName,CaseData,MATCH($G260,cases!$G$4:$G$2494,0),FALSE)),"",HLOOKUP(CaseName,CaseData,MATCH($G260,cases!$G$4:$G$2494,0),FALSE))</f>
        <v/>
      </c>
      <c r="K260" s="859">
        <v>100</v>
      </c>
      <c r="L260" s="794">
        <f t="shared" si="12"/>
        <v>100</v>
      </c>
      <c r="M260" s="796" t="s">
        <v>335</v>
      </c>
      <c r="N260" s="797"/>
      <c r="O260" s="799"/>
      <c r="P260" s="492" t="s">
        <v>1379</v>
      </c>
    </row>
    <row r="261" spans="1:16" ht="12.75" customHeight="1" x14ac:dyDescent="0.3">
      <c r="A261" s="797" t="s">
        <v>1380</v>
      </c>
      <c r="B261" s="797"/>
      <c r="C261" s="797"/>
      <c r="D261" s="797"/>
      <c r="E261" s="797"/>
      <c r="F261" s="797"/>
      <c r="G261" s="796" t="s">
        <v>2167</v>
      </c>
      <c r="H261" s="796" t="s">
        <v>335</v>
      </c>
      <c r="I261" s="876"/>
      <c r="J261" s="792" t="str">
        <f>IF(ISBLANK(HLOOKUP(CaseName,CaseData,MATCH($G261,cases!$G$4:$G$2494,0),FALSE)),"",HLOOKUP(CaseName,CaseData,MATCH($G261,cases!$G$4:$G$2494,0),FALSE))</f>
        <v/>
      </c>
      <c r="K261" s="859">
        <f>L263*L262*AtefSA.w2</f>
        <v>1.5823177044157236E-3</v>
      </c>
      <c r="L261" s="794">
        <f t="shared" si="12"/>
        <v>1.5823177044157236E-3</v>
      </c>
      <c r="M261" s="797" t="s">
        <v>335</v>
      </c>
      <c r="N261" s="797"/>
      <c r="O261" s="799"/>
      <c r="P261" s="797"/>
    </row>
    <row r="262" spans="1:16" ht="12.75" customHeight="1" x14ac:dyDescent="0.3">
      <c r="A262" s="797"/>
      <c r="B262" s="797" t="s">
        <v>1382</v>
      </c>
      <c r="C262" s="797"/>
      <c r="D262" s="797"/>
      <c r="E262" s="797"/>
      <c r="F262" s="797"/>
      <c r="G262" s="796" t="s">
        <v>2168</v>
      </c>
      <c r="H262" s="796" t="s">
        <v>708</v>
      </c>
      <c r="I262" s="876"/>
      <c r="J262" s="792" t="str">
        <f>IF(ISBLANK(HLOOKUP(CaseName,CaseData,MATCH($G262,cases!$G$4:$G$2494,0),FALSE)),"",HLOOKUP(CaseName,CaseData,MATCH($G262,cases!$G$4:$G$2494,0),FALSE))</f>
        <v/>
      </c>
      <c r="K262" s="859">
        <f>COL.w2C/(SingleVolNC.w*RhoNC.w)</f>
        <v>35367765131532.289</v>
      </c>
      <c r="L262" s="794">
        <f t="shared" si="12"/>
        <v>35367765131532.289</v>
      </c>
      <c r="M262" s="796" t="s">
        <v>708</v>
      </c>
      <c r="N262" s="797"/>
      <c r="O262" s="799"/>
      <c r="P262" s="492" t="s">
        <v>1384</v>
      </c>
    </row>
    <row r="263" spans="1:16" ht="12.75" customHeight="1" x14ac:dyDescent="0.3">
      <c r="A263" s="797"/>
      <c r="B263" s="797" t="s">
        <v>1385</v>
      </c>
      <c r="C263" s="797"/>
      <c r="D263" s="797"/>
      <c r="E263" s="797"/>
      <c r="F263" s="797"/>
      <c r="G263" s="796" t="s">
        <v>2169</v>
      </c>
      <c r="H263" s="796" t="s">
        <v>335</v>
      </c>
      <c r="I263" s="876"/>
      <c r="J263" s="792" t="str">
        <f>IF(ISBLANK(HLOOKUP(CaseName,CaseData,MATCH($G263,cases!$G$4:$G$2494,0),FALSE)),"",HLOOKUP(CaseName,CaseData,MATCH($G263,cases!$G$4:$G$2494,0),FALSE))</f>
        <v/>
      </c>
      <c r="K263" s="859">
        <f>L264+L266+L267</f>
        <v>4.4738979082537541E-17</v>
      </c>
      <c r="L263" s="794">
        <f t="shared" si="12"/>
        <v>4.4738979082537541E-17</v>
      </c>
      <c r="M263" s="797" t="s">
        <v>335</v>
      </c>
      <c r="N263" s="797"/>
      <c r="O263" s="799"/>
      <c r="P263" s="797"/>
    </row>
    <row r="264" spans="1:16" ht="12.75" customHeight="1" x14ac:dyDescent="0.3">
      <c r="A264" s="797"/>
      <c r="B264" s="797"/>
      <c r="C264" s="797" t="s">
        <v>1364</v>
      </c>
      <c r="D264" s="797"/>
      <c r="E264" s="797"/>
      <c r="F264" s="797"/>
      <c r="G264" s="796" t="s">
        <v>2170</v>
      </c>
      <c r="H264" s="796" t="s">
        <v>335</v>
      </c>
      <c r="I264" s="876"/>
      <c r="J264" s="792" t="str">
        <f>IF(ISBLANK(HLOOKUP(CaseName,CaseData,MATCH($G264,cases!$G$4:$G$2494,0),FALSE)),"",HLOOKUP(CaseName,CaseData,MATCH($G264,cases!$G$4:$G$2494,0),FALSE))</f>
        <v/>
      </c>
      <c r="K264" s="859">
        <f>(4/3)*L265*(RadS+RadNC.w)^3</f>
        <v>5.4613333333333359E-20</v>
      </c>
      <c r="L264" s="794">
        <f t="shared" si="12"/>
        <v>5.4613333333333359E-20</v>
      </c>
      <c r="M264" s="797" t="s">
        <v>335</v>
      </c>
      <c r="N264" s="797"/>
      <c r="O264" s="799"/>
      <c r="P264" s="797"/>
    </row>
    <row r="265" spans="1:16" ht="12.75" customHeight="1" x14ac:dyDescent="0.3">
      <c r="A265" s="797"/>
      <c r="B265" s="797"/>
      <c r="C265" s="797"/>
      <c r="D265" s="797" t="s">
        <v>1388</v>
      </c>
      <c r="E265" s="797"/>
      <c r="F265" s="797"/>
      <c r="G265" s="796" t="s">
        <v>2171</v>
      </c>
      <c r="H265" s="796" t="s">
        <v>335</v>
      </c>
      <c r="I265" s="876"/>
      <c r="J265" s="792" t="str">
        <f>IF(ISBLANK(HLOOKUP(CaseName,CaseData,MATCH($G265,cases!$G$4:$G$2494,0),FALSE)),"",HLOOKUP(CaseName,CaseData,MATCH($G265,cases!$G$4:$G$2494,0),FALSE))</f>
        <v/>
      </c>
      <c r="K265" s="859">
        <v>10</v>
      </c>
      <c r="L265" s="794">
        <f t="shared" si="12"/>
        <v>10</v>
      </c>
      <c r="M265" s="796" t="s">
        <v>335</v>
      </c>
      <c r="N265" s="797"/>
      <c r="O265" s="799"/>
      <c r="P265" s="492" t="s">
        <v>1368</v>
      </c>
    </row>
    <row r="266" spans="1:16" ht="12.75" customHeight="1" x14ac:dyDescent="0.3">
      <c r="A266" s="797"/>
      <c r="B266" s="797"/>
      <c r="C266" s="797" t="s">
        <v>1390</v>
      </c>
      <c r="D266" s="797"/>
      <c r="E266" s="797"/>
      <c r="F266" s="797"/>
      <c r="G266" s="797" t="s">
        <v>2172</v>
      </c>
      <c r="H266" s="797" t="s">
        <v>335</v>
      </c>
      <c r="I266" s="876"/>
      <c r="J266" s="792" t="str">
        <f>IF(ISBLANK(HLOOKUP(CaseName,CaseData,MATCH($G266,cases!$G$4:$G$2494,0),FALSE)),"",HLOOKUP(CaseName,CaseData,MATCH($G266,cases!$G$4:$G$2494,0),FALSE))</f>
        <v/>
      </c>
      <c r="K266" s="859">
        <f>(2*kboltz*TEMP.C)/(3*DYNVISC.w)*(RadS+RadNC.w)^2/(RadS*RadNC.w)</f>
        <v>4.468047746640054E-17</v>
      </c>
      <c r="L266" s="833">
        <f t="shared" si="12"/>
        <v>4.468047746640054E-17</v>
      </c>
      <c r="M266" s="797" t="s">
        <v>335</v>
      </c>
      <c r="N266" s="797"/>
      <c r="O266" s="799"/>
      <c r="P266" s="797"/>
    </row>
    <row r="267" spans="1:16" ht="12.75" customHeight="1" x14ac:dyDescent="0.3">
      <c r="A267" s="797"/>
      <c r="B267" s="797"/>
      <c r="C267" s="797" t="s">
        <v>1392</v>
      </c>
      <c r="D267" s="797"/>
      <c r="E267" s="797"/>
      <c r="F267" s="797"/>
      <c r="G267" s="796" t="s">
        <v>2173</v>
      </c>
      <c r="H267" s="796" t="s">
        <v>335</v>
      </c>
      <c r="I267" s="876"/>
      <c r="J267" s="792" t="str">
        <f>IF(ISBLANK(HLOOKUP(CaseName,CaseData,MATCH($G267,cases!$G$4:$G$2494,0),FALSE)),"",HLOOKUP(CaseName,CaseData,MATCH($G267,cases!$G$4:$G$2494,0),FALSE))</f>
        <v/>
      </c>
      <c r="K267" s="859">
        <f>PI()*(RadS+RadNC.w)^2*ABS(SetVelS.w-SetVelNC.w)</f>
        <v>3.8882828036701237E-21</v>
      </c>
      <c r="L267" s="794">
        <f t="shared" si="12"/>
        <v>3.8882828036701237E-21</v>
      </c>
      <c r="M267" s="797" t="s">
        <v>335</v>
      </c>
      <c r="N267" s="797"/>
      <c r="O267" s="799"/>
      <c r="P267" s="797"/>
    </row>
    <row r="268" spans="1:16" s="352" customFormat="1" ht="12.75" customHeight="1" x14ac:dyDescent="0.3">
      <c r="A268" s="352" t="s">
        <v>1394</v>
      </c>
      <c r="G268" s="520"/>
      <c r="H268" s="520"/>
      <c r="J268" s="521"/>
      <c r="K268" s="522"/>
      <c r="L268" s="523"/>
      <c r="O268" s="356"/>
    </row>
    <row r="269" spans="1:16" ht="12.75" customHeight="1" x14ac:dyDescent="0.3">
      <c r="A269" s="797" t="s">
        <v>1395</v>
      </c>
      <c r="B269" s="797"/>
      <c r="C269" s="797"/>
      <c r="D269" s="797"/>
      <c r="E269" s="797"/>
      <c r="F269" s="797"/>
      <c r="G269" s="796" t="s">
        <v>2174</v>
      </c>
      <c r="H269" s="796" t="s">
        <v>335</v>
      </c>
      <c r="I269" s="876"/>
      <c r="J269" s="792" t="str">
        <f>IF(ISBLANK(HLOOKUP(CaseName,CaseData,MATCH($G269,cases!$G$4:$G$2494,0),FALSE)),"",HLOOKUP(CaseName,CaseData,MATCH($G269,cases!$G$4:$G$2494,0),FALSE))</f>
        <v/>
      </c>
      <c r="K269" s="798">
        <f>L270*L271*AtefSP.w0</f>
        <v>2.9427711999727858E-7</v>
      </c>
      <c r="L269" s="794">
        <f t="shared" ref="L269:L282" si="13">IF(ISBLANK(I269),IF(ISNUMBER(J269)=FALSE,K269,J269),I269)</f>
        <v>2.9427711999727858E-7</v>
      </c>
      <c r="M269" s="797" t="s">
        <v>335</v>
      </c>
      <c r="N269" s="797"/>
      <c r="O269" s="799"/>
      <c r="P269" s="797"/>
    </row>
    <row r="270" spans="1:16" ht="12.75" customHeight="1" x14ac:dyDescent="0.3">
      <c r="A270" s="797"/>
      <c r="B270" s="797" t="s">
        <v>1397</v>
      </c>
      <c r="C270" s="797"/>
      <c r="D270" s="797"/>
      <c r="E270" s="797"/>
      <c r="F270" s="797"/>
      <c r="G270" s="796" t="s">
        <v>2175</v>
      </c>
      <c r="H270" s="796" t="s">
        <v>708</v>
      </c>
      <c r="I270" s="876"/>
      <c r="J270" s="792" t="str">
        <f>IF(ISBLANK(HLOOKUP(CaseName,CaseData,MATCH($G270,cases!$G$4:$G$2494,0),FALSE)),"",HLOOKUP(CaseName,CaseData,MATCH($G270,cases!$G$4:$G$2494,0),FALSE))</f>
        <v/>
      </c>
      <c r="K270" s="798">
        <f>(SUSP.w0C)/(SingleVolSPM.w*RhoSPM.w)</f>
        <v>1768388256.5766146</v>
      </c>
      <c r="L270" s="794">
        <f t="shared" si="13"/>
        <v>1768388256.5766146</v>
      </c>
      <c r="M270" s="797" t="s">
        <v>708</v>
      </c>
      <c r="N270" s="797" t="s">
        <v>1399</v>
      </c>
      <c r="O270" s="799"/>
      <c r="P270" s="797"/>
    </row>
    <row r="271" spans="1:16" ht="12.75" customHeight="1" x14ac:dyDescent="0.3">
      <c r="A271" s="797"/>
      <c r="B271" s="797" t="s">
        <v>1400</v>
      </c>
      <c r="C271" s="797"/>
      <c r="D271" s="797"/>
      <c r="E271" s="797"/>
      <c r="F271" s="797"/>
      <c r="G271" s="796" t="s">
        <v>2176</v>
      </c>
      <c r="H271" s="797" t="s">
        <v>335</v>
      </c>
      <c r="I271" s="876"/>
      <c r="J271" s="792" t="str">
        <f>IF(ISBLANK(HLOOKUP(CaseName,CaseData,MATCH($G271,cases!$G$4:$G$2494,0),FALSE)),"",HLOOKUP(CaseName,CaseData,MATCH($G271,cases!$G$4:$G$2494,0),FALSE))</f>
        <v/>
      </c>
      <c r="K271" s="798">
        <f>L281+L272+L282</f>
        <v>1.6640979089454223E-15</v>
      </c>
      <c r="L271" s="794">
        <f t="shared" si="13"/>
        <v>1.6640979089454223E-15</v>
      </c>
      <c r="M271" s="797" t="s">
        <v>335</v>
      </c>
      <c r="N271" s="797"/>
      <c r="O271" s="799"/>
      <c r="P271" s="797"/>
    </row>
    <row r="272" spans="1:16" ht="12.75" customHeight="1" x14ac:dyDescent="0.3">
      <c r="A272" s="797"/>
      <c r="B272" s="797"/>
      <c r="C272" s="797" t="s">
        <v>1402</v>
      </c>
      <c r="D272" s="797"/>
      <c r="E272" s="797"/>
      <c r="F272" s="797"/>
      <c r="G272" s="796" t="s">
        <v>2177</v>
      </c>
      <c r="H272" s="796" t="s">
        <v>335</v>
      </c>
      <c r="I272" s="876"/>
      <c r="J272" s="792" t="str">
        <f>IF(ISBLANK(HLOOKUP(CaseName,CaseData,MATCH($G272,cases!$G$4:$G$2494,0),FALSE)),"",HLOOKUP(CaseName,CaseData,MATCH($G272,cases!$G$4:$G$2494,0),FALSE))</f>
        <v/>
      </c>
      <c r="K272" s="798">
        <f>(4/3)*L255*(RadS+RadSPM.w)^3</f>
        <v>3.6361201333333331E-17</v>
      </c>
      <c r="L272" s="794">
        <f t="shared" si="13"/>
        <v>3.6361201333333331E-17</v>
      </c>
      <c r="M272" s="797" t="s">
        <v>335</v>
      </c>
      <c r="N272" s="797"/>
      <c r="O272" s="799"/>
      <c r="P272" s="797"/>
    </row>
    <row r="273" spans="1:16" ht="12.75" customHeight="1" x14ac:dyDescent="0.3">
      <c r="A273" s="797" t="s">
        <v>1404</v>
      </c>
      <c r="B273" s="797"/>
      <c r="C273" s="797"/>
      <c r="D273" s="797"/>
      <c r="E273" s="797"/>
      <c r="F273" s="797"/>
      <c r="G273" s="796" t="s">
        <v>2178</v>
      </c>
      <c r="H273" s="796" t="s">
        <v>335</v>
      </c>
      <c r="I273" s="876"/>
      <c r="J273" s="792" t="str">
        <f>IF(ISBLANK(HLOOKUP(CaseName,CaseData,MATCH($G273,cases!$G$4:$G$2494,0),FALSE)),"",HLOOKUP(CaseName,CaseData,MATCH($G273,cases!$G$4:$G$2494,0),FALSE))</f>
        <v/>
      </c>
      <c r="K273" s="798">
        <f>L274*L275*AtefSP.w1</f>
        <v>2.7925627865485082E-5</v>
      </c>
      <c r="L273" s="794">
        <f t="shared" si="13"/>
        <v>2.7925627865485082E-5</v>
      </c>
      <c r="M273" s="797" t="s">
        <v>335</v>
      </c>
      <c r="N273" s="797"/>
      <c r="O273" s="799"/>
      <c r="P273" s="797"/>
    </row>
    <row r="274" spans="1:16" ht="12.75" customHeight="1" x14ac:dyDescent="0.3">
      <c r="A274" s="797"/>
      <c r="B274" s="797" t="s">
        <v>1406</v>
      </c>
      <c r="C274" s="797"/>
      <c r="D274" s="797"/>
      <c r="E274" s="797"/>
      <c r="F274" s="797"/>
      <c r="G274" s="796" t="s">
        <v>2179</v>
      </c>
      <c r="H274" s="796" t="s">
        <v>708</v>
      </c>
      <c r="I274" s="876"/>
      <c r="J274" s="792" t="str">
        <f>IF(ISBLANK(HLOOKUP(CaseName,CaseData,MATCH($G274,cases!$G$4:$G$2494,0),FALSE)),"",HLOOKUP(CaseName,CaseData,MATCH($G274,cases!$G$4:$G$2494,0),FALSE))</f>
        <v/>
      </c>
      <c r="K274" s="798">
        <f>(SUSP.w1C)/(SingleVolSPM.w*RhoSPM.w)</f>
        <v>53051647697.298439</v>
      </c>
      <c r="L274" s="794">
        <f t="shared" si="13"/>
        <v>53051647697.298439</v>
      </c>
      <c r="M274" s="797" t="s">
        <v>708</v>
      </c>
      <c r="N274" s="797" t="s">
        <v>1408</v>
      </c>
      <c r="O274" s="799"/>
      <c r="P274" s="797"/>
    </row>
    <row r="275" spans="1:16" ht="12.75" customHeight="1" x14ac:dyDescent="0.3">
      <c r="A275" s="797"/>
      <c r="B275" s="797" t="s">
        <v>1409</v>
      </c>
      <c r="C275" s="797"/>
      <c r="D275" s="797"/>
      <c r="E275" s="797"/>
      <c r="F275" s="797"/>
      <c r="G275" s="796" t="s">
        <v>2180</v>
      </c>
      <c r="H275" s="797" t="s">
        <v>335</v>
      </c>
      <c r="I275" s="876"/>
      <c r="J275" s="792" t="str">
        <f>IF(ISBLANK(HLOOKUP(CaseName,CaseData,MATCH($G275,cases!$G$4:$G$2494,0),FALSE)),"",HLOOKUP(CaseName,CaseData,MATCH($G275,cases!$G$4:$G$2494,0),FALSE))</f>
        <v/>
      </c>
      <c r="K275" s="798">
        <f>L276+L281+L282</f>
        <v>5.2638568409454215E-15</v>
      </c>
      <c r="L275" s="794">
        <f t="shared" si="13"/>
        <v>5.2638568409454215E-15</v>
      </c>
      <c r="M275" s="797" t="s">
        <v>335</v>
      </c>
      <c r="N275" s="797"/>
      <c r="O275" s="799"/>
      <c r="P275" s="797"/>
    </row>
    <row r="276" spans="1:16" ht="12.75" customHeight="1" x14ac:dyDescent="0.3">
      <c r="A276" s="797"/>
      <c r="B276" s="797"/>
      <c r="C276" s="797" t="s">
        <v>1402</v>
      </c>
      <c r="D276" s="797"/>
      <c r="E276" s="797"/>
      <c r="F276" s="797"/>
      <c r="G276" s="796" t="s">
        <v>2181</v>
      </c>
      <c r="H276" s="796" t="s">
        <v>335</v>
      </c>
      <c r="I276" s="876"/>
      <c r="J276" s="792" t="str">
        <f>IF(ISBLANK(HLOOKUP(CaseName,CaseData,MATCH($G276,cases!$G$4:$G$2494,0),FALSE)),"",HLOOKUP(CaseName,CaseData,MATCH($G276,cases!$G$4:$G$2494,0),FALSE))</f>
        <v/>
      </c>
      <c r="K276" s="798">
        <f>(4/3)*L260*(RadS+RadSPM.w)^3</f>
        <v>3.6361201333333329E-15</v>
      </c>
      <c r="L276" s="794">
        <f t="shared" si="13"/>
        <v>3.6361201333333329E-15</v>
      </c>
      <c r="M276" s="797" t="s">
        <v>335</v>
      </c>
      <c r="N276" s="797"/>
      <c r="O276" s="799"/>
      <c r="P276" s="797"/>
    </row>
    <row r="277" spans="1:16" ht="12.75" customHeight="1" x14ac:dyDescent="0.3">
      <c r="A277" s="797" t="s">
        <v>1412</v>
      </c>
      <c r="B277" s="797"/>
      <c r="C277" s="797"/>
      <c r="D277" s="797"/>
      <c r="E277" s="797"/>
      <c r="F277" s="797"/>
      <c r="G277" s="796" t="s">
        <v>2182</v>
      </c>
      <c r="H277" s="796" t="s">
        <v>335</v>
      </c>
      <c r="I277" s="876"/>
      <c r="J277" s="792" t="str">
        <f>IF(ISBLANK(HLOOKUP(CaseName,CaseData,MATCH($G277,cases!$G$4:$G$2494,0),FALSE)),"",HLOOKUP(CaseName,CaseData,MATCH($G277,cases!$G$4:$G$2494,0),FALSE))</f>
        <v/>
      </c>
      <c r="K277" s="798">
        <f>L278*L279*AtefSP.w2</f>
        <v>3.5214776928687474E-5</v>
      </c>
      <c r="L277" s="794">
        <f t="shared" si="13"/>
        <v>3.5214776928687474E-5</v>
      </c>
      <c r="M277" s="797" t="s">
        <v>335</v>
      </c>
      <c r="N277" s="797"/>
      <c r="O277" s="799"/>
      <c r="P277" s="797"/>
    </row>
    <row r="278" spans="1:16" ht="12.75" customHeight="1" x14ac:dyDescent="0.3">
      <c r="A278" s="797"/>
      <c r="B278" s="797" t="s">
        <v>1406</v>
      </c>
      <c r="C278" s="797"/>
      <c r="D278" s="797"/>
      <c r="E278" s="797"/>
      <c r="F278" s="797"/>
      <c r="G278" s="796" t="s">
        <v>2183</v>
      </c>
      <c r="H278" s="796" t="s">
        <v>708</v>
      </c>
      <c r="I278" s="876"/>
      <c r="J278" s="792" t="str">
        <f>IF(ISBLANK(HLOOKUP(CaseName,CaseData,MATCH($G278,cases!$G$4:$G$2494,0),FALSE)),"",HLOOKUP(CaseName,CaseData,MATCH($G278,cases!$G$4:$G$2494,0),FALSE))</f>
        <v/>
      </c>
      <c r="K278" s="798">
        <f>(SUSP.w2C)/(SingleVolSPM.w*RhoSPM.w)</f>
        <v>17683882565.766148</v>
      </c>
      <c r="L278" s="794">
        <f t="shared" si="13"/>
        <v>17683882565.766148</v>
      </c>
      <c r="M278" s="797" t="s">
        <v>708</v>
      </c>
      <c r="N278" s="797" t="s">
        <v>1416</v>
      </c>
      <c r="O278" s="799"/>
      <c r="P278" s="797"/>
    </row>
    <row r="279" spans="1:16" ht="12.75" customHeight="1" x14ac:dyDescent="0.3">
      <c r="A279" s="797"/>
      <c r="B279" s="797" t="s">
        <v>1417</v>
      </c>
      <c r="C279" s="797"/>
      <c r="D279" s="797"/>
      <c r="E279" s="797"/>
      <c r="F279" s="797"/>
      <c r="G279" s="796" t="s">
        <v>2184</v>
      </c>
      <c r="H279" s="797" t="s">
        <v>335</v>
      </c>
      <c r="I279" s="876"/>
      <c r="J279" s="792" t="str">
        <f>IF(ISBLANK(HLOOKUP(CaseName,CaseData,MATCH($G279,cases!$G$4:$G$2494,0),FALSE)),"",HLOOKUP(CaseName,CaseData,MATCH($G279,cases!$G$4:$G$2494,0),FALSE))</f>
        <v/>
      </c>
      <c r="K279" s="798">
        <f>L281+L282+L280</f>
        <v>1.9913487209454223E-15</v>
      </c>
      <c r="L279" s="794">
        <f t="shared" si="13"/>
        <v>1.9913487209454223E-15</v>
      </c>
      <c r="M279" s="797" t="s">
        <v>335</v>
      </c>
      <c r="N279" s="797"/>
      <c r="O279" s="799"/>
      <c r="P279" s="797"/>
    </row>
    <row r="280" spans="1:16" ht="12.75" customHeight="1" x14ac:dyDescent="0.3">
      <c r="A280" s="797"/>
      <c r="B280" s="797"/>
      <c r="C280" s="797" t="s">
        <v>1402</v>
      </c>
      <c r="D280" s="797"/>
      <c r="E280" s="797"/>
      <c r="F280" s="797"/>
      <c r="G280" s="796" t="s">
        <v>2185</v>
      </c>
      <c r="H280" s="796" t="s">
        <v>335</v>
      </c>
      <c r="I280" s="876"/>
      <c r="J280" s="792" t="str">
        <f>IF(ISBLANK(HLOOKUP(CaseName,CaseData,MATCH($G280,cases!$G$4:$G$2494,0),FALSE)),"",HLOOKUP(CaseName,CaseData,MATCH($G280,cases!$G$4:$G$2494,0),FALSE))</f>
        <v/>
      </c>
      <c r="K280" s="798">
        <f>(4/3)*L265*(RadS+RadSPM.w)^3</f>
        <v>3.6361201333333332E-16</v>
      </c>
      <c r="L280" s="794">
        <f t="shared" si="13"/>
        <v>3.6361201333333332E-16</v>
      </c>
      <c r="M280" s="797" t="s">
        <v>335</v>
      </c>
      <c r="N280" s="797"/>
      <c r="O280" s="799"/>
      <c r="P280" s="797"/>
    </row>
    <row r="281" spans="1:16" ht="12.75" customHeight="1" x14ac:dyDescent="0.3">
      <c r="A281" s="797"/>
      <c r="B281" s="797"/>
      <c r="C281" s="797" t="s">
        <v>1420</v>
      </c>
      <c r="D281" s="797"/>
      <c r="E281" s="797"/>
      <c r="F281" s="797"/>
      <c r="G281" s="796" t="s">
        <v>2186</v>
      </c>
      <c r="H281" s="796" t="s">
        <v>335</v>
      </c>
      <c r="I281" s="876"/>
      <c r="J281" s="792" t="str">
        <f>IF(ISBLANK(HLOOKUP(CaseName,CaseData,MATCH($G281,cases!$G$4:$G$2494,0),FALSE)),"",HLOOKUP(CaseName,CaseData,MATCH($G281,cases!$G$4:$G$2494,0),FALSE))</f>
        <v/>
      </c>
      <c r="K281" s="798">
        <f>((2*kboltz*TEMP.C)/(3*DYNVISC.w))*(RadS+RadSPM.w)^2/(RadS*RadSPM.w)</f>
        <v>7.9064373807292086E-16</v>
      </c>
      <c r="L281" s="794">
        <f t="shared" si="13"/>
        <v>7.9064373807292086E-16</v>
      </c>
      <c r="M281" s="797" t="s">
        <v>335</v>
      </c>
      <c r="N281" s="797"/>
      <c r="O281" s="799"/>
      <c r="P281" s="797"/>
    </row>
    <row r="282" spans="1:16" ht="12.75" customHeight="1" x14ac:dyDescent="0.3">
      <c r="A282" s="797"/>
      <c r="B282" s="797"/>
      <c r="C282" s="797" t="s">
        <v>2187</v>
      </c>
      <c r="D282" s="797"/>
      <c r="E282" s="797"/>
      <c r="F282" s="797"/>
      <c r="G282" s="796" t="s">
        <v>2188</v>
      </c>
      <c r="H282" s="796" t="s">
        <v>335</v>
      </c>
      <c r="I282" s="876"/>
      <c r="J282" s="792" t="str">
        <f>IF(ISBLANK(HLOOKUP(CaseName,CaseData,MATCH($G282,cases!$G$4:$G$2494,0),FALSE)),"",HLOOKUP(CaseName,CaseData,MATCH($G282,cases!$G$4:$G$2494,0),FALSE))</f>
        <v/>
      </c>
      <c r="K282" s="798">
        <f>PI()*(RadS+RadSPM.w)^2*ABS(SetVelS.w-SetVelSPM.w)</f>
        <v>8.3709296953916809E-16</v>
      </c>
      <c r="L282" s="794">
        <f t="shared" si="13"/>
        <v>8.3709296953916809E-16</v>
      </c>
      <c r="M282" s="797" t="s">
        <v>335</v>
      </c>
      <c r="N282" s="797"/>
      <c r="O282" s="799"/>
      <c r="P282" s="797"/>
    </row>
    <row r="283" spans="1:16" ht="12.75" customHeight="1" x14ac:dyDescent="0.3">
      <c r="A283" s="352" t="s">
        <v>1424</v>
      </c>
      <c r="G283" s="779"/>
      <c r="H283" s="779"/>
      <c r="I283" s="778"/>
      <c r="J283" s="230"/>
      <c r="K283" s="780"/>
      <c r="O283" s="782"/>
    </row>
    <row r="284" spans="1:16" ht="12.75" customHeight="1" x14ac:dyDescent="0.3">
      <c r="A284" s="797" t="s">
        <v>1425</v>
      </c>
      <c r="B284" s="797"/>
      <c r="C284" s="797"/>
      <c r="D284" s="797"/>
      <c r="E284" s="797"/>
      <c r="F284" s="797"/>
      <c r="G284" s="796" t="s">
        <v>2189</v>
      </c>
      <c r="H284" s="796" t="s">
        <v>335</v>
      </c>
      <c r="I284" s="876"/>
      <c r="J284" s="792" t="str">
        <f>IF(ISBLANK(HLOOKUP(CaseName,CaseData,MATCH($G284,cases!$G$4:$G$2494,0),FALSE)),"",HLOOKUP(CaseName,CaseData,MATCH($G284,cases!$G$4:$G$2494,0),FALSE))</f>
        <v/>
      </c>
      <c r="K284" s="859">
        <f>AtefSA.sd0*L285*(L290+L291)</f>
        <v>3.1607723057386811E-4</v>
      </c>
      <c r="L284" s="794">
        <f t="shared" ref="L284:L291" si="14">IF(ISBLANK(I284),IF(ISNUMBER(J284)=FALSE,K284,J284),I284)</f>
        <v>3.1607723057386811E-4</v>
      </c>
      <c r="M284" s="796" t="s">
        <v>335</v>
      </c>
      <c r="N284" s="797" t="s">
        <v>2190</v>
      </c>
      <c r="O284" s="799"/>
      <c r="P284" s="797"/>
    </row>
    <row r="285" spans="1:16" ht="12.75" customHeight="1" x14ac:dyDescent="0.3">
      <c r="A285" s="797"/>
      <c r="B285" s="797" t="s">
        <v>1427</v>
      </c>
      <c r="C285" s="797"/>
      <c r="D285" s="797"/>
      <c r="E285" s="797"/>
      <c r="F285" s="797"/>
      <c r="G285" s="797" t="s">
        <v>2191</v>
      </c>
      <c r="H285" s="797" t="s">
        <v>708</v>
      </c>
      <c r="I285" s="876"/>
      <c r="J285" s="792" t="str">
        <f>IF(ISBLANK(HLOOKUP(CaseName,CaseData,MATCH($G285,cases!$G$4:$G$2494,0),FALSE)),"",HLOOKUP(CaseName,CaseData,MATCH($G285,cases!$G$4:$G$2494,0),FALSE))</f>
        <v/>
      </c>
      <c r="K285" s="859">
        <f>2*L252</f>
        <v>70735530263064.578</v>
      </c>
      <c r="L285" s="833">
        <f t="shared" si="14"/>
        <v>70735530263064.578</v>
      </c>
      <c r="M285" s="797" t="s">
        <v>708</v>
      </c>
      <c r="N285" s="797" t="s">
        <v>2192</v>
      </c>
      <c r="O285" s="799"/>
      <c r="P285" s="797"/>
    </row>
    <row r="286" spans="1:16" ht="12.75" customHeight="1" x14ac:dyDescent="0.3">
      <c r="A286" s="797" t="s">
        <v>1430</v>
      </c>
      <c r="B286" s="797"/>
      <c r="C286" s="797"/>
      <c r="D286" s="797"/>
      <c r="E286" s="797"/>
      <c r="F286" s="797"/>
      <c r="G286" s="796" t="s">
        <v>2193</v>
      </c>
      <c r="H286" s="796" t="s">
        <v>335</v>
      </c>
      <c r="I286" s="876"/>
      <c r="J286" s="792" t="str">
        <f>IF(ISBLANK(HLOOKUP(CaseName,CaseData,MATCH($G286,cases!$G$4:$G$2494,0),FALSE)),"",HLOOKUP(CaseName,CaseData,MATCH($G286,cases!$G$4:$G$2494,0),FALSE))</f>
        <v/>
      </c>
      <c r="K286" s="859">
        <f>AtefSA.sd1*L287*(L290+L291)</f>
        <v>3.1607723057386811E-4</v>
      </c>
      <c r="L286" s="794">
        <f t="shared" si="14"/>
        <v>3.1607723057386811E-4</v>
      </c>
      <c r="M286" s="796" t="s">
        <v>335</v>
      </c>
      <c r="N286" s="797"/>
      <c r="O286" s="799"/>
      <c r="P286" s="797"/>
    </row>
    <row r="287" spans="1:16" ht="12.75" customHeight="1" x14ac:dyDescent="0.3">
      <c r="A287" s="797"/>
      <c r="B287" s="797" t="s">
        <v>1432</v>
      </c>
      <c r="C287" s="797"/>
      <c r="D287" s="797"/>
      <c r="E287" s="797"/>
      <c r="F287" s="797"/>
      <c r="G287" s="796" t="s">
        <v>2194</v>
      </c>
      <c r="H287" s="796" t="s">
        <v>708</v>
      </c>
      <c r="I287" s="876"/>
      <c r="J287" s="792" t="str">
        <f>IF(ISBLANK(HLOOKUP(CaseName,CaseData,MATCH($G287,cases!$G$4:$G$2494,0),FALSE)),"",HLOOKUP(CaseName,CaseData,MATCH($G287,cases!$G$4:$G$2494,0),FALSE))</f>
        <v/>
      </c>
      <c r="K287" s="859">
        <f>2*L257</f>
        <v>70735530263064.578</v>
      </c>
      <c r="L287" s="794">
        <f t="shared" si="14"/>
        <v>70735530263064.578</v>
      </c>
      <c r="M287" s="796" t="s">
        <v>708</v>
      </c>
      <c r="N287" s="797" t="s">
        <v>2192</v>
      </c>
      <c r="O287" s="799"/>
      <c r="P287" s="492"/>
    </row>
    <row r="288" spans="1:16" ht="12.75" customHeight="1" x14ac:dyDescent="0.3">
      <c r="A288" s="797" t="s">
        <v>1434</v>
      </c>
      <c r="B288" s="797"/>
      <c r="C288" s="797"/>
      <c r="D288" s="797"/>
      <c r="E288" s="797"/>
      <c r="F288" s="797"/>
      <c r="G288" s="796" t="s">
        <v>2195</v>
      </c>
      <c r="H288" s="796" t="s">
        <v>335</v>
      </c>
      <c r="I288" s="876"/>
      <c r="J288" s="792" t="str">
        <f>IF(ISBLANK(HLOOKUP(CaseName,CaseData,MATCH($G288,cases!$G$4:$G$2494,0),FALSE)),"",HLOOKUP(CaseName,CaseData,MATCH($G288,cases!$G$4:$G$2494,0),FALSE))</f>
        <v/>
      </c>
      <c r="K288" s="859">
        <f>AtefSA.sd2*L289*(L290+L291)</f>
        <v>3.1607723057386805E-3</v>
      </c>
      <c r="L288" s="794">
        <f t="shared" si="14"/>
        <v>3.1607723057386805E-3</v>
      </c>
      <c r="M288" s="796" t="s">
        <v>335</v>
      </c>
      <c r="N288" s="797"/>
      <c r="O288" s="799"/>
      <c r="P288" s="797"/>
    </row>
    <row r="289" spans="1:16" ht="12.75" customHeight="1" x14ac:dyDescent="0.3">
      <c r="A289" s="797"/>
      <c r="B289" s="797" t="s">
        <v>1436</v>
      </c>
      <c r="C289" s="797"/>
      <c r="D289" s="797"/>
      <c r="E289" s="797"/>
      <c r="F289" s="797"/>
      <c r="G289" s="796" t="s">
        <v>2196</v>
      </c>
      <c r="H289" s="796" t="s">
        <v>708</v>
      </c>
      <c r="I289" s="876"/>
      <c r="J289" s="792" t="str">
        <f>IF(ISBLANK(HLOOKUP(CaseName,CaseData,MATCH($G289,cases!$G$4:$G$2494,0),FALSE)),"",HLOOKUP(CaseName,CaseData,MATCH($G289,cases!$G$4:$G$2494,0),FALSE))</f>
        <v/>
      </c>
      <c r="K289" s="859">
        <f>2*L262</f>
        <v>70735530263064.578</v>
      </c>
      <c r="L289" s="794">
        <f t="shared" si="14"/>
        <v>70735530263064.578</v>
      </c>
      <c r="M289" s="796" t="s">
        <v>708</v>
      </c>
      <c r="N289" s="797" t="s">
        <v>2192</v>
      </c>
      <c r="O289" s="799"/>
      <c r="P289" s="492"/>
    </row>
    <row r="290" spans="1:16" ht="12.75" customHeight="1" x14ac:dyDescent="0.3">
      <c r="A290" s="797"/>
      <c r="B290" s="797"/>
      <c r="C290" s="797" t="s">
        <v>1390</v>
      </c>
      <c r="D290" s="797"/>
      <c r="E290" s="797"/>
      <c r="F290" s="797"/>
      <c r="G290" s="797" t="s">
        <v>2197</v>
      </c>
      <c r="H290" s="797" t="s">
        <v>335</v>
      </c>
      <c r="I290" s="876"/>
      <c r="J290" s="792" t="str">
        <f>IF(ISBLANK(HLOOKUP(CaseName,CaseData,MATCH($G290,cases!$G$4:$G$2494,0),FALSE)),"",HLOOKUP(CaseName,CaseData,MATCH($G290,cases!$G$4:$G$2494,0),FALSE))</f>
        <v/>
      </c>
      <c r="K290" s="859">
        <f>((2*kboltz*TEMP.C)/(3*DYNVISC.w))*(RadS+RadNC.sd)^2/(RadS*RadNC.sd)</f>
        <v>4.468047746640054E-17</v>
      </c>
      <c r="L290" s="833">
        <f t="shared" si="14"/>
        <v>4.468047746640054E-17</v>
      </c>
      <c r="M290" s="797" t="s">
        <v>335</v>
      </c>
      <c r="N290" s="797"/>
      <c r="O290" s="799"/>
      <c r="P290" s="797"/>
    </row>
    <row r="291" spans="1:16" ht="12.75" customHeight="1" x14ac:dyDescent="0.3">
      <c r="A291" s="797"/>
      <c r="B291" s="797"/>
      <c r="C291" s="797" t="s">
        <v>1392</v>
      </c>
      <c r="D291" s="797"/>
      <c r="E291" s="797"/>
      <c r="F291" s="797"/>
      <c r="G291" s="796" t="s">
        <v>2198</v>
      </c>
      <c r="H291" s="796" t="s">
        <v>335</v>
      </c>
      <c r="I291" s="876"/>
      <c r="J291" s="792" t="str">
        <f>IF(ISBLANK(HLOOKUP(CaseName,CaseData,MATCH($G291,cases!$G$4:$G$2494,0),FALSE)),"",HLOOKUP(CaseName,CaseData,MATCH($G291,cases!$G$4:$G$2494,0),FALSE))</f>
        <v/>
      </c>
      <c r="K291" s="859">
        <f>PI()*(RadS+RadNC.sd)^2*ABS(SetVelS.w-SetVelNC.sd)</f>
        <v>3.8882828036701237E-21</v>
      </c>
      <c r="L291" s="794">
        <f t="shared" si="14"/>
        <v>3.8882828036701237E-21</v>
      </c>
      <c r="M291" s="797" t="s">
        <v>335</v>
      </c>
      <c r="N291" s="797"/>
      <c r="O291" s="799"/>
      <c r="P291" s="797"/>
    </row>
    <row r="292" spans="1:16" ht="12.75" customHeight="1" x14ac:dyDescent="0.3">
      <c r="A292" s="352" t="s">
        <v>1440</v>
      </c>
      <c r="G292" s="779"/>
      <c r="H292" s="779"/>
      <c r="I292" s="778"/>
      <c r="J292" s="778"/>
      <c r="K292" s="780"/>
      <c r="M292" s="779"/>
      <c r="O292" s="782"/>
    </row>
    <row r="293" spans="1:16" ht="12.75" customHeight="1" x14ac:dyDescent="0.3">
      <c r="A293" s="797" t="s">
        <v>2199</v>
      </c>
      <c r="B293" s="797"/>
      <c r="C293" s="797"/>
      <c r="D293" s="797"/>
      <c r="E293" s="797"/>
      <c r="F293" s="797"/>
      <c r="G293" s="796" t="s">
        <v>2200</v>
      </c>
      <c r="H293" s="796" t="s">
        <v>335</v>
      </c>
      <c r="I293" s="876"/>
      <c r="J293" s="792" t="str">
        <f>IF(ISBLANK(HLOOKUP(CaseName,CaseData,MATCH($G293,cases!$G$4:$G$2494,0),FALSE)),"",HLOOKUP(CaseName,CaseData,MATCH($G293,cases!$G$4:$G$2494,0),FALSE))</f>
        <v/>
      </c>
      <c r="K293" s="798">
        <f>L296*L297*L298*AtefSP.sd0</f>
        <v>1.1637660886097843E-3</v>
      </c>
      <c r="L293" s="794">
        <f t="shared" ref="L293:L308" si="15">IF(ISBLANK(I293),IF(ISNUMBER(J293)=FALSE,K293,J293),I293)</f>
        <v>1.1637660886097843E-3</v>
      </c>
      <c r="M293" s="796" t="s">
        <v>335</v>
      </c>
      <c r="N293" s="797"/>
      <c r="O293" s="799"/>
      <c r="P293" s="797"/>
    </row>
    <row r="294" spans="1:16" ht="12.75" customHeight="1" x14ac:dyDescent="0.3">
      <c r="A294" s="797" t="s">
        <v>2201</v>
      </c>
      <c r="B294" s="797"/>
      <c r="C294" s="797"/>
      <c r="D294" s="797"/>
      <c r="E294" s="797"/>
      <c r="F294" s="797"/>
      <c r="G294" s="796" t="s">
        <v>2202</v>
      </c>
      <c r="H294" s="796" t="s">
        <v>335</v>
      </c>
      <c r="I294" s="876"/>
      <c r="J294" s="792" t="str">
        <f>IF(ISBLANK(HLOOKUP(CaseName,CaseData,MATCH($G294,cases!$G$4:$G$2494,0),FALSE)),"",HLOOKUP(CaseName,CaseData,MATCH($G294,cases!$G$4:$G$2494,0),FALSE))</f>
        <v/>
      </c>
      <c r="K294" s="798">
        <f>L296*L297*L298*AtefSP.sd1</f>
        <v>1.1637660886097843E-3</v>
      </c>
      <c r="L294" s="794">
        <f t="shared" si="15"/>
        <v>1.1637660886097843E-3</v>
      </c>
      <c r="M294" s="796" t="s">
        <v>335</v>
      </c>
      <c r="N294" s="797"/>
      <c r="O294" s="799"/>
      <c r="P294" s="797"/>
    </row>
    <row r="295" spans="1:16" ht="12.75" customHeight="1" x14ac:dyDescent="0.3">
      <c r="A295" s="797" t="s">
        <v>2203</v>
      </c>
      <c r="B295" s="797"/>
      <c r="C295" s="797"/>
      <c r="D295" s="797"/>
      <c r="E295" s="797"/>
      <c r="F295" s="797"/>
      <c r="G295" s="796" t="s">
        <v>2204</v>
      </c>
      <c r="H295" s="796" t="s">
        <v>335</v>
      </c>
      <c r="I295" s="876"/>
      <c r="J295" s="792" t="str">
        <f>IF(ISBLANK(HLOOKUP(CaseName,CaseData,MATCH($G295,cases!$G$4:$G$2494,0),FALSE)),"",HLOOKUP(CaseName,CaseData,MATCH($G295,cases!$G$4:$G$2494,0),FALSE))</f>
        <v/>
      </c>
      <c r="K295" s="798">
        <f>L296*L298*L297*AtefSP.sd2</f>
        <v>1.1637660886097844E-2</v>
      </c>
      <c r="L295" s="794">
        <f t="shared" si="15"/>
        <v>1.1637660886097844E-2</v>
      </c>
      <c r="M295" s="796" t="s">
        <v>335</v>
      </c>
      <c r="N295" s="797"/>
      <c r="O295" s="799"/>
      <c r="P295" s="797"/>
    </row>
    <row r="296" spans="1:16" ht="12.75" customHeight="1" x14ac:dyDescent="0.3">
      <c r="A296" s="797"/>
      <c r="B296" s="797" t="s">
        <v>1447</v>
      </c>
      <c r="C296" s="797"/>
      <c r="D296" s="797"/>
      <c r="E296" s="797"/>
      <c r="F296" s="797"/>
      <c r="G296" s="796" t="s">
        <v>2205</v>
      </c>
      <c r="H296" s="796" t="s">
        <v>1449</v>
      </c>
      <c r="I296" s="876"/>
      <c r="J296" s="792" t="str">
        <f>IF(ISBLANK(HLOOKUP(CaseName,CaseData,MATCH($G296,cases!$G$4:$G$2494,0),FALSE)),"",HLOOKUP(CaseName,CaseData,MATCH($G296,cases!$G$4:$G$2494,0),FALSE))</f>
        <v/>
      </c>
      <c r="K296" s="798">
        <f>(3/2)*((1-L302)/(2*RadFP.sd*L302))</f>
        <v>1464.8437499999995</v>
      </c>
      <c r="L296" s="794">
        <f t="shared" si="15"/>
        <v>1464.8437499999995</v>
      </c>
      <c r="M296" s="796" t="s">
        <v>1449</v>
      </c>
      <c r="N296" s="797"/>
      <c r="O296" s="799"/>
      <c r="P296" s="797"/>
    </row>
    <row r="297" spans="1:16" ht="12.75" customHeight="1" x14ac:dyDescent="0.3">
      <c r="A297" s="797"/>
      <c r="B297" s="797" t="s">
        <v>1450</v>
      </c>
      <c r="C297" s="797"/>
      <c r="D297" s="797"/>
      <c r="E297" s="797"/>
      <c r="F297" s="797"/>
      <c r="G297" s="797" t="s">
        <v>2206</v>
      </c>
      <c r="H297" s="796" t="s">
        <v>866</v>
      </c>
      <c r="I297" s="876"/>
      <c r="J297" s="792" t="str">
        <f>IF(ISBLANK(HLOOKUP(CaseName,CaseData,MATCH($G297,cases!$G$4:$G$2494,0),FALSE)),"",HLOOKUP(CaseName,CaseData,MATCH($G297,cases!$G$4:$G$2494,0),FALSE))</f>
        <v/>
      </c>
      <c r="K297" s="512">
        <f>9*10^-6</f>
        <v>9.0000000000000002E-6</v>
      </c>
      <c r="L297" s="794">
        <f t="shared" si="15"/>
        <v>9.0000000000000002E-6</v>
      </c>
      <c r="M297" s="796" t="s">
        <v>866</v>
      </c>
      <c r="N297" s="797"/>
      <c r="O297" s="799"/>
      <c r="P297" s="797" t="s">
        <v>1452</v>
      </c>
    </row>
    <row r="298" spans="1:16" ht="12.75" customHeight="1" x14ac:dyDescent="0.3">
      <c r="A298" s="797"/>
      <c r="B298" s="797" t="s">
        <v>1453</v>
      </c>
      <c r="C298" s="797"/>
      <c r="D298" s="797"/>
      <c r="E298" s="797"/>
      <c r="F298" s="797"/>
      <c r="G298" s="796" t="s">
        <v>2207</v>
      </c>
      <c r="H298" s="796" t="s">
        <v>291</v>
      </c>
      <c r="I298" s="876"/>
      <c r="J298" s="792" t="str">
        <f>IF(ISBLANK(HLOOKUP(CaseName,CaseData,MATCH($G298,cases!$G$4:$G$2494,0),FALSE)),"",HLOOKUP(CaseName,CaseData,MATCH($G298,cases!$G$4:$G$2494,0),FALSE))</f>
        <v/>
      </c>
      <c r="K298" s="798">
        <f>L299+L303+L304</f>
        <v>0.88273812943438479</v>
      </c>
      <c r="L298" s="794">
        <f t="shared" si="15"/>
        <v>0.88273812943438479</v>
      </c>
      <c r="M298" s="796" t="s">
        <v>291</v>
      </c>
      <c r="N298" s="797"/>
      <c r="O298" s="799"/>
      <c r="P298" s="797" t="s">
        <v>1452</v>
      </c>
    </row>
    <row r="299" spans="1:16" ht="12.75" customHeight="1" x14ac:dyDescent="0.3">
      <c r="A299" s="797"/>
      <c r="B299" s="797"/>
      <c r="C299" s="797" t="s">
        <v>1455</v>
      </c>
      <c r="D299" s="797"/>
      <c r="E299" s="797"/>
      <c r="F299" s="797"/>
      <c r="G299" s="796" t="s">
        <v>2208</v>
      </c>
      <c r="H299" s="796" t="s">
        <v>291</v>
      </c>
      <c r="I299" s="876"/>
      <c r="J299" s="792" t="str">
        <f>IF(ISBLANK(HLOOKUP(CaseName,CaseData,MATCH($G299,cases!$G$4:$G$2494,0),FALSE)),"",HLOOKUP(CaseName,CaseData,MATCH($G299,cases!$G$4:$G$2494,0),FALSE))</f>
        <v/>
      </c>
      <c r="K299" s="798">
        <f>2.4*L307^(1/3)*L306^(-0.081)*L307^(-0.715)*L305^(0.053)</f>
        <v>0.88267743923252096</v>
      </c>
      <c r="L299" s="794">
        <f t="shared" si="15"/>
        <v>0.88267743923252096</v>
      </c>
      <c r="M299" s="796" t="s">
        <v>291</v>
      </c>
      <c r="N299" s="797"/>
      <c r="O299" s="799"/>
      <c r="P299" s="797" t="s">
        <v>1452</v>
      </c>
    </row>
    <row r="300" spans="1:16" ht="12.75" customHeight="1" x14ac:dyDescent="0.3">
      <c r="A300" s="797"/>
      <c r="B300" s="797"/>
      <c r="C300" s="797"/>
      <c r="D300" s="797" t="s">
        <v>1457</v>
      </c>
      <c r="E300" s="797"/>
      <c r="F300" s="797"/>
      <c r="G300" s="797" t="s">
        <v>2209</v>
      </c>
      <c r="H300" s="796" t="s">
        <v>291</v>
      </c>
      <c r="I300" s="876"/>
      <c r="J300" s="792" t="str">
        <f>IF(ISBLANK(HLOOKUP(CaseName,CaseData,MATCH($G300,cases!$G$4:$G$2494,0),FALSE)),"",HLOOKUP(CaseName,CaseData,MATCH($G300,cases!$G$4:$G$2494,0),FALSE))</f>
        <v/>
      </c>
      <c r="K300" s="512">
        <f>(2*(1-L301^5))/(2-3*L301+3*L301^5-2*L301^6)</f>
        <v>5.0249997549306684</v>
      </c>
      <c r="L300" s="794">
        <f t="shared" si="15"/>
        <v>5.0249997549306684</v>
      </c>
      <c r="M300" s="796" t="s">
        <v>291</v>
      </c>
      <c r="N300" s="797"/>
      <c r="O300" s="799"/>
      <c r="P300" s="797" t="s">
        <v>1452</v>
      </c>
    </row>
    <row r="301" spans="1:16" ht="12.75" customHeight="1" x14ac:dyDescent="0.3">
      <c r="A301" s="797"/>
      <c r="B301" s="797"/>
      <c r="C301" s="797"/>
      <c r="D301" s="797"/>
      <c r="E301" s="797" t="s">
        <v>1459</v>
      </c>
      <c r="F301" s="797"/>
      <c r="G301" s="797" t="s">
        <v>2210</v>
      </c>
      <c r="H301" s="796" t="s">
        <v>291</v>
      </c>
      <c r="I301" s="876"/>
      <c r="J301" s="792" t="str">
        <f>IF(ISBLANK(HLOOKUP(CaseName,CaseData,MATCH($G301,cases!$G$4:$G$2494,0),FALSE)),"",HLOOKUP(CaseName,CaseData,MATCH($G301,cases!$G$4:$G$2494,0),FALSE))</f>
        <v/>
      </c>
      <c r="K301" s="512">
        <f>(1-L302)^(1/3)</f>
        <v>0.58480354764257325</v>
      </c>
      <c r="L301" s="794">
        <f t="shared" si="15"/>
        <v>0.58480354764257325</v>
      </c>
      <c r="M301" s="796" t="s">
        <v>291</v>
      </c>
      <c r="N301" s="797"/>
      <c r="O301" s="799"/>
      <c r="P301" s="797" t="s">
        <v>1452</v>
      </c>
    </row>
    <row r="302" spans="1:16" ht="12.75" customHeight="1" x14ac:dyDescent="0.3">
      <c r="A302" s="797"/>
      <c r="B302" s="797"/>
      <c r="C302" s="797"/>
      <c r="D302" s="797"/>
      <c r="E302" s="797"/>
      <c r="F302" s="797" t="s">
        <v>1461</v>
      </c>
      <c r="G302" s="797" t="s">
        <v>2211</v>
      </c>
      <c r="H302" s="796" t="s">
        <v>1463</v>
      </c>
      <c r="I302" s="876"/>
      <c r="J302" s="792" t="str">
        <f>IF(ISBLANK(HLOOKUP(CaseName,CaseData,MATCH($G302,cases!$G$4:$G$2494,0),FALSE)),"",HLOOKUP(CaseName,CaseData,MATCH($G302,cases!$G$4:$G$2494,0),FALSE))</f>
        <v/>
      </c>
      <c r="K302" s="798">
        <f>L45</f>
        <v>0.8</v>
      </c>
      <c r="L302" s="794">
        <f t="shared" si="15"/>
        <v>0.8</v>
      </c>
      <c r="M302" s="796" t="s">
        <v>1463</v>
      </c>
      <c r="N302" s="797" t="s">
        <v>1464</v>
      </c>
      <c r="O302" s="799"/>
      <c r="P302" s="797"/>
    </row>
    <row r="303" spans="1:16" ht="12.75" customHeight="1" x14ac:dyDescent="0.3">
      <c r="A303" s="797"/>
      <c r="B303" s="797"/>
      <c r="C303" s="797" t="s">
        <v>1465</v>
      </c>
      <c r="D303" s="797"/>
      <c r="E303" s="797"/>
      <c r="F303" s="797"/>
      <c r="G303" s="796" t="s">
        <v>2212</v>
      </c>
      <c r="H303" s="796" t="s">
        <v>291</v>
      </c>
      <c r="I303" s="876"/>
      <c r="J303" s="792" t="str">
        <f>IF(ISBLANK(HLOOKUP(CaseName,CaseData,MATCH($G303,cases!$G$4:$G$2494,0),FALSE)),"",HLOOKUP(CaseName,CaseData,MATCH($G303,cases!$G$4:$G$2494,0),FALSE))</f>
        <v/>
      </c>
      <c r="K303" s="798">
        <f>0.55*L306^1.55*L307^-0.125*L305^0.125</f>
        <v>1.4099767714425791E-7</v>
      </c>
      <c r="L303" s="794">
        <f t="shared" si="15"/>
        <v>1.4099767714425791E-7</v>
      </c>
      <c r="M303" s="796" t="s">
        <v>291</v>
      </c>
      <c r="N303" s="797"/>
      <c r="O303" s="799"/>
      <c r="P303" s="797" t="s">
        <v>1452</v>
      </c>
    </row>
    <row r="304" spans="1:16" ht="12.75" customHeight="1" x14ac:dyDescent="0.3">
      <c r="A304" s="797"/>
      <c r="B304" s="797"/>
      <c r="C304" s="797" t="s">
        <v>1467</v>
      </c>
      <c r="D304" s="797"/>
      <c r="E304" s="797"/>
      <c r="F304" s="797"/>
      <c r="G304" s="796" t="s">
        <v>2213</v>
      </c>
      <c r="H304" s="796" t="s">
        <v>291</v>
      </c>
      <c r="I304" s="876"/>
      <c r="J304" s="792" t="str">
        <f>IF(ISBLANK(HLOOKUP(CaseName,CaseData,MATCH($G304,cases!$G$4:$G$2494,0),FALSE)),"",HLOOKUP(CaseName,CaseData,MATCH($G304,cases!$G$4:$G$2494,0),FALSE))</f>
        <v/>
      </c>
      <c r="K304" s="798">
        <f>0.22*L306^-0.24*L308^1.11*L305^0.053</f>
        <v>6.0549204186767489E-5</v>
      </c>
      <c r="L304" s="794">
        <f t="shared" si="15"/>
        <v>6.0549204186767489E-5</v>
      </c>
      <c r="M304" s="796" t="s">
        <v>291</v>
      </c>
      <c r="N304" s="797"/>
      <c r="O304" s="799"/>
      <c r="P304" s="797" t="s">
        <v>1452</v>
      </c>
    </row>
    <row r="305" spans="1:16" ht="12.75" customHeight="1" x14ac:dyDescent="0.3">
      <c r="A305" s="797"/>
      <c r="B305" s="797"/>
      <c r="C305" s="797"/>
      <c r="D305" s="797" t="s">
        <v>1469</v>
      </c>
      <c r="E305" s="797"/>
      <c r="F305" s="797"/>
      <c r="G305" s="797" t="s">
        <v>2214</v>
      </c>
      <c r="H305" s="796" t="s">
        <v>291</v>
      </c>
      <c r="I305" s="876"/>
      <c r="J305" s="792" t="str">
        <f>IF(ISBLANK(HLOOKUP(CaseName,CaseData,MATCH($G305,cases!$G$4:$G$2494,0),FALSE)),"",HLOOKUP(CaseName,CaseData,MATCH($G305,cases!$G$4:$G$2494,0),FALSE))</f>
        <v/>
      </c>
      <c r="K305" s="512">
        <f>AHamakerSP.w/(kboltz*TEMP.C)</f>
        <v>1.7535615368506079</v>
      </c>
      <c r="L305" s="794">
        <f t="shared" si="15"/>
        <v>1.7535615368506079</v>
      </c>
      <c r="M305" s="796" t="s">
        <v>291</v>
      </c>
      <c r="N305" s="797"/>
      <c r="O305" s="799"/>
      <c r="P305" s="797" t="s">
        <v>1452</v>
      </c>
    </row>
    <row r="306" spans="1:16" ht="12.75" customHeight="1" x14ac:dyDescent="0.3">
      <c r="A306" s="797"/>
      <c r="B306" s="797"/>
      <c r="C306" s="797"/>
      <c r="D306" s="797" t="s">
        <v>1471</v>
      </c>
      <c r="E306" s="797"/>
      <c r="F306" s="797"/>
      <c r="G306" s="797" t="s">
        <v>2215</v>
      </c>
      <c r="H306" s="796" t="s">
        <v>1473</v>
      </c>
      <c r="I306" s="876"/>
      <c r="J306" s="792" t="str">
        <f>IF(ISBLANK(HLOOKUP(CaseName,CaseData,MATCH($G306,cases!$G$4:$G$2494,0),FALSE)),"",HLOOKUP(CaseName,CaseData,MATCH($G306,cases!$G$4:$G$2494,0),FALSE))</f>
        <v/>
      </c>
      <c r="K306" s="512">
        <f>RadS/RadFP.sd</f>
        <v>7.8125000000000002E-5</v>
      </c>
      <c r="L306" s="794">
        <f t="shared" si="15"/>
        <v>7.8125000000000002E-5</v>
      </c>
      <c r="M306" s="796" t="s">
        <v>1473</v>
      </c>
      <c r="N306" s="797"/>
      <c r="O306" s="799"/>
      <c r="P306" s="797" t="s">
        <v>1452</v>
      </c>
    </row>
    <row r="307" spans="1:16" ht="12.75" customHeight="1" x14ac:dyDescent="0.3">
      <c r="A307" s="797"/>
      <c r="B307" s="797"/>
      <c r="C307" s="797"/>
      <c r="D307" s="797" t="s">
        <v>1474</v>
      </c>
      <c r="E307" s="797"/>
      <c r="F307" s="797"/>
      <c r="G307" s="797" t="s">
        <v>2216</v>
      </c>
      <c r="H307" s="796" t="s">
        <v>291</v>
      </c>
      <c r="I307" s="876"/>
      <c r="J307" s="792" t="str">
        <f>IF(ISBLANK(HLOOKUP(CaseName,CaseData,MATCH($G307,cases!$G$4:$G$2494,0),FALSE)),"",HLOOKUP(CaseName,CaseData,MATCH($G307,cases!$G$4:$G$2494,0),FALSE))</f>
        <v/>
      </c>
      <c r="K307" s="512">
        <f>(L297*2*RadFP.sd)/DiffS.wC</f>
        <v>110.59187966851262</v>
      </c>
      <c r="L307" s="794">
        <f t="shared" si="15"/>
        <v>110.59187966851262</v>
      </c>
      <c r="M307" s="796" t="s">
        <v>291</v>
      </c>
      <c r="N307" s="797"/>
      <c r="O307" s="799"/>
      <c r="P307" s="797" t="s">
        <v>1452</v>
      </c>
    </row>
    <row r="308" spans="1:16" ht="12.75" customHeight="1" x14ac:dyDescent="0.3">
      <c r="A308" s="797"/>
      <c r="B308" s="797"/>
      <c r="C308" s="797"/>
      <c r="D308" s="797" t="s">
        <v>1476</v>
      </c>
      <c r="E308" s="797"/>
      <c r="F308" s="797"/>
      <c r="G308" s="796" t="s">
        <v>2217</v>
      </c>
      <c r="H308" s="796" t="s">
        <v>291</v>
      </c>
      <c r="I308" s="876"/>
      <c r="J308" s="792" t="str">
        <f>IF(ISBLANK(HLOOKUP(CaseName,CaseData,MATCH($G308,cases!$G$4:$G$2494,0),FALSE)),"",HLOOKUP(CaseName,CaseData,MATCH($G308,cases!$G$4:$G$2494,0),FALSE))</f>
        <v/>
      </c>
      <c r="K308" s="512">
        <f>(2*RadS^2*(ABS(RhoS-Rho.w))*9.81)/(9*DYNVISC.w*L297)</f>
        <v>7.8129962297626983E-5</v>
      </c>
      <c r="L308" s="794">
        <f t="shared" si="15"/>
        <v>7.8129962297626983E-5</v>
      </c>
      <c r="M308" s="796" t="s">
        <v>291</v>
      </c>
      <c r="N308" s="797"/>
      <c r="O308" s="799"/>
      <c r="P308" s="797" t="s">
        <v>1452</v>
      </c>
    </row>
    <row r="309" spans="1:16" ht="12.75" customHeight="1" x14ac:dyDescent="0.3">
      <c r="A309" s="352" t="s">
        <v>1478</v>
      </c>
      <c r="G309" s="779"/>
      <c r="H309" s="779"/>
      <c r="I309" s="778"/>
      <c r="J309" s="230"/>
      <c r="K309" s="780"/>
      <c r="M309" s="779"/>
      <c r="O309" s="782"/>
    </row>
    <row r="310" spans="1:16" ht="12.75" customHeight="1" x14ac:dyDescent="0.3">
      <c r="A310" s="797" t="s">
        <v>1479</v>
      </c>
      <c r="B310" s="797"/>
      <c r="C310" s="797"/>
      <c r="D310" s="797"/>
      <c r="E310" s="797"/>
      <c r="F310" s="797"/>
      <c r="G310" s="796" t="s">
        <v>2218</v>
      </c>
      <c r="H310" s="796" t="s">
        <v>335</v>
      </c>
      <c r="I310" s="876"/>
      <c r="J310" s="792" t="str">
        <f>IF(ISBLANK(HLOOKUP(CaseName,CaseData,MATCH($G310,cases!$G$4:$G$2494,0),FALSE)),"",HLOOKUP(CaseName,CaseData,MATCH($G310,cases!$G$4:$G$2494,0),FALSE))</f>
        <v/>
      </c>
      <c r="K310" s="798">
        <f>AtefSA.s1*L313*(L314+L315)</f>
        <v>1.5803861528693407E-2</v>
      </c>
      <c r="L310" s="794">
        <f t="shared" ref="L310:L315" si="16">IF(ISBLANK(I310),IF(ISNUMBER(J310)=FALSE,K310,J310),I310)</f>
        <v>1.5803861528693407E-2</v>
      </c>
      <c r="M310" s="796" t="s">
        <v>335</v>
      </c>
      <c r="N310" s="797"/>
      <c r="O310" s="799"/>
      <c r="P310" s="797"/>
    </row>
    <row r="311" spans="1:16" ht="12.75" customHeight="1" x14ac:dyDescent="0.3">
      <c r="A311" s="797" t="s">
        <v>1481</v>
      </c>
      <c r="B311" s="797"/>
      <c r="C311" s="797"/>
      <c r="D311" s="797"/>
      <c r="E311" s="797"/>
      <c r="F311" s="797"/>
      <c r="G311" s="796" t="s">
        <v>2219</v>
      </c>
      <c r="H311" s="796" t="s">
        <v>335</v>
      </c>
      <c r="I311" s="876"/>
      <c r="J311" s="792" t="str">
        <f>IF(ISBLANK(HLOOKUP(CaseName,CaseData,MATCH($G311,cases!$G$4:$G$2494,0),FALSE)),"",HLOOKUP(CaseName,CaseData,MATCH($G311,cases!$G$4:$G$2494,0),FALSE))</f>
        <v/>
      </c>
      <c r="K311" s="798">
        <f>AtefSA.s2*L313*(L314+L315)</f>
        <v>1.5803861528693407E-2</v>
      </c>
      <c r="L311" s="794">
        <f t="shared" si="16"/>
        <v>1.5803861528693407E-2</v>
      </c>
      <c r="M311" s="796" t="s">
        <v>335</v>
      </c>
      <c r="N311" s="797"/>
      <c r="O311" s="799"/>
      <c r="P311" s="797"/>
    </row>
    <row r="312" spans="1:16" ht="12.75" customHeight="1" x14ac:dyDescent="0.3">
      <c r="A312" s="797" t="s">
        <v>1483</v>
      </c>
      <c r="B312" s="797"/>
      <c r="C312" s="797"/>
      <c r="D312" s="797"/>
      <c r="E312" s="797"/>
      <c r="F312" s="797"/>
      <c r="G312" s="796" t="s">
        <v>2220</v>
      </c>
      <c r="H312" s="796" t="s">
        <v>335</v>
      </c>
      <c r="I312" s="876"/>
      <c r="J312" s="792" t="str">
        <f>IF(ISBLANK(HLOOKUP(CaseName,CaseData,MATCH($G312,cases!$G$4:$G$2494,0),FALSE)),"",HLOOKUP(CaseName,CaseData,MATCH($G312,cases!$G$4:$G$2494,0),FALSE))</f>
        <v/>
      </c>
      <c r="K312" s="798">
        <f>AtefSA.s3*L313*(L314+L315)</f>
        <v>1.5803861528693407E-2</v>
      </c>
      <c r="L312" s="794">
        <f t="shared" si="16"/>
        <v>1.5803861528693407E-2</v>
      </c>
      <c r="M312" s="796" t="s">
        <v>335</v>
      </c>
      <c r="N312" s="797"/>
      <c r="O312" s="799"/>
      <c r="P312" s="797"/>
    </row>
    <row r="313" spans="1:16" ht="12.75" customHeight="1" x14ac:dyDescent="0.3">
      <c r="A313" s="797"/>
      <c r="B313" s="797" t="s">
        <v>1485</v>
      </c>
      <c r="C313" s="797"/>
      <c r="D313" s="797"/>
      <c r="E313" s="797"/>
      <c r="F313" s="797"/>
      <c r="G313" s="796" t="s">
        <v>2221</v>
      </c>
      <c r="H313" s="796" t="s">
        <v>708</v>
      </c>
      <c r="I313" s="876"/>
      <c r="J313" s="792" t="str">
        <f>IF(ISBLANK(HLOOKUP(CaseName,CaseData,MATCH($G313,cases!$G$4:$G$2494,0),FALSE)),"",HLOOKUP(CaseName,CaseData,MATCH($G313,cases!$G$4:$G$2494,0),FALSE))</f>
        <v/>
      </c>
      <c r="K313" s="798">
        <f>(input!L314)/(SingleVolNC.s*RhoNC.s)</f>
        <v>3536776513153229.5</v>
      </c>
      <c r="L313" s="794">
        <f t="shared" si="16"/>
        <v>3536776513153229.5</v>
      </c>
      <c r="M313" s="796" t="s">
        <v>708</v>
      </c>
      <c r="N313" s="797"/>
      <c r="O313" s="799"/>
      <c r="P313" s="797"/>
    </row>
    <row r="314" spans="1:16" ht="12.75" customHeight="1" x14ac:dyDescent="0.3">
      <c r="A314" s="797"/>
      <c r="B314" s="797" t="s">
        <v>1390</v>
      </c>
      <c r="C314" s="797"/>
      <c r="D314" s="797"/>
      <c r="E314" s="797"/>
      <c r="F314" s="797"/>
      <c r="G314" s="796" t="s">
        <v>2222</v>
      </c>
      <c r="H314" s="796" t="s">
        <v>335</v>
      </c>
      <c r="I314" s="876"/>
      <c r="J314" s="792" t="str">
        <f>IF(ISBLANK(HLOOKUP(CaseName,CaseData,MATCH($G314,cases!$G$4:$G$2494,0),FALSE)),"",HLOOKUP(CaseName,CaseData,MATCH($G314,cases!$G$4:$G$2494,0),FALSE))</f>
        <v/>
      </c>
      <c r="K314" s="798">
        <f>((2*kboltz*TEMP.C)/(3*DYNVISC.w))*((RadS+RadNC.s)^2)/(RadS*RadNC.s)</f>
        <v>4.468047746640054E-17</v>
      </c>
      <c r="L314" s="794">
        <f t="shared" si="16"/>
        <v>4.468047746640054E-17</v>
      </c>
      <c r="M314" s="797" t="s">
        <v>335</v>
      </c>
      <c r="N314" s="797"/>
      <c r="O314" s="799"/>
      <c r="P314" s="797"/>
    </row>
    <row r="315" spans="1:16" ht="12.75" customHeight="1" x14ac:dyDescent="0.3">
      <c r="A315" s="797"/>
      <c r="B315" s="797" t="s">
        <v>1392</v>
      </c>
      <c r="C315" s="797"/>
      <c r="D315" s="797"/>
      <c r="E315" s="797"/>
      <c r="F315" s="797"/>
      <c r="G315" s="796" t="s">
        <v>2223</v>
      </c>
      <c r="H315" s="796" t="s">
        <v>335</v>
      </c>
      <c r="I315" s="876"/>
      <c r="J315" s="792" t="str">
        <f>IF(ISBLANK(HLOOKUP(CaseName,CaseData,MATCH($G315,cases!$G$4:$G$2494,0),FALSE)),"",HLOOKUP(CaseName,CaseData,MATCH($G315,cases!$G$4:$G$2494,0),FALSE))</f>
        <v/>
      </c>
      <c r="K315" s="798">
        <f>PI()*(RadS+RadNC.s)^2*ABS(SetVelS.w-SetVelNC.s)</f>
        <v>3.8882828036701237E-21</v>
      </c>
      <c r="L315" s="794">
        <f t="shared" si="16"/>
        <v>3.8882828036701237E-21</v>
      </c>
      <c r="M315" s="797" t="s">
        <v>335</v>
      </c>
      <c r="N315" s="797"/>
      <c r="O315" s="799"/>
      <c r="P315" s="797"/>
    </row>
    <row r="316" spans="1:16" ht="12.75" customHeight="1" x14ac:dyDescent="0.3">
      <c r="A316" s="352" t="s">
        <v>1489</v>
      </c>
      <c r="G316" s="779"/>
      <c r="H316" s="779"/>
      <c r="I316" s="778"/>
      <c r="J316" s="230"/>
      <c r="K316" s="780"/>
      <c r="M316" s="779"/>
      <c r="O316" s="782"/>
    </row>
    <row r="317" spans="1:16" ht="12.75" customHeight="1" x14ac:dyDescent="0.3">
      <c r="A317" s="797" t="s">
        <v>1490</v>
      </c>
      <c r="B317" s="797"/>
      <c r="C317" s="797"/>
      <c r="D317" s="797"/>
      <c r="E317" s="797"/>
      <c r="F317" s="797"/>
      <c r="G317" s="796" t="s">
        <v>2224</v>
      </c>
      <c r="H317" s="796" t="s">
        <v>335</v>
      </c>
      <c r="I317" s="876"/>
      <c r="J317" s="792" t="str">
        <f>IF(ISBLANK(HLOOKUP(CaseName,CaseData,MATCH($G317,cases!$G$4:$G$2494,0),FALSE)),"",HLOOKUP(CaseName,CaseData,MATCH($G317,cases!$G$4:$G$2494,0),FALSE))</f>
        <v/>
      </c>
      <c r="K317" s="798">
        <f>L318*L319*L320*AtefSP.s1</f>
        <v>4.8899399121108134E-3</v>
      </c>
      <c r="L317" s="794">
        <f t="shared" ref="L317:L358" si="17">IF(ISBLANK(I317),IF(ISNUMBER(J317)=FALSE,K317,J317),I317)</f>
        <v>4.8899399121108134E-3</v>
      </c>
      <c r="M317" s="796" t="s">
        <v>335</v>
      </c>
      <c r="N317" s="797"/>
      <c r="O317" s="799"/>
      <c r="P317" s="797"/>
    </row>
    <row r="318" spans="1:16" ht="12.75" customHeight="1" x14ac:dyDescent="0.3">
      <c r="A318" s="797"/>
      <c r="B318" s="797" t="s">
        <v>1492</v>
      </c>
      <c r="C318" s="797"/>
      <c r="D318" s="797"/>
      <c r="E318" s="797"/>
      <c r="F318" s="797"/>
      <c r="G318" s="796" t="s">
        <v>2225</v>
      </c>
      <c r="H318" s="796" t="s">
        <v>1449</v>
      </c>
      <c r="I318" s="876"/>
      <c r="J318" s="792" t="str">
        <f>IF(ISBLANK(HLOOKUP(CaseName,CaseData,MATCH($G318,cases!$G$4:$G$2494,0),FALSE)),"",HLOOKUP(CaseName,CaseData,MATCH($G318,cases!$G$4:$G$2494,0),FALSE))</f>
        <v/>
      </c>
      <c r="K318" s="798">
        <f>(3/2)*(1-L324)/(2*RadFP.s*L324)</f>
        <v>8789.0625000000036</v>
      </c>
      <c r="L318" s="794">
        <f t="shared" si="17"/>
        <v>8789.0625000000036</v>
      </c>
      <c r="M318" s="796" t="s">
        <v>1449</v>
      </c>
      <c r="N318" s="797"/>
      <c r="O318" s="799"/>
      <c r="P318" s="797"/>
    </row>
    <row r="319" spans="1:16" ht="12.75" customHeight="1" x14ac:dyDescent="0.3">
      <c r="A319" s="797"/>
      <c r="B319" s="797" t="s">
        <v>1494</v>
      </c>
      <c r="C319" s="797"/>
      <c r="D319" s="797"/>
      <c r="E319" s="797"/>
      <c r="F319" s="797"/>
      <c r="G319" s="797" t="s">
        <v>2226</v>
      </c>
      <c r="H319" s="796" t="s">
        <v>866</v>
      </c>
      <c r="I319" s="876"/>
      <c r="J319" s="792" t="str">
        <f>IF(ISBLANK(HLOOKUP(CaseName,CaseData,MATCH($G319,cases!$G$4:$G$2494,0),FALSE)),"",HLOOKUP(CaseName,CaseData,MATCH($G319,cases!$G$4:$G$2494,0),FALSE))</f>
        <v/>
      </c>
      <c r="K319" s="512">
        <f>9*10^-6</f>
        <v>9.0000000000000002E-6</v>
      </c>
      <c r="L319" s="794">
        <f t="shared" si="17"/>
        <v>9.0000000000000002E-6</v>
      </c>
      <c r="M319" s="796" t="s">
        <v>866</v>
      </c>
      <c r="N319" s="797"/>
      <c r="O319" s="799"/>
      <c r="P319" s="797" t="s">
        <v>1452</v>
      </c>
    </row>
    <row r="320" spans="1:16" ht="12.75" customHeight="1" x14ac:dyDescent="0.3">
      <c r="A320" s="797"/>
      <c r="B320" s="797" t="s">
        <v>1453</v>
      </c>
      <c r="C320" s="797"/>
      <c r="D320" s="797"/>
      <c r="E320" s="797"/>
      <c r="F320" s="797"/>
      <c r="G320" s="796" t="s">
        <v>2227</v>
      </c>
      <c r="H320" s="796" t="s">
        <v>291</v>
      </c>
      <c r="I320" s="876"/>
      <c r="J320" s="792" t="str">
        <f>IF(ISBLANK(HLOOKUP(CaseName,CaseData,MATCH($G320,cases!$G$4:$G$2494,0),FALSE)),"",HLOOKUP(CaseName,CaseData,MATCH($G320,cases!$G$4:$G$2494,0),FALSE))</f>
        <v/>
      </c>
      <c r="K320" s="798">
        <f>L321+L325+L326</f>
        <v>0.61818499629647783</v>
      </c>
      <c r="L320" s="794">
        <f t="shared" si="17"/>
        <v>0.61818499629647783</v>
      </c>
      <c r="M320" s="796" t="s">
        <v>291</v>
      </c>
      <c r="N320" s="797"/>
      <c r="O320" s="799"/>
      <c r="P320" s="797" t="s">
        <v>1452</v>
      </c>
    </row>
    <row r="321" spans="1:16" ht="12.75" customHeight="1" x14ac:dyDescent="0.3">
      <c r="A321" s="797"/>
      <c r="B321" s="797"/>
      <c r="C321" s="797" t="s">
        <v>1455</v>
      </c>
      <c r="D321" s="797"/>
      <c r="E321" s="797"/>
      <c r="F321" s="797"/>
      <c r="G321" s="796" t="s">
        <v>2228</v>
      </c>
      <c r="H321" s="796" t="s">
        <v>291</v>
      </c>
      <c r="I321" s="876"/>
      <c r="J321" s="792" t="str">
        <f>IF(ISBLANK(HLOOKUP(CaseName,CaseData,MATCH($G321,cases!$G$4:$G$2494,0),FALSE)),"",HLOOKUP(CaseName,CaseData,MATCH($G321,cases!$G$4:$G$2494,0),FALSE))</f>
        <v/>
      </c>
      <c r="K321" s="798">
        <f>2.4*L322^(1/3)*L328^(-0.081)*L329^-0.715*L327^0.053</f>
        <v>0.618124306094614</v>
      </c>
      <c r="L321" s="794">
        <f t="shared" si="17"/>
        <v>0.618124306094614</v>
      </c>
      <c r="M321" s="796" t="s">
        <v>291</v>
      </c>
      <c r="N321" s="797"/>
      <c r="O321" s="799"/>
      <c r="P321" s="797" t="s">
        <v>1452</v>
      </c>
    </row>
    <row r="322" spans="1:16" ht="12.75" customHeight="1" x14ac:dyDescent="0.3">
      <c r="A322" s="797"/>
      <c r="B322" s="797"/>
      <c r="C322" s="797"/>
      <c r="D322" s="797" t="s">
        <v>1457</v>
      </c>
      <c r="E322" s="797"/>
      <c r="F322" s="797"/>
      <c r="G322" s="797" t="s">
        <v>2229</v>
      </c>
      <c r="H322" s="796" t="s">
        <v>291</v>
      </c>
      <c r="I322" s="876"/>
      <c r="J322" s="792" t="str">
        <f>IF(ISBLANK(HLOOKUP(CaseName,CaseData,MATCH($G322,cases!$G$4:$G$2494,0),FALSE)),"",HLOOKUP(CaseName,CaseData,MATCH($G322,cases!$G$4:$G$2494,0),FALSE))</f>
        <v/>
      </c>
      <c r="K322" s="512">
        <f>(2*(1-L323^5))/(2-3*L323+3*L323^5-2*L323^6)</f>
        <v>37.979096123930859</v>
      </c>
      <c r="L322" s="794">
        <f t="shared" si="17"/>
        <v>37.979096123930859</v>
      </c>
      <c r="M322" s="796" t="s">
        <v>291</v>
      </c>
      <c r="N322" s="797"/>
      <c r="O322" s="799"/>
      <c r="P322" s="797" t="s">
        <v>1452</v>
      </c>
    </row>
    <row r="323" spans="1:16" ht="12.75" customHeight="1" x14ac:dyDescent="0.3">
      <c r="A323" s="797"/>
      <c r="B323" s="797"/>
      <c r="C323" s="797"/>
      <c r="D323" s="797"/>
      <c r="E323" s="797" t="s">
        <v>1499</v>
      </c>
      <c r="F323" s="797"/>
      <c r="G323" s="797" t="s">
        <v>2230</v>
      </c>
      <c r="H323" s="796" t="s">
        <v>291</v>
      </c>
      <c r="I323" s="876"/>
      <c r="J323" s="792" t="str">
        <f>IF(ISBLANK(HLOOKUP(CaseName,CaseData,MATCH($G323,cases!$G$4:$G$2494,0),FALSE)),"",HLOOKUP(CaseName,CaseData,MATCH($G323,cases!$G$4:$G$2494,0),FALSE))</f>
        <v/>
      </c>
      <c r="K323" s="512">
        <f>(1-L324)^(1/3)</f>
        <v>0.84343266530174932</v>
      </c>
      <c r="L323" s="794">
        <f t="shared" si="17"/>
        <v>0.84343266530174932</v>
      </c>
      <c r="M323" s="796" t="s">
        <v>291</v>
      </c>
      <c r="N323" s="797"/>
      <c r="O323" s="799"/>
      <c r="P323" s="797" t="s">
        <v>1452</v>
      </c>
    </row>
    <row r="324" spans="1:16" ht="12.75" customHeight="1" x14ac:dyDescent="0.3">
      <c r="A324" s="797"/>
      <c r="B324" s="797"/>
      <c r="C324" s="797"/>
      <c r="D324" s="797"/>
      <c r="E324" s="797"/>
      <c r="F324" s="797" t="s">
        <v>1501</v>
      </c>
      <c r="G324" s="797" t="s">
        <v>2231</v>
      </c>
      <c r="H324" s="796" t="s">
        <v>1463</v>
      </c>
      <c r="I324" s="876"/>
      <c r="J324" s="792" t="str">
        <f>IF(ISBLANK(HLOOKUP(CaseName,CaseData,MATCH($G324,cases!$G$4:$G$2494,0),FALSE)),"",HLOOKUP(CaseName,CaseData,MATCH($G324,cases!$G$4:$G$2494,0),FALSE))</f>
        <v/>
      </c>
      <c r="K324" s="798">
        <f>1-L38</f>
        <v>0.39999999999999991</v>
      </c>
      <c r="L324" s="794">
        <f t="shared" si="17"/>
        <v>0.39999999999999991</v>
      </c>
      <c r="M324" s="796" t="s">
        <v>1463</v>
      </c>
      <c r="N324" s="797" t="s">
        <v>1519</v>
      </c>
      <c r="O324" s="799"/>
      <c r="P324" s="797"/>
    </row>
    <row r="325" spans="1:16" ht="12.75" customHeight="1" x14ac:dyDescent="0.3">
      <c r="A325" s="797"/>
      <c r="B325" s="797"/>
      <c r="C325" s="797" t="s">
        <v>1465</v>
      </c>
      <c r="D325" s="797"/>
      <c r="E325" s="797"/>
      <c r="F325" s="797"/>
      <c r="G325" s="796" t="s">
        <v>2232</v>
      </c>
      <c r="H325" s="796" t="s">
        <v>291</v>
      </c>
      <c r="I325" s="876"/>
      <c r="J325" s="792" t="str">
        <f>IF(ISBLANK(HLOOKUP(CaseName,CaseData,MATCH($G325,cases!$G$4:$G$2494,0),FALSE)),"",HLOOKUP(CaseName,CaseData,MATCH($G325,cases!$G$4:$G$2494,0),FALSE))</f>
        <v/>
      </c>
      <c r="K325" s="798">
        <f>0.55*L328^1.55*L329^-0.125*L327^0.125</f>
        <v>1.4099767714425791E-7</v>
      </c>
      <c r="L325" s="794">
        <f t="shared" si="17"/>
        <v>1.4099767714425791E-7</v>
      </c>
      <c r="M325" s="796" t="s">
        <v>291</v>
      </c>
      <c r="N325" s="797"/>
      <c r="O325" s="799"/>
      <c r="P325" s="797" t="s">
        <v>1452</v>
      </c>
    </row>
    <row r="326" spans="1:16" ht="12.75" customHeight="1" x14ac:dyDescent="0.3">
      <c r="A326" s="797"/>
      <c r="B326" s="797"/>
      <c r="C326" s="797" t="s">
        <v>1467</v>
      </c>
      <c r="D326" s="797"/>
      <c r="E326" s="797"/>
      <c r="F326" s="797"/>
      <c r="G326" s="796" t="s">
        <v>2233</v>
      </c>
      <c r="H326" s="796" t="s">
        <v>291</v>
      </c>
      <c r="I326" s="876"/>
      <c r="J326" s="792" t="str">
        <f>IF(ISBLANK(HLOOKUP(CaseName,CaseData,MATCH($G326,cases!$G$4:$G$2494,0),FALSE)),"",HLOOKUP(CaseName,CaseData,MATCH($G326,cases!$G$4:$G$2494,0),FALSE))</f>
        <v/>
      </c>
      <c r="K326" s="798">
        <f>0.22*L328^-0.24*L330^1.11*L327^0.053</f>
        <v>6.0549204186767489E-5</v>
      </c>
      <c r="L326" s="794">
        <f t="shared" si="17"/>
        <v>6.0549204186767489E-5</v>
      </c>
      <c r="M326" s="796" t="s">
        <v>291</v>
      </c>
      <c r="N326" s="797"/>
      <c r="O326" s="799"/>
      <c r="P326" s="797" t="s">
        <v>1452</v>
      </c>
    </row>
    <row r="327" spans="1:16" ht="12.75" customHeight="1" x14ac:dyDescent="0.3">
      <c r="A327" s="797"/>
      <c r="B327" s="797"/>
      <c r="C327" s="797"/>
      <c r="D327" s="797" t="s">
        <v>1469</v>
      </c>
      <c r="E327" s="797"/>
      <c r="F327" s="797"/>
      <c r="G327" s="797" t="s">
        <v>2234</v>
      </c>
      <c r="H327" s="796" t="s">
        <v>291</v>
      </c>
      <c r="I327" s="876"/>
      <c r="J327" s="792" t="str">
        <f>IF(ISBLANK(HLOOKUP(CaseName,CaseData,MATCH($G327,cases!$G$4:$G$2494,0),FALSE)),"",HLOOKUP(CaseName,CaseData,MATCH($G327,cases!$G$4:$G$2494,0),FALSE))</f>
        <v/>
      </c>
      <c r="K327" s="512">
        <f>AHamakerSP.w/(kboltz*TEMP.C)</f>
        <v>1.7535615368506079</v>
      </c>
      <c r="L327" s="794">
        <f t="shared" si="17"/>
        <v>1.7535615368506079</v>
      </c>
      <c r="M327" s="796" t="s">
        <v>291</v>
      </c>
      <c r="N327" s="797"/>
      <c r="O327" s="799"/>
      <c r="P327" s="797" t="s">
        <v>1452</v>
      </c>
    </row>
    <row r="328" spans="1:16" ht="12.75" customHeight="1" x14ac:dyDescent="0.3">
      <c r="A328" s="797"/>
      <c r="B328" s="797"/>
      <c r="C328" s="797"/>
      <c r="D328" s="797" t="s">
        <v>1471</v>
      </c>
      <c r="E328" s="797"/>
      <c r="F328" s="797"/>
      <c r="G328" s="797" t="s">
        <v>2235</v>
      </c>
      <c r="H328" s="796" t="s">
        <v>1473</v>
      </c>
      <c r="I328" s="876"/>
      <c r="J328" s="792" t="str">
        <f>IF(ISBLANK(HLOOKUP(CaseName,CaseData,MATCH($G328,cases!$G$4:$G$2494,0),FALSE)),"",HLOOKUP(CaseName,CaseData,MATCH($G328,cases!$G$4:$G$2494,0),FALSE))</f>
        <v/>
      </c>
      <c r="K328" s="512">
        <f>RadS/RadFP.s</f>
        <v>7.8125000000000002E-5</v>
      </c>
      <c r="L328" s="794">
        <f t="shared" si="17"/>
        <v>7.8125000000000002E-5</v>
      </c>
      <c r="M328" s="796" t="s">
        <v>1473</v>
      </c>
      <c r="N328" s="797"/>
      <c r="O328" s="799"/>
      <c r="P328" s="797" t="s">
        <v>1452</v>
      </c>
    </row>
    <row r="329" spans="1:16" ht="12.75" customHeight="1" x14ac:dyDescent="0.3">
      <c r="A329" s="797"/>
      <c r="B329" s="797"/>
      <c r="C329" s="797"/>
      <c r="D329" s="797" t="s">
        <v>1474</v>
      </c>
      <c r="E329" s="797"/>
      <c r="F329" s="797"/>
      <c r="G329" s="797" t="s">
        <v>2236</v>
      </c>
      <c r="H329" s="796" t="s">
        <v>291</v>
      </c>
      <c r="I329" s="876"/>
      <c r="J329" s="792" t="str">
        <f>IF(ISBLANK(HLOOKUP(CaseName,CaseData,MATCH($G329,cases!$G$4:$G$2494,0),FALSE)),"",HLOOKUP(CaseName,CaseData,MATCH($G329,cases!$G$4:$G$2494,0),FALSE))</f>
        <v/>
      </c>
      <c r="K329" s="512">
        <f>(L319*2*RadFP.s)/(DiffS.wC)</f>
        <v>110.59187966851262</v>
      </c>
      <c r="L329" s="794">
        <f t="shared" si="17"/>
        <v>110.59187966851262</v>
      </c>
      <c r="M329" s="796" t="s">
        <v>291</v>
      </c>
      <c r="N329" s="797"/>
      <c r="O329" s="799"/>
      <c r="P329" s="797" t="s">
        <v>1452</v>
      </c>
    </row>
    <row r="330" spans="1:16" ht="12.75" customHeight="1" x14ac:dyDescent="0.3">
      <c r="A330" s="797"/>
      <c r="B330" s="797"/>
      <c r="C330" s="797"/>
      <c r="D330" s="797" t="s">
        <v>1476</v>
      </c>
      <c r="E330" s="797"/>
      <c r="F330" s="797"/>
      <c r="G330" s="796" t="s">
        <v>2237</v>
      </c>
      <c r="H330" s="796" t="s">
        <v>291</v>
      </c>
      <c r="I330" s="876"/>
      <c r="J330" s="792" t="str">
        <f>IF(ISBLANK(HLOOKUP(CaseName,CaseData,MATCH($G330,cases!$G$4:$G$2494,0),FALSE)),"",HLOOKUP(CaseName,CaseData,MATCH($G330,cases!$G$4:$G$2494,0),FALSE))</f>
        <v/>
      </c>
      <c r="K330" s="512">
        <f>(2*RadS^2*(ABS(RhoS-Rho.w))*g)/(9*DYNVISC.w*L319)</f>
        <v>7.8129962297626983E-5</v>
      </c>
      <c r="L330" s="794">
        <f t="shared" si="17"/>
        <v>7.8129962297626983E-5</v>
      </c>
      <c r="M330" s="796" t="s">
        <v>291</v>
      </c>
      <c r="N330" s="797"/>
      <c r="O330" s="799"/>
      <c r="P330" s="797" t="s">
        <v>1452</v>
      </c>
    </row>
    <row r="331" spans="1:16" ht="12.75" customHeight="1" x14ac:dyDescent="0.3">
      <c r="A331" s="797" t="s">
        <v>1510</v>
      </c>
      <c r="B331" s="797"/>
      <c r="C331" s="797"/>
      <c r="D331" s="797"/>
      <c r="E331" s="797"/>
      <c r="F331" s="797"/>
      <c r="G331" s="796" t="s">
        <v>2238</v>
      </c>
      <c r="H331" s="796" t="s">
        <v>335</v>
      </c>
      <c r="I331" s="876"/>
      <c r="J331" s="792" t="str">
        <f>IF(ISBLANK(HLOOKUP(CaseName,CaseData,MATCH($G331,cases!$G$4:$G$2494,0),FALSE)),"",HLOOKUP(CaseName,CaseData,MATCH($G331,cases!$G$4:$G$2494,0),FALSE))</f>
        <v/>
      </c>
      <c r="K331" s="798">
        <f>L332*L333*L334*AtefSP.s2</f>
        <v>4.8899399121108134E-3</v>
      </c>
      <c r="L331" s="794">
        <f t="shared" si="17"/>
        <v>4.8899399121108134E-3</v>
      </c>
      <c r="M331" s="797" t="s">
        <v>335</v>
      </c>
      <c r="N331" s="797"/>
      <c r="O331" s="799"/>
      <c r="P331" s="797"/>
    </row>
    <row r="332" spans="1:16" ht="12.75" customHeight="1" x14ac:dyDescent="0.3">
      <c r="A332" s="797"/>
      <c r="B332" s="797" t="s">
        <v>1492</v>
      </c>
      <c r="C332" s="797"/>
      <c r="D332" s="797"/>
      <c r="E332" s="797"/>
      <c r="F332" s="797"/>
      <c r="G332" s="796" t="s">
        <v>2239</v>
      </c>
      <c r="H332" s="796" t="s">
        <v>1449</v>
      </c>
      <c r="I332" s="876"/>
      <c r="J332" s="792" t="str">
        <f>IF(ISBLANK(HLOOKUP(CaseName,CaseData,MATCH($G332,cases!$G$4:$G$2494,0),FALSE)),"",HLOOKUP(CaseName,CaseData,MATCH($G332,cases!$G$4:$G$2494,0),FALSE))</f>
        <v/>
      </c>
      <c r="K332" s="798">
        <f>(3/2)*(1-L338)/(2*RadFP.s*L338)</f>
        <v>8789.0625000000036</v>
      </c>
      <c r="L332" s="794">
        <f t="shared" si="17"/>
        <v>8789.0625000000036</v>
      </c>
      <c r="M332" s="796" t="s">
        <v>1449</v>
      </c>
      <c r="N332" s="797"/>
      <c r="O332" s="799"/>
      <c r="P332" s="797"/>
    </row>
    <row r="333" spans="1:16" ht="12.75" customHeight="1" x14ac:dyDescent="0.3">
      <c r="A333" s="797"/>
      <c r="B333" s="797" t="s">
        <v>1494</v>
      </c>
      <c r="C333" s="797"/>
      <c r="D333" s="797"/>
      <c r="E333" s="797"/>
      <c r="F333" s="797"/>
      <c r="G333" s="797" t="s">
        <v>2240</v>
      </c>
      <c r="H333" s="796" t="s">
        <v>866</v>
      </c>
      <c r="I333" s="876"/>
      <c r="J333" s="792" t="str">
        <f>IF(ISBLANK(HLOOKUP(CaseName,CaseData,MATCH($G333,cases!$G$4:$G$2494,0),FALSE)),"",HLOOKUP(CaseName,CaseData,MATCH($G333,cases!$G$4:$G$2494,0),FALSE))</f>
        <v/>
      </c>
      <c r="K333" s="512">
        <f>9*10^-6</f>
        <v>9.0000000000000002E-6</v>
      </c>
      <c r="L333" s="794">
        <f t="shared" si="17"/>
        <v>9.0000000000000002E-6</v>
      </c>
      <c r="M333" s="796" t="s">
        <v>866</v>
      </c>
      <c r="N333" s="797"/>
      <c r="O333" s="799"/>
      <c r="P333" s="797" t="s">
        <v>1452</v>
      </c>
    </row>
    <row r="334" spans="1:16" ht="12.75" customHeight="1" x14ac:dyDescent="0.3">
      <c r="A334" s="797"/>
      <c r="B334" s="797" t="s">
        <v>1453</v>
      </c>
      <c r="C334" s="797"/>
      <c r="D334" s="797"/>
      <c r="E334" s="797"/>
      <c r="F334" s="797"/>
      <c r="G334" s="796" t="s">
        <v>2241</v>
      </c>
      <c r="H334" s="796" t="s">
        <v>291</v>
      </c>
      <c r="I334" s="876"/>
      <c r="J334" s="792" t="str">
        <f>IF(ISBLANK(HLOOKUP(CaseName,CaseData,MATCH($G334,cases!$G$4:$G$2494,0),FALSE)),"",HLOOKUP(CaseName,CaseData,MATCH($G334,cases!$G$4:$G$2494,0),FALSE))</f>
        <v/>
      </c>
      <c r="K334" s="798">
        <f>L335+L339+L340</f>
        <v>0.61818499629647783</v>
      </c>
      <c r="L334" s="794">
        <f t="shared" si="17"/>
        <v>0.61818499629647783</v>
      </c>
      <c r="M334" s="796" t="s">
        <v>291</v>
      </c>
      <c r="N334" s="797"/>
      <c r="O334" s="799"/>
      <c r="P334" s="797" t="s">
        <v>1452</v>
      </c>
    </row>
    <row r="335" spans="1:16" ht="12.75" customHeight="1" x14ac:dyDescent="0.3">
      <c r="A335" s="797"/>
      <c r="B335" s="797"/>
      <c r="C335" s="797" t="s">
        <v>1455</v>
      </c>
      <c r="D335" s="797"/>
      <c r="E335" s="797"/>
      <c r="F335" s="797"/>
      <c r="G335" s="796" t="s">
        <v>2242</v>
      </c>
      <c r="H335" s="796" t="s">
        <v>291</v>
      </c>
      <c r="I335" s="876"/>
      <c r="J335" s="792" t="str">
        <f>IF(ISBLANK(HLOOKUP(CaseName,CaseData,MATCH($G335,cases!$G$4:$G$2494,0),FALSE)),"",HLOOKUP(CaseName,CaseData,MATCH($G335,cases!$G$4:$G$2494,0),FALSE))</f>
        <v/>
      </c>
      <c r="K335" s="798">
        <f>2.4*L336^(1/3)*L341^(-0.081)*L342^-0.715*L343^0.053</f>
        <v>0.618124306094614</v>
      </c>
      <c r="L335" s="794">
        <f t="shared" si="17"/>
        <v>0.618124306094614</v>
      </c>
      <c r="M335" s="796" t="s">
        <v>291</v>
      </c>
      <c r="N335" s="797"/>
      <c r="O335" s="799"/>
      <c r="P335" s="797" t="s">
        <v>1452</v>
      </c>
    </row>
    <row r="336" spans="1:16" ht="12.75" customHeight="1" x14ac:dyDescent="0.3">
      <c r="A336" s="797"/>
      <c r="B336" s="797"/>
      <c r="C336" s="797"/>
      <c r="D336" s="797" t="s">
        <v>1457</v>
      </c>
      <c r="E336" s="797"/>
      <c r="F336" s="797"/>
      <c r="G336" s="797" t="s">
        <v>2243</v>
      </c>
      <c r="H336" s="796" t="s">
        <v>291</v>
      </c>
      <c r="I336" s="876"/>
      <c r="J336" s="792" t="str">
        <f>IF(ISBLANK(HLOOKUP(CaseName,CaseData,MATCH($G336,cases!$G$4:$G$2494,0),FALSE)),"",HLOOKUP(CaseName,CaseData,MATCH($G336,cases!$G$4:$G$2494,0),FALSE))</f>
        <v/>
      </c>
      <c r="K336" s="512">
        <f>(2*(1-L337^5))/(2-3*L337+3*L337^5-2*L337^6)</f>
        <v>37.979096123930859</v>
      </c>
      <c r="L336" s="794">
        <f t="shared" si="17"/>
        <v>37.979096123930859</v>
      </c>
      <c r="M336" s="796" t="s">
        <v>291</v>
      </c>
      <c r="N336" s="797"/>
      <c r="O336" s="799"/>
      <c r="P336" s="797" t="s">
        <v>1452</v>
      </c>
    </row>
    <row r="337" spans="1:16" ht="12.75" customHeight="1" x14ac:dyDescent="0.3">
      <c r="A337" s="797"/>
      <c r="B337" s="797"/>
      <c r="C337" s="797"/>
      <c r="D337" s="797"/>
      <c r="E337" s="797" t="s">
        <v>1499</v>
      </c>
      <c r="F337" s="797"/>
      <c r="G337" s="797" t="s">
        <v>2244</v>
      </c>
      <c r="H337" s="796" t="s">
        <v>291</v>
      </c>
      <c r="I337" s="876"/>
      <c r="J337" s="792" t="str">
        <f>IF(ISBLANK(HLOOKUP(CaseName,CaseData,MATCH($G337,cases!$G$4:$G$2494,0),FALSE)),"",HLOOKUP(CaseName,CaseData,MATCH($G337,cases!$G$4:$G$2494,0),FALSE))</f>
        <v/>
      </c>
      <c r="K337" s="512">
        <f>(1-L338)^(1/3)</f>
        <v>0.84343266530174932</v>
      </c>
      <c r="L337" s="794">
        <f t="shared" si="17"/>
        <v>0.84343266530174932</v>
      </c>
      <c r="M337" s="796" t="s">
        <v>291</v>
      </c>
      <c r="N337" s="797"/>
      <c r="O337" s="799"/>
      <c r="P337" s="797" t="s">
        <v>1452</v>
      </c>
    </row>
    <row r="338" spans="1:16" ht="12.75" customHeight="1" x14ac:dyDescent="0.3">
      <c r="A338" s="797"/>
      <c r="B338" s="797"/>
      <c r="C338" s="797"/>
      <c r="D338" s="797"/>
      <c r="E338" s="797"/>
      <c r="F338" s="797" t="s">
        <v>1501</v>
      </c>
      <c r="G338" s="797" t="s">
        <v>2245</v>
      </c>
      <c r="H338" s="796" t="s">
        <v>1463</v>
      </c>
      <c r="I338" s="876"/>
      <c r="J338" s="792" t="str">
        <f>IF(ISBLANK(HLOOKUP(CaseName,CaseData,MATCH($G338,cases!$G$4:$G$2494,0),FALSE)),"",HLOOKUP(CaseName,CaseData,MATCH($G338,cases!$G$4:$G$2494,0),FALSE))</f>
        <v/>
      </c>
      <c r="K338" s="798">
        <f>1-L41</f>
        <v>0.39999999999999991</v>
      </c>
      <c r="L338" s="794">
        <f t="shared" si="17"/>
        <v>0.39999999999999991</v>
      </c>
      <c r="M338" s="796" t="s">
        <v>1463</v>
      </c>
      <c r="N338" s="797" t="s">
        <v>1519</v>
      </c>
      <c r="O338" s="799"/>
      <c r="P338" s="797"/>
    </row>
    <row r="339" spans="1:16" ht="12.75" customHeight="1" x14ac:dyDescent="0.3">
      <c r="A339" s="797"/>
      <c r="B339" s="797"/>
      <c r="C339" s="797" t="s">
        <v>1465</v>
      </c>
      <c r="D339" s="797"/>
      <c r="E339" s="797"/>
      <c r="F339" s="797"/>
      <c r="G339" s="796" t="s">
        <v>2246</v>
      </c>
      <c r="H339" s="796" t="s">
        <v>291</v>
      </c>
      <c r="I339" s="876"/>
      <c r="J339" s="792" t="str">
        <f>IF(ISBLANK(HLOOKUP(CaseName,CaseData,MATCH($G339,cases!$G$4:$G$2494,0),FALSE)),"",HLOOKUP(CaseName,CaseData,MATCH($G339,cases!$G$4:$G$2494,0),FALSE))</f>
        <v/>
      </c>
      <c r="K339" s="798">
        <f>0.55*L341^1.55*L342^-0.125*L343^0.125</f>
        <v>1.4099767714425791E-7</v>
      </c>
      <c r="L339" s="794">
        <f t="shared" si="17"/>
        <v>1.4099767714425791E-7</v>
      </c>
      <c r="M339" s="796" t="s">
        <v>291</v>
      </c>
      <c r="N339" s="797"/>
      <c r="O339" s="799"/>
      <c r="P339" s="797" t="s">
        <v>1452</v>
      </c>
    </row>
    <row r="340" spans="1:16" ht="12.75" customHeight="1" x14ac:dyDescent="0.3">
      <c r="A340" s="797"/>
      <c r="B340" s="797"/>
      <c r="C340" s="797" t="s">
        <v>1467</v>
      </c>
      <c r="D340" s="797"/>
      <c r="E340" s="797"/>
      <c r="F340" s="797"/>
      <c r="G340" s="796" t="s">
        <v>2247</v>
      </c>
      <c r="H340" s="796" t="s">
        <v>291</v>
      </c>
      <c r="I340" s="876"/>
      <c r="J340" s="792" t="str">
        <f>IF(ISBLANK(HLOOKUP(CaseName,CaseData,MATCH($G340,cases!$G$4:$G$2494,0),FALSE)),"",HLOOKUP(CaseName,CaseData,MATCH($G340,cases!$G$4:$G$2494,0),FALSE))</f>
        <v/>
      </c>
      <c r="K340" s="798">
        <f>0.22*L341^-0.24*L344^1.11*L343^0.053</f>
        <v>6.0549204186767489E-5</v>
      </c>
      <c r="L340" s="794">
        <f t="shared" si="17"/>
        <v>6.0549204186767489E-5</v>
      </c>
      <c r="M340" s="796" t="s">
        <v>291</v>
      </c>
      <c r="N340" s="797"/>
      <c r="O340" s="799"/>
      <c r="P340" s="797" t="s">
        <v>1452</v>
      </c>
    </row>
    <row r="341" spans="1:16" ht="12.75" customHeight="1" x14ac:dyDescent="0.3">
      <c r="A341" s="797"/>
      <c r="B341" s="797"/>
      <c r="C341" s="797"/>
      <c r="D341" s="797" t="s">
        <v>1471</v>
      </c>
      <c r="E341" s="797"/>
      <c r="F341" s="797"/>
      <c r="G341" s="797" t="s">
        <v>2248</v>
      </c>
      <c r="H341" s="796" t="s">
        <v>1473</v>
      </c>
      <c r="I341" s="876"/>
      <c r="J341" s="792" t="str">
        <f>IF(ISBLANK(HLOOKUP(CaseName,CaseData,MATCH($G341,cases!$G$4:$G$2494,0),FALSE)),"",HLOOKUP(CaseName,CaseData,MATCH($G341,cases!$G$4:$G$2494,0),FALSE))</f>
        <v/>
      </c>
      <c r="K341" s="512">
        <f>RadS/RadFP.s</f>
        <v>7.8125000000000002E-5</v>
      </c>
      <c r="L341" s="794">
        <f t="shared" si="17"/>
        <v>7.8125000000000002E-5</v>
      </c>
      <c r="M341" s="796" t="s">
        <v>1473</v>
      </c>
      <c r="N341" s="797"/>
      <c r="O341" s="799"/>
      <c r="P341" s="797" t="s">
        <v>1452</v>
      </c>
    </row>
    <row r="342" spans="1:16" ht="12.75" customHeight="1" x14ac:dyDescent="0.3">
      <c r="A342" s="797"/>
      <c r="B342" s="797"/>
      <c r="C342" s="797"/>
      <c r="D342" s="797" t="s">
        <v>1474</v>
      </c>
      <c r="E342" s="797"/>
      <c r="F342" s="797"/>
      <c r="G342" s="797" t="s">
        <v>2249</v>
      </c>
      <c r="H342" s="796" t="s">
        <v>291</v>
      </c>
      <c r="I342" s="876"/>
      <c r="J342" s="792" t="str">
        <f>IF(ISBLANK(HLOOKUP(CaseName,CaseData,MATCH($G342,cases!$G$4:$G$2494,0),FALSE)),"",HLOOKUP(CaseName,CaseData,MATCH($G342,cases!$G$4:$G$2494,0),FALSE))</f>
        <v/>
      </c>
      <c r="K342" s="512">
        <f>(L333*2*RadFP.s)/(DiffS.wC)</f>
        <v>110.59187966851262</v>
      </c>
      <c r="L342" s="794">
        <f t="shared" si="17"/>
        <v>110.59187966851262</v>
      </c>
      <c r="M342" s="796" t="s">
        <v>291</v>
      </c>
      <c r="N342" s="797"/>
      <c r="O342" s="799"/>
      <c r="P342" s="797" t="s">
        <v>1452</v>
      </c>
    </row>
    <row r="343" spans="1:16" ht="12.75" customHeight="1" x14ac:dyDescent="0.3">
      <c r="A343" s="797"/>
      <c r="B343" s="797"/>
      <c r="C343" s="797"/>
      <c r="D343" s="797" t="s">
        <v>1469</v>
      </c>
      <c r="E343" s="797"/>
      <c r="F343" s="797"/>
      <c r="G343" s="797" t="s">
        <v>2250</v>
      </c>
      <c r="H343" s="796" t="s">
        <v>291</v>
      </c>
      <c r="I343" s="876"/>
      <c r="J343" s="792" t="str">
        <f>IF(ISBLANK(HLOOKUP(CaseName,CaseData,MATCH($G343,cases!$G$4:$G$2494,0),FALSE)),"",HLOOKUP(CaseName,CaseData,MATCH($G343,cases!$G$4:$G$2494,0),FALSE))</f>
        <v/>
      </c>
      <c r="K343" s="512">
        <f>AHamakerSP.w/(kboltz*TEMP.C)</f>
        <v>1.7535615368506079</v>
      </c>
      <c r="L343" s="794">
        <f t="shared" si="17"/>
        <v>1.7535615368506079</v>
      </c>
      <c r="M343" s="796" t="s">
        <v>291</v>
      </c>
      <c r="N343" s="797"/>
      <c r="O343" s="799"/>
      <c r="P343" s="797" t="s">
        <v>1452</v>
      </c>
    </row>
    <row r="344" spans="1:16" ht="12.75" customHeight="1" x14ac:dyDescent="0.3">
      <c r="A344" s="797"/>
      <c r="B344" s="797"/>
      <c r="C344" s="797"/>
      <c r="D344" s="797" t="s">
        <v>1476</v>
      </c>
      <c r="E344" s="797"/>
      <c r="F344" s="797"/>
      <c r="G344" s="796" t="s">
        <v>2251</v>
      </c>
      <c r="H344" s="796" t="s">
        <v>291</v>
      </c>
      <c r="I344" s="876"/>
      <c r="J344" s="792" t="str">
        <f>IF(ISBLANK(HLOOKUP(CaseName,CaseData,MATCH($G344,cases!$G$4:$G$2494,0),FALSE)),"",HLOOKUP(CaseName,CaseData,MATCH($G344,cases!$G$4:$G$2494,0),FALSE))</f>
        <v/>
      </c>
      <c r="K344" s="512">
        <f>(2*RadS^2*(ABS(RhoS-Rho.w))*9.81)/(9*DYNVISC.w*L333)</f>
        <v>7.8129962297626983E-5</v>
      </c>
      <c r="L344" s="794">
        <f t="shared" si="17"/>
        <v>7.8129962297626983E-5</v>
      </c>
      <c r="M344" s="796" t="s">
        <v>291</v>
      </c>
      <c r="N344" s="797"/>
      <c r="O344" s="799"/>
      <c r="P344" s="797" t="s">
        <v>1452</v>
      </c>
    </row>
    <row r="345" spans="1:16" ht="12.75" customHeight="1" x14ac:dyDescent="0.3">
      <c r="A345" s="797" t="s">
        <v>1526</v>
      </c>
      <c r="B345" s="797"/>
      <c r="C345" s="797"/>
      <c r="D345" s="797"/>
      <c r="E345" s="797"/>
      <c r="F345" s="797"/>
      <c r="G345" s="796" t="s">
        <v>2252</v>
      </c>
      <c r="H345" s="796" t="s">
        <v>335</v>
      </c>
      <c r="I345" s="876"/>
      <c r="J345" s="792" t="str">
        <f>IF(ISBLANK(HLOOKUP(CaseName,CaseData,MATCH($G345,cases!$G$4:$G$2494,0),FALSE)),"",HLOOKUP(CaseName,CaseData,MATCH($G345,cases!$G$4:$G$2494,0),FALSE))</f>
        <v/>
      </c>
      <c r="K345" s="798">
        <f>L346*L347*L348*AtefSP.s3</f>
        <v>4.8899399121108134E-3</v>
      </c>
      <c r="L345" s="794">
        <f t="shared" si="17"/>
        <v>4.8899399121108134E-3</v>
      </c>
      <c r="M345" s="796" t="s">
        <v>335</v>
      </c>
      <c r="N345" s="797"/>
      <c r="O345" s="799"/>
      <c r="P345" s="797"/>
    </row>
    <row r="346" spans="1:16" ht="12.75" customHeight="1" x14ac:dyDescent="0.3">
      <c r="A346" s="797"/>
      <c r="B346" s="797" t="s">
        <v>1492</v>
      </c>
      <c r="C346" s="797"/>
      <c r="D346" s="797"/>
      <c r="E346" s="797"/>
      <c r="F346" s="797"/>
      <c r="G346" s="796" t="s">
        <v>2253</v>
      </c>
      <c r="H346" s="796" t="s">
        <v>1449</v>
      </c>
      <c r="I346" s="876"/>
      <c r="J346" s="792" t="str">
        <f>IF(ISBLANK(HLOOKUP(CaseName,CaseData,MATCH($G346,cases!$G$4:$G$2494,0),FALSE)),"",HLOOKUP(CaseName,CaseData,MATCH($G346,cases!$G$4:$G$2494,0),FALSE))</f>
        <v/>
      </c>
      <c r="K346" s="798">
        <f>(3/2)*(1-L352)/(2*RadFP.s*L352)</f>
        <v>8789.0625000000036</v>
      </c>
      <c r="L346" s="794">
        <f t="shared" si="17"/>
        <v>8789.0625000000036</v>
      </c>
      <c r="M346" s="796" t="s">
        <v>1449</v>
      </c>
      <c r="N346" s="797"/>
      <c r="O346" s="799"/>
      <c r="P346" s="797"/>
    </row>
    <row r="347" spans="1:16" ht="12.75" customHeight="1" x14ac:dyDescent="0.3">
      <c r="A347" s="797"/>
      <c r="B347" s="797" t="s">
        <v>1494</v>
      </c>
      <c r="C347" s="797"/>
      <c r="D347" s="797"/>
      <c r="E347" s="797"/>
      <c r="F347" s="797"/>
      <c r="G347" s="797" t="s">
        <v>2254</v>
      </c>
      <c r="H347" s="796" t="s">
        <v>866</v>
      </c>
      <c r="I347" s="876"/>
      <c r="J347" s="792" t="str">
        <f>IF(ISBLANK(HLOOKUP(CaseName,CaseData,MATCH($G347,cases!$G$4:$G$2494,0),FALSE)),"",HLOOKUP(CaseName,CaseData,MATCH($G347,cases!$G$4:$G$2494,0),FALSE))</f>
        <v/>
      </c>
      <c r="K347" s="512">
        <f>9*10^-6</f>
        <v>9.0000000000000002E-6</v>
      </c>
      <c r="L347" s="794">
        <f t="shared" si="17"/>
        <v>9.0000000000000002E-6</v>
      </c>
      <c r="M347" s="796" t="s">
        <v>866</v>
      </c>
      <c r="N347" s="797"/>
      <c r="O347" s="799"/>
      <c r="P347" s="797" t="s">
        <v>1452</v>
      </c>
    </row>
    <row r="348" spans="1:16" ht="12.75" customHeight="1" x14ac:dyDescent="0.3">
      <c r="A348" s="797"/>
      <c r="B348" s="797" t="s">
        <v>1453</v>
      </c>
      <c r="C348" s="797"/>
      <c r="D348" s="797"/>
      <c r="E348" s="797"/>
      <c r="F348" s="797"/>
      <c r="G348" s="796" t="s">
        <v>2255</v>
      </c>
      <c r="H348" s="796" t="s">
        <v>291</v>
      </c>
      <c r="I348" s="876"/>
      <c r="J348" s="792" t="str">
        <f>IF(ISBLANK(HLOOKUP(CaseName,CaseData,MATCH($G348,cases!$G$4:$G$2494,0),FALSE)),"",HLOOKUP(CaseName,CaseData,MATCH($G348,cases!$G$4:$G$2494,0),FALSE))</f>
        <v/>
      </c>
      <c r="K348" s="798">
        <f>L349+L353+L354</f>
        <v>0.61818499629647783</v>
      </c>
      <c r="L348" s="794">
        <f t="shared" si="17"/>
        <v>0.61818499629647783</v>
      </c>
      <c r="M348" s="796" t="s">
        <v>291</v>
      </c>
      <c r="N348" s="797"/>
      <c r="O348" s="799"/>
      <c r="P348" s="797" t="s">
        <v>1452</v>
      </c>
    </row>
    <row r="349" spans="1:16" ht="12.75" customHeight="1" x14ac:dyDescent="0.3">
      <c r="A349" s="797"/>
      <c r="B349" s="797"/>
      <c r="C349" s="797" t="s">
        <v>1455</v>
      </c>
      <c r="D349" s="797"/>
      <c r="E349" s="797"/>
      <c r="F349" s="797"/>
      <c r="G349" s="796" t="s">
        <v>2256</v>
      </c>
      <c r="H349" s="796" t="s">
        <v>291</v>
      </c>
      <c r="I349" s="876"/>
      <c r="J349" s="792" t="str">
        <f>IF(ISBLANK(HLOOKUP(CaseName,CaseData,MATCH($G349,cases!$G$4:$G$2494,0),FALSE)),"",HLOOKUP(CaseName,CaseData,MATCH($G349,cases!$G$4:$G$2494,0),FALSE))</f>
        <v/>
      </c>
      <c r="K349" s="798">
        <f>2.4*L350^(1/3)*L355^(-0.081)*L356^-0.715*L357^0.053</f>
        <v>0.618124306094614</v>
      </c>
      <c r="L349" s="794">
        <f t="shared" si="17"/>
        <v>0.618124306094614</v>
      </c>
      <c r="M349" s="796" t="s">
        <v>291</v>
      </c>
      <c r="N349" s="797"/>
      <c r="O349" s="799"/>
      <c r="P349" s="797" t="s">
        <v>1452</v>
      </c>
    </row>
    <row r="350" spans="1:16" ht="12.75" customHeight="1" x14ac:dyDescent="0.3">
      <c r="A350" s="797"/>
      <c r="B350" s="797"/>
      <c r="C350" s="797"/>
      <c r="D350" s="797" t="s">
        <v>1457</v>
      </c>
      <c r="E350" s="797"/>
      <c r="F350" s="797"/>
      <c r="G350" s="797" t="s">
        <v>2257</v>
      </c>
      <c r="H350" s="796" t="s">
        <v>291</v>
      </c>
      <c r="I350" s="876"/>
      <c r="J350" s="792" t="str">
        <f>IF(ISBLANK(HLOOKUP(CaseName,CaseData,MATCH($G350,cases!$G$4:$G$2494,0),FALSE)),"",HLOOKUP(CaseName,CaseData,MATCH($G350,cases!$G$4:$G$2494,0),FALSE))</f>
        <v/>
      </c>
      <c r="K350" s="512">
        <f>(2*(1-L351^5))/(2-3*L351+3*L351^5-2*L351^6)</f>
        <v>37.979096123930859</v>
      </c>
      <c r="L350" s="794">
        <f t="shared" si="17"/>
        <v>37.979096123930859</v>
      </c>
      <c r="M350" s="796" t="s">
        <v>291</v>
      </c>
      <c r="N350" s="797"/>
      <c r="O350" s="799"/>
      <c r="P350" s="797" t="s">
        <v>1452</v>
      </c>
    </row>
    <row r="351" spans="1:16" ht="12.75" customHeight="1" x14ac:dyDescent="0.3">
      <c r="A351" s="797"/>
      <c r="B351" s="797"/>
      <c r="C351" s="797"/>
      <c r="D351" s="797"/>
      <c r="E351" s="797" t="s">
        <v>1499</v>
      </c>
      <c r="F351" s="797"/>
      <c r="G351" s="797" t="s">
        <v>2258</v>
      </c>
      <c r="H351" s="796" t="s">
        <v>291</v>
      </c>
      <c r="I351" s="876"/>
      <c r="J351" s="792" t="str">
        <f>IF(ISBLANK(HLOOKUP(CaseName,CaseData,MATCH($G351,cases!$G$4:$G$2494,0),FALSE)),"",HLOOKUP(CaseName,CaseData,MATCH($G351,cases!$G$4:$G$2494,0),FALSE))</f>
        <v/>
      </c>
      <c r="K351" s="512">
        <f>(1-L352)^(1/3)</f>
        <v>0.84343266530174932</v>
      </c>
      <c r="L351" s="794">
        <f t="shared" si="17"/>
        <v>0.84343266530174932</v>
      </c>
      <c r="M351" s="796" t="s">
        <v>291</v>
      </c>
      <c r="N351" s="797"/>
      <c r="O351" s="799"/>
      <c r="P351" s="797" t="s">
        <v>1452</v>
      </c>
    </row>
    <row r="352" spans="1:16" ht="12.75" customHeight="1" x14ac:dyDescent="0.3">
      <c r="A352" s="797"/>
      <c r="B352" s="797"/>
      <c r="C352" s="797"/>
      <c r="D352" s="797"/>
      <c r="E352" s="797"/>
      <c r="F352" s="797" t="s">
        <v>1501</v>
      </c>
      <c r="G352" s="797" t="s">
        <v>2259</v>
      </c>
      <c r="H352" s="796" t="s">
        <v>1463</v>
      </c>
      <c r="I352" s="876"/>
      <c r="J352" s="792" t="str">
        <f>IF(ISBLANK(HLOOKUP(CaseName,CaseData,MATCH($G352,cases!$G$4:$G$2494,0),FALSE)),"",HLOOKUP(CaseName,CaseData,MATCH($G352,cases!$G$4:$G$2494,0),FALSE))</f>
        <v/>
      </c>
      <c r="K352" s="798">
        <f>1-L44</f>
        <v>0.39999999999999991</v>
      </c>
      <c r="L352" s="794">
        <f t="shared" si="17"/>
        <v>0.39999999999999991</v>
      </c>
      <c r="M352" s="796" t="s">
        <v>1463</v>
      </c>
      <c r="N352" s="797" t="s">
        <v>1519</v>
      </c>
      <c r="O352" s="799"/>
      <c r="P352" s="797"/>
    </row>
    <row r="353" spans="1:16" ht="12.75" customHeight="1" x14ac:dyDescent="0.3">
      <c r="A353" s="797"/>
      <c r="B353" s="797"/>
      <c r="C353" s="797" t="s">
        <v>1465</v>
      </c>
      <c r="D353" s="797"/>
      <c r="E353" s="797"/>
      <c r="F353" s="797"/>
      <c r="G353" s="796" t="s">
        <v>2260</v>
      </c>
      <c r="H353" s="796" t="s">
        <v>291</v>
      </c>
      <c r="I353" s="876"/>
      <c r="J353" s="792" t="str">
        <f>IF(ISBLANK(HLOOKUP(CaseName,CaseData,MATCH($G353,cases!$G$4:$G$2494,0),FALSE)),"",HLOOKUP(CaseName,CaseData,MATCH($G353,cases!$G$4:$G$2494,0),FALSE))</f>
        <v/>
      </c>
      <c r="K353" s="798">
        <f>0.55*L355^1.55*L356^-0.125*L357^0.125</f>
        <v>1.4099767714425791E-7</v>
      </c>
      <c r="L353" s="794">
        <f t="shared" si="17"/>
        <v>1.4099767714425791E-7</v>
      </c>
      <c r="M353" s="796" t="s">
        <v>291</v>
      </c>
      <c r="N353" s="797"/>
      <c r="O353" s="799"/>
      <c r="P353" s="797" t="s">
        <v>1452</v>
      </c>
    </row>
    <row r="354" spans="1:16" ht="12.75" customHeight="1" x14ac:dyDescent="0.3">
      <c r="A354" s="797"/>
      <c r="B354" s="797"/>
      <c r="C354" s="797" t="s">
        <v>1467</v>
      </c>
      <c r="D354" s="797"/>
      <c r="E354" s="797"/>
      <c r="F354" s="797"/>
      <c r="G354" s="796" t="s">
        <v>2261</v>
      </c>
      <c r="H354" s="796" t="s">
        <v>291</v>
      </c>
      <c r="I354" s="876"/>
      <c r="J354" s="792" t="str">
        <f>IF(ISBLANK(HLOOKUP(CaseName,CaseData,MATCH($G354,cases!$G$4:$G$2494,0),FALSE)),"",HLOOKUP(CaseName,CaseData,MATCH($G354,cases!$G$4:$G$2494,0),FALSE))</f>
        <v/>
      </c>
      <c r="K354" s="798">
        <f>0.22*L355^-0.24*L358^1.11*L357^0.053</f>
        <v>6.0549204186767489E-5</v>
      </c>
      <c r="L354" s="794">
        <f t="shared" si="17"/>
        <v>6.0549204186767489E-5</v>
      </c>
      <c r="M354" s="796" t="s">
        <v>291</v>
      </c>
      <c r="N354" s="797"/>
      <c r="O354" s="799"/>
      <c r="P354" s="797" t="s">
        <v>1452</v>
      </c>
    </row>
    <row r="355" spans="1:16" ht="12.75" customHeight="1" x14ac:dyDescent="0.3">
      <c r="A355" s="797"/>
      <c r="B355" s="797"/>
      <c r="C355" s="797"/>
      <c r="D355" s="797" t="s">
        <v>1471</v>
      </c>
      <c r="E355" s="797"/>
      <c r="F355" s="797"/>
      <c r="G355" s="797" t="s">
        <v>2262</v>
      </c>
      <c r="H355" s="796" t="s">
        <v>1473</v>
      </c>
      <c r="I355" s="876"/>
      <c r="J355" s="792" t="str">
        <f>IF(ISBLANK(HLOOKUP(CaseName,CaseData,MATCH($G355,cases!$G$4:$G$2494,0),FALSE)),"",HLOOKUP(CaseName,CaseData,MATCH($G355,cases!$G$4:$G$2494,0),FALSE))</f>
        <v/>
      </c>
      <c r="K355" s="512">
        <f>RadS/RadFP.s</f>
        <v>7.8125000000000002E-5</v>
      </c>
      <c r="L355" s="794">
        <f t="shared" si="17"/>
        <v>7.8125000000000002E-5</v>
      </c>
      <c r="M355" s="796" t="s">
        <v>1473</v>
      </c>
      <c r="N355" s="797"/>
      <c r="O355" s="799"/>
      <c r="P355" s="797" t="s">
        <v>1452</v>
      </c>
    </row>
    <row r="356" spans="1:16" ht="12.75" customHeight="1" x14ac:dyDescent="0.3">
      <c r="A356" s="797"/>
      <c r="B356" s="797"/>
      <c r="C356" s="797"/>
      <c r="D356" s="797" t="s">
        <v>1474</v>
      </c>
      <c r="E356" s="797"/>
      <c r="F356" s="797"/>
      <c r="G356" s="797" t="s">
        <v>2263</v>
      </c>
      <c r="H356" s="796" t="s">
        <v>291</v>
      </c>
      <c r="I356" s="876"/>
      <c r="J356" s="792" t="str">
        <f>IF(ISBLANK(HLOOKUP(CaseName,CaseData,MATCH($G356,cases!$G$4:$G$2494,0),FALSE)),"",HLOOKUP(CaseName,CaseData,MATCH($G356,cases!$G$4:$G$2494,0),FALSE))</f>
        <v/>
      </c>
      <c r="K356" s="512">
        <f>(L347*2*RadFP.s)/(DiffS.wC)</f>
        <v>110.59187966851262</v>
      </c>
      <c r="L356" s="794">
        <f t="shared" si="17"/>
        <v>110.59187966851262</v>
      </c>
      <c r="M356" s="796" t="s">
        <v>291</v>
      </c>
      <c r="N356" s="797"/>
      <c r="O356" s="799"/>
      <c r="P356" s="797" t="s">
        <v>1452</v>
      </c>
    </row>
    <row r="357" spans="1:16" ht="12.75" customHeight="1" x14ac:dyDescent="0.3">
      <c r="A357" s="797"/>
      <c r="B357" s="797"/>
      <c r="C357" s="797"/>
      <c r="D357" s="797" t="s">
        <v>1469</v>
      </c>
      <c r="E357" s="797"/>
      <c r="F357" s="797"/>
      <c r="G357" s="797" t="s">
        <v>2264</v>
      </c>
      <c r="H357" s="796" t="s">
        <v>291</v>
      </c>
      <c r="I357" s="876"/>
      <c r="J357" s="792" t="str">
        <f>IF(ISBLANK(HLOOKUP(CaseName,CaseData,MATCH($G357,cases!$G$4:$G$2494,0),FALSE)),"",HLOOKUP(CaseName,CaseData,MATCH($G357,cases!$G$4:$G$2494,0),FALSE))</f>
        <v/>
      </c>
      <c r="K357" s="512">
        <f>AHamakerSP.w/(kboltz*TEMP.C)</f>
        <v>1.7535615368506079</v>
      </c>
      <c r="L357" s="794">
        <f t="shared" si="17"/>
        <v>1.7535615368506079</v>
      </c>
      <c r="M357" s="796" t="s">
        <v>291</v>
      </c>
      <c r="N357" s="797"/>
      <c r="O357" s="799"/>
      <c r="P357" s="797" t="s">
        <v>1452</v>
      </c>
    </row>
    <row r="358" spans="1:16" ht="12.75" customHeight="1" x14ac:dyDescent="0.3">
      <c r="A358" s="797"/>
      <c r="B358" s="797"/>
      <c r="C358" s="797"/>
      <c r="D358" s="797" t="s">
        <v>1476</v>
      </c>
      <c r="E358" s="797"/>
      <c r="F358" s="797"/>
      <c r="G358" s="796" t="s">
        <v>2265</v>
      </c>
      <c r="H358" s="796" t="s">
        <v>291</v>
      </c>
      <c r="I358" s="876"/>
      <c r="J358" s="792" t="str">
        <f>IF(ISBLANK(HLOOKUP(CaseName,CaseData,MATCH($G358,cases!$G$4:$G$2494,0),FALSE)),"",HLOOKUP(CaseName,CaseData,MATCH($G358,cases!$G$4:$G$2494,0),FALSE))</f>
        <v/>
      </c>
      <c r="K358" s="512">
        <f>(2*RadS^2*(ABS(RhoS-Rho.w))*9.81)/(9*DYNVISC.w*L347)</f>
        <v>7.8129962297626983E-5</v>
      </c>
      <c r="L358" s="794">
        <f t="shared" si="17"/>
        <v>7.8129962297626983E-5</v>
      </c>
      <c r="M358" s="796" t="s">
        <v>291</v>
      </c>
      <c r="N358" s="797"/>
      <c r="O358" s="799"/>
      <c r="P358" s="797" t="s">
        <v>1452</v>
      </c>
    </row>
    <row r="359" spans="1:16" ht="12.75" customHeight="1" x14ac:dyDescent="0.3">
      <c r="G359" s="779"/>
      <c r="H359" s="779"/>
      <c r="I359" s="778"/>
      <c r="J359" s="230"/>
      <c r="K359" s="780"/>
      <c r="O359" s="782"/>
    </row>
    <row r="360" spans="1:16" s="837" customFormat="1" ht="12.75" customHeight="1" x14ac:dyDescent="0.3">
      <c r="A360" s="836" t="s">
        <v>1541</v>
      </c>
      <c r="G360" s="836" t="s">
        <v>258</v>
      </c>
      <c r="H360" s="836" t="s">
        <v>274</v>
      </c>
      <c r="I360" s="837" t="s">
        <v>259</v>
      </c>
      <c r="J360" s="898" t="s">
        <v>275</v>
      </c>
      <c r="K360" s="838" t="s">
        <v>260</v>
      </c>
      <c r="L360" s="839" t="s">
        <v>261</v>
      </c>
      <c r="N360" s="836" t="s">
        <v>262</v>
      </c>
      <c r="O360" s="840" t="s">
        <v>1326</v>
      </c>
      <c r="P360" s="837" t="s">
        <v>1327</v>
      </c>
    </row>
    <row r="361" spans="1:16" s="784" customFormat="1" ht="12.75" customHeight="1" x14ac:dyDescent="0.3">
      <c r="A361" s="784" t="s">
        <v>1542</v>
      </c>
      <c r="G361" s="785"/>
      <c r="H361" s="785"/>
      <c r="J361" s="543"/>
      <c r="K361" s="786"/>
      <c r="L361" s="899"/>
      <c r="O361" s="788"/>
    </row>
    <row r="362" spans="1:16" ht="12.75" customHeight="1" x14ac:dyDescent="0.3">
      <c r="A362" s="797"/>
      <c r="B362" s="797" t="s">
        <v>1543</v>
      </c>
      <c r="C362" s="797"/>
      <c r="D362" s="797"/>
      <c r="E362" s="797"/>
      <c r="F362" s="797"/>
      <c r="G362" s="796" t="s">
        <v>2266</v>
      </c>
      <c r="H362" s="796" t="s">
        <v>813</v>
      </c>
      <c r="I362" s="900"/>
      <c r="J362" s="792" t="str">
        <f>IF(ISBLANK(HLOOKUP(CaseName,CaseData,MATCH($G362,cases!$G$4:$G$2494,0),FALSE)),"",HLOOKUP(CaseName,CaseData,MATCH($G362,cases!$G$4:$G$2494,0),FALSE))</f>
        <v/>
      </c>
      <c r="K362" s="798">
        <f>((7*10^-4)*(60*6*10^4*L364)^0.25)/2</f>
        <v>1.8608721138940219E-4</v>
      </c>
      <c r="L362" s="901">
        <f t="shared" ref="L362:L368" si="18">IF(ISBLANK(I362),IF(ISNUMBER(J362)=FALSE,K362,J362),I362)</f>
        <v>1.8608721138940219E-4</v>
      </c>
      <c r="M362" s="796" t="s">
        <v>813</v>
      </c>
      <c r="N362" s="797"/>
      <c r="O362" s="799"/>
      <c r="P362" s="797" t="s">
        <v>1545</v>
      </c>
    </row>
    <row r="363" spans="1:16" ht="12.75" customHeight="1" x14ac:dyDescent="0.3">
      <c r="A363" s="797"/>
      <c r="B363" s="797" t="s">
        <v>1546</v>
      </c>
      <c r="C363" s="797"/>
      <c r="D363" s="797"/>
      <c r="E363" s="797"/>
      <c r="F363" s="797"/>
      <c r="G363" s="796" t="s">
        <v>2267</v>
      </c>
      <c r="H363" s="796" t="s">
        <v>291</v>
      </c>
      <c r="I363" s="900"/>
      <c r="J363" s="792" t="str">
        <f>IF(ISBLANK(HLOOKUP(CaseName,CaseData,MATCH($G363,cases!$G$4:$G$2494,0),FALSE)),"",HLOOKUP(CaseName,CaseData,MATCH($G363,cases!$G$4:$G$2494,0),FALSE))</f>
        <v/>
      </c>
      <c r="K363" s="798">
        <v>1</v>
      </c>
      <c r="L363" s="901">
        <f t="shared" si="18"/>
        <v>1</v>
      </c>
      <c r="M363" s="796" t="s">
        <v>291</v>
      </c>
      <c r="N363" s="797"/>
      <c r="O363" s="799"/>
      <c r="P363" s="797"/>
    </row>
    <row r="364" spans="1:16" ht="12.75" customHeight="1" x14ac:dyDescent="0.3">
      <c r="A364" s="797"/>
      <c r="B364" s="797" t="s">
        <v>1549</v>
      </c>
      <c r="C364" s="797"/>
      <c r="D364" s="797"/>
      <c r="E364" s="797"/>
      <c r="F364" s="797"/>
      <c r="G364" s="796" t="s">
        <v>2268</v>
      </c>
      <c r="H364" s="796" t="s">
        <v>866</v>
      </c>
      <c r="I364" s="900"/>
      <c r="J364" s="792" t="str">
        <f>IF(ISBLANK(HLOOKUP(CaseName,CaseData,MATCH($G364,cases!$G$4:$G$2494,0),FALSE)),"",HLOOKUP(CaseName,CaseData,MATCH($G364,cases!$G$4:$G$2494,0),FALSE))</f>
        <v/>
      </c>
      <c r="K364" s="798">
        <f>RAINrate.C/L363</f>
        <v>2.219685438863521E-8</v>
      </c>
      <c r="L364" s="901">
        <f t="shared" si="18"/>
        <v>2.219685438863521E-8</v>
      </c>
      <c r="M364" s="796" t="s">
        <v>866</v>
      </c>
      <c r="N364" s="797"/>
      <c r="O364" s="799"/>
      <c r="P364" s="797"/>
    </row>
    <row r="365" spans="1:16" ht="12.75" customHeight="1" x14ac:dyDescent="0.3">
      <c r="A365" s="797"/>
      <c r="B365" s="797" t="s">
        <v>1553</v>
      </c>
      <c r="C365" s="797"/>
      <c r="D365" s="797"/>
      <c r="E365" s="797"/>
      <c r="F365" s="797"/>
      <c r="G365" s="796" t="s">
        <v>2269</v>
      </c>
      <c r="H365" s="796" t="s">
        <v>866</v>
      </c>
      <c r="I365" s="900"/>
      <c r="J365" s="792" t="str">
        <f>IF(ISBLANK(HLOOKUP(CaseName,CaseData,MATCH($G365,cases!$G$4:$G$2494,0),FALSE)),"",HLOOKUP(CaseName,CaseData,MATCH($G365,cases!$G$4:$G$2494,0),FALSE))</f>
        <v/>
      </c>
      <c r="K365" s="798">
        <f>((2*L362)^2*(Rho.w-Rho.a)*g*L366)/(18*DYNVISC.a)</f>
        <v>4.1572688513602243</v>
      </c>
      <c r="L365" s="901">
        <f t="shared" si="18"/>
        <v>4.1572688513602243</v>
      </c>
      <c r="M365" s="796" t="s">
        <v>866</v>
      </c>
      <c r="N365" s="797"/>
      <c r="O365" s="799"/>
      <c r="P365" s="797"/>
    </row>
    <row r="366" spans="1:16" ht="12.75" customHeight="1" x14ac:dyDescent="0.3">
      <c r="A366" s="797"/>
      <c r="B366" s="797" t="s">
        <v>1555</v>
      </c>
      <c r="C366" s="797"/>
      <c r="D366" s="797"/>
      <c r="E366" s="797"/>
      <c r="F366" s="797"/>
      <c r="G366" s="796" t="s">
        <v>2270</v>
      </c>
      <c r="H366" s="796" t="s">
        <v>291</v>
      </c>
      <c r="I366" s="900"/>
      <c r="J366" s="792" t="str">
        <f>IF(ISBLANK(HLOOKUP(CaseName,CaseData,MATCH($G366,cases!$G$4:$G$2494,0),FALSE)),"",HLOOKUP(CaseName,CaseData,MATCH($G366,cases!$G$4:$G$2494,0),FALSE))</f>
        <v/>
      </c>
      <c r="K366" s="798">
        <v>1</v>
      </c>
      <c r="L366" s="901">
        <f t="shared" si="18"/>
        <v>1</v>
      </c>
      <c r="M366" s="796" t="s">
        <v>291</v>
      </c>
      <c r="N366" s="797"/>
      <c r="O366" s="799"/>
      <c r="P366" s="797"/>
    </row>
    <row r="367" spans="1:16" ht="12.75" customHeight="1" x14ac:dyDescent="0.3">
      <c r="A367" s="797"/>
      <c r="B367" s="797" t="s">
        <v>1557</v>
      </c>
      <c r="C367" s="797"/>
      <c r="D367" s="797"/>
      <c r="E367" s="797"/>
      <c r="F367" s="797"/>
      <c r="G367" s="796" t="s">
        <v>2271</v>
      </c>
      <c r="H367" s="796" t="s">
        <v>291</v>
      </c>
      <c r="I367" s="900"/>
      <c r="J367" s="792" t="str">
        <f>IF(ISBLANK(HLOOKUP(CaseName,CaseData,MATCH($G367,cases!$G$4:$G$2494,0),FALSE)),"",HLOOKUP(CaseName,CaseData,MATCH($G367,cases!$G$4:$G$2494,0),FALSE))</f>
        <v/>
      </c>
      <c r="K367" s="798">
        <f>((1.2+(1/12)*LN(1+L368))/(1+LN(L368)))</f>
        <v>0.30887187901809332</v>
      </c>
      <c r="L367" s="901">
        <f t="shared" si="18"/>
        <v>0.30887187901809332</v>
      </c>
      <c r="M367" s="796" t="s">
        <v>291</v>
      </c>
      <c r="N367" s="797"/>
      <c r="O367" s="799"/>
      <c r="P367" s="797"/>
    </row>
    <row r="368" spans="1:16" ht="12.75" customHeight="1" x14ac:dyDescent="0.3">
      <c r="A368" s="797"/>
      <c r="B368" s="797" t="s">
        <v>1559</v>
      </c>
      <c r="C368" s="797"/>
      <c r="D368" s="797"/>
      <c r="E368" s="797"/>
      <c r="F368" s="797"/>
      <c r="G368" s="796" t="s">
        <v>2272</v>
      </c>
      <c r="H368" s="796" t="s">
        <v>291</v>
      </c>
      <c r="I368" s="900"/>
      <c r="J368" s="792" t="str">
        <f>IF(ISBLANK(HLOOKUP(CaseName,CaseData,MATCH($G368,cases!$G$4:$G$2494,0),FALSE)),"",HLOOKUP(CaseName,CaseData,MATCH($G368,cases!$G$4:$G$2494,0),FALSE))</f>
        <v/>
      </c>
      <c r="K368" s="902">
        <f>((2*L362)*L365*Rho.a)/(2*DYNVISC.a)</f>
        <v>52.357892002398778</v>
      </c>
      <c r="L368" s="903">
        <f t="shared" si="18"/>
        <v>52.357892002398778</v>
      </c>
      <c r="M368" s="796" t="s">
        <v>2273</v>
      </c>
      <c r="N368" s="797"/>
      <c r="O368" s="799"/>
      <c r="P368" s="797"/>
    </row>
    <row r="369" spans="1:16" s="784" customFormat="1" ht="12.75" customHeight="1" x14ac:dyDescent="0.3">
      <c r="A369" s="784" t="s">
        <v>2274</v>
      </c>
      <c r="K369" s="786"/>
      <c r="L369" s="899"/>
      <c r="O369" s="788"/>
    </row>
    <row r="370" spans="1:16" ht="12.75" customHeight="1" x14ac:dyDescent="0.3">
      <c r="A370" s="797"/>
      <c r="B370" s="797" t="s">
        <v>1562</v>
      </c>
      <c r="C370" s="797"/>
      <c r="D370" s="797"/>
      <c r="E370" s="797"/>
      <c r="F370" s="797"/>
      <c r="G370" s="797" t="s">
        <v>2275</v>
      </c>
      <c r="H370" s="797" t="s">
        <v>813</v>
      </c>
      <c r="I370" s="900"/>
      <c r="J370" s="792" t="str">
        <f>IF(ISBLANK(HLOOKUP(CaseName,CaseData,MATCH($G370,cases!$G$4:$G$2494,0),FALSE)),"",HLOOKUP(CaseName,CaseData,MATCH($G370,cases!$G$4:$G$2494,0),FALSE))</f>
        <v/>
      </c>
      <c r="K370" s="831">
        <f>(L372/((4/3)*PI()))^(1/3)</f>
        <v>4.5513903748867723E-8</v>
      </c>
      <c r="L370" s="901">
        <f t="shared" ref="L370:L401" si="19">IF(ISBLANK(I370),IF(ISNUMBER(J370)=FALSE,K370,J370),I370)</f>
        <v>4.5513903748867723E-8</v>
      </c>
      <c r="M370" s="797" t="s">
        <v>813</v>
      </c>
      <c r="N370" s="797"/>
      <c r="O370" s="799"/>
      <c r="P370" s="797"/>
    </row>
    <row r="371" spans="1:16" ht="12.75" customHeight="1" x14ac:dyDescent="0.3">
      <c r="A371" s="797"/>
      <c r="B371" s="797" t="s">
        <v>1564</v>
      </c>
      <c r="C371" s="797"/>
      <c r="D371" s="797"/>
      <c r="E371" s="797"/>
      <c r="F371" s="797"/>
      <c r="G371" s="797" t="s">
        <v>2276</v>
      </c>
      <c r="H371" s="797" t="s">
        <v>282</v>
      </c>
      <c r="I371" s="900"/>
      <c r="J371" s="792" t="str">
        <f>IF(ISBLANK(HLOOKUP(CaseName,CaseData,MATCH($G371,cases!$G$4:$G$2494,0),FALSE)),"",HLOOKUP(CaseName,CaseData,MATCH($G371,cases!$G$4:$G$2494,0),FALSE))</f>
        <v/>
      </c>
      <c r="K371" s="831">
        <f>(L373)/L372</f>
        <v>2019.7574509045692</v>
      </c>
      <c r="L371" s="901">
        <f t="shared" si="19"/>
        <v>2019.7574509045692</v>
      </c>
      <c r="M371" s="797" t="s">
        <v>282</v>
      </c>
      <c r="N371" s="797"/>
      <c r="O371" s="799"/>
      <c r="P371" s="797"/>
    </row>
    <row r="372" spans="1:16" ht="12.75" customHeight="1" x14ac:dyDescent="0.3">
      <c r="A372" s="797"/>
      <c r="B372" s="797"/>
      <c r="C372" s="797" t="s">
        <v>1566</v>
      </c>
      <c r="D372" s="797"/>
      <c r="E372" s="797"/>
      <c r="F372" s="797"/>
      <c r="G372" s="797" t="s">
        <v>2277</v>
      </c>
      <c r="H372" s="797" t="s">
        <v>857</v>
      </c>
      <c r="I372" s="900"/>
      <c r="J372" s="792" t="str">
        <f>IF(ISBLANK(HLOOKUP(CaseName,CaseData,MATCH($G372,cases!$G$4:$G$2494,0),FALSE)),"",HLOOKUP(CaseName,CaseData,MATCH($G372,cases!$G$4:$G$2494,0),FALSE))</f>
        <v/>
      </c>
      <c r="K372" s="831">
        <f>((input!L305*(SingleVolS+(((4/3)*PI()*(RadNuc)^3))))+(input!L306*(SingleVolS+(((4/3)*PI()*(RadAcc)^3)))))/(input!L305+input!L306)</f>
        <v>3.9493067684749707E-22</v>
      </c>
      <c r="L372" s="901">
        <f t="shared" si="19"/>
        <v>3.9493067684749707E-22</v>
      </c>
      <c r="M372" s="797" t="s">
        <v>857</v>
      </c>
      <c r="N372" s="797"/>
      <c r="O372" s="799"/>
      <c r="P372" s="797"/>
    </row>
    <row r="373" spans="1:16" ht="12.75" customHeight="1" x14ac:dyDescent="0.3">
      <c r="A373" s="797"/>
      <c r="B373" s="797"/>
      <c r="C373" s="797" t="s">
        <v>1568</v>
      </c>
      <c r="D373" s="797"/>
      <c r="E373" s="797"/>
      <c r="F373" s="797"/>
      <c r="G373" s="797" t="s">
        <v>2278</v>
      </c>
      <c r="H373" s="797" t="s">
        <v>888</v>
      </c>
      <c r="I373" s="900"/>
      <c r="J373" s="792" t="str">
        <f>IF(ISBLANK(HLOOKUP(CaseName,CaseData,MATCH($G373,cases!$G$4:$G$2494,0),FALSE)),"",HLOOKUP(CaseName,CaseData,MATCH($G373,cases!$G$4:$G$2494,0),FALSE))</f>
        <v/>
      </c>
      <c r="K373" s="831">
        <f>((input!L305*(RhoNuc*(4/3*PI()*(RadNuc)^3)+RhoS*SingleVolS))+(input!L306*(RhoAcc*(4/3*PI()*(RadAcc)^3)+RhoS*SingleVolS)))/(input!L305+input!L306)</f>
        <v>7.976641771535168E-19</v>
      </c>
      <c r="L373" s="901">
        <f t="shared" si="19"/>
        <v>7.976641771535168E-19</v>
      </c>
      <c r="M373" s="797" t="s">
        <v>888</v>
      </c>
      <c r="N373" s="797"/>
      <c r="O373" s="799"/>
      <c r="P373" s="797"/>
    </row>
    <row r="374" spans="1:16" s="837" customFormat="1" ht="12.75" customHeight="1" x14ac:dyDescent="0.3">
      <c r="A374" s="841" t="s">
        <v>1571</v>
      </c>
      <c r="B374" s="841"/>
      <c r="C374" s="841"/>
      <c r="D374" s="841"/>
      <c r="E374" s="841"/>
      <c r="F374" s="841"/>
      <c r="G374" s="844" t="s">
        <v>2279</v>
      </c>
      <c r="H374" s="844" t="s">
        <v>335</v>
      </c>
      <c r="I374" s="904"/>
      <c r="J374" s="792" t="str">
        <f>IF(ISBLANK(HLOOKUP(CaseName,CaseData,MATCH($G374,cases!$G$4:$G$2494,0),FALSE)),"",HLOOKUP(CaseName,CaseData,MATCH($G374,cases!$G$4:$G$2494,0),FALSE))</f>
        <v/>
      </c>
      <c r="K374" s="845">
        <f>(3/2)*(L382*L364)/(2*L362)</f>
        <v>4.5122011807961309E-7</v>
      </c>
      <c r="L374" s="905">
        <f t="shared" si="19"/>
        <v>4.5122011807961309E-7</v>
      </c>
      <c r="M374" s="844" t="s">
        <v>335</v>
      </c>
      <c r="N374" s="841"/>
      <c r="O374" s="847" t="s">
        <v>2280</v>
      </c>
      <c r="P374" s="841" t="s">
        <v>1573</v>
      </c>
    </row>
    <row r="375" spans="1:16" ht="12.75" customHeight="1" x14ac:dyDescent="0.3">
      <c r="A375" s="797"/>
      <c r="B375" s="797" t="s">
        <v>1574</v>
      </c>
      <c r="C375" s="797"/>
      <c r="D375" s="797"/>
      <c r="E375" s="797"/>
      <c r="F375" s="797"/>
      <c r="G375" s="796" t="s">
        <v>2281</v>
      </c>
      <c r="H375" s="796" t="s">
        <v>1576</v>
      </c>
      <c r="I375" s="900"/>
      <c r="J375" s="792" t="str">
        <f>IF(ISBLANK(HLOOKUP(CaseName,CaseData,MATCH($G375,cases!$G$4:$G$2494,0),FALSE)),"",HLOOKUP(CaseName,CaseData,MATCH($G375,cases!$G$4:$G$2494,0),FALSE))</f>
        <v/>
      </c>
      <c r="K375" s="831">
        <f>((RhoS-Rho.a)*(2*RadS)^2*CunninghamS)/(18*DYNVISC.a)</f>
        <v>6.075883051773531E-8</v>
      </c>
      <c r="L375" s="901">
        <f t="shared" si="19"/>
        <v>6.075883051773531E-8</v>
      </c>
      <c r="M375" s="796" t="s">
        <v>1576</v>
      </c>
      <c r="N375" s="797"/>
      <c r="O375" s="799"/>
      <c r="P375" s="797"/>
    </row>
    <row r="376" spans="1:16" ht="12.75" customHeight="1" x14ac:dyDescent="0.3">
      <c r="A376" s="797"/>
      <c r="B376" s="797" t="s">
        <v>1577</v>
      </c>
      <c r="C376" s="797"/>
      <c r="D376" s="797"/>
      <c r="E376" s="797"/>
      <c r="F376" s="797"/>
      <c r="G376" s="796" t="s">
        <v>2282</v>
      </c>
      <c r="H376" s="796" t="s">
        <v>291</v>
      </c>
      <c r="I376" s="900"/>
      <c r="J376" s="792" t="str">
        <f>IF(ISBLANK(HLOOKUP(CaseName,CaseData,MATCH($G376,cases!$G$4:$G$2494,0),FALSE)),"",HLOOKUP(CaseName,CaseData,MATCH($G376,cases!$G$4:$G$2494,0),FALSE))</f>
        <v/>
      </c>
      <c r="K376" s="831">
        <f>(2*L375*(L365-L377))/(2*L362)</f>
        <v>1.3573783789631079E-3</v>
      </c>
      <c r="L376" s="901">
        <f t="shared" si="19"/>
        <v>1.3573783789631079E-3</v>
      </c>
      <c r="M376" s="796" t="s">
        <v>291</v>
      </c>
      <c r="N376" s="797"/>
      <c r="O376" s="799" t="s">
        <v>1579</v>
      </c>
      <c r="P376" s="797"/>
    </row>
    <row r="377" spans="1:16" ht="12.75" customHeight="1" x14ac:dyDescent="0.3">
      <c r="A377" s="797"/>
      <c r="B377" s="797" t="s">
        <v>1580</v>
      </c>
      <c r="C377" s="797"/>
      <c r="D377" s="797"/>
      <c r="E377" s="797"/>
      <c r="F377" s="797"/>
      <c r="G377" s="796" t="s">
        <v>2283</v>
      </c>
      <c r="H377" s="796" t="s">
        <v>866</v>
      </c>
      <c r="I377" s="900"/>
      <c r="J377" s="792" t="str">
        <f>IF(ISBLANK(HLOOKUP(CaseName,CaseData,MATCH($G377,cases!$G$4:$G$2494,0),FALSE)),"",HLOOKUP(CaseName,CaseData,MATCH($G377,cases!$G$4:$G$2494,0),FALSE))</f>
        <v/>
      </c>
      <c r="K377" s="831">
        <f>((2*RadS)^2*(RhoS-Rho.a)*9.81*CunninghamS)/(18*DYNVISC.a)</f>
        <v>5.9604412737898326E-7</v>
      </c>
      <c r="L377" s="901">
        <f t="shared" si="19"/>
        <v>5.9604412737898326E-7</v>
      </c>
      <c r="M377" s="796" t="s">
        <v>866</v>
      </c>
      <c r="N377" s="797"/>
      <c r="O377" s="799"/>
      <c r="P377" s="797"/>
    </row>
    <row r="378" spans="1:16" ht="12.75" customHeight="1" x14ac:dyDescent="0.3">
      <c r="A378" s="797"/>
      <c r="B378" s="797" t="s">
        <v>1582</v>
      </c>
      <c r="C378" s="797"/>
      <c r="D378" s="797"/>
      <c r="E378" s="797"/>
      <c r="F378" s="797"/>
      <c r="G378" s="796" t="s">
        <v>2284</v>
      </c>
      <c r="H378" s="796" t="s">
        <v>291</v>
      </c>
      <c r="I378" s="900"/>
      <c r="J378" s="792" t="str">
        <f>IF(ISBLANK(HLOOKUP(CaseName,CaseData,MATCH($G378,cases!$G$4:$G$2494,0),FALSE)),"",HLOOKUP(CaseName,CaseData,MATCH($G378,cases!$G$4:$G$2494,0),FALSE))</f>
        <v/>
      </c>
      <c r="K378" s="831">
        <f>DYNVISC.a/(Rho.a*DiffS.aC)</f>
        <v>1094.7329450414386</v>
      </c>
      <c r="L378" s="901">
        <f t="shared" si="19"/>
        <v>1094.7329450414386</v>
      </c>
      <c r="M378" s="796" t="s">
        <v>291</v>
      </c>
      <c r="N378" s="797"/>
      <c r="O378" s="799"/>
      <c r="P378" s="797"/>
    </row>
    <row r="379" spans="1:16" ht="12.75" customHeight="1" x14ac:dyDescent="0.3">
      <c r="A379" s="797"/>
      <c r="B379" s="797"/>
      <c r="C379" s="797" t="s">
        <v>1584</v>
      </c>
      <c r="D379" s="797"/>
      <c r="E379" s="797"/>
      <c r="F379" s="797"/>
      <c r="G379" s="796" t="s">
        <v>2285</v>
      </c>
      <c r="H379" s="796" t="s">
        <v>291</v>
      </c>
      <c r="I379" s="900"/>
      <c r="J379" s="792" t="str">
        <f>IF(ISBLANK(HLOOKUP(CaseName,CaseData,MATCH($G379,cases!$G$4:$G$2494,0),FALSE)),"",HLOOKUP(CaseName,CaseData,MATCH($G379,cases!$G$4:$G$2494,0),FALSE))</f>
        <v/>
      </c>
      <c r="K379" s="831">
        <f>(4/(L368*L378))*(1+0.4*(L368^0.5*L378^(1/3))+0.16*(L368^0.5*L378^0.5))</f>
        <v>4.8247322727130821E-3</v>
      </c>
      <c r="L379" s="901">
        <f t="shared" si="19"/>
        <v>4.8247322727130821E-3</v>
      </c>
      <c r="M379" s="796" t="s">
        <v>291</v>
      </c>
      <c r="N379" s="797"/>
      <c r="O379" s="799"/>
      <c r="P379" s="797"/>
    </row>
    <row r="380" spans="1:16" ht="12.75" customHeight="1" x14ac:dyDescent="0.3">
      <c r="A380" s="797"/>
      <c r="B380" s="797"/>
      <c r="C380" s="797" t="s">
        <v>1586</v>
      </c>
      <c r="D380" s="797"/>
      <c r="E380" s="797"/>
      <c r="F380" s="797"/>
      <c r="G380" s="796" t="s">
        <v>2286</v>
      </c>
      <c r="H380" s="796" t="s">
        <v>291</v>
      </c>
      <c r="I380" s="900"/>
      <c r="J380" s="792" t="str">
        <f>IF(ISBLANK(HLOOKUP(CaseName,CaseData,MATCH($G380,cases!$G$4:$G$2494,0),FALSE)),"",HLOOKUP(CaseName,CaseData,MATCH($G380,cases!$G$4:$G$2494,0),FALSE))</f>
        <v/>
      </c>
      <c r="K380" s="831">
        <f>4*(RadS/L362)*((DYNVISC.a/DYNVISC.w)+(1+2*L368^0.5*(RadS/L362)))</f>
        <v>2.1900302575772083E-4</v>
      </c>
      <c r="L380" s="901">
        <f t="shared" si="19"/>
        <v>2.1900302575772083E-4</v>
      </c>
      <c r="M380" s="796" t="s">
        <v>291</v>
      </c>
      <c r="N380" s="797"/>
      <c r="O380" s="799"/>
      <c r="P380" s="797"/>
    </row>
    <row r="381" spans="1:16" ht="12.75" customHeight="1" x14ac:dyDescent="0.3">
      <c r="A381" s="797"/>
      <c r="B381" s="797"/>
      <c r="C381" s="797" t="s">
        <v>1588</v>
      </c>
      <c r="D381" s="797"/>
      <c r="E381" s="797"/>
      <c r="F381" s="797"/>
      <c r="G381" s="796" t="s">
        <v>2287</v>
      </c>
      <c r="H381" s="796" t="s">
        <v>291</v>
      </c>
      <c r="I381" s="900"/>
      <c r="J381" s="792" t="str">
        <f>IF(ISBLANK(HLOOKUP(CaseName,CaseData,MATCH($G381,cases!$G$4:$G$2494,0),FALSE)),"",HLOOKUP(CaseName,CaseData,MATCH($G381,cases!$G$4:$G$2494,0),FALSE))</f>
        <v/>
      </c>
      <c r="K381" s="831">
        <f>IF(L376&gt;L367,((L376-L367)/(L376-L367+2/3))^(3/2),0)</f>
        <v>0</v>
      </c>
      <c r="L381" s="901">
        <f t="shared" si="19"/>
        <v>0</v>
      </c>
      <c r="M381" s="796" t="s">
        <v>291</v>
      </c>
      <c r="N381" s="797"/>
      <c r="O381" s="799"/>
      <c r="P381" s="797"/>
    </row>
    <row r="382" spans="1:16" ht="12.75" customHeight="1" x14ac:dyDescent="0.3">
      <c r="A382" s="797"/>
      <c r="B382" s="797"/>
      <c r="C382" s="797" t="s">
        <v>1590</v>
      </c>
      <c r="D382" s="797"/>
      <c r="E382" s="797"/>
      <c r="F382" s="797"/>
      <c r="G382" s="796" t="s">
        <v>2288</v>
      </c>
      <c r="H382" s="796" t="s">
        <v>291</v>
      </c>
      <c r="I382" s="900"/>
      <c r="J382" s="792" t="str">
        <f>IF(ISBLANK(HLOOKUP(CaseName,CaseData,MATCH($G382,cases!$G$4:$G$2494,0),FALSE)),"",HLOOKUP(CaseName,CaseData,MATCH($G382,cases!$G$4:$G$2494,0),FALSE))</f>
        <v/>
      </c>
      <c r="K382" s="831">
        <f>L379+L380+L381</f>
        <v>5.0437352984708033E-3</v>
      </c>
      <c r="L382" s="901">
        <f t="shared" si="19"/>
        <v>5.0437352984708033E-3</v>
      </c>
      <c r="M382" s="796" t="s">
        <v>291</v>
      </c>
      <c r="N382" s="797"/>
      <c r="O382" s="799"/>
      <c r="P382" s="797"/>
    </row>
    <row r="383" spans="1:16" ht="12.75" customHeight="1" x14ac:dyDescent="0.3">
      <c r="A383" s="797" t="s">
        <v>1592</v>
      </c>
      <c r="B383" s="797"/>
      <c r="C383" s="797"/>
      <c r="D383" s="797"/>
      <c r="E383" s="797"/>
      <c r="F383" s="797"/>
      <c r="G383" s="796" t="s">
        <v>2289</v>
      </c>
      <c r="H383" s="796" t="s">
        <v>335</v>
      </c>
      <c r="I383" s="900"/>
      <c r="J383" s="792" t="str">
        <f>IF(ISBLANK(HLOOKUP(CaseName,CaseData,MATCH($G383,cases!$G$4:$G$2494,0),FALSE)),"",HLOOKUP(CaseName,CaseData,MATCH($G383,cases!$G$4:$G$2494,0),FALSE))</f>
        <v/>
      </c>
      <c r="K383" s="906">
        <f>((3/2)*(L393*L364)/(2*L362))</f>
        <v>1.7485826124729888E-7</v>
      </c>
      <c r="L383" s="901">
        <f t="shared" si="19"/>
        <v>1.7485826124729888E-7</v>
      </c>
      <c r="M383" s="796" t="s">
        <v>335</v>
      </c>
      <c r="N383" s="797"/>
      <c r="O383" s="799"/>
      <c r="P383" s="797"/>
    </row>
    <row r="384" spans="1:16" ht="12.75" customHeight="1" x14ac:dyDescent="0.3">
      <c r="A384" s="797"/>
      <c r="B384" s="797" t="s">
        <v>1594</v>
      </c>
      <c r="C384" s="797"/>
      <c r="D384" s="797"/>
      <c r="E384" s="797"/>
      <c r="F384" s="797"/>
      <c r="G384" s="796" t="s">
        <v>2290</v>
      </c>
      <c r="H384" s="796" t="s">
        <v>291</v>
      </c>
      <c r="I384" s="900"/>
      <c r="J384" s="792" t="str">
        <f>IF(ISBLANK(HLOOKUP(CaseName,CaseData,MATCH($G384,cases!$G$4:$G$2494,0),FALSE)),"",HLOOKUP(CaseName,CaseData,MATCH($G384,cases!$G$4:$G$2494,0),FALSE))</f>
        <v/>
      </c>
      <c r="K384" s="831">
        <f>1+(66*10^-9/L370)*(1.142+0.558*EXP(-0.999/(66*10^-9/L370)))</f>
        <v>3.0623169806934145</v>
      </c>
      <c r="L384" s="901">
        <f t="shared" si="19"/>
        <v>3.0623169806934145</v>
      </c>
      <c r="M384" s="796" t="s">
        <v>291</v>
      </c>
      <c r="N384" s="797"/>
      <c r="O384" s="799"/>
      <c r="P384" s="797"/>
    </row>
    <row r="385" spans="1:16" ht="12.75" customHeight="1" x14ac:dyDescent="0.3">
      <c r="A385" s="797"/>
      <c r="B385" s="797" t="s">
        <v>1596</v>
      </c>
      <c r="C385" s="797"/>
      <c r="D385" s="797"/>
      <c r="E385" s="797"/>
      <c r="F385" s="797"/>
      <c r="G385" s="796" t="s">
        <v>2291</v>
      </c>
      <c r="H385" s="796"/>
      <c r="I385" s="900"/>
      <c r="J385" s="792" t="str">
        <f>IF(ISBLANK(HLOOKUP(CaseName,CaseData,MATCH($G385,cases!$G$4:$G$2494,0),FALSE)),"",HLOOKUP(CaseName,CaseData,MATCH($G385,cases!$G$4:$G$2494,0),FALSE))</f>
        <v/>
      </c>
      <c r="K385" s="831">
        <f>(kboltz*TEMP.C*L384)/(6*PI()*DYNVISC.a*L370)</f>
        <v>7.7598698567995119E-10</v>
      </c>
      <c r="L385" s="901">
        <f t="shared" si="19"/>
        <v>7.7598698567995119E-10</v>
      </c>
      <c r="M385" s="796"/>
      <c r="N385" s="797"/>
      <c r="O385" s="799"/>
      <c r="P385" s="797"/>
    </row>
    <row r="386" spans="1:16" ht="12.75" customHeight="1" x14ac:dyDescent="0.3">
      <c r="A386" s="797"/>
      <c r="B386" s="797" t="s">
        <v>1574</v>
      </c>
      <c r="C386" s="797"/>
      <c r="D386" s="797"/>
      <c r="E386" s="797"/>
      <c r="F386" s="797"/>
      <c r="G386" s="796" t="s">
        <v>2292</v>
      </c>
      <c r="H386" s="796" t="s">
        <v>1576</v>
      </c>
      <c r="I386" s="900"/>
      <c r="J386" s="792" t="str">
        <f>IF(ISBLANK(HLOOKUP(CaseName,CaseData,MATCH($G386,cases!$G$4:$G$2494,0),FALSE)),"",HLOOKUP(CaseName,CaseData,MATCH($G386,cases!$G$4:$G$2494,0),FALSE))</f>
        <v/>
      </c>
      <c r="K386" s="831">
        <f>((L371-Rho.a)*(2*L370)^2*L384)/(18*DYNVISC.a)</f>
        <v>1.5721101191739341E-7</v>
      </c>
      <c r="L386" s="901">
        <f t="shared" si="19"/>
        <v>1.5721101191739341E-7</v>
      </c>
      <c r="M386" s="796" t="s">
        <v>1576</v>
      </c>
      <c r="N386" s="797"/>
      <c r="O386" s="799"/>
      <c r="P386" s="797"/>
    </row>
    <row r="387" spans="1:16" ht="12.75" customHeight="1" x14ac:dyDescent="0.3">
      <c r="A387" s="797"/>
      <c r="B387" s="797" t="s">
        <v>1599</v>
      </c>
      <c r="C387" s="797"/>
      <c r="D387" s="797"/>
      <c r="E387" s="797"/>
      <c r="F387" s="797"/>
      <c r="G387" s="796" t="s">
        <v>2293</v>
      </c>
      <c r="H387" s="796" t="s">
        <v>291</v>
      </c>
      <c r="I387" s="900"/>
      <c r="J387" s="792" t="str">
        <f>IF(ISBLANK(HLOOKUP(CaseName,CaseData,MATCH($G387,cases!$G$4:$G$2494,0),FALSE)),"",HLOOKUP(CaseName,CaseData,MATCH($G387,cases!$G$4:$G$2494,0),FALSE))</f>
        <v/>
      </c>
      <c r="K387" s="831">
        <f>(2*L386*(L365-L388))/(2*L362)</f>
        <v>3.5121607530043653E-3</v>
      </c>
      <c r="L387" s="901">
        <f t="shared" si="19"/>
        <v>3.5121607530043653E-3</v>
      </c>
      <c r="M387" s="796" t="s">
        <v>291</v>
      </c>
      <c r="N387" s="797"/>
      <c r="O387" s="799"/>
      <c r="P387" s="797"/>
    </row>
    <row r="388" spans="1:16" ht="12.75" customHeight="1" x14ac:dyDescent="0.3">
      <c r="A388" s="797"/>
      <c r="B388" s="797" t="s">
        <v>1580</v>
      </c>
      <c r="C388" s="797"/>
      <c r="D388" s="797"/>
      <c r="E388" s="797"/>
      <c r="F388" s="797"/>
      <c r="G388" s="796" t="s">
        <v>2294</v>
      </c>
      <c r="H388" s="796" t="s">
        <v>866</v>
      </c>
      <c r="I388" s="900"/>
      <c r="J388" s="792" t="str">
        <f>IF(ISBLANK(HLOOKUP(CaseName,CaseData,MATCH($G388,cases!$G$4:$G$2494,0),FALSE)),"",HLOOKUP(CaseName,CaseData,MATCH($G388,cases!$G$4:$G$2494,0),FALSE))</f>
        <v/>
      </c>
      <c r="K388" s="831">
        <f>((2*L370)^2*(L371-Rho.a)*9.81*L384)/(18*DYNVISC.a)</f>
        <v>1.5422400269096293E-6</v>
      </c>
      <c r="L388" s="901">
        <f t="shared" si="19"/>
        <v>1.5422400269096293E-6</v>
      </c>
      <c r="M388" s="796" t="s">
        <v>866</v>
      </c>
      <c r="N388" s="797"/>
      <c r="O388" s="799"/>
      <c r="P388" s="797"/>
    </row>
    <row r="389" spans="1:16" ht="12.75" customHeight="1" x14ac:dyDescent="0.3">
      <c r="A389" s="797"/>
      <c r="B389" s="797" t="s">
        <v>1582</v>
      </c>
      <c r="C389" s="797"/>
      <c r="D389" s="797"/>
      <c r="E389" s="797"/>
      <c r="F389" s="797"/>
      <c r="G389" s="796" t="s">
        <v>2295</v>
      </c>
      <c r="H389" s="796" t="s">
        <v>291</v>
      </c>
      <c r="I389" s="900"/>
      <c r="J389" s="792" t="str">
        <f>IF(ISBLANK(HLOOKUP(CaseName,CaseData,MATCH($G389,cases!$G$4:$G$2494,0),FALSE)),"",HLOOKUP(CaseName,CaseData,MATCH($G389,cases!$G$4:$G$2494,0),FALSE))</f>
        <v/>
      </c>
      <c r="K389" s="831">
        <f>DYNVISC.a/(Rho.a*L385)</f>
        <v>19040.925269042669</v>
      </c>
      <c r="L389" s="901">
        <f t="shared" si="19"/>
        <v>19040.925269042669</v>
      </c>
      <c r="M389" s="796" t="s">
        <v>291</v>
      </c>
      <c r="N389" s="797"/>
      <c r="O389" s="799"/>
      <c r="P389" s="797"/>
    </row>
    <row r="390" spans="1:16" ht="12.75" customHeight="1" x14ac:dyDescent="0.3">
      <c r="A390" s="797"/>
      <c r="B390" s="797"/>
      <c r="C390" s="797" t="s">
        <v>1584</v>
      </c>
      <c r="D390" s="797"/>
      <c r="E390" s="797"/>
      <c r="F390" s="797"/>
      <c r="G390" s="796" t="s">
        <v>2296</v>
      </c>
      <c r="H390" s="796" t="s">
        <v>291</v>
      </c>
      <c r="I390" s="900"/>
      <c r="J390" s="792" t="str">
        <f>IF(ISBLANK(HLOOKUP(CaseName,CaseData,MATCH($G390,cases!$G$4:$G$2494,0),FALSE)),"",HLOOKUP(CaseName,CaseData,MATCH($G390,cases!$G$4:$G$2494,0),FALSE))</f>
        <v/>
      </c>
      <c r="K390" s="831">
        <f>(4/(L368*L389))*(1+0.4*(L368^0.5*L389^(1/3))+0.16*(L368^0.5*L389^0.5))</f>
        <v>9.5509411571865685E-4</v>
      </c>
      <c r="L390" s="901">
        <f t="shared" si="19"/>
        <v>9.5509411571865685E-4</v>
      </c>
      <c r="M390" s="796" t="s">
        <v>291</v>
      </c>
      <c r="N390" s="797"/>
      <c r="O390" s="799"/>
      <c r="P390" s="797"/>
    </row>
    <row r="391" spans="1:16" ht="12.75" customHeight="1" x14ac:dyDescent="0.3">
      <c r="A391" s="797"/>
      <c r="B391" s="797"/>
      <c r="C391" s="797" t="s">
        <v>1586</v>
      </c>
      <c r="D391" s="797"/>
      <c r="E391" s="797"/>
      <c r="F391" s="797"/>
      <c r="G391" s="796" t="s">
        <v>2297</v>
      </c>
      <c r="H391" s="796" t="s">
        <v>291</v>
      </c>
      <c r="I391" s="900"/>
      <c r="J391" s="792" t="str">
        <f>IF(ISBLANK(HLOOKUP(CaseName,CaseData,MATCH($G391,cases!$G$4:$G$2494,0),FALSE)),"",HLOOKUP(CaseName,CaseData,MATCH($G391,cases!$G$4:$G$2494,0),FALSE))</f>
        <v/>
      </c>
      <c r="K391" s="831">
        <f>4*(L370/L362)*((DYNVISC.a/DYNVISC.w)+(1+2*L368^0.5*(L370/L362)))</f>
        <v>9.994702956284047E-4</v>
      </c>
      <c r="L391" s="901">
        <f t="shared" si="19"/>
        <v>9.994702956284047E-4</v>
      </c>
      <c r="M391" s="796" t="s">
        <v>291</v>
      </c>
      <c r="N391" s="797"/>
      <c r="O391" s="799"/>
      <c r="P391" s="797"/>
    </row>
    <row r="392" spans="1:16" ht="12.75" customHeight="1" x14ac:dyDescent="0.3">
      <c r="A392" s="797"/>
      <c r="B392" s="797"/>
      <c r="C392" s="797" t="s">
        <v>1588</v>
      </c>
      <c r="D392" s="797"/>
      <c r="E392" s="797"/>
      <c r="F392" s="797"/>
      <c r="G392" s="796" t="s">
        <v>2298</v>
      </c>
      <c r="H392" s="796" t="s">
        <v>291</v>
      </c>
      <c r="I392" s="900"/>
      <c r="J392" s="792" t="str">
        <f>IF(ISBLANK(HLOOKUP(CaseName,CaseData,MATCH($G392,cases!$G$4:$G$2494,0),FALSE)),"",HLOOKUP(CaseName,CaseData,MATCH($G392,cases!$G$4:$G$2494,0),FALSE))</f>
        <v/>
      </c>
      <c r="K392" s="831">
        <f>IF(L387&gt;L367,((L387-L367)/(L387-L367+2/3))^(3/2),0)</f>
        <v>0</v>
      </c>
      <c r="L392" s="901">
        <f t="shared" si="19"/>
        <v>0</v>
      </c>
      <c r="M392" s="796" t="s">
        <v>291</v>
      </c>
      <c r="N392" s="797"/>
      <c r="O392" s="799"/>
      <c r="P392" s="797"/>
    </row>
    <row r="393" spans="1:16" ht="12.75" customHeight="1" x14ac:dyDescent="0.3">
      <c r="A393" s="797"/>
      <c r="B393" s="797"/>
      <c r="C393" s="797" t="s">
        <v>1590</v>
      </c>
      <c r="D393" s="797"/>
      <c r="E393" s="797"/>
      <c r="F393" s="797"/>
      <c r="G393" s="796" t="s">
        <v>2299</v>
      </c>
      <c r="H393" s="796" t="s">
        <v>291</v>
      </c>
      <c r="I393" s="900"/>
      <c r="J393" s="792" t="str">
        <f>IF(ISBLANK(HLOOKUP(CaseName,CaseData,MATCH($G393,cases!$G$4:$G$2494,0),FALSE)),"",HLOOKUP(CaseName,CaseData,MATCH($G393,cases!$G$4:$G$2494,0),FALSE))</f>
        <v/>
      </c>
      <c r="K393" s="831">
        <f>L390+L391+L392</f>
        <v>1.9545644113470617E-3</v>
      </c>
      <c r="L393" s="901">
        <f t="shared" si="19"/>
        <v>1.9545644113470617E-3</v>
      </c>
      <c r="M393" s="796" t="s">
        <v>291</v>
      </c>
      <c r="N393" s="797"/>
      <c r="O393" s="799"/>
      <c r="P393" s="797"/>
    </row>
    <row r="394" spans="1:16" ht="12.75" customHeight="1" x14ac:dyDescent="0.3">
      <c r="A394" s="797" t="s">
        <v>1607</v>
      </c>
      <c r="B394" s="797"/>
      <c r="C394" s="797"/>
      <c r="D394" s="797"/>
      <c r="E394" s="797"/>
      <c r="F394" s="797"/>
      <c r="G394" s="796" t="s">
        <v>2300</v>
      </c>
      <c r="H394" s="796" t="s">
        <v>335</v>
      </c>
      <c r="I394" s="900"/>
      <c r="J394" s="792" t="str">
        <f>IF(ISBLANK(HLOOKUP(CaseName,CaseData,MATCH($G394,cases!$G$4:$G$2494,0),FALSE)),"",HLOOKUP(CaseName,CaseData,MATCH($G394,cases!$G$4:$G$2494,0),FALSE))</f>
        <v/>
      </c>
      <c r="K394" s="831">
        <f>((L131+L132)/L132*RAINrate.C*L137)/L23</f>
        <v>7.3989514628784045E-5</v>
      </c>
      <c r="L394" s="901">
        <f t="shared" si="19"/>
        <v>7.3989514628784045E-5</v>
      </c>
      <c r="M394" s="797" t="s">
        <v>335</v>
      </c>
      <c r="N394" s="797" t="s">
        <v>1609</v>
      </c>
      <c r="O394" s="799"/>
      <c r="P394" s="797"/>
    </row>
    <row r="395" spans="1:16" s="837" customFormat="1" ht="12.75" customHeight="1" x14ac:dyDescent="0.3">
      <c r="A395" s="841" t="s">
        <v>1610</v>
      </c>
      <c r="B395" s="841"/>
      <c r="C395" s="841"/>
      <c r="D395" s="841"/>
      <c r="E395" s="841"/>
      <c r="F395" s="841"/>
      <c r="G395" s="844" t="s">
        <v>2301</v>
      </c>
      <c r="H395" s="844" t="s">
        <v>335</v>
      </c>
      <c r="I395" s="904"/>
      <c r="J395" s="792" t="str">
        <f>IF(ISBLANK(HLOOKUP(CaseName,CaseData,MATCH($G395,cases!$G$4:$G$2494,0),FALSE)),"",HLOOKUP(CaseName,CaseData,MATCH($G395,cases!$G$4:$G$2494,0),FALSE))</f>
        <v/>
      </c>
      <c r="K395" s="845">
        <f>(L396*L19*L16)/(L5)</f>
        <v>2.0681845478294572E-7</v>
      </c>
      <c r="L395" s="905">
        <f t="shared" si="19"/>
        <v>2.0681845478294572E-7</v>
      </c>
      <c r="M395" s="844" t="s">
        <v>335</v>
      </c>
      <c r="N395" s="841"/>
      <c r="O395" s="847"/>
      <c r="P395" s="841"/>
    </row>
    <row r="396" spans="1:16" ht="12.75" customHeight="1" x14ac:dyDescent="0.3">
      <c r="A396" s="797"/>
      <c r="B396" s="797" t="s">
        <v>1612</v>
      </c>
      <c r="C396" s="797"/>
      <c r="D396" s="797"/>
      <c r="E396" s="797"/>
      <c r="F396" s="797"/>
      <c r="G396" s="796" t="s">
        <v>2302</v>
      </c>
      <c r="H396" s="796" t="s">
        <v>866</v>
      </c>
      <c r="I396" s="900"/>
      <c r="J396" s="792" t="str">
        <f>IF(ISBLANK(HLOOKUP(CaseName,CaseData,MATCH($G396,cases!$G$4:$G$2494,0),FALSE)),"",HLOOKUP(CaseName,CaseData,MATCH($G396,cases!$G$4:$G$2494,0),FALSE))</f>
        <v/>
      </c>
      <c r="K396" s="831">
        <f>1/(L397+L398)+L377</f>
        <v>1.5819953423360982E-3</v>
      </c>
      <c r="L396" s="901">
        <f t="shared" si="19"/>
        <v>1.5819953423360982E-3</v>
      </c>
      <c r="M396" s="796" t="s">
        <v>866</v>
      </c>
      <c r="N396" s="797"/>
      <c r="O396" s="799"/>
      <c r="P396" s="797"/>
    </row>
    <row r="397" spans="1:16" ht="12.75" customHeight="1" x14ac:dyDescent="0.3">
      <c r="A397" s="797"/>
      <c r="B397" s="797" t="s">
        <v>1614</v>
      </c>
      <c r="C397" s="797"/>
      <c r="D397" s="797"/>
      <c r="E397" s="797"/>
      <c r="F397" s="797"/>
      <c r="G397" s="796" t="s">
        <v>2303</v>
      </c>
      <c r="H397" s="796" t="s">
        <v>1616</v>
      </c>
      <c r="I397" s="900"/>
      <c r="J397" s="792" t="str">
        <f>IF(ISBLANK(HLOOKUP(CaseName,CaseData,MATCH($G397,cases!$G$4:$G$2494,0),FALSE)),"",HLOOKUP(CaseName,CaseData,MATCH($G397,cases!$G$4:$G$2494,0),FALSE))</f>
        <v/>
      </c>
      <c r="K397" s="831">
        <v>74</v>
      </c>
      <c r="L397" s="901">
        <f t="shared" si="19"/>
        <v>74</v>
      </c>
      <c r="M397" s="796" t="s">
        <v>1616</v>
      </c>
      <c r="N397" s="797"/>
      <c r="O397" s="799" t="s">
        <v>1617</v>
      </c>
      <c r="P397" s="797" t="s">
        <v>1618</v>
      </c>
    </row>
    <row r="398" spans="1:16" ht="12.75" customHeight="1" x14ac:dyDescent="0.3">
      <c r="A398" s="797"/>
      <c r="B398" s="797" t="s">
        <v>1619</v>
      </c>
      <c r="C398" s="797"/>
      <c r="D398" s="797"/>
      <c r="E398" s="797"/>
      <c r="F398" s="797"/>
      <c r="G398" s="796" t="s">
        <v>2304</v>
      </c>
      <c r="H398" s="796" t="s">
        <v>1616</v>
      </c>
      <c r="I398" s="900"/>
      <c r="J398" s="792" t="str">
        <f>IF(ISBLANK(HLOOKUP(CaseName,CaseData,MATCH($G398,cases!$G$4:$G$2494,0),FALSE)),"",HLOOKUP(CaseName,CaseData,MATCH($G398,cases!$G$4:$G$2494,0),FALSE))</f>
        <v/>
      </c>
      <c r="K398" s="831">
        <f>1/(L399*(L400+L401+L405))</f>
        <v>558.3513619442723</v>
      </c>
      <c r="L398" s="901">
        <f t="shared" si="19"/>
        <v>558.3513619442723</v>
      </c>
      <c r="M398" s="796" t="s">
        <v>1616</v>
      </c>
      <c r="N398" s="797"/>
      <c r="O398" s="799" t="s">
        <v>1621</v>
      </c>
      <c r="P398" s="797"/>
    </row>
    <row r="399" spans="1:16" ht="12.75" customHeight="1" x14ac:dyDescent="0.3">
      <c r="A399" s="797"/>
      <c r="B399" s="797"/>
      <c r="C399" s="797" t="s">
        <v>1622</v>
      </c>
      <c r="D399" s="797"/>
      <c r="E399" s="797"/>
      <c r="F399" s="797"/>
      <c r="G399" s="796" t="s">
        <v>2305</v>
      </c>
      <c r="H399" s="796" t="s">
        <v>866</v>
      </c>
      <c r="I399" s="900"/>
      <c r="J399" s="792" t="str">
        <f>IF(ISBLANK(HLOOKUP(CaseName,CaseData,MATCH($G399,cases!$G$4:$G$2494,0),FALSE)),"",HLOOKUP(CaseName,CaseData,MATCH($G399,cases!$G$4:$G$2494,0),FALSE))</f>
        <v/>
      </c>
      <c r="K399" s="831">
        <v>0.19</v>
      </c>
      <c r="L399" s="901">
        <f t="shared" si="19"/>
        <v>0.19</v>
      </c>
      <c r="M399" s="796" t="s">
        <v>866</v>
      </c>
      <c r="N399" s="797"/>
      <c r="O399" s="799" t="s">
        <v>1624</v>
      </c>
      <c r="P399" s="797" t="s">
        <v>1625</v>
      </c>
    </row>
    <row r="400" spans="1:16" ht="12.75" customHeight="1" x14ac:dyDescent="0.3">
      <c r="A400" s="797"/>
      <c r="B400" s="797"/>
      <c r="C400" s="797" t="s">
        <v>1584</v>
      </c>
      <c r="D400" s="797"/>
      <c r="E400" s="797"/>
      <c r="F400" s="797"/>
      <c r="G400" s="796" t="s">
        <v>2306</v>
      </c>
      <c r="H400" s="796" t="s">
        <v>291</v>
      </c>
      <c r="I400" s="900"/>
      <c r="J400" s="792" t="str">
        <f>IF(ISBLANK(HLOOKUP(CaseName,CaseData,MATCH($G400,cases!$G$4:$G$2494,0),FALSE)),"",HLOOKUP(CaseName,CaseData,MATCH($G400,cases!$G$4:$G$2494,0),FALSE))</f>
        <v/>
      </c>
      <c r="K400" s="831">
        <f>L378^(-2/3)</f>
        <v>9.4144410707051943E-3</v>
      </c>
      <c r="L400" s="901">
        <f t="shared" si="19"/>
        <v>9.4144410707051943E-3</v>
      </c>
      <c r="M400" s="796" t="s">
        <v>291</v>
      </c>
      <c r="N400" s="797"/>
      <c r="O400" s="799" t="s">
        <v>1621</v>
      </c>
      <c r="P400" s="797" t="s">
        <v>1627</v>
      </c>
    </row>
    <row r="401" spans="1:16" ht="12.75" customHeight="1" x14ac:dyDescent="0.3">
      <c r="A401" s="797"/>
      <c r="B401" s="797"/>
      <c r="C401" s="797" t="s">
        <v>1586</v>
      </c>
      <c r="D401" s="797"/>
      <c r="E401" s="797"/>
      <c r="F401" s="797"/>
      <c r="G401" s="796" t="s">
        <v>2307</v>
      </c>
      <c r="H401" s="796" t="s">
        <v>291</v>
      </c>
      <c r="I401" s="900"/>
      <c r="J401" s="792" t="str">
        <f>IF(ISBLANK(HLOOKUP(CaseName,CaseData,MATCH($G401,cases!$G$4:$G$2494,0),FALSE)),"",HLOOKUP(CaseName,CaseData,MATCH($G401,cases!$G$4:$G$2494,0),FALSE))</f>
        <v/>
      </c>
      <c r="K401" s="831">
        <f>0.3*(L404*(RadS/(RadS+L402))+(1-L404)*(RadS/(RadS+L403)))</f>
        <v>8.9368841993789489E-6</v>
      </c>
      <c r="L401" s="901">
        <f t="shared" si="19"/>
        <v>8.9368841993789489E-6</v>
      </c>
      <c r="M401" s="796" t="s">
        <v>291</v>
      </c>
      <c r="N401" s="797"/>
      <c r="O401" s="799" t="s">
        <v>1621</v>
      </c>
      <c r="P401" s="797" t="s">
        <v>1627</v>
      </c>
    </row>
    <row r="402" spans="1:16" ht="12.75" customHeight="1" x14ac:dyDescent="0.3">
      <c r="A402" s="797"/>
      <c r="B402" s="797"/>
      <c r="C402" s="797"/>
      <c r="D402" s="797" t="s">
        <v>1629</v>
      </c>
      <c r="E402" s="797"/>
      <c r="F402" s="797"/>
      <c r="G402" s="796" t="s">
        <v>2308</v>
      </c>
      <c r="H402" s="796" t="s">
        <v>813</v>
      </c>
      <c r="I402" s="900"/>
      <c r="J402" s="792" t="str">
        <f>IF(ISBLANK(HLOOKUP(CaseName,CaseData,MATCH($G402,cases!$G$4:$G$2494,0),FALSE)),"",HLOOKUP(CaseName,CaseData,MATCH($G402,cases!$G$4:$G$2494,0),FALSE))</f>
        <v/>
      </c>
      <c r="K402" s="831">
        <f>1*10^-5</f>
        <v>1.0000000000000001E-5</v>
      </c>
      <c r="L402" s="901">
        <f t="shared" ref="L402:L433" si="20">IF(ISBLANK(I402),IF(ISNUMBER(J402)=FALSE,K402,J402),I402)</f>
        <v>1.0000000000000001E-5</v>
      </c>
      <c r="M402" s="796" t="s">
        <v>813</v>
      </c>
      <c r="N402" s="797"/>
      <c r="O402" s="799" t="s">
        <v>1617</v>
      </c>
      <c r="P402" s="797" t="s">
        <v>1627</v>
      </c>
    </row>
    <row r="403" spans="1:16" ht="12.75" customHeight="1" x14ac:dyDescent="0.3">
      <c r="A403" s="797"/>
      <c r="B403" s="797"/>
      <c r="C403" s="797"/>
      <c r="D403" s="797" t="s">
        <v>1631</v>
      </c>
      <c r="E403" s="797"/>
      <c r="F403" s="797"/>
      <c r="G403" s="796" t="s">
        <v>2309</v>
      </c>
      <c r="H403" s="796" t="s">
        <v>813</v>
      </c>
      <c r="I403" s="900"/>
      <c r="J403" s="792" t="str">
        <f>IF(ISBLANK(HLOOKUP(CaseName,CaseData,MATCH($G403,cases!$G$4:$G$2494,0),FALSE)),"",HLOOKUP(CaseName,CaseData,MATCH($G403,cases!$G$4:$G$2494,0),FALSE))</f>
        <v/>
      </c>
      <c r="K403" s="831">
        <f>0.0005</f>
        <v>5.0000000000000001E-4</v>
      </c>
      <c r="L403" s="901">
        <f t="shared" si="20"/>
        <v>5.0000000000000001E-4</v>
      </c>
      <c r="M403" s="796" t="s">
        <v>813</v>
      </c>
      <c r="N403" s="797"/>
      <c r="O403" s="799" t="s">
        <v>1617</v>
      </c>
      <c r="P403" s="797" t="s">
        <v>1627</v>
      </c>
    </row>
    <row r="404" spans="1:16" ht="12.75" customHeight="1" x14ac:dyDescent="0.3">
      <c r="A404" s="797"/>
      <c r="B404" s="797"/>
      <c r="C404" s="797"/>
      <c r="D404" s="797" t="s">
        <v>1633</v>
      </c>
      <c r="E404" s="797"/>
      <c r="F404" s="797"/>
      <c r="G404" s="796" t="s">
        <v>2310</v>
      </c>
      <c r="H404" s="796" t="s">
        <v>291</v>
      </c>
      <c r="I404" s="900"/>
      <c r="J404" s="792" t="str">
        <f>IF(ISBLANK(HLOOKUP(CaseName,CaseData,MATCH($G404,cases!$G$4:$G$2494,0),FALSE)),"",HLOOKUP(CaseName,CaseData,MATCH($G404,cases!$G$4:$G$2494,0),FALSE))</f>
        <v/>
      </c>
      <c r="K404" s="831">
        <v>0.01</v>
      </c>
      <c r="L404" s="901">
        <f t="shared" si="20"/>
        <v>0.01</v>
      </c>
      <c r="M404" s="796" t="s">
        <v>291</v>
      </c>
      <c r="N404" s="797"/>
      <c r="O404" s="799" t="s">
        <v>1617</v>
      </c>
      <c r="P404" s="797" t="s">
        <v>1635</v>
      </c>
    </row>
    <row r="405" spans="1:16" ht="12.75" customHeight="1" x14ac:dyDescent="0.3">
      <c r="A405" s="797"/>
      <c r="B405" s="797"/>
      <c r="C405" s="797" t="s">
        <v>1588</v>
      </c>
      <c r="D405" s="797"/>
      <c r="E405" s="797"/>
      <c r="F405" s="797"/>
      <c r="G405" s="796" t="s">
        <v>2311</v>
      </c>
      <c r="H405" s="796" t="s">
        <v>291</v>
      </c>
      <c r="I405" s="900"/>
      <c r="J405" s="792" t="str">
        <f>IF(ISBLANK(HLOOKUP(CaseName,CaseData,MATCH($G405,cases!$G$4:$G$2494,0),FALSE)),"",HLOOKUP(CaseName,CaseData,MATCH($G405,cases!$G$4:$G$2494,0),FALSE))</f>
        <v/>
      </c>
      <c r="K405" s="831">
        <f>(L376/(L376+0.8))^2</f>
        <v>2.8691243711917464E-6</v>
      </c>
      <c r="L405" s="901">
        <f t="shared" si="20"/>
        <v>2.8691243711917464E-6</v>
      </c>
      <c r="M405" s="796" t="s">
        <v>291</v>
      </c>
      <c r="N405" s="797"/>
      <c r="O405" s="799" t="s">
        <v>1621</v>
      </c>
      <c r="P405" s="797" t="s">
        <v>1627</v>
      </c>
    </row>
    <row r="406" spans="1:16" ht="12.75" customHeight="1" x14ac:dyDescent="0.3">
      <c r="A406" s="797" t="s">
        <v>1637</v>
      </c>
      <c r="B406" s="797"/>
      <c r="C406" s="797"/>
      <c r="D406" s="797"/>
      <c r="E406" s="797"/>
      <c r="F406" s="797"/>
      <c r="G406" s="796" t="s">
        <v>2312</v>
      </c>
      <c r="H406" s="796" t="s">
        <v>335</v>
      </c>
      <c r="I406" s="900"/>
      <c r="J406" s="792" t="str">
        <f>IF(ISBLANK(HLOOKUP(CaseName,CaseData,MATCH($G406,cases!$G$4:$G$2494,0),FALSE)),"",HLOOKUP(CaseName,CaseData,MATCH($G406,cases!$G$4:$G$2494,0),FALSE))</f>
        <v/>
      </c>
      <c r="K406" s="831">
        <f>(L407*L20*L16)/(L5)</f>
        <v>4.5959656618432379E-7</v>
      </c>
      <c r="L406" s="901">
        <f t="shared" si="20"/>
        <v>4.5959656618432379E-7</v>
      </c>
      <c r="M406" s="796" t="s">
        <v>335</v>
      </c>
      <c r="N406" s="797"/>
      <c r="O406" s="799"/>
      <c r="P406" s="797"/>
    </row>
    <row r="407" spans="1:16" ht="12.75" customHeight="1" x14ac:dyDescent="0.3">
      <c r="A407" s="797"/>
      <c r="B407" s="797" t="s">
        <v>1612</v>
      </c>
      <c r="C407" s="797"/>
      <c r="D407" s="797"/>
      <c r="E407" s="797"/>
      <c r="F407" s="797"/>
      <c r="G407" s="796" t="s">
        <v>2313</v>
      </c>
      <c r="H407" s="796" t="s">
        <v>866</v>
      </c>
      <c r="I407" s="900"/>
      <c r="J407" s="792" t="str">
        <f>IF(ISBLANK(HLOOKUP(CaseName,CaseData,MATCH($G407,cases!$G$4:$G$2494,0),FALSE)),"",HLOOKUP(CaseName,CaseData,MATCH($G407,cases!$G$4:$G$2494,0),FALSE))</f>
        <v/>
      </c>
      <c r="K407" s="831">
        <f>1/(L408+L409)+L377</f>
        <v>1.5819953423360982E-3</v>
      </c>
      <c r="L407" s="901">
        <f t="shared" si="20"/>
        <v>1.5819953423360982E-3</v>
      </c>
      <c r="M407" s="796" t="s">
        <v>866</v>
      </c>
      <c r="N407" s="797"/>
      <c r="O407" s="799"/>
      <c r="P407" s="797"/>
    </row>
    <row r="408" spans="1:16" ht="12.75" customHeight="1" x14ac:dyDescent="0.3">
      <c r="A408" s="797"/>
      <c r="B408" s="797" t="s">
        <v>1614</v>
      </c>
      <c r="C408" s="797"/>
      <c r="D408" s="797"/>
      <c r="E408" s="797"/>
      <c r="F408" s="797"/>
      <c r="G408" s="796" t="s">
        <v>2314</v>
      </c>
      <c r="H408" s="796" t="s">
        <v>1616</v>
      </c>
      <c r="I408" s="900"/>
      <c r="J408" s="792" t="str">
        <f>IF(ISBLANK(HLOOKUP(CaseName,CaseData,MATCH($G408,cases!$G$4:$G$2494,0),FALSE)),"",HLOOKUP(CaseName,CaseData,MATCH($G408,cases!$G$4:$G$2494,0),FALSE))</f>
        <v/>
      </c>
      <c r="K408" s="831">
        <v>74</v>
      </c>
      <c r="L408" s="901">
        <f t="shared" si="20"/>
        <v>74</v>
      </c>
      <c r="M408" s="796" t="s">
        <v>1616</v>
      </c>
      <c r="N408" s="797"/>
      <c r="O408" s="799"/>
      <c r="P408" s="797" t="s">
        <v>1618</v>
      </c>
    </row>
    <row r="409" spans="1:16" ht="12.75" customHeight="1" x14ac:dyDescent="0.3">
      <c r="A409" s="797"/>
      <c r="B409" s="797" t="s">
        <v>1619</v>
      </c>
      <c r="C409" s="797"/>
      <c r="D409" s="797"/>
      <c r="E409" s="797"/>
      <c r="F409" s="797"/>
      <c r="G409" s="796" t="s">
        <v>2315</v>
      </c>
      <c r="H409" s="796" t="s">
        <v>1616</v>
      </c>
      <c r="I409" s="900"/>
      <c r="J409" s="792" t="str">
        <f>IF(ISBLANK(HLOOKUP(CaseName,CaseData,MATCH($G409,cases!$G$4:$G$2494,0),FALSE)),"",HLOOKUP(CaseName,CaseData,MATCH($G409,cases!$G$4:$G$2494,0),FALSE))</f>
        <v/>
      </c>
      <c r="K409" s="831">
        <f>1/(L410*(L411+L412+L416))</f>
        <v>558.3513619442723</v>
      </c>
      <c r="L409" s="901">
        <f t="shared" si="20"/>
        <v>558.3513619442723</v>
      </c>
      <c r="M409" s="796" t="s">
        <v>1616</v>
      </c>
      <c r="N409" s="797"/>
      <c r="O409" s="799"/>
      <c r="P409" s="797"/>
    </row>
    <row r="410" spans="1:16" ht="12.75" customHeight="1" x14ac:dyDescent="0.3">
      <c r="A410" s="797"/>
      <c r="B410" s="797"/>
      <c r="C410" s="797" t="s">
        <v>1622</v>
      </c>
      <c r="D410" s="797"/>
      <c r="E410" s="797"/>
      <c r="F410" s="797"/>
      <c r="G410" s="796" t="s">
        <v>2316</v>
      </c>
      <c r="H410" s="796" t="s">
        <v>866</v>
      </c>
      <c r="I410" s="900"/>
      <c r="J410" s="792" t="str">
        <f>IF(ISBLANK(HLOOKUP(CaseName,CaseData,MATCH($G410,cases!$G$4:$G$2494,0),FALSE)),"",HLOOKUP(CaseName,CaseData,MATCH($G410,cases!$G$4:$G$2494,0),FALSE))</f>
        <v/>
      </c>
      <c r="K410" s="831">
        <v>0.19</v>
      </c>
      <c r="L410" s="901">
        <f t="shared" si="20"/>
        <v>0.19</v>
      </c>
      <c r="M410" s="796" t="s">
        <v>866</v>
      </c>
      <c r="N410" s="797"/>
      <c r="O410" s="799"/>
      <c r="P410" s="797" t="s">
        <v>1625</v>
      </c>
    </row>
    <row r="411" spans="1:16" ht="12.75" customHeight="1" x14ac:dyDescent="0.3">
      <c r="A411" s="797"/>
      <c r="B411" s="797"/>
      <c r="C411" s="797" t="s">
        <v>1584</v>
      </c>
      <c r="D411" s="797"/>
      <c r="E411" s="797"/>
      <c r="F411" s="797"/>
      <c r="G411" s="796" t="s">
        <v>2317</v>
      </c>
      <c r="H411" s="796" t="s">
        <v>291</v>
      </c>
      <c r="I411" s="900"/>
      <c r="J411" s="792" t="str">
        <f>IF(ISBLANK(HLOOKUP(CaseName,CaseData,MATCH($G411,cases!$G$4:$G$2494,0),FALSE)),"",HLOOKUP(CaseName,CaseData,MATCH($G411,cases!$G$4:$G$2494,0),FALSE))</f>
        <v/>
      </c>
      <c r="K411" s="831">
        <f>L378^(-2/3)</f>
        <v>9.4144410707051943E-3</v>
      </c>
      <c r="L411" s="901">
        <f t="shared" si="20"/>
        <v>9.4144410707051943E-3</v>
      </c>
      <c r="M411" s="796" t="s">
        <v>291</v>
      </c>
      <c r="N411" s="797"/>
      <c r="O411" s="799"/>
      <c r="P411" s="797" t="s">
        <v>1627</v>
      </c>
    </row>
    <row r="412" spans="1:16" ht="12.75" customHeight="1" x14ac:dyDescent="0.3">
      <c r="A412" s="797"/>
      <c r="B412" s="797"/>
      <c r="C412" s="797" t="s">
        <v>1586</v>
      </c>
      <c r="D412" s="797"/>
      <c r="E412" s="797"/>
      <c r="F412" s="797"/>
      <c r="G412" s="796" t="s">
        <v>2318</v>
      </c>
      <c r="H412" s="796" t="s">
        <v>291</v>
      </c>
      <c r="I412" s="900"/>
      <c r="J412" s="792" t="str">
        <f>IF(ISBLANK(HLOOKUP(CaseName,CaseData,MATCH($G412,cases!$G$4:$G$2494,0),FALSE)),"",HLOOKUP(CaseName,CaseData,MATCH($G412,cases!$G$4:$G$2494,0),FALSE))</f>
        <v/>
      </c>
      <c r="K412" s="831">
        <f>0.3*(L415*(RadS/(RadS+L413))+(1-L415)*(RadS/(RadS+L414)))</f>
        <v>8.9368841993789489E-6</v>
      </c>
      <c r="L412" s="901">
        <f t="shared" si="20"/>
        <v>8.9368841993789489E-6</v>
      </c>
      <c r="M412" s="796" t="s">
        <v>291</v>
      </c>
      <c r="N412" s="797"/>
      <c r="O412" s="799"/>
      <c r="P412" s="797" t="s">
        <v>1627</v>
      </c>
    </row>
    <row r="413" spans="1:16" ht="12.75" customHeight="1" x14ac:dyDescent="0.3">
      <c r="A413" s="797"/>
      <c r="B413" s="797"/>
      <c r="C413" s="797"/>
      <c r="D413" s="797" t="s">
        <v>1629</v>
      </c>
      <c r="E413" s="797"/>
      <c r="F413" s="797"/>
      <c r="G413" s="796" t="s">
        <v>2319</v>
      </c>
      <c r="H413" s="796" t="s">
        <v>813</v>
      </c>
      <c r="I413" s="900"/>
      <c r="J413" s="792" t="str">
        <f>IF(ISBLANK(HLOOKUP(CaseName,CaseData,MATCH($G413,cases!$G$4:$G$2494,0),FALSE)),"",HLOOKUP(CaseName,CaseData,MATCH($G413,cases!$G$4:$G$2494,0),FALSE))</f>
        <v/>
      </c>
      <c r="K413" s="831">
        <f>1*10^-5</f>
        <v>1.0000000000000001E-5</v>
      </c>
      <c r="L413" s="901">
        <f t="shared" si="20"/>
        <v>1.0000000000000001E-5</v>
      </c>
      <c r="M413" s="796" t="s">
        <v>813</v>
      </c>
      <c r="N413" s="797"/>
      <c r="O413" s="799"/>
      <c r="P413" s="797" t="s">
        <v>1627</v>
      </c>
    </row>
    <row r="414" spans="1:16" ht="12.75" customHeight="1" x14ac:dyDescent="0.3">
      <c r="A414" s="797"/>
      <c r="B414" s="797"/>
      <c r="C414" s="797"/>
      <c r="D414" s="797" t="s">
        <v>1631</v>
      </c>
      <c r="E414" s="797"/>
      <c r="F414" s="797"/>
      <c r="G414" s="796" t="s">
        <v>2320</v>
      </c>
      <c r="H414" s="796" t="s">
        <v>813</v>
      </c>
      <c r="I414" s="900"/>
      <c r="J414" s="792" t="str">
        <f>IF(ISBLANK(HLOOKUP(CaseName,CaseData,MATCH($G414,cases!$G$4:$G$2494,0),FALSE)),"",HLOOKUP(CaseName,CaseData,MATCH($G414,cases!$G$4:$G$2494,0),FALSE))</f>
        <v/>
      </c>
      <c r="K414" s="831">
        <f>0.0005</f>
        <v>5.0000000000000001E-4</v>
      </c>
      <c r="L414" s="901">
        <f t="shared" si="20"/>
        <v>5.0000000000000001E-4</v>
      </c>
      <c r="M414" s="796" t="s">
        <v>813</v>
      </c>
      <c r="N414" s="797"/>
      <c r="O414" s="799"/>
      <c r="P414" s="797" t="s">
        <v>1627</v>
      </c>
    </row>
    <row r="415" spans="1:16" ht="12.75" customHeight="1" x14ac:dyDescent="0.3">
      <c r="A415" s="797"/>
      <c r="B415" s="797"/>
      <c r="C415" s="797"/>
      <c r="D415" s="797" t="s">
        <v>1633</v>
      </c>
      <c r="E415" s="797"/>
      <c r="F415" s="797"/>
      <c r="G415" s="796" t="s">
        <v>2321</v>
      </c>
      <c r="H415" s="796" t="s">
        <v>291</v>
      </c>
      <c r="I415" s="900"/>
      <c r="J415" s="792" t="str">
        <f>IF(ISBLANK(HLOOKUP(CaseName,CaseData,MATCH($G415,cases!$G$4:$G$2494,0),FALSE)),"",HLOOKUP(CaseName,CaseData,MATCH($G415,cases!$G$4:$G$2494,0),FALSE))</f>
        <v/>
      </c>
      <c r="K415" s="831">
        <v>0.01</v>
      </c>
      <c r="L415" s="901">
        <f t="shared" si="20"/>
        <v>0.01</v>
      </c>
      <c r="M415" s="796" t="s">
        <v>291</v>
      </c>
      <c r="N415" s="797"/>
      <c r="O415" s="799"/>
      <c r="P415" s="797" t="s">
        <v>1627</v>
      </c>
    </row>
    <row r="416" spans="1:16" ht="12.75" customHeight="1" x14ac:dyDescent="0.3">
      <c r="A416" s="797"/>
      <c r="B416" s="797"/>
      <c r="C416" s="797" t="s">
        <v>1588</v>
      </c>
      <c r="D416" s="797"/>
      <c r="E416" s="797"/>
      <c r="F416" s="797"/>
      <c r="G416" s="796" t="s">
        <v>2322</v>
      </c>
      <c r="H416" s="796" t="s">
        <v>291</v>
      </c>
      <c r="I416" s="900"/>
      <c r="J416" s="792" t="str">
        <f>IF(ISBLANK(HLOOKUP(CaseName,CaseData,MATCH($G416,cases!$G$4:$G$2494,0),FALSE)),"",HLOOKUP(CaseName,CaseData,MATCH($G416,cases!$G$4:$G$2494,0),FALSE))</f>
        <v/>
      </c>
      <c r="K416" s="831">
        <f>(L376/(L376+0.8))^2</f>
        <v>2.8691243711917464E-6</v>
      </c>
      <c r="L416" s="901">
        <f t="shared" si="20"/>
        <v>2.8691243711917464E-6</v>
      </c>
      <c r="M416" s="796" t="s">
        <v>291</v>
      </c>
      <c r="N416" s="797"/>
      <c r="O416" s="799"/>
      <c r="P416" s="797" t="s">
        <v>1627</v>
      </c>
    </row>
    <row r="417" spans="1:16" ht="12.75" customHeight="1" x14ac:dyDescent="0.3">
      <c r="A417" s="797" t="s">
        <v>1649</v>
      </c>
      <c r="B417" s="797"/>
      <c r="C417" s="797"/>
      <c r="D417" s="797"/>
      <c r="E417" s="797"/>
      <c r="F417" s="797"/>
      <c r="G417" s="796" t="s">
        <v>2323</v>
      </c>
      <c r="H417" s="796" t="s">
        <v>335</v>
      </c>
      <c r="I417" s="900"/>
      <c r="J417" s="792" t="str">
        <f>IF(ISBLANK(HLOOKUP(CaseName,CaseData,MATCH($G417,cases!$G$4:$G$2494,0),FALSE)),"",HLOOKUP(CaseName,CaseData,MATCH($G417,cases!$G$4:$G$2494,0),FALSE))</f>
        <v/>
      </c>
      <c r="K417" s="831">
        <f>(L418*L21*L16)/(L5)</f>
        <v>7.6599427697387289E-8</v>
      </c>
      <c r="L417" s="901">
        <f t="shared" si="20"/>
        <v>7.6599427697387289E-8</v>
      </c>
      <c r="M417" s="796" t="s">
        <v>335</v>
      </c>
      <c r="N417" s="797"/>
      <c r="O417" s="799"/>
      <c r="P417" s="797"/>
    </row>
    <row r="418" spans="1:16" ht="12.75" customHeight="1" x14ac:dyDescent="0.3">
      <c r="A418" s="797"/>
      <c r="B418" s="797" t="s">
        <v>1612</v>
      </c>
      <c r="C418" s="797"/>
      <c r="D418" s="797"/>
      <c r="E418" s="797"/>
      <c r="F418" s="797"/>
      <c r="G418" s="796" t="s">
        <v>2324</v>
      </c>
      <c r="H418" s="796" t="s">
        <v>866</v>
      </c>
      <c r="I418" s="900"/>
      <c r="J418" s="792" t="str">
        <f>IF(ISBLANK(HLOOKUP(CaseName,CaseData,MATCH($G418,cases!$G$4:$G$2494,0),FALSE)),"",HLOOKUP(CaseName,CaseData,MATCH($G418,cases!$G$4:$G$2494,0),FALSE))</f>
        <v/>
      </c>
      <c r="K418" s="831">
        <f>1/(L419+L420)+L377</f>
        <v>1.5819953423360982E-3</v>
      </c>
      <c r="L418" s="901">
        <f t="shared" si="20"/>
        <v>1.5819953423360982E-3</v>
      </c>
      <c r="M418" s="796" t="s">
        <v>866</v>
      </c>
      <c r="N418" s="797"/>
      <c r="O418" s="799"/>
      <c r="P418" s="797"/>
    </row>
    <row r="419" spans="1:16" ht="12.75" customHeight="1" x14ac:dyDescent="0.3">
      <c r="A419" s="797"/>
      <c r="B419" s="797" t="s">
        <v>1614</v>
      </c>
      <c r="C419" s="797"/>
      <c r="D419" s="797"/>
      <c r="E419" s="797"/>
      <c r="F419" s="797"/>
      <c r="G419" s="796" t="s">
        <v>2325</v>
      </c>
      <c r="H419" s="796" t="s">
        <v>1616</v>
      </c>
      <c r="I419" s="900"/>
      <c r="J419" s="792" t="str">
        <f>IF(ISBLANK(HLOOKUP(CaseName,CaseData,MATCH($G419,cases!$G$4:$G$2494,0),FALSE)),"",HLOOKUP(CaseName,CaseData,MATCH($G419,cases!$G$4:$G$2494,0),FALSE))</f>
        <v/>
      </c>
      <c r="K419" s="831">
        <v>74</v>
      </c>
      <c r="L419" s="901">
        <f t="shared" si="20"/>
        <v>74</v>
      </c>
      <c r="M419" s="796" t="s">
        <v>1616</v>
      </c>
      <c r="N419" s="797"/>
      <c r="O419" s="799"/>
      <c r="P419" s="797" t="s">
        <v>1625</v>
      </c>
    </row>
    <row r="420" spans="1:16" ht="12.75" customHeight="1" x14ac:dyDescent="0.3">
      <c r="A420" s="797"/>
      <c r="B420" s="797" t="s">
        <v>1619</v>
      </c>
      <c r="C420" s="797"/>
      <c r="D420" s="797"/>
      <c r="E420" s="797"/>
      <c r="F420" s="797"/>
      <c r="G420" s="796" t="s">
        <v>2326</v>
      </c>
      <c r="H420" s="796" t="s">
        <v>1616</v>
      </c>
      <c r="I420" s="900"/>
      <c r="J420" s="792" t="str">
        <f>IF(ISBLANK(HLOOKUP(CaseName,CaseData,MATCH($G420,cases!$G$4:$G$2494,0),FALSE)),"",HLOOKUP(CaseName,CaseData,MATCH($G420,cases!$G$4:$G$2494,0),FALSE))</f>
        <v/>
      </c>
      <c r="K420" s="831">
        <f>1/(L421*(L422+L423+L427))</f>
        <v>558.3513619442723</v>
      </c>
      <c r="L420" s="901">
        <f t="shared" si="20"/>
        <v>558.3513619442723</v>
      </c>
      <c r="M420" s="796" t="s">
        <v>1616</v>
      </c>
      <c r="N420" s="797"/>
      <c r="O420" s="799"/>
      <c r="P420" s="797"/>
    </row>
    <row r="421" spans="1:16" ht="12.75" customHeight="1" x14ac:dyDescent="0.3">
      <c r="A421" s="797"/>
      <c r="B421" s="797"/>
      <c r="C421" s="797" t="s">
        <v>1622</v>
      </c>
      <c r="D421" s="797"/>
      <c r="E421" s="797"/>
      <c r="F421" s="797"/>
      <c r="G421" s="796" t="s">
        <v>2327</v>
      </c>
      <c r="H421" s="796" t="s">
        <v>866</v>
      </c>
      <c r="I421" s="900"/>
      <c r="J421" s="792" t="str">
        <f>IF(ISBLANK(HLOOKUP(CaseName,CaseData,MATCH($G421,cases!$G$4:$G$2494,0),FALSE)),"",HLOOKUP(CaseName,CaseData,MATCH($G421,cases!$G$4:$G$2494,0),FALSE))</f>
        <v/>
      </c>
      <c r="K421" s="831">
        <v>0.19</v>
      </c>
      <c r="L421" s="901">
        <f t="shared" si="20"/>
        <v>0.19</v>
      </c>
      <c r="M421" s="796" t="s">
        <v>866</v>
      </c>
      <c r="N421" s="797"/>
      <c r="O421" s="799"/>
      <c r="P421" s="797" t="s">
        <v>1625</v>
      </c>
    </row>
    <row r="422" spans="1:16" ht="12.75" customHeight="1" x14ac:dyDescent="0.3">
      <c r="A422" s="797"/>
      <c r="B422" s="797"/>
      <c r="C422" s="797" t="s">
        <v>1584</v>
      </c>
      <c r="D422" s="797"/>
      <c r="E422" s="797"/>
      <c r="F422" s="797"/>
      <c r="G422" s="796" t="s">
        <v>2328</v>
      </c>
      <c r="H422" s="796" t="s">
        <v>291</v>
      </c>
      <c r="I422" s="900"/>
      <c r="J422" s="792" t="str">
        <f>IF(ISBLANK(HLOOKUP(CaseName,CaseData,MATCH($G422,cases!$G$4:$G$2494,0),FALSE)),"",HLOOKUP(CaseName,CaseData,MATCH($G422,cases!$G$4:$G$2494,0),FALSE))</f>
        <v/>
      </c>
      <c r="K422" s="831">
        <f>L378^(-2/3)</f>
        <v>9.4144410707051943E-3</v>
      </c>
      <c r="L422" s="901">
        <f t="shared" si="20"/>
        <v>9.4144410707051943E-3</v>
      </c>
      <c r="M422" s="796" t="s">
        <v>291</v>
      </c>
      <c r="N422" s="797"/>
      <c r="O422" s="799"/>
      <c r="P422" s="797" t="s">
        <v>1627</v>
      </c>
    </row>
    <row r="423" spans="1:16" ht="12.75" customHeight="1" x14ac:dyDescent="0.3">
      <c r="A423" s="797"/>
      <c r="B423" s="797"/>
      <c r="C423" s="797" t="s">
        <v>1586</v>
      </c>
      <c r="D423" s="797"/>
      <c r="E423" s="797"/>
      <c r="F423" s="797"/>
      <c r="G423" s="796" t="s">
        <v>2329</v>
      </c>
      <c r="H423" s="796" t="s">
        <v>291</v>
      </c>
      <c r="I423" s="900"/>
      <c r="J423" s="792" t="str">
        <f>IF(ISBLANK(HLOOKUP(CaseName,CaseData,MATCH($G423,cases!$G$4:$G$2494,0),FALSE)),"",HLOOKUP(CaseName,CaseData,MATCH($G423,cases!$G$4:$G$2494,0),FALSE))</f>
        <v/>
      </c>
      <c r="K423" s="831">
        <f>0.3*(L426*(RadS/(RadS+L424))+(1-L426)*(RadS/(RadS+L425)))</f>
        <v>8.9368841993789489E-6</v>
      </c>
      <c r="L423" s="901">
        <f t="shared" si="20"/>
        <v>8.9368841993789489E-6</v>
      </c>
      <c r="M423" s="796" t="s">
        <v>291</v>
      </c>
      <c r="N423" s="797"/>
      <c r="O423" s="799"/>
      <c r="P423" s="797" t="s">
        <v>1627</v>
      </c>
    </row>
    <row r="424" spans="1:16" ht="12.75" customHeight="1" x14ac:dyDescent="0.3">
      <c r="A424" s="797"/>
      <c r="B424" s="797"/>
      <c r="C424" s="797"/>
      <c r="D424" s="797" t="s">
        <v>1629</v>
      </c>
      <c r="E424" s="797"/>
      <c r="F424" s="797"/>
      <c r="G424" s="796" t="s">
        <v>2330</v>
      </c>
      <c r="H424" s="796" t="s">
        <v>813</v>
      </c>
      <c r="I424" s="900"/>
      <c r="J424" s="792" t="str">
        <f>IF(ISBLANK(HLOOKUP(CaseName,CaseData,MATCH($G424,cases!$G$4:$G$2494,0),FALSE)),"",HLOOKUP(CaseName,CaseData,MATCH($G424,cases!$G$4:$G$2494,0),FALSE))</f>
        <v/>
      </c>
      <c r="K424" s="831">
        <f>1*10^-5</f>
        <v>1.0000000000000001E-5</v>
      </c>
      <c r="L424" s="901">
        <f t="shared" si="20"/>
        <v>1.0000000000000001E-5</v>
      </c>
      <c r="M424" s="796" t="s">
        <v>813</v>
      </c>
      <c r="N424" s="797"/>
      <c r="O424" s="799"/>
      <c r="P424" s="797" t="s">
        <v>1627</v>
      </c>
    </row>
    <row r="425" spans="1:16" ht="12.75" customHeight="1" x14ac:dyDescent="0.3">
      <c r="A425" s="797"/>
      <c r="B425" s="797"/>
      <c r="C425" s="797"/>
      <c r="D425" s="797" t="s">
        <v>1631</v>
      </c>
      <c r="E425" s="797"/>
      <c r="F425" s="797"/>
      <c r="G425" s="796" t="s">
        <v>2331</v>
      </c>
      <c r="H425" s="796" t="s">
        <v>813</v>
      </c>
      <c r="I425" s="900"/>
      <c r="J425" s="792" t="str">
        <f>IF(ISBLANK(HLOOKUP(CaseName,CaseData,MATCH($G425,cases!$G$4:$G$2494,0),FALSE)),"",HLOOKUP(CaseName,CaseData,MATCH($G425,cases!$G$4:$G$2494,0),FALSE))</f>
        <v/>
      </c>
      <c r="K425" s="831">
        <f>0.0005</f>
        <v>5.0000000000000001E-4</v>
      </c>
      <c r="L425" s="901">
        <f t="shared" si="20"/>
        <v>5.0000000000000001E-4</v>
      </c>
      <c r="M425" s="796" t="s">
        <v>813</v>
      </c>
      <c r="N425" s="797"/>
      <c r="O425" s="799"/>
      <c r="P425" s="797" t="s">
        <v>1627</v>
      </c>
    </row>
    <row r="426" spans="1:16" ht="12.75" customHeight="1" x14ac:dyDescent="0.3">
      <c r="A426" s="797"/>
      <c r="B426" s="797"/>
      <c r="C426" s="797"/>
      <c r="D426" s="797" t="s">
        <v>1633</v>
      </c>
      <c r="E426" s="797"/>
      <c r="F426" s="797"/>
      <c r="G426" s="796" t="s">
        <v>2332</v>
      </c>
      <c r="H426" s="796" t="s">
        <v>291</v>
      </c>
      <c r="I426" s="900"/>
      <c r="J426" s="792" t="str">
        <f>IF(ISBLANK(HLOOKUP(CaseName,CaseData,MATCH($G426,cases!$G$4:$G$2494,0),FALSE)),"",HLOOKUP(CaseName,CaseData,MATCH($G426,cases!$G$4:$G$2494,0),FALSE))</f>
        <v/>
      </c>
      <c r="K426" s="831">
        <v>0.01</v>
      </c>
      <c r="L426" s="901">
        <f t="shared" si="20"/>
        <v>0.01</v>
      </c>
      <c r="M426" s="796" t="s">
        <v>291</v>
      </c>
      <c r="N426" s="797"/>
      <c r="O426" s="799"/>
      <c r="P426" s="797" t="s">
        <v>1627</v>
      </c>
    </row>
    <row r="427" spans="1:16" ht="12.75" customHeight="1" x14ac:dyDescent="0.3">
      <c r="A427" s="797"/>
      <c r="B427" s="797"/>
      <c r="C427" s="797" t="s">
        <v>1588</v>
      </c>
      <c r="D427" s="797"/>
      <c r="E427" s="797"/>
      <c r="F427" s="797"/>
      <c r="G427" s="796" t="s">
        <v>2333</v>
      </c>
      <c r="H427" s="796" t="s">
        <v>291</v>
      </c>
      <c r="I427" s="900"/>
      <c r="J427" s="792" t="str">
        <f>IF(ISBLANK(HLOOKUP(CaseName,CaseData,MATCH($G427,cases!$G$4:$G$2494,0),FALSE)),"",HLOOKUP(CaseName,CaseData,MATCH($G427,cases!$G$4:$G$2494,0),FALSE))</f>
        <v/>
      </c>
      <c r="K427" s="831">
        <f>(L376/(L376+0.8))^2</f>
        <v>2.8691243711917464E-6</v>
      </c>
      <c r="L427" s="901">
        <f t="shared" si="20"/>
        <v>2.8691243711917464E-6</v>
      </c>
      <c r="M427" s="796" t="s">
        <v>291</v>
      </c>
      <c r="N427" s="797"/>
      <c r="O427" s="799"/>
      <c r="P427" s="797" t="s">
        <v>1627</v>
      </c>
    </row>
    <row r="428" spans="1:16" ht="12.75" customHeight="1" x14ac:dyDescent="0.3">
      <c r="A428" s="797" t="s">
        <v>1661</v>
      </c>
      <c r="B428" s="797"/>
      <c r="C428" s="797"/>
      <c r="D428" s="797"/>
      <c r="E428" s="797"/>
      <c r="F428" s="797"/>
      <c r="G428" s="796" t="s">
        <v>2334</v>
      </c>
      <c r="H428" s="796" t="s">
        <v>335</v>
      </c>
      <c r="I428" s="900"/>
      <c r="J428" s="792" t="str">
        <f>IF(ISBLANK(HLOOKUP(CaseName,CaseData,MATCH($G428,cases!$G$4:$G$2494,0),FALSE)),"",HLOOKUP(CaseName,CaseData,MATCH($G428,cases!$G$4:$G$2494,0),FALSE))</f>
        <v/>
      </c>
      <c r="K428" s="831">
        <f>(L429*L19*L16)/(L5)</f>
        <v>3.5788425549224596E-8</v>
      </c>
      <c r="L428" s="901">
        <f t="shared" si="20"/>
        <v>3.5788425549224596E-8</v>
      </c>
      <c r="M428" s="796" t="s">
        <v>335</v>
      </c>
      <c r="N428" s="797"/>
      <c r="O428" s="799"/>
      <c r="P428" s="797"/>
    </row>
    <row r="429" spans="1:16" ht="12.75" customHeight="1" x14ac:dyDescent="0.3">
      <c r="A429" s="797"/>
      <c r="B429" s="797" t="s">
        <v>1612</v>
      </c>
      <c r="C429" s="797"/>
      <c r="D429" s="797"/>
      <c r="E429" s="797"/>
      <c r="F429" s="797"/>
      <c r="G429" s="796" t="s">
        <v>2335</v>
      </c>
      <c r="H429" s="796" t="s">
        <v>866</v>
      </c>
      <c r="I429" s="900"/>
      <c r="J429" s="792" t="str">
        <f>IF(ISBLANK(HLOOKUP(CaseName,CaseData,MATCH($G429,cases!$G$4:$G$2494,0),FALSE)),"",HLOOKUP(CaseName,CaseData,MATCH($G429,cases!$G$4:$G$2494,0),FALSE))</f>
        <v/>
      </c>
      <c r="K429" s="831">
        <f>1/(L397+L430)+L388</f>
        <v>2.7375275861061209E-4</v>
      </c>
      <c r="L429" s="901">
        <f t="shared" si="20"/>
        <v>2.7375275861061209E-4</v>
      </c>
      <c r="M429" s="796" t="s">
        <v>866</v>
      </c>
      <c r="N429" s="797"/>
      <c r="O429" s="799"/>
      <c r="P429" s="797"/>
    </row>
    <row r="430" spans="1:16" ht="12.75" customHeight="1" x14ac:dyDescent="0.3">
      <c r="A430" s="797"/>
      <c r="B430" s="797" t="s">
        <v>1619</v>
      </c>
      <c r="C430" s="797"/>
      <c r="D430" s="797"/>
      <c r="E430" s="797"/>
      <c r="F430" s="797"/>
      <c r="G430" s="796" t="s">
        <v>2336</v>
      </c>
      <c r="H430" s="796" t="s">
        <v>1616</v>
      </c>
      <c r="I430" s="900"/>
      <c r="J430" s="792" t="str">
        <f>IF(ISBLANK(HLOOKUP(CaseName,CaseData,MATCH($G430,cases!$G$4:$G$2494,0),FALSE)),"",HLOOKUP(CaseName,CaseData,MATCH($G430,cases!$G$4:$G$2494,0),FALSE))</f>
        <v/>
      </c>
      <c r="K430" s="831">
        <f>1/(L399*(L431+L432+L433))</f>
        <v>3599.6273278598833</v>
      </c>
      <c r="L430" s="901">
        <f t="shared" si="20"/>
        <v>3599.6273278598833</v>
      </c>
      <c r="M430" s="796" t="s">
        <v>1616</v>
      </c>
      <c r="N430" s="797"/>
      <c r="O430" s="799"/>
      <c r="P430" s="797"/>
    </row>
    <row r="431" spans="1:16" ht="12.75" customHeight="1" x14ac:dyDescent="0.3">
      <c r="A431" s="797"/>
      <c r="B431" s="797"/>
      <c r="C431" s="797" t="s">
        <v>1584</v>
      </c>
      <c r="D431" s="797"/>
      <c r="E431" s="797"/>
      <c r="F431" s="797"/>
      <c r="G431" s="796" t="s">
        <v>2337</v>
      </c>
      <c r="H431" s="796" t="s">
        <v>291</v>
      </c>
      <c r="I431" s="900"/>
      <c r="J431" s="792" t="str">
        <f>IF(ISBLANK(HLOOKUP(CaseName,CaseData,MATCH($G431,cases!$G$4:$G$2494,0),FALSE)),"",HLOOKUP(CaseName,CaseData,MATCH($G431,cases!$G$4:$G$2494,0),FALSE))</f>
        <v/>
      </c>
      <c r="K431" s="831">
        <f>L389^(-2/3)</f>
        <v>1.4024088195419206E-3</v>
      </c>
      <c r="L431" s="901">
        <f t="shared" si="20"/>
        <v>1.4024088195419206E-3</v>
      </c>
      <c r="M431" s="796" t="s">
        <v>291</v>
      </c>
      <c r="N431" s="797"/>
      <c r="O431" s="799"/>
      <c r="P431" s="797" t="s">
        <v>1627</v>
      </c>
    </row>
    <row r="432" spans="1:16" ht="12.75" customHeight="1" x14ac:dyDescent="0.3">
      <c r="A432" s="797"/>
      <c r="B432" s="797"/>
      <c r="C432" s="797" t="s">
        <v>1586</v>
      </c>
      <c r="D432" s="797"/>
      <c r="E432" s="797"/>
      <c r="F432" s="797"/>
      <c r="G432" s="796" t="s">
        <v>2338</v>
      </c>
      <c r="H432" s="796" t="s">
        <v>291</v>
      </c>
      <c r="I432" s="900"/>
      <c r="J432" s="792" t="str">
        <f>IF(ISBLANK(HLOOKUP(CaseName,CaseData,MATCH($G432,cases!$G$4:$G$2494,0),FALSE)),"",HLOOKUP(CaseName,CaseData,MATCH($G432,cases!$G$4:$G$2494,0),FALSE))</f>
        <v/>
      </c>
      <c r="K432" s="831">
        <f>0.3*(L404*(L370/(L370+L402))+(1-L404)*(L370/(L370+L403)))</f>
        <v>4.062510531885534E-5</v>
      </c>
      <c r="L432" s="901">
        <f t="shared" si="20"/>
        <v>4.062510531885534E-5</v>
      </c>
      <c r="M432" s="796" t="s">
        <v>291</v>
      </c>
      <c r="N432" s="797"/>
      <c r="O432" s="799"/>
      <c r="P432" s="797" t="s">
        <v>1627</v>
      </c>
    </row>
    <row r="433" spans="1:16" ht="12.75" customHeight="1" x14ac:dyDescent="0.3">
      <c r="A433" s="797"/>
      <c r="B433" s="797"/>
      <c r="C433" s="797" t="s">
        <v>1588</v>
      </c>
      <c r="D433" s="797"/>
      <c r="E433" s="797"/>
      <c r="F433" s="797"/>
      <c r="G433" s="796" t="s">
        <v>2339</v>
      </c>
      <c r="H433" s="796" t="s">
        <v>291</v>
      </c>
      <c r="I433" s="900"/>
      <c r="J433" s="792" t="str">
        <f>IF(ISBLANK(HLOOKUP(CaseName,CaseData,MATCH($G433,cases!$G$4:$G$2494,0),FALSE)),"",HLOOKUP(CaseName,CaseData,MATCH($G433,cases!$G$4:$G$2494,0),FALSE))</f>
        <v/>
      </c>
      <c r="K433" s="831">
        <f>(L387/(L387+0.8))^2</f>
        <v>1.9105739987804648E-5</v>
      </c>
      <c r="L433" s="901">
        <f t="shared" si="20"/>
        <v>1.9105739987804648E-5</v>
      </c>
      <c r="M433" s="796" t="s">
        <v>291</v>
      </c>
      <c r="N433" s="797"/>
      <c r="O433" s="799"/>
      <c r="P433" s="797" t="s">
        <v>1627</v>
      </c>
    </row>
    <row r="434" spans="1:16" ht="12.75" customHeight="1" x14ac:dyDescent="0.3">
      <c r="A434" s="797" t="s">
        <v>1668</v>
      </c>
      <c r="B434" s="797"/>
      <c r="C434" s="797"/>
      <c r="D434" s="797"/>
      <c r="E434" s="797"/>
      <c r="F434" s="797"/>
      <c r="G434" s="796" t="s">
        <v>2340</v>
      </c>
      <c r="H434" s="796" t="s">
        <v>335</v>
      </c>
      <c r="I434" s="900"/>
      <c r="J434" s="792" t="str">
        <f>IF(ISBLANK(HLOOKUP(CaseName,CaseData,MATCH($G434,cases!$G$4:$G$2494,0),FALSE)),"",HLOOKUP(CaseName,CaseData,MATCH($G434,cases!$G$4:$G$2494,0),FALSE))</f>
        <v/>
      </c>
      <c r="K434" s="831">
        <f>(L435*L20*L16)/(L5)</f>
        <v>7.9529834553832431E-8</v>
      </c>
      <c r="L434" s="901">
        <f t="shared" ref="L434:L465" si="21">IF(ISBLANK(I434),IF(ISNUMBER(J434)=FALSE,K434,J434),I434)</f>
        <v>7.9529834553832431E-8</v>
      </c>
      <c r="M434" s="796" t="s">
        <v>335</v>
      </c>
      <c r="N434" s="797"/>
      <c r="O434" s="799"/>
      <c r="P434" s="797"/>
    </row>
    <row r="435" spans="1:16" ht="12.75" customHeight="1" x14ac:dyDescent="0.3">
      <c r="A435" s="797"/>
      <c r="B435" s="797" t="s">
        <v>1612</v>
      </c>
      <c r="C435" s="797"/>
      <c r="D435" s="797"/>
      <c r="E435" s="797"/>
      <c r="F435" s="797"/>
      <c r="G435" s="796" t="s">
        <v>2341</v>
      </c>
      <c r="H435" s="796" t="s">
        <v>866</v>
      </c>
      <c r="I435" s="900"/>
      <c r="J435" s="792" t="str">
        <f>IF(ISBLANK(HLOOKUP(CaseName,CaseData,MATCH($G435,cases!$G$4:$G$2494,0),FALSE)),"",HLOOKUP(CaseName,CaseData,MATCH($G435,cases!$G$4:$G$2494,0),FALSE))</f>
        <v/>
      </c>
      <c r="K435" s="831">
        <f>1/(L408+L436)+L388</f>
        <v>2.7375275861061209E-4</v>
      </c>
      <c r="L435" s="901">
        <f t="shared" si="21"/>
        <v>2.7375275861061209E-4</v>
      </c>
      <c r="M435" s="796" t="s">
        <v>866</v>
      </c>
      <c r="N435" s="797"/>
      <c r="O435" s="799"/>
      <c r="P435" s="797"/>
    </row>
    <row r="436" spans="1:16" ht="12.75" customHeight="1" x14ac:dyDescent="0.3">
      <c r="A436" s="797"/>
      <c r="B436" s="797" t="s">
        <v>1619</v>
      </c>
      <c r="C436" s="797"/>
      <c r="D436" s="797"/>
      <c r="E436" s="797"/>
      <c r="F436" s="797"/>
      <c r="G436" s="796" t="s">
        <v>2342</v>
      </c>
      <c r="H436" s="796" t="s">
        <v>1616</v>
      </c>
      <c r="I436" s="900"/>
      <c r="J436" s="792" t="str">
        <f>IF(ISBLANK(HLOOKUP(CaseName,CaseData,MATCH($G436,cases!$G$4:$G$2494,0),FALSE)),"",HLOOKUP(CaseName,CaseData,MATCH($G436,cases!$G$4:$G$2494,0),FALSE))</f>
        <v/>
      </c>
      <c r="K436" s="831">
        <f>1/(L410*(L437+L438+L439))</f>
        <v>3599.6273278598833</v>
      </c>
      <c r="L436" s="901">
        <f t="shared" si="21"/>
        <v>3599.6273278598833</v>
      </c>
      <c r="M436" s="796" t="s">
        <v>1616</v>
      </c>
      <c r="N436" s="797"/>
      <c r="O436" s="799"/>
      <c r="P436" s="797"/>
    </row>
    <row r="437" spans="1:16" ht="12.75" customHeight="1" x14ac:dyDescent="0.3">
      <c r="A437" s="797"/>
      <c r="B437" s="797"/>
      <c r="C437" s="797" t="s">
        <v>1584</v>
      </c>
      <c r="D437" s="797"/>
      <c r="E437" s="797"/>
      <c r="F437" s="797"/>
      <c r="G437" s="796" t="s">
        <v>2343</v>
      </c>
      <c r="H437" s="796" t="s">
        <v>291</v>
      </c>
      <c r="I437" s="900"/>
      <c r="J437" s="792" t="str">
        <f>IF(ISBLANK(HLOOKUP(CaseName,CaseData,MATCH($G437,cases!$G$4:$G$2494,0),FALSE)),"",HLOOKUP(CaseName,CaseData,MATCH($G437,cases!$G$4:$G$2494,0),FALSE))</f>
        <v/>
      </c>
      <c r="K437" s="831">
        <f>L389^(-2/3)</f>
        <v>1.4024088195419206E-3</v>
      </c>
      <c r="L437" s="901">
        <f t="shared" si="21"/>
        <v>1.4024088195419206E-3</v>
      </c>
      <c r="M437" s="796" t="s">
        <v>291</v>
      </c>
      <c r="N437" s="797"/>
      <c r="O437" s="799"/>
      <c r="P437" s="797" t="s">
        <v>1627</v>
      </c>
    </row>
    <row r="438" spans="1:16" ht="12.75" customHeight="1" x14ac:dyDescent="0.3">
      <c r="A438" s="797"/>
      <c r="B438" s="797"/>
      <c r="C438" s="797" t="s">
        <v>1586</v>
      </c>
      <c r="D438" s="797"/>
      <c r="E438" s="797"/>
      <c r="F438" s="797"/>
      <c r="G438" s="796" t="s">
        <v>2344</v>
      </c>
      <c r="H438" s="796" t="s">
        <v>291</v>
      </c>
      <c r="I438" s="900"/>
      <c r="J438" s="792" t="str">
        <f>IF(ISBLANK(HLOOKUP(CaseName,CaseData,MATCH($G438,cases!$G$4:$G$2494,0),FALSE)),"",HLOOKUP(CaseName,CaseData,MATCH($G438,cases!$G$4:$G$2494,0),FALSE))</f>
        <v/>
      </c>
      <c r="K438" s="831">
        <f>0.3*(L415*(L370/(L370+L413))+(1-L415)*(L370/(L370+L414)))</f>
        <v>4.062510531885534E-5</v>
      </c>
      <c r="L438" s="901">
        <f t="shared" si="21"/>
        <v>4.062510531885534E-5</v>
      </c>
      <c r="M438" s="796" t="s">
        <v>291</v>
      </c>
      <c r="N438" s="797"/>
      <c r="O438" s="799"/>
      <c r="P438" s="797" t="s">
        <v>1627</v>
      </c>
    </row>
    <row r="439" spans="1:16" ht="12.75" customHeight="1" x14ac:dyDescent="0.3">
      <c r="A439" s="797"/>
      <c r="B439" s="797"/>
      <c r="C439" s="797" t="s">
        <v>1588</v>
      </c>
      <c r="D439" s="797"/>
      <c r="E439" s="797"/>
      <c r="F439" s="797"/>
      <c r="G439" s="796" t="s">
        <v>2345</v>
      </c>
      <c r="H439" s="796" t="s">
        <v>291</v>
      </c>
      <c r="I439" s="900"/>
      <c r="J439" s="792" t="str">
        <f>IF(ISBLANK(HLOOKUP(CaseName,CaseData,MATCH($G439,cases!$G$4:$G$2494,0),FALSE)),"",HLOOKUP(CaseName,CaseData,MATCH($G439,cases!$G$4:$G$2494,0),FALSE))</f>
        <v/>
      </c>
      <c r="K439" s="831">
        <f>(L387/(L387+0.8))^2</f>
        <v>1.9105739987804648E-5</v>
      </c>
      <c r="L439" s="901">
        <f t="shared" si="21"/>
        <v>1.9105739987804648E-5</v>
      </c>
      <c r="M439" s="796" t="s">
        <v>291</v>
      </c>
      <c r="N439" s="797"/>
      <c r="O439" s="799"/>
      <c r="P439" s="797" t="s">
        <v>1627</v>
      </c>
    </row>
    <row r="440" spans="1:16" ht="12.75" customHeight="1" x14ac:dyDescent="0.3">
      <c r="A440" s="797" t="s">
        <v>1675</v>
      </c>
      <c r="B440" s="797"/>
      <c r="C440" s="797"/>
      <c r="D440" s="797"/>
      <c r="E440" s="797"/>
      <c r="F440" s="797"/>
      <c r="G440" s="796" t="s">
        <v>2346</v>
      </c>
      <c r="H440" s="796" t="s">
        <v>335</v>
      </c>
      <c r="I440" s="900"/>
      <c r="J440" s="792" t="str">
        <f>IF(ISBLANK(HLOOKUP(CaseName,CaseData,MATCH($G440,cases!$G$4:$G$2494,0),FALSE)),"",HLOOKUP(CaseName,CaseData,MATCH($G440,cases!$G$4:$G$2494,0),FALSE))</f>
        <v/>
      </c>
      <c r="K440" s="831">
        <f>(L441*L21*L16)/(L5)</f>
        <v>1.3254972425638736E-8</v>
      </c>
      <c r="L440" s="901">
        <f t="shared" si="21"/>
        <v>1.3254972425638736E-8</v>
      </c>
      <c r="M440" s="796" t="s">
        <v>335</v>
      </c>
      <c r="N440" s="797"/>
      <c r="O440" s="799"/>
      <c r="P440" s="797"/>
    </row>
    <row r="441" spans="1:16" ht="12.75" customHeight="1" x14ac:dyDescent="0.3">
      <c r="A441" s="797"/>
      <c r="B441" s="797" t="s">
        <v>1612</v>
      </c>
      <c r="C441" s="797"/>
      <c r="D441" s="797"/>
      <c r="E441" s="797"/>
      <c r="F441" s="797"/>
      <c r="G441" s="796" t="s">
        <v>2347</v>
      </c>
      <c r="H441" s="796" t="s">
        <v>866</v>
      </c>
      <c r="I441" s="900"/>
      <c r="J441" s="792" t="str">
        <f>IF(ISBLANK(HLOOKUP(CaseName,CaseData,MATCH($G441,cases!$G$4:$G$2494,0),FALSE)),"",HLOOKUP(CaseName,CaseData,MATCH($G441,cases!$G$4:$G$2494,0),FALSE))</f>
        <v/>
      </c>
      <c r="K441" s="831">
        <f>1/(L419+L442)+L388</f>
        <v>2.7375275861061209E-4</v>
      </c>
      <c r="L441" s="901">
        <f t="shared" si="21"/>
        <v>2.7375275861061209E-4</v>
      </c>
      <c r="M441" s="796" t="s">
        <v>866</v>
      </c>
      <c r="N441" s="797"/>
      <c r="O441" s="799"/>
      <c r="P441" s="797"/>
    </row>
    <row r="442" spans="1:16" ht="12.75" customHeight="1" x14ac:dyDescent="0.3">
      <c r="A442" s="797"/>
      <c r="B442" s="797" t="s">
        <v>1619</v>
      </c>
      <c r="C442" s="797"/>
      <c r="D442" s="797"/>
      <c r="E442" s="797"/>
      <c r="F442" s="797"/>
      <c r="G442" s="796" t="s">
        <v>2348</v>
      </c>
      <c r="H442" s="796" t="s">
        <v>1616</v>
      </c>
      <c r="I442" s="900"/>
      <c r="J442" s="792" t="str">
        <f>IF(ISBLANK(HLOOKUP(CaseName,CaseData,MATCH($G442,cases!$G$4:$G$2494,0),FALSE)),"",HLOOKUP(CaseName,CaseData,MATCH($G442,cases!$G$4:$G$2494,0),FALSE))</f>
        <v/>
      </c>
      <c r="K442" s="831">
        <f>1/(L421*(L443+L444+L445))</f>
        <v>3599.6273278598833</v>
      </c>
      <c r="L442" s="901">
        <f t="shared" si="21"/>
        <v>3599.6273278598833</v>
      </c>
      <c r="M442" s="796" t="s">
        <v>1616</v>
      </c>
      <c r="N442" s="797"/>
      <c r="O442" s="799"/>
      <c r="P442" s="797"/>
    </row>
    <row r="443" spans="1:16" ht="12.75" customHeight="1" x14ac:dyDescent="0.3">
      <c r="A443" s="797"/>
      <c r="B443" s="797"/>
      <c r="C443" s="797" t="s">
        <v>1584</v>
      </c>
      <c r="D443" s="797"/>
      <c r="E443" s="797"/>
      <c r="F443" s="797"/>
      <c r="G443" s="796" t="s">
        <v>2349</v>
      </c>
      <c r="H443" s="796" t="s">
        <v>291</v>
      </c>
      <c r="I443" s="900"/>
      <c r="J443" s="792" t="str">
        <f>IF(ISBLANK(HLOOKUP(CaseName,CaseData,MATCH($G443,cases!$G$4:$G$2494,0),FALSE)),"",HLOOKUP(CaseName,CaseData,MATCH($G443,cases!$G$4:$G$2494,0),FALSE))</f>
        <v/>
      </c>
      <c r="K443" s="831">
        <f>L389^(-2/3)</f>
        <v>1.4024088195419206E-3</v>
      </c>
      <c r="L443" s="901">
        <f t="shared" si="21"/>
        <v>1.4024088195419206E-3</v>
      </c>
      <c r="M443" s="796" t="s">
        <v>291</v>
      </c>
      <c r="N443" s="797"/>
      <c r="O443" s="799"/>
      <c r="P443" s="797" t="s">
        <v>1627</v>
      </c>
    </row>
    <row r="444" spans="1:16" ht="12.75" customHeight="1" x14ac:dyDescent="0.3">
      <c r="A444" s="797"/>
      <c r="B444" s="797"/>
      <c r="C444" s="797" t="s">
        <v>1586</v>
      </c>
      <c r="D444" s="797"/>
      <c r="E444" s="797"/>
      <c r="F444" s="797"/>
      <c r="G444" s="796" t="s">
        <v>2350</v>
      </c>
      <c r="H444" s="796" t="s">
        <v>291</v>
      </c>
      <c r="I444" s="900"/>
      <c r="J444" s="792" t="str">
        <f>IF(ISBLANK(HLOOKUP(CaseName,CaseData,MATCH($G444,cases!$G$4:$G$2494,0),FALSE)),"",HLOOKUP(CaseName,CaseData,MATCH($G444,cases!$G$4:$G$2494,0),FALSE))</f>
        <v/>
      </c>
      <c r="K444" s="831">
        <f>0.3*(L426*(L370/(L370+L424))+(1-L426)*(L370/(L370+L425)))</f>
        <v>4.062510531885534E-5</v>
      </c>
      <c r="L444" s="901">
        <f t="shared" si="21"/>
        <v>4.062510531885534E-5</v>
      </c>
      <c r="M444" s="796" t="s">
        <v>291</v>
      </c>
      <c r="N444" s="797"/>
      <c r="O444" s="799"/>
      <c r="P444" s="797" t="s">
        <v>1627</v>
      </c>
    </row>
    <row r="445" spans="1:16" ht="12.75" customHeight="1" x14ac:dyDescent="0.3">
      <c r="A445" s="797"/>
      <c r="B445" s="797"/>
      <c r="C445" s="797" t="s">
        <v>1588</v>
      </c>
      <c r="D445" s="797"/>
      <c r="E445" s="797"/>
      <c r="F445" s="797"/>
      <c r="G445" s="796" t="s">
        <v>2351</v>
      </c>
      <c r="H445" s="796" t="s">
        <v>291</v>
      </c>
      <c r="I445" s="900"/>
      <c r="J445" s="792" t="str">
        <f>IF(ISBLANK(HLOOKUP(CaseName,CaseData,MATCH($G445,cases!$G$4:$G$2494,0),FALSE)),"",HLOOKUP(CaseName,CaseData,MATCH($G445,cases!$G$4:$G$2494,0),FALSE))</f>
        <v/>
      </c>
      <c r="K445" s="831">
        <f>(L387/(L387+0.8))^2</f>
        <v>1.9105739987804648E-5</v>
      </c>
      <c r="L445" s="901">
        <f t="shared" si="21"/>
        <v>1.9105739987804648E-5</v>
      </c>
      <c r="M445" s="796" t="s">
        <v>291</v>
      </c>
      <c r="N445" s="797"/>
      <c r="O445" s="799"/>
      <c r="P445" s="797" t="s">
        <v>1627</v>
      </c>
    </row>
    <row r="446" spans="1:16" ht="12.75" customHeight="1" x14ac:dyDescent="0.3">
      <c r="A446" s="797" t="s">
        <v>1682</v>
      </c>
      <c r="B446" s="797"/>
      <c r="C446" s="797"/>
      <c r="D446" s="797"/>
      <c r="E446" s="797"/>
      <c r="F446" s="797"/>
      <c r="G446" s="796" t="s">
        <v>2352</v>
      </c>
      <c r="H446" s="796" t="s">
        <v>335</v>
      </c>
      <c r="I446" s="900"/>
      <c r="J446" s="792" t="str">
        <f>IF(ISBLANK(HLOOKUP(CaseName,CaseData,MATCH($G446,cases!$G$4:$G$2494,0),FALSE)),"",HLOOKUP(CaseName,CaseData,MATCH($G446,cases!$G$4:$G$2494,0),FALSE))</f>
        <v/>
      </c>
      <c r="K446" s="831">
        <f>(L136*L19*L16)/(L5)</f>
        <v>1.3073265720083687E-7</v>
      </c>
      <c r="L446" s="901">
        <f t="shared" si="21"/>
        <v>1.3073265720083687E-7</v>
      </c>
      <c r="M446" s="796" t="s">
        <v>335</v>
      </c>
      <c r="N446" s="797" t="s">
        <v>2353</v>
      </c>
      <c r="O446" s="799"/>
      <c r="P446" s="797"/>
    </row>
    <row r="447" spans="1:16" ht="12.75" customHeight="1" x14ac:dyDescent="0.3">
      <c r="A447" s="797" t="s">
        <v>1685</v>
      </c>
      <c r="B447" s="797"/>
      <c r="C447" s="797"/>
      <c r="D447" s="797"/>
      <c r="E447" s="797"/>
      <c r="F447" s="797"/>
      <c r="G447" s="796" t="s">
        <v>2354</v>
      </c>
      <c r="H447" s="796" t="s">
        <v>335</v>
      </c>
      <c r="I447" s="900"/>
      <c r="J447" s="792" t="str">
        <f>IF(ISBLANK(HLOOKUP(CaseName,CaseData,MATCH($G447,cases!$G$4:$G$2494,0),FALSE)),"",HLOOKUP(CaseName,CaseData,MATCH($G447,cases!$G$4:$G$2494,0),FALSE))</f>
        <v/>
      </c>
      <c r="K447" s="831">
        <f>(L136*L20*L16)/(L5)</f>
        <v>2.9051701600185967E-7</v>
      </c>
      <c r="L447" s="901">
        <f t="shared" si="21"/>
        <v>2.9051701600185967E-7</v>
      </c>
      <c r="M447" s="796" t="s">
        <v>335</v>
      </c>
      <c r="N447" s="797" t="s">
        <v>2353</v>
      </c>
      <c r="O447" s="799"/>
      <c r="P447" s="797"/>
    </row>
    <row r="448" spans="1:16" ht="12.75" customHeight="1" x14ac:dyDescent="0.3">
      <c r="A448" s="797" t="s">
        <v>1687</v>
      </c>
      <c r="B448" s="797"/>
      <c r="C448" s="797"/>
      <c r="D448" s="797"/>
      <c r="E448" s="797"/>
      <c r="F448" s="797"/>
      <c r="G448" s="796" t="s">
        <v>2355</v>
      </c>
      <c r="H448" s="796" t="s">
        <v>335</v>
      </c>
      <c r="I448" s="900"/>
      <c r="J448" s="792" t="str">
        <f>IF(ISBLANK(HLOOKUP(CaseName,CaseData,MATCH($G448,cases!$G$4:$G$2494,0),FALSE)),"",HLOOKUP(CaseName,CaseData,MATCH($G448,cases!$G$4:$G$2494,0),FALSE))</f>
        <v/>
      </c>
      <c r="K448" s="831">
        <f>(L136*L21*L16)/(L5)</f>
        <v>4.8419502666976612E-8</v>
      </c>
      <c r="L448" s="901">
        <f t="shared" si="21"/>
        <v>4.8419502666976612E-8</v>
      </c>
      <c r="M448" s="796" t="s">
        <v>335</v>
      </c>
      <c r="N448" s="797" t="s">
        <v>2353</v>
      </c>
      <c r="O448" s="799"/>
      <c r="P448" s="797"/>
    </row>
    <row r="449" spans="1:16" ht="12.75" customHeight="1" x14ac:dyDescent="0.3">
      <c r="A449" s="797" t="s">
        <v>1689</v>
      </c>
      <c r="B449" s="797"/>
      <c r="C449" s="797"/>
      <c r="D449" s="797"/>
      <c r="E449" s="797"/>
      <c r="F449" s="797"/>
      <c r="G449" s="796" t="s">
        <v>2356</v>
      </c>
      <c r="H449" s="796" t="s">
        <v>335</v>
      </c>
      <c r="I449" s="900"/>
      <c r="J449" s="792" t="str">
        <f>IF(ISBLANK(HLOOKUP(CaseName,CaseData,MATCH($G449,cases!$G$4:$G$2494,0),FALSE)),"",HLOOKUP(CaseName,CaseData,MATCH($G449,cases!$G$4:$G$2494,0),FALSE))</f>
        <v/>
      </c>
      <c r="K449" s="831">
        <f>(L450*L17*L16)/(L5)</f>
        <v>4.8789505145745644E-9</v>
      </c>
      <c r="L449" s="901">
        <f t="shared" si="21"/>
        <v>4.8789505145745644E-9</v>
      </c>
      <c r="M449" s="796" t="s">
        <v>335</v>
      </c>
      <c r="N449" s="797"/>
      <c r="O449" s="799"/>
      <c r="P449" s="797"/>
    </row>
    <row r="450" spans="1:16" ht="12.75" customHeight="1" x14ac:dyDescent="0.3">
      <c r="A450" s="797"/>
      <c r="B450" s="797" t="s">
        <v>1612</v>
      </c>
      <c r="C450" s="797"/>
      <c r="D450" s="797"/>
      <c r="E450" s="797"/>
      <c r="F450" s="797"/>
      <c r="G450" s="796" t="s">
        <v>2357</v>
      </c>
      <c r="H450" s="796" t="s">
        <v>866</v>
      </c>
      <c r="I450" s="900"/>
      <c r="J450" s="792" t="str">
        <f>IF(ISBLANK(HLOOKUP(CaseName,CaseData,MATCH($G450,cases!$G$4:$G$2494,0),FALSE)),"",HLOOKUP(CaseName,CaseData,MATCH($G450,cases!$G$4:$G$2494,0),FALSE))</f>
        <v/>
      </c>
      <c r="K450" s="831">
        <f>1/(L451+L452)+L377</f>
        <v>4.0305664005938976E-3</v>
      </c>
      <c r="L450" s="901">
        <f t="shared" si="21"/>
        <v>4.0305664005938976E-3</v>
      </c>
      <c r="M450" s="796" t="s">
        <v>866</v>
      </c>
      <c r="N450" s="797"/>
      <c r="O450" s="799"/>
      <c r="P450" s="797"/>
    </row>
    <row r="451" spans="1:16" ht="12.75" customHeight="1" x14ac:dyDescent="0.3">
      <c r="A451" s="797"/>
      <c r="B451" s="797"/>
      <c r="C451" s="797" t="s">
        <v>1692</v>
      </c>
      <c r="D451" s="797"/>
      <c r="E451" s="797"/>
      <c r="F451" s="797"/>
      <c r="G451" s="797" t="s">
        <v>2358</v>
      </c>
      <c r="H451" s="796" t="s">
        <v>1616</v>
      </c>
      <c r="I451" s="900"/>
      <c r="J451" s="792" t="str">
        <f>IF(ISBLANK(HLOOKUP(CaseName,CaseData,MATCH($G451,cases!$G$4:$G$2494,0),FALSE)),"",HLOOKUP(CaseName,CaseData,MATCH($G451,cases!$G$4:$G$2494,0),FALSE))</f>
        <v/>
      </c>
      <c r="K451" s="831">
        <v>74</v>
      </c>
      <c r="L451" s="901">
        <f t="shared" si="21"/>
        <v>74</v>
      </c>
      <c r="M451" s="796" t="s">
        <v>1616</v>
      </c>
      <c r="N451" s="797"/>
      <c r="O451" s="799"/>
      <c r="P451" s="797" t="s">
        <v>1618</v>
      </c>
    </row>
    <row r="452" spans="1:16" ht="12.75" customHeight="1" x14ac:dyDescent="0.3">
      <c r="A452" s="797"/>
      <c r="B452" s="797"/>
      <c r="C452" s="797" t="s">
        <v>1694</v>
      </c>
      <c r="D452" s="797"/>
      <c r="E452" s="797"/>
      <c r="F452" s="797"/>
      <c r="G452" s="796" t="s">
        <v>2359</v>
      </c>
      <c r="H452" s="796" t="s">
        <v>1616</v>
      </c>
      <c r="I452" s="900"/>
      <c r="J452" s="792" t="str">
        <f>IF(ISBLANK(HLOOKUP(CaseName,CaseData,MATCH($G452,cases!$G$4:$G$2494,0),FALSE)),"",HLOOKUP(CaseName,CaseData,MATCH($G452,cases!$G$4:$G$2494,0),FALSE))</f>
        <v/>
      </c>
      <c r="K452" s="831">
        <f>1/(L453*(L454+L455))</f>
        <v>174.14078306938237</v>
      </c>
      <c r="L452" s="901">
        <f t="shared" si="21"/>
        <v>174.14078306938237</v>
      </c>
      <c r="M452" s="796" t="s">
        <v>1616</v>
      </c>
      <c r="N452" s="797"/>
      <c r="O452" s="799"/>
      <c r="P452" s="797"/>
    </row>
    <row r="453" spans="1:16" ht="12.75" customHeight="1" x14ac:dyDescent="0.3">
      <c r="A453" s="797"/>
      <c r="B453" s="797"/>
      <c r="C453" s="797" t="s">
        <v>1696</v>
      </c>
      <c r="D453" s="797"/>
      <c r="E453" s="797"/>
      <c r="F453" s="797"/>
      <c r="G453" s="796" t="s">
        <v>2360</v>
      </c>
      <c r="H453" s="796" t="s">
        <v>866</v>
      </c>
      <c r="I453" s="900"/>
      <c r="J453" s="792" t="str">
        <f>IF(ISBLANK(HLOOKUP(CaseName,CaseData,MATCH($G453,cases!$G$4:$G$2494,0),FALSE)),"",HLOOKUP(CaseName,CaseData,MATCH($G453,cases!$G$4:$G$2494,0),FALSE))</f>
        <v/>
      </c>
      <c r="K453" s="831">
        <v>0.19</v>
      </c>
      <c r="L453" s="901">
        <f t="shared" si="21"/>
        <v>0.19</v>
      </c>
      <c r="M453" s="796" t="s">
        <v>866</v>
      </c>
      <c r="N453" s="797"/>
      <c r="O453" s="799" t="s">
        <v>1624</v>
      </c>
      <c r="P453" s="797" t="s">
        <v>1625</v>
      </c>
    </row>
    <row r="454" spans="1:16" ht="12.75" customHeight="1" x14ac:dyDescent="0.3">
      <c r="A454" s="797"/>
      <c r="B454" s="797"/>
      <c r="C454" s="797"/>
      <c r="D454" s="797" t="s">
        <v>1584</v>
      </c>
      <c r="E454" s="797"/>
      <c r="F454" s="797"/>
      <c r="G454" s="796" t="s">
        <v>2361</v>
      </c>
      <c r="H454" s="796" t="s">
        <v>291</v>
      </c>
      <c r="I454" s="900"/>
      <c r="J454" s="792" t="str">
        <f>IF(ISBLANK(HLOOKUP(CaseName,CaseData,MATCH($G454,cases!$G$4:$G$2494,0),FALSE)),"",HLOOKUP(CaseName,CaseData,MATCH($G454,cases!$G$4:$G$2494,0),FALSE))</f>
        <v/>
      </c>
      <c r="K454" s="831">
        <f>L378^-(1/2)</f>
        <v>3.0223580036618181E-2</v>
      </c>
      <c r="L454" s="901">
        <f t="shared" si="21"/>
        <v>3.0223580036618181E-2</v>
      </c>
      <c r="M454" s="796" t="s">
        <v>291</v>
      </c>
      <c r="N454" s="797"/>
      <c r="O454" s="799"/>
      <c r="P454" s="797"/>
    </row>
    <row r="455" spans="1:16" ht="12.75" customHeight="1" x14ac:dyDescent="0.3">
      <c r="A455" s="797"/>
      <c r="B455" s="797"/>
      <c r="C455" s="797"/>
      <c r="D455" s="797" t="s">
        <v>1588</v>
      </c>
      <c r="E455" s="797"/>
      <c r="F455" s="797"/>
      <c r="G455" s="796" t="s">
        <v>2362</v>
      </c>
      <c r="H455" s="796" t="s">
        <v>291</v>
      </c>
      <c r="I455" s="900"/>
      <c r="J455" s="792" t="str">
        <f>IF(ISBLANK(HLOOKUP(CaseName,CaseData,MATCH($G455,cases!$G$4:$G$2494,0),FALSE)),"",HLOOKUP(CaseName,CaseData,MATCH($G455,cases!$G$4:$G$2494,0),FALSE))</f>
        <v/>
      </c>
      <c r="K455" s="831">
        <f>10^(-3/L376)</f>
        <v>0</v>
      </c>
      <c r="L455" s="901">
        <f t="shared" si="21"/>
        <v>0</v>
      </c>
      <c r="M455" s="796" t="s">
        <v>291</v>
      </c>
      <c r="N455" s="797"/>
      <c r="O455" s="799"/>
      <c r="P455" s="797"/>
    </row>
    <row r="456" spans="1:16" ht="12.75" customHeight="1" x14ac:dyDescent="0.3">
      <c r="A456" s="797" t="s">
        <v>1700</v>
      </c>
      <c r="B456" s="797"/>
      <c r="C456" s="797"/>
      <c r="D456" s="797"/>
      <c r="E456" s="797"/>
      <c r="F456" s="797"/>
      <c r="G456" s="796" t="s">
        <v>2363</v>
      </c>
      <c r="H456" s="796" t="s">
        <v>335</v>
      </c>
      <c r="I456" s="900"/>
      <c r="J456" s="792" t="str">
        <f>IF(ISBLANK(HLOOKUP(CaseName,CaseData,MATCH($G456,cases!$G$4:$G$2494,0),FALSE)),"",HLOOKUP(CaseName,CaseData,MATCH($G456,cases!$G$4:$G$2494,0),FALSE))</f>
        <v/>
      </c>
      <c r="K456" s="831">
        <f>(L457*L18*L16)/(L5)</f>
        <v>5.3668455660320195E-8</v>
      </c>
      <c r="L456" s="901">
        <f t="shared" si="21"/>
        <v>5.3668455660320195E-8</v>
      </c>
      <c r="M456" s="796" t="s">
        <v>335</v>
      </c>
      <c r="N456" s="797"/>
      <c r="O456" s="799"/>
      <c r="P456" s="797"/>
    </row>
    <row r="457" spans="1:16" ht="12.75" customHeight="1" x14ac:dyDescent="0.3">
      <c r="A457" s="797"/>
      <c r="B457" s="797" t="s">
        <v>1612</v>
      </c>
      <c r="C457" s="797"/>
      <c r="D457" s="797"/>
      <c r="E457" s="797"/>
      <c r="F457" s="797"/>
      <c r="G457" s="796" t="s">
        <v>2364</v>
      </c>
      <c r="H457" s="796" t="s">
        <v>866</v>
      </c>
      <c r="I457" s="900"/>
      <c r="J457" s="792" t="str">
        <f>IF(ISBLANK(HLOOKUP(CaseName,CaseData,MATCH($G457,cases!$G$4:$G$2494,0),FALSE)),"",HLOOKUP(CaseName,CaseData,MATCH($G457,cases!$G$4:$G$2494,0),FALSE))</f>
        <v/>
      </c>
      <c r="K457" s="831">
        <f>1/(L458+L452)+L377</f>
        <v>4.0305664005938976E-3</v>
      </c>
      <c r="L457" s="901">
        <f t="shared" si="21"/>
        <v>4.0305664005938976E-3</v>
      </c>
      <c r="M457" s="796" t="s">
        <v>866</v>
      </c>
      <c r="N457" s="797"/>
      <c r="O457" s="799"/>
      <c r="P457" s="797"/>
    </row>
    <row r="458" spans="1:16" ht="12.75" customHeight="1" x14ac:dyDescent="0.3">
      <c r="A458" s="797"/>
      <c r="B458" s="797"/>
      <c r="C458" s="797" t="s">
        <v>1703</v>
      </c>
      <c r="D458" s="797"/>
      <c r="E458" s="797"/>
      <c r="F458" s="797"/>
      <c r="G458" s="797" t="s">
        <v>2365</v>
      </c>
      <c r="H458" s="796" t="s">
        <v>1616</v>
      </c>
      <c r="I458" s="900"/>
      <c r="J458" s="792" t="str">
        <f>IF(ISBLANK(HLOOKUP(CaseName,CaseData,MATCH($G458,cases!$G$4:$G$2494,0),FALSE)),"",HLOOKUP(CaseName,CaseData,MATCH($G458,cases!$G$4:$G$2494,0),FALSE))</f>
        <v/>
      </c>
      <c r="K458" s="831">
        <v>74</v>
      </c>
      <c r="L458" s="901">
        <f t="shared" si="21"/>
        <v>74</v>
      </c>
      <c r="M458" s="796" t="s">
        <v>1616</v>
      </c>
      <c r="N458" s="797"/>
      <c r="O458" s="799" t="s">
        <v>1617</v>
      </c>
      <c r="P458" s="797" t="s">
        <v>1618</v>
      </c>
    </row>
    <row r="459" spans="1:16" ht="12.75" customHeight="1" x14ac:dyDescent="0.3">
      <c r="A459" s="797" t="s">
        <v>1705</v>
      </c>
      <c r="B459" s="797"/>
      <c r="C459" s="797"/>
      <c r="D459" s="797"/>
      <c r="E459" s="797"/>
      <c r="F459" s="797"/>
      <c r="G459" s="796" t="s">
        <v>2366</v>
      </c>
      <c r="H459" s="796" t="s">
        <v>335</v>
      </c>
      <c r="I459" s="900"/>
      <c r="J459" s="792" t="str">
        <f>IF(ISBLANK(HLOOKUP(CaseName,CaseData,MATCH($G459,cases!$G$4:$G$2494,0),FALSE)),"",HLOOKUP(CaseName,CaseData,MATCH($G459,cases!$G$4:$G$2494,0),FALSE))</f>
        <v/>
      </c>
      <c r="K459" s="831">
        <f>(L460*L22*L16)/(L5)</f>
        <v>1.6688199832010293E-6</v>
      </c>
      <c r="L459" s="901">
        <f t="shared" si="21"/>
        <v>1.6688199832010293E-6</v>
      </c>
      <c r="M459" s="796" t="s">
        <v>335</v>
      </c>
      <c r="N459" s="797"/>
      <c r="O459" s="799"/>
      <c r="P459" s="797"/>
    </row>
    <row r="460" spans="1:16" ht="12.75" customHeight="1" x14ac:dyDescent="0.3">
      <c r="A460" s="797"/>
      <c r="B460" s="797" t="s">
        <v>1612</v>
      </c>
      <c r="C460" s="797"/>
      <c r="D460" s="797"/>
      <c r="E460" s="797"/>
      <c r="F460" s="797"/>
      <c r="G460" s="796" t="s">
        <v>2367</v>
      </c>
      <c r="H460" s="796" t="s">
        <v>866</v>
      </c>
      <c r="I460" s="900"/>
      <c r="J460" s="792" t="str">
        <f>IF(ISBLANK(HLOOKUP(CaseName,CaseData,MATCH($G460,cases!$G$4:$G$2494,0),FALSE)),"",HLOOKUP(CaseName,CaseData,MATCH($G460,cases!$G$4:$G$2494,0),FALSE))</f>
        <v/>
      </c>
      <c r="K460" s="831">
        <f>1/(L461+L452)+L377</f>
        <v>3.2353682086772887E-3</v>
      </c>
      <c r="L460" s="901">
        <f t="shared" si="21"/>
        <v>3.2353682086772887E-3</v>
      </c>
      <c r="M460" s="796" t="s">
        <v>866</v>
      </c>
      <c r="N460" s="797"/>
      <c r="O460" s="799"/>
      <c r="P460" s="797"/>
    </row>
    <row r="461" spans="1:16" ht="12.75" customHeight="1" x14ac:dyDescent="0.3">
      <c r="A461" s="797"/>
      <c r="B461" s="797"/>
      <c r="C461" s="797" t="s">
        <v>1708</v>
      </c>
      <c r="D461" s="797"/>
      <c r="E461" s="797"/>
      <c r="F461" s="797"/>
      <c r="G461" s="797" t="s">
        <v>2368</v>
      </c>
      <c r="H461" s="796" t="s">
        <v>1616</v>
      </c>
      <c r="I461" s="900"/>
      <c r="J461" s="792" t="str">
        <f>IF(ISBLANK(HLOOKUP(CaseName,CaseData,MATCH($G461,cases!$G$4:$G$2494,0),FALSE)),"",HLOOKUP(CaseName,CaseData,MATCH($G461,cases!$G$4:$G$2494,0),FALSE))</f>
        <v/>
      </c>
      <c r="K461" s="831">
        <v>135</v>
      </c>
      <c r="L461" s="901">
        <f t="shared" si="21"/>
        <v>135</v>
      </c>
      <c r="M461" s="796" t="s">
        <v>1616</v>
      </c>
      <c r="N461" s="797"/>
      <c r="O461" s="799" t="s">
        <v>1617</v>
      </c>
      <c r="P461" s="797" t="s">
        <v>1618</v>
      </c>
    </row>
    <row r="462" spans="1:16" ht="12.75" customHeight="1" x14ac:dyDescent="0.3">
      <c r="A462" s="797" t="s">
        <v>1710</v>
      </c>
      <c r="B462" s="797"/>
      <c r="C462" s="797"/>
      <c r="D462" s="797"/>
      <c r="E462" s="797"/>
      <c r="F462" s="797"/>
      <c r="G462" s="797" t="s">
        <v>2369</v>
      </c>
      <c r="H462" s="796" t="s">
        <v>335</v>
      </c>
      <c r="I462" s="900"/>
      <c r="J462" s="792" t="str">
        <f>IF(ISBLANK(HLOOKUP(CaseName,CaseData,MATCH($G462,cases!$G$4:$G$2494,0),FALSE)),"",HLOOKUP(CaseName,CaseData,MATCH($G462,cases!$G$4:$G$2494,0),FALSE))</f>
        <v/>
      </c>
      <c r="K462" s="831">
        <f>L463*L17*L16/L5</f>
        <v>1.5144900997160945E-9</v>
      </c>
      <c r="L462" s="901">
        <f t="shared" si="21"/>
        <v>1.5144900997160945E-9</v>
      </c>
      <c r="M462" s="796" t="s">
        <v>335</v>
      </c>
      <c r="N462" s="797"/>
      <c r="O462" s="799"/>
      <c r="P462" s="797"/>
    </row>
    <row r="463" spans="1:16" ht="12.75" customHeight="1" x14ac:dyDescent="0.3">
      <c r="A463" s="797"/>
      <c r="B463" s="797" t="s">
        <v>1612</v>
      </c>
      <c r="C463" s="797"/>
      <c r="D463" s="797"/>
      <c r="E463" s="797"/>
      <c r="F463" s="797"/>
      <c r="G463" s="796" t="s">
        <v>2370</v>
      </c>
      <c r="H463" s="796" t="s">
        <v>866</v>
      </c>
      <c r="I463" s="900"/>
      <c r="J463" s="792" t="str">
        <f>IF(ISBLANK(HLOOKUP(CaseName,CaseData,MATCH($G463,cases!$G$4:$G$2494,0),FALSE)),"",HLOOKUP(CaseName,CaseData,MATCH($G463,cases!$G$4:$G$2494,0),FALSE))</f>
        <v/>
      </c>
      <c r="K463" s="831">
        <f>1/($L$451+L464)+$L$388</f>
        <v>1.2511405663396182E-3</v>
      </c>
      <c r="L463" s="901">
        <f t="shared" si="21"/>
        <v>1.2511405663396182E-3</v>
      </c>
      <c r="M463" s="796" t="s">
        <v>866</v>
      </c>
      <c r="N463" s="797"/>
      <c r="O463" s="799"/>
      <c r="P463" s="797"/>
    </row>
    <row r="464" spans="1:16" ht="12.75" customHeight="1" x14ac:dyDescent="0.3">
      <c r="A464" s="797"/>
      <c r="B464" s="797"/>
      <c r="C464" s="797" t="s">
        <v>1694</v>
      </c>
      <c r="D464" s="797"/>
      <c r="E464" s="797"/>
      <c r="F464" s="797"/>
      <c r="G464" s="796" t="s">
        <v>2371</v>
      </c>
      <c r="H464" s="796" t="s">
        <v>1616</v>
      </c>
      <c r="I464" s="900"/>
      <c r="J464" s="792" t="str">
        <f>IF(ISBLANK(HLOOKUP(CaseName,CaseData,MATCH($G464,cases!$G$4:$G$2494,0),FALSE)),"",HLOOKUP(CaseName,CaseData,MATCH($G464,cases!$G$4:$G$2494,0),FALSE))</f>
        <v/>
      </c>
      <c r="K464" s="831">
        <f>1/(L453*(L465+L466))</f>
        <v>726.25715379339636</v>
      </c>
      <c r="L464" s="901">
        <f t="shared" si="21"/>
        <v>726.25715379339636</v>
      </c>
      <c r="M464" s="796" t="s">
        <v>1616</v>
      </c>
      <c r="N464" s="797"/>
      <c r="O464" s="797"/>
      <c r="P464" s="799"/>
    </row>
    <row r="465" spans="1:16" ht="12.75" customHeight="1" x14ac:dyDescent="0.3">
      <c r="A465" s="797"/>
      <c r="B465" s="797"/>
      <c r="C465" s="797"/>
      <c r="D465" s="797" t="s">
        <v>1584</v>
      </c>
      <c r="E465" s="797"/>
      <c r="F465" s="797"/>
      <c r="G465" s="796" t="s">
        <v>2372</v>
      </c>
      <c r="H465" s="796" t="s">
        <v>291</v>
      </c>
      <c r="I465" s="900"/>
      <c r="J465" s="792" t="str">
        <f>IF(ISBLANK(HLOOKUP(CaseName,CaseData,MATCH($G465,cases!$G$4:$G$2494,0),FALSE)),"",HLOOKUP(CaseName,CaseData,MATCH($G465,cases!$G$4:$G$2494,0),FALSE))</f>
        <v/>
      </c>
      <c r="K465" s="831">
        <f>L389^-(1/2)</f>
        <v>7.2469618608866611E-3</v>
      </c>
      <c r="L465" s="901">
        <f t="shared" si="21"/>
        <v>7.2469618608866611E-3</v>
      </c>
      <c r="M465" s="796" t="s">
        <v>291</v>
      </c>
      <c r="N465" s="797"/>
      <c r="O465" s="797"/>
      <c r="P465" s="799"/>
    </row>
    <row r="466" spans="1:16" ht="12.75" customHeight="1" x14ac:dyDescent="0.3">
      <c r="A466" s="797"/>
      <c r="B466" s="797"/>
      <c r="C466" s="797"/>
      <c r="D466" s="797" t="s">
        <v>1588</v>
      </c>
      <c r="E466" s="797"/>
      <c r="F466" s="797"/>
      <c r="G466" s="796" t="s">
        <v>2373</v>
      </c>
      <c r="H466" s="796" t="s">
        <v>291</v>
      </c>
      <c r="I466" s="900"/>
      <c r="J466" s="792" t="str">
        <f>IF(ISBLANK(HLOOKUP(CaseName,CaseData,MATCH($G466,cases!$G$4:$G$2494,0),FALSE)),"",HLOOKUP(CaseName,CaseData,MATCH($G466,cases!$G$4:$G$2494,0),FALSE))</f>
        <v/>
      </c>
      <c r="K466" s="831">
        <f>10^(-3/L387)</f>
        <v>0</v>
      </c>
      <c r="L466" s="901">
        <f t="shared" ref="L466:L497" si="22">IF(ISBLANK(I466),IF(ISNUMBER(J466)=FALSE,K466,J466),I466)</f>
        <v>0</v>
      </c>
      <c r="M466" s="796" t="s">
        <v>291</v>
      </c>
      <c r="N466" s="797"/>
      <c r="O466" s="797"/>
      <c r="P466" s="799"/>
    </row>
    <row r="467" spans="1:16" ht="12.75" customHeight="1" x14ac:dyDescent="0.3">
      <c r="A467" s="797" t="s">
        <v>1717</v>
      </c>
      <c r="B467" s="797"/>
      <c r="C467" s="797"/>
      <c r="D467" s="797"/>
      <c r="E467" s="797"/>
      <c r="F467" s="797"/>
      <c r="G467" s="797" t="s">
        <v>2374</v>
      </c>
      <c r="H467" s="796" t="s">
        <v>335</v>
      </c>
      <c r="I467" s="900"/>
      <c r="J467" s="792" t="str">
        <f>IF(ISBLANK(HLOOKUP(CaseName,CaseData,MATCH($G467,cases!$G$4:$G$2494,0),FALSE)),"",HLOOKUP(CaseName,CaseData,MATCH($G467,cases!$G$4:$G$2494,0),FALSE))</f>
        <v/>
      </c>
      <c r="K467" s="831">
        <f>L468*L18*L16/L5</f>
        <v>1.6659391096877037E-8</v>
      </c>
      <c r="L467" s="901">
        <f t="shared" si="22"/>
        <v>1.6659391096877037E-8</v>
      </c>
      <c r="M467" s="796" t="s">
        <v>335</v>
      </c>
      <c r="N467" s="797"/>
      <c r="O467" s="799"/>
      <c r="P467" s="797"/>
    </row>
    <row r="468" spans="1:16" ht="12.75" customHeight="1" x14ac:dyDescent="0.3">
      <c r="A468" s="797"/>
      <c r="B468" s="797" t="s">
        <v>1612</v>
      </c>
      <c r="C468" s="797"/>
      <c r="D468" s="797"/>
      <c r="E468" s="797"/>
      <c r="F468" s="797"/>
      <c r="G468" s="796" t="s">
        <v>2375</v>
      </c>
      <c r="H468" s="796" t="s">
        <v>866</v>
      </c>
      <c r="I468" s="900"/>
      <c r="J468" s="792" t="str">
        <f>IF(ISBLANK(HLOOKUP(CaseName,CaseData,MATCH($G468,cases!$G$4:$G$2494,0),FALSE)),"",HLOOKUP(CaseName,CaseData,MATCH($G468,cases!$G$4:$G$2494,0),FALSE))</f>
        <v/>
      </c>
      <c r="K468" s="831">
        <f>1/(L458+L464)+L388</f>
        <v>1.2511405663396182E-3</v>
      </c>
      <c r="L468" s="901">
        <f t="shared" si="22"/>
        <v>1.2511405663396182E-3</v>
      </c>
      <c r="M468" s="796" t="s">
        <v>866</v>
      </c>
      <c r="N468" s="797"/>
      <c r="O468" s="799"/>
      <c r="P468" s="797"/>
    </row>
    <row r="469" spans="1:16" ht="12.75" customHeight="1" x14ac:dyDescent="0.3">
      <c r="A469" s="797" t="s">
        <v>1720</v>
      </c>
      <c r="B469" s="797"/>
      <c r="C469" s="797"/>
      <c r="D469" s="797"/>
      <c r="E469" s="797"/>
      <c r="F469" s="797"/>
      <c r="G469" s="797" t="s">
        <v>2376</v>
      </c>
      <c r="H469" s="796" t="s">
        <v>335</v>
      </c>
      <c r="I469" s="900"/>
      <c r="J469" s="792" t="str">
        <f>IF(ISBLANK(HLOOKUP(CaseName,CaseData,MATCH($G469,cases!$G$4:$G$2494,0),FALSE)),"",HLOOKUP(CaseName,CaseData,MATCH($G469,cases!$G$4:$G$2494,0),FALSE))</f>
        <v/>
      </c>
      <c r="K469" s="831">
        <f>L470*L22*L16/L5</f>
        <v>5.9969359590094142E-7</v>
      </c>
      <c r="L469" s="901">
        <f t="shared" si="22"/>
        <v>5.9969359590094142E-7</v>
      </c>
      <c r="M469" s="796" t="s">
        <v>335</v>
      </c>
      <c r="N469" s="797"/>
      <c r="O469" s="799"/>
      <c r="P469" s="797"/>
    </row>
    <row r="470" spans="1:16" ht="12.75" customHeight="1" x14ac:dyDescent="0.3">
      <c r="A470" s="797"/>
      <c r="B470" s="797" t="s">
        <v>1612</v>
      </c>
      <c r="C470" s="797"/>
      <c r="D470" s="797"/>
      <c r="E470" s="797"/>
      <c r="F470" s="797"/>
      <c r="G470" s="796" t="s">
        <v>2377</v>
      </c>
      <c r="H470" s="796" t="s">
        <v>866</v>
      </c>
      <c r="I470" s="900"/>
      <c r="J470" s="792" t="str">
        <f>IF(ISBLANK(HLOOKUP(CaseName,CaseData,MATCH($G470,cases!$G$4:$G$2494,0),FALSE)),"",HLOOKUP(CaseName,CaseData,MATCH($G470,cases!$G$4:$G$2494,0),FALSE))</f>
        <v/>
      </c>
      <c r="K470" s="831">
        <f>1/(L461+L464)+L388</f>
        <v>1.162635643542355E-3</v>
      </c>
      <c r="L470" s="901">
        <f t="shared" si="22"/>
        <v>1.162635643542355E-3</v>
      </c>
      <c r="M470" s="796" t="s">
        <v>866</v>
      </c>
      <c r="N470" s="797"/>
      <c r="O470" s="799"/>
      <c r="P470" s="797"/>
    </row>
    <row r="471" spans="1:16" ht="12.75" customHeight="1" x14ac:dyDescent="0.3">
      <c r="A471" s="797" t="s">
        <v>1723</v>
      </c>
      <c r="B471" s="797"/>
      <c r="C471" s="797"/>
      <c r="D471" s="797"/>
      <c r="E471" s="797"/>
      <c r="F471" s="797"/>
      <c r="G471" s="797" t="s">
        <v>2378</v>
      </c>
      <c r="H471" s="796" t="s">
        <v>335</v>
      </c>
      <c r="I471" s="900"/>
      <c r="J471" s="792" t="str">
        <f>IF(ISBLANK(HLOOKUP(CaseName,CaseData,MATCH($G471,cases!$G$4:$G$2494,0),FALSE)),"",HLOOKUP(CaseName,CaseData,MATCH($G471,cases!$G$4:$G$2494,0),FALSE))</f>
        <v/>
      </c>
      <c r="K471" s="831">
        <f>(L136*L17*L16)/L5</f>
        <v>1.2104875666744156E-9</v>
      </c>
      <c r="L471" s="901">
        <f t="shared" si="22"/>
        <v>1.2104875666744156E-9</v>
      </c>
      <c r="M471" s="796" t="s">
        <v>335</v>
      </c>
      <c r="N471" s="797"/>
      <c r="O471" s="799"/>
      <c r="P471" s="797"/>
    </row>
    <row r="472" spans="1:16" ht="12.75" customHeight="1" x14ac:dyDescent="0.3">
      <c r="A472" s="797" t="s">
        <v>1725</v>
      </c>
      <c r="B472" s="797"/>
      <c r="C472" s="797"/>
      <c r="D472" s="797"/>
      <c r="E472" s="797"/>
      <c r="F472" s="797"/>
      <c r="G472" s="797" t="s">
        <v>2379</v>
      </c>
      <c r="H472" s="796" t="s">
        <v>335</v>
      </c>
      <c r="I472" s="900"/>
      <c r="J472" s="792" t="str">
        <f>IF(ISBLANK(HLOOKUP(CaseName,CaseData,MATCH($G472,cases!$G$4:$G$2494,0),FALSE)),"",HLOOKUP(CaseName,CaseData,MATCH($G472,cases!$G$4:$G$2494,0),FALSE))</f>
        <v/>
      </c>
      <c r="K472" s="831">
        <f>(L136*L18*L16)/L5</f>
        <v>1.3315363233418569E-8</v>
      </c>
      <c r="L472" s="901">
        <f t="shared" si="22"/>
        <v>1.3315363233418569E-8</v>
      </c>
      <c r="M472" s="796" t="s">
        <v>335</v>
      </c>
      <c r="N472" s="797"/>
      <c r="O472" s="799"/>
      <c r="P472" s="797"/>
    </row>
    <row r="473" spans="1:16" ht="12.75" customHeight="1" x14ac:dyDescent="0.3">
      <c r="A473" s="797" t="s">
        <v>1727</v>
      </c>
      <c r="B473" s="797"/>
      <c r="C473" s="797"/>
      <c r="D473" s="797"/>
      <c r="E473" s="797"/>
      <c r="F473" s="797"/>
      <c r="G473" s="797" t="s">
        <v>2380</v>
      </c>
      <c r="H473" s="796" t="s">
        <v>335</v>
      </c>
      <c r="I473" s="900"/>
      <c r="J473" s="792" t="str">
        <f>IF(ISBLANK(HLOOKUP(CaseName,CaseData,MATCH($G473,cases!$G$4:$G$2494,0),FALSE)),"",HLOOKUP(CaseName,CaseData,MATCH($G473,cases!$G$4:$G$2494,0),FALSE))</f>
        <v/>
      </c>
      <c r="K473" s="831">
        <f>(L136*L22*L16)/L5</f>
        <v>5.1580527333032397E-7</v>
      </c>
      <c r="L473" s="901">
        <f t="shared" si="22"/>
        <v>5.1580527333032397E-7</v>
      </c>
      <c r="M473" s="796" t="s">
        <v>335</v>
      </c>
      <c r="N473" s="797"/>
      <c r="O473" s="799"/>
      <c r="P473" s="797"/>
    </row>
    <row r="474" spans="1:16" s="837" customFormat="1" ht="12.75" customHeight="1" x14ac:dyDescent="0.3">
      <c r="A474" s="841" t="s">
        <v>1729</v>
      </c>
      <c r="B474" s="841"/>
      <c r="C474" s="841"/>
      <c r="D474" s="841"/>
      <c r="E474" s="841"/>
      <c r="F474" s="841"/>
      <c r="G474" s="844" t="s">
        <v>2381</v>
      </c>
      <c r="H474" s="844" t="s">
        <v>335</v>
      </c>
      <c r="I474" s="904"/>
      <c r="J474" s="792" t="str">
        <f>IF(ISBLANK(HLOOKUP(CaseName,CaseData,MATCH($G474,cases!$G$4:$G$2494,0),FALSE)),"",HLOOKUP(CaseName,CaseData,MATCH($G474,cases!$G$4:$G$2494,0),FALSE))</f>
        <v/>
      </c>
      <c r="K474" s="845">
        <f>(RAINrate.C*L19*L16)/(L6)</f>
        <v>9.6728458524211268E-6</v>
      </c>
      <c r="L474" s="905">
        <f t="shared" si="22"/>
        <v>9.6728458524211268E-6</v>
      </c>
      <c r="M474" s="844" t="s">
        <v>335</v>
      </c>
      <c r="N474" s="841"/>
      <c r="O474" s="847"/>
      <c r="P474" s="841"/>
    </row>
    <row r="475" spans="1:16" ht="12" customHeight="1" x14ac:dyDescent="0.3">
      <c r="A475" s="797" t="s">
        <v>1732</v>
      </c>
      <c r="B475" s="797"/>
      <c r="C475" s="797"/>
      <c r="D475" s="797"/>
      <c r="E475" s="797"/>
      <c r="F475" s="797"/>
      <c r="G475" s="796" t="s">
        <v>2382</v>
      </c>
      <c r="H475" s="796" t="s">
        <v>335</v>
      </c>
      <c r="I475" s="900"/>
      <c r="J475" s="792" t="str">
        <f>IF(ISBLANK(HLOOKUP(CaseName,CaseData,MATCH($G475,cases!$G$4:$G$2494,0),FALSE)),"",HLOOKUP(CaseName,CaseData,MATCH($G475,cases!$G$4:$G$2494,0),FALSE))</f>
        <v/>
      </c>
      <c r="K475" s="831">
        <f>(RAINrate.C*L20*L16)/L6</f>
        <v>2.1495213005380281E-5</v>
      </c>
      <c r="L475" s="901">
        <f t="shared" si="22"/>
        <v>2.1495213005380281E-5</v>
      </c>
      <c r="M475" s="796" t="s">
        <v>335</v>
      </c>
      <c r="N475" s="797"/>
      <c r="O475" s="799"/>
      <c r="P475" s="797"/>
    </row>
    <row r="476" spans="1:16" ht="12.75" customHeight="1" x14ac:dyDescent="0.3">
      <c r="A476" s="797" t="s">
        <v>1734</v>
      </c>
      <c r="B476" s="797"/>
      <c r="C476" s="797"/>
      <c r="D476" s="797"/>
      <c r="E476" s="797"/>
      <c r="F476" s="797"/>
      <c r="G476" s="796" t="s">
        <v>2383</v>
      </c>
      <c r="H476" s="796" t="s">
        <v>335</v>
      </c>
      <c r="I476" s="900"/>
      <c r="J476" s="792" t="str">
        <f>IF(ISBLANK(HLOOKUP(CaseName,CaseData,MATCH($G476,cases!$G$4:$G$2494,0),FALSE)),"",HLOOKUP(CaseName,CaseData,MATCH($G476,cases!$G$4:$G$2494,0),FALSE))</f>
        <v/>
      </c>
      <c r="K476" s="831">
        <f>(RAINrate.C*L21*L16)/(L6)</f>
        <v>3.5825355008967127E-6</v>
      </c>
      <c r="L476" s="901">
        <f t="shared" si="22"/>
        <v>3.5825355008967127E-6</v>
      </c>
      <c r="M476" s="796" t="s">
        <v>335</v>
      </c>
      <c r="N476" s="797"/>
      <c r="O476" s="799"/>
      <c r="P476" s="797"/>
    </row>
    <row r="477" spans="1:16" ht="12.75" customHeight="1" x14ac:dyDescent="0.3">
      <c r="A477" s="797" t="s">
        <v>1736</v>
      </c>
      <c r="B477" s="797"/>
      <c r="C477" s="797"/>
      <c r="D477" s="797"/>
      <c r="E477" s="797"/>
      <c r="F477" s="797"/>
      <c r="G477" s="796" t="s">
        <v>2384</v>
      </c>
      <c r="H477" s="796" t="s">
        <v>335</v>
      </c>
      <c r="I477" s="900"/>
      <c r="J477" s="792" t="str">
        <f>IF(ISBLANK(HLOOKUP(CaseName,CaseData,MATCH($G477,cases!$G$4:$G$2494,0),FALSE)),"",HLOOKUP(CaseName,CaseData,MATCH($G477,cases!$G$4:$G$2494,0),FALSE))</f>
        <v/>
      </c>
      <c r="K477" s="831">
        <f>(RAINrate.C*L19*L16)/(L6)</f>
        <v>9.6728458524211268E-6</v>
      </c>
      <c r="L477" s="901">
        <f t="shared" si="22"/>
        <v>9.6728458524211268E-6</v>
      </c>
      <c r="M477" s="796" t="s">
        <v>335</v>
      </c>
      <c r="N477" s="797"/>
      <c r="O477" s="799"/>
      <c r="P477" s="797"/>
    </row>
    <row r="478" spans="1:16" ht="12.75" customHeight="1" x14ac:dyDescent="0.3">
      <c r="A478" s="797" t="s">
        <v>1738</v>
      </c>
      <c r="B478" s="797"/>
      <c r="C478" s="797"/>
      <c r="D478" s="797"/>
      <c r="E478" s="797"/>
      <c r="F478" s="797"/>
      <c r="G478" s="796" t="s">
        <v>2385</v>
      </c>
      <c r="H478" s="796" t="s">
        <v>335</v>
      </c>
      <c r="I478" s="900"/>
      <c r="J478" s="792" t="str">
        <f>IF(ISBLANK(HLOOKUP(CaseName,CaseData,MATCH($G478,cases!$G$4:$G$2494,0),FALSE)),"",HLOOKUP(CaseName,CaseData,MATCH($G478,cases!$G$4:$G$2494,0),FALSE))</f>
        <v/>
      </c>
      <c r="K478" s="831">
        <f>(RAINrate.C*L20*L16)/L6</f>
        <v>2.1495213005380281E-5</v>
      </c>
      <c r="L478" s="901">
        <f t="shared" si="22"/>
        <v>2.1495213005380281E-5</v>
      </c>
      <c r="M478" s="796" t="s">
        <v>335</v>
      </c>
      <c r="N478" s="797"/>
      <c r="O478" s="799"/>
      <c r="P478" s="797"/>
    </row>
    <row r="479" spans="1:16" ht="12.75" customHeight="1" x14ac:dyDescent="0.3">
      <c r="A479" s="797" t="s">
        <v>1740</v>
      </c>
      <c r="B479" s="797"/>
      <c r="C479" s="797"/>
      <c r="D479" s="797"/>
      <c r="E479" s="797"/>
      <c r="F479" s="797"/>
      <c r="G479" s="796" t="s">
        <v>2386</v>
      </c>
      <c r="H479" s="796" t="s">
        <v>335</v>
      </c>
      <c r="I479" s="900"/>
      <c r="J479" s="792" t="str">
        <f>IF(ISBLANK(HLOOKUP(CaseName,CaseData,MATCH($G479,cases!$G$4:$G$2494,0),FALSE)),"",HLOOKUP(CaseName,CaseData,MATCH($G479,cases!$G$4:$G$2494,0),FALSE))</f>
        <v/>
      </c>
      <c r="K479" s="831">
        <f>(RAINrate.C*L21*L16)/(L6)</f>
        <v>3.5825355008967127E-6</v>
      </c>
      <c r="L479" s="901">
        <f t="shared" si="22"/>
        <v>3.5825355008967127E-6</v>
      </c>
      <c r="M479" s="796" t="s">
        <v>335</v>
      </c>
      <c r="N479" s="797"/>
      <c r="O479" s="799"/>
      <c r="P479" s="797"/>
    </row>
    <row r="480" spans="1:16" ht="12.75" customHeight="1" x14ac:dyDescent="0.3">
      <c r="A480" s="797" t="s">
        <v>1742</v>
      </c>
      <c r="B480" s="797"/>
      <c r="C480" s="797"/>
      <c r="D480" s="797"/>
      <c r="E480" s="797"/>
      <c r="F480" s="797"/>
      <c r="G480" s="796" t="s">
        <v>2387</v>
      </c>
      <c r="H480" s="796" t="s">
        <v>335</v>
      </c>
      <c r="I480" s="900"/>
      <c r="J480" s="792" t="str">
        <f>IF(ISBLANK(HLOOKUP(CaseName,CaseData,MATCH($G480,cases!$G$4:$G$2494,0),FALSE)),"",HLOOKUP(CaseName,CaseData,MATCH($G480,cases!$G$4:$G$2494,0),FALSE))</f>
        <v/>
      </c>
      <c r="K480" s="831">
        <f>(RAINrate.C*L19*L16)/(L6)</f>
        <v>9.6728458524211268E-6</v>
      </c>
      <c r="L480" s="901">
        <f t="shared" si="22"/>
        <v>9.6728458524211268E-6</v>
      </c>
      <c r="M480" s="796" t="s">
        <v>335</v>
      </c>
      <c r="N480" s="797"/>
      <c r="O480" s="799"/>
      <c r="P480" s="797"/>
    </row>
    <row r="481" spans="1:21" ht="12.75" customHeight="1" x14ac:dyDescent="0.3">
      <c r="A481" s="797" t="s">
        <v>1744</v>
      </c>
      <c r="B481" s="797"/>
      <c r="C481" s="797"/>
      <c r="D481" s="797"/>
      <c r="E481" s="797"/>
      <c r="F481" s="797"/>
      <c r="G481" s="796" t="s">
        <v>2388</v>
      </c>
      <c r="H481" s="796" t="s">
        <v>335</v>
      </c>
      <c r="I481" s="900"/>
      <c r="J481" s="792" t="str">
        <f>IF(ISBLANK(HLOOKUP(CaseName,CaseData,MATCH($G481,cases!$G$4:$G$2494,0),FALSE)),"",HLOOKUP(CaseName,CaseData,MATCH($G481,cases!$G$4:$G$2494,0),FALSE))</f>
        <v/>
      </c>
      <c r="K481" s="831">
        <f>(RAINrate.C*L20*L16)/(L6)</f>
        <v>2.1495213005380281E-5</v>
      </c>
      <c r="L481" s="901">
        <f t="shared" si="22"/>
        <v>2.1495213005380281E-5</v>
      </c>
      <c r="M481" s="796" t="s">
        <v>335</v>
      </c>
      <c r="N481" s="797"/>
      <c r="O481" s="799"/>
      <c r="P481" s="797"/>
    </row>
    <row r="482" spans="1:21" ht="12.75" customHeight="1" x14ac:dyDescent="0.3">
      <c r="A482" s="797" t="s">
        <v>1746</v>
      </c>
      <c r="B482" s="797"/>
      <c r="C482" s="797"/>
      <c r="D482" s="797"/>
      <c r="E482" s="797"/>
      <c r="F482" s="797"/>
      <c r="G482" s="796" t="s">
        <v>2389</v>
      </c>
      <c r="H482" s="796" t="s">
        <v>335</v>
      </c>
      <c r="I482" s="900"/>
      <c r="J482" s="792" t="str">
        <f>IF(ISBLANK(HLOOKUP(CaseName,CaseData,MATCH($G482,cases!$G$4:$G$2494,0),FALSE)),"",HLOOKUP(CaseName,CaseData,MATCH($G482,cases!$G$4:$G$2494,0),FALSE))</f>
        <v/>
      </c>
      <c r="K482" s="831">
        <f>(RAINrate.C*L21*L16)/L6</f>
        <v>3.5825355008967127E-6</v>
      </c>
      <c r="L482" s="901">
        <f t="shared" si="22"/>
        <v>3.5825355008967127E-6</v>
      </c>
      <c r="M482" s="796" t="s">
        <v>335</v>
      </c>
      <c r="N482" s="797"/>
      <c r="O482" s="799"/>
      <c r="P482" s="797"/>
    </row>
    <row r="483" spans="1:21" ht="12.75" customHeight="1" x14ac:dyDescent="0.3">
      <c r="A483" s="797" t="s">
        <v>1748</v>
      </c>
      <c r="B483" s="797"/>
      <c r="C483" s="797"/>
      <c r="D483" s="797"/>
      <c r="E483" s="797"/>
      <c r="F483" s="797"/>
      <c r="G483" s="796" t="s">
        <v>2390</v>
      </c>
      <c r="H483" s="796" t="s">
        <v>335</v>
      </c>
      <c r="I483" s="900"/>
      <c r="J483" s="792" t="str">
        <f>IF(ISBLANK(HLOOKUP(CaseName,CaseData,MATCH($G483,cases!$G$4:$G$2494,0),FALSE)),"",HLOOKUP(CaseName,CaseData,MATCH($G483,cases!$G$4:$G$2494,0),FALSE))</f>
        <v/>
      </c>
      <c r="K483" s="831">
        <f>(RAINrate.C*L17*L16)/(L6)</f>
        <v>8.9563387522417847E-8</v>
      </c>
      <c r="L483" s="901">
        <f t="shared" si="22"/>
        <v>8.9563387522417847E-8</v>
      </c>
      <c r="M483" s="796" t="s">
        <v>335</v>
      </c>
      <c r="N483" s="797"/>
      <c r="O483" s="799"/>
      <c r="P483" s="797"/>
    </row>
    <row r="484" spans="1:21" ht="12.75" customHeight="1" x14ac:dyDescent="0.3">
      <c r="A484" s="797" t="s">
        <v>1750</v>
      </c>
      <c r="B484" s="797"/>
      <c r="C484" s="797"/>
      <c r="D484" s="797"/>
      <c r="E484" s="797"/>
      <c r="F484" s="797"/>
      <c r="G484" s="796" t="s">
        <v>2391</v>
      </c>
      <c r="H484" s="796" t="s">
        <v>335</v>
      </c>
      <c r="I484" s="900"/>
      <c r="J484" s="792" t="str">
        <f>IF(ISBLANK(HLOOKUP(CaseName,CaseData,MATCH($G484,cases!$G$4:$G$2494,0),FALSE)),"",HLOOKUP(CaseName,CaseData,MATCH($G484,cases!$G$4:$G$2494,0),FALSE))</f>
        <v/>
      </c>
      <c r="K484" s="831">
        <f>(RAINrate.C*L18*L16)/(L6)</f>
        <v>9.8519726274659594E-7</v>
      </c>
      <c r="L484" s="901">
        <f t="shared" si="22"/>
        <v>9.8519726274659594E-7</v>
      </c>
      <c r="M484" s="796" t="s">
        <v>335</v>
      </c>
      <c r="N484" s="797"/>
      <c r="O484" s="799"/>
      <c r="P484" s="797"/>
    </row>
    <row r="485" spans="1:21" ht="12.75" customHeight="1" x14ac:dyDescent="0.3">
      <c r="A485" s="797" t="s">
        <v>1752</v>
      </c>
      <c r="B485" s="797"/>
      <c r="C485" s="797"/>
      <c r="D485" s="797"/>
      <c r="E485" s="797"/>
      <c r="F485" s="797"/>
      <c r="G485" s="796" t="s">
        <v>2392</v>
      </c>
      <c r="H485" s="796" t="s">
        <v>335</v>
      </c>
      <c r="I485" s="900"/>
      <c r="J485" s="792" t="str">
        <f>IF(ISBLANK(HLOOKUP(CaseName,CaseData,MATCH($G485,cases!$G$4:$G$2494,0),FALSE)),"",HLOOKUP(CaseName,CaseData,MATCH($G485,cases!$G$4:$G$2494,0),FALSE))</f>
        <v/>
      </c>
      <c r="K485" s="831">
        <f>(RAINrate.C*L22*L16)/(L6)</f>
        <v>3.8164181816677947E-5</v>
      </c>
      <c r="L485" s="901">
        <f t="shared" si="22"/>
        <v>3.8164181816677947E-5</v>
      </c>
      <c r="M485" s="796" t="s">
        <v>335</v>
      </c>
      <c r="N485" s="797"/>
      <c r="O485" s="799"/>
      <c r="P485" s="797"/>
    </row>
    <row r="486" spans="1:21" ht="12.75" customHeight="1" x14ac:dyDescent="0.3">
      <c r="A486" s="797" t="s">
        <v>1754</v>
      </c>
      <c r="B486" s="797"/>
      <c r="C486" s="797"/>
      <c r="D486" s="797"/>
      <c r="E486" s="797"/>
      <c r="F486" s="797"/>
      <c r="G486" s="796" t="s">
        <v>2393</v>
      </c>
      <c r="H486" s="796" t="s">
        <v>335</v>
      </c>
      <c r="I486" s="900"/>
      <c r="J486" s="792" t="str">
        <f>IF(ISBLANK(HLOOKUP(CaseName,CaseData,MATCH($G486,cases!$G$4:$G$2494,0),FALSE)),"",HLOOKUP(CaseName,CaseData,MATCH($G486,cases!$G$4:$G$2494,0),FALSE))</f>
        <v/>
      </c>
      <c r="K486" s="831">
        <f>(RAINrate.C*L17*L16)/(L6)</f>
        <v>8.9563387522417847E-8</v>
      </c>
      <c r="L486" s="901">
        <f t="shared" si="22"/>
        <v>8.9563387522417847E-8</v>
      </c>
      <c r="M486" s="796" t="s">
        <v>335</v>
      </c>
      <c r="N486" s="797"/>
      <c r="O486" s="799"/>
      <c r="P486" s="797"/>
    </row>
    <row r="487" spans="1:21" ht="12.75" customHeight="1" x14ac:dyDescent="0.3">
      <c r="A487" s="797" t="s">
        <v>1756</v>
      </c>
      <c r="B487" s="797"/>
      <c r="C487" s="797"/>
      <c r="D487" s="797"/>
      <c r="E487" s="797"/>
      <c r="F487" s="797"/>
      <c r="G487" s="796" t="s">
        <v>2394</v>
      </c>
      <c r="H487" s="796" t="s">
        <v>335</v>
      </c>
      <c r="I487" s="900"/>
      <c r="J487" s="792" t="str">
        <f>IF(ISBLANK(HLOOKUP(CaseName,CaseData,MATCH($G487,cases!$G$4:$G$2494,0),FALSE)),"",HLOOKUP(CaseName,CaseData,MATCH($G487,cases!$G$4:$G$2494,0),FALSE))</f>
        <v/>
      </c>
      <c r="K487" s="831">
        <f>(RAINrate.C*L18*L16)/(L6)</f>
        <v>9.8519726274659594E-7</v>
      </c>
      <c r="L487" s="901">
        <f t="shared" si="22"/>
        <v>9.8519726274659594E-7</v>
      </c>
      <c r="M487" s="796" t="s">
        <v>335</v>
      </c>
      <c r="N487" s="797"/>
      <c r="O487" s="799"/>
      <c r="P487" s="797"/>
    </row>
    <row r="488" spans="1:21" ht="12.75" customHeight="1" x14ac:dyDescent="0.3">
      <c r="A488" s="797" t="s">
        <v>1758</v>
      </c>
      <c r="B488" s="797"/>
      <c r="C488" s="797"/>
      <c r="D488" s="797"/>
      <c r="E488" s="797"/>
      <c r="F488" s="797"/>
      <c r="G488" s="796" t="s">
        <v>2395</v>
      </c>
      <c r="H488" s="796" t="s">
        <v>335</v>
      </c>
      <c r="I488" s="900"/>
      <c r="J488" s="792" t="str">
        <f>IF(ISBLANK(HLOOKUP(CaseName,CaseData,MATCH($G488,cases!$G$4:$G$2494,0),FALSE)),"",HLOOKUP(CaseName,CaseData,MATCH($G488,cases!$G$4:$G$2494,0),FALSE))</f>
        <v/>
      </c>
      <c r="K488" s="831">
        <f>(RAINrate.C*L22*L16)/(L6)</f>
        <v>3.8164181816677947E-5</v>
      </c>
      <c r="L488" s="901">
        <f t="shared" si="22"/>
        <v>3.8164181816677947E-5</v>
      </c>
      <c r="M488" s="796" t="s">
        <v>335</v>
      </c>
      <c r="N488" s="797"/>
      <c r="O488" s="799"/>
      <c r="P488" s="797"/>
    </row>
    <row r="489" spans="1:21" ht="12.75" customHeight="1" x14ac:dyDescent="0.3">
      <c r="A489" s="797" t="s">
        <v>1760</v>
      </c>
      <c r="B489" s="797"/>
      <c r="C489" s="797"/>
      <c r="D489" s="797"/>
      <c r="E489" s="797"/>
      <c r="F489" s="797"/>
      <c r="G489" s="796" t="s">
        <v>2396</v>
      </c>
      <c r="H489" s="796" t="s">
        <v>335</v>
      </c>
      <c r="I489" s="900"/>
      <c r="J489" s="792" t="str">
        <f>IF(ISBLANK(HLOOKUP(CaseName,CaseData,MATCH($G489,cases!$G$4:$G$2494,0),FALSE)),"",HLOOKUP(CaseName,CaseData,MATCH($G489,cases!$G$4:$G$2494,0),FALSE))</f>
        <v/>
      </c>
      <c r="K489" s="831">
        <f>(RAINrate.C*L17*L16)/(L6)</f>
        <v>8.9563387522417847E-8</v>
      </c>
      <c r="L489" s="901">
        <f t="shared" si="22"/>
        <v>8.9563387522417847E-8</v>
      </c>
      <c r="M489" s="796" t="s">
        <v>335</v>
      </c>
      <c r="N489" s="797"/>
      <c r="O489" s="799"/>
      <c r="P489" s="797"/>
    </row>
    <row r="490" spans="1:21" ht="12.75" customHeight="1" x14ac:dyDescent="0.3">
      <c r="A490" s="797" t="s">
        <v>1762</v>
      </c>
      <c r="B490" s="797"/>
      <c r="C490" s="797"/>
      <c r="D490" s="797"/>
      <c r="E490" s="797"/>
      <c r="F490" s="797"/>
      <c r="G490" s="796" t="s">
        <v>2397</v>
      </c>
      <c r="H490" s="796" t="s">
        <v>335</v>
      </c>
      <c r="I490" s="900"/>
      <c r="J490" s="792" t="str">
        <f>IF(ISBLANK(HLOOKUP(CaseName,CaseData,MATCH($G490,cases!$G$4:$G$2494,0),FALSE)),"",HLOOKUP(CaseName,CaseData,MATCH($G490,cases!$G$4:$G$2494,0),FALSE))</f>
        <v/>
      </c>
      <c r="K490" s="831">
        <f>(RAINrate.C*L18*L16)/(L6)</f>
        <v>9.8519726274659594E-7</v>
      </c>
      <c r="L490" s="901">
        <f t="shared" si="22"/>
        <v>9.8519726274659594E-7</v>
      </c>
      <c r="M490" s="796" t="s">
        <v>335</v>
      </c>
      <c r="N490" s="797"/>
      <c r="O490" s="799"/>
      <c r="P490" s="797"/>
    </row>
    <row r="491" spans="1:21" ht="12.75" customHeight="1" x14ac:dyDescent="0.3">
      <c r="A491" s="797" t="s">
        <v>1764</v>
      </c>
      <c r="B491" s="797"/>
      <c r="C491" s="797"/>
      <c r="D491" s="797"/>
      <c r="E491" s="797"/>
      <c r="F491" s="797"/>
      <c r="G491" s="796" t="s">
        <v>2398</v>
      </c>
      <c r="H491" s="796" t="s">
        <v>335</v>
      </c>
      <c r="I491" s="900"/>
      <c r="J491" s="792" t="str">
        <f>IF(ISBLANK(HLOOKUP(CaseName,CaseData,MATCH($G491,cases!$G$4:$G$2494,0),FALSE)),"",HLOOKUP(CaseName,CaseData,MATCH($G491,cases!$G$4:$G$2494,0),FALSE))</f>
        <v/>
      </c>
      <c r="K491" s="831">
        <f>(RAINrate.C*L22*L16)/(L6)</f>
        <v>3.8164181816677947E-5</v>
      </c>
      <c r="L491" s="901">
        <f t="shared" si="22"/>
        <v>3.8164181816677947E-5</v>
      </c>
      <c r="M491" s="796" t="s">
        <v>335</v>
      </c>
      <c r="N491" s="797"/>
      <c r="O491" s="799"/>
      <c r="P491" s="797"/>
    </row>
    <row r="492" spans="1:21" s="837" customFormat="1" ht="12.75" customHeight="1" x14ac:dyDescent="0.3">
      <c r="A492" s="841" t="s">
        <v>1766</v>
      </c>
      <c r="B492" s="841"/>
      <c r="C492" s="841"/>
      <c r="D492" s="841"/>
      <c r="E492" s="841"/>
      <c r="F492" s="841"/>
      <c r="G492" s="844" t="s">
        <v>2399</v>
      </c>
      <c r="H492" s="844" t="s">
        <v>335</v>
      </c>
      <c r="I492" s="904"/>
      <c r="J492" s="792" t="str">
        <f>IF(ISBLANK(HLOOKUP(CaseName,CaseData,MATCH($G492,cases!$G$4:$G$2494,0),FALSE)),"",HLOOKUP(CaseName,CaseData,MATCH($G492,cases!$G$4:$G$2494,0),FALSE))</f>
        <v/>
      </c>
      <c r="K492" s="845">
        <f>IF((SetVelS.w*L17*L16)/(L7)&gt;0,(SetVelS.w*L17*L16)/(L7),0)</f>
        <v>7.0316966067864297E-12</v>
      </c>
      <c r="L492" s="905">
        <f t="shared" si="22"/>
        <v>7.0316966067864297E-12</v>
      </c>
      <c r="M492" s="844" t="s">
        <v>335</v>
      </c>
      <c r="N492" s="797"/>
      <c r="O492" s="907"/>
      <c r="P492" s="797"/>
      <c r="Q492" s="778"/>
      <c r="R492" s="778"/>
      <c r="S492" s="778"/>
      <c r="T492" s="778"/>
      <c r="U492" s="778"/>
    </row>
    <row r="493" spans="1:21" ht="12.75" customHeight="1" x14ac:dyDescent="0.3">
      <c r="A493" s="797" t="s">
        <v>1768</v>
      </c>
      <c r="B493" s="797"/>
      <c r="C493" s="797"/>
      <c r="D493" s="797"/>
      <c r="E493" s="797"/>
      <c r="F493" s="797"/>
      <c r="G493" s="796" t="s">
        <v>2400</v>
      </c>
      <c r="H493" s="796" t="s">
        <v>335</v>
      </c>
      <c r="I493" s="900"/>
      <c r="J493" s="792" t="str">
        <f>IF(ISBLANK(HLOOKUP(CaseName,CaseData,MATCH($G493,cases!$G$4:$G$2494,0),FALSE)),"",HLOOKUP(CaseName,CaseData,MATCH($G493,cases!$G$4:$G$2494,0),FALSE))</f>
        <v/>
      </c>
      <c r="K493" s="831">
        <f>IF((SetVelS.w*L18*L16)/(L8)&gt;0,(SetVelS.w*L18*L16)/(L8),0)</f>
        <v>2.3438988689288094E-10</v>
      </c>
      <c r="L493" s="901">
        <f t="shared" si="22"/>
        <v>2.3438988689288094E-10</v>
      </c>
      <c r="M493" s="796" t="s">
        <v>335</v>
      </c>
      <c r="N493" s="797"/>
      <c r="O493" s="907"/>
      <c r="P493" s="797"/>
    </row>
    <row r="494" spans="1:21" ht="12.75" customHeight="1" x14ac:dyDescent="0.3">
      <c r="A494" s="797" t="s">
        <v>1770</v>
      </c>
      <c r="B494" s="797"/>
      <c r="C494" s="797"/>
      <c r="D494" s="797"/>
      <c r="E494" s="797"/>
      <c r="F494" s="797"/>
      <c r="G494" s="796" t="s">
        <v>2401</v>
      </c>
      <c r="H494" s="796" t="s">
        <v>335</v>
      </c>
      <c r="I494" s="900"/>
      <c r="J494" s="792" t="str">
        <f>IF(ISBLANK(HLOOKUP(CaseName,CaseData,MATCH($G494,cases!$G$4:$G$2494,0),FALSE)),"",HLOOKUP(CaseName,CaseData,MATCH($G494,cases!$G$4:$G$2494,0),FALSE))</f>
        <v/>
      </c>
      <c r="K494" s="831">
        <f>IF((SetVelS.w*L22*L16)/(L9)&gt;0,(SetVelS.w*L22*L16)/(L9),0)</f>
        <v>3.5158483033932141E-12</v>
      </c>
      <c r="L494" s="901">
        <f t="shared" si="22"/>
        <v>3.5158483033932141E-12</v>
      </c>
      <c r="M494" s="796" t="s">
        <v>335</v>
      </c>
      <c r="N494" s="797"/>
      <c r="O494" s="907"/>
      <c r="P494" s="797"/>
    </row>
    <row r="495" spans="1:21" ht="12.75" customHeight="1" x14ac:dyDescent="0.3">
      <c r="A495" s="797" t="s">
        <v>1772</v>
      </c>
      <c r="B495" s="797"/>
      <c r="C495" s="797"/>
      <c r="D495" s="797"/>
      <c r="E495" s="797"/>
      <c r="F495" s="797"/>
      <c r="G495" s="796" t="s">
        <v>2402</v>
      </c>
      <c r="H495" s="796" t="s">
        <v>335</v>
      </c>
      <c r="I495" s="900"/>
      <c r="J495" s="792" t="str">
        <f>IF(ISBLANK(HLOOKUP(CaseName,CaseData,MATCH($G495,cases!$G$4:$G$2494,0),FALSE)),"",HLOOKUP(CaseName,CaseData,MATCH($G495,cases!$G$4:$G$2494,0),FALSE))</f>
        <v/>
      </c>
      <c r="K495" s="831">
        <f>IF((SetVelA.w*L17*L16)/(L7)&gt;0,(SetVelA.w*L17*L16)/(L7),0)</f>
        <v>4.9092029860631698E-10</v>
      </c>
      <c r="L495" s="901">
        <f t="shared" si="22"/>
        <v>4.9092029860631698E-10</v>
      </c>
      <c r="M495" s="796" t="s">
        <v>335</v>
      </c>
      <c r="N495" s="797"/>
      <c r="O495" s="907"/>
      <c r="P495" s="797"/>
    </row>
    <row r="496" spans="1:21" ht="12.75" customHeight="1" x14ac:dyDescent="0.3">
      <c r="A496" s="797" t="s">
        <v>1774</v>
      </c>
      <c r="B496" s="797"/>
      <c r="C496" s="797"/>
      <c r="D496" s="797"/>
      <c r="E496" s="797"/>
      <c r="F496" s="797"/>
      <c r="G496" s="796" t="s">
        <v>2403</v>
      </c>
      <c r="H496" s="796" t="s">
        <v>335</v>
      </c>
      <c r="I496" s="900"/>
      <c r="J496" s="792" t="str">
        <f>IF(ISBLANK(HLOOKUP(CaseName,CaseData,MATCH($G496,cases!$G$4:$G$2494,0),FALSE)),"",HLOOKUP(CaseName,CaseData,MATCH($G496,cases!$G$4:$G$2494,0),FALSE))</f>
        <v/>
      </c>
      <c r="K496" s="831">
        <f>IF((SetVelA.w*L18*L16)/(L8)&gt;0,(SetVelA.w*L18*L16)/(L8),0)</f>
        <v>1.6364009953543896E-8</v>
      </c>
      <c r="L496" s="901">
        <f t="shared" si="22"/>
        <v>1.6364009953543896E-8</v>
      </c>
      <c r="M496" s="796" t="s">
        <v>335</v>
      </c>
      <c r="N496" s="797"/>
      <c r="O496" s="907"/>
      <c r="P496" s="797"/>
    </row>
    <row r="497" spans="1:21" ht="12.75" customHeight="1" x14ac:dyDescent="0.3">
      <c r="A497" s="797" t="s">
        <v>1776</v>
      </c>
      <c r="B497" s="797"/>
      <c r="C497" s="797"/>
      <c r="D497" s="797"/>
      <c r="E497" s="797"/>
      <c r="F497" s="797"/>
      <c r="G497" s="796" t="s">
        <v>2404</v>
      </c>
      <c r="H497" s="796" t="s">
        <v>335</v>
      </c>
      <c r="I497" s="900"/>
      <c r="J497" s="792" t="str">
        <f>IF(ISBLANK(HLOOKUP(CaseName,CaseData,MATCH($G497,cases!$G$4:$G$2494,0),FALSE)),"",HLOOKUP(CaseName,CaseData,MATCH($G497,cases!$G$4:$G$2494,0),FALSE))</f>
        <v/>
      </c>
      <c r="K497" s="831">
        <f>IF((SetVelA.w*L22*L16)/(L9)&gt;0,(SetVelA.w*L22*L16)/(L9),0)</f>
        <v>2.4546014930315844E-10</v>
      </c>
      <c r="L497" s="901">
        <f t="shared" si="22"/>
        <v>2.4546014930315844E-10</v>
      </c>
      <c r="M497" s="796" t="s">
        <v>335</v>
      </c>
      <c r="N497" s="797"/>
      <c r="O497" s="907"/>
      <c r="P497" s="797"/>
    </row>
    <row r="498" spans="1:21" ht="12.75" customHeight="1" x14ac:dyDescent="0.3">
      <c r="A498" s="797" t="s">
        <v>1778</v>
      </c>
      <c r="B498" s="797"/>
      <c r="C498" s="797"/>
      <c r="D498" s="797"/>
      <c r="E498" s="797"/>
      <c r="F498" s="797"/>
      <c r="G498" s="796" t="s">
        <v>2405</v>
      </c>
      <c r="H498" s="796" t="s">
        <v>335</v>
      </c>
      <c r="I498" s="900"/>
      <c r="J498" s="792" t="str">
        <f>IF(ISBLANK(HLOOKUP(CaseName,CaseData,MATCH($G498,cases!$G$4:$G$2494,0),FALSE)),"",HLOOKUP(CaseName,CaseData,MATCH($G498,cases!$G$4:$G$2494,0),FALSE))</f>
        <v/>
      </c>
      <c r="K498" s="831">
        <f>IF((SetVelP.w*L17*L16)/L7&gt;0,(SetVelP.w*L17*L16)/L7,0)</f>
        <v>2.9410421142483869E-7</v>
      </c>
      <c r="L498" s="901">
        <f t="shared" ref="L498:L527" si="23">IF(ISBLANK(I498),IF(ISNUMBER(J498)=FALSE,K498,J498),I498)</f>
        <v>2.9410421142483869E-7</v>
      </c>
      <c r="M498" s="796" t="s">
        <v>335</v>
      </c>
      <c r="N498" s="797"/>
      <c r="O498" s="907"/>
      <c r="P498" s="797"/>
    </row>
    <row r="499" spans="1:21" ht="12.75" customHeight="1" x14ac:dyDescent="0.3">
      <c r="A499" s="797" t="s">
        <v>1780</v>
      </c>
      <c r="B499" s="797"/>
      <c r="C499" s="797"/>
      <c r="D499" s="797"/>
      <c r="E499" s="797"/>
      <c r="F499" s="797"/>
      <c r="G499" s="796" t="s">
        <v>2406</v>
      </c>
      <c r="H499" s="796" t="s">
        <v>335</v>
      </c>
      <c r="I499" s="900"/>
      <c r="J499" s="792" t="str">
        <f>IF(ISBLANK(HLOOKUP(CaseName,CaseData,MATCH($G499,cases!$G$4:$G$2494,0),FALSE)),"",HLOOKUP(CaseName,CaseData,MATCH($G499,cases!$G$4:$G$2494,0),FALSE))</f>
        <v/>
      </c>
      <c r="K499" s="831">
        <f>IF((SetVelP.w*L18*L16)/L8&gt;0,(SetVelP.w*L18*L16)/L8,0)</f>
        <v>9.803473714161289E-6</v>
      </c>
      <c r="L499" s="901">
        <f t="shared" si="23"/>
        <v>9.803473714161289E-6</v>
      </c>
      <c r="M499" s="796" t="s">
        <v>335</v>
      </c>
      <c r="N499" s="797"/>
      <c r="O499" s="907"/>
      <c r="P499" s="797"/>
    </row>
    <row r="500" spans="1:21" ht="12.75" customHeight="1" x14ac:dyDescent="0.3">
      <c r="A500" s="797" t="s">
        <v>1782</v>
      </c>
      <c r="B500" s="797"/>
      <c r="C500" s="797"/>
      <c r="D500" s="797"/>
      <c r="E500" s="797"/>
      <c r="F500" s="797"/>
      <c r="G500" s="796" t="s">
        <v>2407</v>
      </c>
      <c r="H500" s="796" t="s">
        <v>335</v>
      </c>
      <c r="I500" s="900"/>
      <c r="J500" s="792" t="str">
        <f>IF(ISBLANK(HLOOKUP(CaseName,CaseData,MATCH($G500,cases!$G$4:$G$2494,0),FALSE)),"",HLOOKUP(CaseName,CaseData,MATCH($G500,cases!$G$4:$G$2494,0),FALSE))</f>
        <v/>
      </c>
      <c r="K500" s="831">
        <f>IF((SetVelP.w*L22*L16)/L9&gt;0,(SetVelP.w*L22*L16)/L9,0)</f>
        <v>1.4705210571241934E-7</v>
      </c>
      <c r="L500" s="901">
        <f t="shared" si="23"/>
        <v>1.4705210571241934E-7</v>
      </c>
      <c r="M500" s="796" t="s">
        <v>335</v>
      </c>
      <c r="N500" s="797"/>
      <c r="O500" s="907"/>
      <c r="P500" s="797"/>
    </row>
    <row r="501" spans="1:21" s="837" customFormat="1" ht="12.75" customHeight="1" x14ac:dyDescent="0.3">
      <c r="A501" s="841" t="s">
        <v>1784</v>
      </c>
      <c r="B501" s="841"/>
      <c r="C501" s="841"/>
      <c r="D501" s="841"/>
      <c r="E501" s="841"/>
      <c r="F501" s="841"/>
      <c r="G501" s="844" t="s">
        <v>2408</v>
      </c>
      <c r="H501" s="844" t="s">
        <v>335</v>
      </c>
      <c r="I501" s="904"/>
      <c r="J501" s="792" t="str">
        <f>IF(ISBLANK(HLOOKUP(CaseName,CaseData,MATCH($G501,cases!$G$4:$G$2494,0),FALSE)),"",HLOOKUP(CaseName,CaseData,MATCH($G501,cases!$G$4:$G$2494,0),FALSE))</f>
        <v/>
      </c>
      <c r="K501" s="845">
        <f>$L$161/$L$27</f>
        <v>0</v>
      </c>
      <c r="L501" s="905">
        <f t="shared" si="23"/>
        <v>0</v>
      </c>
      <c r="M501" s="844" t="s">
        <v>335</v>
      </c>
      <c r="N501" s="797" t="s">
        <v>1786</v>
      </c>
      <c r="O501" s="799"/>
      <c r="P501" s="797"/>
      <c r="Q501" s="778"/>
      <c r="R501" s="778"/>
      <c r="S501" s="778"/>
      <c r="T501" s="778"/>
      <c r="U501" s="778"/>
    </row>
    <row r="502" spans="1:21" ht="12.75" customHeight="1" x14ac:dyDescent="0.3">
      <c r="A502" s="797" t="s">
        <v>1787</v>
      </c>
      <c r="B502" s="797"/>
      <c r="C502" s="797"/>
      <c r="D502" s="797"/>
      <c r="E502" s="797"/>
      <c r="F502" s="797"/>
      <c r="G502" s="796" t="s">
        <v>2409</v>
      </c>
      <c r="H502" s="796" t="s">
        <v>335</v>
      </c>
      <c r="I502" s="900"/>
      <c r="J502" s="792" t="str">
        <f>IF(ISBLANK(HLOOKUP(CaseName,CaseData,MATCH($G502,cases!$G$4:$G$2494,0),FALSE)),"",HLOOKUP(CaseName,CaseData,MATCH($G502,cases!$G$4:$G$2494,0),FALSE))</f>
        <v/>
      </c>
      <c r="K502" s="831">
        <f>$L$163/$L$28</f>
        <v>2.6060956790031634E-8</v>
      </c>
      <c r="L502" s="901">
        <f t="shared" si="23"/>
        <v>2.6060956790031634E-8</v>
      </c>
      <c r="M502" s="796" t="s">
        <v>335</v>
      </c>
      <c r="N502" s="797" t="s">
        <v>1786</v>
      </c>
      <c r="O502" s="799"/>
      <c r="P502" s="797"/>
    </row>
    <row r="503" spans="1:21" ht="12.75" customHeight="1" x14ac:dyDescent="0.3">
      <c r="A503" s="797" t="s">
        <v>1789</v>
      </c>
      <c r="B503" s="797"/>
      <c r="C503" s="797"/>
      <c r="D503" s="797"/>
      <c r="E503" s="797"/>
      <c r="F503" s="797"/>
      <c r="G503" s="796" t="s">
        <v>2410</v>
      </c>
      <c r="H503" s="796" t="s">
        <v>335</v>
      </c>
      <c r="I503" s="900"/>
      <c r="J503" s="792" t="str">
        <f>IF(ISBLANK(HLOOKUP(CaseName,CaseData,MATCH($G503,cases!$G$4:$G$2494,0),FALSE)),"",HLOOKUP(CaseName,CaseData,MATCH($G503,cases!$G$4:$G$2494,0),FALSE))</f>
        <v/>
      </c>
      <c r="K503" s="831">
        <f>$L$165/$L$29</f>
        <v>8.7317283950617312E-9</v>
      </c>
      <c r="L503" s="901">
        <f t="shared" si="23"/>
        <v>8.7317283950617312E-9</v>
      </c>
      <c r="M503" s="796" t="s">
        <v>335</v>
      </c>
      <c r="N503" s="797" t="s">
        <v>1786</v>
      </c>
      <c r="O503" s="799"/>
      <c r="P503" s="797"/>
    </row>
    <row r="504" spans="1:21" ht="12.75" customHeight="1" x14ac:dyDescent="0.3">
      <c r="A504" s="797" t="s">
        <v>1791</v>
      </c>
      <c r="B504" s="797"/>
      <c r="C504" s="797"/>
      <c r="D504" s="797"/>
      <c r="E504" s="797"/>
      <c r="F504" s="797"/>
      <c r="G504" s="796" t="s">
        <v>2411</v>
      </c>
      <c r="H504" s="796" t="s">
        <v>335</v>
      </c>
      <c r="I504" s="900"/>
      <c r="J504" s="792" t="str">
        <f>IF(ISBLANK(HLOOKUP(CaseName,CaseData,MATCH($G504,cases!$G$4:$G$2494,0),FALSE)),"",HLOOKUP(CaseName,CaseData,MATCH($G504,cases!$G$4:$G$2494,0),FALSE))</f>
        <v/>
      </c>
      <c r="K504" s="831">
        <f>$L$161/$L$27</f>
        <v>0</v>
      </c>
      <c r="L504" s="901">
        <f t="shared" si="23"/>
        <v>0</v>
      </c>
      <c r="M504" s="796" t="s">
        <v>335</v>
      </c>
      <c r="N504" s="797" t="s">
        <v>1786</v>
      </c>
      <c r="O504" s="799"/>
      <c r="P504" s="797"/>
    </row>
    <row r="505" spans="1:21" ht="12.75" customHeight="1" x14ac:dyDescent="0.3">
      <c r="A505" s="797" t="s">
        <v>1793</v>
      </c>
      <c r="B505" s="797"/>
      <c r="C505" s="797"/>
      <c r="D505" s="797"/>
      <c r="E505" s="797"/>
      <c r="F505" s="797"/>
      <c r="G505" s="796" t="s">
        <v>2412</v>
      </c>
      <c r="H505" s="796" t="s">
        <v>335</v>
      </c>
      <c r="I505" s="900"/>
      <c r="J505" s="792" t="str">
        <f>IF(ISBLANK(HLOOKUP(CaseName,CaseData,MATCH($G505,cases!$G$4:$G$2494,0),FALSE)),"",HLOOKUP(CaseName,CaseData,MATCH($G505,cases!$G$4:$G$2494,0),FALSE))</f>
        <v/>
      </c>
      <c r="K505" s="831">
        <f>$L$163/$L$28</f>
        <v>2.6060956790031634E-8</v>
      </c>
      <c r="L505" s="901">
        <f t="shared" si="23"/>
        <v>2.6060956790031634E-8</v>
      </c>
      <c r="M505" s="796" t="s">
        <v>335</v>
      </c>
      <c r="N505" s="797" t="s">
        <v>1786</v>
      </c>
      <c r="O505" s="799"/>
      <c r="P505" s="797"/>
    </row>
    <row r="506" spans="1:21" ht="12.75" customHeight="1" x14ac:dyDescent="0.3">
      <c r="A506" s="797" t="s">
        <v>1795</v>
      </c>
      <c r="B506" s="797"/>
      <c r="C506" s="797"/>
      <c r="D506" s="797"/>
      <c r="E506" s="797"/>
      <c r="F506" s="797"/>
      <c r="G506" s="796" t="s">
        <v>2413</v>
      </c>
      <c r="H506" s="796" t="s">
        <v>335</v>
      </c>
      <c r="I506" s="900"/>
      <c r="J506" s="792" t="str">
        <f>IF(ISBLANK(HLOOKUP(CaseName,CaseData,MATCH($G506,cases!$G$4:$G$2494,0),FALSE)),"",HLOOKUP(CaseName,CaseData,MATCH($G506,cases!$G$4:$G$2494,0),FALSE))</f>
        <v/>
      </c>
      <c r="K506" s="831">
        <f>$L$165/$L$29</f>
        <v>8.7317283950617312E-9</v>
      </c>
      <c r="L506" s="901">
        <f t="shared" si="23"/>
        <v>8.7317283950617312E-9</v>
      </c>
      <c r="M506" s="796" t="s">
        <v>335</v>
      </c>
      <c r="N506" s="797" t="s">
        <v>1786</v>
      </c>
      <c r="O506" s="799"/>
      <c r="P506" s="797"/>
    </row>
    <row r="507" spans="1:21" ht="12.75" customHeight="1" x14ac:dyDescent="0.3">
      <c r="A507" s="797" t="s">
        <v>1797</v>
      </c>
      <c r="B507" s="797"/>
      <c r="C507" s="797"/>
      <c r="D507" s="797"/>
      <c r="E507" s="797"/>
      <c r="F507" s="797"/>
      <c r="G507" s="796" t="s">
        <v>2414</v>
      </c>
      <c r="H507" s="796" t="s">
        <v>335</v>
      </c>
      <c r="I507" s="900"/>
      <c r="J507" s="792" t="str">
        <f>IF(ISBLANK(HLOOKUP(CaseName,CaseData,MATCH($G507,cases!$G$4:$G$2494,0),FALSE)),"",HLOOKUP(CaseName,CaseData,MATCH($G507,cases!$G$4:$G$2494,0),FALSE))</f>
        <v/>
      </c>
      <c r="K507" s="831">
        <f>$L$161/$L$27</f>
        <v>0</v>
      </c>
      <c r="L507" s="901">
        <f t="shared" si="23"/>
        <v>0</v>
      </c>
      <c r="M507" s="796" t="s">
        <v>335</v>
      </c>
      <c r="N507" s="797" t="s">
        <v>1786</v>
      </c>
      <c r="O507" s="799"/>
      <c r="P507" s="797"/>
    </row>
    <row r="508" spans="1:21" ht="12.75" customHeight="1" x14ac:dyDescent="0.3">
      <c r="A508" s="797" t="s">
        <v>1799</v>
      </c>
      <c r="B508" s="797"/>
      <c r="C508" s="797"/>
      <c r="D508" s="797"/>
      <c r="E508" s="797"/>
      <c r="F508" s="797"/>
      <c r="G508" s="796" t="s">
        <v>2415</v>
      </c>
      <c r="H508" s="796" t="s">
        <v>335</v>
      </c>
      <c r="I508" s="900"/>
      <c r="J508" s="792" t="str">
        <f>IF(ISBLANK(HLOOKUP(CaseName,CaseData,MATCH($G508,cases!$G$4:$G$2494,0),FALSE)),"",HLOOKUP(CaseName,CaseData,MATCH($G508,cases!$G$4:$G$2494,0),FALSE))</f>
        <v/>
      </c>
      <c r="K508" s="831">
        <f>$L$163/$L$28</f>
        <v>2.6060956790031634E-8</v>
      </c>
      <c r="L508" s="901">
        <f t="shared" si="23"/>
        <v>2.6060956790031634E-8</v>
      </c>
      <c r="M508" s="796" t="s">
        <v>335</v>
      </c>
      <c r="N508" s="797" t="s">
        <v>1786</v>
      </c>
      <c r="O508" s="799"/>
      <c r="P508" s="797"/>
    </row>
    <row r="509" spans="1:21" ht="12.75" customHeight="1" x14ac:dyDescent="0.3">
      <c r="A509" s="797" t="s">
        <v>1801</v>
      </c>
      <c r="B509" s="797"/>
      <c r="C509" s="797"/>
      <c r="D509" s="797"/>
      <c r="E509" s="797"/>
      <c r="F509" s="797"/>
      <c r="G509" s="796" t="s">
        <v>2416</v>
      </c>
      <c r="H509" s="796" t="s">
        <v>335</v>
      </c>
      <c r="I509" s="900"/>
      <c r="J509" s="792" t="str">
        <f>IF(ISBLANK(HLOOKUP(CaseName,CaseData,MATCH($G509,cases!$G$4:$G$2494,0),FALSE)),"",HLOOKUP(CaseName,CaseData,MATCH($G509,cases!$G$4:$G$2494,0),FALSE))</f>
        <v/>
      </c>
      <c r="K509" s="831">
        <f>$L$165/$L$29</f>
        <v>8.7317283950617312E-9</v>
      </c>
      <c r="L509" s="901">
        <f t="shared" si="23"/>
        <v>8.7317283950617312E-9</v>
      </c>
      <c r="M509" s="796" t="s">
        <v>335</v>
      </c>
      <c r="N509" s="797" t="s">
        <v>1786</v>
      </c>
      <c r="O509" s="799"/>
      <c r="P509" s="797"/>
    </row>
    <row r="510" spans="1:21" ht="12.75" customHeight="1" x14ac:dyDescent="0.3">
      <c r="A510" s="841" t="s">
        <v>1803</v>
      </c>
      <c r="B510" s="841"/>
      <c r="C510" s="841"/>
      <c r="D510" s="841"/>
      <c r="E510" s="841"/>
      <c r="F510" s="841"/>
      <c r="G510" s="844" t="s">
        <v>4673</v>
      </c>
      <c r="H510" s="844" t="s">
        <v>335</v>
      </c>
      <c r="I510" s="904"/>
      <c r="J510" s="792" t="str">
        <f>IF(ISBLANK(HLOOKUP(CaseName,CaseData,MATCH($G510,cases!$G$4:$G$2494,0),FALSE)),"",HLOOKUP(CaseName,CaseData,MATCH($G510,cases!$G$4:$G$2494,0),FALSE))</f>
        <v/>
      </c>
      <c r="K510" s="845">
        <f>((L191*RAINrate.C*L194)+L188)/L30*L17/(L18+L17)</f>
        <v>1.175433008952572E-8</v>
      </c>
      <c r="L510" s="905">
        <f t="shared" ref="L510:L518" si="24">IF(ISBLANK(I510),IF(ISNUMBER(J510)=FALSE,K510,J510),I510)</f>
        <v>1.175433008952572E-8</v>
      </c>
      <c r="M510" s="844" t="s">
        <v>335</v>
      </c>
      <c r="N510" s="841" t="s">
        <v>1805</v>
      </c>
      <c r="O510" s="799"/>
      <c r="P510" s="797"/>
    </row>
    <row r="511" spans="1:21" ht="12.75" customHeight="1" x14ac:dyDescent="0.3">
      <c r="A511" s="797" t="s">
        <v>1806</v>
      </c>
      <c r="B511" s="797"/>
      <c r="C511" s="797"/>
      <c r="D511" s="797"/>
      <c r="E511" s="797"/>
      <c r="F511" s="797"/>
      <c r="G511" s="796" t="s">
        <v>4674</v>
      </c>
      <c r="H511" s="796" t="s">
        <v>335</v>
      </c>
      <c r="I511" s="900"/>
      <c r="J511" s="792" t="str">
        <f>IF(ISBLANK(HLOOKUP(CaseName,CaseData,MATCH($G511,cases!$G$4:$G$2494,0),FALSE)),"",HLOOKUP(CaseName,CaseData,MATCH($G511,cases!$G$4:$G$2494,0),FALSE))</f>
        <v/>
      </c>
      <c r="K511" s="831">
        <f>((L192*RAINrate.C*L195)+L189)/L31*L17/(L18+L17)</f>
        <v>5.3485325628168736E-9</v>
      </c>
      <c r="L511" s="901">
        <f t="shared" si="24"/>
        <v>5.3485325628168736E-9</v>
      </c>
      <c r="M511" s="796" t="s">
        <v>335</v>
      </c>
      <c r="N511" s="797" t="s">
        <v>1805</v>
      </c>
      <c r="O511" s="799"/>
      <c r="P511" s="797"/>
    </row>
    <row r="512" spans="1:21" ht="12.75" customHeight="1" x14ac:dyDescent="0.3">
      <c r="A512" s="797" t="s">
        <v>1808</v>
      </c>
      <c r="B512" s="797"/>
      <c r="C512" s="797"/>
      <c r="D512" s="797"/>
      <c r="E512" s="797"/>
      <c r="F512" s="797"/>
      <c r="G512" s="796" t="s">
        <v>4675</v>
      </c>
      <c r="H512" s="796" t="s">
        <v>335</v>
      </c>
      <c r="I512" s="900"/>
      <c r="J512" s="792" t="str">
        <f>IF(ISBLANK(HLOOKUP(CaseName,CaseData,MATCH($G512,cases!$G$4:$G$2494,0),FALSE)),"",HLOOKUP(CaseName,CaseData,MATCH($G512,cases!$G$4:$G$2494,0),FALSE))</f>
        <v/>
      </c>
      <c r="K512" s="831">
        <f>((L193*RAINrate.C*L196)+L190)/L32*L17/(L18+L17)</f>
        <v>1.175433008952572E-8</v>
      </c>
      <c r="L512" s="901">
        <f t="shared" si="24"/>
        <v>1.175433008952572E-8</v>
      </c>
      <c r="M512" s="796" t="s">
        <v>335</v>
      </c>
      <c r="N512" s="797" t="s">
        <v>1805</v>
      </c>
      <c r="O512" s="799"/>
      <c r="P512" s="797"/>
    </row>
    <row r="513" spans="1:16" ht="12.75" customHeight="1" x14ac:dyDescent="0.3">
      <c r="A513" s="797" t="s">
        <v>1810</v>
      </c>
      <c r="B513" s="797"/>
      <c r="C513" s="797"/>
      <c r="D513" s="797"/>
      <c r="E513" s="797"/>
      <c r="F513" s="797"/>
      <c r="G513" s="796" t="s">
        <v>4676</v>
      </c>
      <c r="H513" s="796" t="s">
        <v>335</v>
      </c>
      <c r="I513" s="900"/>
      <c r="J513" s="792" t="str">
        <f>IF(ISBLANK(HLOOKUP(CaseName,CaseData,MATCH($G513,cases!$G$4:$G$2494,0),FALSE)),"",HLOOKUP(CaseName,CaseData,MATCH($G513,cases!$G$4:$G$2494,0),FALSE))</f>
        <v/>
      </c>
      <c r="K513" s="831">
        <f>((L191*RAINrate.C*L194)+L188)/L30*L17/(L18+L17)</f>
        <v>1.175433008952572E-8</v>
      </c>
      <c r="L513" s="901">
        <f t="shared" si="24"/>
        <v>1.175433008952572E-8</v>
      </c>
      <c r="M513" s="796" t="s">
        <v>335</v>
      </c>
      <c r="N513" s="797" t="s">
        <v>1805</v>
      </c>
      <c r="O513" s="799"/>
      <c r="P513" s="797"/>
    </row>
    <row r="514" spans="1:16" ht="12.75" customHeight="1" x14ac:dyDescent="0.3">
      <c r="A514" s="797" t="s">
        <v>1812</v>
      </c>
      <c r="B514" s="797"/>
      <c r="C514" s="797"/>
      <c r="D514" s="797"/>
      <c r="E514" s="797"/>
      <c r="F514" s="797"/>
      <c r="G514" s="796" t="s">
        <v>4677</v>
      </c>
      <c r="H514" s="796" t="s">
        <v>335</v>
      </c>
      <c r="I514" s="900"/>
      <c r="J514" s="792" t="str">
        <f>IF(ISBLANK(HLOOKUP(CaseName,CaseData,MATCH($G514,cases!$G$4:$G$2494,0),FALSE)),"",HLOOKUP(CaseName,CaseData,MATCH($G514,cases!$G$4:$G$2494,0),FALSE))</f>
        <v/>
      </c>
      <c r="K514" s="831">
        <f>((L192*RAINrate.C*L195)+L189)/L31*L17/(L18+L17)</f>
        <v>5.3485325628168736E-9</v>
      </c>
      <c r="L514" s="901">
        <f t="shared" si="24"/>
        <v>5.3485325628168736E-9</v>
      </c>
      <c r="M514" s="796" t="s">
        <v>335</v>
      </c>
      <c r="N514" s="797" t="s">
        <v>1805</v>
      </c>
      <c r="O514" s="799"/>
      <c r="P514" s="797"/>
    </row>
    <row r="515" spans="1:16" ht="12.75" customHeight="1" x14ac:dyDescent="0.3">
      <c r="A515" s="797" t="s">
        <v>1814</v>
      </c>
      <c r="B515" s="797"/>
      <c r="C515" s="797"/>
      <c r="D515" s="797"/>
      <c r="E515" s="797"/>
      <c r="F515" s="797"/>
      <c r="G515" s="796" t="s">
        <v>4678</v>
      </c>
      <c r="H515" s="796" t="s">
        <v>335</v>
      </c>
      <c r="I515" s="900"/>
      <c r="J515" s="792" t="str">
        <f>IF(ISBLANK(HLOOKUP(CaseName,CaseData,MATCH($G515,cases!$G$4:$G$2494,0),FALSE)),"",HLOOKUP(CaseName,CaseData,MATCH($G515,cases!$G$4:$G$2494,0),FALSE))</f>
        <v/>
      </c>
      <c r="K515" s="831">
        <f>((L193*RAINrate.C*L196)+L190)/L32*L17/(L18+L17)</f>
        <v>1.175433008952572E-8</v>
      </c>
      <c r="L515" s="901">
        <f t="shared" si="24"/>
        <v>1.175433008952572E-8</v>
      </c>
      <c r="M515" s="796" t="s">
        <v>335</v>
      </c>
      <c r="N515" s="797" t="s">
        <v>1805</v>
      </c>
      <c r="O515" s="799"/>
      <c r="P515" s="797"/>
    </row>
    <row r="516" spans="1:16" ht="12.75" customHeight="1" x14ac:dyDescent="0.3">
      <c r="A516" s="797" t="s">
        <v>1816</v>
      </c>
      <c r="B516" s="797"/>
      <c r="C516" s="797"/>
      <c r="D516" s="797"/>
      <c r="E516" s="797"/>
      <c r="F516" s="797"/>
      <c r="G516" s="796" t="s">
        <v>4679</v>
      </c>
      <c r="H516" s="796" t="s">
        <v>335</v>
      </c>
      <c r="I516" s="900"/>
      <c r="J516" s="792" t="str">
        <f>IF(ISBLANK(HLOOKUP(CaseName,CaseData,MATCH($G516,cases!$G$4:$G$2494,0),FALSE)),"",HLOOKUP(CaseName,CaseData,MATCH($G516,cases!$G$4:$G$2494,0),FALSE))</f>
        <v/>
      </c>
      <c r="K516" s="831">
        <f>L188/L30*L17/(L18+L17)</f>
        <v>1.5854895991882296E-12</v>
      </c>
      <c r="L516" s="901">
        <f t="shared" si="24"/>
        <v>1.5854895991882296E-12</v>
      </c>
      <c r="M516" s="796" t="s">
        <v>335</v>
      </c>
      <c r="N516" s="797" t="s">
        <v>1818</v>
      </c>
      <c r="O516" s="799"/>
      <c r="P516" s="797"/>
    </row>
    <row r="517" spans="1:16" ht="12.75" customHeight="1" x14ac:dyDescent="0.3">
      <c r="A517" s="797" t="s">
        <v>1819</v>
      </c>
      <c r="B517" s="797"/>
      <c r="C517" s="797"/>
      <c r="D517" s="797"/>
      <c r="E517" s="797"/>
      <c r="F517" s="797"/>
      <c r="G517" s="796" t="s">
        <v>4680</v>
      </c>
      <c r="H517" s="796" t="s">
        <v>335</v>
      </c>
      <c r="I517" s="900"/>
      <c r="J517" s="792" t="str">
        <f>IF(ISBLANK(HLOOKUP(CaseName,CaseData,MATCH($G517,cases!$G$4:$G$2494,0),FALSE)),"",HLOOKUP(CaseName,CaseData,MATCH($G517,cases!$G$4:$G$2494,0),FALSE))</f>
        <v/>
      </c>
      <c r="K517" s="831">
        <f>L189/L31*L17/(L18+L17)</f>
        <v>3.9637239979705739E-13</v>
      </c>
      <c r="L517" s="901">
        <f t="shared" si="24"/>
        <v>3.9637239979705739E-13</v>
      </c>
      <c r="M517" s="796" t="s">
        <v>335</v>
      </c>
      <c r="N517" s="797" t="s">
        <v>1818</v>
      </c>
      <c r="O517" s="799"/>
      <c r="P517" s="797"/>
    </row>
    <row r="518" spans="1:16" ht="12.75" customHeight="1" x14ac:dyDescent="0.3">
      <c r="A518" s="852" t="s">
        <v>1821</v>
      </c>
      <c r="B518" s="852"/>
      <c r="C518" s="852"/>
      <c r="D518" s="852"/>
      <c r="E518" s="852"/>
      <c r="F518" s="852"/>
      <c r="G518" s="853" t="s">
        <v>4681</v>
      </c>
      <c r="H518" s="853" t="s">
        <v>335</v>
      </c>
      <c r="I518" s="908"/>
      <c r="J518" s="792" t="str">
        <f>IF(ISBLANK(HLOOKUP(CaseName,CaseData,MATCH($G518,cases!$G$4:$G$2494,0),FALSE)),"",HLOOKUP(CaseName,CaseData,MATCH($G518,cases!$G$4:$G$2494,0),FALSE))</f>
        <v/>
      </c>
      <c r="K518" s="849">
        <f>L190/L32*L17/(L18+L17)</f>
        <v>1.5854895991882296E-12</v>
      </c>
      <c r="L518" s="903">
        <f t="shared" si="24"/>
        <v>1.5854895991882296E-12</v>
      </c>
      <c r="M518" s="796" t="s">
        <v>335</v>
      </c>
      <c r="N518" s="852" t="s">
        <v>1818</v>
      </c>
      <c r="O518" s="799"/>
      <c r="P518" s="797"/>
    </row>
    <row r="519" spans="1:16" s="837" customFormat="1" ht="12.75" customHeight="1" x14ac:dyDescent="0.3">
      <c r="A519" s="841" t="s">
        <v>1803</v>
      </c>
      <c r="B519" s="841"/>
      <c r="C519" s="841"/>
      <c r="D519" s="841"/>
      <c r="E519" s="841"/>
      <c r="F519" s="841"/>
      <c r="G519" s="844" t="s">
        <v>2417</v>
      </c>
      <c r="H519" s="844" t="s">
        <v>335</v>
      </c>
      <c r="I519" s="904"/>
      <c r="J519" s="792" t="str">
        <f>IF(ISBLANK(HLOOKUP(CaseName,CaseData,MATCH($G519,cases!$G$4:$G$2494,0),FALSE)),"",HLOOKUP(CaseName,CaseData,MATCH($G519,cases!$G$4:$G$2494,0),FALSE))</f>
        <v/>
      </c>
      <c r="K519" s="845">
        <f>((L191*RAINrate.C*L194)+L188)/L30*L18/(L18+L17)</f>
        <v>1.2929763098478288E-7</v>
      </c>
      <c r="L519" s="905">
        <f t="shared" si="23"/>
        <v>1.2929763098478288E-7</v>
      </c>
      <c r="M519" s="844" t="s">
        <v>335</v>
      </c>
      <c r="N519" s="841" t="s">
        <v>1805</v>
      </c>
      <c r="O519" s="855"/>
      <c r="P519" s="841"/>
    </row>
    <row r="520" spans="1:16" ht="12.75" customHeight="1" x14ac:dyDescent="0.3">
      <c r="A520" s="797" t="s">
        <v>1806</v>
      </c>
      <c r="B520" s="797"/>
      <c r="C520" s="797"/>
      <c r="D520" s="797"/>
      <c r="E520" s="797"/>
      <c r="F520" s="797"/>
      <c r="G520" s="796" t="s">
        <v>2418</v>
      </c>
      <c r="H520" s="796" t="s">
        <v>335</v>
      </c>
      <c r="I520" s="900"/>
      <c r="J520" s="792" t="str">
        <f>IF(ISBLANK(HLOOKUP(CaseName,CaseData,MATCH($G520,cases!$G$4:$G$2494,0),FALSE)),"",HLOOKUP(CaseName,CaseData,MATCH($G520,cases!$G$4:$G$2494,0),FALSE))</f>
        <v/>
      </c>
      <c r="K520" s="831">
        <f>((L192*RAINrate.C*L195)+L189)/L31*L18/(L18+L17)</f>
        <v>5.8833858190985604E-8</v>
      </c>
      <c r="L520" s="901">
        <f t="shared" si="23"/>
        <v>5.8833858190985604E-8</v>
      </c>
      <c r="M520" s="796" t="s">
        <v>335</v>
      </c>
      <c r="N520" s="797" t="s">
        <v>1805</v>
      </c>
      <c r="O520" s="799"/>
      <c r="P520" s="797"/>
    </row>
    <row r="521" spans="1:16" ht="12.75" customHeight="1" x14ac:dyDescent="0.3">
      <c r="A521" s="797" t="s">
        <v>1808</v>
      </c>
      <c r="B521" s="797"/>
      <c r="C521" s="797"/>
      <c r="D521" s="797"/>
      <c r="E521" s="797"/>
      <c r="F521" s="797"/>
      <c r="G521" s="796" t="s">
        <v>2419</v>
      </c>
      <c r="H521" s="796" t="s">
        <v>335</v>
      </c>
      <c r="I521" s="900"/>
      <c r="J521" s="792" t="str">
        <f>IF(ISBLANK(HLOOKUP(CaseName,CaseData,MATCH($G521,cases!$G$4:$G$2494,0),FALSE)),"",HLOOKUP(CaseName,CaseData,MATCH($G521,cases!$G$4:$G$2494,0),FALSE))</f>
        <v/>
      </c>
      <c r="K521" s="831">
        <f>((L193*RAINrate.C*L196)+L190)/L32*L18/(L18+L17)</f>
        <v>1.2929763098478288E-7</v>
      </c>
      <c r="L521" s="901">
        <f t="shared" si="23"/>
        <v>1.2929763098478288E-7</v>
      </c>
      <c r="M521" s="796" t="s">
        <v>335</v>
      </c>
      <c r="N521" s="797" t="s">
        <v>1805</v>
      </c>
      <c r="O521" s="799"/>
      <c r="P521" s="797"/>
    </row>
    <row r="522" spans="1:16" ht="12.75" customHeight="1" x14ac:dyDescent="0.3">
      <c r="A522" s="797" t="s">
        <v>1810</v>
      </c>
      <c r="B522" s="797"/>
      <c r="C522" s="797"/>
      <c r="D522" s="797"/>
      <c r="E522" s="797"/>
      <c r="F522" s="797"/>
      <c r="G522" s="796" t="s">
        <v>2420</v>
      </c>
      <c r="H522" s="796" t="s">
        <v>335</v>
      </c>
      <c r="I522" s="900"/>
      <c r="J522" s="792" t="str">
        <f>IF(ISBLANK(HLOOKUP(CaseName,CaseData,MATCH($G522,cases!$G$4:$G$2494,0),FALSE)),"",HLOOKUP(CaseName,CaseData,MATCH($G522,cases!$G$4:$G$2494,0),FALSE))</f>
        <v/>
      </c>
      <c r="K522" s="831">
        <f>((L191*RAINrate.C*L194)+L188)/L30*L18/(L18+L17)</f>
        <v>1.2929763098478288E-7</v>
      </c>
      <c r="L522" s="901">
        <f t="shared" si="23"/>
        <v>1.2929763098478288E-7</v>
      </c>
      <c r="M522" s="796" t="s">
        <v>335</v>
      </c>
      <c r="N522" s="797" t="s">
        <v>1805</v>
      </c>
      <c r="O522" s="799"/>
      <c r="P522" s="797"/>
    </row>
    <row r="523" spans="1:16" ht="12.75" customHeight="1" x14ac:dyDescent="0.3">
      <c r="A523" s="797" t="s">
        <v>1812</v>
      </c>
      <c r="B523" s="797"/>
      <c r="C523" s="797"/>
      <c r="D523" s="797"/>
      <c r="E523" s="797"/>
      <c r="F523" s="797"/>
      <c r="G523" s="796" t="s">
        <v>2421</v>
      </c>
      <c r="H523" s="796" t="s">
        <v>335</v>
      </c>
      <c r="I523" s="900"/>
      <c r="J523" s="792" t="str">
        <f>IF(ISBLANK(HLOOKUP(CaseName,CaseData,MATCH($G523,cases!$G$4:$G$2494,0),FALSE)),"",HLOOKUP(CaseName,CaseData,MATCH($G523,cases!$G$4:$G$2494,0),FALSE))</f>
        <v/>
      </c>
      <c r="K523" s="831">
        <f>((L192*RAINrate.C*L195)+L189)/L31*L18/(L18+L17)</f>
        <v>5.8833858190985604E-8</v>
      </c>
      <c r="L523" s="901">
        <f t="shared" si="23"/>
        <v>5.8833858190985604E-8</v>
      </c>
      <c r="M523" s="796" t="s">
        <v>335</v>
      </c>
      <c r="N523" s="797" t="s">
        <v>1805</v>
      </c>
      <c r="O523" s="799"/>
      <c r="P523" s="797"/>
    </row>
    <row r="524" spans="1:16" ht="12" customHeight="1" x14ac:dyDescent="0.3">
      <c r="A524" s="797" t="s">
        <v>1814</v>
      </c>
      <c r="B524" s="797"/>
      <c r="C524" s="797"/>
      <c r="D524" s="797"/>
      <c r="E524" s="797"/>
      <c r="F524" s="797"/>
      <c r="G524" s="796" t="s">
        <v>2422</v>
      </c>
      <c r="H524" s="796" t="s">
        <v>335</v>
      </c>
      <c r="I524" s="900"/>
      <c r="J524" s="792" t="str">
        <f>IF(ISBLANK(HLOOKUP(CaseName,CaseData,MATCH($G524,cases!$G$4:$G$2494,0),FALSE)),"",HLOOKUP(CaseName,CaseData,MATCH($G524,cases!$G$4:$G$2494,0),FALSE))</f>
        <v/>
      </c>
      <c r="K524" s="831">
        <f>((L193*RAINrate.C*L196)+L190)/L32*L18/(L18+L17)</f>
        <v>1.2929763098478288E-7</v>
      </c>
      <c r="L524" s="901">
        <f t="shared" si="23"/>
        <v>1.2929763098478288E-7</v>
      </c>
      <c r="M524" s="796" t="s">
        <v>335</v>
      </c>
      <c r="N524" s="797" t="s">
        <v>1805</v>
      </c>
      <c r="O524" s="799"/>
      <c r="P524" s="797"/>
    </row>
    <row r="525" spans="1:16" ht="12.75" customHeight="1" x14ac:dyDescent="0.3">
      <c r="A525" s="797" t="s">
        <v>1816</v>
      </c>
      <c r="B525" s="797"/>
      <c r="C525" s="797"/>
      <c r="D525" s="797"/>
      <c r="E525" s="797"/>
      <c r="F525" s="797"/>
      <c r="G525" s="796" t="s">
        <v>2423</v>
      </c>
      <c r="H525" s="796" t="s">
        <v>335</v>
      </c>
      <c r="I525" s="900"/>
      <c r="J525" s="792" t="str">
        <f>IF(ISBLANK(HLOOKUP(CaseName,CaseData,MATCH($G525,cases!$G$4:$G$2494,0),FALSE)),"",HLOOKUP(CaseName,CaseData,MATCH($G525,cases!$G$4:$G$2494,0),FALSE))</f>
        <v/>
      </c>
      <c r="K525" s="831">
        <f>L188/L30*L18/(L18+L17)</f>
        <v>1.744038559107052E-11</v>
      </c>
      <c r="L525" s="901">
        <f t="shared" si="23"/>
        <v>1.744038559107052E-11</v>
      </c>
      <c r="M525" s="796" t="s">
        <v>335</v>
      </c>
      <c r="N525" s="797" t="s">
        <v>1818</v>
      </c>
      <c r="O525" s="799"/>
      <c r="P525" s="797"/>
    </row>
    <row r="526" spans="1:16" ht="12.75" customHeight="1" x14ac:dyDescent="0.3">
      <c r="A526" s="797" t="s">
        <v>1819</v>
      </c>
      <c r="B526" s="797"/>
      <c r="C526" s="797"/>
      <c r="D526" s="797"/>
      <c r="E526" s="797"/>
      <c r="F526" s="797"/>
      <c r="G526" s="796" t="s">
        <v>2424</v>
      </c>
      <c r="H526" s="796" t="s">
        <v>335</v>
      </c>
      <c r="I526" s="900"/>
      <c r="J526" s="792" t="str">
        <f>IF(ISBLANK(HLOOKUP(CaseName,CaseData,MATCH($G526,cases!$G$4:$G$2494,0),FALSE)),"",HLOOKUP(CaseName,CaseData,MATCH($G526,cases!$G$4:$G$2494,0),FALSE))</f>
        <v/>
      </c>
      <c r="K526" s="831">
        <f>L189/L31*L18/(L18+L17)</f>
        <v>4.3600963977676301E-12</v>
      </c>
      <c r="L526" s="901">
        <f t="shared" si="23"/>
        <v>4.3600963977676301E-12</v>
      </c>
      <c r="M526" s="796" t="s">
        <v>335</v>
      </c>
      <c r="N526" s="797" t="s">
        <v>1818</v>
      </c>
      <c r="O526" s="799"/>
      <c r="P526" s="797"/>
    </row>
    <row r="527" spans="1:16" s="826" customFormat="1" ht="12.75" customHeight="1" x14ac:dyDescent="0.3">
      <c r="A527" s="852" t="s">
        <v>1821</v>
      </c>
      <c r="B527" s="852"/>
      <c r="C527" s="852"/>
      <c r="D527" s="852"/>
      <c r="E527" s="852"/>
      <c r="F527" s="852"/>
      <c r="G527" s="853" t="s">
        <v>2425</v>
      </c>
      <c r="H527" s="853" t="s">
        <v>335</v>
      </c>
      <c r="I527" s="908"/>
      <c r="J527" s="792" t="str">
        <f>IF(ISBLANK(HLOOKUP(CaseName,CaseData,MATCH($G527,cases!$G$4:$G$2494,0),FALSE)),"",HLOOKUP(CaseName,CaseData,MATCH($G527,cases!$G$4:$G$2494,0),FALSE))</f>
        <v/>
      </c>
      <c r="K527" s="849">
        <f>L190/L32*L18/(L18+L17)</f>
        <v>1.744038559107052E-11</v>
      </c>
      <c r="L527" s="903">
        <f t="shared" si="23"/>
        <v>1.744038559107052E-11</v>
      </c>
      <c r="M527" s="853" t="s">
        <v>335</v>
      </c>
      <c r="N527" s="852" t="s">
        <v>1818</v>
      </c>
      <c r="O527" s="854"/>
      <c r="P527" s="852"/>
    </row>
    <row r="528" spans="1:16" s="826" customFormat="1" ht="12.75" customHeight="1" x14ac:dyDescent="0.3">
      <c r="G528" s="827"/>
      <c r="H528" s="827"/>
      <c r="J528" s="519"/>
      <c r="K528" s="828"/>
      <c r="L528" s="829"/>
      <c r="M528" s="827"/>
      <c r="N528" s="778"/>
      <c r="O528" s="830"/>
    </row>
    <row r="529" spans="1:19" s="784" customFormat="1" ht="12.75" customHeight="1" x14ac:dyDescent="0.3">
      <c r="A529" s="785" t="s">
        <v>2426</v>
      </c>
      <c r="G529" s="785" t="s">
        <v>258</v>
      </c>
      <c r="H529" s="785" t="s">
        <v>274</v>
      </c>
      <c r="I529" s="784" t="s">
        <v>259</v>
      </c>
      <c r="J529" s="811" t="s">
        <v>275</v>
      </c>
      <c r="K529" s="786" t="s">
        <v>260</v>
      </c>
      <c r="L529" s="787" t="s">
        <v>261</v>
      </c>
      <c r="N529" s="785" t="s">
        <v>262</v>
      </c>
      <c r="O529" s="788"/>
    </row>
    <row r="530" spans="1:19" ht="12.75" customHeight="1" x14ac:dyDescent="0.3">
      <c r="A530" s="796" t="s">
        <v>1267</v>
      </c>
      <c r="B530" s="797"/>
      <c r="C530" s="797"/>
      <c r="D530" s="797"/>
      <c r="E530" s="797"/>
      <c r="F530" s="797"/>
      <c r="G530" s="796" t="s">
        <v>2427</v>
      </c>
      <c r="H530" s="796" t="s">
        <v>4690</v>
      </c>
      <c r="I530" s="857"/>
      <c r="J530" s="792" t="str">
        <f>IF(ISBLANK(HLOOKUP(CaseName,CaseData,MATCH($G530,cases!$G$4:$G$2494,0),FALSE)),"",HLOOKUP(CaseName,CaseData,MATCH($G530,cases!$G$4:$G$2494,0),FALSE))</f>
        <v/>
      </c>
      <c r="K530" s="798">
        <f>L210+kdegS.a</f>
        <v>3.663258818281463E-10</v>
      </c>
      <c r="L530" s="794">
        <f t="shared" ref="L530:L565" si="25">IF(ISBLANK(I530),IF(ISNUMBER(J530)=FALSE,K530,J530),I530)</f>
        <v>3.663258818281463E-10</v>
      </c>
      <c r="M530" s="797" t="s">
        <v>1038</v>
      </c>
      <c r="N530" s="796"/>
      <c r="O530" s="799"/>
      <c r="P530" s="797"/>
      <c r="Q530" s="798"/>
      <c r="S530" s="603"/>
    </row>
    <row r="531" spans="1:19" ht="12.75" customHeight="1" x14ac:dyDescent="0.3">
      <c r="A531" s="796" t="s">
        <v>1267</v>
      </c>
      <c r="B531" s="797"/>
      <c r="C531" s="797"/>
      <c r="D531" s="797"/>
      <c r="E531" s="797"/>
      <c r="F531" s="797"/>
      <c r="G531" s="796" t="s">
        <v>2428</v>
      </c>
      <c r="H531" s="796" t="s">
        <v>4690</v>
      </c>
      <c r="I531" s="857"/>
      <c r="J531" s="792" t="str">
        <f>IF(ISBLANK(HLOOKUP(CaseName,CaseData,MATCH($G531,cases!$G$4:$G$2494,0),FALSE)),"",HLOOKUP(CaseName,CaseData,MATCH($G531,cases!$G$4:$G$2494,0),FALSE))</f>
        <v/>
      </c>
      <c r="K531" s="798">
        <f>L210+kdegA.a</f>
        <v>3.663258818281463E-10</v>
      </c>
      <c r="L531" s="794">
        <f t="shared" si="25"/>
        <v>3.663258818281463E-10</v>
      </c>
      <c r="M531" s="797" t="s">
        <v>1038</v>
      </c>
      <c r="N531" s="796"/>
      <c r="O531" s="799"/>
      <c r="P531" s="797"/>
      <c r="Q531" s="798"/>
      <c r="S531" s="603"/>
    </row>
    <row r="532" spans="1:19" ht="12.75" customHeight="1" x14ac:dyDescent="0.3">
      <c r="A532" s="796" t="s">
        <v>1267</v>
      </c>
      <c r="B532" s="797"/>
      <c r="C532" s="797"/>
      <c r="D532" s="797"/>
      <c r="E532" s="797"/>
      <c r="F532" s="797"/>
      <c r="G532" s="796" t="s">
        <v>2429</v>
      </c>
      <c r="H532" s="796" t="s">
        <v>4690</v>
      </c>
      <c r="I532" s="857"/>
      <c r="J532" s="792" t="str">
        <f>IF(ISBLANK(HLOOKUP(CaseName,CaseData,MATCH($G532,cases!$G$4:$G$2494,0),FALSE)),"",HLOOKUP(CaseName,CaseData,MATCH($G532,cases!$G$4:$G$2494,0),FALSE))</f>
        <v/>
      </c>
      <c r="K532" s="798">
        <f>L210+kdegP.a</f>
        <v>3.663258818281463E-10</v>
      </c>
      <c r="L532" s="794">
        <f t="shared" si="25"/>
        <v>3.663258818281463E-10</v>
      </c>
      <c r="M532" s="797" t="s">
        <v>1038</v>
      </c>
      <c r="N532" s="796"/>
      <c r="O532" s="799"/>
      <c r="P532" s="797"/>
      <c r="Q532" s="798"/>
      <c r="S532" s="603"/>
    </row>
    <row r="533" spans="1:19" ht="12.75" customHeight="1" x14ac:dyDescent="0.3">
      <c r="A533" s="796" t="s">
        <v>1268</v>
      </c>
      <c r="B533" s="797"/>
      <c r="C533" s="797"/>
      <c r="D533" s="797"/>
      <c r="E533" s="797"/>
      <c r="F533" s="797"/>
      <c r="G533" s="796" t="s">
        <v>2430</v>
      </c>
      <c r="H533" s="796" t="s">
        <v>4690</v>
      </c>
      <c r="I533" s="857"/>
      <c r="J533" s="792" t="str">
        <f>IF(ISBLANK(HLOOKUP(CaseName,CaseData,MATCH($G533,cases!$G$4:$G$2494,0),FALSE)),"",HLOOKUP(CaseName,CaseData,MATCH($G533,cases!$G$4:$G$2494,0),FALSE))</f>
        <v/>
      </c>
      <c r="K533" s="798">
        <f>kdegS.w0</f>
        <v>0</v>
      </c>
      <c r="L533" s="794">
        <f t="shared" si="25"/>
        <v>0</v>
      </c>
      <c r="M533" s="797" t="s">
        <v>1828</v>
      </c>
      <c r="N533" s="796"/>
      <c r="O533" s="799"/>
      <c r="P533" s="797"/>
      <c r="Q533" s="798"/>
      <c r="S533" s="603"/>
    </row>
    <row r="534" spans="1:19" ht="12.75" customHeight="1" x14ac:dyDescent="0.3">
      <c r="A534" s="796" t="s">
        <v>1268</v>
      </c>
      <c r="B534" s="797"/>
      <c r="C534" s="797"/>
      <c r="D534" s="797"/>
      <c r="E534" s="797"/>
      <c r="F534" s="797"/>
      <c r="G534" s="796" t="s">
        <v>2431</v>
      </c>
      <c r="H534" s="796" t="s">
        <v>4690</v>
      </c>
      <c r="I534" s="857"/>
      <c r="J534" s="792" t="str">
        <f>IF(ISBLANK(HLOOKUP(CaseName,CaseData,MATCH($G534,cases!$G$4:$G$2494,0),FALSE)),"",HLOOKUP(CaseName,CaseData,MATCH($G534,cases!$G$4:$G$2494,0),FALSE))</f>
        <v/>
      </c>
      <c r="K534" s="798">
        <f>kdegA.w0</f>
        <v>0</v>
      </c>
      <c r="L534" s="794">
        <f t="shared" si="25"/>
        <v>0</v>
      </c>
      <c r="M534" s="797" t="s">
        <v>1828</v>
      </c>
      <c r="N534" s="796"/>
      <c r="O534" s="799"/>
      <c r="P534" s="797"/>
      <c r="Q534" s="798"/>
      <c r="S534" s="603"/>
    </row>
    <row r="535" spans="1:19" ht="12.75" customHeight="1" x14ac:dyDescent="0.3">
      <c r="A535" s="796" t="s">
        <v>1268</v>
      </c>
      <c r="B535" s="797"/>
      <c r="C535" s="797"/>
      <c r="D535" s="797"/>
      <c r="E535" s="797"/>
      <c r="F535" s="797"/>
      <c r="G535" s="796" t="s">
        <v>2432</v>
      </c>
      <c r="H535" s="796" t="s">
        <v>4690</v>
      </c>
      <c r="I535" s="857"/>
      <c r="J535" s="792" t="str">
        <f>IF(ISBLANK(HLOOKUP(CaseName,CaseData,MATCH($G535,cases!$G$4:$G$2494,0),FALSE)),"",HLOOKUP(CaseName,CaseData,MATCH($G535,cases!$G$4:$G$2494,0),FALSE))</f>
        <v/>
      </c>
      <c r="K535" s="798">
        <f>kdegP.w0</f>
        <v>0</v>
      </c>
      <c r="L535" s="794">
        <f t="shared" si="25"/>
        <v>0</v>
      </c>
      <c r="M535" s="797" t="s">
        <v>1828</v>
      </c>
      <c r="N535" s="796"/>
      <c r="O535" s="799"/>
      <c r="P535" s="797"/>
      <c r="Q535" s="798"/>
      <c r="S535" s="603"/>
    </row>
    <row r="536" spans="1:19" ht="12.75" customHeight="1" x14ac:dyDescent="0.3">
      <c r="A536" s="796" t="s">
        <v>1269</v>
      </c>
      <c r="B536" s="797"/>
      <c r="C536" s="797"/>
      <c r="D536" s="797"/>
      <c r="E536" s="797"/>
      <c r="F536" s="797"/>
      <c r="G536" s="796" t="s">
        <v>2433</v>
      </c>
      <c r="H536" s="796" t="s">
        <v>4690</v>
      </c>
      <c r="I536" s="857"/>
      <c r="J536" s="792" t="str">
        <f>IF(ISBLANK(HLOOKUP(CaseName,CaseData,MATCH($G536,cases!$G$4:$G$2494,0),FALSE)),"",HLOOKUP(CaseName,CaseData,MATCH($G536,cases!$G$4:$G$2494,0),FALSE))</f>
        <v/>
      </c>
      <c r="K536" s="798">
        <f>kdegS.w1</f>
        <v>0</v>
      </c>
      <c r="L536" s="794">
        <f t="shared" si="25"/>
        <v>0</v>
      </c>
      <c r="M536" s="797" t="s">
        <v>1828</v>
      </c>
      <c r="N536" s="796"/>
      <c r="O536" s="799"/>
      <c r="P536" s="797"/>
      <c r="Q536" s="798"/>
      <c r="S536" s="603"/>
    </row>
    <row r="537" spans="1:19" ht="12.75" customHeight="1" x14ac:dyDescent="0.3">
      <c r="A537" s="796" t="s">
        <v>1269</v>
      </c>
      <c r="B537" s="797"/>
      <c r="C537" s="797"/>
      <c r="D537" s="797"/>
      <c r="E537" s="797"/>
      <c r="F537" s="797"/>
      <c r="G537" s="796" t="s">
        <v>2434</v>
      </c>
      <c r="H537" s="796" t="s">
        <v>4690</v>
      </c>
      <c r="I537" s="857"/>
      <c r="J537" s="792" t="str">
        <f>IF(ISBLANK(HLOOKUP(CaseName,CaseData,MATCH($G537,cases!$G$4:$G$2494,0),FALSE)),"",HLOOKUP(CaseName,CaseData,MATCH($G537,cases!$G$4:$G$2494,0),FALSE))</f>
        <v/>
      </c>
      <c r="K537" s="798">
        <f>kdegA.w1</f>
        <v>0</v>
      </c>
      <c r="L537" s="794">
        <f t="shared" si="25"/>
        <v>0</v>
      </c>
      <c r="M537" s="797" t="s">
        <v>1828</v>
      </c>
      <c r="N537" s="796"/>
      <c r="O537" s="799"/>
      <c r="P537" s="797"/>
      <c r="Q537" s="798"/>
      <c r="S537" s="603"/>
    </row>
    <row r="538" spans="1:19" ht="12.75" customHeight="1" x14ac:dyDescent="0.3">
      <c r="A538" s="796" t="s">
        <v>1269</v>
      </c>
      <c r="B538" s="797"/>
      <c r="C538" s="797"/>
      <c r="D538" s="797"/>
      <c r="E538" s="797"/>
      <c r="F538" s="797"/>
      <c r="G538" s="796" t="s">
        <v>2435</v>
      </c>
      <c r="H538" s="796" t="s">
        <v>4690</v>
      </c>
      <c r="I538" s="857"/>
      <c r="J538" s="792" t="str">
        <f>IF(ISBLANK(HLOOKUP(CaseName,CaseData,MATCH($G538,cases!$G$4:$G$2494,0),FALSE)),"",HLOOKUP(CaseName,CaseData,MATCH($G538,cases!$G$4:$G$2494,0),FALSE))</f>
        <v/>
      </c>
      <c r="K538" s="798">
        <f>kdegP.w1</f>
        <v>0</v>
      </c>
      <c r="L538" s="794">
        <f t="shared" si="25"/>
        <v>0</v>
      </c>
      <c r="M538" s="797" t="s">
        <v>1828</v>
      </c>
      <c r="N538" s="796"/>
      <c r="O538" s="799"/>
      <c r="P538" s="797"/>
      <c r="Q538" s="798"/>
      <c r="S538" s="603"/>
    </row>
    <row r="539" spans="1:19" ht="12.75" customHeight="1" x14ac:dyDescent="0.3">
      <c r="A539" s="796" t="s">
        <v>1270</v>
      </c>
      <c r="B539" s="797"/>
      <c r="C539" s="797"/>
      <c r="D539" s="797"/>
      <c r="E539" s="797"/>
      <c r="F539" s="797"/>
      <c r="G539" s="796" t="s">
        <v>2436</v>
      </c>
      <c r="H539" s="796" t="s">
        <v>4690</v>
      </c>
      <c r="I539" s="857"/>
      <c r="J539" s="792" t="str">
        <f>IF(ISBLANK(HLOOKUP(CaseName,CaseData,MATCH($G539,cases!$G$4:$G$2494,0),FALSE)),"",HLOOKUP(CaseName,CaseData,MATCH($G539,cases!$G$4:$G$2494,0),FALSE))</f>
        <v/>
      </c>
      <c r="K539" s="798">
        <f>kdegS.w2</f>
        <v>0</v>
      </c>
      <c r="L539" s="794">
        <f t="shared" si="25"/>
        <v>0</v>
      </c>
      <c r="M539" s="797" t="s">
        <v>1828</v>
      </c>
      <c r="N539" s="796"/>
      <c r="O539" s="799"/>
      <c r="P539" s="797"/>
      <c r="Q539" s="798"/>
      <c r="S539" s="603"/>
    </row>
    <row r="540" spans="1:19" ht="12.75" customHeight="1" x14ac:dyDescent="0.3">
      <c r="A540" s="796" t="s">
        <v>1270</v>
      </c>
      <c r="B540" s="797"/>
      <c r="C540" s="797"/>
      <c r="D540" s="797"/>
      <c r="E540" s="797"/>
      <c r="F540" s="797"/>
      <c r="G540" s="796" t="s">
        <v>2437</v>
      </c>
      <c r="H540" s="796" t="s">
        <v>4690</v>
      </c>
      <c r="I540" s="857"/>
      <c r="J540" s="792" t="str">
        <f>IF(ISBLANK(HLOOKUP(CaseName,CaseData,MATCH($G540,cases!$G$4:$G$2494,0),FALSE)),"",HLOOKUP(CaseName,CaseData,MATCH($G540,cases!$G$4:$G$2494,0),FALSE))</f>
        <v/>
      </c>
      <c r="K540" s="798">
        <f>kdegA.w2</f>
        <v>0</v>
      </c>
      <c r="L540" s="794">
        <f t="shared" si="25"/>
        <v>0</v>
      </c>
      <c r="M540" s="797" t="s">
        <v>1828</v>
      </c>
      <c r="N540" s="796"/>
      <c r="O540" s="799"/>
      <c r="P540" s="797"/>
      <c r="Q540" s="798"/>
      <c r="S540" s="603"/>
    </row>
    <row r="541" spans="1:19" ht="12.75" customHeight="1" x14ac:dyDescent="0.3">
      <c r="A541" s="796" t="s">
        <v>1270</v>
      </c>
      <c r="B541" s="797"/>
      <c r="C541" s="797"/>
      <c r="D541" s="797"/>
      <c r="E541" s="797"/>
      <c r="F541" s="797"/>
      <c r="G541" s="796" t="s">
        <v>2438</v>
      </c>
      <c r="H541" s="796" t="s">
        <v>4690</v>
      </c>
      <c r="I541" s="857"/>
      <c r="J541" s="792" t="str">
        <f>IF(ISBLANK(HLOOKUP(CaseName,CaseData,MATCH($G541,cases!$G$4:$G$2494,0),FALSE)),"",HLOOKUP(CaseName,CaseData,MATCH($G541,cases!$G$4:$G$2494,0),FALSE))</f>
        <v/>
      </c>
      <c r="K541" s="798">
        <f>kdegP.w2</f>
        <v>0</v>
      </c>
      <c r="L541" s="794">
        <f t="shared" si="25"/>
        <v>0</v>
      </c>
      <c r="M541" s="797" t="s">
        <v>1828</v>
      </c>
      <c r="N541" s="796"/>
      <c r="O541" s="799"/>
      <c r="P541" s="797"/>
      <c r="Q541" s="798"/>
      <c r="S541" s="603"/>
    </row>
    <row r="542" spans="1:19" ht="12.75" customHeight="1" x14ac:dyDescent="0.3">
      <c r="A542" s="796" t="s">
        <v>1271</v>
      </c>
      <c r="B542" s="797"/>
      <c r="C542" s="797"/>
      <c r="D542" s="797"/>
      <c r="E542" s="797"/>
      <c r="F542" s="797"/>
      <c r="G542" s="796" t="s">
        <v>2439</v>
      </c>
      <c r="H542" s="796" t="s">
        <v>4690</v>
      </c>
      <c r="I542" s="857"/>
      <c r="J542" s="792" t="str">
        <f>IF(ISBLANK(HLOOKUP(CaseName,CaseData,MATCH($G542,cases!$G$4:$G$2494,0),FALSE)),"",HLOOKUP(CaseName,CaseData,MATCH($G542,cases!$G$4:$G$2494,0),FALSE))</f>
        <v/>
      </c>
      <c r="K542" s="798">
        <f>L563+kdegS.sd0</f>
        <v>2.8742283951535594E-9</v>
      </c>
      <c r="L542" s="794">
        <f t="shared" si="25"/>
        <v>2.8742283951535594E-9</v>
      </c>
      <c r="M542" s="797" t="s">
        <v>1828</v>
      </c>
      <c r="N542" s="796"/>
      <c r="O542" s="799"/>
      <c r="P542" s="797"/>
      <c r="Q542" s="798"/>
      <c r="S542" s="603"/>
    </row>
    <row r="543" spans="1:19" ht="12.75" customHeight="1" x14ac:dyDescent="0.3">
      <c r="A543" s="796" t="s">
        <v>1271</v>
      </c>
      <c r="B543" s="797"/>
      <c r="C543" s="797"/>
      <c r="D543" s="797"/>
      <c r="E543" s="797"/>
      <c r="F543" s="797"/>
      <c r="G543" s="796" t="s">
        <v>2440</v>
      </c>
      <c r="H543" s="796" t="s">
        <v>4690</v>
      </c>
      <c r="I543" s="857"/>
      <c r="J543" s="792" t="str">
        <f>IF(ISBLANK(HLOOKUP(CaseName,CaseData,MATCH($G543,cases!$G$4:$G$2494,0),FALSE)),"",HLOOKUP(CaseName,CaseData,MATCH($G543,cases!$G$4:$G$2494,0),FALSE))</f>
        <v/>
      </c>
      <c r="K543" s="798">
        <f>L563+kdegA.sd0</f>
        <v>2.8742283951535594E-9</v>
      </c>
      <c r="L543" s="794">
        <f t="shared" si="25"/>
        <v>2.8742283951535594E-9</v>
      </c>
      <c r="M543" s="797" t="s">
        <v>1828</v>
      </c>
      <c r="N543" s="796"/>
      <c r="O543" s="799"/>
      <c r="P543" s="797"/>
      <c r="Q543" s="798"/>
      <c r="S543" s="603"/>
    </row>
    <row r="544" spans="1:19" ht="12.75" customHeight="1" x14ac:dyDescent="0.3">
      <c r="A544" s="796" t="s">
        <v>1271</v>
      </c>
      <c r="B544" s="797"/>
      <c r="C544" s="797"/>
      <c r="D544" s="797"/>
      <c r="E544" s="797"/>
      <c r="F544" s="797"/>
      <c r="G544" s="796" t="s">
        <v>2441</v>
      </c>
      <c r="H544" s="796" t="s">
        <v>4690</v>
      </c>
      <c r="I544" s="857"/>
      <c r="J544" s="792" t="str">
        <f>IF(ISBLANK(HLOOKUP(CaseName,CaseData,MATCH($G544,cases!$G$4:$G$2494,0),FALSE)),"",HLOOKUP(CaseName,CaseData,MATCH($G544,cases!$G$4:$G$2494,0),FALSE))</f>
        <v/>
      </c>
      <c r="K544" s="798">
        <f>L563+kdegP.sd0</f>
        <v>2.8742283951535594E-9</v>
      </c>
      <c r="L544" s="794">
        <f t="shared" si="25"/>
        <v>2.8742283951535594E-9</v>
      </c>
      <c r="M544" s="797" t="s">
        <v>1828</v>
      </c>
      <c r="N544" s="796"/>
      <c r="O544" s="799"/>
      <c r="P544" s="797"/>
      <c r="Q544" s="798"/>
      <c r="S544" s="603"/>
    </row>
    <row r="545" spans="1:19" ht="12.75" customHeight="1" x14ac:dyDescent="0.3">
      <c r="A545" s="796" t="s">
        <v>1273</v>
      </c>
      <c r="B545" s="797"/>
      <c r="C545" s="797"/>
      <c r="D545" s="797"/>
      <c r="E545" s="797"/>
      <c r="F545" s="797"/>
      <c r="G545" s="796" t="s">
        <v>2442</v>
      </c>
      <c r="H545" s="796" t="s">
        <v>4690</v>
      </c>
      <c r="I545" s="857"/>
      <c r="J545" s="792" t="str">
        <f>IF(ISBLANK(HLOOKUP(CaseName,CaseData,MATCH($G545,cases!$G$4:$G$2494,0),FALSE)),"",HLOOKUP(CaseName,CaseData,MATCH($G545,cases!$G$4:$G$2494,0),FALSE))</f>
        <v/>
      </c>
      <c r="K545" s="798">
        <f>L564+kdegS.sd1</f>
        <v>2.8742283951535594E-9</v>
      </c>
      <c r="L545" s="794">
        <f t="shared" si="25"/>
        <v>2.8742283951535594E-9</v>
      </c>
      <c r="M545" s="797" t="s">
        <v>1828</v>
      </c>
      <c r="N545" s="796"/>
      <c r="O545" s="799"/>
      <c r="P545" s="797"/>
      <c r="Q545" s="798"/>
      <c r="S545" s="603"/>
    </row>
    <row r="546" spans="1:19" ht="12.75" customHeight="1" x14ac:dyDescent="0.3">
      <c r="A546" s="796" t="s">
        <v>1273</v>
      </c>
      <c r="B546" s="797"/>
      <c r="C546" s="797"/>
      <c r="D546" s="797"/>
      <c r="E546" s="797"/>
      <c r="F546" s="797"/>
      <c r="G546" s="796" t="s">
        <v>2443</v>
      </c>
      <c r="H546" s="796" t="s">
        <v>4690</v>
      </c>
      <c r="I546" s="857"/>
      <c r="J546" s="792" t="str">
        <f>IF(ISBLANK(HLOOKUP(CaseName,CaseData,MATCH($G546,cases!$G$4:$G$2494,0),FALSE)),"",HLOOKUP(CaseName,CaseData,MATCH($G546,cases!$G$4:$G$2494,0),FALSE))</f>
        <v/>
      </c>
      <c r="K546" s="798">
        <f>L564+kdegA.sd1</f>
        <v>2.8742283951535594E-9</v>
      </c>
      <c r="L546" s="794">
        <f t="shared" si="25"/>
        <v>2.8742283951535594E-9</v>
      </c>
      <c r="M546" s="797" t="s">
        <v>1828</v>
      </c>
      <c r="N546" s="796"/>
      <c r="O546" s="799"/>
      <c r="P546" s="797"/>
      <c r="Q546" s="798"/>
      <c r="S546" s="603"/>
    </row>
    <row r="547" spans="1:19" ht="12.75" customHeight="1" x14ac:dyDescent="0.3">
      <c r="A547" s="796" t="s">
        <v>1273</v>
      </c>
      <c r="B547" s="797"/>
      <c r="C547" s="797"/>
      <c r="D547" s="797"/>
      <c r="E547" s="797"/>
      <c r="F547" s="797"/>
      <c r="G547" s="796" t="s">
        <v>2444</v>
      </c>
      <c r="H547" s="796" t="s">
        <v>4690</v>
      </c>
      <c r="I547" s="857"/>
      <c r="J547" s="792" t="str">
        <f>IF(ISBLANK(HLOOKUP(CaseName,CaseData,MATCH($G547,cases!$G$4:$G$2494,0),FALSE)),"",HLOOKUP(CaseName,CaseData,MATCH($G547,cases!$G$4:$G$2494,0),FALSE))</f>
        <v/>
      </c>
      <c r="K547" s="798">
        <f>L564+kdegP.sd1</f>
        <v>2.8742283951535594E-9</v>
      </c>
      <c r="L547" s="794">
        <f t="shared" si="25"/>
        <v>2.8742283951535594E-9</v>
      </c>
      <c r="M547" s="797" t="s">
        <v>1828</v>
      </c>
      <c r="N547" s="796"/>
      <c r="O547" s="799"/>
      <c r="P547" s="797"/>
      <c r="Q547" s="798"/>
      <c r="S547" s="603"/>
    </row>
    <row r="548" spans="1:19" ht="12.75" customHeight="1" x14ac:dyDescent="0.3">
      <c r="A548" s="796" t="s">
        <v>1274</v>
      </c>
      <c r="B548" s="797"/>
      <c r="C548" s="797"/>
      <c r="D548" s="797"/>
      <c r="E548" s="797"/>
      <c r="F548" s="797"/>
      <c r="G548" s="796" t="s">
        <v>2445</v>
      </c>
      <c r="H548" s="796" t="s">
        <v>4690</v>
      </c>
      <c r="I548" s="857"/>
      <c r="J548" s="792" t="str">
        <f>IF(ISBLANK(HLOOKUP(CaseName,CaseData,MATCH($G548,cases!$G$4:$G$2494,0),FALSE)),"",HLOOKUP(CaseName,CaseData,MATCH($G548,cases!$G$4:$G$2494,0),FALSE))</f>
        <v/>
      </c>
      <c r="K548" s="798">
        <f>L565+kdegS.sd2</f>
        <v>9.1333333333333338E-10</v>
      </c>
      <c r="L548" s="794">
        <f t="shared" si="25"/>
        <v>9.1333333333333338E-10</v>
      </c>
      <c r="M548" s="797" t="s">
        <v>1828</v>
      </c>
      <c r="N548" s="796"/>
      <c r="O548" s="799"/>
      <c r="P548" s="797"/>
      <c r="Q548" s="798"/>
      <c r="S548" s="603"/>
    </row>
    <row r="549" spans="1:19" ht="12.75" customHeight="1" x14ac:dyDescent="0.3">
      <c r="A549" s="796" t="s">
        <v>1274</v>
      </c>
      <c r="B549" s="797"/>
      <c r="C549" s="797"/>
      <c r="D549" s="797"/>
      <c r="E549" s="797"/>
      <c r="F549" s="797"/>
      <c r="G549" s="796" t="s">
        <v>2446</v>
      </c>
      <c r="H549" s="796" t="s">
        <v>4690</v>
      </c>
      <c r="I549" s="857"/>
      <c r="J549" s="792" t="str">
        <f>IF(ISBLANK(HLOOKUP(CaseName,CaseData,MATCH($G549,cases!$G$4:$G$2494,0),FALSE)),"",HLOOKUP(CaseName,CaseData,MATCH($G549,cases!$G$4:$G$2494,0),FALSE))</f>
        <v/>
      </c>
      <c r="K549" s="798">
        <f>L565+kdegA.sd2</f>
        <v>9.1333333333333338E-10</v>
      </c>
      <c r="L549" s="794">
        <f t="shared" si="25"/>
        <v>9.1333333333333338E-10</v>
      </c>
      <c r="M549" s="797" t="s">
        <v>1828</v>
      </c>
      <c r="N549" s="796"/>
      <c r="O549" s="799"/>
      <c r="P549" s="797"/>
      <c r="Q549" s="798"/>
      <c r="S549" s="603"/>
    </row>
    <row r="550" spans="1:19" ht="12.75" customHeight="1" x14ac:dyDescent="0.3">
      <c r="A550" s="796" t="s">
        <v>1274</v>
      </c>
      <c r="B550" s="797"/>
      <c r="C550" s="797"/>
      <c r="D550" s="797"/>
      <c r="E550" s="797"/>
      <c r="F550" s="797"/>
      <c r="G550" s="796" t="s">
        <v>2447</v>
      </c>
      <c r="H550" s="796" t="s">
        <v>4690</v>
      </c>
      <c r="I550" s="857"/>
      <c r="J550" s="792" t="str">
        <f>IF(ISBLANK(HLOOKUP(CaseName,CaseData,MATCH($G550,cases!$G$4:$G$2494,0),FALSE)),"",HLOOKUP(CaseName,CaseData,MATCH($G550,cases!$G$4:$G$2494,0),FALSE))</f>
        <v/>
      </c>
      <c r="K550" s="798">
        <f>L565+kdegP.sd2</f>
        <v>9.1333333333333338E-10</v>
      </c>
      <c r="L550" s="794">
        <f t="shared" si="25"/>
        <v>9.1333333333333338E-10</v>
      </c>
      <c r="M550" s="797" t="s">
        <v>1828</v>
      </c>
      <c r="N550" s="796"/>
      <c r="O550" s="799"/>
      <c r="P550" s="797"/>
      <c r="Q550" s="798"/>
      <c r="S550" s="603"/>
    </row>
    <row r="551" spans="1:19" ht="12.75" customHeight="1" x14ac:dyDescent="0.3">
      <c r="A551" s="796" t="s">
        <v>1275</v>
      </c>
      <c r="B551" s="797"/>
      <c r="C551" s="797"/>
      <c r="D551" s="797"/>
      <c r="E551" s="797"/>
      <c r="F551" s="797"/>
      <c r="G551" s="796" t="s">
        <v>2448</v>
      </c>
      <c r="H551" s="796" t="s">
        <v>4690</v>
      </c>
      <c r="I551" s="857"/>
      <c r="J551" s="792" t="str">
        <f>IF(ISBLANK(HLOOKUP(CaseName,CaseData,MATCH($G551,cases!$G$4:$G$2494,0),FALSE)),"",HLOOKUP(CaseName,CaseData,MATCH($G551,cases!$G$4:$G$2494,0),FALSE))</f>
        <v/>
      </c>
      <c r="K551" s="798">
        <f>L560+kdegS.s1</f>
        <v>9.5027244249711473E-10</v>
      </c>
      <c r="L551" s="794">
        <f t="shared" si="25"/>
        <v>9.5027244249711473E-10</v>
      </c>
      <c r="M551" s="797" t="s">
        <v>1828</v>
      </c>
      <c r="N551" s="796"/>
      <c r="O551" s="799"/>
      <c r="P551" s="797"/>
      <c r="Q551" s="798"/>
      <c r="S551" s="603"/>
    </row>
    <row r="552" spans="1:19" ht="12.75" customHeight="1" x14ac:dyDescent="0.3">
      <c r="A552" s="796" t="s">
        <v>1275</v>
      </c>
      <c r="B552" s="797"/>
      <c r="C552" s="797"/>
      <c r="D552" s="797"/>
      <c r="E552" s="797"/>
      <c r="F552" s="797"/>
      <c r="G552" s="796" t="s">
        <v>2449</v>
      </c>
      <c r="H552" s="796" t="s">
        <v>4690</v>
      </c>
      <c r="I552" s="857"/>
      <c r="J552" s="792" t="str">
        <f>IF(ISBLANK(HLOOKUP(CaseName,CaseData,MATCH($G552,cases!$G$4:$G$2494,0),FALSE)),"",HLOOKUP(CaseName,CaseData,MATCH($G552,cases!$G$4:$G$2494,0),FALSE))</f>
        <v/>
      </c>
      <c r="K552" s="798">
        <f>L560+kdegA.s1</f>
        <v>9.5027244249711473E-10</v>
      </c>
      <c r="L552" s="794">
        <f t="shared" si="25"/>
        <v>9.5027244249711473E-10</v>
      </c>
      <c r="M552" s="797" t="s">
        <v>1828</v>
      </c>
      <c r="N552" s="796"/>
      <c r="O552" s="799"/>
      <c r="P552" s="797"/>
      <c r="Q552" s="798"/>
      <c r="S552" s="603"/>
    </row>
    <row r="553" spans="1:19" ht="12.75" customHeight="1" x14ac:dyDescent="0.3">
      <c r="A553" s="796" t="s">
        <v>1275</v>
      </c>
      <c r="B553" s="797"/>
      <c r="C553" s="797"/>
      <c r="D553" s="797"/>
      <c r="E553" s="797"/>
      <c r="F553" s="797"/>
      <c r="G553" s="796" t="s">
        <v>2450</v>
      </c>
      <c r="H553" s="796" t="s">
        <v>4690</v>
      </c>
      <c r="I553" s="857"/>
      <c r="J553" s="792" t="str">
        <f>IF(ISBLANK(HLOOKUP(CaseName,CaseData,MATCH($G553,cases!$G$4:$G$2494,0),FALSE)),"",HLOOKUP(CaseName,CaseData,MATCH($G553,cases!$G$4:$G$2494,0),FALSE))</f>
        <v/>
      </c>
      <c r="K553" s="798">
        <f>kdegP.s1</f>
        <v>0</v>
      </c>
      <c r="L553" s="794">
        <f t="shared" si="25"/>
        <v>0</v>
      </c>
      <c r="M553" s="797" t="s">
        <v>1828</v>
      </c>
      <c r="N553" s="796"/>
      <c r="O553" s="799"/>
      <c r="P553" s="797"/>
      <c r="Q553" s="798"/>
      <c r="S553" s="603"/>
    </row>
    <row r="554" spans="1:19" ht="12.75" customHeight="1" x14ac:dyDescent="0.3">
      <c r="A554" s="796" t="s">
        <v>1276</v>
      </c>
      <c r="B554" s="797"/>
      <c r="C554" s="797"/>
      <c r="D554" s="797"/>
      <c r="E554" s="797"/>
      <c r="F554" s="797"/>
      <c r="G554" s="796" t="s">
        <v>2451</v>
      </c>
      <c r="H554" s="796" t="s">
        <v>4690</v>
      </c>
      <c r="I554" s="857"/>
      <c r="J554" s="792" t="str">
        <f>IF(ISBLANK(HLOOKUP(CaseName,CaseData,MATCH($G554,cases!$G$4:$G$2494,0),FALSE)),"",HLOOKUP(CaseName,CaseData,MATCH($G554,cases!$G$4:$G$2494,0),FALSE))</f>
        <v/>
      </c>
      <c r="K554" s="798">
        <f>L561+kdegS.s2</f>
        <v>4.3242549833905347E-10</v>
      </c>
      <c r="L554" s="794">
        <f t="shared" si="25"/>
        <v>4.3242549833905347E-10</v>
      </c>
      <c r="M554" s="797" t="s">
        <v>1828</v>
      </c>
      <c r="N554" s="796"/>
      <c r="O554" s="799"/>
      <c r="P554" s="797"/>
      <c r="Q554" s="798"/>
      <c r="S554" s="603"/>
    </row>
    <row r="555" spans="1:19" ht="12.75" customHeight="1" x14ac:dyDescent="0.3">
      <c r="A555" s="796" t="s">
        <v>1276</v>
      </c>
      <c r="B555" s="797"/>
      <c r="C555" s="797"/>
      <c r="D555" s="797"/>
      <c r="E555" s="797"/>
      <c r="F555" s="797"/>
      <c r="G555" s="796" t="s">
        <v>2452</v>
      </c>
      <c r="H555" s="796" t="s">
        <v>4690</v>
      </c>
      <c r="I555" s="857"/>
      <c r="J555" s="792" t="str">
        <f>IF(ISBLANK(HLOOKUP(CaseName,CaseData,MATCH($G555,cases!$G$4:$G$2494,0),FALSE)),"",HLOOKUP(CaseName,CaseData,MATCH($G555,cases!$G$4:$G$2494,0),FALSE))</f>
        <v/>
      </c>
      <c r="K555" s="798">
        <f>L561+kdegA.s2</f>
        <v>4.3242549833905347E-10</v>
      </c>
      <c r="L555" s="794">
        <f t="shared" si="25"/>
        <v>4.3242549833905347E-10</v>
      </c>
      <c r="M555" s="797" t="s">
        <v>1828</v>
      </c>
      <c r="N555" s="796"/>
      <c r="O555" s="799"/>
      <c r="P555" s="797"/>
      <c r="Q555" s="798"/>
      <c r="S555" s="603"/>
    </row>
    <row r="556" spans="1:19" ht="12.75" customHeight="1" x14ac:dyDescent="0.3">
      <c r="A556" s="796" t="s">
        <v>1276</v>
      </c>
      <c r="B556" s="797"/>
      <c r="C556" s="797"/>
      <c r="D556" s="797"/>
      <c r="E556" s="797"/>
      <c r="F556" s="797"/>
      <c r="G556" s="796" t="s">
        <v>2453</v>
      </c>
      <c r="H556" s="796" t="s">
        <v>4690</v>
      </c>
      <c r="I556" s="857"/>
      <c r="J556" s="792" t="str">
        <f>IF(ISBLANK(HLOOKUP(CaseName,CaseData,MATCH($G556,cases!$G$4:$G$2494,0),FALSE)),"",HLOOKUP(CaseName,CaseData,MATCH($G556,cases!$G$4:$G$2494,0),FALSE))</f>
        <v/>
      </c>
      <c r="K556" s="798">
        <f>kdegP.s2</f>
        <v>0</v>
      </c>
      <c r="L556" s="794">
        <f t="shared" si="25"/>
        <v>0</v>
      </c>
      <c r="M556" s="797" t="s">
        <v>1828</v>
      </c>
      <c r="N556" s="796"/>
      <c r="O556" s="799"/>
      <c r="P556" s="797"/>
      <c r="Q556" s="798"/>
      <c r="S556" s="603"/>
    </row>
    <row r="557" spans="1:19" ht="12.75" customHeight="1" x14ac:dyDescent="0.3">
      <c r="A557" s="796" t="s">
        <v>1277</v>
      </c>
      <c r="B557" s="797"/>
      <c r="C557" s="797"/>
      <c r="D557" s="797"/>
      <c r="E557" s="797"/>
      <c r="F557" s="797"/>
      <c r="G557" s="796" t="s">
        <v>2454</v>
      </c>
      <c r="H557" s="796" t="s">
        <v>4690</v>
      </c>
      <c r="I557" s="857"/>
      <c r="J557" s="792" t="str">
        <f>IF(ISBLANK(HLOOKUP(CaseName,CaseData,MATCH($G557,cases!$G$4:$G$2494,0),FALSE)),"",HLOOKUP(CaseName,CaseData,MATCH($G557,cases!$G$4:$G$2494,0),FALSE))</f>
        <v/>
      </c>
      <c r="K557" s="798">
        <f>L562+kdegS.s3</f>
        <v>9.5027244249711473E-10</v>
      </c>
      <c r="L557" s="794">
        <f t="shared" si="25"/>
        <v>9.5027244249711473E-10</v>
      </c>
      <c r="M557" s="797" t="s">
        <v>1828</v>
      </c>
      <c r="N557" s="796"/>
      <c r="O557" s="799"/>
      <c r="P557" s="797"/>
      <c r="Q557" s="798"/>
      <c r="S557" s="603"/>
    </row>
    <row r="558" spans="1:19" ht="12.75" customHeight="1" x14ac:dyDescent="0.3">
      <c r="A558" s="796" t="s">
        <v>1277</v>
      </c>
      <c r="B558" s="797"/>
      <c r="C558" s="797"/>
      <c r="D558" s="797"/>
      <c r="E558" s="797"/>
      <c r="F558" s="797"/>
      <c r="G558" s="796" t="s">
        <v>2455</v>
      </c>
      <c r="H558" s="796" t="s">
        <v>4690</v>
      </c>
      <c r="I558" s="857"/>
      <c r="J558" s="792" t="str">
        <f>IF(ISBLANK(HLOOKUP(CaseName,CaseData,MATCH($G558,cases!$G$4:$G$2494,0),FALSE)),"",HLOOKUP(CaseName,CaseData,MATCH($G558,cases!$G$4:$G$2494,0),FALSE))</f>
        <v/>
      </c>
      <c r="K558" s="798">
        <f>L562+kdegA.s3</f>
        <v>9.5027244249711473E-10</v>
      </c>
      <c r="L558" s="794">
        <f t="shared" si="25"/>
        <v>9.5027244249711473E-10</v>
      </c>
      <c r="M558" s="797" t="s">
        <v>1828</v>
      </c>
      <c r="N558" s="796"/>
      <c r="O558" s="799"/>
      <c r="P558" s="797"/>
      <c r="Q558" s="798"/>
      <c r="S558" s="603"/>
    </row>
    <row r="559" spans="1:19" ht="12.75" customHeight="1" x14ac:dyDescent="0.3">
      <c r="A559" s="796" t="s">
        <v>1277</v>
      </c>
      <c r="B559" s="797"/>
      <c r="C559" s="797"/>
      <c r="D559" s="797"/>
      <c r="E559" s="797"/>
      <c r="F559" s="797"/>
      <c r="G559" s="796" t="s">
        <v>2456</v>
      </c>
      <c r="H559" s="796" t="s">
        <v>4690</v>
      </c>
      <c r="I559" s="857"/>
      <c r="J559" s="792" t="str">
        <f>IF(ISBLANK(HLOOKUP(CaseName,CaseData,MATCH($G559,cases!$G$4:$G$2494,0),FALSE)),"",HLOOKUP(CaseName,CaseData,MATCH($G559,cases!$G$4:$G$2494,0),FALSE))</f>
        <v/>
      </c>
      <c r="K559" s="798">
        <f>kdegP.s3</f>
        <v>0</v>
      </c>
      <c r="L559" s="794">
        <f t="shared" si="25"/>
        <v>0</v>
      </c>
      <c r="M559" s="797" t="s">
        <v>1828</v>
      </c>
      <c r="N559" s="796"/>
      <c r="O559" s="799"/>
      <c r="P559" s="797"/>
      <c r="Q559" s="798"/>
      <c r="S559" s="603"/>
    </row>
    <row r="560" spans="1:19" ht="12.75" customHeight="1" x14ac:dyDescent="0.3">
      <c r="A560" s="797"/>
      <c r="B560" s="797" t="s">
        <v>1855</v>
      </c>
      <c r="C560" s="797"/>
      <c r="D560" s="797"/>
      <c r="E560" s="797"/>
      <c r="F560" s="797"/>
      <c r="G560" s="796" t="s">
        <v>2457</v>
      </c>
      <c r="H560" s="796" t="s">
        <v>335</v>
      </c>
      <c r="I560" s="857"/>
      <c r="J560" s="792" t="str">
        <f>IF(ISBLANK(HLOOKUP(CaseName,CaseData,MATCH($G560,cases!$G$4:$G$2494,0),FALSE)),"",HLOOKUP(CaseName,CaseData,MATCH($G560,cases!$G$4:$G$2494,0),FALSE))</f>
        <v/>
      </c>
      <c r="K560" s="798">
        <f>(L227*RAINrate.C*L230)/L30</f>
        <v>9.5027244249711473E-10</v>
      </c>
      <c r="L560" s="794">
        <f t="shared" si="25"/>
        <v>9.5027244249711473E-10</v>
      </c>
      <c r="M560" s="797" t="s">
        <v>1828</v>
      </c>
      <c r="N560" s="797" t="s">
        <v>1857</v>
      </c>
      <c r="O560" s="799"/>
      <c r="P560" s="797"/>
    </row>
    <row r="561" spans="1:16" ht="12.75" customHeight="1" x14ac:dyDescent="0.3">
      <c r="A561" s="797"/>
      <c r="B561" s="797" t="s">
        <v>1858</v>
      </c>
      <c r="C561" s="797"/>
      <c r="D561" s="797"/>
      <c r="E561" s="797"/>
      <c r="F561" s="797"/>
      <c r="G561" s="796" t="s">
        <v>2458</v>
      </c>
      <c r="H561" s="796" t="s">
        <v>335</v>
      </c>
      <c r="I561" s="857"/>
      <c r="J561" s="792" t="str">
        <f>IF(ISBLANK(HLOOKUP(CaseName,CaseData,MATCH($G561,cases!$G$4:$G$2494,0),FALSE)),"",HLOOKUP(CaseName,CaseData,MATCH($G561,cases!$G$4:$G$2494,0),FALSE))</f>
        <v/>
      </c>
      <c r="K561" s="798">
        <f>(L228*RAINrate.C*L231)/L31</f>
        <v>4.3242549833905347E-10</v>
      </c>
      <c r="L561" s="794">
        <f t="shared" si="25"/>
        <v>4.3242549833905347E-10</v>
      </c>
      <c r="M561" s="797" t="s">
        <v>1828</v>
      </c>
      <c r="N561" s="797" t="s">
        <v>1857</v>
      </c>
      <c r="O561" s="799"/>
      <c r="P561" s="797"/>
    </row>
    <row r="562" spans="1:16" ht="12.75" customHeight="1" x14ac:dyDescent="0.3">
      <c r="A562" s="797"/>
      <c r="B562" s="797" t="s">
        <v>1860</v>
      </c>
      <c r="C562" s="797"/>
      <c r="D562" s="797"/>
      <c r="E562" s="797"/>
      <c r="F562" s="797"/>
      <c r="G562" s="796" t="s">
        <v>2459</v>
      </c>
      <c r="H562" s="796" t="s">
        <v>335</v>
      </c>
      <c r="I562" s="857"/>
      <c r="J562" s="792" t="str">
        <f>IF(ISBLANK(HLOOKUP(CaseName,CaseData,MATCH($G562,cases!$G$4:$G$2494,0),FALSE)),"",HLOOKUP(CaseName,CaseData,MATCH($G562,cases!$G$4:$G$2494,0),FALSE))</f>
        <v/>
      </c>
      <c r="K562" s="798">
        <f>(L229*RAINrate.C*L232)/L32</f>
        <v>9.5027244249711473E-10</v>
      </c>
      <c r="L562" s="794">
        <f t="shared" si="25"/>
        <v>9.5027244249711473E-10</v>
      </c>
      <c r="M562" s="797" t="s">
        <v>1828</v>
      </c>
      <c r="N562" s="797" t="s">
        <v>1857</v>
      </c>
      <c r="O562" s="799"/>
      <c r="P562" s="797"/>
    </row>
    <row r="563" spans="1:16" ht="12.75" customHeight="1" x14ac:dyDescent="0.3">
      <c r="A563" s="797"/>
      <c r="B563" s="797" t="s">
        <v>1862</v>
      </c>
      <c r="C563" s="797"/>
      <c r="D563" s="797"/>
      <c r="E563" s="797"/>
      <c r="F563" s="797"/>
      <c r="G563" s="796" t="s">
        <v>2460</v>
      </c>
      <c r="H563" s="796" t="s">
        <v>335</v>
      </c>
      <c r="I563" s="857"/>
      <c r="J563" s="792" t="str">
        <f>IF(ISBLANK(HLOOKUP(CaseName,CaseData,MATCH($G563,cases!$G$4:$G$2494,0),FALSE)),"",HLOOKUP(CaseName,CaseData,MATCH($G563,cases!$G$4:$G$2494,0),FALSE))</f>
        <v/>
      </c>
      <c r="K563" s="798">
        <f>L170/L27</f>
        <v>2.8742283951535594E-9</v>
      </c>
      <c r="L563" s="794">
        <f t="shared" si="25"/>
        <v>2.8742283951535594E-9</v>
      </c>
      <c r="M563" s="797" t="s">
        <v>1828</v>
      </c>
      <c r="N563" s="797" t="s">
        <v>1864</v>
      </c>
      <c r="O563" s="799"/>
      <c r="P563" s="797"/>
    </row>
    <row r="564" spans="1:16" ht="12.75" customHeight="1" x14ac:dyDescent="0.3">
      <c r="A564" s="797"/>
      <c r="B564" s="797" t="s">
        <v>1865</v>
      </c>
      <c r="C564" s="797"/>
      <c r="D564" s="797"/>
      <c r="E564" s="797"/>
      <c r="F564" s="797"/>
      <c r="G564" s="796" t="s">
        <v>2461</v>
      </c>
      <c r="H564" s="796" t="s">
        <v>335</v>
      </c>
      <c r="I564" s="857"/>
      <c r="J564" s="792" t="str">
        <f>IF(ISBLANK(HLOOKUP(CaseName,CaseData,MATCH($G564,cases!$G$4:$G$2494,0),FALSE)),"",HLOOKUP(CaseName,CaseData,MATCH($G564,cases!$G$4:$G$2494,0),FALSE))</f>
        <v/>
      </c>
      <c r="K564" s="798">
        <f>L171/L28</f>
        <v>2.8742283951535594E-9</v>
      </c>
      <c r="L564" s="794">
        <f t="shared" si="25"/>
        <v>2.8742283951535594E-9</v>
      </c>
      <c r="M564" s="797" t="s">
        <v>1828</v>
      </c>
      <c r="N564" s="797" t="s">
        <v>1864</v>
      </c>
      <c r="O564" s="799"/>
      <c r="P564" s="797"/>
    </row>
    <row r="565" spans="1:16" ht="12.75" customHeight="1" x14ac:dyDescent="0.3">
      <c r="A565" s="797"/>
      <c r="B565" s="797" t="s">
        <v>1867</v>
      </c>
      <c r="C565" s="797"/>
      <c r="D565" s="797"/>
      <c r="E565" s="797"/>
      <c r="F565" s="797"/>
      <c r="G565" s="796" t="s">
        <v>2462</v>
      </c>
      <c r="H565" s="796" t="s">
        <v>335</v>
      </c>
      <c r="I565" s="857"/>
      <c r="J565" s="792" t="str">
        <f>IF(ISBLANK(HLOOKUP(CaseName,CaseData,MATCH($G565,cases!$G$4:$G$2494,0),FALSE)),"",HLOOKUP(CaseName,CaseData,MATCH($G565,cases!$G$4:$G$2494,0),FALSE))</f>
        <v/>
      </c>
      <c r="K565" s="798">
        <f>L172/L29</f>
        <v>9.1333333333333338E-10</v>
      </c>
      <c r="L565" s="794">
        <f t="shared" si="25"/>
        <v>9.1333333333333338E-10</v>
      </c>
      <c r="M565" s="797" t="s">
        <v>1828</v>
      </c>
      <c r="N565" s="797" t="s">
        <v>1864</v>
      </c>
      <c r="O565" s="799"/>
      <c r="P565" s="797"/>
    </row>
  </sheetData>
  <customSheetViews>
    <customSheetView guid="{E10D53E0-7CBD-11D4-9F98-0000E22085C7}" scale="61" fitToPage="1" showRuler="0" topLeftCell="O58">
      <selection activeCell="N58" sqref="N58"/>
      <pageMargins left="0" right="0" top="0" bottom="0" header="0" footer="0"/>
      <printOptions gridLines="1"/>
      <pageSetup paperSize="9" scale="52" orientation="portrait" horizontalDpi="4294967292" verticalDpi="4294967292" r:id="rId1"/>
      <headerFooter alignWithMargins="0">
        <oddHeader>&amp;L&amp;D, &amp;T&amp;C&amp;P&amp;R&amp;F</oddHeader>
      </headerFooter>
    </customSheetView>
    <customSheetView guid="{E10D53EB-7CBD-11D4-9F98-0000E22085C7}" scale="92" showPageBreaks="1" showRuler="0">
      <selection activeCell="H9" sqref="H9"/>
      <pageMargins left="0" right="0" top="0" bottom="0" header="0" footer="0"/>
      <pageSetup paperSize="9" scale="52" orientation="portrait" horizontalDpi="4294967292" verticalDpi="4294967292" r:id="rId2"/>
      <headerFooter alignWithMargins="0">
        <oddHeader>&amp;L&amp;D, &amp;T&amp;C&amp;P&amp;R&amp;F</oddHeader>
      </headerFooter>
    </customSheetView>
    <customSheetView guid="{E10D53F1-7CBD-11D4-9F98-0000E22085C7}" scale="51" fitToPage="1" showRuler="0" topLeftCell="AS5">
      <selection activeCell="AR5" sqref="AR5"/>
      <pageMargins left="0" right="0" top="0" bottom="0" header="0" footer="0"/>
      <pageSetup paperSize="9" scale="52" orientation="landscape" horizontalDpi="4294967292" verticalDpi="4294967292" r:id="rId3"/>
      <headerFooter alignWithMargins="0">
        <oddHeader>&amp;L&amp;D, &amp;T&amp;C&amp;P&amp;R&amp;F</oddHeader>
      </headerFooter>
    </customSheetView>
    <customSheetView guid="{E10D53F6-7CBD-11D4-9F98-0000E22085C7}" scale="92" showPageBreaks="1" showRuler="0" topLeftCell="O1">
      <selection activeCell="N1" sqref="N1"/>
      <pageMargins left="0" right="0" top="0" bottom="0" header="0" footer="0"/>
      <pageSetup paperSize="9" scale="52" orientation="portrait" horizontalDpi="4294967292" verticalDpi="4294967292" r:id="rId4"/>
      <headerFooter alignWithMargins="0">
        <oddHeader>&amp;L&amp;D, &amp;T&amp;C&amp;P&amp;R&amp;F</oddHeader>
      </headerFooter>
    </customSheetView>
    <customSheetView guid="{E10D53FB-7CBD-11D4-9F98-0000E22085C7}" scale="92" showPageBreaks="1" showRuler="0" topLeftCell="AA1">
      <selection activeCell="Z2" sqref="Z2"/>
      <pageMargins left="0" right="0" top="0" bottom="0" header="0" footer="0"/>
      <pageSetup paperSize="9" scale="52" orientation="portrait" horizontalDpi="4294967292" verticalDpi="4294967292" r:id="rId5"/>
      <headerFooter alignWithMargins="0">
        <oddHeader>&amp;L&amp;D, &amp;T&amp;C&amp;P&amp;R&amp;F</oddHeader>
      </headerFooter>
    </customSheetView>
    <customSheetView guid="{E10D5407-7CBD-11D4-9F98-0000E22085C7}" scale="84" fitToPage="1" showRuler="0" topLeftCell="AF1">
      <selection activeCell="AE1" sqref="AE1"/>
      <pageMargins left="0" right="0" top="0" bottom="0" header="0" footer="0"/>
      <pageSetup paperSize="9" scale="52" orientation="portrait" horizontalDpi="4294967292" verticalDpi="4294967292" r:id="rId6"/>
      <headerFooter alignWithMargins="0">
        <oddHeader>&amp;L&amp;D, &amp;T&amp;C&amp;P&amp;R&amp;F</oddHeader>
      </headerFooter>
    </customSheetView>
  </customSheetViews>
  <phoneticPr fontId="6" type="noConversion"/>
  <conditionalFormatting sqref="I195:I196">
    <cfRule type="cellIs" dxfId="42" priority="4" operator="equal">
      <formula>0</formula>
    </cfRule>
  </conditionalFormatting>
  <conditionalFormatting sqref="K204:K209">
    <cfRule type="cellIs" dxfId="41" priority="2" operator="equal">
      <formula>0</formula>
    </cfRule>
  </conditionalFormatting>
  <pageMargins left="0.98425196850393704" right="0.98425196850393704" top="0.98425196850393704" bottom="0.98425196850393704" header="0.51181102362204722" footer="0.51181102362204722"/>
  <pageSetup paperSize="9" scale="52" orientation="portrait" horizontalDpi="4294967292" verticalDpi="4294967292" r:id="rId7"/>
  <headerFooter alignWithMargins="0"/>
  <legacyDrawing r:id="rId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syncVertical="1" syncRef="A1" transitionEvaluation="1" transitionEntry="1" codeName="Sheet4"/>
  <dimension ref="A1:U971"/>
  <sheetViews>
    <sheetView zoomScaleNormal="100" workbookViewId="0"/>
  </sheetViews>
  <sheetFormatPr defaultColWidth="10.6640625" defaultRowHeight="12.75" customHeight="1" x14ac:dyDescent="0.3"/>
  <cols>
    <col min="1" max="5" width="1.6640625" style="778" customWidth="1" collapsed="1"/>
    <col min="6" max="6" width="65.6640625" style="778" customWidth="1" collapsed="1"/>
    <col min="7" max="7" width="22.6640625" style="778" customWidth="1" collapsed="1"/>
    <col min="8" max="8" width="10.6640625" style="779" customWidth="1" collapsed="1"/>
    <col min="9" max="10" width="9.109375" style="909" customWidth="1" collapsed="1"/>
    <col min="11" max="11" width="9.5546875" style="781" customWidth="1" collapsed="1"/>
    <col min="12" max="12" width="8.6640625" style="781" bestFit="1" customWidth="1" collapsed="1"/>
    <col min="13" max="13" width="9.109375" style="778" customWidth="1" collapsed="1"/>
    <col min="14" max="14" width="67.44140625" style="778" customWidth="1" collapsed="1"/>
    <col min="15" max="15" width="14" style="778" customWidth="1" collapsed="1"/>
    <col min="16" max="16" width="28.6640625" style="778" bestFit="1" customWidth="1" collapsed="1"/>
    <col min="17" max="20" width="10.6640625" style="778" collapsed="1"/>
    <col min="21" max="21" width="10.6640625" style="778"/>
    <col min="22" max="16384" width="10.6640625" style="778" collapsed="1"/>
  </cols>
  <sheetData>
    <row r="1" spans="1:14" ht="12.75" customHeight="1" x14ac:dyDescent="0.3">
      <c r="A1" s="98" t="s">
        <v>2463</v>
      </c>
      <c r="B1" s="860"/>
      <c r="C1" s="860"/>
      <c r="D1" s="860"/>
      <c r="E1" s="860"/>
      <c r="F1" s="860"/>
      <c r="G1" s="821"/>
      <c r="H1" s="821"/>
      <c r="I1" s="862"/>
      <c r="J1" s="861"/>
      <c r="K1" s="863"/>
      <c r="L1" s="863"/>
      <c r="M1" s="860"/>
      <c r="N1" s="860"/>
    </row>
    <row r="2" spans="1:14" ht="12.75" customHeight="1" x14ac:dyDescent="0.3">
      <c r="A2" s="860"/>
      <c r="B2" s="860"/>
      <c r="C2" s="860"/>
      <c r="D2" s="860"/>
      <c r="E2" s="860"/>
      <c r="F2" s="860"/>
      <c r="G2" s="821"/>
      <c r="H2" s="821"/>
      <c r="I2" s="862"/>
      <c r="J2" s="861"/>
      <c r="K2" s="863"/>
      <c r="L2" s="863"/>
      <c r="M2" s="860"/>
      <c r="N2" s="860"/>
    </row>
    <row r="3" spans="1:14" ht="12.75" customHeight="1" x14ac:dyDescent="0.3">
      <c r="A3" s="864" t="s">
        <v>947</v>
      </c>
      <c r="B3" s="864"/>
      <c r="C3" s="864"/>
      <c r="D3" s="864"/>
      <c r="E3" s="864"/>
      <c r="F3" s="864"/>
      <c r="G3" s="865" t="s">
        <v>258</v>
      </c>
      <c r="H3" s="865" t="s">
        <v>274</v>
      </c>
      <c r="I3" s="864" t="s">
        <v>259</v>
      </c>
      <c r="J3" s="910" t="s">
        <v>275</v>
      </c>
      <c r="K3" s="867" t="s">
        <v>260</v>
      </c>
      <c r="L3" s="867" t="s">
        <v>261</v>
      </c>
      <c r="M3" s="864"/>
      <c r="N3" s="865" t="s">
        <v>262</v>
      </c>
    </row>
    <row r="4" spans="1:14" ht="12.75" customHeight="1" x14ac:dyDescent="0.3">
      <c r="A4" s="860"/>
      <c r="B4" s="860"/>
      <c r="C4" s="860"/>
      <c r="D4" s="860"/>
      <c r="E4" s="860"/>
      <c r="F4" s="860"/>
      <c r="G4" s="860"/>
      <c r="H4" s="821"/>
      <c r="I4" s="862"/>
      <c r="J4" s="861"/>
      <c r="K4" s="863"/>
      <c r="L4" s="863"/>
      <c r="M4" s="860"/>
      <c r="N4" s="860"/>
    </row>
    <row r="5" spans="1:14" ht="12.75" customHeight="1" x14ac:dyDescent="0.3">
      <c r="A5" s="821" t="s">
        <v>948</v>
      </c>
      <c r="B5" s="860"/>
      <c r="C5" s="860"/>
      <c r="D5" s="860"/>
      <c r="E5" s="860"/>
      <c r="F5" s="860"/>
      <c r="G5" s="821" t="s">
        <v>2464</v>
      </c>
      <c r="H5" s="860" t="s">
        <v>4683</v>
      </c>
      <c r="I5" s="869"/>
      <c r="J5" s="792" t="str">
        <f>IF(ISBLANK(HLOOKUP(CaseName,CaseData,MATCH($G5,cases!$G$4:$G$2494,0),FALSE)),"",HLOOKUP(CaseName,CaseData,MATCH($G5,cases!$G$4:$G$2494,0),FALSE))</f>
        <v/>
      </c>
      <c r="K5" s="870">
        <f>L11*L14*(1-L19)</f>
        <v>7.7571156728646E+16</v>
      </c>
      <c r="L5" s="794">
        <f t="shared" ref="L5:L10" si="0">IF(ISBLANK(I5),IF(ISNUMBER(J5)=FALSE,K5,J5),I5)</f>
        <v>7.7571156728646E+16</v>
      </c>
      <c r="M5" s="821" t="s">
        <v>951</v>
      </c>
      <c r="N5" s="860"/>
    </row>
    <row r="6" spans="1:14" ht="12.75" customHeight="1" x14ac:dyDescent="0.3">
      <c r="A6" s="796" t="s">
        <v>1871</v>
      </c>
      <c r="B6" s="797"/>
      <c r="C6" s="797"/>
      <c r="D6" s="797"/>
      <c r="E6" s="797"/>
      <c r="F6" s="797"/>
      <c r="G6" s="796" t="s">
        <v>2465</v>
      </c>
      <c r="H6" s="797" t="s">
        <v>4683</v>
      </c>
      <c r="I6" s="869"/>
      <c r="J6" s="792" t="str">
        <f>IF(ISBLANK(HLOOKUP(CaseName,CaseData,MATCH($G6,cases!$G$4:$G$2494,0),FALSE)),"",HLOOKUP(CaseName,CaseData,MATCH($G6,cases!$G$4:$G$2494,0),FALSE))</f>
        <v/>
      </c>
      <c r="K6" s="870">
        <f>L19*L5</f>
        <v>23271347018.5938</v>
      </c>
      <c r="L6" s="794">
        <f t="shared" si="0"/>
        <v>23271347018.5938</v>
      </c>
      <c r="M6" s="796" t="s">
        <v>951</v>
      </c>
      <c r="N6" s="797"/>
    </row>
    <row r="7" spans="1:14" ht="12.75" customHeight="1" x14ac:dyDescent="0.3">
      <c r="A7" s="821" t="s">
        <v>2466</v>
      </c>
      <c r="B7" s="860"/>
      <c r="C7" s="860"/>
      <c r="D7" s="860"/>
      <c r="E7" s="860"/>
      <c r="F7" s="860"/>
      <c r="G7" s="821" t="s">
        <v>2467</v>
      </c>
      <c r="H7" s="860" t="s">
        <v>4683</v>
      </c>
      <c r="I7" s="869"/>
      <c r="J7" s="792" t="str">
        <f>IF(ISBLANK(HLOOKUP(CaseName,CaseData,MATCH($G7,cases!$G$4:$G$2494,0),FALSE)),"",HLOOKUP(CaseName,CaseData,MATCH($G7,cases!$G$4:$G$2494,0),FALSE))</f>
        <v/>
      </c>
      <c r="K7" s="870">
        <f>L11*L15*L12</f>
        <v>3878559000000000</v>
      </c>
      <c r="L7" s="794">
        <f t="shared" si="0"/>
        <v>3878559000000000</v>
      </c>
      <c r="M7" s="821" t="s">
        <v>951</v>
      </c>
      <c r="N7" s="860"/>
    </row>
    <row r="8" spans="1:14" ht="12.75" customHeight="1" x14ac:dyDescent="0.3">
      <c r="A8" s="821" t="s">
        <v>2468</v>
      </c>
      <c r="B8" s="860"/>
      <c r="C8" s="860"/>
      <c r="D8" s="860"/>
      <c r="E8" s="860"/>
      <c r="F8" s="860"/>
      <c r="G8" s="821" t="s">
        <v>2469</v>
      </c>
      <c r="H8" s="860" t="s">
        <v>4683</v>
      </c>
      <c r="I8" s="869"/>
      <c r="J8" s="792" t="str">
        <f>IF(ISBLANK(HLOOKUP(CaseName,CaseData,MATCH($G8,cases!$G$4:$G$2494,0),FALSE)),"",HLOOKUP(CaseName,CaseData,MATCH($G8,cases!$G$4:$G$2494,0),FALSE))</f>
        <v/>
      </c>
      <c r="K8" s="870">
        <f>L11*L16*L12</f>
        <v>1.1635677E+17</v>
      </c>
      <c r="L8" s="794">
        <f t="shared" si="0"/>
        <v>1.1635677E+17</v>
      </c>
      <c r="M8" s="821" t="s">
        <v>951</v>
      </c>
      <c r="N8" s="860"/>
    </row>
    <row r="9" spans="1:14" ht="12.75" customHeight="1" x14ac:dyDescent="0.3">
      <c r="A9" s="821" t="s">
        <v>2470</v>
      </c>
      <c r="B9" s="860"/>
      <c r="C9" s="860"/>
      <c r="D9" s="860"/>
      <c r="E9" s="860"/>
      <c r="F9" s="860"/>
      <c r="G9" s="821" t="s">
        <v>2471</v>
      </c>
      <c r="H9" s="860" t="s">
        <v>4683</v>
      </c>
      <c r="I9" s="869"/>
      <c r="J9" s="792" t="str">
        <f>IF(ISBLANK(HLOOKUP(CaseName,CaseData,MATCH($G9,cases!$G$4:$G$2494,0),FALSE)),"",HLOOKUP(CaseName,CaseData,MATCH($G9,cases!$G$4:$G$2494,0),FALSE))</f>
        <v/>
      </c>
      <c r="K9" s="870">
        <f>L11*L17*L12</f>
        <v>1163567700000</v>
      </c>
      <c r="L9" s="794">
        <f t="shared" si="0"/>
        <v>1163567700000</v>
      </c>
      <c r="M9" s="821" t="s">
        <v>951</v>
      </c>
      <c r="N9" s="860"/>
    </row>
    <row r="10" spans="1:14" ht="12.75" customHeight="1" x14ac:dyDescent="0.3">
      <c r="A10" s="821" t="s">
        <v>2472</v>
      </c>
      <c r="B10" s="860"/>
      <c r="C10" s="860"/>
      <c r="D10" s="860"/>
      <c r="E10" s="860"/>
      <c r="F10" s="860"/>
      <c r="G10" s="821" t="s">
        <v>2473</v>
      </c>
      <c r="H10" s="860" t="s">
        <v>4683</v>
      </c>
      <c r="I10" s="869"/>
      <c r="J10" s="792" t="str">
        <f>IF(ISBLANK(HLOOKUP(CaseName,CaseData,MATCH($G10,cases!$G$4:$G$2494,0),FALSE)),"",HLOOKUP(CaseName,CaseData,MATCH($G10,cases!$G$4:$G$2494,0),FALSE))</f>
        <v/>
      </c>
      <c r="K10" s="870">
        <f>L11*L13*L18</f>
        <v>1939279500000</v>
      </c>
      <c r="L10" s="794">
        <f t="shared" si="0"/>
        <v>1939279500000</v>
      </c>
      <c r="M10" s="821" t="s">
        <v>951</v>
      </c>
      <c r="N10" s="860"/>
    </row>
    <row r="11" spans="1:14" ht="12.75" customHeight="1" x14ac:dyDescent="0.3">
      <c r="A11" s="860"/>
      <c r="B11" s="821" t="s">
        <v>2474</v>
      </c>
      <c r="C11" s="860"/>
      <c r="D11" s="860"/>
      <c r="E11" s="860"/>
      <c r="F11" s="860"/>
      <c r="G11" s="821" t="s">
        <v>2475</v>
      </c>
      <c r="H11" s="860" t="s">
        <v>4684</v>
      </c>
      <c r="I11" s="875"/>
      <c r="J11" s="792" t="str">
        <f>IF(ISBLANK(HLOOKUP(CaseName,CaseData,MATCH($G11,cases!$G$4:$G$2494,0),FALSE)),"",HLOOKUP(CaseName,CaseData,MATCH($G11,cases!$G$4:$G$2494,0),FALSE))</f>
        <v/>
      </c>
      <c r="K11" s="870">
        <f>85000000-((SYSTEMAREA.C+SYSTEMAREA.R)/1000000)</f>
        <v>77571180</v>
      </c>
      <c r="L11" s="794">
        <f>IF(ISBLANK(I11),IF(ISNUMBER(J11)=FALSE,K11*1000000,J11*1000000),I11*1000000)</f>
        <v>77571180000000</v>
      </c>
      <c r="M11" s="821" t="s">
        <v>673</v>
      </c>
      <c r="N11" s="860"/>
    </row>
    <row r="12" spans="1:14" ht="12.75" customHeight="1" x14ac:dyDescent="0.3">
      <c r="A12" s="860"/>
      <c r="B12" s="821" t="s">
        <v>4767</v>
      </c>
      <c r="C12" s="860"/>
      <c r="D12" s="860"/>
      <c r="E12" s="860"/>
      <c r="F12" s="860"/>
      <c r="G12" s="872" t="s">
        <v>2476</v>
      </c>
      <c r="H12" s="860" t="s">
        <v>291</v>
      </c>
      <c r="I12" s="875"/>
      <c r="J12" s="792" t="str">
        <f>IF(ISBLANK(HLOOKUP(CaseName,CaseData,MATCH($G12,cases!$G$4:$G$2494,0),FALSE)),"",HLOOKUP(CaseName,CaseData,MATCH($G12,cases!$G$4:$G$2494,0),FALSE))</f>
        <v/>
      </c>
      <c r="K12" s="870">
        <v>0.5</v>
      </c>
      <c r="L12" s="794">
        <f>IF(ISBLANK(I12),IF(ISNUMBER(J12)=FALSE,K12,J12),I12)</f>
        <v>0.5</v>
      </c>
      <c r="M12" s="860" t="s">
        <v>292</v>
      </c>
      <c r="N12" s="860"/>
    </row>
    <row r="13" spans="1:14" ht="12.75" customHeight="1" x14ac:dyDescent="0.3">
      <c r="A13" s="860"/>
      <c r="B13" s="821" t="s">
        <v>4768</v>
      </c>
      <c r="C13" s="860"/>
      <c r="D13" s="860"/>
      <c r="E13" s="860"/>
      <c r="F13" s="860"/>
      <c r="G13" s="872" t="s">
        <v>2477</v>
      </c>
      <c r="H13" s="860" t="s">
        <v>291</v>
      </c>
      <c r="I13" s="875"/>
      <c r="J13" s="792" t="str">
        <f>IF(ISBLANK(HLOOKUP(CaseName,CaseData,MATCH($G13,cases!$G$4:$G$2494,0),FALSE)),"",HLOOKUP(CaseName,CaseData,MATCH($G13,cases!$G$4:$G$2494,0),FALSE))</f>
        <v/>
      </c>
      <c r="K13" s="870">
        <f>1-L12</f>
        <v>0.5</v>
      </c>
      <c r="L13" s="794">
        <f>IF(ISBLANK(I13),IF(ISNUMBER(J13)=FALSE,K13,J13),I13)</f>
        <v>0.5</v>
      </c>
      <c r="M13" s="860" t="s">
        <v>292</v>
      </c>
      <c r="N13" s="860"/>
    </row>
    <row r="14" spans="1:14" ht="12.75" customHeight="1" x14ac:dyDescent="0.3">
      <c r="A14" s="860"/>
      <c r="B14" s="860"/>
      <c r="C14" s="821" t="s">
        <v>987</v>
      </c>
      <c r="D14" s="860"/>
      <c r="E14" s="860"/>
      <c r="F14" s="860"/>
      <c r="G14" s="872" t="s">
        <v>2478</v>
      </c>
      <c r="H14" s="821" t="s">
        <v>813</v>
      </c>
      <c r="I14" s="869"/>
      <c r="J14" s="792" t="str">
        <f>IF(ISBLANK(HLOOKUP(CaseName,CaseData,MATCH($G14,cases!$G$4:$G$2494,0),FALSE)),"",HLOOKUP(CaseName,CaseData,MATCH($G14,cases!$G$4:$G$2494,0),FALSE))</f>
        <v/>
      </c>
      <c r="K14" s="870">
        <v>1000</v>
      </c>
      <c r="L14" s="794">
        <f>IF(ISBLANK(I14),IF(ISNUMBER(J14)=FALSE,K14,J14),I14)</f>
        <v>1000</v>
      </c>
      <c r="M14" s="821" t="s">
        <v>279</v>
      </c>
      <c r="N14" s="860"/>
    </row>
    <row r="15" spans="1:14" ht="12.75" customHeight="1" x14ac:dyDescent="0.3">
      <c r="A15" s="860"/>
      <c r="B15" s="860"/>
      <c r="C15" s="821" t="s">
        <v>2479</v>
      </c>
      <c r="D15" s="860"/>
      <c r="E15" s="860"/>
      <c r="F15" s="860"/>
      <c r="G15" s="872" t="s">
        <v>2480</v>
      </c>
      <c r="H15" s="821" t="s">
        <v>813</v>
      </c>
      <c r="I15" s="875"/>
      <c r="J15" s="792" t="str">
        <f>IF(ISBLANK(HLOOKUP(CaseName,CaseData,MATCH($G15,cases!$G$4:$G$2494,0),FALSE)),"",HLOOKUP(CaseName,CaseData,MATCH($G15,cases!$G$4:$G$2494,0),FALSE))</f>
        <v/>
      </c>
      <c r="K15" s="870">
        <v>100</v>
      </c>
      <c r="L15" s="794">
        <f>IF(ISBLANK(I15),IF(ISNUMBER(J15)=FALSE,K15,J15),I15)</f>
        <v>100</v>
      </c>
      <c r="M15" s="821" t="s">
        <v>279</v>
      </c>
      <c r="N15" s="860"/>
    </row>
    <row r="16" spans="1:14" ht="12.75" customHeight="1" x14ac:dyDescent="0.3">
      <c r="A16" s="860"/>
      <c r="B16" s="860"/>
      <c r="C16" s="821" t="s">
        <v>2481</v>
      </c>
      <c r="D16" s="860"/>
      <c r="E16" s="860"/>
      <c r="F16" s="860"/>
      <c r="G16" s="872" t="s">
        <v>2482</v>
      </c>
      <c r="H16" s="821" t="s">
        <v>813</v>
      </c>
      <c r="I16" s="875"/>
      <c r="J16" s="792" t="str">
        <f>IF(ISBLANK(HLOOKUP(CaseName,CaseData,MATCH($G16,cases!$G$4:$G$2494,0),FALSE)),"",HLOOKUP(CaseName,CaseData,MATCH($G16,cases!$G$4:$G$2494,0),FALSE))</f>
        <v/>
      </c>
      <c r="K16" s="870">
        <v>3000</v>
      </c>
      <c r="L16" s="794">
        <f>IF(ISBLANK(I16),IF(ISNUMBER(J16)=FALSE,K16,J16),I16)</f>
        <v>3000</v>
      </c>
      <c r="M16" s="821" t="s">
        <v>279</v>
      </c>
      <c r="N16" s="860"/>
    </row>
    <row r="17" spans="1:14" ht="12.75" customHeight="1" x14ac:dyDescent="0.3">
      <c r="A17" s="860"/>
      <c r="B17" s="860"/>
      <c r="C17" s="821" t="s">
        <v>2483</v>
      </c>
      <c r="D17" s="860"/>
      <c r="E17" s="860"/>
      <c r="F17" s="860"/>
      <c r="G17" s="872" t="s">
        <v>2484</v>
      </c>
      <c r="H17" s="821" t="s">
        <v>997</v>
      </c>
      <c r="I17" s="875"/>
      <c r="J17" s="792" t="str">
        <f>IF(ISBLANK(HLOOKUP(CaseName,CaseData,MATCH($G17,cases!$G$4:$G$2494,0),FALSE)),"",HLOOKUP(CaseName,CaseData,MATCH($G17,cases!$G$4:$G$2494,0),FALSE))</f>
        <v/>
      </c>
      <c r="K17" s="870">
        <v>3</v>
      </c>
      <c r="L17" s="794">
        <f>IF(ISBLANK(I17),IF(ISNUMBER(J17)=FALSE,K17/100,J17/100),I17/100)</f>
        <v>0.03</v>
      </c>
      <c r="M17" s="821" t="s">
        <v>279</v>
      </c>
      <c r="N17" s="860"/>
    </row>
    <row r="18" spans="1:14" ht="12.75" customHeight="1" x14ac:dyDescent="0.3">
      <c r="A18" s="821"/>
      <c r="B18" s="860"/>
      <c r="C18" s="821" t="s">
        <v>4769</v>
      </c>
      <c r="D18" s="872"/>
      <c r="E18" s="872"/>
      <c r="F18" s="860"/>
      <c r="G18" s="872" t="s">
        <v>2485</v>
      </c>
      <c r="H18" s="821" t="s">
        <v>813</v>
      </c>
      <c r="I18" s="871"/>
      <c r="J18" s="792" t="str">
        <f>IF(ISBLANK(HLOOKUP(CaseName,CaseData,MATCH($G18,cases!$G$4:$G$2494,0),FALSE)),"",HLOOKUP(CaseName,CaseData,MATCH($G18,cases!$G$4:$G$2494,0),FALSE))</f>
        <v/>
      </c>
      <c r="K18" s="870">
        <v>0.05</v>
      </c>
      <c r="L18" s="794">
        <f t="shared" ref="L18:L26" si="1">IF(ISBLANK(I18),IF(ISNUMBER(J18)=FALSE,K18,J18),I18)</f>
        <v>0.05</v>
      </c>
      <c r="M18" s="860" t="s">
        <v>279</v>
      </c>
      <c r="N18" s="860"/>
    </row>
    <row r="19" spans="1:14" ht="12.75" customHeight="1" x14ac:dyDescent="0.3">
      <c r="A19" s="797"/>
      <c r="B19" s="797"/>
      <c r="C19" s="797" t="s">
        <v>1005</v>
      </c>
      <c r="D19" s="797"/>
      <c r="E19" s="797"/>
      <c r="F19" s="797"/>
      <c r="G19" s="796" t="s">
        <v>4770</v>
      </c>
      <c r="H19" s="796" t="s">
        <v>1007</v>
      </c>
      <c r="I19" s="871"/>
      <c r="J19" s="792" t="str">
        <f>IF(ISBLANK(HLOOKUP(CaseName,CaseData,MATCH($G19,cases!$G$4:$G$2494,0),FALSE)),"",HLOOKUP(CaseName,CaseData,MATCH($G19,cases!$G$4:$G$2494,0),FALSE))</f>
        <v/>
      </c>
      <c r="K19" s="870">
        <v>2.9999999999999999E-7</v>
      </c>
      <c r="L19" s="794">
        <f t="shared" si="1"/>
        <v>2.9999999999999999E-7</v>
      </c>
      <c r="M19" s="796" t="s">
        <v>292</v>
      </c>
      <c r="N19" s="797" t="s">
        <v>1011</v>
      </c>
    </row>
    <row r="20" spans="1:14" ht="12.75" customHeight="1" x14ac:dyDescent="0.3">
      <c r="A20" s="860"/>
      <c r="B20" s="860"/>
      <c r="C20" s="860" t="s">
        <v>1009</v>
      </c>
      <c r="D20" s="860"/>
      <c r="E20" s="860"/>
      <c r="F20" s="860"/>
      <c r="G20" s="821" t="s">
        <v>4771</v>
      </c>
      <c r="H20" s="821" t="s">
        <v>1007</v>
      </c>
      <c r="I20" s="871"/>
      <c r="J20" s="792" t="str">
        <f>IF(ISBLANK(HLOOKUP(CaseName,CaseData,MATCH($G20,cases!$G$4:$G$2494,0),FALSE)),"",HLOOKUP(CaseName,CaseData,MATCH($G20,cases!$G$4:$G$2494,0),FALSE))</f>
        <v/>
      </c>
      <c r="K20" s="870">
        <v>1.9999999999999999E-11</v>
      </c>
      <c r="L20" s="794">
        <f t="shared" si="1"/>
        <v>1.9999999999999999E-11</v>
      </c>
      <c r="M20" s="821" t="s">
        <v>292</v>
      </c>
      <c r="N20" s="860" t="s">
        <v>1011</v>
      </c>
    </row>
    <row r="21" spans="1:14" ht="12.75" customHeight="1" x14ac:dyDescent="0.3">
      <c r="A21" s="860"/>
      <c r="B21" s="860"/>
      <c r="C21" s="860" t="s">
        <v>1012</v>
      </c>
      <c r="D21" s="860"/>
      <c r="E21" s="860"/>
      <c r="F21" s="860"/>
      <c r="G21" s="821" t="s">
        <v>4772</v>
      </c>
      <c r="H21" s="821" t="s">
        <v>1007</v>
      </c>
      <c r="I21" s="871"/>
      <c r="J21" s="792" t="str">
        <f>IF(ISBLANK(HLOOKUP(CaseName,CaseData,MATCH($G21,cases!$G$4:$G$2494,0),FALSE)),"",HLOOKUP(CaseName,CaseData,MATCH($G21,cases!$G$4:$G$2494,0),FALSE))</f>
        <v/>
      </c>
      <c r="K21" s="870">
        <v>1.9999999999999999E-11</v>
      </c>
      <c r="L21" s="794">
        <f t="shared" si="1"/>
        <v>1.9999999999999999E-11</v>
      </c>
      <c r="M21" s="821" t="s">
        <v>292</v>
      </c>
      <c r="N21" s="860" t="s">
        <v>1011</v>
      </c>
    </row>
    <row r="22" spans="1:14" ht="12.75" customHeight="1" x14ac:dyDescent="0.3">
      <c r="A22" s="821"/>
      <c r="B22" s="860"/>
      <c r="C22" s="821" t="s">
        <v>2489</v>
      </c>
      <c r="D22" s="872"/>
      <c r="E22" s="872"/>
      <c r="F22" s="860"/>
      <c r="G22" s="872" t="s">
        <v>2490</v>
      </c>
      <c r="H22" s="821" t="s">
        <v>1007</v>
      </c>
      <c r="I22" s="869"/>
      <c r="J22" s="792" t="str">
        <f>IF(ISBLANK(HLOOKUP(CaseName,CaseData,MATCH($G22,cases!$G$4:$G$2494,0),FALSE)),"",HLOOKUP(CaseName,CaseData,MATCH($G22,cases!$G$4:$G$2494,0),FALSE))</f>
        <v/>
      </c>
      <c r="K22" s="870">
        <v>0.2</v>
      </c>
      <c r="L22" s="794">
        <f t="shared" si="1"/>
        <v>0.2</v>
      </c>
      <c r="M22" s="860" t="s">
        <v>292</v>
      </c>
      <c r="N22" s="860"/>
    </row>
    <row r="23" spans="1:14" ht="12.75" customHeight="1" x14ac:dyDescent="0.3">
      <c r="A23" s="860"/>
      <c r="B23" s="860"/>
      <c r="C23" s="821" t="s">
        <v>2491</v>
      </c>
      <c r="D23" s="860"/>
      <c r="E23" s="860"/>
      <c r="F23" s="860"/>
      <c r="G23" s="872" t="s">
        <v>2492</v>
      </c>
      <c r="H23" s="821" t="s">
        <v>1007</v>
      </c>
      <c r="I23" s="869"/>
      <c r="J23" s="792" t="str">
        <f>IF(ISBLANK(HLOOKUP(CaseName,CaseData,MATCH($G23,cases!$G$4:$G$2494,0),FALSE)),"",HLOOKUP(CaseName,CaseData,MATCH($G23,cases!$G$4:$G$2494,0),FALSE))</f>
        <v/>
      </c>
      <c r="K23" s="870">
        <v>0.2</v>
      </c>
      <c r="L23" s="794">
        <f t="shared" si="1"/>
        <v>0.2</v>
      </c>
      <c r="M23" s="860" t="s">
        <v>292</v>
      </c>
      <c r="N23" s="860"/>
    </row>
    <row r="24" spans="1:14" ht="12.75" customHeight="1" x14ac:dyDescent="0.3">
      <c r="A24" s="860"/>
      <c r="B24" s="860"/>
      <c r="C24" s="821" t="s">
        <v>2493</v>
      </c>
      <c r="D24" s="860"/>
      <c r="E24" s="860"/>
      <c r="F24" s="860"/>
      <c r="G24" s="872" t="s">
        <v>2494</v>
      </c>
      <c r="H24" s="821" t="s">
        <v>1007</v>
      </c>
      <c r="I24" s="869"/>
      <c r="J24" s="792" t="str">
        <f>IF(ISBLANK(HLOOKUP(CaseName,CaseData,MATCH($G24,cases!$G$4:$G$2494,0),FALSE)),"",HLOOKUP(CaseName,CaseData,MATCH($G24,cases!$G$4:$G$2494,0),FALSE))</f>
        <v/>
      </c>
      <c r="K24" s="870">
        <f>1-L22-L23</f>
        <v>0.60000000000000009</v>
      </c>
      <c r="L24" s="794">
        <f t="shared" si="1"/>
        <v>0.60000000000000009</v>
      </c>
      <c r="M24" s="860" t="s">
        <v>292</v>
      </c>
      <c r="N24" s="860"/>
    </row>
    <row r="25" spans="1:14" ht="12.75" customHeight="1" x14ac:dyDescent="0.3">
      <c r="A25" s="821"/>
      <c r="B25" s="860"/>
      <c r="C25" s="821" t="s">
        <v>1032</v>
      </c>
      <c r="D25" s="872"/>
      <c r="E25" s="872"/>
      <c r="F25" s="860"/>
      <c r="G25" s="872" t="s">
        <v>2495</v>
      </c>
      <c r="H25" s="821" t="s">
        <v>1007</v>
      </c>
      <c r="I25" s="869"/>
      <c r="J25" s="792" t="str">
        <f>IF(ISBLANK(HLOOKUP(CaseName,CaseData,MATCH($G25,cases!$G$4:$G$2494,0),FALSE)),"",HLOOKUP(CaseName,CaseData,MATCH($G25,cases!$G$4:$G$2494,0),FALSE))</f>
        <v/>
      </c>
      <c r="K25" s="870">
        <v>0.8</v>
      </c>
      <c r="L25" s="794">
        <f t="shared" si="1"/>
        <v>0.8</v>
      </c>
      <c r="M25" s="821" t="s">
        <v>292</v>
      </c>
      <c r="N25" s="860"/>
    </row>
    <row r="26" spans="1:14" ht="12.75" customHeight="1" x14ac:dyDescent="0.3">
      <c r="A26" s="821"/>
      <c r="B26" s="860"/>
      <c r="C26" s="821" t="s">
        <v>1034</v>
      </c>
      <c r="D26" s="872"/>
      <c r="E26" s="872"/>
      <c r="F26" s="860"/>
      <c r="G26" s="872" t="s">
        <v>2496</v>
      </c>
      <c r="H26" s="821" t="s">
        <v>1007</v>
      </c>
      <c r="I26" s="869"/>
      <c r="J26" s="792" t="str">
        <f>IF(ISBLANK(HLOOKUP(CaseName,CaseData,MATCH($G26,cases!$G$4:$G$2494,0),FALSE)),"",HLOOKUP(CaseName,CaseData,MATCH($G26,cases!$G$4:$G$2494,0),FALSE))</f>
        <v/>
      </c>
      <c r="K26" s="793">
        <f>1-L25</f>
        <v>0.19999999999999996</v>
      </c>
      <c r="L26" s="794">
        <f t="shared" si="1"/>
        <v>0.19999999999999996</v>
      </c>
      <c r="M26" s="821" t="s">
        <v>292</v>
      </c>
      <c r="N26" s="860"/>
    </row>
    <row r="27" spans="1:14" ht="12.75" customHeight="1" x14ac:dyDescent="0.3">
      <c r="A27" s="860"/>
      <c r="B27" s="860"/>
      <c r="C27" s="860"/>
      <c r="D27" s="860"/>
      <c r="E27" s="860"/>
      <c r="F27" s="860"/>
      <c r="G27" s="860"/>
      <c r="H27" s="860"/>
      <c r="I27" s="790"/>
      <c r="J27" s="792"/>
      <c r="K27" s="886"/>
      <c r="L27" s="886"/>
      <c r="M27" s="860"/>
      <c r="N27" s="860"/>
    </row>
    <row r="28" spans="1:14" ht="12.75" customHeight="1" x14ac:dyDescent="0.3">
      <c r="A28" s="789" t="s">
        <v>2497</v>
      </c>
      <c r="B28" s="790"/>
      <c r="C28" s="790"/>
      <c r="D28" s="790"/>
      <c r="E28" s="790"/>
      <c r="F28" s="790"/>
      <c r="G28" s="789" t="s">
        <v>2498</v>
      </c>
      <c r="H28" s="789" t="s">
        <v>4690</v>
      </c>
      <c r="I28" s="875"/>
      <c r="J28" s="792" t="str">
        <f>IF(ISBLANK(HLOOKUP(CaseName,CaseData,MATCH($G28,cases!$G$4:$G$2494,0),FALSE)),"",HLOOKUP(CaseName,CaseData,MATCH($G28,cases!$G$4:$G$2494,0),FALSE))</f>
        <v/>
      </c>
      <c r="K28" s="870">
        <f>k.aC.aM*VOLUME.aC/L5</f>
        <v>1.2824122486466641E-7</v>
      </c>
      <c r="L28" s="794">
        <f>IF(ISBLANK(I28),IF(ISNUMBER(J28)=FALSE,K28,J28),I28)</f>
        <v>1.2824122486466641E-7</v>
      </c>
      <c r="M28" s="790" t="s">
        <v>1038</v>
      </c>
      <c r="N28" s="790"/>
    </row>
    <row r="29" spans="1:14" ht="12.75" customHeight="1" x14ac:dyDescent="0.3">
      <c r="A29" s="789" t="s">
        <v>2499</v>
      </c>
      <c r="B29" s="790"/>
      <c r="C29" s="790"/>
      <c r="D29" s="790"/>
      <c r="E29" s="790"/>
      <c r="F29" s="790"/>
      <c r="G29" s="789" t="s">
        <v>2500</v>
      </c>
      <c r="H29" s="789" t="s">
        <v>4690</v>
      </c>
      <c r="I29" s="875"/>
      <c r="J29" s="792" t="str">
        <f>IF(ISBLANK(HLOOKUP(CaseName,CaseData,MATCH($G29,cases!$G$4:$G$2494,0),FALSE)),"",HLOOKUP(CaseName,CaseData,MATCH($G29,cases!$G$4:$G$2494,0),FALSE))</f>
        <v/>
      </c>
      <c r="K29" s="870">
        <f>L357*L334/L5</f>
        <v>3.7932294855432789E-7</v>
      </c>
      <c r="L29" s="794">
        <f>IF(ISBLANK(I29),IF(ISNUMBER(J29)=FALSE,K29,J29),I29)</f>
        <v>3.7932294855432789E-7</v>
      </c>
      <c r="M29" s="790" t="s">
        <v>1038</v>
      </c>
      <c r="N29" s="790"/>
    </row>
    <row r="30" spans="1:14" ht="12.75" customHeight="1" x14ac:dyDescent="0.3">
      <c r="A30" s="789" t="s">
        <v>2501</v>
      </c>
      <c r="B30" s="790"/>
      <c r="C30" s="790"/>
      <c r="D30" s="790"/>
      <c r="E30" s="790"/>
      <c r="F30" s="790"/>
      <c r="G30" s="789" t="s">
        <v>2502</v>
      </c>
      <c r="H30" s="789" t="s">
        <v>4690</v>
      </c>
      <c r="I30" s="875"/>
      <c r="J30" s="792" t="str">
        <f>IF(ISBLANK(HLOOKUP(CaseName,CaseData,MATCH($G30,cases!$G$4:$G$2494,0),FALSE)),"",HLOOKUP(CaseName,CaseData,MATCH($G30,cases!$G$4:$G$2494,0),FALSE))</f>
        <v/>
      </c>
      <c r="K30" s="870">
        <f>L679*L656/L5</f>
        <v>6.5700661937293134E-7</v>
      </c>
      <c r="L30" s="794">
        <f>IF(ISBLANK(I30),IF(ISNUMBER(J30)=FALSE,K30,J30),I30)</f>
        <v>6.5700661937293134E-7</v>
      </c>
      <c r="M30" s="790" t="s">
        <v>1038</v>
      </c>
      <c r="N30" s="790"/>
    </row>
    <row r="31" spans="1:14" ht="12.75" customHeight="1" x14ac:dyDescent="0.3">
      <c r="A31" s="860"/>
      <c r="B31" s="860"/>
      <c r="C31" s="860"/>
      <c r="D31" s="872"/>
      <c r="E31" s="860"/>
      <c r="F31" s="860"/>
      <c r="G31" s="821"/>
      <c r="H31" s="860"/>
      <c r="I31" s="861"/>
      <c r="J31" s="792"/>
      <c r="K31" s="911"/>
      <c r="L31" s="911"/>
      <c r="M31" s="860"/>
      <c r="N31" s="860"/>
    </row>
    <row r="32" spans="1:14" ht="12.75" customHeight="1" x14ac:dyDescent="0.3">
      <c r="A32" s="821" t="s">
        <v>4773</v>
      </c>
      <c r="B32" s="860"/>
      <c r="C32" s="860"/>
      <c r="D32" s="860"/>
      <c r="E32" s="860"/>
      <c r="F32" s="860"/>
      <c r="G32" s="821" t="s">
        <v>2503</v>
      </c>
      <c r="H32" s="821" t="s">
        <v>4690</v>
      </c>
      <c r="I32" s="875"/>
      <c r="J32" s="792" t="str">
        <f>IF(ISBLANK(HLOOKUP(CaseName,CaseData,MATCH($G32,cases!$G$4:$G$2494,0),FALSE)),"",HLOOKUP(CaseName,CaseData,MATCH($G32,cases!$G$4:$G$2494,0),FALSE))</f>
        <v/>
      </c>
      <c r="K32" s="870">
        <f>L37/L7</f>
        <v>6.0683860128376809E-9</v>
      </c>
      <c r="L32" s="794">
        <f t="shared" ref="L32:L43" si="2">IF(ISBLANK(I32),IF(ISNUMBER(J32)=FALSE,K32,J32),I32)</f>
        <v>6.0683860128376809E-9</v>
      </c>
      <c r="M32" s="860" t="s">
        <v>1038</v>
      </c>
      <c r="N32" s="860"/>
    </row>
    <row r="33" spans="1:14" ht="12.75" customHeight="1" x14ac:dyDescent="0.3">
      <c r="A33" s="821" t="s">
        <v>4774</v>
      </c>
      <c r="B33" s="860"/>
      <c r="C33" s="860"/>
      <c r="D33" s="860"/>
      <c r="E33" s="860"/>
      <c r="F33" s="860"/>
      <c r="G33" s="821" t="s">
        <v>2504</v>
      </c>
      <c r="H33" s="821" t="s">
        <v>4690</v>
      </c>
      <c r="I33" s="875"/>
      <c r="J33" s="792" t="str">
        <f>IF(ISBLANK(HLOOKUP(CaseName,CaseData,MATCH($G33,cases!$G$4:$G$2494,0),FALSE)),"",HLOOKUP(CaseName,CaseData,MATCH($G33,cases!$G$4:$G$2494,0),FALSE))</f>
        <v/>
      </c>
      <c r="K33" s="870">
        <f>L38/L7</f>
        <v>3.8674157077409421E-8</v>
      </c>
      <c r="L33" s="794">
        <f t="shared" si="2"/>
        <v>3.8674157077409421E-8</v>
      </c>
      <c r="M33" s="860" t="s">
        <v>1038</v>
      </c>
      <c r="N33" s="860"/>
    </row>
    <row r="34" spans="1:14" ht="12.75" customHeight="1" x14ac:dyDescent="0.3">
      <c r="A34" s="821" t="s">
        <v>4775</v>
      </c>
      <c r="B34" s="860"/>
      <c r="C34" s="860"/>
      <c r="D34" s="860"/>
      <c r="E34" s="860"/>
      <c r="F34" s="860"/>
      <c r="G34" s="821" t="s">
        <v>2505</v>
      </c>
      <c r="H34" s="821" t="s">
        <v>4690</v>
      </c>
      <c r="I34" s="875"/>
      <c r="J34" s="792" t="str">
        <f>IF(ISBLANK(HLOOKUP(CaseName,CaseData,MATCH($G34,cases!$G$4:$G$2494,0),FALSE)),"",HLOOKUP(CaseName,CaseData,MATCH($G34,cases!$G$4:$G$2494,0),FALSE))</f>
        <v/>
      </c>
      <c r="K34" s="870">
        <f>L39/L7</f>
        <v>0</v>
      </c>
      <c r="L34" s="794">
        <f t="shared" si="2"/>
        <v>0</v>
      </c>
      <c r="M34" s="860" t="s">
        <v>1038</v>
      </c>
      <c r="N34" s="860"/>
    </row>
    <row r="35" spans="1:14" ht="12.75" customHeight="1" x14ac:dyDescent="0.3">
      <c r="A35" s="821" t="s">
        <v>2506</v>
      </c>
      <c r="B35" s="860"/>
      <c r="C35" s="860"/>
      <c r="D35" s="860"/>
      <c r="E35" s="860"/>
      <c r="F35" s="860"/>
      <c r="G35" s="821" t="s">
        <v>2507</v>
      </c>
      <c r="H35" s="821" t="s">
        <v>4690</v>
      </c>
      <c r="I35" s="875"/>
      <c r="J35" s="792" t="str">
        <f>IF(ISBLANK(HLOOKUP(CaseName,CaseData,MATCH($G35,cases!$G$4:$G$2494,0),FALSE)),"",HLOOKUP(CaseName,CaseData,MATCH($G35,cases!$G$4:$G$2494,0),FALSE))</f>
        <v/>
      </c>
      <c r="K35" s="870">
        <v>0</v>
      </c>
      <c r="L35" s="794">
        <f t="shared" si="2"/>
        <v>0</v>
      </c>
      <c r="M35" s="860" t="s">
        <v>1038</v>
      </c>
      <c r="N35" s="860"/>
    </row>
    <row r="36" spans="1:14" ht="12.75" customHeight="1" x14ac:dyDescent="0.3">
      <c r="A36" s="821" t="s">
        <v>2508</v>
      </c>
      <c r="B36" s="860"/>
      <c r="C36" s="860"/>
      <c r="D36" s="860"/>
      <c r="E36" s="860"/>
      <c r="F36" s="860"/>
      <c r="G36" s="821" t="s">
        <v>2509</v>
      </c>
      <c r="H36" s="821" t="s">
        <v>4690</v>
      </c>
      <c r="I36" s="875"/>
      <c r="J36" s="792" t="str">
        <f>IF(ISBLANK(HLOOKUP(CaseName,CaseData,MATCH($G36,cases!$G$4:$G$2494,0),FALSE)),"",HLOOKUP(CaseName,CaseData,MATCH($G36,cases!$G$4:$G$2494,0),FALSE))</f>
        <v/>
      </c>
      <c r="K36" s="870">
        <f>L40/L8</f>
        <v>1.2891385692469807E-9</v>
      </c>
      <c r="L36" s="794">
        <f t="shared" si="2"/>
        <v>1.2891385692469807E-9</v>
      </c>
      <c r="M36" s="860" t="s">
        <v>1038</v>
      </c>
      <c r="N36" s="860"/>
    </row>
    <row r="37" spans="1:14" ht="12.75" customHeight="1" x14ac:dyDescent="0.3">
      <c r="A37" s="821"/>
      <c r="B37" s="821" t="s">
        <v>2510</v>
      </c>
      <c r="C37" s="860"/>
      <c r="D37" s="860"/>
      <c r="E37" s="860"/>
      <c r="F37" s="860"/>
      <c r="G37" s="872" t="s">
        <v>2511</v>
      </c>
      <c r="H37" s="860" t="s">
        <v>4691</v>
      </c>
      <c r="I37" s="869"/>
      <c r="J37" s="792" t="str">
        <f>IF(ISBLANK(HLOOKUP(CaseName,CaseData,MATCH($G37,cases!$G$4:$G$2494,0),FALSE)),"",HLOOKUP(CaseName,CaseData,MATCH($G37,cases!$G$4:$G$2494,0),FALSE))</f>
        <v/>
      </c>
      <c r="K37" s="870">
        <f>WATERflow.w2C.w2M</f>
        <v>23536593.185565703</v>
      </c>
      <c r="L37" s="794">
        <f t="shared" si="2"/>
        <v>23536593.185565703</v>
      </c>
      <c r="M37" s="860" t="s">
        <v>4692</v>
      </c>
      <c r="N37" s="860"/>
    </row>
    <row r="38" spans="1:14" ht="12.75" customHeight="1" x14ac:dyDescent="0.3">
      <c r="A38" s="821"/>
      <c r="B38" s="821" t="s">
        <v>2512</v>
      </c>
      <c r="C38" s="860"/>
      <c r="D38" s="860"/>
      <c r="E38" s="860"/>
      <c r="F38" s="860"/>
      <c r="G38" s="872" t="s">
        <v>2513</v>
      </c>
      <c r="H38" s="860" t="s">
        <v>4691</v>
      </c>
      <c r="I38" s="869"/>
      <c r="J38" s="792" t="str">
        <f>IF(ISBLANK(HLOOKUP(CaseName,CaseData,MATCH($G38,cases!$G$4:$G$2494,0),FALSE)),"",HLOOKUP(CaseName,CaseData,MATCH($G38,cases!$G$4:$G$2494,0),FALSE))</f>
        <v/>
      </c>
      <c r="K38" s="870">
        <f>L40</f>
        <v>150000000</v>
      </c>
      <c r="L38" s="794">
        <f t="shared" si="2"/>
        <v>150000000</v>
      </c>
      <c r="M38" s="860" t="s">
        <v>4692</v>
      </c>
      <c r="N38" s="860"/>
    </row>
    <row r="39" spans="1:14" ht="12.75" customHeight="1" x14ac:dyDescent="0.3">
      <c r="A39" s="821"/>
      <c r="B39" s="821" t="s">
        <v>2514</v>
      </c>
      <c r="C39" s="860"/>
      <c r="D39" s="860"/>
      <c r="E39" s="860"/>
      <c r="F39" s="860"/>
      <c r="G39" s="872" t="s">
        <v>2515</v>
      </c>
      <c r="H39" s="860" t="s">
        <v>4691</v>
      </c>
      <c r="I39" s="869"/>
      <c r="J39" s="792" t="str">
        <f>IF(ISBLANK(HLOOKUP(CaseName,CaseData,MATCH($G39,cases!$G$4:$G$2494,0),FALSE)),"",HLOOKUP(CaseName,CaseData,MATCH($G39,cases!$G$4:$G$2494,0),FALSE))</f>
        <v/>
      </c>
      <c r="K39" s="870">
        <f>0</f>
        <v>0</v>
      </c>
      <c r="L39" s="794">
        <f t="shared" si="2"/>
        <v>0</v>
      </c>
      <c r="M39" s="860" t="s">
        <v>4692</v>
      </c>
      <c r="N39" s="860"/>
    </row>
    <row r="40" spans="1:14" ht="12.75" customHeight="1" x14ac:dyDescent="0.3">
      <c r="A40" s="821"/>
      <c r="B40" s="821"/>
      <c r="C40" s="860" t="s">
        <v>2516</v>
      </c>
      <c r="D40" s="860"/>
      <c r="E40" s="860"/>
      <c r="F40" s="860"/>
      <c r="G40" s="821" t="s">
        <v>2517</v>
      </c>
      <c r="H40" s="860" t="s">
        <v>4691</v>
      </c>
      <c r="I40" s="875"/>
      <c r="J40" s="792" t="str">
        <f>IF(ISBLANK(HLOOKUP(CaseName,CaseData,MATCH($G40,cases!$G$4:$G$2494,0),FALSE)),"",HLOOKUP(CaseName,CaseData,MATCH($G40,cases!$G$4:$G$2494,0),FALSE))</f>
        <v/>
      </c>
      <c r="K40" s="870">
        <v>150000000</v>
      </c>
      <c r="L40" s="794">
        <f t="shared" si="2"/>
        <v>150000000</v>
      </c>
      <c r="M40" s="860" t="s">
        <v>4692</v>
      </c>
      <c r="N40" s="860"/>
    </row>
    <row r="41" spans="1:14" ht="12.75" customHeight="1" x14ac:dyDescent="0.3">
      <c r="A41" s="821" t="s">
        <v>2518</v>
      </c>
      <c r="B41" s="860"/>
      <c r="C41" s="860"/>
      <c r="D41" s="860"/>
      <c r="E41" s="860"/>
      <c r="F41" s="860"/>
      <c r="G41" s="821" t="s">
        <v>2519</v>
      </c>
      <c r="H41" s="821" t="s">
        <v>4690</v>
      </c>
      <c r="I41" s="875"/>
      <c r="J41" s="792" t="str">
        <f>IF(ISBLANK(HLOOKUP(CaseName,CaseData,MATCH($G41,cases!$G$4:$G$2494,0),FALSE)),"",HLOOKUP(CaseName,CaseData,MATCH($G41,cases!$G$4:$G$2494,0),FALSE))</f>
        <v/>
      </c>
      <c r="K41" s="870">
        <f>(L40+L43)/L7</f>
        <v>2.4911186751511984E-7</v>
      </c>
      <c r="L41" s="794">
        <f t="shared" si="2"/>
        <v>2.4911186751511984E-7</v>
      </c>
      <c r="M41" s="860" t="s">
        <v>1038</v>
      </c>
      <c r="N41" s="860"/>
    </row>
    <row r="42" spans="1:14" ht="12.75" customHeight="1" x14ac:dyDescent="0.3">
      <c r="A42" s="821" t="s">
        <v>2520</v>
      </c>
      <c r="B42" s="860"/>
      <c r="C42" s="860"/>
      <c r="D42" s="860"/>
      <c r="E42" s="860"/>
      <c r="F42" s="860"/>
      <c r="G42" s="821" t="s">
        <v>2521</v>
      </c>
      <c r="H42" s="821" t="s">
        <v>4690</v>
      </c>
      <c r="I42" s="875"/>
      <c r="J42" s="792" t="str">
        <f>IF(ISBLANK(HLOOKUP(CaseName,CaseData,MATCH($G42,cases!$G$4:$G$2494,0),FALSE)),"",HLOOKUP(CaseName,CaseData,MATCH($G42,cases!$G$4:$G$2494,0),FALSE))</f>
        <v/>
      </c>
      <c r="K42" s="870">
        <f>(L40+L43)/L8</f>
        <v>8.3037289171706622E-9</v>
      </c>
      <c r="L42" s="794">
        <f t="shared" si="2"/>
        <v>8.3037289171706622E-9</v>
      </c>
      <c r="M42" s="860" t="s">
        <v>1038</v>
      </c>
      <c r="N42" s="860"/>
    </row>
    <row r="43" spans="1:14" ht="12.75" customHeight="1" x14ac:dyDescent="0.3">
      <c r="A43" s="821"/>
      <c r="B43" s="860" t="s">
        <v>2522</v>
      </c>
      <c r="C43" s="860"/>
      <c r="D43" s="860"/>
      <c r="E43" s="860"/>
      <c r="F43" s="860"/>
      <c r="G43" s="821" t="s">
        <v>2523</v>
      </c>
      <c r="H43" s="860" t="s">
        <v>4691</v>
      </c>
      <c r="I43" s="875"/>
      <c r="J43" s="792" t="str">
        <f>IF(ISBLANK(HLOOKUP(CaseName,CaseData,MATCH($G43,cases!$G$4:$G$2494,0),FALSE)),"",HLOOKUP(CaseName,CaseData,MATCH($G43,cases!$G$4:$G$2494,0),FALSE))</f>
        <v/>
      </c>
      <c r="K43" s="874">
        <f>L7/L44</f>
        <v>816195075.75757575</v>
      </c>
      <c r="L43" s="794">
        <f t="shared" si="2"/>
        <v>816195075.75757575</v>
      </c>
      <c r="M43" s="860" t="s">
        <v>4692</v>
      </c>
      <c r="N43" s="860"/>
    </row>
    <row r="44" spans="1:14" ht="12.75" customHeight="1" x14ac:dyDescent="0.3">
      <c r="A44" s="821"/>
      <c r="B44" s="821"/>
      <c r="C44" s="860" t="s">
        <v>2524</v>
      </c>
      <c r="D44" s="860"/>
      <c r="E44" s="860"/>
      <c r="F44" s="860"/>
      <c r="G44" s="821" t="s">
        <v>2525</v>
      </c>
      <c r="H44" s="860" t="s">
        <v>1041</v>
      </c>
      <c r="I44" s="875"/>
      <c r="J44" s="792" t="str">
        <f>IF(ISBLANK(HLOOKUP(CaseName,CaseData,MATCH($G44,cases!$G$4:$G$2494,0),FALSE)),"",HLOOKUP(CaseName,CaseData,MATCH($G44,cases!$G$4:$G$2494,0),FALSE))</f>
        <v/>
      </c>
      <c r="K44" s="874">
        <v>55</v>
      </c>
      <c r="L44" s="794">
        <f>IF(ISBLANK(I44),IF(ISNUMBER(J44)=FALSE,K44*(3600*24),J44*(3600*24)),I44*(3600*24))</f>
        <v>4752000</v>
      </c>
      <c r="M44" s="821" t="s">
        <v>1042</v>
      </c>
      <c r="N44" s="860"/>
    </row>
    <row r="45" spans="1:14" ht="12.75" customHeight="1" x14ac:dyDescent="0.3">
      <c r="A45" s="860"/>
      <c r="B45" s="860"/>
      <c r="C45" s="860"/>
      <c r="D45" s="860"/>
      <c r="E45" s="860"/>
      <c r="F45" s="860"/>
      <c r="G45" s="860"/>
      <c r="H45" s="821"/>
      <c r="I45" s="862"/>
      <c r="J45" s="792"/>
      <c r="K45" s="863"/>
      <c r="L45" s="863"/>
      <c r="M45" s="860"/>
      <c r="N45" s="860"/>
    </row>
    <row r="46" spans="1:14" ht="12.75" customHeight="1" x14ac:dyDescent="0.3">
      <c r="A46" s="865" t="s">
        <v>1952</v>
      </c>
      <c r="B46" s="864"/>
      <c r="C46" s="864"/>
      <c r="D46" s="864"/>
      <c r="E46" s="864"/>
      <c r="F46" s="864"/>
      <c r="G46" s="865" t="s">
        <v>258</v>
      </c>
      <c r="H46" s="865" t="s">
        <v>274</v>
      </c>
      <c r="I46" s="864" t="s">
        <v>259</v>
      </c>
      <c r="J46" s="910" t="s">
        <v>275</v>
      </c>
      <c r="K46" s="867" t="s">
        <v>260</v>
      </c>
      <c r="L46" s="867" t="s">
        <v>261</v>
      </c>
      <c r="M46" s="864"/>
      <c r="N46" s="865" t="s">
        <v>262</v>
      </c>
    </row>
    <row r="47" spans="1:14" ht="12.75" customHeight="1" x14ac:dyDescent="0.3">
      <c r="A47" s="860"/>
      <c r="B47" s="860"/>
      <c r="C47" s="860"/>
      <c r="D47" s="860"/>
      <c r="E47" s="860"/>
      <c r="F47" s="860"/>
      <c r="G47" s="860"/>
      <c r="H47" s="821"/>
      <c r="I47" s="862"/>
      <c r="J47" s="792"/>
      <c r="K47" s="863"/>
      <c r="L47" s="912"/>
      <c r="M47" s="860"/>
      <c r="N47" s="860"/>
    </row>
    <row r="48" spans="1:14" ht="12.75" customHeight="1" x14ac:dyDescent="0.3">
      <c r="A48" s="860"/>
      <c r="B48" s="821" t="s">
        <v>2526</v>
      </c>
      <c r="C48" s="821"/>
      <c r="D48" s="821"/>
      <c r="E48" s="821"/>
      <c r="F48" s="821"/>
      <c r="G48" s="821" t="s">
        <v>4776</v>
      </c>
      <c r="H48" s="821" t="s">
        <v>291</v>
      </c>
      <c r="I48" s="875"/>
      <c r="J48" s="792" t="str">
        <f>IF(ISBLANK(HLOOKUP(CaseName,CaseData,MATCH($G48,cases!$G$4:$G$2494,0),FALSE)),"",HLOOKUP(CaseName,CaseData,MATCH($G48,cases!$G$4:$G$2494,0),FALSE))</f>
        <v/>
      </c>
      <c r="K48" s="511">
        <f>1-L21 *L53/(1+L21*L53+L20*L54)-L20 *L54/(1+L21*L53+L20*L54)</f>
        <v>0.99999996469432006</v>
      </c>
      <c r="L48" s="794">
        <f>IF(ISBLANK(I48),IF(ISNUMBER(J48)=FALSE,K48,J48),I48)</f>
        <v>0.99999996469432006</v>
      </c>
      <c r="M48" s="821" t="s">
        <v>292</v>
      </c>
      <c r="N48" s="860"/>
    </row>
    <row r="49" spans="1:14" ht="12.75" customHeight="1" x14ac:dyDescent="0.3">
      <c r="A49" s="860"/>
      <c r="B49" s="860" t="s">
        <v>1955</v>
      </c>
      <c r="C49" s="860"/>
      <c r="D49" s="860"/>
      <c r="E49" s="860"/>
      <c r="F49" s="860"/>
      <c r="G49" s="860" t="s">
        <v>2528</v>
      </c>
      <c r="H49" s="860" t="s">
        <v>291</v>
      </c>
      <c r="I49" s="884"/>
      <c r="J49" s="792" t="str">
        <f>IF(ISBLANK(HLOOKUP(CaseName,CaseData,MATCH($G49,cases!$G$4:$G$2494,0),FALSE)),"",HLOOKUP(CaseName,CaseData,MATCH($G49,cases!$G$4:$G$2494,0),FALSE))</f>
        <v/>
      </c>
      <c r="K49" s="511">
        <f>L21 *L53/(1+L21*L53+L20*L54)</f>
        <v>2.2258158863377581E-10</v>
      </c>
      <c r="L49" s="794">
        <f>IF(ISBLANK(I49),IF(ISNUMBER(J49)=FALSE,K49,J49),I49)</f>
        <v>2.2258158863377581E-10</v>
      </c>
      <c r="M49" s="821" t="s">
        <v>292</v>
      </c>
      <c r="N49" s="860" t="s">
        <v>1067</v>
      </c>
    </row>
    <row r="50" spans="1:14" ht="12.75" customHeight="1" x14ac:dyDescent="0.3">
      <c r="A50" s="860"/>
      <c r="B50" s="860" t="s">
        <v>1957</v>
      </c>
      <c r="C50" s="860"/>
      <c r="D50" s="860"/>
      <c r="E50" s="860"/>
      <c r="F50" s="860"/>
      <c r="G50" s="860" t="s">
        <v>2529</v>
      </c>
      <c r="H50" s="860" t="s">
        <v>291</v>
      </c>
      <c r="I50" s="884"/>
      <c r="J50" s="792" t="str">
        <f>IF(ISBLANK(HLOOKUP(CaseName,CaseData,MATCH($G50,cases!$G$4:$G$2494,0),FALSE)),"",HLOOKUP(CaseName,CaseData,MATCH($G50,cases!$G$4:$G$2494,0),FALSE))</f>
        <v/>
      </c>
      <c r="K50" s="511">
        <f>L20 *L54/(1+L21*L53+L20*L54)</f>
        <v>3.5083098262422926E-8</v>
      </c>
      <c r="L50" s="794">
        <f>IF(ISBLANK(I50),IF(ISNUMBER(J50)=FALSE,K50,J50),I50)</f>
        <v>3.5083098262422926E-8</v>
      </c>
      <c r="M50" s="821" t="s">
        <v>292</v>
      </c>
      <c r="N50" s="860" t="s">
        <v>1067</v>
      </c>
    </row>
    <row r="51" spans="1:14" ht="12.75" customHeight="1" x14ac:dyDescent="0.3">
      <c r="A51" s="860"/>
      <c r="B51" s="821" t="s">
        <v>1959</v>
      </c>
      <c r="C51" s="821"/>
      <c r="D51" s="821"/>
      <c r="E51" s="821"/>
      <c r="F51" s="821"/>
      <c r="G51" s="821" t="s">
        <v>4777</v>
      </c>
      <c r="H51" s="821" t="s">
        <v>291</v>
      </c>
      <c r="I51" s="869"/>
      <c r="J51" s="792" t="str">
        <f>IF(ISBLANK(HLOOKUP(CaseName,CaseData,MATCH($G51,cases!$G$4:$G$2494,0),FALSE)),"",HLOOKUP(CaseName,CaseData,MATCH($G51,cases!$G$4:$G$2494,0),FALSE))</f>
        <v/>
      </c>
      <c r="K51" s="890">
        <f>Kaw*EXP((H0vap/8.314)*(1/298-1/L52))*EXP(-(H0sol/8.314)*(1/298-1/L52))*(298/L52)</f>
        <v>8.9854688416270423E-2</v>
      </c>
      <c r="L51" s="794">
        <f>IF(ISBLANK(I51),IF(ISNUMBER(J51)=FALSE,K51,J51),I51)</f>
        <v>8.9854688416270423E-2</v>
      </c>
      <c r="M51" s="821" t="s">
        <v>292</v>
      </c>
      <c r="N51" s="860"/>
    </row>
    <row r="52" spans="1:14" ht="12.75" customHeight="1" x14ac:dyDescent="0.3">
      <c r="A52" s="821"/>
      <c r="B52" s="821"/>
      <c r="C52" s="821" t="s">
        <v>2531</v>
      </c>
      <c r="D52" s="821"/>
      <c r="E52" s="821"/>
      <c r="F52" s="821"/>
      <c r="G52" s="821" t="s">
        <v>2532</v>
      </c>
      <c r="H52" s="821" t="s">
        <v>4778</v>
      </c>
      <c r="I52" s="869"/>
      <c r="J52" s="792" t="str">
        <f>IF(ISBLANK(HLOOKUP(CaseName,CaseData,MATCH($G52,cases!$G$4:$G$2494,0),FALSE)),"",HLOOKUP(CaseName,CaseData,MATCH($G52,cases!$G$4:$G$2494,0),FALSE))</f>
        <v/>
      </c>
      <c r="K52" s="890">
        <v>12</v>
      </c>
      <c r="L52" s="794">
        <f>IF(ISBLANK(I52),IF(ISNUMBER(J52)=FALSE,K52+273,J52+273),I52+273)</f>
        <v>285</v>
      </c>
      <c r="M52" s="821" t="s">
        <v>586</v>
      </c>
      <c r="N52" s="860"/>
    </row>
    <row r="53" spans="1:14" ht="12.75" customHeight="1" x14ac:dyDescent="0.35">
      <c r="A53" s="860"/>
      <c r="B53" s="860"/>
      <c r="C53" s="860" t="s">
        <v>1961</v>
      </c>
      <c r="D53" s="860"/>
      <c r="E53" s="860"/>
      <c r="F53" s="860"/>
      <c r="G53" s="860" t="s">
        <v>2533</v>
      </c>
      <c r="H53" s="860" t="s">
        <v>4701</v>
      </c>
      <c r="I53" s="884"/>
      <c r="J53" s="792" t="str">
        <f>IF(ISBLANK(HLOOKUP(CaseName,CaseData,MATCH($G53,cases!$G$4:$G$2494,0),FALSE)),"",HLOOKUP(CaseName,CaseData,MATCH($G53,cases!$G$4:$G$2494,0),FALSE))</f>
        <v/>
      </c>
      <c r="K53" s="372">
        <f>1/(L51*FRorig.aerw)</f>
        <v>11.129079824608519</v>
      </c>
      <c r="L53" s="794">
        <f t="shared" ref="L53:L60" si="3">IF(ISBLANK(I53),IF(ISNUMBER(J53)=FALSE,K53,J53),I53)</f>
        <v>11.129079824608519</v>
      </c>
      <c r="M53" s="821" t="s">
        <v>4779</v>
      </c>
      <c r="N53" s="860"/>
    </row>
    <row r="54" spans="1:14" ht="12.75" customHeight="1" x14ac:dyDescent="0.35">
      <c r="A54" s="860"/>
      <c r="B54" s="860"/>
      <c r="C54" s="860" t="s">
        <v>1963</v>
      </c>
      <c r="D54" s="860"/>
      <c r="E54" s="860"/>
      <c r="F54" s="860"/>
      <c r="G54" s="860" t="s">
        <v>2534</v>
      </c>
      <c r="H54" s="860" t="s">
        <v>4703</v>
      </c>
      <c r="I54" s="884"/>
      <c r="J54" s="792" t="str">
        <f>IF(ISBLANK(HLOOKUP(CaseName,CaseData,MATCH($G54,cases!$G$4:$G$2494,0),FALSE)),"",HLOOKUP(CaseName,CaseData,MATCH($G54,cases!$G$4:$G$2494,0),FALSE))</f>
        <v/>
      </c>
      <c r="K54" s="372">
        <f>0.54*(Kow/Kaw)*CORGaers*(RHOaers/1000)</f>
        <v>1754.1549750527802</v>
      </c>
      <c r="L54" s="794">
        <f t="shared" si="3"/>
        <v>1754.1549750527802</v>
      </c>
      <c r="M54" s="821" t="s">
        <v>4780</v>
      </c>
      <c r="N54" s="860" t="s">
        <v>1074</v>
      </c>
    </row>
    <row r="55" spans="1:14" ht="12.75" customHeight="1" x14ac:dyDescent="0.3">
      <c r="A55" s="821"/>
      <c r="B55" s="821" t="s">
        <v>4781</v>
      </c>
      <c r="C55" s="872"/>
      <c r="D55" s="860"/>
      <c r="E55" s="860"/>
      <c r="F55" s="860"/>
      <c r="G55" s="821" t="s">
        <v>2535</v>
      </c>
      <c r="H55" s="821" t="s">
        <v>291</v>
      </c>
      <c r="I55" s="875"/>
      <c r="J55" s="792" t="str">
        <f>IF(ISBLANK(HLOOKUP(CaseName,CaseData,MATCH($G55,cases!$G$4:$G$2494,0),FALSE)),"",HLOOKUP(CaseName,CaseData,MATCH($G55,cases!$G$4:$G$2494,0),FALSE))</f>
        <v/>
      </c>
      <c r="K55" s="874">
        <f>1/(1+L57*L61/1000+L63*L65/1000)</f>
        <v>0.99939559656267651</v>
      </c>
      <c r="L55" s="794">
        <f t="shared" si="3"/>
        <v>0.99939559656267651</v>
      </c>
      <c r="M55" s="821" t="s">
        <v>292</v>
      </c>
      <c r="N55" s="860"/>
    </row>
    <row r="56" spans="1:14" ht="12.75" customHeight="1" x14ac:dyDescent="0.3">
      <c r="A56" s="821"/>
      <c r="B56" s="821" t="s">
        <v>2536</v>
      </c>
      <c r="C56" s="872"/>
      <c r="D56" s="860"/>
      <c r="E56" s="860"/>
      <c r="F56" s="860"/>
      <c r="G56" s="821" t="s">
        <v>2537</v>
      </c>
      <c r="H56" s="821" t="s">
        <v>291</v>
      </c>
      <c r="I56" s="869"/>
      <c r="J56" s="792" t="str">
        <f>IF(ISBLANK(HLOOKUP(CaseName,CaseData,MATCH($G56,cases!$G$4:$G$2494,0),FALSE)),"",HLOOKUP(CaseName,CaseData,MATCH($G56,cases!$G$4:$G$2494,0),FALSE))</f>
        <v/>
      </c>
      <c r="K56" s="874">
        <f>1/(1+L58*L62/1000+L64*L66/1000)</f>
        <v>0.99939559656267651</v>
      </c>
      <c r="L56" s="794">
        <f t="shared" si="3"/>
        <v>0.99939559656267651</v>
      </c>
      <c r="M56" s="821" t="s">
        <v>292</v>
      </c>
      <c r="N56" s="860"/>
    </row>
    <row r="57" spans="1:14" ht="12.75" customHeight="1" x14ac:dyDescent="0.3">
      <c r="A57" s="821"/>
      <c r="B57" s="860"/>
      <c r="C57" s="821" t="s">
        <v>4782</v>
      </c>
      <c r="D57" s="860"/>
      <c r="E57" s="860"/>
      <c r="F57" s="860"/>
      <c r="G57" s="872" t="s">
        <v>2538</v>
      </c>
      <c r="H57" s="821" t="s">
        <v>4706</v>
      </c>
      <c r="I57" s="869"/>
      <c r="J57" s="792" t="str">
        <f>IF(ISBLANK(HLOOKUP(CaseName,CaseData,MATCH($G57,cases!$G$4:$G$2494,0),FALSE)),"",HLOOKUP(CaseName,CaseData,MATCH($G57,cases!$G$4:$G$2494,0),FALSE))</f>
        <v/>
      </c>
      <c r="K57" s="874">
        <f>(FRorig.w2*Ksw+(1-FRorig.w2)*Ksw.alt)*(1000/RHOsolid/CORG)*L59</f>
        <v>76.953792352546415</v>
      </c>
      <c r="L57" s="794">
        <f t="shared" si="3"/>
        <v>76.953792352546415</v>
      </c>
      <c r="M57" s="821" t="s">
        <v>1078</v>
      </c>
      <c r="N57" s="860"/>
    </row>
    <row r="58" spans="1:14" ht="12.75" customHeight="1" x14ac:dyDescent="0.3">
      <c r="A58" s="821"/>
      <c r="B58" s="860"/>
      <c r="C58" s="821" t="s">
        <v>2539</v>
      </c>
      <c r="D58" s="860"/>
      <c r="E58" s="860"/>
      <c r="F58" s="860"/>
      <c r="G58" s="872" t="s">
        <v>2540</v>
      </c>
      <c r="H58" s="821" t="s">
        <v>1078</v>
      </c>
      <c r="I58" s="869"/>
      <c r="J58" s="792" t="str">
        <f>IF(ISBLANK(HLOOKUP(CaseName,CaseData,MATCH($G58,cases!$G$4:$G$2494,0),FALSE)),"",HLOOKUP(CaseName,CaseData,MATCH($G58,cases!$G$4:$G$2494,0),FALSE))</f>
        <v/>
      </c>
      <c r="K58" s="874">
        <f>(FRorig.w2*Ksw+(1-FRorig.w2)*Ksw.alt)*(1000/RHOsolid/CORG)*L60</f>
        <v>76.953792352546415</v>
      </c>
      <c r="L58" s="794">
        <f t="shared" si="3"/>
        <v>76.953792352546415</v>
      </c>
      <c r="M58" s="821" t="s">
        <v>1078</v>
      </c>
      <c r="N58" s="860"/>
    </row>
    <row r="59" spans="1:14" ht="12.75" customHeight="1" x14ac:dyDescent="0.3">
      <c r="A59" s="821"/>
      <c r="B59" s="860"/>
      <c r="C59" s="821" t="s">
        <v>4783</v>
      </c>
      <c r="D59" s="860"/>
      <c r="E59" s="860"/>
      <c r="F59" s="860"/>
      <c r="G59" s="872" t="s">
        <v>2541</v>
      </c>
      <c r="H59" s="821" t="s">
        <v>291</v>
      </c>
      <c r="I59" s="869"/>
      <c r="J59" s="792" t="str">
        <f>IF(ISBLANK(HLOOKUP(CaseName,CaseData,MATCH($G59,cases!$G$4:$G$2494,0),FALSE)),"",HLOOKUP(CaseName,CaseData,MATCH($G59,cases!$G$4:$G$2494,0),FALSE))</f>
        <v/>
      </c>
      <c r="K59" s="874">
        <v>0.1</v>
      </c>
      <c r="L59" s="794">
        <f t="shared" si="3"/>
        <v>0.1</v>
      </c>
      <c r="M59" s="821" t="s">
        <v>292</v>
      </c>
      <c r="N59" s="860"/>
    </row>
    <row r="60" spans="1:14" ht="12.75" customHeight="1" x14ac:dyDescent="0.3">
      <c r="A60" s="821"/>
      <c r="B60" s="860"/>
      <c r="C60" s="821" t="s">
        <v>2542</v>
      </c>
      <c r="D60" s="860"/>
      <c r="E60" s="860"/>
      <c r="F60" s="860"/>
      <c r="G60" s="872" t="s">
        <v>2543</v>
      </c>
      <c r="H60" s="821" t="s">
        <v>291</v>
      </c>
      <c r="I60" s="869"/>
      <c r="J60" s="792" t="str">
        <f>IF(ISBLANK(HLOOKUP(CaseName,CaseData,MATCH($G60,cases!$G$4:$G$2494,0),FALSE)),"",HLOOKUP(CaseName,CaseData,MATCH($G60,cases!$G$4:$G$2494,0),FALSE))</f>
        <v/>
      </c>
      <c r="K60" s="874">
        <v>0.1</v>
      </c>
      <c r="L60" s="794">
        <f t="shared" si="3"/>
        <v>0.1</v>
      </c>
      <c r="M60" s="821" t="s">
        <v>292</v>
      </c>
      <c r="N60" s="860"/>
    </row>
    <row r="61" spans="1:14" ht="12.75" customHeight="1" x14ac:dyDescent="0.3">
      <c r="A61" s="821"/>
      <c r="B61" s="860"/>
      <c r="C61" s="821" t="s">
        <v>4784</v>
      </c>
      <c r="D61" s="860"/>
      <c r="E61" s="860"/>
      <c r="F61" s="860"/>
      <c r="G61" s="872" t="s">
        <v>2544</v>
      </c>
      <c r="H61" s="821" t="s">
        <v>4785</v>
      </c>
      <c r="I61" s="869"/>
      <c r="J61" s="792" t="str">
        <f>IF(ISBLANK(HLOOKUP(CaseName,CaseData,MATCH($G61,cases!$G$4:$G$2494,0),FALSE)),"",HLOOKUP(CaseName,CaseData,MATCH($G61,cases!$G$4:$G$2494,0),FALSE))</f>
        <v/>
      </c>
      <c r="K61" s="874">
        <v>5</v>
      </c>
      <c r="L61" s="794">
        <f>IF(ISBLANK(I61),IF(ISNUMBER(J61)=FALSE,K61/1000,J61/1000),I61/1000)</f>
        <v>5.0000000000000001E-3</v>
      </c>
      <c r="M61" s="821" t="s">
        <v>717</v>
      </c>
      <c r="N61" s="860"/>
    </row>
    <row r="62" spans="1:14" ht="12.75" customHeight="1" x14ac:dyDescent="0.3">
      <c r="A62" s="821"/>
      <c r="B62" s="860"/>
      <c r="C62" s="821" t="s">
        <v>2545</v>
      </c>
      <c r="D62" s="860"/>
      <c r="E62" s="860"/>
      <c r="F62" s="860"/>
      <c r="G62" s="872" t="s">
        <v>2546</v>
      </c>
      <c r="H62" s="821" t="s">
        <v>4785</v>
      </c>
      <c r="I62" s="869"/>
      <c r="J62" s="792" t="str">
        <f>IF(ISBLANK(HLOOKUP(CaseName,CaseData,MATCH($G62,cases!$G$4:$G$2494,0),FALSE)),"",HLOOKUP(CaseName,CaseData,MATCH($G62,cases!$G$4:$G$2494,0),FALSE))</f>
        <v/>
      </c>
      <c r="K62" s="874">
        <v>5</v>
      </c>
      <c r="L62" s="794">
        <f>IF(ISBLANK(I62),IF(ISNUMBER(J62)=FALSE,K62/1000,J62/1000),I62/1000)</f>
        <v>5.0000000000000001E-3</v>
      </c>
      <c r="M62" s="821" t="s">
        <v>717</v>
      </c>
      <c r="N62" s="860"/>
    </row>
    <row r="63" spans="1:14" ht="12.75" customHeight="1" x14ac:dyDescent="0.3">
      <c r="A63" s="821"/>
      <c r="B63" s="860"/>
      <c r="C63" s="821" t="s">
        <v>4786</v>
      </c>
      <c r="D63" s="860"/>
      <c r="E63" s="860"/>
      <c r="F63" s="860"/>
      <c r="G63" s="872" t="s">
        <v>2547</v>
      </c>
      <c r="H63" s="821" t="s">
        <v>1083</v>
      </c>
      <c r="I63" s="871"/>
      <c r="J63" s="792" t="str">
        <f>IF(ISBLANK(HLOOKUP(CaseName,CaseData,MATCH($G63,cases!$G$4:$G$2494,0),FALSE)),"",HLOOKUP(CaseName,CaseData,MATCH($G63,cases!$G$4:$G$2494,0),FALSE))</f>
        <v/>
      </c>
      <c r="K63" s="874">
        <f>0.08*D</f>
        <v>220</v>
      </c>
      <c r="L63" s="794">
        <f>IF(ISBLANK(I63),IF(ISNUMBER(J63)=FALSE,K63,J63),I63)</f>
        <v>220</v>
      </c>
      <c r="M63" s="821" t="s">
        <v>1078</v>
      </c>
      <c r="N63" s="860"/>
    </row>
    <row r="64" spans="1:14" ht="12.75" customHeight="1" x14ac:dyDescent="0.3">
      <c r="A64" s="821"/>
      <c r="B64" s="860"/>
      <c r="C64" s="821" t="s">
        <v>2548</v>
      </c>
      <c r="D64" s="860"/>
      <c r="E64" s="860"/>
      <c r="F64" s="860"/>
      <c r="G64" s="872" t="s">
        <v>2549</v>
      </c>
      <c r="H64" s="821" t="s">
        <v>1083</v>
      </c>
      <c r="I64" s="871"/>
      <c r="J64" s="792" t="str">
        <f>IF(ISBLANK(HLOOKUP(CaseName,CaseData,MATCH($G64,cases!$G$4:$G$2494,0),FALSE)),"",HLOOKUP(CaseName,CaseData,MATCH($G64,cases!$G$4:$G$2494,0),FALSE))</f>
        <v/>
      </c>
      <c r="K64" s="874">
        <f>0.08*D</f>
        <v>220</v>
      </c>
      <c r="L64" s="794">
        <f>IF(ISBLANK(I64),IF(ISNUMBER(J64)=FALSE,K64,J64),I64)</f>
        <v>220</v>
      </c>
      <c r="M64" s="821" t="s">
        <v>1078</v>
      </c>
      <c r="N64" s="860"/>
    </row>
    <row r="65" spans="1:14" ht="12.75" customHeight="1" x14ac:dyDescent="0.3">
      <c r="A65" s="821"/>
      <c r="B65" s="860"/>
      <c r="C65" s="821" t="s">
        <v>4787</v>
      </c>
      <c r="D65" s="860"/>
      <c r="E65" s="860"/>
      <c r="F65" s="860"/>
      <c r="G65" s="872" t="s">
        <v>2550</v>
      </c>
      <c r="H65" s="821" t="s">
        <v>716</v>
      </c>
      <c r="I65" s="871"/>
      <c r="J65" s="792" t="str">
        <f>IF(ISBLANK(HLOOKUP(CaseName,CaseData,MATCH($G65,cases!$G$4:$G$2494,0),FALSE)),"",HLOOKUP(CaseName,CaseData,MATCH($G65,cases!$G$4:$G$2494,0),FALSE))</f>
        <v/>
      </c>
      <c r="K65" s="874">
        <v>1</v>
      </c>
      <c r="L65" s="794">
        <f>IF(ISBLANK(I65),IF(ISNUMBER(J65)=FALSE,K65/1000,J65/1000),I65/1000)</f>
        <v>1E-3</v>
      </c>
      <c r="M65" s="821" t="s">
        <v>717</v>
      </c>
      <c r="N65" s="860"/>
    </row>
    <row r="66" spans="1:14" ht="12.75" customHeight="1" x14ac:dyDescent="0.3">
      <c r="A66" s="821"/>
      <c r="B66" s="860"/>
      <c r="C66" s="821" t="s">
        <v>2551</v>
      </c>
      <c r="D66" s="860"/>
      <c r="E66" s="860"/>
      <c r="F66" s="860"/>
      <c r="G66" s="872" t="s">
        <v>2552</v>
      </c>
      <c r="H66" s="821" t="s">
        <v>716</v>
      </c>
      <c r="I66" s="871"/>
      <c r="J66" s="792" t="str">
        <f>IF(ISBLANK(HLOOKUP(CaseName,CaseData,MATCH($G66,cases!$G$4:$G$2494,0),FALSE)),"",HLOOKUP(CaseName,CaseData,MATCH($G66,cases!$G$4:$G$2494,0),FALSE))</f>
        <v/>
      </c>
      <c r="K66" s="874">
        <v>1</v>
      </c>
      <c r="L66" s="794">
        <f>IF(ISBLANK(I66),IF(ISNUMBER(J66)=FALSE,K66/1000,J66/1000),I66/1000)</f>
        <v>1E-3</v>
      </c>
      <c r="M66" s="821" t="s">
        <v>717</v>
      </c>
      <c r="N66" s="860"/>
    </row>
    <row r="67" spans="1:14" ht="12.75" customHeight="1" x14ac:dyDescent="0.3">
      <c r="A67" s="821"/>
      <c r="B67" s="821" t="s">
        <v>2553</v>
      </c>
      <c r="C67" s="872"/>
      <c r="D67" s="860"/>
      <c r="E67" s="860"/>
      <c r="F67" s="860"/>
      <c r="G67" s="872" t="s">
        <v>2554</v>
      </c>
      <c r="H67" s="821" t="s">
        <v>291</v>
      </c>
      <c r="I67" s="869"/>
      <c r="J67" s="792" t="str">
        <f>IF(ISBLANK(HLOOKUP(CaseName,CaseData,MATCH($G67,cases!$G$4:$G$2494,0),FALSE)),"",HLOOKUP(CaseName,CaseData,MATCH($G67,cases!$G$4:$G$2494,0),FALSE))</f>
        <v/>
      </c>
      <c r="K67" s="874">
        <f>L25+L26*L68*RHOsolid/1000</f>
        <v>20.038448088136601</v>
      </c>
      <c r="L67" s="794">
        <f t="shared" ref="L67:L74" si="4">IF(ISBLANK(I67),IF(ISNUMBER(J67)=FALSE,K67,J67),I67)</f>
        <v>20.038448088136601</v>
      </c>
      <c r="M67" s="821" t="s">
        <v>292</v>
      </c>
      <c r="N67" s="860"/>
    </row>
    <row r="68" spans="1:14" ht="12.75" customHeight="1" x14ac:dyDescent="0.3">
      <c r="A68" s="821"/>
      <c r="B68" s="860"/>
      <c r="C68" s="821" t="s">
        <v>2555</v>
      </c>
      <c r="D68" s="860"/>
      <c r="E68" s="860"/>
      <c r="F68" s="860"/>
      <c r="G68" s="872" t="s">
        <v>2556</v>
      </c>
      <c r="H68" s="821" t="s">
        <v>4706</v>
      </c>
      <c r="I68" s="869"/>
      <c r="J68" s="792" t="str">
        <f>IF(ISBLANK(HLOOKUP(CaseName,CaseData,MATCH($G68,cases!$G$4:$G$2494,0),FALSE)),"",HLOOKUP(CaseName,CaseData,MATCH($G68,cases!$G$4:$G$2494,0),FALSE))</f>
        <v/>
      </c>
      <c r="K68" s="874">
        <f>(FRorig.sd2*Ksw+(1-FRorig.sd2)*Ksw.alt)*(1000/RHOsolid/CORG)*L69</f>
        <v>38.476896176273208</v>
      </c>
      <c r="L68" s="794">
        <f t="shared" si="4"/>
        <v>38.476896176273208</v>
      </c>
      <c r="M68" s="821" t="s">
        <v>1078</v>
      </c>
      <c r="N68" s="860"/>
    </row>
    <row r="69" spans="1:14" ht="12.75" customHeight="1" x14ac:dyDescent="0.3">
      <c r="A69" s="821"/>
      <c r="B69" s="860"/>
      <c r="C69" s="821" t="s">
        <v>2557</v>
      </c>
      <c r="D69" s="860"/>
      <c r="E69" s="860"/>
      <c r="F69" s="860"/>
      <c r="G69" s="872" t="s">
        <v>2558</v>
      </c>
      <c r="H69" s="821" t="s">
        <v>291</v>
      </c>
      <c r="I69" s="869"/>
      <c r="J69" s="792" t="str">
        <f>IF(ISBLANK(HLOOKUP(CaseName,CaseData,MATCH($G69,cases!$G$4:$G$2494,0),FALSE)),"",HLOOKUP(CaseName,CaseData,MATCH($G69,cases!$G$4:$G$2494,0),FALSE))</f>
        <v/>
      </c>
      <c r="K69" s="874">
        <v>0.05</v>
      </c>
      <c r="L69" s="794">
        <f t="shared" si="4"/>
        <v>0.05</v>
      </c>
      <c r="M69" s="821" t="s">
        <v>292</v>
      </c>
      <c r="N69" s="860"/>
    </row>
    <row r="70" spans="1:14" ht="12.75" customHeight="1" x14ac:dyDescent="0.3">
      <c r="A70" s="821"/>
      <c r="B70" s="821" t="s">
        <v>2559</v>
      </c>
      <c r="C70" s="872"/>
      <c r="D70" s="860"/>
      <c r="E70" s="860"/>
      <c r="F70" s="860"/>
      <c r="G70" s="872" t="s">
        <v>4788</v>
      </c>
      <c r="H70" s="821" t="s">
        <v>291</v>
      </c>
      <c r="I70" s="869"/>
      <c r="J70" s="792" t="str">
        <f>IF(ISBLANK(HLOOKUP(CaseName,CaseData,MATCH($G70,cases!$G$4:$G$2494,0),FALSE)),"",HLOOKUP(CaseName,CaseData,MATCH($G70,cases!$G$4:$G$2494,0),FALSE))</f>
        <v/>
      </c>
      <c r="K70" s="874">
        <f>L22*(L51*FRorig.s1w)+L23+L24*L73*RHOsolid/1000</f>
        <v>23.304108643447179</v>
      </c>
      <c r="L70" s="794">
        <f t="shared" si="4"/>
        <v>23.304108643447179</v>
      </c>
      <c r="M70" s="860" t="s">
        <v>292</v>
      </c>
      <c r="N70" s="860"/>
    </row>
    <row r="71" spans="1:14" ht="12.75" customHeight="1" x14ac:dyDescent="0.3">
      <c r="A71" s="821"/>
      <c r="B71" s="821" t="s">
        <v>2561</v>
      </c>
      <c r="C71" s="872"/>
      <c r="D71" s="860"/>
      <c r="E71" s="860"/>
      <c r="F71" s="860"/>
      <c r="G71" s="872" t="s">
        <v>2562</v>
      </c>
      <c r="H71" s="821" t="s">
        <v>291</v>
      </c>
      <c r="I71" s="869"/>
      <c r="J71" s="792" t="str">
        <f>IF(ISBLANK(HLOOKUP(CaseName,CaseData,MATCH($G71,cases!$G$4:$G$2494,0),FALSE)),"",HLOOKUP(CaseName,CaseData,MATCH($G71,cases!$G$4:$G$2494,0),FALSE))</f>
        <v/>
      </c>
      <c r="K71" s="874">
        <f>L23/(L22*(L51*FRorig.s1w)+L23+L24*L73*RHOsolid/1000)</f>
        <v>8.5821776348539939E-3</v>
      </c>
      <c r="L71" s="794">
        <f t="shared" si="4"/>
        <v>8.5821776348539939E-3</v>
      </c>
      <c r="M71" s="860" t="s">
        <v>292</v>
      </c>
      <c r="N71" s="860"/>
    </row>
    <row r="72" spans="1:14" ht="12.75" customHeight="1" x14ac:dyDescent="0.3">
      <c r="A72" s="821"/>
      <c r="B72" s="821" t="s">
        <v>2563</v>
      </c>
      <c r="C72" s="872"/>
      <c r="D72" s="860"/>
      <c r="E72" s="860"/>
      <c r="F72" s="860"/>
      <c r="G72" s="872" t="s">
        <v>2564</v>
      </c>
      <c r="H72" s="821" t="s">
        <v>291</v>
      </c>
      <c r="I72" s="869"/>
      <c r="J72" s="792" t="str">
        <f>IF(ISBLANK(HLOOKUP(CaseName,CaseData,MATCH($G72,cases!$G$4:$G$2494,0),FALSE)),"",HLOOKUP(CaseName,CaseData,MATCH($G72,cases!$G$4:$G$2494,0),FALSE))</f>
        <v/>
      </c>
      <c r="K72" s="874">
        <f>L24 / (L22*L51*FRorig.s1w/(L73*RHOsolid/1000)+L23/(L73*RHOsolid/1000)+L24 )</f>
        <v>0.99064667346783319</v>
      </c>
      <c r="L72" s="794">
        <f t="shared" si="4"/>
        <v>0.99064667346783319</v>
      </c>
      <c r="M72" s="5" t="s">
        <v>292</v>
      </c>
      <c r="N72" s="860"/>
    </row>
    <row r="73" spans="1:14" ht="12.75" customHeight="1" x14ac:dyDescent="0.3">
      <c r="A73" s="821"/>
      <c r="B73" s="860"/>
      <c r="C73" s="821" t="s">
        <v>2565</v>
      </c>
      <c r="D73" s="860"/>
      <c r="E73" s="860"/>
      <c r="F73" s="860"/>
      <c r="G73" s="872" t="s">
        <v>2566</v>
      </c>
      <c r="H73" s="821" t="s">
        <v>4706</v>
      </c>
      <c r="I73" s="869"/>
      <c r="J73" s="792" t="str">
        <f>IF(ISBLANK(HLOOKUP(CaseName,CaseData,MATCH($G73,cases!$G$4:$G$2494,0),FALSE)),"",HLOOKUP(CaseName,CaseData,MATCH($G73,cases!$G$4:$G$2494,0),FALSE))</f>
        <v/>
      </c>
      <c r="K73" s="874">
        <f>(FRorig.s1*Ksw+(1-FRorig.s1)*Ksw.alt)*(1000/RHOsolid/CORG)*L74</f>
        <v>15.390758470509281</v>
      </c>
      <c r="L73" s="794">
        <f t="shared" si="4"/>
        <v>15.390758470509281</v>
      </c>
      <c r="M73" s="821" t="s">
        <v>1078</v>
      </c>
      <c r="N73" s="860"/>
    </row>
    <row r="74" spans="1:14" ht="12.75" customHeight="1" x14ac:dyDescent="0.3">
      <c r="A74" s="821"/>
      <c r="B74" s="860"/>
      <c r="C74" s="821" t="s">
        <v>2567</v>
      </c>
      <c r="D74" s="860"/>
      <c r="E74" s="860"/>
      <c r="F74" s="860"/>
      <c r="G74" s="872" t="s">
        <v>2568</v>
      </c>
      <c r="H74" s="821" t="s">
        <v>291</v>
      </c>
      <c r="I74" s="869"/>
      <c r="J74" s="792" t="str">
        <f>IF(ISBLANK(HLOOKUP(CaseName,CaseData,MATCH($G74,cases!$G$4:$G$2494,0),FALSE)),"",HLOOKUP(CaseName,CaseData,MATCH($G74,cases!$G$4:$G$2494,0),FALSE))</f>
        <v/>
      </c>
      <c r="K74" s="874">
        <v>0.02</v>
      </c>
      <c r="L74" s="794">
        <f t="shared" si="4"/>
        <v>0.02</v>
      </c>
      <c r="M74" s="860" t="s">
        <v>292</v>
      </c>
      <c r="N74" s="860"/>
    </row>
    <row r="75" spans="1:14" ht="12.75" customHeight="1" x14ac:dyDescent="0.3">
      <c r="A75" s="860"/>
      <c r="B75" s="860"/>
      <c r="C75" s="860"/>
      <c r="D75" s="860"/>
      <c r="E75" s="860"/>
      <c r="F75" s="860"/>
      <c r="G75" s="860"/>
      <c r="H75" s="821"/>
      <c r="I75" s="862"/>
      <c r="J75" s="792"/>
      <c r="K75" s="863"/>
      <c r="L75" s="863"/>
      <c r="M75" s="860"/>
      <c r="N75" s="860"/>
    </row>
    <row r="76" spans="1:14" ht="12.75" customHeight="1" x14ac:dyDescent="0.3">
      <c r="A76" s="865" t="s">
        <v>1129</v>
      </c>
      <c r="B76" s="864"/>
      <c r="C76" s="864"/>
      <c r="D76" s="864"/>
      <c r="E76" s="864"/>
      <c r="F76" s="864"/>
      <c r="G76" s="865" t="s">
        <v>258</v>
      </c>
      <c r="H76" s="865" t="s">
        <v>274</v>
      </c>
      <c r="I76" s="864" t="s">
        <v>259</v>
      </c>
      <c r="J76" s="910" t="s">
        <v>275</v>
      </c>
      <c r="K76" s="867" t="s">
        <v>260</v>
      </c>
      <c r="L76" s="867" t="s">
        <v>261</v>
      </c>
      <c r="M76" s="864"/>
      <c r="N76" s="865" t="s">
        <v>262</v>
      </c>
    </row>
    <row r="77" spans="1:14" ht="12.75" customHeight="1" x14ac:dyDescent="0.3">
      <c r="A77" s="860"/>
      <c r="B77" s="860"/>
      <c r="C77" s="860"/>
      <c r="D77" s="860"/>
      <c r="E77" s="860"/>
      <c r="F77" s="860"/>
      <c r="G77" s="860"/>
      <c r="H77" s="821"/>
      <c r="I77" s="862"/>
      <c r="J77" s="792"/>
      <c r="K77" s="863"/>
      <c r="L77" s="863"/>
      <c r="M77" s="860"/>
      <c r="N77" s="860"/>
    </row>
    <row r="78" spans="1:14" ht="12.75" customHeight="1" x14ac:dyDescent="0.3">
      <c r="A78" s="821" t="s">
        <v>2569</v>
      </c>
      <c r="B78" s="860"/>
      <c r="C78" s="860"/>
      <c r="D78" s="860"/>
      <c r="E78" s="860"/>
      <c r="F78" s="860"/>
      <c r="G78" s="821" t="s">
        <v>2570</v>
      </c>
      <c r="H78" s="821" t="s">
        <v>4690</v>
      </c>
      <c r="I78" s="875"/>
      <c r="J78" s="792" t="str">
        <f>IF(ISBLANK(HLOOKUP(CaseName,CaseData,MATCH($G78,cases!$G$4:$G$2494,0),FALSE)),"",HLOOKUP(CaseName,CaseData,MATCH($G78,cases!$G$4:$G$2494,0),FALSE))</f>
        <v/>
      </c>
      <c r="K78" s="890">
        <f>(L82+L94/L14)*L12</f>
        <v>2.8640577324243854E-8</v>
      </c>
      <c r="L78" s="794">
        <f t="shared" ref="L78:L85" si="5">IF(ISBLANK(I78),IF(ISNUMBER(J78)=FALSE,K78,J78),I78)</f>
        <v>2.8640577324243854E-8</v>
      </c>
      <c r="M78" s="860" t="s">
        <v>1038</v>
      </c>
      <c r="N78" s="860"/>
    </row>
    <row r="79" spans="1:14" ht="12.75" customHeight="1" x14ac:dyDescent="0.3">
      <c r="A79" s="821" t="s">
        <v>2571</v>
      </c>
      <c r="B79" s="860"/>
      <c r="C79" s="860"/>
      <c r="D79" s="860"/>
      <c r="E79" s="860"/>
      <c r="F79" s="860"/>
      <c r="G79" s="821" t="s">
        <v>2572</v>
      </c>
      <c r="H79" s="821" t="s">
        <v>4690</v>
      </c>
      <c r="I79" s="875"/>
      <c r="J79" s="792" t="str">
        <f>IF(ISBLANK(HLOOKUP(CaseName,CaseData,MATCH($G79,cases!$G$4:$G$2494,0),FALSE)),"",HLOOKUP(CaseName,CaseData,MATCH($G79,cases!$G$4:$G$2494,0),FALSE))</f>
        <v/>
      </c>
      <c r="K79" s="890">
        <f>(L82+L95/L14)*L13</f>
        <v>6.8652030907144319E-10</v>
      </c>
      <c r="L79" s="794">
        <f t="shared" si="5"/>
        <v>6.8652030907144319E-10</v>
      </c>
      <c r="M79" s="860" t="s">
        <v>1038</v>
      </c>
      <c r="N79" s="860"/>
    </row>
    <row r="80" spans="1:14" ht="12.75" customHeight="1" x14ac:dyDescent="0.3">
      <c r="A80" s="821" t="s">
        <v>2573</v>
      </c>
      <c r="B80" s="860"/>
      <c r="C80" s="860"/>
      <c r="D80" s="860"/>
      <c r="E80" s="860"/>
      <c r="F80" s="860"/>
      <c r="G80" s="821" t="s">
        <v>2574</v>
      </c>
      <c r="H80" s="821" t="s">
        <v>4690</v>
      </c>
      <c r="I80" s="875"/>
      <c r="J80" s="792" t="str">
        <f>IF(ISBLANK(HLOOKUP(CaseName,CaseData,MATCH($G80,cases!$G$4:$G$2494,0),FALSE)),"",HLOOKUP(CaseName,CaseData,MATCH($G80,cases!$G$4:$G$2494,0),FALSE))</f>
        <v/>
      </c>
      <c r="K80" s="890">
        <f>L96/L15</f>
        <v>5.1216692794123989E-8</v>
      </c>
      <c r="L80" s="794">
        <f t="shared" si="5"/>
        <v>5.1216692794123989E-8</v>
      </c>
      <c r="M80" s="860" t="s">
        <v>1038</v>
      </c>
      <c r="N80" s="860"/>
    </row>
    <row r="81" spans="1:14" ht="12.75" customHeight="1" x14ac:dyDescent="0.3">
      <c r="A81" s="821" t="s">
        <v>2575</v>
      </c>
      <c r="B81" s="860"/>
      <c r="C81" s="860"/>
      <c r="D81" s="860"/>
      <c r="E81" s="860"/>
      <c r="F81" s="860"/>
      <c r="G81" s="821" t="s">
        <v>2576</v>
      </c>
      <c r="H81" s="821" t="s">
        <v>4690</v>
      </c>
      <c r="I81" s="875"/>
      <c r="J81" s="792" t="str">
        <f>IF(ISBLANK(HLOOKUP(CaseName,CaseData,MATCH($G81,cases!$G$4:$G$2494,0),FALSE)),"",HLOOKUP(CaseName,CaseData,MATCH($G81,cases!$G$4:$G$2494,0),FALSE))</f>
        <v/>
      </c>
      <c r="K81" s="890">
        <f>L97/L18</f>
        <v>1.103232338463208E-7</v>
      </c>
      <c r="L81" s="794">
        <f t="shared" si="5"/>
        <v>1.103232338463208E-7</v>
      </c>
      <c r="M81" s="860" t="s">
        <v>1038</v>
      </c>
      <c r="N81" s="860"/>
    </row>
    <row r="82" spans="1:14" ht="12.75" customHeight="1" x14ac:dyDescent="0.3">
      <c r="A82" s="821"/>
      <c r="B82" s="821" t="s">
        <v>2577</v>
      </c>
      <c r="C82" s="860"/>
      <c r="D82" s="860"/>
      <c r="E82" s="860"/>
      <c r="F82" s="860"/>
      <c r="G82" s="821" t="s">
        <v>2578</v>
      </c>
      <c r="H82" s="821" t="s">
        <v>4690</v>
      </c>
      <c r="I82" s="875"/>
      <c r="J82" s="792" t="str">
        <f>IF(ISBLANK(HLOOKUP(CaseName,CaseData,MATCH($G82,cases!$G$4:$G$2494,0),FALSE)),"",HLOOKUP(CaseName,CaseData,MATCH($G82,cases!$G$4:$G$2494,0),FALSE))</f>
        <v/>
      </c>
      <c r="K82" s="890">
        <f>L83- SUM((L94*L12+L95*L13)/L14,L131,L28,L29,L30)</f>
        <v>2.4721890826134473E-10</v>
      </c>
      <c r="L82" s="794">
        <f t="shared" si="5"/>
        <v>2.4721890826134473E-10</v>
      </c>
      <c r="M82" s="860" t="s">
        <v>1038</v>
      </c>
      <c r="N82" s="860"/>
    </row>
    <row r="83" spans="1:14" ht="12.75" customHeight="1" x14ac:dyDescent="0.3">
      <c r="A83" s="821"/>
      <c r="B83" s="821"/>
      <c r="C83" s="860" t="s">
        <v>2579</v>
      </c>
      <c r="D83" s="860"/>
      <c r="E83" s="860"/>
      <c r="F83" s="860"/>
      <c r="G83" s="821" t="s">
        <v>2580</v>
      </c>
      <c r="H83" s="821" t="s">
        <v>4690</v>
      </c>
      <c r="I83" s="875"/>
      <c r="J83" s="792" t="str">
        <f>IF(ISBLANK(HLOOKUP(CaseName,CaseData,MATCH($G83,cases!$G$4:$G$2494,0),FALSE)),"",HLOOKUP(CaseName,CaseData,MATCH($G83,cases!$G$4:$G$2494,0),FALSE))</f>
        <v/>
      </c>
      <c r="K83" s="890">
        <f>((1/L84)*L86/(L86+L87)+(1/L85)*L87/(L86+L87)-((1/L85-1/L84)^2/(L86+L87))*(1-EXP(-L84*L86))*(1-EXP(-L85*L87))/(1-EXP(-L84*L86-L85*L87)))^-1</f>
        <v>1.4098362797209396E-6</v>
      </c>
      <c r="L83" s="794">
        <f t="shared" si="5"/>
        <v>1.4098362797209396E-6</v>
      </c>
      <c r="M83" s="860" t="s">
        <v>1038</v>
      </c>
      <c r="N83" s="860"/>
    </row>
    <row r="84" spans="1:14" ht="12.75" customHeight="1" x14ac:dyDescent="0.3">
      <c r="A84" s="821"/>
      <c r="B84" s="821"/>
      <c r="C84" s="821"/>
      <c r="D84" s="821" t="s">
        <v>2581</v>
      </c>
      <c r="E84" s="860"/>
      <c r="F84" s="860"/>
      <c r="G84" s="821" t="s">
        <v>2582</v>
      </c>
      <c r="H84" s="821" t="s">
        <v>4690</v>
      </c>
      <c r="I84" s="875"/>
      <c r="J84" s="792" t="str">
        <f>IF(ISBLANK(HLOOKUP(CaseName,CaseData,MATCH($G84,cases!$G$4:$G$2494,0),FALSE)),"",HLOOKUP(CaseName,CaseData,MATCH($G84,cases!$G$4:$G$2494,0),FALSE))</f>
        <v/>
      </c>
      <c r="K84" s="890">
        <f>L88/L14 + SUM((L94*L12+L95*L13)/L14,L131,L28,L29,L30)</f>
        <v>1.4095890961183581E-6</v>
      </c>
      <c r="L84" s="794">
        <f t="shared" si="5"/>
        <v>1.4095890961183581E-6</v>
      </c>
      <c r="M84" s="860" t="s">
        <v>1038</v>
      </c>
      <c r="N84" s="860"/>
    </row>
    <row r="85" spans="1:14" ht="12.75" customHeight="1" x14ac:dyDescent="0.3">
      <c r="A85" s="821"/>
      <c r="B85" s="821"/>
      <c r="C85" s="821"/>
      <c r="D85" s="821" t="s">
        <v>2583</v>
      </c>
      <c r="E85" s="860"/>
      <c r="F85" s="860"/>
      <c r="G85" s="821" t="s">
        <v>2584</v>
      </c>
      <c r="H85" s="821" t="s">
        <v>4690</v>
      </c>
      <c r="I85" s="875"/>
      <c r="J85" s="792" t="str">
        <f>IF(ISBLANK(HLOOKUP(CaseName,CaseData,MATCH($G85,cases!$G$4:$G$2494,0),FALSE)),"",HLOOKUP(CaseName,CaseData,MATCH($G85,cases!$G$4:$G$2494,0),FALSE))</f>
        <v/>
      </c>
      <c r="K85" s="890">
        <f>(L89+L90)/L14 + SUM((L94*L12+L95*L13)/L14,L131,L28,L29,L30)</f>
        <v>1.4137088325211696E-6</v>
      </c>
      <c r="L85" s="794">
        <f t="shared" si="5"/>
        <v>1.4137088325211696E-6</v>
      </c>
      <c r="M85" s="860" t="s">
        <v>1038</v>
      </c>
      <c r="N85" s="860"/>
    </row>
    <row r="86" spans="1:14" ht="12.75" customHeight="1" x14ac:dyDescent="0.3">
      <c r="A86" s="821"/>
      <c r="B86" s="821"/>
      <c r="C86" s="860" t="s">
        <v>1148</v>
      </c>
      <c r="D86" s="860"/>
      <c r="E86" s="860"/>
      <c r="F86" s="860"/>
      <c r="G86" s="860" t="s">
        <v>2585</v>
      </c>
      <c r="H86" s="860" t="s">
        <v>1150</v>
      </c>
      <c r="I86" s="875"/>
      <c r="J86" s="792" t="str">
        <f>IF(ISBLANK(HLOOKUP(CaseName,CaseData,MATCH($G86,cases!$G$4:$G$2494,0),FALSE)),"",HLOOKUP(CaseName,CaseData,MATCH($G86,cases!$G$4:$G$2494,0),FALSE))</f>
        <v/>
      </c>
      <c r="K86" s="890">
        <f>3.3*24</f>
        <v>79.199999999999989</v>
      </c>
      <c r="L86" s="794">
        <f>IF(ISBLANK(I86),IF(ISNUMBER(J86)=FALSE,K86*3600,J86*3600),I86*3600)</f>
        <v>285119.99999999994</v>
      </c>
      <c r="M86" s="860" t="s">
        <v>1038</v>
      </c>
      <c r="N86" s="860"/>
    </row>
    <row r="87" spans="1:14" ht="12.75" customHeight="1" x14ac:dyDescent="0.3">
      <c r="A87" s="821"/>
      <c r="B87" s="821"/>
      <c r="C87" s="860" t="s">
        <v>1151</v>
      </c>
      <c r="D87" s="860"/>
      <c r="E87" s="860"/>
      <c r="F87" s="860"/>
      <c r="G87" s="860" t="s">
        <v>2586</v>
      </c>
      <c r="H87" s="860" t="s">
        <v>1150</v>
      </c>
      <c r="I87" s="875"/>
      <c r="J87" s="792" t="str">
        <f>IF(ISBLANK(HLOOKUP(CaseName,CaseData,MATCH($G87,cases!$G$4:$G$2494,0),FALSE)),"",HLOOKUP(CaseName,CaseData,MATCH($G87,cases!$G$4:$G$2494,0),FALSE))</f>
        <v/>
      </c>
      <c r="K87" s="890">
        <f>3.3*24*(0.06/(1-0.06))</f>
        <v>5.0553191489361691</v>
      </c>
      <c r="L87" s="794">
        <f>IF(ISBLANK(I87),IF(ISNUMBER(J87)=FALSE,K87*3600,J87*3600),I87*3600)</f>
        <v>18199.148936170208</v>
      </c>
      <c r="M87" s="860" t="s">
        <v>1038</v>
      </c>
      <c r="N87" s="860"/>
    </row>
    <row r="88" spans="1:14" ht="12.75" customHeight="1" x14ac:dyDescent="0.3">
      <c r="A88" s="821"/>
      <c r="B88" s="821"/>
      <c r="C88" s="821" t="s">
        <v>1153</v>
      </c>
      <c r="D88" s="860"/>
      <c r="E88" s="860"/>
      <c r="F88" s="860"/>
      <c r="G88" s="872" t="s">
        <v>2587</v>
      </c>
      <c r="H88" s="913" t="s">
        <v>4734</v>
      </c>
      <c r="I88" s="869"/>
      <c r="J88" s="792" t="str">
        <f>IF(ISBLANK(HLOOKUP(CaseName,CaseData,MATCH($G88,cases!$G$4:$G$2494,0),FALSE)),"",HLOOKUP(CaseName,CaseData,MATCH($G88,cases!$G$4:$G$2494,0),FALSE))</f>
        <v/>
      </c>
      <c r="K88" s="890">
        <f>L91*(L49+L50)</f>
        <v>3.5305679851056702E-11</v>
      </c>
      <c r="L88" s="794">
        <f>IF(ISBLANK(I88),IF(ISNUMBER(J88)=FALSE,K88,J88),I88)</f>
        <v>3.5305679851056702E-11</v>
      </c>
      <c r="M88" s="860" t="s">
        <v>690</v>
      </c>
      <c r="N88" s="860"/>
    </row>
    <row r="89" spans="1:14" ht="12.75" customHeight="1" x14ac:dyDescent="0.3">
      <c r="A89" s="821"/>
      <c r="B89" s="821"/>
      <c r="C89" s="821" t="s">
        <v>1156</v>
      </c>
      <c r="D89" s="860"/>
      <c r="E89" s="860"/>
      <c r="F89" s="860"/>
      <c r="G89" s="821" t="s">
        <v>2588</v>
      </c>
      <c r="H89" s="872" t="s">
        <v>4734</v>
      </c>
      <c r="I89" s="869"/>
      <c r="J89" s="792" t="str">
        <f>IF(ISBLANK(HLOOKUP(CaseName,CaseData,MATCH($G89,cases!$G$4:$G$2494,0),FALSE)),"",HLOOKUP(CaseName,CaseData,MATCH($G89,cases!$G$4:$G$2494,0),FALSE))</f>
        <v/>
      </c>
      <c r="K89" s="890">
        <f>L50*(L86+L87)/L87*L92*L93</f>
        <v>2.595781412110609E-9</v>
      </c>
      <c r="L89" s="794">
        <f>IF(ISBLANK(I89),IF(ISNUMBER(J89)=FALSE,K89,J89),I89)</f>
        <v>2.595781412110609E-9</v>
      </c>
      <c r="M89" s="860" t="s">
        <v>690</v>
      </c>
      <c r="N89" s="860"/>
    </row>
    <row r="90" spans="1:14" ht="12.75" customHeight="1" x14ac:dyDescent="0.3">
      <c r="A90" s="821"/>
      <c r="B90" s="821"/>
      <c r="C90" s="821" t="s">
        <v>2043</v>
      </c>
      <c r="D90" s="860"/>
      <c r="E90" s="860"/>
      <c r="F90" s="860"/>
      <c r="G90" s="821" t="s">
        <v>2589</v>
      </c>
      <c r="H90" s="872" t="s">
        <v>4734</v>
      </c>
      <c r="I90" s="869"/>
      <c r="J90" s="792" t="str">
        <f>IF(ISBLANK(HLOOKUP(CaseName,CaseData,MATCH($G90,cases!$G$4:$G$2494,0),FALSE)),"",HLOOKUP(CaseName,CaseData,MATCH($G90,cases!$G$4:$G$2494,0),FALSE))</f>
        <v/>
      </c>
      <c r="K90" s="890">
        <f>L48*(L86+L87)/L87*L92/(L51*FRorig.aerw)</f>
        <v>4.1171759270791855E-6</v>
      </c>
      <c r="L90" s="794">
        <f>IF(ISBLANK(I90),IF(ISNUMBER(J90)=FALSE,K90,J90),I90)</f>
        <v>4.1171759270791855E-6</v>
      </c>
      <c r="M90" s="860" t="s">
        <v>690</v>
      </c>
      <c r="N90" s="860"/>
    </row>
    <row r="91" spans="1:14" ht="12.75" customHeight="1" x14ac:dyDescent="0.3">
      <c r="A91" s="821"/>
      <c r="B91" s="821"/>
      <c r="C91" s="860"/>
      <c r="D91" s="872" t="s">
        <v>1160</v>
      </c>
      <c r="E91" s="872"/>
      <c r="F91" s="872"/>
      <c r="G91" s="872" t="s">
        <v>2590</v>
      </c>
      <c r="H91" s="913" t="s">
        <v>4734</v>
      </c>
      <c r="I91" s="869"/>
      <c r="J91" s="792" t="str">
        <f>IF(ISBLANK(HLOOKUP(CaseName,CaseData,MATCH($G91,cases!$G$4:$G$2494,0),FALSE)),"",HLOOKUP(CaseName,CaseData,MATCH($G91,cases!$G$4:$G$2494,0),FALSE))</f>
        <v/>
      </c>
      <c r="K91" s="890">
        <v>1E-3</v>
      </c>
      <c r="L91" s="794">
        <f>IF(ISBLANK(I91),IF(ISNUMBER(J91)=FALSE,K91,J91),I91)</f>
        <v>1E-3</v>
      </c>
      <c r="M91" s="860" t="s">
        <v>690</v>
      </c>
      <c r="N91" s="860"/>
    </row>
    <row r="92" spans="1:14" ht="12.75" customHeight="1" x14ac:dyDescent="0.3">
      <c r="A92" s="821"/>
      <c r="B92" s="821"/>
      <c r="C92" s="860"/>
      <c r="D92" s="821" t="s">
        <v>2591</v>
      </c>
      <c r="E92" s="872"/>
      <c r="F92" s="872"/>
      <c r="G92" s="872" t="s">
        <v>2592</v>
      </c>
      <c r="H92" s="872" t="s">
        <v>4789</v>
      </c>
      <c r="I92" s="875"/>
      <c r="J92" s="792" t="str">
        <f>IF(ISBLANK(HLOOKUP(CaseName,CaseData,MATCH($G92,cases!$G$4:$G$2494,0),FALSE)),"",HLOOKUP(CaseName,CaseData,MATCH($G92,cases!$G$4:$G$2494,0),FALSE))</f>
        <v/>
      </c>
      <c r="K92" s="890">
        <v>700</v>
      </c>
      <c r="L92" s="794">
        <f>IF(ISBLANK(I92),IF(ISNUMBER(J92)=FALSE,K92/(1000*3600*24*365),J92/(1000*3600*24*365)),I92/(1000*3600*24*365))</f>
        <v>2.219685438863521E-8</v>
      </c>
      <c r="M92" s="860" t="s">
        <v>690</v>
      </c>
      <c r="N92" s="860"/>
    </row>
    <row r="93" spans="1:14" ht="12.75" customHeight="1" x14ac:dyDescent="0.3">
      <c r="A93" s="821"/>
      <c r="B93" s="821"/>
      <c r="C93" s="860"/>
      <c r="D93" s="821" t="s">
        <v>1162</v>
      </c>
      <c r="E93" s="860"/>
      <c r="F93" s="860"/>
      <c r="G93" s="872" t="s">
        <v>2594</v>
      </c>
      <c r="H93" s="821" t="s">
        <v>291</v>
      </c>
      <c r="I93" s="869"/>
      <c r="J93" s="792" t="str">
        <f>IF(ISBLANK(HLOOKUP(CaseName,CaseData,MATCH($G93,cases!$G$4:$G$2494,0),FALSE)),"",HLOOKUP(CaseName,CaseData,MATCH($G93,cases!$G$4:$G$2494,0),FALSE))</f>
        <v/>
      </c>
      <c r="K93" s="890">
        <v>200000</v>
      </c>
      <c r="L93" s="794">
        <f t="shared" ref="L93:L103" si="6">IF(ISBLANK(I93),IF(ISNUMBER(J93)=FALSE,K93,J93),I93)</f>
        <v>200000</v>
      </c>
      <c r="M93" s="821" t="s">
        <v>292</v>
      </c>
      <c r="N93" s="860"/>
    </row>
    <row r="94" spans="1:14" ht="12.75" customHeight="1" x14ac:dyDescent="0.3">
      <c r="A94" s="821"/>
      <c r="B94" s="821" t="s">
        <v>1164</v>
      </c>
      <c r="C94" s="860"/>
      <c r="D94" s="821"/>
      <c r="E94" s="860"/>
      <c r="F94" s="860"/>
      <c r="G94" s="872" t="s">
        <v>2595</v>
      </c>
      <c r="H94" s="821" t="s">
        <v>4734</v>
      </c>
      <c r="I94" s="869"/>
      <c r="J94" s="792" t="str">
        <f>IF(ISBLANK(HLOOKUP(CaseName,CaseData,MATCH($G94,cases!$G$4:$G$2494,0),FALSE)),"",HLOOKUP(CaseName,CaseData,MATCH($G94,cases!$G$4:$G$2494,0),FALSE))</f>
        <v/>
      </c>
      <c r="K94" s="890">
        <f>L48*(L98*L99/(L98*(L51*FRorig.w2)+L99))</f>
        <v>5.703393574022636E-5</v>
      </c>
      <c r="L94" s="794">
        <f t="shared" si="6"/>
        <v>5.703393574022636E-5</v>
      </c>
      <c r="M94" s="821"/>
      <c r="N94" s="860"/>
    </row>
    <row r="95" spans="1:14" ht="12.75" customHeight="1" x14ac:dyDescent="0.3">
      <c r="A95" s="821"/>
      <c r="B95" s="821" t="s">
        <v>1166</v>
      </c>
      <c r="C95" s="860"/>
      <c r="D95" s="821"/>
      <c r="E95" s="860"/>
      <c r="F95" s="860"/>
      <c r="G95" s="872" t="s">
        <v>2596</v>
      </c>
      <c r="H95" s="821" t="s">
        <v>4734</v>
      </c>
      <c r="I95" s="869"/>
      <c r="J95" s="792" t="str">
        <f>IF(ISBLANK(HLOOKUP(CaseName,CaseData,MATCH($G95,cases!$G$4:$G$2494,0),FALSE)),"",HLOOKUP(CaseName,CaseData,MATCH($G95,cases!$G$4:$G$2494,0),FALSE))</f>
        <v/>
      </c>
      <c r="K95" s="890">
        <f>L48*(L101*L102)/(L101*((L51*FRorig.s1w)/L70)+L102)</f>
        <v>1.1258217098815417E-6</v>
      </c>
      <c r="L95" s="794">
        <f t="shared" si="6"/>
        <v>1.1258217098815417E-6</v>
      </c>
      <c r="M95" s="821"/>
      <c r="N95" s="860"/>
    </row>
    <row r="96" spans="1:14" ht="12.75" customHeight="1" x14ac:dyDescent="0.3">
      <c r="A96" s="821"/>
      <c r="B96" s="821" t="s">
        <v>2597</v>
      </c>
      <c r="C96" s="860"/>
      <c r="D96" s="821"/>
      <c r="E96" s="860"/>
      <c r="F96" s="860"/>
      <c r="G96" s="821" t="s">
        <v>2598</v>
      </c>
      <c r="H96" s="821" t="s">
        <v>4734</v>
      </c>
      <c r="I96" s="869"/>
      <c r="J96" s="792" t="str">
        <f>IF(ISBLANK(HLOOKUP(CaseName,CaseData,MATCH($G96,cases!$G$4:$G$2494,0),FALSE)),"",HLOOKUP(CaseName,CaseData,MATCH($G96,cases!$G$4:$G$2494,0),FALSE))</f>
        <v/>
      </c>
      <c r="K96" s="890">
        <f>(L98*L99/(L98*(L51*FRorig.w2)+L99))*(L51*FRorig.w2)*L55</f>
        <v>5.1216692794123988E-6</v>
      </c>
      <c r="L96" s="794">
        <f t="shared" si="6"/>
        <v>5.1216692794123988E-6</v>
      </c>
      <c r="M96" s="821"/>
      <c r="N96" s="860"/>
    </row>
    <row r="97" spans="1:14" ht="12.75" customHeight="1" x14ac:dyDescent="0.3">
      <c r="A97" s="821"/>
      <c r="B97" s="821" t="s">
        <v>2599</v>
      </c>
      <c r="C97" s="860"/>
      <c r="D97" s="821"/>
      <c r="E97" s="860"/>
      <c r="F97" s="860"/>
      <c r="G97" s="821" t="s">
        <v>2600</v>
      </c>
      <c r="H97" s="821" t="s">
        <v>4734</v>
      </c>
      <c r="I97" s="869"/>
      <c r="J97" s="792" t="str">
        <f>IF(ISBLANK(HLOOKUP(CaseName,CaseData,MATCH($G97,cases!$G$4:$G$2494,0),FALSE)),"",HLOOKUP(CaseName,CaseData,MATCH($G97,cases!$G$4:$G$2494,0),FALSE))</f>
        <v/>
      </c>
      <c r="K97" s="890">
        <f>(L101*L102)/(L101+L102/((L51*FRorig.s1w)/L70))*L103</f>
        <v>5.5161616923160404E-9</v>
      </c>
      <c r="L97" s="794">
        <f t="shared" si="6"/>
        <v>5.5161616923160404E-9</v>
      </c>
      <c r="M97" s="821"/>
      <c r="N97" s="860"/>
    </row>
    <row r="98" spans="1:14" ht="12.75" customHeight="1" x14ac:dyDescent="0.3">
      <c r="A98" s="821"/>
      <c r="B98" s="821"/>
      <c r="C98" s="860" t="s">
        <v>1174</v>
      </c>
      <c r="D98" s="860"/>
      <c r="E98" s="860"/>
      <c r="F98" s="860"/>
      <c r="G98" s="860" t="s">
        <v>4790</v>
      </c>
      <c r="H98" s="913" t="s">
        <v>4734</v>
      </c>
      <c r="I98" s="869"/>
      <c r="J98" s="792" t="str">
        <f>IF(ISBLANK(HLOOKUP(CaseName,CaseData,MATCH($G98,cases!$G$4:$G$2494,0),FALSE)),"",HLOOKUP(CaseName,CaseData,MATCH($G98,cases!$G$4:$G$2494,0),FALSE))</f>
        <v/>
      </c>
      <c r="K98" s="890">
        <f>0.01*(0.3+0.2*L100)*((0.018/Molweight)^(0.67*0.5))</f>
        <v>4.4535618852450994E-3</v>
      </c>
      <c r="L98" s="794">
        <f t="shared" si="6"/>
        <v>4.4535618852450994E-3</v>
      </c>
      <c r="M98" s="860" t="s">
        <v>690</v>
      </c>
      <c r="N98" s="860"/>
    </row>
    <row r="99" spans="1:14" ht="12.75" customHeight="1" x14ac:dyDescent="0.3">
      <c r="A99" s="821"/>
      <c r="B99" s="821"/>
      <c r="C99" s="860" t="s">
        <v>1176</v>
      </c>
      <c r="D99" s="860"/>
      <c r="E99" s="860"/>
      <c r="F99" s="860"/>
      <c r="G99" s="860" t="s">
        <v>4791</v>
      </c>
      <c r="H99" s="913" t="s">
        <v>4734</v>
      </c>
      <c r="I99" s="869"/>
      <c r="J99" s="792" t="str">
        <f>IF(ISBLANK(HLOOKUP(CaseName,CaseData,MATCH($G99,cases!$G$4:$G$2494,0),FALSE)),"",HLOOKUP(CaseName,CaseData,MATCH($G99,cases!$G$4:$G$2494,0),FALSE))</f>
        <v/>
      </c>
      <c r="K99" s="890">
        <f>0.01*(0.0004+0.00004*L100^2)*((0.032/Molweight)^(0.5*0.5))</f>
        <v>5.191247717588049E-6</v>
      </c>
      <c r="L99" s="794">
        <f t="shared" si="6"/>
        <v>5.191247717588049E-6</v>
      </c>
      <c r="M99" s="860" t="s">
        <v>690</v>
      </c>
      <c r="N99" s="860"/>
    </row>
    <row r="100" spans="1:14" ht="12.75" customHeight="1" x14ac:dyDescent="0.3">
      <c r="A100" s="821"/>
      <c r="B100" s="821"/>
      <c r="C100" s="860"/>
      <c r="D100" s="872" t="s">
        <v>2603</v>
      </c>
      <c r="E100" s="860"/>
      <c r="F100" s="860"/>
      <c r="G100" s="821" t="s">
        <v>2604</v>
      </c>
      <c r="H100" s="913" t="s">
        <v>4734</v>
      </c>
      <c r="I100" s="869"/>
      <c r="J100" s="792" t="str">
        <f>IF(ISBLANK(HLOOKUP(CaseName,CaseData,MATCH($G100,cases!$G$4:$G$2494,0),FALSE)),"",HLOOKUP(CaseName,CaseData,MATCH($G100,cases!$G$4:$G$2494,0),FALSE))</f>
        <v/>
      </c>
      <c r="K100" s="890">
        <v>3</v>
      </c>
      <c r="L100" s="794">
        <f t="shared" si="6"/>
        <v>3</v>
      </c>
      <c r="M100" s="860" t="s">
        <v>690</v>
      </c>
      <c r="N100" s="860"/>
    </row>
    <row r="101" spans="1:14" ht="12.75" customHeight="1" x14ac:dyDescent="0.3">
      <c r="A101" s="821"/>
      <c r="B101" s="821"/>
      <c r="C101" s="860" t="s">
        <v>1181</v>
      </c>
      <c r="D101" s="860"/>
      <c r="E101" s="872"/>
      <c r="F101" s="872"/>
      <c r="G101" s="860" t="s">
        <v>4792</v>
      </c>
      <c r="H101" s="913" t="s">
        <v>4734</v>
      </c>
      <c r="I101" s="869"/>
      <c r="J101" s="792" t="str">
        <f>IF(ISBLANK(HLOOKUP(CaseName,CaseData,MATCH($G101,cases!$G$4:$G$2494,0),FALSE)),"",HLOOKUP(CaseName,CaseData,MATCH($G101,cases!$G$4:$G$2494,0),FALSE))</f>
        <v/>
      </c>
      <c r="K101" s="890">
        <f>0.43/(24*3600)/0.00475</f>
        <v>1.0477582846003899E-3</v>
      </c>
      <c r="L101" s="794">
        <f t="shared" si="6"/>
        <v>1.0477582846003899E-3</v>
      </c>
      <c r="M101" s="860" t="s">
        <v>690</v>
      </c>
      <c r="N101" s="860"/>
    </row>
    <row r="102" spans="1:14" ht="12.75" customHeight="1" x14ac:dyDescent="0.3">
      <c r="A102" s="821"/>
      <c r="B102" s="821"/>
      <c r="C102" s="860" t="s">
        <v>1183</v>
      </c>
      <c r="D102" s="860"/>
      <c r="E102" s="860"/>
      <c r="F102" s="872"/>
      <c r="G102" s="860" t="s">
        <v>4793</v>
      </c>
      <c r="H102" s="872" t="s">
        <v>4734</v>
      </c>
      <c r="I102" s="869"/>
      <c r="J102" s="792" t="str">
        <f>IF(ISBLANK(HLOOKUP(CaseName,CaseData,MATCH($G102,cases!$G$4:$G$2494,0),FALSE)),"",HLOOKUP(CaseName,CaseData,MATCH($G102,cases!$G$4:$G$2494,0),FALSE))</f>
        <v/>
      </c>
      <c r="K102" s="890">
        <f>0.1*L140</f>
        <v>4.3455503205058606E-9</v>
      </c>
      <c r="L102" s="794">
        <f t="shared" si="6"/>
        <v>4.3455503205058606E-9</v>
      </c>
      <c r="M102" s="860" t="s">
        <v>690</v>
      </c>
      <c r="N102" s="860" t="s">
        <v>2062</v>
      </c>
    </row>
    <row r="103" spans="1:14" ht="12.75" customHeight="1" x14ac:dyDescent="0.3">
      <c r="A103" s="821"/>
      <c r="B103" s="821"/>
      <c r="C103" s="860" t="s">
        <v>1185</v>
      </c>
      <c r="D103" s="860"/>
      <c r="E103" s="872"/>
      <c r="F103" s="872"/>
      <c r="G103" s="821" t="s">
        <v>2607</v>
      </c>
      <c r="H103" s="860" t="s">
        <v>291</v>
      </c>
      <c r="I103" s="875"/>
      <c r="J103" s="792" t="str">
        <f>IF(ISBLANK(HLOOKUP(CaseName,CaseData,MATCH($G103,cases!$G$4:$G$2494,0),FALSE)),"",HLOOKUP(CaseName,CaseData,MATCH($G103,cases!$G$4:$G$2494,0),FALSE))</f>
        <v/>
      </c>
      <c r="K103" s="890">
        <f>(EXP((-1/0.1)*0)*(1/0.1)*L18/(1-EXP((-1/0.1)*L18)))</f>
        <v>1.2707470412683992</v>
      </c>
      <c r="L103" s="794">
        <f t="shared" si="6"/>
        <v>1.2707470412683992</v>
      </c>
      <c r="M103" s="821" t="s">
        <v>292</v>
      </c>
      <c r="N103" s="860" t="s">
        <v>1187</v>
      </c>
    </row>
    <row r="104" spans="1:14" ht="12.75" customHeight="1" x14ac:dyDescent="0.3">
      <c r="A104" s="860"/>
      <c r="B104" s="860"/>
      <c r="C104" s="860"/>
      <c r="D104" s="860"/>
      <c r="E104" s="860"/>
      <c r="F104" s="860"/>
      <c r="G104" s="860"/>
      <c r="H104" s="860"/>
      <c r="I104" s="790"/>
      <c r="J104" s="792"/>
      <c r="K104" s="886"/>
      <c r="L104" s="886"/>
      <c r="M104" s="860"/>
      <c r="N104" s="860"/>
    </row>
    <row r="105" spans="1:14" ht="12.75" customHeight="1" x14ac:dyDescent="0.3">
      <c r="A105" s="821" t="s">
        <v>2608</v>
      </c>
      <c r="B105" s="860"/>
      <c r="C105" s="860"/>
      <c r="D105" s="860"/>
      <c r="E105" s="860"/>
      <c r="F105" s="860"/>
      <c r="G105" s="821" t="s">
        <v>2609</v>
      </c>
      <c r="H105" s="821" t="s">
        <v>335</v>
      </c>
      <c r="I105" s="875"/>
      <c r="J105" s="792" t="str">
        <f>IF(ISBLANK(HLOOKUP(CaseName,CaseData,MATCH($G105,cases!$G$4:$G$2494,0),FALSE)),"",HLOOKUP(CaseName,CaseData,MATCH($G105,cases!$G$4:$G$2494,0),FALSE))</f>
        <v/>
      </c>
      <c r="K105" s="874">
        <f>(L107+L113)/L16</f>
        <v>1.4992283931314811E-11</v>
      </c>
      <c r="L105" s="794">
        <f t="shared" ref="L105:L111" si="7">IF(ISBLANK(I105),IF(ISNUMBER(J105)=FALSE,K105,J105),I105)</f>
        <v>1.4992283931314811E-11</v>
      </c>
      <c r="M105" s="860" t="s">
        <v>1038</v>
      </c>
      <c r="N105" s="860"/>
    </row>
    <row r="106" spans="1:14" ht="12.75" customHeight="1" x14ac:dyDescent="0.3">
      <c r="A106" s="821" t="s">
        <v>2610</v>
      </c>
      <c r="B106" s="860"/>
      <c r="C106" s="860"/>
      <c r="D106" s="860"/>
      <c r="E106" s="860"/>
      <c r="F106" s="860"/>
      <c r="G106" s="821" t="s">
        <v>2611</v>
      </c>
      <c r="H106" s="821" t="s">
        <v>335</v>
      </c>
      <c r="I106" s="875"/>
      <c r="J106" s="792" t="str">
        <f>IF(ISBLANK(HLOOKUP(CaseName,CaseData,MATCH($G106,cases!$G$4:$G$2494,0),FALSE)),"",HLOOKUP(CaseName,CaseData,MATCH($G106,cases!$G$4:$G$2494,0),FALSE))</f>
        <v/>
      </c>
      <c r="K106" s="874">
        <f>(L108+L114)/L17</f>
        <v>5.5395704977969484E-8</v>
      </c>
      <c r="L106" s="794">
        <f t="shared" si="7"/>
        <v>5.5395704977969484E-8</v>
      </c>
      <c r="M106" s="860" t="s">
        <v>1038</v>
      </c>
      <c r="N106" s="860"/>
    </row>
    <row r="107" spans="1:14" ht="12.75" customHeight="1" x14ac:dyDescent="0.3">
      <c r="A107" s="821"/>
      <c r="B107" s="821" t="s">
        <v>2612</v>
      </c>
      <c r="C107" s="860"/>
      <c r="D107" s="860"/>
      <c r="E107" s="860"/>
      <c r="F107" s="860"/>
      <c r="G107" s="821" t="s">
        <v>2613</v>
      </c>
      <c r="H107" s="860" t="s">
        <v>866</v>
      </c>
      <c r="I107" s="875"/>
      <c r="J107" s="792" t="str">
        <f>IF(ISBLANK(HLOOKUP(CaseName,CaseData,MATCH($G107,cases!$G$4:$G$2494,0),FALSE)),"",HLOOKUP(CaseName,CaseData,MATCH($G107,cases!$G$4:$G$2494,0),FALSE))</f>
        <v/>
      </c>
      <c r="K107" s="885">
        <f>L110*(1-L56)</f>
        <v>1.7488525385517546E-8</v>
      </c>
      <c r="L107" s="794">
        <f t="shared" si="7"/>
        <v>1.7488525385517546E-8</v>
      </c>
      <c r="M107" s="860" t="s">
        <v>4692</v>
      </c>
      <c r="N107" s="860"/>
    </row>
    <row r="108" spans="1:14" ht="12.75" customHeight="1" x14ac:dyDescent="0.3">
      <c r="A108" s="821"/>
      <c r="B108" s="821" t="s">
        <v>2614</v>
      </c>
      <c r="C108" s="860"/>
      <c r="D108" s="860"/>
      <c r="E108" s="860"/>
      <c r="F108" s="860"/>
      <c r="G108" s="821" t="s">
        <v>2615</v>
      </c>
      <c r="H108" s="860" t="s">
        <v>866</v>
      </c>
      <c r="I108" s="875"/>
      <c r="J108" s="792" t="str">
        <f>IF(ISBLANK(HLOOKUP(CaseName,CaseData,MATCH($G108,cases!$G$4:$G$2494,0),FALSE)),"",HLOOKUP(CaseName,CaseData,MATCH($G108,cases!$G$4:$G$2494,0),FALSE))</f>
        <v/>
      </c>
      <c r="K108" s="874">
        <f>L109-L111</f>
        <v>2.8926233382241219E-10</v>
      </c>
      <c r="L108" s="794">
        <f t="shared" si="7"/>
        <v>2.8926233382241219E-10</v>
      </c>
      <c r="M108" s="860" t="s">
        <v>4692</v>
      </c>
      <c r="N108" s="860"/>
    </row>
    <row r="109" spans="1:14" ht="12.75" customHeight="1" x14ac:dyDescent="0.3">
      <c r="A109" s="821"/>
      <c r="B109" s="821"/>
      <c r="C109" s="821" t="s">
        <v>1216</v>
      </c>
      <c r="D109" s="821"/>
      <c r="E109" s="860"/>
      <c r="F109" s="860"/>
      <c r="G109" s="872" t="s">
        <v>2616</v>
      </c>
      <c r="H109" s="913" t="s">
        <v>866</v>
      </c>
      <c r="I109" s="869"/>
      <c r="J109" s="792" t="str">
        <f>IF(ISBLANK(HLOOKUP(CaseName,CaseData,MATCH($G109,cases!$G$4:$G$2494,0),FALSE)),"",HLOOKUP(CaseName,CaseData,MATCH($G109,cases!$G$4:$G$2494,0),FALSE))</f>
        <v/>
      </c>
      <c r="K109" s="874">
        <f>IF(L110*L62/(L26*RHOsolid)&gt;L111,L110*L62/(L26*RHOsolid),L111)</f>
        <v>2.893518518518519E-10</v>
      </c>
      <c r="L109" s="794">
        <f t="shared" si="7"/>
        <v>2.893518518518519E-10</v>
      </c>
      <c r="M109" s="860" t="s">
        <v>690</v>
      </c>
      <c r="N109" s="860"/>
    </row>
    <row r="110" spans="1:14" ht="12.75" customHeight="1" x14ac:dyDescent="0.3">
      <c r="A110" s="821"/>
      <c r="B110" s="821"/>
      <c r="C110" s="860"/>
      <c r="D110" s="821" t="s">
        <v>1220</v>
      </c>
      <c r="E110" s="872"/>
      <c r="F110" s="872"/>
      <c r="G110" s="872" t="s">
        <v>2617</v>
      </c>
      <c r="H110" s="913" t="s">
        <v>866</v>
      </c>
      <c r="I110" s="869"/>
      <c r="J110" s="792" t="str">
        <f>IF(ISBLANK(HLOOKUP(CaseName,CaseData,MATCH($G110,cases!$G$4:$G$2494,0),FALSE)),"",HLOOKUP(CaseName,CaseData,MATCH($G110,cases!$G$4:$G$2494,0),FALSE))</f>
        <v/>
      </c>
      <c r="K110" s="874">
        <f>2.5/(24*3600)</f>
        <v>2.8935185185185186E-5</v>
      </c>
      <c r="L110" s="794">
        <f t="shared" si="7"/>
        <v>2.8935185185185186E-5</v>
      </c>
      <c r="M110" s="860" t="s">
        <v>690</v>
      </c>
      <c r="N110" s="860"/>
    </row>
    <row r="111" spans="1:14" ht="12.75" customHeight="1" x14ac:dyDescent="0.3">
      <c r="A111" s="821"/>
      <c r="B111" s="821"/>
      <c r="C111" s="860"/>
      <c r="D111" s="821" t="s">
        <v>2618</v>
      </c>
      <c r="E111" s="872"/>
      <c r="F111" s="872"/>
      <c r="G111" s="872" t="s">
        <v>2619</v>
      </c>
      <c r="H111" s="913" t="s">
        <v>866</v>
      </c>
      <c r="I111" s="869"/>
      <c r="J111" s="792" t="str">
        <f>IF(ISBLANK(HLOOKUP(CaseName,CaseData,MATCH($G111,cases!$G$4:$G$2494,0),FALSE)),"",HLOOKUP(CaseName,CaseData,MATCH($G111,cases!$G$4:$G$2494,0),FALSE))</f>
        <v/>
      </c>
      <c r="K111" s="874">
        <v>8.9518029439684741E-14</v>
      </c>
      <c r="L111" s="794">
        <f t="shared" si="7"/>
        <v>8.9518029439684741E-14</v>
      </c>
      <c r="M111" s="860" t="s">
        <v>690</v>
      </c>
      <c r="N111" s="860" t="s">
        <v>1227</v>
      </c>
    </row>
    <row r="112" spans="1:14" ht="12.75" customHeight="1" x14ac:dyDescent="0.3">
      <c r="A112" s="821"/>
      <c r="B112" s="821"/>
      <c r="C112" s="821"/>
      <c r="D112" s="860"/>
      <c r="E112" s="821" t="s">
        <v>2620</v>
      </c>
      <c r="F112" s="821"/>
      <c r="G112" s="872" t="s">
        <v>2621</v>
      </c>
      <c r="H112" s="821" t="s">
        <v>2622</v>
      </c>
      <c r="I112" s="869"/>
      <c r="J112" s="792" t="str">
        <f>IF(ISBLANK(HLOOKUP(CaseName,CaseData,MATCH($G112,cases!$G$4:$G$2494,0),FALSE)),"",HLOOKUP(CaseName,CaseData,MATCH($G112,cases!$G$4:$G$2494,0),FALSE))</f>
        <v/>
      </c>
      <c r="K112" s="874">
        <v>1</v>
      </c>
      <c r="L112" s="794">
        <f>IF(ISBLANK(I112),IF(ISNUMBER(J112)=FALSE,K112/(1000*3600*24*365)*L12*L11,J112/(1000*3600*24*365)*L12*L11),I112/(1000*3600*24*365)*L12*L11)</f>
        <v>1229.8829908675798</v>
      </c>
      <c r="M112" s="821" t="s">
        <v>1233</v>
      </c>
      <c r="N112" s="860"/>
    </row>
    <row r="113" spans="1:14" ht="12.75" customHeight="1" x14ac:dyDescent="0.3">
      <c r="A113" s="860"/>
      <c r="B113" s="860" t="s">
        <v>2623</v>
      </c>
      <c r="C113" s="821"/>
      <c r="D113" s="860"/>
      <c r="E113" s="872"/>
      <c r="F113" s="872"/>
      <c r="G113" s="821" t="s">
        <v>2624</v>
      </c>
      <c r="H113" s="860" t="s">
        <v>866</v>
      </c>
      <c r="I113" s="875"/>
      <c r="J113" s="792" t="str">
        <f>IF(ISBLANK(HLOOKUP(CaseName,CaseData,MATCH($G113,cases!$G$4:$G$2494,0),FALSE)),"",HLOOKUP(CaseName,CaseData,MATCH($G113,cases!$G$4:$G$2494,0),FALSE))</f>
        <v/>
      </c>
      <c r="K113" s="874">
        <f>(L115*L116)/(L115+L116)*L55</f>
        <v>2.7488326408426885E-8</v>
      </c>
      <c r="L113" s="794">
        <f>IF(ISBLANK(I113),IF(ISNUMBER(J113)=FALSE,K113,J113),I113)</f>
        <v>2.7488326408426885E-8</v>
      </c>
      <c r="M113" s="860" t="s">
        <v>4692</v>
      </c>
      <c r="N113" s="860"/>
    </row>
    <row r="114" spans="1:14" ht="12.75" customHeight="1" x14ac:dyDescent="0.3">
      <c r="A114" s="860"/>
      <c r="B114" s="860" t="s">
        <v>2625</v>
      </c>
      <c r="C114" s="821"/>
      <c r="D114" s="860"/>
      <c r="E114" s="872"/>
      <c r="F114" s="872"/>
      <c r="G114" s="821" t="s">
        <v>2626</v>
      </c>
      <c r="H114" s="860" t="s">
        <v>866</v>
      </c>
      <c r="I114" s="875"/>
      <c r="J114" s="792" t="str">
        <f>IF(ISBLANK(HLOOKUP(CaseName,CaseData,MATCH($G114,cases!$G$4:$G$2494,0),FALSE)),"",HLOOKUP(CaseName,CaseData,MATCH($G114,cases!$G$4:$G$2494,0),FALSE))</f>
        <v/>
      </c>
      <c r="K114" s="874">
        <f>(L115*L116/(L115+L116))/L67</f>
        <v>1.3726088155166722E-9</v>
      </c>
      <c r="L114" s="794">
        <f>IF(ISBLANK(I114),IF(ISNUMBER(J114)=FALSE,K114,J114),I114)</f>
        <v>1.3726088155166722E-9</v>
      </c>
      <c r="M114" s="860" t="s">
        <v>4692</v>
      </c>
      <c r="N114" s="860"/>
    </row>
    <row r="115" spans="1:14" ht="12.75" customHeight="1" x14ac:dyDescent="0.3">
      <c r="A115" s="821"/>
      <c r="B115" s="821"/>
      <c r="C115" s="860" t="s">
        <v>1244</v>
      </c>
      <c r="D115" s="860"/>
      <c r="E115" s="860"/>
      <c r="F115" s="860"/>
      <c r="G115" s="860" t="s">
        <v>2627</v>
      </c>
      <c r="H115" s="913" t="s">
        <v>866</v>
      </c>
      <c r="I115" s="869"/>
      <c r="J115" s="792" t="str">
        <f>IF(ISBLANK(HLOOKUP(CaseName,CaseData,MATCH($G115,cases!$G$4:$G$2494,0),FALSE)),"",HLOOKUP(CaseName,CaseData,MATCH($G115,cases!$G$4:$G$2494,0),FALSE))</f>
        <v/>
      </c>
      <c r="K115" s="914">
        <v>2.7779999999999999E-6</v>
      </c>
      <c r="L115" s="794">
        <f>IF(ISBLANK(I115),IF(ISNUMBER(J115)=FALSE,K115,J115),I115)</f>
        <v>2.7779999999999999E-6</v>
      </c>
      <c r="M115" s="860" t="s">
        <v>690</v>
      </c>
      <c r="N115" s="860"/>
    </row>
    <row r="116" spans="1:14" ht="12.75" customHeight="1" x14ac:dyDescent="0.3">
      <c r="A116" s="821"/>
      <c r="B116" s="821"/>
      <c r="C116" s="860" t="s">
        <v>1246</v>
      </c>
      <c r="D116" s="860"/>
      <c r="E116" s="860"/>
      <c r="F116" s="860"/>
      <c r="G116" s="860" t="s">
        <v>2628</v>
      </c>
      <c r="H116" s="913" t="s">
        <v>866</v>
      </c>
      <c r="I116" s="869"/>
      <c r="J116" s="792" t="str">
        <f>IF(ISBLANK(HLOOKUP(CaseName,CaseData,MATCH($G116,cases!$G$4:$G$2494,0),FALSE)),"",HLOOKUP(CaseName,CaseData,MATCH($G116,cases!$G$4:$G$2494,0),FALSE))</f>
        <v/>
      </c>
      <c r="K116" s="914">
        <v>2.7779999999999998E-8</v>
      </c>
      <c r="L116" s="794">
        <f>IF(ISBLANK(I116),IF(ISNUMBER(J116)=FALSE,K116,J116),I116)</f>
        <v>2.7779999999999998E-8</v>
      </c>
      <c r="M116" s="860" t="s">
        <v>690</v>
      </c>
      <c r="N116" s="860"/>
    </row>
    <row r="117" spans="1:14" ht="12.75" customHeight="1" x14ac:dyDescent="0.3">
      <c r="A117" s="860"/>
      <c r="B117" s="860"/>
      <c r="C117" s="860"/>
      <c r="D117" s="860"/>
      <c r="E117" s="860"/>
      <c r="F117" s="860"/>
      <c r="G117" s="860"/>
      <c r="H117" s="860"/>
      <c r="I117" s="790"/>
      <c r="J117" s="792"/>
      <c r="K117" s="886"/>
      <c r="L117" s="886"/>
      <c r="M117" s="860"/>
      <c r="N117" s="860"/>
    </row>
    <row r="118" spans="1:14" ht="12.75" customHeight="1" x14ac:dyDescent="0.3">
      <c r="A118" s="821" t="s">
        <v>2629</v>
      </c>
      <c r="B118" s="860"/>
      <c r="C118" s="860"/>
      <c r="D118" s="860"/>
      <c r="E118" s="860"/>
      <c r="F118" s="860"/>
      <c r="G118" s="821" t="s">
        <v>2630</v>
      </c>
      <c r="H118" s="821" t="s">
        <v>4690</v>
      </c>
      <c r="I118" s="875"/>
      <c r="J118" s="792" t="str">
        <f>IF(ISBLANK(HLOOKUP(CaseName,CaseData,MATCH($G118,cases!$G$4:$G$2494,0),FALSE)),"",HLOOKUP(CaseName,CaseData,MATCH($G118,cases!$G$4:$G$2494,0),FALSE))</f>
        <v/>
      </c>
      <c r="K118" s="874">
        <f>(L92*L120/L70+L119)*L121/L18</f>
        <v>6.0760255858239929E-9</v>
      </c>
      <c r="L118" s="794">
        <f>IF(ISBLANK(I118),IF(ISNUMBER(J118)=FALSE,K118,J118),I118)</f>
        <v>6.0760255858239929E-9</v>
      </c>
      <c r="M118" s="860" t="s">
        <v>1038</v>
      </c>
      <c r="N118" s="860"/>
    </row>
    <row r="119" spans="1:14" ht="12.75" customHeight="1" x14ac:dyDescent="0.3">
      <c r="A119" s="860"/>
      <c r="B119" s="872" t="s">
        <v>2631</v>
      </c>
      <c r="C119" s="860"/>
      <c r="D119" s="860"/>
      <c r="E119" s="860"/>
      <c r="F119" s="860"/>
      <c r="G119" s="872" t="s">
        <v>2632</v>
      </c>
      <c r="H119" s="913" t="s">
        <v>4734</v>
      </c>
      <c r="I119" s="869"/>
      <c r="J119" s="792" t="str">
        <f>IF(ISBLANK(HLOOKUP(CaseName,CaseData,MATCH($G119,cases!$G$4:$G$2494,0),FALSE)),"",HLOOKUP(CaseName,CaseData,MATCH($G119,cases!$G$4:$G$2494,0),FALSE))</f>
        <v/>
      </c>
      <c r="K119" s="874">
        <f>EROSION.C</f>
        <v>9.5129375951293754E-13</v>
      </c>
      <c r="L119" s="794">
        <f>IF(ISBLANK(I119),IF(ISNUMBER(J119)=FALSE,K119,J119),I119)</f>
        <v>9.5129375951293754E-13</v>
      </c>
      <c r="M119" s="860" t="s">
        <v>690</v>
      </c>
      <c r="N119" s="860"/>
    </row>
    <row r="120" spans="1:14" ht="12.75" customHeight="1" x14ac:dyDescent="0.3">
      <c r="A120" s="860"/>
      <c r="B120" s="821" t="s">
        <v>2633</v>
      </c>
      <c r="C120" s="860"/>
      <c r="D120" s="860"/>
      <c r="E120" s="860"/>
      <c r="F120" s="860"/>
      <c r="G120" s="872" t="s">
        <v>2634</v>
      </c>
      <c r="H120" s="821" t="s">
        <v>291</v>
      </c>
      <c r="I120" s="869"/>
      <c r="J120" s="792" t="str">
        <f>IF(ISBLANK(HLOOKUP(CaseName,CaseData,MATCH($G120,cases!$G$4:$G$2494,0),FALSE)),"",HLOOKUP(CaseName,CaseData,MATCH($G120,cases!$G$4:$G$2494,0),FALSE))</f>
        <v/>
      </c>
      <c r="K120" s="874">
        <f>FRACrun.C</f>
        <v>0.25</v>
      </c>
      <c r="L120" s="794">
        <f>IF(ISBLANK(I120),IF(ISNUMBER(J120)=FALSE,K120,J120),I120)</f>
        <v>0.25</v>
      </c>
      <c r="M120" s="860" t="s">
        <v>292</v>
      </c>
      <c r="N120" s="860"/>
    </row>
    <row r="121" spans="1:14" ht="12.75" customHeight="1" x14ac:dyDescent="0.3">
      <c r="A121" s="821"/>
      <c r="B121" s="860" t="s">
        <v>1185</v>
      </c>
      <c r="C121" s="860"/>
      <c r="D121" s="872"/>
      <c r="E121" s="872"/>
      <c r="F121" s="860"/>
      <c r="G121" s="821" t="s">
        <v>2635</v>
      </c>
      <c r="H121" s="860" t="s">
        <v>291</v>
      </c>
      <c r="I121" s="875"/>
      <c r="J121" s="792" t="str">
        <f>IF(ISBLANK(HLOOKUP(CaseName,CaseData,MATCH($G121,cases!$G$4:$G$2494,0),FALSE)),"",HLOOKUP(CaseName,CaseData,MATCH($G121,cases!$G$4:$G$2494,0),FALSE))</f>
        <v/>
      </c>
      <c r="K121" s="874">
        <f>(EXP((-1/0.1)*0)*(1/0.1)*L18/(1-EXP((-1/0.1)*L18)))</f>
        <v>1.2707470412683992</v>
      </c>
      <c r="L121" s="794">
        <f>IF(ISBLANK(I121),IF(ISNUMBER(J121)=FALSE,K121,J121),I121)</f>
        <v>1.2707470412683992</v>
      </c>
      <c r="M121" s="821" t="s">
        <v>292</v>
      </c>
      <c r="N121" s="860" t="s">
        <v>1187</v>
      </c>
    </row>
    <row r="122" spans="1:14" ht="12.75" customHeight="1" x14ac:dyDescent="0.3">
      <c r="A122" s="860"/>
      <c r="B122" s="860"/>
      <c r="C122" s="860"/>
      <c r="D122" s="860"/>
      <c r="E122" s="860"/>
      <c r="F122" s="860"/>
      <c r="G122" s="860"/>
      <c r="H122" s="821"/>
      <c r="I122" s="862"/>
      <c r="J122" s="792"/>
      <c r="K122" s="886"/>
      <c r="L122" s="886"/>
      <c r="M122" s="860"/>
      <c r="N122" s="860"/>
    </row>
    <row r="123" spans="1:14" ht="12.75" customHeight="1" x14ac:dyDescent="0.3">
      <c r="A123" s="865" t="s">
        <v>1266</v>
      </c>
      <c r="B123" s="864"/>
      <c r="C123" s="864"/>
      <c r="D123" s="864"/>
      <c r="E123" s="864"/>
      <c r="F123" s="864"/>
      <c r="G123" s="865" t="s">
        <v>258</v>
      </c>
      <c r="H123" s="865" t="s">
        <v>274</v>
      </c>
      <c r="I123" s="864" t="s">
        <v>259</v>
      </c>
      <c r="J123" s="910" t="s">
        <v>275</v>
      </c>
      <c r="K123" s="867" t="s">
        <v>260</v>
      </c>
      <c r="L123" s="867" t="s">
        <v>261</v>
      </c>
      <c r="M123" s="864"/>
      <c r="N123" s="865" t="s">
        <v>262</v>
      </c>
    </row>
    <row r="124" spans="1:14" ht="12.75" customHeight="1" x14ac:dyDescent="0.3">
      <c r="A124" s="821"/>
      <c r="B124" s="860"/>
      <c r="C124" s="860"/>
      <c r="D124" s="860"/>
      <c r="E124" s="860"/>
      <c r="F124" s="860"/>
      <c r="G124" s="860"/>
      <c r="H124" s="821"/>
      <c r="I124" s="862"/>
      <c r="J124" s="792"/>
      <c r="K124" s="915"/>
      <c r="L124" s="916"/>
      <c r="M124" s="860"/>
      <c r="N124" s="860"/>
    </row>
    <row r="125" spans="1:14" ht="12.75" customHeight="1" x14ac:dyDescent="0.3">
      <c r="A125" s="821" t="s">
        <v>1267</v>
      </c>
      <c r="B125" s="860"/>
      <c r="C125" s="860"/>
      <c r="D125" s="860"/>
      <c r="E125" s="860"/>
      <c r="F125" s="860"/>
      <c r="G125" s="821" t="s">
        <v>2636</v>
      </c>
      <c r="H125" s="821" t="s">
        <v>4690</v>
      </c>
      <c r="I125" s="875"/>
      <c r="J125" s="792" t="str">
        <f>IF(ISBLANK(HLOOKUP(CaseName,CaseData,MATCH($G125,cases!$G$4:$G$2494,0),FALSE)),"",HLOOKUP(CaseName,CaseData,MATCH($G125,cases!$G$4:$G$2494,0),FALSE))</f>
        <v/>
      </c>
      <c r="K125" s="874">
        <f>L130+L48*kdegG.air*(L132/C.OHrad)*L133</f>
        <v>2.1630471517752678E-7</v>
      </c>
      <c r="L125" s="794">
        <f t="shared" ref="L125:L142" si="8">IF(ISBLANK(I125),IF(ISNUMBER(J125)=FALSE,K125,J125),I125)</f>
        <v>2.1630471517752678E-7</v>
      </c>
      <c r="M125" s="860" t="s">
        <v>1038</v>
      </c>
      <c r="N125" s="860"/>
    </row>
    <row r="126" spans="1:14" ht="12.75" customHeight="1" x14ac:dyDescent="0.3">
      <c r="A126" s="821" t="s">
        <v>4794</v>
      </c>
      <c r="B126" s="860"/>
      <c r="C126" s="860"/>
      <c r="D126" s="860"/>
      <c r="E126" s="860"/>
      <c r="F126" s="860"/>
      <c r="G126" s="821" t="s">
        <v>2637</v>
      </c>
      <c r="H126" s="821" t="s">
        <v>4690</v>
      </c>
      <c r="I126" s="875"/>
      <c r="J126" s="792" t="str">
        <f>IF(ISBLANK(HLOOKUP(CaseName,CaseData,MATCH($G126,cases!$G$4:$G$2494,0),FALSE)),"",HLOOKUP(CaseName,CaseData,MATCH($G126,cases!$G$4:$G$2494,0),FALSE))</f>
        <v/>
      </c>
      <c r="K126" s="874">
        <f>kdeg.water*L138*(L136/BACT.test)*L55</f>
        <v>8.6858477099101683E-8</v>
      </c>
      <c r="L126" s="794">
        <f t="shared" si="8"/>
        <v>8.6858477099101683E-8</v>
      </c>
      <c r="M126" s="860" t="s">
        <v>1038</v>
      </c>
      <c r="N126" s="860"/>
    </row>
    <row r="127" spans="1:14" ht="12.75" customHeight="1" x14ac:dyDescent="0.3">
      <c r="A127" s="821" t="s">
        <v>2638</v>
      </c>
      <c r="B127" s="860"/>
      <c r="C127" s="860"/>
      <c r="D127" s="860"/>
      <c r="E127" s="860"/>
      <c r="F127" s="860"/>
      <c r="G127" s="821" t="s">
        <v>2639</v>
      </c>
      <c r="H127" s="821" t="s">
        <v>4690</v>
      </c>
      <c r="I127" s="875"/>
      <c r="J127" s="792" t="str">
        <f>IF(ISBLANK(HLOOKUP(CaseName,CaseData,MATCH($G127,cases!$G$4:$G$2494,0),FALSE)),"",HLOOKUP(CaseName,CaseData,MATCH($G127,cases!$G$4:$G$2494,0),FALSE))</f>
        <v/>
      </c>
      <c r="K127" s="874">
        <f>kdeg.water*L138*(L137/BACT.test)*L56</f>
        <v>8.6858477099101683E-8</v>
      </c>
      <c r="L127" s="794">
        <f t="shared" si="8"/>
        <v>8.6858477099101683E-8</v>
      </c>
      <c r="M127" s="860" t="s">
        <v>1038</v>
      </c>
      <c r="N127" s="860"/>
    </row>
    <row r="128" spans="1:14" ht="12.75" customHeight="1" x14ac:dyDescent="0.3">
      <c r="A128" s="821" t="s">
        <v>2640</v>
      </c>
      <c r="B128" s="860"/>
      <c r="C128" s="860"/>
      <c r="D128" s="860"/>
      <c r="E128" s="860"/>
      <c r="F128" s="860"/>
      <c r="G128" s="821" t="s">
        <v>2641</v>
      </c>
      <c r="H128" s="821" t="s">
        <v>4690</v>
      </c>
      <c r="I128" s="875"/>
      <c r="J128" s="792" t="str">
        <f>IF(ISBLANK(HLOOKUP(CaseName,CaseData,MATCH($G128,cases!$G$4:$G$2494,0),FALSE)),"",HLOOKUP(CaseName,CaseData,MATCH($G128,cases!$G$4:$G$2494,0),FALSE))</f>
        <v/>
      </c>
      <c r="K128" s="874">
        <f>L138*kdeg.sed+L111*L11*L12/L9</f>
        <v>9.6687874509538597E-9</v>
      </c>
      <c r="L128" s="794">
        <f t="shared" si="8"/>
        <v>9.6687874509538597E-9</v>
      </c>
      <c r="M128" s="860" t="s">
        <v>1038</v>
      </c>
      <c r="N128" s="860"/>
    </row>
    <row r="129" spans="1:14" ht="12.75" customHeight="1" x14ac:dyDescent="0.3">
      <c r="A129" s="821" t="s">
        <v>2642</v>
      </c>
      <c r="B129" s="860"/>
      <c r="C129" s="860"/>
      <c r="D129" s="860"/>
      <c r="E129" s="860"/>
      <c r="F129" s="860"/>
      <c r="G129" s="821" t="s">
        <v>2643</v>
      </c>
      <c r="H129" s="821" t="s">
        <v>4690</v>
      </c>
      <c r="I129" s="875"/>
      <c r="J129" s="792" t="str">
        <f>IF(ISBLANK(HLOOKUP(CaseName,CaseData,MATCH($G129,cases!$G$4:$G$2494,0),FALSE)),"",HLOOKUP(CaseName,CaseData,MATCH($G129,cases!$G$4:$G$2494,0),FALSE))</f>
        <v/>
      </c>
      <c r="K129" s="874">
        <f>L138*kdeg.soil+L141*L92/L70*L142*L11*L13/L10</f>
        <v>4.3496280239573685E-8</v>
      </c>
      <c r="L129" s="794">
        <f t="shared" si="8"/>
        <v>4.3496280239573685E-8</v>
      </c>
      <c r="M129" s="860" t="s">
        <v>1038</v>
      </c>
      <c r="N129" s="860"/>
    </row>
    <row r="130" spans="1:14" ht="12.75" customHeight="1" x14ac:dyDescent="0.3">
      <c r="A130" s="821"/>
      <c r="B130" s="821" t="s">
        <v>1278</v>
      </c>
      <c r="C130" s="872"/>
      <c r="D130" s="860"/>
      <c r="E130" s="860"/>
      <c r="F130" s="860"/>
      <c r="G130" s="872" t="s">
        <v>2644</v>
      </c>
      <c r="H130" s="821" t="s">
        <v>4690</v>
      </c>
      <c r="I130" s="869"/>
      <c r="J130" s="792" t="str">
        <f>IF(ISBLANK(HLOOKUP(CaseName,CaseData,MATCH($G130,cases!$G$4:$G$2494,0),FALSE)),"",HLOOKUP(CaseName,CaseData,MATCH($G130,cases!$G$4:$G$2494,0),FALSE))</f>
        <v/>
      </c>
      <c r="K130" s="874">
        <f>LN(2)/(60*365*24*3600)</f>
        <v>3.663258818281463E-10</v>
      </c>
      <c r="L130" s="794">
        <f t="shared" si="8"/>
        <v>3.663258818281463E-10</v>
      </c>
      <c r="M130" s="821" t="s">
        <v>1038</v>
      </c>
      <c r="N130" s="860"/>
    </row>
    <row r="131" spans="1:14" ht="12.75" customHeight="1" x14ac:dyDescent="0.3">
      <c r="A131" s="821"/>
      <c r="B131" s="821" t="s">
        <v>1280</v>
      </c>
      <c r="C131" s="860"/>
      <c r="D131" s="860"/>
      <c r="E131" s="860"/>
      <c r="F131" s="860"/>
      <c r="G131" s="821" t="s">
        <v>2645</v>
      </c>
      <c r="H131" s="821" t="s">
        <v>4690</v>
      </c>
      <c r="I131" s="869"/>
      <c r="J131" s="792" t="str">
        <f>IF(ISBLANK(HLOOKUP(CaseName,CaseData,MATCH($G131,cases!$G$4:$G$2494,0),FALSE)),"",HLOOKUP(CaseName,CaseData,MATCH($G131,cases!$G$4:$G$2494,0),FALSE))</f>
        <v/>
      </c>
      <c r="K131" s="874">
        <f>L48*kdegG.air*(L132/C.OHrad)*L133</f>
        <v>2.1593838929569864E-7</v>
      </c>
      <c r="L131" s="794">
        <f t="shared" si="8"/>
        <v>2.1593838929569864E-7</v>
      </c>
      <c r="M131" s="821" t="s">
        <v>1038</v>
      </c>
      <c r="N131" s="860"/>
    </row>
    <row r="132" spans="1:14" ht="12.75" customHeight="1" x14ac:dyDescent="0.3">
      <c r="A132" s="872"/>
      <c r="B132" s="872"/>
      <c r="C132" s="821" t="s">
        <v>2646</v>
      </c>
      <c r="D132" s="860"/>
      <c r="E132" s="860"/>
      <c r="F132" s="860"/>
      <c r="G132" s="821" t="s">
        <v>2647</v>
      </c>
      <c r="H132" s="821" t="s">
        <v>4757</v>
      </c>
      <c r="I132" s="869"/>
      <c r="J132" s="792" t="str">
        <f>IF(ISBLANK(HLOOKUP(CaseName,CaseData,MATCH($G132,cases!$G$4:$G$2494,0),FALSE)),"",HLOOKUP(CaseName,CaseData,MATCH($G132,cases!$G$4:$G$2494,0),FALSE))</f>
        <v/>
      </c>
      <c r="K132" s="874">
        <v>500000</v>
      </c>
      <c r="L132" s="794">
        <f t="shared" si="8"/>
        <v>500000</v>
      </c>
      <c r="M132" s="821" t="s">
        <v>1284</v>
      </c>
      <c r="N132" s="860"/>
    </row>
    <row r="133" spans="1:14" ht="12.75" customHeight="1" x14ac:dyDescent="0.3">
      <c r="A133" s="872"/>
      <c r="B133" s="872"/>
      <c r="C133" s="821" t="s">
        <v>2122</v>
      </c>
      <c r="D133" s="860"/>
      <c r="E133" s="860"/>
      <c r="F133" s="860"/>
      <c r="G133" s="821" t="s">
        <v>2648</v>
      </c>
      <c r="H133" s="821" t="s">
        <v>291</v>
      </c>
      <c r="I133" s="869"/>
      <c r="J133" s="792" t="str">
        <f>IF(ISBLANK(HLOOKUP(CaseName,CaseData,MATCH($G133,cases!$G$4:$G$2494,0),FALSE)),"",HLOOKUP(CaseName,CaseData,MATCH($G133,cases!$G$4:$G$2494,0),FALSE))</f>
        <v/>
      </c>
      <c r="K133" s="874">
        <f>EXP((Ea.OHrad/8.314)*(L52-298)/298^2)</f>
        <v>0.89974332049812744</v>
      </c>
      <c r="L133" s="794">
        <f t="shared" si="8"/>
        <v>0.89974332049812744</v>
      </c>
      <c r="M133" s="821" t="s">
        <v>292</v>
      </c>
      <c r="N133" s="860"/>
    </row>
    <row r="134" spans="1:14" ht="12.75" customHeight="1" x14ac:dyDescent="0.3">
      <c r="A134" s="821"/>
      <c r="B134" s="821" t="s">
        <v>4795</v>
      </c>
      <c r="C134" s="860"/>
      <c r="D134" s="860"/>
      <c r="E134" s="860"/>
      <c r="F134" s="860"/>
      <c r="G134" s="821" t="s">
        <v>2649</v>
      </c>
      <c r="H134" s="821" t="s">
        <v>4690</v>
      </c>
      <c r="I134" s="869"/>
      <c r="J134" s="792" t="str">
        <f>IF(ISBLANK(HLOOKUP(CaseName,CaseData,MATCH($G134,cases!$G$4:$G$2494,0),FALSE)),"",HLOOKUP(CaseName,CaseData,MATCH($G134,cases!$G$4:$G$2494,0),FALSE))</f>
        <v/>
      </c>
      <c r="K134" s="874">
        <f>kdeg.water*L138*(L136/BACT.test)*L55</f>
        <v>8.6858477099101683E-8</v>
      </c>
      <c r="L134" s="794">
        <f t="shared" si="8"/>
        <v>8.6858477099101683E-8</v>
      </c>
      <c r="M134" s="821" t="s">
        <v>1038</v>
      </c>
      <c r="N134" s="860"/>
    </row>
    <row r="135" spans="1:14" ht="12.75" customHeight="1" x14ac:dyDescent="0.3">
      <c r="A135" s="821"/>
      <c r="B135" s="821" t="s">
        <v>2650</v>
      </c>
      <c r="C135" s="860"/>
      <c r="D135" s="860"/>
      <c r="E135" s="860"/>
      <c r="F135" s="860"/>
      <c r="G135" s="821" t="s">
        <v>2651</v>
      </c>
      <c r="H135" s="821" t="s">
        <v>4690</v>
      </c>
      <c r="I135" s="869"/>
      <c r="J135" s="792" t="str">
        <f>IF(ISBLANK(HLOOKUP(CaseName,CaseData,MATCH($G135,cases!$G$4:$G$2494,0),FALSE)),"",HLOOKUP(CaseName,CaseData,MATCH($G135,cases!$G$4:$G$2494,0),FALSE))</f>
        <v/>
      </c>
      <c r="K135" s="874">
        <f>kdeg.water*L138*(L137/BACT.test)*L56</f>
        <v>8.6858477099101683E-8</v>
      </c>
      <c r="L135" s="794">
        <f t="shared" si="8"/>
        <v>8.6858477099101683E-8</v>
      </c>
      <c r="M135" s="821" t="s">
        <v>1038</v>
      </c>
      <c r="N135" s="860"/>
    </row>
    <row r="136" spans="1:14" ht="12.75" customHeight="1" x14ac:dyDescent="0.3">
      <c r="A136" s="821"/>
      <c r="B136" s="821"/>
      <c r="C136" s="821" t="s">
        <v>4796</v>
      </c>
      <c r="D136" s="860"/>
      <c r="E136" s="860"/>
      <c r="F136" s="860"/>
      <c r="G136" s="872" t="s">
        <v>2652</v>
      </c>
      <c r="H136" s="821" t="s">
        <v>1295</v>
      </c>
      <c r="I136" s="869"/>
      <c r="J136" s="792" t="str">
        <f>IF(ISBLANK(HLOOKUP(CaseName,CaseData,MATCH($G136,cases!$G$4:$G$2494,0),FALSE)),"",HLOOKUP(CaseName,CaseData,MATCH($G136,cases!$G$4:$G$2494,0),FALSE))</f>
        <v/>
      </c>
      <c r="K136" s="874">
        <v>40000</v>
      </c>
      <c r="L136" s="794">
        <f t="shared" si="8"/>
        <v>40000</v>
      </c>
      <c r="M136" s="821" t="s">
        <v>638</v>
      </c>
      <c r="N136" s="860"/>
    </row>
    <row r="137" spans="1:14" ht="12.75" customHeight="1" x14ac:dyDescent="0.3">
      <c r="A137" s="821"/>
      <c r="B137" s="821"/>
      <c r="C137" s="821" t="s">
        <v>2653</v>
      </c>
      <c r="D137" s="860"/>
      <c r="E137" s="860"/>
      <c r="F137" s="860"/>
      <c r="G137" s="872" t="s">
        <v>2654</v>
      </c>
      <c r="H137" s="821" t="s">
        <v>1295</v>
      </c>
      <c r="I137" s="869"/>
      <c r="J137" s="792" t="str">
        <f>IF(ISBLANK(HLOOKUP(CaseName,CaseData,MATCH($G137,cases!$G$4:$G$2494,0),FALSE)),"",HLOOKUP(CaseName,CaseData,MATCH($G137,cases!$G$4:$G$2494,0),FALSE))</f>
        <v/>
      </c>
      <c r="K137" s="874">
        <v>40000</v>
      </c>
      <c r="L137" s="794">
        <f t="shared" si="8"/>
        <v>40000</v>
      </c>
      <c r="M137" s="821" t="s">
        <v>638</v>
      </c>
      <c r="N137" s="860"/>
    </row>
    <row r="138" spans="1:14" ht="12.75" customHeight="1" x14ac:dyDescent="0.3">
      <c r="A138" s="872"/>
      <c r="B138" s="872"/>
      <c r="C138" s="821" t="s">
        <v>1301</v>
      </c>
      <c r="D138" s="860"/>
      <c r="E138" s="860"/>
      <c r="F138" s="860"/>
      <c r="G138" s="821" t="s">
        <v>2655</v>
      </c>
      <c r="H138" s="821" t="s">
        <v>291</v>
      </c>
      <c r="I138" s="869"/>
      <c r="J138" s="792" t="str">
        <f>IF(ISBLANK(HLOOKUP(CaseName,CaseData,MATCH($G138,cases!$G$4:$G$2494,0),FALSE)),"",HLOOKUP(CaseName,CaseData,MATCH($G138,cases!$G$4:$G$2494,0),FALSE))</f>
        <v/>
      </c>
      <c r="K138" s="874">
        <f>Q.10^((L52-298)/10)</f>
        <v>0.40612619817811774</v>
      </c>
      <c r="L138" s="794">
        <f t="shared" si="8"/>
        <v>0.40612619817811774</v>
      </c>
      <c r="M138" s="821" t="s">
        <v>292</v>
      </c>
      <c r="N138" s="860"/>
    </row>
    <row r="139" spans="1:14" ht="12.75" customHeight="1" x14ac:dyDescent="0.3">
      <c r="A139" s="821"/>
      <c r="B139" s="821" t="s">
        <v>2656</v>
      </c>
      <c r="C139" s="860"/>
      <c r="D139" s="860"/>
      <c r="E139" s="860"/>
      <c r="F139" s="860"/>
      <c r="G139" s="821" t="s">
        <v>2657</v>
      </c>
      <c r="H139" s="821" t="s">
        <v>4690</v>
      </c>
      <c r="I139" s="869"/>
      <c r="J139" s="792" t="str">
        <f>IF(ISBLANK(HLOOKUP(CaseName,CaseData,MATCH($G139,cases!$G$4:$G$2494,0),FALSE)),"",HLOOKUP(CaseName,CaseData,MATCH($G139,cases!$G$4:$G$2494,0),FALSE))</f>
        <v/>
      </c>
      <c r="K139" s="874">
        <f>L138*kdeg.sed</f>
        <v>9.6658035166392035E-9</v>
      </c>
      <c r="L139" s="794">
        <f t="shared" si="8"/>
        <v>9.6658035166392035E-9</v>
      </c>
      <c r="M139" s="821" t="s">
        <v>1038</v>
      </c>
      <c r="N139" s="860"/>
    </row>
    <row r="140" spans="1:14" ht="12.75" customHeight="1" x14ac:dyDescent="0.3">
      <c r="A140" s="821"/>
      <c r="B140" s="821" t="s">
        <v>2658</v>
      </c>
      <c r="C140" s="860"/>
      <c r="D140" s="860"/>
      <c r="E140" s="860"/>
      <c r="F140" s="860"/>
      <c r="G140" s="821" t="s">
        <v>2659</v>
      </c>
      <c r="H140" s="789" t="s">
        <v>4690</v>
      </c>
      <c r="I140" s="869"/>
      <c r="J140" s="792" t="str">
        <f>IF(ISBLANK(HLOOKUP(CaseName,CaseData,MATCH($G140,cases!$G$4:$G$2494,0),FALSE)),"",HLOOKUP(CaseName,CaseData,MATCH($G140,cases!$G$4:$G$2494,0),FALSE))</f>
        <v/>
      </c>
      <c r="K140" s="874">
        <f>L138*kdeg.soil</f>
        <v>4.3455503205058602E-8</v>
      </c>
      <c r="L140" s="794">
        <f t="shared" si="8"/>
        <v>4.3455503205058602E-8</v>
      </c>
      <c r="M140" s="821" t="s">
        <v>1038</v>
      </c>
      <c r="N140" s="860"/>
    </row>
    <row r="141" spans="1:14" ht="12.75" customHeight="1" x14ac:dyDescent="0.3">
      <c r="A141" s="860"/>
      <c r="B141" s="860"/>
      <c r="C141" s="821" t="s">
        <v>2660</v>
      </c>
      <c r="D141" s="860"/>
      <c r="E141" s="860"/>
      <c r="F141" s="860"/>
      <c r="G141" s="872" t="s">
        <v>2661</v>
      </c>
      <c r="H141" s="821" t="s">
        <v>291</v>
      </c>
      <c r="I141" s="869"/>
      <c r="J141" s="792" t="str">
        <f>IF(ISBLANK(HLOOKUP(CaseName,CaseData,MATCH($G141,cases!$G$4:$G$2494,0),FALSE)),"",HLOOKUP(CaseName,CaseData,MATCH($G141,cases!$G$4:$G$2494,0),FALSE))</f>
        <v/>
      </c>
      <c r="K141" s="874">
        <v>0.25</v>
      </c>
      <c r="L141" s="794">
        <f t="shared" si="8"/>
        <v>0.25</v>
      </c>
      <c r="M141" s="860" t="s">
        <v>292</v>
      </c>
      <c r="N141" s="860"/>
    </row>
    <row r="142" spans="1:14" ht="12.75" customHeight="1" x14ac:dyDescent="0.3">
      <c r="A142" s="821"/>
      <c r="B142" s="821"/>
      <c r="C142" s="860" t="s">
        <v>1185</v>
      </c>
      <c r="D142" s="860"/>
      <c r="E142" s="872"/>
      <c r="F142" s="872"/>
      <c r="G142" s="821" t="s">
        <v>2662</v>
      </c>
      <c r="H142" s="860" t="s">
        <v>291</v>
      </c>
      <c r="I142" s="875"/>
      <c r="J142" s="792" t="str">
        <f>IF(ISBLANK(HLOOKUP(CaseName,CaseData,MATCH($G142,cases!$G$4:$G$2494,0),FALSE)),"",HLOOKUP(CaseName,CaseData,MATCH($G142,cases!$G$4:$G$2494,0),FALSE))</f>
        <v/>
      </c>
      <c r="K142" s="874">
        <f>(EXP((-1/0.1)*0.5)*(1/0.1)*L18/(1-EXP((-1/0.1)*L18)))</f>
        <v>8.5622262133111474E-3</v>
      </c>
      <c r="L142" s="794">
        <f t="shared" si="8"/>
        <v>8.5622262133111474E-3</v>
      </c>
      <c r="M142" s="821" t="s">
        <v>292</v>
      </c>
      <c r="N142" s="860" t="s">
        <v>1187</v>
      </c>
    </row>
    <row r="144" spans="1:14" ht="12.75" customHeight="1" x14ac:dyDescent="0.3">
      <c r="A144" s="826"/>
      <c r="B144" s="826"/>
      <c r="C144" s="826"/>
      <c r="D144" s="826"/>
      <c r="E144" s="826"/>
      <c r="F144" s="826"/>
      <c r="G144" s="826"/>
      <c r="H144" s="827"/>
      <c r="I144" s="917"/>
      <c r="J144" s="805"/>
      <c r="K144" s="829"/>
      <c r="L144" s="829"/>
      <c r="M144" s="826"/>
      <c r="N144" s="826"/>
    </row>
    <row r="145" spans="1:16" s="784" customFormat="1" ht="12.75" customHeight="1" x14ac:dyDescent="0.3">
      <c r="A145" s="785" t="s">
        <v>1325</v>
      </c>
      <c r="G145" s="785" t="s">
        <v>258</v>
      </c>
      <c r="H145" s="785" t="s">
        <v>274</v>
      </c>
      <c r="I145" s="784" t="s">
        <v>259</v>
      </c>
      <c r="J145" s="811" t="s">
        <v>275</v>
      </c>
      <c r="K145" s="786" t="s">
        <v>260</v>
      </c>
      <c r="L145" s="787" t="s">
        <v>261</v>
      </c>
      <c r="N145" s="785" t="s">
        <v>262</v>
      </c>
      <c r="O145" s="788" t="s">
        <v>1326</v>
      </c>
      <c r="P145" s="784" t="s">
        <v>1327</v>
      </c>
    </row>
    <row r="146" spans="1:16" s="352" customFormat="1" ht="12.75" customHeight="1" x14ac:dyDescent="0.3">
      <c r="A146" s="352" t="s">
        <v>2663</v>
      </c>
      <c r="G146" s="520"/>
      <c r="H146" s="520"/>
      <c r="J146" s="521"/>
      <c r="K146" s="522"/>
      <c r="L146" s="523"/>
      <c r="O146" s="356"/>
    </row>
    <row r="147" spans="1:16" ht="12.75" customHeight="1" x14ac:dyDescent="0.3">
      <c r="A147" s="797" t="s">
        <v>1329</v>
      </c>
      <c r="B147" s="797"/>
      <c r="C147" s="797"/>
      <c r="D147" s="797"/>
      <c r="E147" s="797"/>
      <c r="F147" s="797"/>
      <c r="G147" s="797" t="s">
        <v>2664</v>
      </c>
      <c r="H147" s="796" t="s">
        <v>335</v>
      </c>
      <c r="I147" s="900"/>
      <c r="J147" s="792" t="str">
        <f>IF(ISBLANK(HLOOKUP(CaseName,CaseData,MATCH($G147,cases!$G$4:$G$2494,0),FALSE)),"",HLOOKUP(CaseName,CaseData,MATCH($G147,cases!$G$4:$G$2494,0),FALSE))</f>
        <v/>
      </c>
      <c r="K147" s="918">
        <f>L148+L153</f>
        <v>2.145456072269009E-5</v>
      </c>
      <c r="L147" s="794">
        <f t="shared" ref="L147:L162" si="9">IF(ISBLANK(I147),IF(ISNUMBER(J147)=FALSE,K147,J147),I147)</f>
        <v>2.145456072269009E-5</v>
      </c>
      <c r="M147" s="796" t="s">
        <v>335</v>
      </c>
      <c r="N147" s="797"/>
      <c r="O147" s="799">
        <v>2</v>
      </c>
      <c r="P147" s="797" t="s">
        <v>1331</v>
      </c>
    </row>
    <row r="148" spans="1:16" ht="12.75" customHeight="1" x14ac:dyDescent="0.3">
      <c r="A148" s="797"/>
      <c r="B148" s="797" t="s">
        <v>1332</v>
      </c>
      <c r="C148" s="797"/>
      <c r="D148" s="797"/>
      <c r="E148" s="797"/>
      <c r="F148" s="797"/>
      <c r="G148" s="797" t="s">
        <v>2665</v>
      </c>
      <c r="H148" s="797" t="s">
        <v>335</v>
      </c>
      <c r="I148" s="900"/>
      <c r="J148" s="792" t="str">
        <f>IF(ISBLANK(HLOOKUP(CaseName,CaseData,MATCH($G148,cases!$G$4:$G$2494,0),FALSE)),"",HLOOKUP(CaseName,CaseData,MATCH($G148,cases!$G$4:$G$2494,0),FALSE))</f>
        <v/>
      </c>
      <c r="K148" s="798">
        <f>L152*(4*PI()*(RadNuc+RadS)*(L151+DiffS.aM))*L149</f>
        <v>4.8450125324910728E-6</v>
      </c>
      <c r="L148" s="794">
        <f t="shared" si="9"/>
        <v>4.8450125324910728E-6</v>
      </c>
      <c r="M148" s="797" t="s">
        <v>335</v>
      </c>
      <c r="N148" s="797"/>
      <c r="O148" s="799">
        <v>10</v>
      </c>
      <c r="P148" s="797" t="s">
        <v>908</v>
      </c>
    </row>
    <row r="149" spans="1:16" ht="12.75" customHeight="1" x14ac:dyDescent="0.3">
      <c r="A149" s="797"/>
      <c r="B149" s="797"/>
      <c r="C149" s="797" t="s">
        <v>706</v>
      </c>
      <c r="D149" s="797"/>
      <c r="E149" s="797"/>
      <c r="F149" s="797"/>
      <c r="G149" s="797" t="s">
        <v>2666</v>
      </c>
      <c r="H149" s="796" t="s">
        <v>708</v>
      </c>
      <c r="I149" s="900"/>
      <c r="J149" s="792" t="str">
        <f>IF(ISBLANK(HLOOKUP(CaseName,CaseData,MATCH($G149,cases!$G$4:$G$2494,0),FALSE)),"",HLOOKUP(CaseName,CaseData,MATCH($G149,cases!$G$4:$G$2494,0),FALSE))</f>
        <v/>
      </c>
      <c r="K149" s="798">
        <f>3.2*10^9</f>
        <v>3200000000</v>
      </c>
      <c r="L149" s="794">
        <f t="shared" si="9"/>
        <v>3200000000</v>
      </c>
      <c r="M149" s="796" t="s">
        <v>708</v>
      </c>
      <c r="N149" s="797"/>
      <c r="O149" s="848"/>
      <c r="P149" s="797" t="s">
        <v>709</v>
      </c>
    </row>
    <row r="150" spans="1:16" ht="12.75" customHeight="1" x14ac:dyDescent="0.3">
      <c r="A150" s="797"/>
      <c r="B150" s="797"/>
      <c r="C150" s="797" t="s">
        <v>1339</v>
      </c>
      <c r="D150" s="797"/>
      <c r="E150" s="797"/>
      <c r="F150" s="797"/>
      <c r="G150" s="796" t="s">
        <v>2667</v>
      </c>
      <c r="H150" s="796" t="s">
        <v>866</v>
      </c>
      <c r="I150" s="900"/>
      <c r="J150" s="792" t="str">
        <f>IF(ISBLANK(HLOOKUP(CaseName,CaseData,MATCH($G150,cases!$G$4:$G$2494,0),FALSE)),"",HLOOKUP(CaseName,CaseData,MATCH($G150,cases!$G$4:$G$2494,0),FALSE))</f>
        <v/>
      </c>
      <c r="K150" s="798">
        <f>((8*kboltz*L52)/((PI()*(4/3*PI()*(RadNuc)^3)*RhoNuc)))^0.5</f>
        <v>1.3564947467752155</v>
      </c>
      <c r="L150" s="794">
        <f t="shared" si="9"/>
        <v>1.3564947467752155</v>
      </c>
      <c r="M150" s="796" t="s">
        <v>866</v>
      </c>
      <c r="N150" s="797"/>
      <c r="O150" s="799"/>
      <c r="P150" s="797"/>
    </row>
    <row r="151" spans="1:16" ht="12.75" customHeight="1" x14ac:dyDescent="0.3">
      <c r="A151" s="797"/>
      <c r="B151" s="797"/>
      <c r="C151" s="797" t="s">
        <v>1337</v>
      </c>
      <c r="D151" s="797"/>
      <c r="E151" s="797"/>
      <c r="F151" s="797"/>
      <c r="G151" s="797" t="s">
        <v>2668</v>
      </c>
      <c r="H151" s="797" t="s">
        <v>900</v>
      </c>
      <c r="I151" s="900"/>
      <c r="J151" s="792" t="str">
        <f>IF(ISBLANK(HLOOKUP(CaseName,CaseData,MATCH($G151,cases!$G$4:$G$2494,0),FALSE)),"",HLOOKUP(CaseName,CaseData,MATCH($G151,cases!$G$4:$G$2494,0),FALSE))</f>
        <v/>
      </c>
      <c r="K151" s="798">
        <f>(kboltz*L52*(1+(66*10^-9/RadNuc)*(1.142+0.558*EXP(-0.999/(66*10^-9/RadNuc)))))/(6*PI()*DYNVISC.a*RadNuc)</f>
        <v>1.349690832911066E-8</v>
      </c>
      <c r="L151" s="794">
        <f t="shared" si="9"/>
        <v>1.349690832911066E-8</v>
      </c>
      <c r="M151" s="797" t="s">
        <v>900</v>
      </c>
      <c r="N151" s="797"/>
      <c r="O151" s="799"/>
      <c r="P151" s="797"/>
    </row>
    <row r="152" spans="1:16" ht="12.75" customHeight="1" x14ac:dyDescent="0.3">
      <c r="A152" s="797"/>
      <c r="B152" s="797"/>
      <c r="C152" s="797" t="s">
        <v>1334</v>
      </c>
      <c r="D152" s="797"/>
      <c r="E152" s="797"/>
      <c r="F152" s="797"/>
      <c r="G152" s="796" t="s">
        <v>2669</v>
      </c>
      <c r="H152" s="796" t="s">
        <v>291</v>
      </c>
      <c r="I152" s="900"/>
      <c r="J152" s="792" t="str">
        <f>IF(ISBLANK(HLOOKUP(CaseName,CaseData,MATCH($G152,cases!$G$4:$G$2494,0),FALSE)),"",HLOOKUP(CaseName,CaseData,MATCH($G152,cases!$G$4:$G$2494,0),FALSE))</f>
        <v/>
      </c>
      <c r="K152" s="798">
        <f>(1+(4*(DiffS.aM+L151))/((RadS+RadNuc)*(ThermvelS^2+L150^2)^0.5))^-1</f>
        <v>0.22317254854238233</v>
      </c>
      <c r="L152" s="794">
        <f t="shared" si="9"/>
        <v>0.22317254854238233</v>
      </c>
      <c r="M152" s="796" t="s">
        <v>291</v>
      </c>
      <c r="N152" s="797"/>
      <c r="O152" s="832" t="s">
        <v>1336</v>
      </c>
      <c r="P152" s="797"/>
    </row>
    <row r="153" spans="1:16" ht="12.75" customHeight="1" x14ac:dyDescent="0.3">
      <c r="A153" s="797" t="s">
        <v>1341</v>
      </c>
      <c r="B153" s="797"/>
      <c r="C153" s="797"/>
      <c r="D153" s="797"/>
      <c r="E153" s="797"/>
      <c r="F153" s="797"/>
      <c r="G153" s="797" t="s">
        <v>2670</v>
      </c>
      <c r="H153" s="797" t="s">
        <v>335</v>
      </c>
      <c r="I153" s="900"/>
      <c r="J153" s="792" t="str">
        <f>IF(ISBLANK(HLOOKUP(CaseName,CaseData,MATCH($G153,cases!$G$4:$G$2494,0),FALSE)),"",HLOOKUP(CaseName,CaseData,MATCH($G153,cases!$G$4:$G$2494,0),FALSE))</f>
        <v/>
      </c>
      <c r="K153" s="798">
        <f>L157*(4*PI()*(RadAcc+RadS)*(L156+DiffS.aM))*L154</f>
        <v>1.6609548190199018E-5</v>
      </c>
      <c r="L153" s="794">
        <f t="shared" si="9"/>
        <v>1.6609548190199018E-5</v>
      </c>
      <c r="M153" s="797" t="s">
        <v>335</v>
      </c>
      <c r="N153" s="797"/>
      <c r="O153" s="799"/>
      <c r="P153" s="797"/>
    </row>
    <row r="154" spans="1:16" ht="12.75" customHeight="1" x14ac:dyDescent="0.3">
      <c r="A154" s="797"/>
      <c r="B154" s="797"/>
      <c r="C154" s="797" t="s">
        <v>710</v>
      </c>
      <c r="D154" s="797"/>
      <c r="E154" s="797"/>
      <c r="F154" s="797"/>
      <c r="G154" s="797" t="s">
        <v>2671</v>
      </c>
      <c r="H154" s="796" t="s">
        <v>708</v>
      </c>
      <c r="I154" s="900"/>
      <c r="J154" s="792" t="str">
        <f>IF(ISBLANK(HLOOKUP(CaseName,CaseData,MATCH($G154,cases!$G$4:$G$2494,0),FALSE)),"",HLOOKUP(CaseName,CaseData,MATCH($G154,cases!$G$4:$G$2494,0),FALSE))</f>
        <v/>
      </c>
      <c r="K154" s="798">
        <f>2.9*10^9</f>
        <v>2900000000</v>
      </c>
      <c r="L154" s="794">
        <f t="shared" si="9"/>
        <v>2900000000</v>
      </c>
      <c r="M154" s="796" t="s">
        <v>708</v>
      </c>
      <c r="N154" s="797"/>
      <c r="O154" s="848"/>
      <c r="P154" s="797" t="s">
        <v>709</v>
      </c>
    </row>
    <row r="155" spans="1:16" ht="12.75" customHeight="1" x14ac:dyDescent="0.3">
      <c r="A155" s="797"/>
      <c r="B155" s="797"/>
      <c r="C155" s="797" t="s">
        <v>1343</v>
      </c>
      <c r="D155" s="797"/>
      <c r="E155" s="797"/>
      <c r="F155" s="797"/>
      <c r="G155" s="796" t="s">
        <v>2672</v>
      </c>
      <c r="H155" s="796" t="s">
        <v>866</v>
      </c>
      <c r="I155" s="900"/>
      <c r="J155" s="792" t="str">
        <f>IF(ISBLANK(HLOOKUP(CaseName,CaseData,MATCH($G155,cases!$G$4:$G$2494,0),FALSE)),"",HLOOKUP(CaseName,CaseData,MATCH($G155,cases!$G$4:$G$2494,0),FALSE))</f>
        <v/>
      </c>
      <c r="K155" s="798">
        <f>((8*kboltz*L52)/((PI()*(4/3*PI()*(RadAcc)^3)*RhoAcc)))^0.5</f>
        <v>7.8294779293570968E-2</v>
      </c>
      <c r="L155" s="794">
        <f t="shared" si="9"/>
        <v>7.8294779293570968E-2</v>
      </c>
      <c r="M155" s="796" t="s">
        <v>866</v>
      </c>
      <c r="N155" s="797"/>
      <c r="O155" s="799"/>
      <c r="P155" s="797"/>
    </row>
    <row r="156" spans="1:16" ht="12.75" customHeight="1" x14ac:dyDescent="0.3">
      <c r="A156" s="797"/>
      <c r="B156" s="797"/>
      <c r="C156" s="797" t="s">
        <v>1345</v>
      </c>
      <c r="D156" s="797"/>
      <c r="E156" s="797"/>
      <c r="F156" s="797"/>
      <c r="G156" s="797" t="s">
        <v>2673</v>
      </c>
      <c r="H156" s="797" t="s">
        <v>900</v>
      </c>
      <c r="I156" s="900"/>
      <c r="J156" s="792" t="str">
        <f>IF(ISBLANK(HLOOKUP(CaseName,CaseData,MATCH($G156,cases!$G$4:$G$2494,0),FALSE)),"",HLOOKUP(CaseName,CaseData,MATCH($G156,cases!$G$4:$G$2494,0),FALSE))</f>
        <v/>
      </c>
      <c r="K156" s="798">
        <f>(kboltz*L52*(1+(66*10^-9/RadAcc)*(1.142+0.558*EXP(-0.999/(66*10^-9/RadAcc)))))/(6*PI()*DYNVISC.a*RadAcc)</f>
        <v>5.097342013000671E-10</v>
      </c>
      <c r="L156" s="794">
        <f t="shared" si="9"/>
        <v>5.097342013000671E-10</v>
      </c>
      <c r="M156" s="797" t="s">
        <v>900</v>
      </c>
      <c r="N156" s="797"/>
      <c r="O156" s="799"/>
      <c r="P156" s="797"/>
    </row>
    <row r="157" spans="1:16" ht="12.75" customHeight="1" x14ac:dyDescent="0.3">
      <c r="A157" s="797"/>
      <c r="B157" s="797"/>
      <c r="C157" s="797" t="s">
        <v>1347</v>
      </c>
      <c r="D157" s="797"/>
      <c r="E157" s="797"/>
      <c r="F157" s="797"/>
      <c r="G157" s="796" t="s">
        <v>2674</v>
      </c>
      <c r="H157" s="796" t="s">
        <v>291</v>
      </c>
      <c r="I157" s="900"/>
      <c r="J157" s="792" t="str">
        <f>IF(ISBLANK(HLOOKUP(CaseName,CaseData,MATCH($G157,cases!$G$4:$G$2494,0),FALSE)),"",HLOOKUP(CaseName,CaseData,MATCH($G157,cases!$G$4:$G$2494,0),FALSE))</f>
        <v/>
      </c>
      <c r="K157" s="798">
        <f>(1+(4*(DiffS.aM+L156))/((RadS+RadAcc)*(L155^2+ThermvelS^2)^0.5))^-1</f>
        <v>0.47852760860397098</v>
      </c>
      <c r="L157" s="794">
        <f t="shared" si="9"/>
        <v>0.47852760860397098</v>
      </c>
      <c r="M157" s="796" t="s">
        <v>291</v>
      </c>
      <c r="N157" s="797"/>
      <c r="O157" s="799"/>
      <c r="P157" s="797"/>
    </row>
    <row r="158" spans="1:16" ht="12.75" customHeight="1" x14ac:dyDescent="0.3">
      <c r="A158" s="797" t="s">
        <v>1349</v>
      </c>
      <c r="B158" s="797"/>
      <c r="C158" s="797"/>
      <c r="D158" s="797"/>
      <c r="E158" s="797"/>
      <c r="F158" s="797"/>
      <c r="G158" s="796" t="s">
        <v>2675</v>
      </c>
      <c r="H158" s="796" t="s">
        <v>335</v>
      </c>
      <c r="I158" s="900"/>
      <c r="J158" s="792" t="str">
        <f>IF(ISBLANK(HLOOKUP(CaseName,CaseData,MATCH($G158,cases!$G$4:$G$2494,0),FALSE)),"",HLOOKUP(CaseName,CaseData,MATCH($G158,cases!$G$4:$G$2494,0),FALSE))</f>
        <v/>
      </c>
      <c r="K158" s="798">
        <f>L162*(4*PI()*(RadCP.a+RadS)*(L161+DiffS.aM))*L159</f>
        <v>4.2954716111240836E-8</v>
      </c>
      <c r="L158" s="794">
        <f t="shared" si="9"/>
        <v>4.2954716111240836E-8</v>
      </c>
      <c r="M158" s="797" t="s">
        <v>335</v>
      </c>
      <c r="N158" s="797"/>
      <c r="O158" s="799"/>
      <c r="P158" s="797"/>
    </row>
    <row r="159" spans="1:16" ht="12.75" customHeight="1" x14ac:dyDescent="0.3">
      <c r="A159" s="797"/>
      <c r="B159" s="797" t="s">
        <v>712</v>
      </c>
      <c r="C159" s="797"/>
      <c r="D159" s="797"/>
      <c r="E159" s="797"/>
      <c r="F159" s="797"/>
      <c r="G159" s="797" t="s">
        <v>2676</v>
      </c>
      <c r="H159" s="796" t="s">
        <v>708</v>
      </c>
      <c r="I159" s="900"/>
      <c r="J159" s="792" t="str">
        <f>IF(ISBLANK(HLOOKUP(CaseName,CaseData,MATCH($G159,cases!$G$4:$G$2494,0),FALSE)),"",HLOOKUP(CaseName,CaseData,MATCH($G159,cases!$G$4:$G$2494,0),FALSE))</f>
        <v/>
      </c>
      <c r="K159" s="798">
        <f>3*10^5</f>
        <v>300000</v>
      </c>
      <c r="L159" s="794">
        <f t="shared" si="9"/>
        <v>300000</v>
      </c>
      <c r="M159" s="796" t="s">
        <v>708</v>
      </c>
      <c r="N159" s="797"/>
      <c r="O159" s="848"/>
      <c r="P159" s="797" t="s">
        <v>709</v>
      </c>
    </row>
    <row r="160" spans="1:16" ht="12.75" customHeight="1" x14ac:dyDescent="0.3">
      <c r="A160" s="797"/>
      <c r="B160" s="797" t="s">
        <v>1351</v>
      </c>
      <c r="C160" s="797"/>
      <c r="D160" s="797"/>
      <c r="E160" s="797"/>
      <c r="F160" s="797"/>
      <c r="G160" s="796" t="s">
        <v>2677</v>
      </c>
      <c r="H160" s="796" t="s">
        <v>866</v>
      </c>
      <c r="I160" s="900"/>
      <c r="J160" s="792" t="str">
        <f>IF(ISBLANK(HLOOKUP(CaseName,CaseData,MATCH($G160,cases!$G$4:$G$2494,0),FALSE)),"",HLOOKUP(CaseName,CaseData,MATCH($G160,cases!$G$4:$G$2494,0),FALSE))</f>
        <v/>
      </c>
      <c r="K160" s="798">
        <f>((8*kboltz*L52)/((PI()*(4/3*PI()*(RadCP.a)^3)*RhoCP.a)))^0.5</f>
        <v>1.2808876266468387E-3</v>
      </c>
      <c r="L160" s="794">
        <f t="shared" si="9"/>
        <v>1.2808876266468387E-3</v>
      </c>
      <c r="M160" s="796" t="s">
        <v>866</v>
      </c>
      <c r="N160" s="797"/>
      <c r="O160" s="799"/>
      <c r="P160" s="797"/>
    </row>
    <row r="161" spans="1:16" ht="12.75" customHeight="1" x14ac:dyDescent="0.3">
      <c r="A161" s="797"/>
      <c r="B161" s="797" t="s">
        <v>1353</v>
      </c>
      <c r="C161" s="797"/>
      <c r="D161" s="797"/>
      <c r="E161" s="797"/>
      <c r="F161" s="797"/>
      <c r="G161" s="797" t="s">
        <v>2678</v>
      </c>
      <c r="H161" s="797" t="s">
        <v>900</v>
      </c>
      <c r="I161" s="900"/>
      <c r="J161" s="792" t="str">
        <f>IF(ISBLANK(HLOOKUP(CaseName,CaseData,MATCH($G161,cases!$G$4:$G$2494,0),FALSE)),"",HLOOKUP(CaseName,CaseData,MATCH($G161,cases!$G$4:$G$2494,0),FALSE))</f>
        <v/>
      </c>
      <c r="K161" s="798">
        <f>(kboltz*L52)/(6*PI()*DYNVISC.a*RadCP.a)</f>
        <v>1.2814624133468318E-11</v>
      </c>
      <c r="L161" s="794">
        <f t="shared" si="9"/>
        <v>1.2814624133468318E-11</v>
      </c>
      <c r="M161" s="797" t="s">
        <v>900</v>
      </c>
      <c r="N161" s="797"/>
      <c r="O161" s="799"/>
      <c r="P161" s="797"/>
    </row>
    <row r="162" spans="1:16" ht="12.75" customHeight="1" x14ac:dyDescent="0.3">
      <c r="A162" s="797"/>
      <c r="B162" s="797" t="s">
        <v>1355</v>
      </c>
      <c r="C162" s="797"/>
      <c r="D162" s="797"/>
      <c r="E162" s="797"/>
      <c r="F162" s="797"/>
      <c r="G162" s="796" t="s">
        <v>2679</v>
      </c>
      <c r="H162" s="796" t="s">
        <v>291</v>
      </c>
      <c r="I162" s="900"/>
      <c r="J162" s="792" t="str">
        <f>IF(ISBLANK(HLOOKUP(CaseName,CaseData,MATCH($G162,cases!$G$4:$G$2494,0),FALSE)),"",HLOOKUP(CaseName,CaseData,MATCH($G162,cases!$G$4:$G$2494,0),FALSE))</f>
        <v/>
      </c>
      <c r="K162" s="902">
        <f>(1+(4*(DiffS.aM+L161))/((RadS+RadCP.a)*(L160^2+ThermvelS^2)^0.5))^-1</f>
        <v>0.92681253539704134</v>
      </c>
      <c r="L162" s="794">
        <f t="shared" si="9"/>
        <v>0.92681253539704134</v>
      </c>
      <c r="M162" s="796" t="s">
        <v>291</v>
      </c>
      <c r="N162" s="797"/>
      <c r="O162" s="799"/>
      <c r="P162" s="797"/>
    </row>
    <row r="163" spans="1:16" s="352" customFormat="1" ht="12.75" customHeight="1" x14ac:dyDescent="0.3">
      <c r="A163" s="352" t="s">
        <v>2680</v>
      </c>
      <c r="G163" s="520"/>
      <c r="H163" s="520"/>
      <c r="J163" s="521"/>
      <c r="K163" s="522"/>
      <c r="L163" s="523"/>
      <c r="O163" s="356"/>
    </row>
    <row r="164" spans="1:16" ht="12.75" customHeight="1" x14ac:dyDescent="0.3">
      <c r="A164" s="797" t="s">
        <v>1380</v>
      </c>
      <c r="B164" s="797"/>
      <c r="C164" s="797"/>
      <c r="D164" s="797"/>
      <c r="E164" s="797"/>
      <c r="F164" s="797"/>
      <c r="G164" s="796" t="s">
        <v>2681</v>
      </c>
      <c r="H164" s="796" t="s">
        <v>335</v>
      </c>
      <c r="I164" s="900"/>
      <c r="J164" s="792" t="str">
        <f>IF(ISBLANK(HLOOKUP(CaseName,CaseData,MATCH($G164,cases!$G$4:$G$2494,0),FALSE)),"",HLOOKUP(CaseName,CaseData,MATCH($G164,cases!$G$4:$G$2494,0),FALSE))</f>
        <v/>
      </c>
      <c r="K164" s="918">
        <f>L166*L165*AtefSA.w2</f>
        <v>3.1646354088314473E-3</v>
      </c>
      <c r="L164" s="794">
        <f t="shared" ref="L164:L185" si="10">IF(ISBLANK(I164),IF(ISNUMBER(J164)=FALSE,K164,J164),I164)</f>
        <v>3.1646354088314473E-3</v>
      </c>
      <c r="M164" s="797" t="s">
        <v>335</v>
      </c>
      <c r="N164" s="797"/>
      <c r="O164" s="799"/>
      <c r="P164" s="797"/>
    </row>
    <row r="165" spans="1:16" ht="12.75" customHeight="1" x14ac:dyDescent="0.3">
      <c r="A165" s="797"/>
      <c r="B165" s="797" t="s">
        <v>1382</v>
      </c>
      <c r="C165" s="797"/>
      <c r="D165" s="797"/>
      <c r="E165" s="797"/>
      <c r="F165" s="797"/>
      <c r="G165" s="796" t="s">
        <v>2682</v>
      </c>
      <c r="H165" s="796" t="s">
        <v>708</v>
      </c>
      <c r="I165" s="900"/>
      <c r="J165" s="792" t="str">
        <f>IF(ISBLANK(HLOOKUP(CaseName,CaseData,MATCH($G165,cases!$G$4:$G$2494,0),FALSE)),"",HLOOKUP(CaseName,CaseData,MATCH($G165,cases!$G$4:$G$2494,0),FALSE))</f>
        <v/>
      </c>
      <c r="K165" s="798">
        <f>2*L65/(SingleVolNC.w*RhoNC.w)</f>
        <v>70735530263064.578</v>
      </c>
      <c r="L165" s="794">
        <f t="shared" si="10"/>
        <v>70735530263064.578</v>
      </c>
      <c r="M165" s="796" t="s">
        <v>708</v>
      </c>
      <c r="N165" s="797"/>
      <c r="O165" s="799"/>
      <c r="P165" s="492" t="s">
        <v>1384</v>
      </c>
    </row>
    <row r="166" spans="1:16" ht="12.75" customHeight="1" x14ac:dyDescent="0.3">
      <c r="A166" s="797"/>
      <c r="B166" s="797" t="s">
        <v>1385</v>
      </c>
      <c r="C166" s="797"/>
      <c r="D166" s="797"/>
      <c r="E166" s="797"/>
      <c r="F166" s="797"/>
      <c r="G166" s="796" t="s">
        <v>2683</v>
      </c>
      <c r="H166" s="796" t="s">
        <v>335</v>
      </c>
      <c r="I166" s="900"/>
      <c r="J166" s="792" t="str">
        <f>IF(ISBLANK(HLOOKUP(CaseName,CaseData,MATCH($G166,cases!$G$4:$G$2494,0),FALSE)),"",HLOOKUP(CaseName,CaseData,MATCH($G166,cases!$G$4:$G$2494,0),FALSE))</f>
        <v/>
      </c>
      <c r="K166" s="798">
        <f>L167+L174+L175</f>
        <v>4.4738979082537541E-17</v>
      </c>
      <c r="L166" s="794">
        <f t="shared" si="10"/>
        <v>4.4738979082537541E-17</v>
      </c>
      <c r="M166" s="797" t="s">
        <v>335</v>
      </c>
      <c r="N166" s="797"/>
      <c r="O166" s="799"/>
      <c r="P166" s="797"/>
    </row>
    <row r="167" spans="1:16" ht="12.75" customHeight="1" x14ac:dyDescent="0.3">
      <c r="A167" s="797"/>
      <c r="B167" s="797"/>
      <c r="C167" s="797" t="s">
        <v>1364</v>
      </c>
      <c r="D167" s="797"/>
      <c r="E167" s="797"/>
      <c r="F167" s="797"/>
      <c r="G167" s="796" t="s">
        <v>2684</v>
      </c>
      <c r="H167" s="796" t="s">
        <v>335</v>
      </c>
      <c r="I167" s="900"/>
      <c r="J167" s="792" t="str">
        <f>IF(ISBLANK(HLOOKUP(CaseName,CaseData,MATCH($G167,cases!$G$4:$G$2494,0),FALSE)),"",HLOOKUP(CaseName,CaseData,MATCH($G167,cases!$G$4:$G$2494,0),FALSE))</f>
        <v/>
      </c>
      <c r="K167" s="798">
        <f>(4/3)*L168*(RadS+RadNC.w)^3</f>
        <v>5.4613333333333359E-20</v>
      </c>
      <c r="L167" s="794">
        <f t="shared" si="10"/>
        <v>5.4613333333333359E-20</v>
      </c>
      <c r="M167" s="797" t="s">
        <v>335</v>
      </c>
      <c r="N167" s="797"/>
      <c r="O167" s="799"/>
      <c r="P167" s="797"/>
    </row>
    <row r="168" spans="1:16" ht="12.75" customHeight="1" x14ac:dyDescent="0.3">
      <c r="A168" s="797"/>
      <c r="B168" s="797"/>
      <c r="C168" s="797"/>
      <c r="D168" s="797" t="s">
        <v>1388</v>
      </c>
      <c r="E168" s="797"/>
      <c r="F168" s="797"/>
      <c r="G168" s="796" t="s">
        <v>2685</v>
      </c>
      <c r="H168" s="796" t="s">
        <v>335</v>
      </c>
      <c r="I168" s="900"/>
      <c r="J168" s="792" t="str">
        <f>IF(ISBLANK(HLOOKUP(CaseName,CaseData,MATCH($G168,cases!$G$4:$G$2494,0),FALSE)),"",HLOOKUP(CaseName,CaseData,MATCH($G168,cases!$G$4:$G$2494,0),FALSE))</f>
        <v/>
      </c>
      <c r="K168" s="798">
        <v>10</v>
      </c>
      <c r="L168" s="794">
        <f t="shared" si="10"/>
        <v>10</v>
      </c>
      <c r="M168" s="796" t="s">
        <v>335</v>
      </c>
      <c r="N168" s="797"/>
      <c r="O168" s="799"/>
      <c r="P168" s="492" t="s">
        <v>1368</v>
      </c>
    </row>
    <row r="169" spans="1:16" ht="12.75" customHeight="1" x14ac:dyDescent="0.3">
      <c r="A169" s="797" t="s">
        <v>1380</v>
      </c>
      <c r="B169" s="797"/>
      <c r="C169" s="797"/>
      <c r="D169" s="797"/>
      <c r="E169" s="797"/>
      <c r="F169" s="797"/>
      <c r="G169" s="796" t="s">
        <v>2686</v>
      </c>
      <c r="H169" s="796" t="s">
        <v>335</v>
      </c>
      <c r="I169" s="900"/>
      <c r="J169" s="792" t="str">
        <f>IF(ISBLANK(HLOOKUP(CaseName,CaseData,MATCH($G169,cases!$G$4:$G$2494,0),FALSE)),"",HLOOKUP(CaseName,CaseData,MATCH($G169,cases!$G$4:$G$2494,0),FALSE))</f>
        <v/>
      </c>
      <c r="K169" s="798">
        <f>L171*L170*AtefSA.w3</f>
        <v>3.1646354088314473E-3</v>
      </c>
      <c r="L169" s="794">
        <f t="shared" si="10"/>
        <v>3.1646354088314473E-3</v>
      </c>
      <c r="M169" s="797" t="s">
        <v>335</v>
      </c>
      <c r="N169" s="797"/>
      <c r="O169" s="799"/>
      <c r="P169" s="797"/>
    </row>
    <row r="170" spans="1:16" ht="12.75" customHeight="1" x14ac:dyDescent="0.3">
      <c r="A170" s="797"/>
      <c r="B170" s="797" t="s">
        <v>1382</v>
      </c>
      <c r="C170" s="797"/>
      <c r="D170" s="797"/>
      <c r="E170" s="797"/>
      <c r="F170" s="797"/>
      <c r="G170" s="796" t="s">
        <v>2687</v>
      </c>
      <c r="H170" s="796" t="s">
        <v>708</v>
      </c>
      <c r="I170" s="900"/>
      <c r="J170" s="792" t="str">
        <f>IF(ISBLANK(HLOOKUP(CaseName,CaseData,MATCH($G170,cases!$G$4:$G$2494,0),FALSE)),"",HLOOKUP(CaseName,CaseData,MATCH($G170,cases!$G$4:$G$2494,0),FALSE))</f>
        <v/>
      </c>
      <c r="K170" s="798">
        <f>2*L66/(SingleVolNC.w*RhoNC.w)</f>
        <v>70735530263064.578</v>
      </c>
      <c r="L170" s="794">
        <f t="shared" si="10"/>
        <v>70735530263064.578</v>
      </c>
      <c r="M170" s="796" t="s">
        <v>708</v>
      </c>
      <c r="N170" s="797"/>
      <c r="O170" s="799"/>
      <c r="P170" s="492" t="s">
        <v>1384</v>
      </c>
    </row>
    <row r="171" spans="1:16" ht="12.75" customHeight="1" x14ac:dyDescent="0.3">
      <c r="A171" s="797"/>
      <c r="B171" s="797" t="s">
        <v>1385</v>
      </c>
      <c r="C171" s="797"/>
      <c r="D171" s="797"/>
      <c r="E171" s="797"/>
      <c r="F171" s="797"/>
      <c r="G171" s="796" t="s">
        <v>2688</v>
      </c>
      <c r="H171" s="796" t="s">
        <v>335</v>
      </c>
      <c r="I171" s="900"/>
      <c r="J171" s="792" t="str">
        <f>IF(ISBLANK(HLOOKUP(CaseName,CaseData,MATCH($G171,cases!$G$4:$G$2494,0),FALSE)),"",HLOOKUP(CaseName,CaseData,MATCH($G171,cases!$G$4:$G$2494,0),FALSE))</f>
        <v/>
      </c>
      <c r="K171" s="798">
        <f>L172+L174+L175</f>
        <v>4.4738979082537541E-17</v>
      </c>
      <c r="L171" s="794">
        <f t="shared" si="10"/>
        <v>4.4738979082537541E-17</v>
      </c>
      <c r="M171" s="797" t="s">
        <v>335</v>
      </c>
      <c r="N171" s="797"/>
      <c r="O171" s="799"/>
      <c r="P171" s="797"/>
    </row>
    <row r="172" spans="1:16" ht="12.75" customHeight="1" x14ac:dyDescent="0.3">
      <c r="A172" s="797"/>
      <c r="B172" s="797"/>
      <c r="C172" s="797" t="s">
        <v>1364</v>
      </c>
      <c r="D172" s="797"/>
      <c r="E172" s="797"/>
      <c r="F172" s="797"/>
      <c r="G172" s="796" t="s">
        <v>2689</v>
      </c>
      <c r="H172" s="796" t="s">
        <v>335</v>
      </c>
      <c r="I172" s="900"/>
      <c r="J172" s="792" t="str">
        <f>IF(ISBLANK(HLOOKUP(CaseName,CaseData,MATCH($G172,cases!$G$4:$G$2494,0),FALSE)),"",HLOOKUP(CaseName,CaseData,MATCH($G172,cases!$G$4:$G$2494,0),FALSE))</f>
        <v/>
      </c>
      <c r="K172" s="798">
        <f>(4/3)*L173*(RadS+RadNC.w)^3</f>
        <v>5.4613333333333359E-20</v>
      </c>
      <c r="L172" s="794">
        <f t="shared" si="10"/>
        <v>5.4613333333333359E-20</v>
      </c>
      <c r="M172" s="797" t="s">
        <v>335</v>
      </c>
      <c r="N172" s="797"/>
      <c r="O172" s="799"/>
      <c r="P172" s="797"/>
    </row>
    <row r="173" spans="1:16" ht="12.75" customHeight="1" x14ac:dyDescent="0.3">
      <c r="A173" s="797"/>
      <c r="B173" s="797"/>
      <c r="C173" s="797"/>
      <c r="D173" s="797" t="s">
        <v>1388</v>
      </c>
      <c r="E173" s="797"/>
      <c r="F173" s="797"/>
      <c r="G173" s="796" t="s">
        <v>2690</v>
      </c>
      <c r="H173" s="796" t="s">
        <v>335</v>
      </c>
      <c r="I173" s="900"/>
      <c r="J173" s="792" t="str">
        <f>IF(ISBLANK(HLOOKUP(CaseName,CaseData,MATCH($G173,cases!$G$4:$G$2494,0),FALSE)),"",HLOOKUP(CaseName,CaseData,MATCH($G173,cases!$G$4:$G$2494,0),FALSE))</f>
        <v/>
      </c>
      <c r="K173" s="798">
        <v>10</v>
      </c>
      <c r="L173" s="794">
        <f t="shared" si="10"/>
        <v>10</v>
      </c>
      <c r="M173" s="796" t="s">
        <v>335</v>
      </c>
      <c r="N173" s="797"/>
      <c r="O173" s="799"/>
      <c r="P173" s="492" t="s">
        <v>1368</v>
      </c>
    </row>
    <row r="174" spans="1:16" ht="12.75" customHeight="1" x14ac:dyDescent="0.3">
      <c r="A174" s="797"/>
      <c r="B174" s="797"/>
      <c r="C174" s="797" t="s">
        <v>1390</v>
      </c>
      <c r="D174" s="797"/>
      <c r="E174" s="797"/>
      <c r="F174" s="797"/>
      <c r="G174" s="797" t="s">
        <v>2691</v>
      </c>
      <c r="H174" s="797" t="s">
        <v>335</v>
      </c>
      <c r="I174" s="900"/>
      <c r="J174" s="792" t="str">
        <f>IF(ISBLANK(HLOOKUP(CaseName,CaseData,MATCH($G174,cases!$G$4:$G$2494,0),FALSE)),"",HLOOKUP(CaseName,CaseData,MATCH($G174,cases!$G$4:$G$2494,0),FALSE))</f>
        <v/>
      </c>
      <c r="K174" s="798">
        <f>(2*kboltz*L52)/(3*DYNVISC.w)*(RadS+RadNC.w)^2/(RadS*RadNC.w)</f>
        <v>4.468047746640054E-17</v>
      </c>
      <c r="L174" s="833">
        <f t="shared" si="10"/>
        <v>4.468047746640054E-17</v>
      </c>
      <c r="M174" s="797" t="s">
        <v>335</v>
      </c>
      <c r="N174" s="797"/>
      <c r="O174" s="799"/>
      <c r="P174" s="797"/>
    </row>
    <row r="175" spans="1:16" ht="12.75" customHeight="1" x14ac:dyDescent="0.3">
      <c r="A175" s="797"/>
      <c r="B175" s="797"/>
      <c r="C175" s="797" t="s">
        <v>1392</v>
      </c>
      <c r="D175" s="797"/>
      <c r="E175" s="797"/>
      <c r="F175" s="797"/>
      <c r="G175" s="796" t="s">
        <v>2692</v>
      </c>
      <c r="H175" s="796" t="s">
        <v>335</v>
      </c>
      <c r="I175" s="900"/>
      <c r="J175" s="792" t="str">
        <f>IF(ISBLANK(HLOOKUP(CaseName,CaseData,MATCH($G175,cases!$G$4:$G$2494,0),FALSE)),"",HLOOKUP(CaseName,CaseData,MATCH($G175,cases!$G$4:$G$2494,0),FALSE))</f>
        <v/>
      </c>
      <c r="K175" s="798">
        <f>PI()*(RadS+RadNC.w)^2*ABS(SetVelS.w-SetVelNC.w)</f>
        <v>3.8882828036701237E-21</v>
      </c>
      <c r="L175" s="794">
        <f t="shared" si="10"/>
        <v>3.8882828036701237E-21</v>
      </c>
      <c r="M175" s="797" t="s">
        <v>335</v>
      </c>
      <c r="N175" s="797"/>
      <c r="O175" s="799"/>
      <c r="P175" s="797"/>
    </row>
    <row r="176" spans="1:16" ht="12.75" customHeight="1" x14ac:dyDescent="0.3">
      <c r="A176" s="797" t="s">
        <v>1412</v>
      </c>
      <c r="B176" s="797"/>
      <c r="C176" s="797"/>
      <c r="D176" s="797"/>
      <c r="E176" s="797"/>
      <c r="F176" s="797"/>
      <c r="G176" s="796" t="s">
        <v>2693</v>
      </c>
      <c r="H176" s="796" t="s">
        <v>335</v>
      </c>
      <c r="I176" s="900"/>
      <c r="J176" s="792" t="str">
        <f>IF(ISBLANK(HLOOKUP(CaseName,CaseData,MATCH($G176,cases!$G$4:$G$2494,0),FALSE)),"",HLOOKUP(CaseName,CaseData,MATCH($G176,cases!$G$4:$G$2494,0),FALSE))</f>
        <v/>
      </c>
      <c r="K176" s="798">
        <f>L177*L178*AtefSP.w2</f>
        <v>3.5214776928687474E-5</v>
      </c>
      <c r="L176" s="794">
        <f t="shared" si="10"/>
        <v>3.5214776928687474E-5</v>
      </c>
      <c r="M176" s="797" t="s">
        <v>335</v>
      </c>
      <c r="N176" s="797"/>
      <c r="O176" s="799"/>
      <c r="P176" s="797"/>
    </row>
    <row r="177" spans="1:16" ht="12.75" customHeight="1" x14ac:dyDescent="0.3">
      <c r="A177" s="797"/>
      <c r="B177" s="797" t="s">
        <v>1414</v>
      </c>
      <c r="C177" s="797"/>
      <c r="D177" s="797"/>
      <c r="E177" s="797"/>
      <c r="F177" s="797"/>
      <c r="G177" s="796" t="s">
        <v>2694</v>
      </c>
      <c r="H177" s="796" t="s">
        <v>708</v>
      </c>
      <c r="I177" s="900"/>
      <c r="J177" s="792" t="str">
        <f>IF(ISBLANK(HLOOKUP(CaseName,CaseData,MATCH($G177,cases!$G$4:$G$2494,0),FALSE)),"",HLOOKUP(CaseName,CaseData,MATCH($G177,cases!$G$4:$G$2494,0),FALSE))</f>
        <v/>
      </c>
      <c r="K177" s="798">
        <f>(L61)/(SingleVolSPM.w*RhoSPM.w)</f>
        <v>17683882565.766148</v>
      </c>
      <c r="L177" s="794">
        <f t="shared" si="10"/>
        <v>17683882565.766148</v>
      </c>
      <c r="M177" s="797" t="s">
        <v>708</v>
      </c>
      <c r="N177" s="797"/>
      <c r="O177" s="799"/>
      <c r="P177" s="797"/>
    </row>
    <row r="178" spans="1:16" ht="12.75" customHeight="1" x14ac:dyDescent="0.3">
      <c r="A178" s="797"/>
      <c r="B178" s="797" t="s">
        <v>1417</v>
      </c>
      <c r="C178" s="797"/>
      <c r="D178" s="797"/>
      <c r="E178" s="797"/>
      <c r="F178" s="797"/>
      <c r="G178" s="796" t="s">
        <v>2695</v>
      </c>
      <c r="H178" s="797" t="s">
        <v>335</v>
      </c>
      <c r="I178" s="900"/>
      <c r="J178" s="792" t="str">
        <f>IF(ISBLANK(HLOOKUP(CaseName,CaseData,MATCH($G178,cases!$G$4:$G$2494,0),FALSE)),"",HLOOKUP(CaseName,CaseData,MATCH($G178,cases!$G$4:$G$2494,0),FALSE))</f>
        <v/>
      </c>
      <c r="K178" s="798">
        <f>L184+L185+L179</f>
        <v>1.9913487209454223E-15</v>
      </c>
      <c r="L178" s="794">
        <f t="shared" si="10"/>
        <v>1.9913487209454223E-15</v>
      </c>
      <c r="M178" s="797" t="s">
        <v>335</v>
      </c>
      <c r="N178" s="797"/>
      <c r="O178" s="799"/>
      <c r="P178" s="797"/>
    </row>
    <row r="179" spans="1:16" ht="12.75" customHeight="1" x14ac:dyDescent="0.3">
      <c r="A179" s="797"/>
      <c r="B179" s="797"/>
      <c r="C179" s="797" t="s">
        <v>1402</v>
      </c>
      <c r="D179" s="797"/>
      <c r="E179" s="797"/>
      <c r="F179" s="797"/>
      <c r="G179" s="796" t="s">
        <v>2696</v>
      </c>
      <c r="H179" s="796" t="s">
        <v>335</v>
      </c>
      <c r="I179" s="900"/>
      <c r="J179" s="792" t="str">
        <f>IF(ISBLANK(HLOOKUP(CaseName,CaseData,MATCH($G179,cases!$G$4:$G$2494,0),FALSE)),"",HLOOKUP(CaseName,CaseData,MATCH($G179,cases!$G$4:$G$2494,0),FALSE))</f>
        <v/>
      </c>
      <c r="K179" s="798">
        <f>(4/3)*L168*(RadS+RadSPM.w)^3</f>
        <v>3.6361201333333332E-16</v>
      </c>
      <c r="L179" s="794">
        <f t="shared" si="10"/>
        <v>3.6361201333333332E-16</v>
      </c>
      <c r="M179" s="797" t="s">
        <v>335</v>
      </c>
      <c r="N179" s="797"/>
      <c r="O179" s="799"/>
      <c r="P179" s="797"/>
    </row>
    <row r="180" spans="1:16" ht="12.75" customHeight="1" x14ac:dyDescent="0.3">
      <c r="A180" s="797" t="s">
        <v>1412</v>
      </c>
      <c r="B180" s="797"/>
      <c r="C180" s="797"/>
      <c r="D180" s="797"/>
      <c r="E180" s="797"/>
      <c r="F180" s="797"/>
      <c r="G180" s="796" t="s">
        <v>2697</v>
      </c>
      <c r="H180" s="796" t="s">
        <v>335</v>
      </c>
      <c r="I180" s="900"/>
      <c r="J180" s="792" t="str">
        <f>IF(ISBLANK(HLOOKUP(CaseName,CaseData,MATCH($G180,cases!$G$4:$G$2494,0),FALSE)),"",HLOOKUP(CaseName,CaseData,MATCH($G180,cases!$G$4:$G$2494,0),FALSE))</f>
        <v/>
      </c>
      <c r="K180" s="798">
        <f>L181*L182*AtefSP.w3</f>
        <v>3.5214776928687474E-5</v>
      </c>
      <c r="L180" s="794">
        <f t="shared" si="10"/>
        <v>3.5214776928687474E-5</v>
      </c>
      <c r="M180" s="797" t="s">
        <v>335</v>
      </c>
      <c r="N180" s="797"/>
      <c r="O180" s="799"/>
      <c r="P180" s="797"/>
    </row>
    <row r="181" spans="1:16" ht="12.75" customHeight="1" x14ac:dyDescent="0.3">
      <c r="A181" s="797"/>
      <c r="B181" s="797" t="s">
        <v>1414</v>
      </c>
      <c r="C181" s="797"/>
      <c r="D181" s="797"/>
      <c r="E181" s="797"/>
      <c r="F181" s="797"/>
      <c r="G181" s="796" t="s">
        <v>2698</v>
      </c>
      <c r="H181" s="796" t="s">
        <v>708</v>
      </c>
      <c r="I181" s="900"/>
      <c r="J181" s="792" t="str">
        <f>IF(ISBLANK(HLOOKUP(CaseName,CaseData,MATCH($G181,cases!$G$4:$G$2494,0),FALSE)),"",HLOOKUP(CaseName,CaseData,MATCH($G181,cases!$G$4:$G$2494,0),FALSE))</f>
        <v/>
      </c>
      <c r="K181" s="798">
        <f>(L62)/(SingleVolSPM.w*RhoSPM.w)</f>
        <v>17683882565.766148</v>
      </c>
      <c r="L181" s="794">
        <f t="shared" si="10"/>
        <v>17683882565.766148</v>
      </c>
      <c r="M181" s="797" t="s">
        <v>708</v>
      </c>
      <c r="N181" s="797"/>
      <c r="O181" s="799"/>
      <c r="P181" s="797"/>
    </row>
    <row r="182" spans="1:16" ht="12.75" customHeight="1" x14ac:dyDescent="0.3">
      <c r="A182" s="797"/>
      <c r="B182" s="797" t="s">
        <v>1417</v>
      </c>
      <c r="C182" s="797"/>
      <c r="D182" s="797"/>
      <c r="E182" s="797"/>
      <c r="F182" s="797"/>
      <c r="G182" s="796" t="s">
        <v>2699</v>
      </c>
      <c r="H182" s="797" t="s">
        <v>335</v>
      </c>
      <c r="I182" s="900"/>
      <c r="J182" s="792" t="str">
        <f>IF(ISBLANK(HLOOKUP(CaseName,CaseData,MATCH($G182,cases!$G$4:$G$2494,0),FALSE)),"",HLOOKUP(CaseName,CaseData,MATCH($G182,cases!$G$4:$G$2494,0),FALSE))</f>
        <v/>
      </c>
      <c r="K182" s="798">
        <f>L184+L185+L183</f>
        <v>1.9913487209454223E-15</v>
      </c>
      <c r="L182" s="794">
        <f t="shared" si="10"/>
        <v>1.9913487209454223E-15</v>
      </c>
      <c r="M182" s="797" t="s">
        <v>335</v>
      </c>
      <c r="N182" s="797"/>
      <c r="O182" s="799"/>
      <c r="P182" s="797"/>
    </row>
    <row r="183" spans="1:16" ht="12.75" customHeight="1" x14ac:dyDescent="0.3">
      <c r="A183" s="797"/>
      <c r="B183" s="797"/>
      <c r="C183" s="797" t="s">
        <v>1402</v>
      </c>
      <c r="D183" s="797"/>
      <c r="E183" s="797"/>
      <c r="F183" s="797"/>
      <c r="G183" s="796" t="s">
        <v>2700</v>
      </c>
      <c r="H183" s="796" t="s">
        <v>335</v>
      </c>
      <c r="I183" s="900"/>
      <c r="J183" s="792" t="str">
        <f>IF(ISBLANK(HLOOKUP(CaseName,CaseData,MATCH($G183,cases!$G$4:$G$2494,0),FALSE)),"",HLOOKUP(CaseName,CaseData,MATCH($G183,cases!$G$4:$G$2494,0),FALSE))</f>
        <v/>
      </c>
      <c r="K183" s="798">
        <f>(4/3)*L173*(RadS+RadSPM.w)^3</f>
        <v>3.6361201333333332E-16</v>
      </c>
      <c r="L183" s="794">
        <f t="shared" si="10"/>
        <v>3.6361201333333332E-16</v>
      </c>
      <c r="M183" s="797" t="s">
        <v>335</v>
      </c>
      <c r="N183" s="797"/>
      <c r="O183" s="799"/>
      <c r="P183" s="797"/>
    </row>
    <row r="184" spans="1:16" ht="12.75" customHeight="1" x14ac:dyDescent="0.3">
      <c r="A184" s="797"/>
      <c r="B184" s="797"/>
      <c r="C184" s="797" t="s">
        <v>1420</v>
      </c>
      <c r="D184" s="797"/>
      <c r="E184" s="797"/>
      <c r="F184" s="797"/>
      <c r="G184" s="796" t="s">
        <v>2701</v>
      </c>
      <c r="H184" s="796" t="s">
        <v>335</v>
      </c>
      <c r="I184" s="900"/>
      <c r="J184" s="792" t="str">
        <f>IF(ISBLANK(HLOOKUP(CaseName,CaseData,MATCH($G184,cases!$G$4:$G$2494,0),FALSE)),"",HLOOKUP(CaseName,CaseData,MATCH($G184,cases!$G$4:$G$2494,0),FALSE))</f>
        <v/>
      </c>
      <c r="K184" s="798">
        <f>((2*kboltz*L52)/(3*DYNVISC.w))*(RadS+RadSPM.w)^2/(RadS*RadSPM.w)</f>
        <v>7.9064373807292086E-16</v>
      </c>
      <c r="L184" s="794">
        <f t="shared" si="10"/>
        <v>7.9064373807292086E-16</v>
      </c>
      <c r="M184" s="797" t="s">
        <v>335</v>
      </c>
      <c r="N184" s="797"/>
      <c r="O184" s="799"/>
      <c r="P184" s="797"/>
    </row>
    <row r="185" spans="1:16" ht="12.75" customHeight="1" x14ac:dyDescent="0.3">
      <c r="A185" s="797"/>
      <c r="B185" s="797"/>
      <c r="C185" s="797" t="s">
        <v>2187</v>
      </c>
      <c r="D185" s="797"/>
      <c r="E185" s="797"/>
      <c r="F185" s="797"/>
      <c r="G185" s="796" t="s">
        <v>2702</v>
      </c>
      <c r="H185" s="796" t="s">
        <v>335</v>
      </c>
      <c r="I185" s="900"/>
      <c r="J185" s="792" t="str">
        <f>IF(ISBLANK(HLOOKUP(CaseName,CaseData,MATCH($G185,cases!$G$4:$G$2494,0),FALSE)),"",HLOOKUP(CaseName,CaseData,MATCH($G185,cases!$G$4:$G$2494,0),FALSE))</f>
        <v/>
      </c>
      <c r="K185" s="902">
        <f>PI()*(RadS+RadSPM.w)^2*ABS(SetVelS.w-SetVelSPM.w)</f>
        <v>8.3709296953916809E-16</v>
      </c>
      <c r="L185" s="794">
        <f t="shared" si="10"/>
        <v>8.3709296953916809E-16</v>
      </c>
      <c r="M185" s="797" t="s">
        <v>335</v>
      </c>
      <c r="N185" s="797"/>
      <c r="O185" s="799"/>
      <c r="P185" s="797"/>
    </row>
    <row r="186" spans="1:16" ht="12.75" customHeight="1" x14ac:dyDescent="0.3">
      <c r="A186" s="352" t="s">
        <v>2703</v>
      </c>
      <c r="G186" s="779"/>
      <c r="I186" s="778"/>
      <c r="J186" s="792" t="str">
        <f>IF(ISBLANK(HLOOKUP(CaseName,CaseData,MATCH($G186,cases!$G$4:$G$2494,0),FALSE)),"",HLOOKUP(CaseName,CaseData,MATCH($G186,cases!$G$4:$G$2494,0),FALSE))</f>
        <v/>
      </c>
      <c r="K186" s="780"/>
      <c r="O186" s="782"/>
    </row>
    <row r="187" spans="1:16" ht="12.75" customHeight="1" x14ac:dyDescent="0.3">
      <c r="A187" s="797" t="s">
        <v>2704</v>
      </c>
      <c r="B187" s="797"/>
      <c r="C187" s="797"/>
      <c r="D187" s="797"/>
      <c r="E187" s="797"/>
      <c r="F187" s="797"/>
      <c r="G187" s="796" t="s">
        <v>2705</v>
      </c>
      <c r="H187" s="796" t="s">
        <v>335</v>
      </c>
      <c r="I187" s="900"/>
      <c r="J187" s="792" t="str">
        <f>IF(ISBLANK(HLOOKUP(CaseName,CaseData,MATCH($G187,cases!$G$4:$G$2494,0),FALSE)),"",HLOOKUP(CaseName,CaseData,MATCH($G187,cases!$G$4:$G$2494,0),FALSE))</f>
        <v/>
      </c>
      <c r="K187" s="918">
        <f>AtefSA.sd2*L188*(L189+L190)</f>
        <v>3.1607723057386805E-3</v>
      </c>
      <c r="L187" s="794">
        <f t="shared" ref="L187:L204" si="11">IF(ISBLANK(I187),IF(ISNUMBER(J187)=FALSE,K187,J187),I187)</f>
        <v>3.1607723057386805E-3</v>
      </c>
      <c r="M187" s="796" t="s">
        <v>335</v>
      </c>
      <c r="N187" s="797" t="s">
        <v>2706</v>
      </c>
      <c r="O187" s="799"/>
      <c r="P187" s="797"/>
    </row>
    <row r="188" spans="1:16" ht="12.75" customHeight="1" x14ac:dyDescent="0.3">
      <c r="A188" s="797"/>
      <c r="B188" s="797" t="s">
        <v>1436</v>
      </c>
      <c r="C188" s="797"/>
      <c r="D188" s="797"/>
      <c r="E188" s="797"/>
      <c r="F188" s="797"/>
      <c r="G188" s="796" t="s">
        <v>2707</v>
      </c>
      <c r="H188" s="796" t="s">
        <v>708</v>
      </c>
      <c r="I188" s="900"/>
      <c r="J188" s="792" t="str">
        <f>IF(ISBLANK(HLOOKUP(CaseName,CaseData,MATCH($G188,cases!$G$4:$G$2494,0),FALSE)),"",HLOOKUP(CaseName,CaseData,MATCH($G188,cases!$G$4:$G$2494,0),FALSE))</f>
        <v/>
      </c>
      <c r="K188" s="798">
        <f>L165</f>
        <v>70735530263064.578</v>
      </c>
      <c r="L188" s="794">
        <f t="shared" si="11"/>
        <v>70735530263064.578</v>
      </c>
      <c r="M188" s="796" t="s">
        <v>708</v>
      </c>
      <c r="N188" s="797" t="s">
        <v>2192</v>
      </c>
      <c r="O188" s="799"/>
      <c r="P188" s="492"/>
    </row>
    <row r="189" spans="1:16" ht="12.75" customHeight="1" x14ac:dyDescent="0.3">
      <c r="A189" s="797"/>
      <c r="B189" s="797"/>
      <c r="C189" s="797" t="s">
        <v>1390</v>
      </c>
      <c r="D189" s="797"/>
      <c r="E189" s="797"/>
      <c r="F189" s="797"/>
      <c r="G189" s="797" t="s">
        <v>2708</v>
      </c>
      <c r="H189" s="797" t="s">
        <v>335</v>
      </c>
      <c r="I189" s="900"/>
      <c r="J189" s="792" t="str">
        <f>IF(ISBLANK(HLOOKUP(CaseName,CaseData,MATCH($G189,cases!$G$4:$G$2494,0),FALSE)),"",HLOOKUP(CaseName,CaseData,MATCH($G189,cases!$G$4:$G$2494,0),FALSE))</f>
        <v/>
      </c>
      <c r="K189" s="798">
        <f>((2*kboltz*L52)/(3*DYNVISC.w))*(RadS+RadNC.sd)^2/(RadS*RadNC.sd)</f>
        <v>4.468047746640054E-17</v>
      </c>
      <c r="L189" s="833">
        <f t="shared" si="11"/>
        <v>4.468047746640054E-17</v>
      </c>
      <c r="M189" s="797" t="s">
        <v>335</v>
      </c>
      <c r="N189" s="797"/>
      <c r="O189" s="799"/>
      <c r="P189" s="797"/>
    </row>
    <row r="190" spans="1:16" ht="12.75" customHeight="1" x14ac:dyDescent="0.3">
      <c r="A190" s="797"/>
      <c r="B190" s="797"/>
      <c r="C190" s="797" t="s">
        <v>1392</v>
      </c>
      <c r="D190" s="797"/>
      <c r="E190" s="797"/>
      <c r="F190" s="797"/>
      <c r="G190" s="796" t="s">
        <v>2709</v>
      </c>
      <c r="H190" s="796" t="s">
        <v>335</v>
      </c>
      <c r="I190" s="900"/>
      <c r="J190" s="792" t="str">
        <f>IF(ISBLANK(HLOOKUP(CaseName,CaseData,MATCH($G190,cases!$G$4:$G$2494,0),FALSE)),"",HLOOKUP(CaseName,CaseData,MATCH($G190,cases!$G$4:$G$2494,0),FALSE))</f>
        <v/>
      </c>
      <c r="K190" s="798">
        <f>PI()*(RadS+RadNC.sd)^2*ABS(SetVelS.w-SetVelNC.sd)</f>
        <v>3.8882828036701237E-21</v>
      </c>
      <c r="L190" s="794">
        <f t="shared" si="11"/>
        <v>3.8882828036701237E-21</v>
      </c>
      <c r="M190" s="797" t="s">
        <v>335</v>
      </c>
      <c r="N190" s="797"/>
      <c r="O190" s="799"/>
      <c r="P190" s="797"/>
    </row>
    <row r="191" spans="1:16" ht="12.75" customHeight="1" x14ac:dyDescent="0.3">
      <c r="A191" s="797" t="s">
        <v>2710</v>
      </c>
      <c r="B191" s="797"/>
      <c r="C191" s="797"/>
      <c r="D191" s="797"/>
      <c r="E191" s="797"/>
      <c r="F191" s="797"/>
      <c r="G191" s="796" t="s">
        <v>2711</v>
      </c>
      <c r="H191" s="796" t="s">
        <v>335</v>
      </c>
      <c r="I191" s="900"/>
      <c r="J191" s="792" t="str">
        <f>IF(ISBLANK(HLOOKUP(CaseName,CaseData,MATCH($G191,cases!$G$4:$G$2494,0),FALSE)),"",HLOOKUP(CaseName,CaseData,MATCH($G191,cases!$G$4:$G$2494,0),FALSE))</f>
        <v/>
      </c>
      <c r="K191" s="798">
        <f>L192*L194*L193*AtefSP.sd2</f>
        <v>1.1637660886097844E-2</v>
      </c>
      <c r="L191" s="794">
        <f t="shared" si="11"/>
        <v>1.1637660886097844E-2</v>
      </c>
      <c r="M191" s="796" t="s">
        <v>335</v>
      </c>
      <c r="N191" s="797" t="s">
        <v>2706</v>
      </c>
      <c r="O191" s="799"/>
      <c r="P191" s="797"/>
    </row>
    <row r="192" spans="1:16" ht="12.75" customHeight="1" x14ac:dyDescent="0.3">
      <c r="A192" s="797"/>
      <c r="B192" s="797" t="s">
        <v>1447</v>
      </c>
      <c r="C192" s="797"/>
      <c r="D192" s="797"/>
      <c r="E192" s="797"/>
      <c r="F192" s="797"/>
      <c r="G192" s="796" t="s">
        <v>2712</v>
      </c>
      <c r="H192" s="796" t="s">
        <v>1449</v>
      </c>
      <c r="I192" s="900"/>
      <c r="J192" s="792" t="str">
        <f>IF(ISBLANK(HLOOKUP(CaseName,CaseData,MATCH($G192,cases!$G$4:$G$2494,0),FALSE)),"",HLOOKUP(CaseName,CaseData,MATCH($G192,cases!$G$4:$G$2494,0),FALSE))</f>
        <v/>
      </c>
      <c r="K192" s="798">
        <f>(3/2)*((1-L198)/(2*RadFP.sd*L198))</f>
        <v>1464.8437499999995</v>
      </c>
      <c r="L192" s="794">
        <f t="shared" si="11"/>
        <v>1464.8437499999995</v>
      </c>
      <c r="M192" s="796" t="s">
        <v>1449</v>
      </c>
      <c r="N192" s="797"/>
      <c r="O192" s="799"/>
      <c r="P192" s="797"/>
    </row>
    <row r="193" spans="1:16" ht="12.75" customHeight="1" x14ac:dyDescent="0.3">
      <c r="A193" s="797"/>
      <c r="B193" s="797" t="s">
        <v>1450</v>
      </c>
      <c r="C193" s="797"/>
      <c r="D193" s="797"/>
      <c r="E193" s="797"/>
      <c r="F193" s="797"/>
      <c r="G193" s="797" t="s">
        <v>2713</v>
      </c>
      <c r="H193" s="796" t="s">
        <v>866</v>
      </c>
      <c r="I193" s="900"/>
      <c r="J193" s="792" t="str">
        <f>IF(ISBLANK(HLOOKUP(CaseName,CaseData,MATCH($G193,cases!$G$4:$G$2494,0),FALSE)),"",HLOOKUP(CaseName,CaseData,MATCH($G193,cases!$G$4:$G$2494,0),FALSE))</f>
        <v/>
      </c>
      <c r="K193" s="512">
        <f>9*10^-6</f>
        <v>9.0000000000000002E-6</v>
      </c>
      <c r="L193" s="794">
        <f t="shared" si="11"/>
        <v>9.0000000000000002E-6</v>
      </c>
      <c r="M193" s="796" t="s">
        <v>866</v>
      </c>
      <c r="N193" s="797"/>
      <c r="O193" s="799"/>
      <c r="P193" s="797" t="s">
        <v>1452</v>
      </c>
    </row>
    <row r="194" spans="1:16" ht="12.75" customHeight="1" x14ac:dyDescent="0.3">
      <c r="A194" s="797"/>
      <c r="B194" s="797" t="s">
        <v>1453</v>
      </c>
      <c r="C194" s="797"/>
      <c r="D194" s="797"/>
      <c r="E194" s="797"/>
      <c r="F194" s="797"/>
      <c r="G194" s="796" t="s">
        <v>2714</v>
      </c>
      <c r="H194" s="796" t="s">
        <v>291</v>
      </c>
      <c r="I194" s="900"/>
      <c r="J194" s="792" t="str">
        <f>IF(ISBLANK(HLOOKUP(CaseName,CaseData,MATCH($G194,cases!$G$4:$G$2494,0),FALSE)),"",HLOOKUP(CaseName,CaseData,MATCH($G194,cases!$G$4:$G$2494,0),FALSE))</f>
        <v/>
      </c>
      <c r="K194" s="798">
        <f>L195+L199+L200</f>
        <v>0.88273812943438479</v>
      </c>
      <c r="L194" s="794">
        <f t="shared" si="11"/>
        <v>0.88273812943438479</v>
      </c>
      <c r="M194" s="796" t="s">
        <v>291</v>
      </c>
      <c r="N194" s="797"/>
      <c r="O194" s="799"/>
      <c r="P194" s="797" t="s">
        <v>1452</v>
      </c>
    </row>
    <row r="195" spans="1:16" ht="12.75" customHeight="1" x14ac:dyDescent="0.3">
      <c r="A195" s="797"/>
      <c r="B195" s="797"/>
      <c r="C195" s="797" t="s">
        <v>1455</v>
      </c>
      <c r="D195" s="797"/>
      <c r="E195" s="797"/>
      <c r="F195" s="797"/>
      <c r="G195" s="796" t="s">
        <v>2715</v>
      </c>
      <c r="H195" s="796" t="s">
        <v>291</v>
      </c>
      <c r="I195" s="900"/>
      <c r="J195" s="792" t="str">
        <f>IF(ISBLANK(HLOOKUP(CaseName,CaseData,MATCH($G195,cases!$G$4:$G$2494,0),FALSE)),"",HLOOKUP(CaseName,CaseData,MATCH($G195,cases!$G$4:$G$2494,0),FALSE))</f>
        <v/>
      </c>
      <c r="K195" s="798">
        <f>2.4*L203^(1/3)*L202^(-0.081)*L203^(-0.715)*L201^(0.053)</f>
        <v>0.88267743923252096</v>
      </c>
      <c r="L195" s="794">
        <f t="shared" si="11"/>
        <v>0.88267743923252096</v>
      </c>
      <c r="M195" s="796" t="s">
        <v>291</v>
      </c>
      <c r="N195" s="797"/>
      <c r="O195" s="799"/>
      <c r="P195" s="797" t="s">
        <v>1452</v>
      </c>
    </row>
    <row r="196" spans="1:16" ht="12.75" customHeight="1" x14ac:dyDescent="0.3">
      <c r="A196" s="797"/>
      <c r="B196" s="797"/>
      <c r="C196" s="797"/>
      <c r="D196" s="797" t="s">
        <v>1457</v>
      </c>
      <c r="E196" s="797"/>
      <c r="F196" s="797"/>
      <c r="G196" s="797" t="s">
        <v>2716</v>
      </c>
      <c r="H196" s="796" t="s">
        <v>291</v>
      </c>
      <c r="I196" s="900"/>
      <c r="J196" s="792" t="str">
        <f>IF(ISBLANK(HLOOKUP(CaseName,CaseData,MATCH($G196,cases!$G$4:$G$2494,0),FALSE)),"",HLOOKUP(CaseName,CaseData,MATCH($G196,cases!$G$4:$G$2494,0),FALSE))</f>
        <v/>
      </c>
      <c r="K196" s="512">
        <f>(2*(1-L197^5))/(2-3*L197+3*L197^5-2*L197^6)</f>
        <v>5.0249997549306684</v>
      </c>
      <c r="L196" s="794">
        <f t="shared" si="11"/>
        <v>5.0249997549306684</v>
      </c>
      <c r="M196" s="796" t="s">
        <v>291</v>
      </c>
      <c r="N196" s="797"/>
      <c r="O196" s="799"/>
      <c r="P196" s="797" t="s">
        <v>1452</v>
      </c>
    </row>
    <row r="197" spans="1:16" ht="12.75" customHeight="1" x14ac:dyDescent="0.3">
      <c r="A197" s="797"/>
      <c r="B197" s="797"/>
      <c r="C197" s="797"/>
      <c r="D197" s="797"/>
      <c r="E197" s="797" t="s">
        <v>1459</v>
      </c>
      <c r="F197" s="797"/>
      <c r="G197" s="797" t="s">
        <v>2717</v>
      </c>
      <c r="H197" s="796" t="s">
        <v>291</v>
      </c>
      <c r="I197" s="900"/>
      <c r="J197" s="792" t="str">
        <f>IF(ISBLANK(HLOOKUP(CaseName,CaseData,MATCH($G197,cases!$G$4:$G$2494,0),FALSE)),"",HLOOKUP(CaseName,CaseData,MATCH($G197,cases!$G$4:$G$2494,0),FALSE))</f>
        <v/>
      </c>
      <c r="K197" s="512">
        <f>(1-L198)^(1/3)</f>
        <v>0.58480354764257325</v>
      </c>
      <c r="L197" s="794">
        <f t="shared" si="11"/>
        <v>0.58480354764257325</v>
      </c>
      <c r="M197" s="796" t="s">
        <v>291</v>
      </c>
      <c r="N197" s="797"/>
      <c r="O197" s="799"/>
      <c r="P197" s="797" t="s">
        <v>1452</v>
      </c>
    </row>
    <row r="198" spans="1:16" ht="12.75" customHeight="1" x14ac:dyDescent="0.3">
      <c r="A198" s="797"/>
      <c r="B198" s="797"/>
      <c r="C198" s="797"/>
      <c r="D198" s="797"/>
      <c r="E198" s="797"/>
      <c r="F198" s="797" t="s">
        <v>1461</v>
      </c>
      <c r="G198" s="797" t="s">
        <v>2718</v>
      </c>
      <c r="H198" s="796" t="s">
        <v>1463</v>
      </c>
      <c r="I198" s="900"/>
      <c r="J198" s="792" t="str">
        <f>IF(ISBLANK(HLOOKUP(CaseName,CaseData,MATCH($G198,cases!$G$4:$G$2494,0),FALSE)),"",HLOOKUP(CaseName,CaseData,MATCH($G198,cases!$G$4:$G$2494,0),FALSE))</f>
        <v/>
      </c>
      <c r="K198" s="798">
        <f>L25</f>
        <v>0.8</v>
      </c>
      <c r="L198" s="794">
        <f t="shared" si="11"/>
        <v>0.8</v>
      </c>
      <c r="M198" s="796" t="s">
        <v>1463</v>
      </c>
      <c r="N198" s="797" t="s">
        <v>1464</v>
      </c>
      <c r="O198" s="799"/>
      <c r="P198" s="797"/>
    </row>
    <row r="199" spans="1:16" ht="12.75" customHeight="1" x14ac:dyDescent="0.3">
      <c r="A199" s="797"/>
      <c r="B199" s="797"/>
      <c r="C199" s="797" t="s">
        <v>1465</v>
      </c>
      <c r="D199" s="797"/>
      <c r="E199" s="797"/>
      <c r="F199" s="797"/>
      <c r="G199" s="796" t="s">
        <v>2719</v>
      </c>
      <c r="H199" s="796" t="s">
        <v>291</v>
      </c>
      <c r="I199" s="900"/>
      <c r="J199" s="792" t="str">
        <f>IF(ISBLANK(HLOOKUP(CaseName,CaseData,MATCH($G199,cases!$G$4:$G$2494,0),FALSE)),"",HLOOKUP(CaseName,CaseData,MATCH($G199,cases!$G$4:$G$2494,0),FALSE))</f>
        <v/>
      </c>
      <c r="K199" s="798">
        <f>0.55*L202^1.55*L203^-0.125*L201^0.125</f>
        <v>1.4099767714425791E-7</v>
      </c>
      <c r="L199" s="794">
        <f t="shared" si="11"/>
        <v>1.4099767714425791E-7</v>
      </c>
      <c r="M199" s="796" t="s">
        <v>291</v>
      </c>
      <c r="N199" s="797"/>
      <c r="O199" s="799"/>
      <c r="P199" s="797" t="s">
        <v>1452</v>
      </c>
    </row>
    <row r="200" spans="1:16" ht="12.75" customHeight="1" x14ac:dyDescent="0.3">
      <c r="A200" s="797"/>
      <c r="B200" s="797"/>
      <c r="C200" s="797" t="s">
        <v>1467</v>
      </c>
      <c r="D200" s="797"/>
      <c r="E200" s="797"/>
      <c r="F200" s="797"/>
      <c r="G200" s="796" t="s">
        <v>2720</v>
      </c>
      <c r="H200" s="796" t="s">
        <v>291</v>
      </c>
      <c r="I200" s="900"/>
      <c r="J200" s="792" t="str">
        <f>IF(ISBLANK(HLOOKUP(CaseName,CaseData,MATCH($G200,cases!$G$4:$G$2494,0),FALSE)),"",HLOOKUP(CaseName,CaseData,MATCH($G200,cases!$G$4:$G$2494,0),FALSE))</f>
        <v/>
      </c>
      <c r="K200" s="798">
        <f>0.22*L202^-0.24*L204^1.11*L201^0.053</f>
        <v>6.0549204186767489E-5</v>
      </c>
      <c r="L200" s="794">
        <f t="shared" si="11"/>
        <v>6.0549204186767489E-5</v>
      </c>
      <c r="M200" s="796" t="s">
        <v>291</v>
      </c>
      <c r="N200" s="797"/>
      <c r="O200" s="799"/>
      <c r="P200" s="797" t="s">
        <v>1452</v>
      </c>
    </row>
    <row r="201" spans="1:16" ht="12.75" customHeight="1" x14ac:dyDescent="0.3">
      <c r="A201" s="797"/>
      <c r="B201" s="797"/>
      <c r="C201" s="797"/>
      <c r="D201" s="797" t="s">
        <v>1469</v>
      </c>
      <c r="E201" s="797"/>
      <c r="F201" s="797"/>
      <c r="G201" s="797" t="s">
        <v>2721</v>
      </c>
      <c r="H201" s="796" t="s">
        <v>291</v>
      </c>
      <c r="I201" s="900"/>
      <c r="J201" s="792" t="str">
        <f>IF(ISBLANK(HLOOKUP(CaseName,CaseData,MATCH($G201,cases!$G$4:$G$2494,0),FALSE)),"",HLOOKUP(CaseName,CaseData,MATCH($G201,cases!$G$4:$G$2494,0),FALSE))</f>
        <v/>
      </c>
      <c r="K201" s="512">
        <f>AHamakerSP.w/(kboltz*L52)</f>
        <v>1.7535615368506079</v>
      </c>
      <c r="L201" s="794">
        <f t="shared" si="11"/>
        <v>1.7535615368506079</v>
      </c>
      <c r="M201" s="796" t="s">
        <v>291</v>
      </c>
      <c r="N201" s="797"/>
      <c r="O201" s="799"/>
      <c r="P201" s="797" t="s">
        <v>1452</v>
      </c>
    </row>
    <row r="202" spans="1:16" ht="12.75" customHeight="1" x14ac:dyDescent="0.3">
      <c r="A202" s="797"/>
      <c r="B202" s="797"/>
      <c r="C202" s="797"/>
      <c r="D202" s="797" t="s">
        <v>1471</v>
      </c>
      <c r="E202" s="797"/>
      <c r="F202" s="797"/>
      <c r="G202" s="797" t="s">
        <v>2722</v>
      </c>
      <c r="H202" s="796" t="s">
        <v>1473</v>
      </c>
      <c r="I202" s="900"/>
      <c r="J202" s="792" t="str">
        <f>IF(ISBLANK(HLOOKUP(CaseName,CaseData,MATCH($G202,cases!$G$4:$G$2494,0),FALSE)),"",HLOOKUP(CaseName,CaseData,MATCH($G202,cases!$G$4:$G$2494,0),FALSE))</f>
        <v/>
      </c>
      <c r="K202" s="512">
        <f>RadS/RadFP.sd</f>
        <v>7.8125000000000002E-5</v>
      </c>
      <c r="L202" s="794">
        <f t="shared" si="11"/>
        <v>7.8125000000000002E-5</v>
      </c>
      <c r="M202" s="796" t="s">
        <v>1473</v>
      </c>
      <c r="N202" s="797"/>
      <c r="O202" s="799"/>
      <c r="P202" s="797" t="s">
        <v>1452</v>
      </c>
    </row>
    <row r="203" spans="1:16" ht="12.75" customHeight="1" x14ac:dyDescent="0.3">
      <c r="A203" s="797"/>
      <c r="B203" s="797"/>
      <c r="C203" s="797"/>
      <c r="D203" s="797" t="s">
        <v>1474</v>
      </c>
      <c r="E203" s="797"/>
      <c r="F203" s="797"/>
      <c r="G203" s="797" t="s">
        <v>2723</v>
      </c>
      <c r="H203" s="796" t="s">
        <v>291</v>
      </c>
      <c r="I203" s="900"/>
      <c r="J203" s="792" t="str">
        <f>IF(ISBLANK(HLOOKUP(CaseName,CaseData,MATCH($G203,cases!$G$4:$G$2494,0),FALSE)),"",HLOOKUP(CaseName,CaseData,MATCH($G203,cases!$G$4:$G$2494,0),FALSE))</f>
        <v/>
      </c>
      <c r="K203" s="512">
        <f>(L193*2*RadFP.sd)/DiffS.wC</f>
        <v>110.59187966851262</v>
      </c>
      <c r="L203" s="794">
        <f t="shared" si="11"/>
        <v>110.59187966851262</v>
      </c>
      <c r="M203" s="796" t="s">
        <v>291</v>
      </c>
      <c r="N203" s="797"/>
      <c r="O203" s="799"/>
      <c r="P203" s="797" t="s">
        <v>1452</v>
      </c>
    </row>
    <row r="204" spans="1:16" ht="12.75" customHeight="1" x14ac:dyDescent="0.3">
      <c r="A204" s="797"/>
      <c r="B204" s="797"/>
      <c r="C204" s="797"/>
      <c r="D204" s="797" t="s">
        <v>1476</v>
      </c>
      <c r="E204" s="797"/>
      <c r="F204" s="797"/>
      <c r="G204" s="796" t="s">
        <v>2724</v>
      </c>
      <c r="H204" s="796" t="s">
        <v>291</v>
      </c>
      <c r="I204" s="900"/>
      <c r="J204" s="792" t="str">
        <f>IF(ISBLANK(HLOOKUP(CaseName,CaseData,MATCH($G204,cases!$G$4:$G$2494,0),FALSE)),"",HLOOKUP(CaseName,CaseData,MATCH($G204,cases!$G$4:$G$2494,0),FALSE))</f>
        <v/>
      </c>
      <c r="K204" s="513">
        <f>(2*RadS^2*(ABS(RhoS-Rho.w))*9.81)/(9*DYNVISC.w*L193)</f>
        <v>7.8129962297626983E-5</v>
      </c>
      <c r="L204" s="794">
        <f t="shared" si="11"/>
        <v>7.8129962297626983E-5</v>
      </c>
      <c r="M204" s="796" t="s">
        <v>291</v>
      </c>
      <c r="N204" s="797"/>
      <c r="O204" s="799"/>
      <c r="P204" s="797" t="s">
        <v>1452</v>
      </c>
    </row>
    <row r="205" spans="1:16" ht="12.75" customHeight="1" x14ac:dyDescent="0.3">
      <c r="A205" s="352" t="s">
        <v>2725</v>
      </c>
      <c r="G205" s="779"/>
      <c r="I205" s="778"/>
      <c r="J205" s="792" t="str">
        <f>IF(ISBLANK(HLOOKUP(CaseName,CaseData,MATCH($G205,cases!$G$4:$G$2494,0),FALSE)),"",HLOOKUP(CaseName,CaseData,MATCH($G205,cases!$G$4:$G$2494,0),FALSE))</f>
        <v/>
      </c>
      <c r="K205" s="780"/>
      <c r="M205" s="779"/>
      <c r="O205" s="782"/>
    </row>
    <row r="206" spans="1:16" ht="12.75" customHeight="1" x14ac:dyDescent="0.3">
      <c r="A206" s="797" t="s">
        <v>2726</v>
      </c>
      <c r="B206" s="797"/>
      <c r="C206" s="797"/>
      <c r="D206" s="797"/>
      <c r="E206" s="797"/>
      <c r="F206" s="797"/>
      <c r="G206" s="796" t="s">
        <v>2727</v>
      </c>
      <c r="H206" s="796" t="s">
        <v>335</v>
      </c>
      <c r="I206" s="900"/>
      <c r="J206" s="792" t="str">
        <f>IF(ISBLANK(HLOOKUP(CaseName,CaseData,MATCH($G206,cases!$G$4:$G$2494,0),FALSE)),"",HLOOKUP(CaseName,CaseData,MATCH($G206,cases!$G$4:$G$2494,0),FALSE))</f>
        <v/>
      </c>
      <c r="K206" s="918">
        <f>AtefSA.s1*L207*(L209+L210)</f>
        <v>1.5803861528693407E-2</v>
      </c>
      <c r="L206" s="794">
        <f>IF(ISBLANK(I206),IF(ISNUMBER(J206)=FALSE,K206,J206),I206)</f>
        <v>1.5803861528693407E-2</v>
      </c>
      <c r="M206" s="796" t="s">
        <v>335</v>
      </c>
      <c r="N206" s="797" t="s">
        <v>2728</v>
      </c>
      <c r="O206" s="799"/>
      <c r="P206" s="797"/>
    </row>
    <row r="207" spans="1:16" ht="12.75" customHeight="1" x14ac:dyDescent="0.3">
      <c r="A207" s="797"/>
      <c r="B207" s="797" t="s">
        <v>1485</v>
      </c>
      <c r="C207" s="797"/>
      <c r="D207" s="797"/>
      <c r="E207" s="797"/>
      <c r="F207" s="797"/>
      <c r="G207" s="796" t="s">
        <v>2729</v>
      </c>
      <c r="H207" s="796" t="s">
        <v>708</v>
      </c>
      <c r="I207" s="900"/>
      <c r="J207" s="792" t="str">
        <f>IF(ISBLANK(HLOOKUP(CaseName,CaseData,MATCH($G207,cases!$G$4:$G$2494,0),FALSE)),"",HLOOKUP(CaseName,CaseData,MATCH($G207,cases!$G$4:$G$2494,0),FALSE))</f>
        <v/>
      </c>
      <c r="K207" s="798">
        <f>(L208)/(SingleVolNC.s*RhoNC.s)</f>
        <v>3536776513153229.5</v>
      </c>
      <c r="L207" s="794">
        <f>IF(ISBLANK(I207),IF(ISNUMBER(J207)=FALSE,K207,J207),I207)</f>
        <v>3536776513153229.5</v>
      </c>
      <c r="M207" s="796" t="s">
        <v>708</v>
      </c>
      <c r="N207" s="797"/>
      <c r="O207" s="799"/>
      <c r="P207" s="797"/>
    </row>
    <row r="208" spans="1:16" ht="12.75" customHeight="1" x14ac:dyDescent="0.3">
      <c r="A208" s="797"/>
      <c r="B208" s="797" t="s">
        <v>727</v>
      </c>
      <c r="C208" s="797"/>
      <c r="D208" s="797"/>
      <c r="E208" s="797"/>
      <c r="F208" s="797"/>
      <c r="G208" s="796" t="s">
        <v>2730</v>
      </c>
      <c r="H208" s="796" t="s">
        <v>729</v>
      </c>
      <c r="I208" s="900"/>
      <c r="J208" s="792" t="str">
        <f>IF(ISBLANK(HLOOKUP(CaseName,CaseData,MATCH($G208,cases!$G$4:$G$2494,0),FALSE)),"",HLOOKUP(CaseName,CaseData,MATCH($G208,cases!$G$4:$G$2494,0),FALSE))</f>
        <v/>
      </c>
      <c r="K208" s="798">
        <v>100</v>
      </c>
      <c r="L208" s="794">
        <f>IF(ISBLANK(I208),IF(ISNUMBER(J208)=FALSE,K208/1000,J208/1000),I208/1000)</f>
        <v>0.1</v>
      </c>
      <c r="M208" s="796" t="s">
        <v>730</v>
      </c>
      <c r="N208" s="797" t="s">
        <v>731</v>
      </c>
      <c r="O208" s="799"/>
      <c r="P208" s="797"/>
    </row>
    <row r="209" spans="1:16" ht="12.75" customHeight="1" x14ac:dyDescent="0.3">
      <c r="A209" s="797"/>
      <c r="B209" s="797" t="s">
        <v>1390</v>
      </c>
      <c r="C209" s="797"/>
      <c r="D209" s="797"/>
      <c r="E209" s="797"/>
      <c r="F209" s="797"/>
      <c r="G209" s="796" t="s">
        <v>2731</v>
      </c>
      <c r="H209" s="796" t="s">
        <v>335</v>
      </c>
      <c r="I209" s="900"/>
      <c r="J209" s="792" t="str">
        <f>IF(ISBLANK(HLOOKUP(CaseName,CaseData,MATCH($G209,cases!$G$4:$G$2494,0),FALSE)),"",HLOOKUP(CaseName,CaseData,MATCH($G209,cases!$G$4:$G$2494,0),FALSE))</f>
        <v/>
      </c>
      <c r="K209" s="798">
        <f>((2*kboltz*L52)/(3*DYNVISC.w))*(RadS+RadNC.s)^2/(RadS*RadNC.s)</f>
        <v>4.468047746640054E-17</v>
      </c>
      <c r="L209" s="794">
        <f t="shared" ref="L209:L224" si="12">IF(ISBLANK(I209),IF(ISNUMBER(J209)=FALSE,K209,J209),I209)</f>
        <v>4.468047746640054E-17</v>
      </c>
      <c r="M209" s="797" t="s">
        <v>335</v>
      </c>
      <c r="N209" s="797"/>
      <c r="O209" s="799"/>
      <c r="P209" s="797"/>
    </row>
    <row r="210" spans="1:16" ht="12.75" customHeight="1" x14ac:dyDescent="0.3">
      <c r="A210" s="797"/>
      <c r="B210" s="797" t="s">
        <v>1392</v>
      </c>
      <c r="C210" s="797"/>
      <c r="D210" s="797"/>
      <c r="E210" s="797"/>
      <c r="F210" s="797"/>
      <c r="G210" s="796" t="s">
        <v>2732</v>
      </c>
      <c r="H210" s="796" t="s">
        <v>335</v>
      </c>
      <c r="I210" s="900"/>
      <c r="J210" s="792" t="str">
        <f>IF(ISBLANK(HLOOKUP(CaseName,CaseData,MATCH($G210,cases!$G$4:$G$2494,0),FALSE)),"",HLOOKUP(CaseName,CaseData,MATCH($G210,cases!$G$4:$G$2494,0),FALSE))</f>
        <v/>
      </c>
      <c r="K210" s="798">
        <f>PI()*(RadS+RadNC.s)^2*ABS(SetVelS.w-SetVelNC.s)</f>
        <v>3.8882828036701237E-21</v>
      </c>
      <c r="L210" s="794">
        <f t="shared" si="12"/>
        <v>3.8882828036701237E-21</v>
      </c>
      <c r="M210" s="797" t="s">
        <v>335</v>
      </c>
      <c r="N210" s="797"/>
      <c r="O210" s="799"/>
      <c r="P210" s="797"/>
    </row>
    <row r="211" spans="1:16" ht="12.75" customHeight="1" x14ac:dyDescent="0.3">
      <c r="A211" s="797" t="s">
        <v>2733</v>
      </c>
      <c r="B211" s="797"/>
      <c r="C211" s="797"/>
      <c r="D211" s="797"/>
      <c r="E211" s="797"/>
      <c r="F211" s="797"/>
      <c r="G211" s="796" t="s">
        <v>2734</v>
      </c>
      <c r="H211" s="796" t="s">
        <v>335</v>
      </c>
      <c r="I211" s="900"/>
      <c r="J211" s="792" t="str">
        <f>IF(ISBLANK(HLOOKUP(CaseName,CaseData,MATCH($G211,cases!$G$4:$G$2494,0),FALSE)),"",HLOOKUP(CaseName,CaseData,MATCH($G211,cases!$G$4:$G$2494,0),FALSE))</f>
        <v/>
      </c>
      <c r="K211" s="798">
        <f>L212*L213*L214*AtefSP.s1</f>
        <v>4.8899399121108134E-3</v>
      </c>
      <c r="L211" s="794">
        <f t="shared" si="12"/>
        <v>4.8899399121108134E-3</v>
      </c>
      <c r="M211" s="796" t="s">
        <v>335</v>
      </c>
      <c r="N211" s="797"/>
      <c r="O211" s="799"/>
      <c r="P211" s="797"/>
    </row>
    <row r="212" spans="1:16" ht="12.75" customHeight="1" x14ac:dyDescent="0.3">
      <c r="A212" s="797"/>
      <c r="B212" s="797" t="s">
        <v>1492</v>
      </c>
      <c r="C212" s="797"/>
      <c r="D212" s="797"/>
      <c r="E212" s="797"/>
      <c r="F212" s="797"/>
      <c r="G212" s="796" t="s">
        <v>2735</v>
      </c>
      <c r="H212" s="796" t="s">
        <v>1449</v>
      </c>
      <c r="I212" s="900"/>
      <c r="J212" s="792" t="str">
        <f>IF(ISBLANK(HLOOKUP(CaseName,CaseData,MATCH($G212,cases!$G$4:$G$2494,0),FALSE)),"",HLOOKUP(CaseName,CaseData,MATCH($G212,cases!$G$4:$G$2494,0),FALSE))</f>
        <v/>
      </c>
      <c r="K212" s="798">
        <f>(3/2)*(1-L218)/(2*RadFP.s*L218)</f>
        <v>8789.0625000000036</v>
      </c>
      <c r="L212" s="794">
        <f t="shared" si="12"/>
        <v>8789.0625000000036</v>
      </c>
      <c r="M212" s="796" t="s">
        <v>1449</v>
      </c>
      <c r="N212" s="797"/>
      <c r="O212" s="799"/>
      <c r="P212" s="797"/>
    </row>
    <row r="213" spans="1:16" ht="12.75" customHeight="1" x14ac:dyDescent="0.3">
      <c r="A213" s="797"/>
      <c r="B213" s="797" t="s">
        <v>1494</v>
      </c>
      <c r="C213" s="797"/>
      <c r="D213" s="797"/>
      <c r="E213" s="797"/>
      <c r="F213" s="797"/>
      <c r="G213" s="797" t="s">
        <v>2736</v>
      </c>
      <c r="H213" s="796" t="s">
        <v>866</v>
      </c>
      <c r="I213" s="900"/>
      <c r="J213" s="792" t="str">
        <f>IF(ISBLANK(HLOOKUP(CaseName,CaseData,MATCH($G213,cases!$G$4:$G$2494,0),FALSE)),"",HLOOKUP(CaseName,CaseData,MATCH($G213,cases!$G$4:$G$2494,0),FALSE))</f>
        <v/>
      </c>
      <c r="K213" s="512">
        <f>9*10^-6</f>
        <v>9.0000000000000002E-6</v>
      </c>
      <c r="L213" s="794">
        <f t="shared" si="12"/>
        <v>9.0000000000000002E-6</v>
      </c>
      <c r="M213" s="796" t="s">
        <v>866</v>
      </c>
      <c r="N213" s="797"/>
      <c r="O213" s="799"/>
      <c r="P213" s="797" t="s">
        <v>1452</v>
      </c>
    </row>
    <row r="214" spans="1:16" ht="12.75" customHeight="1" x14ac:dyDescent="0.3">
      <c r="A214" s="797"/>
      <c r="B214" s="797" t="s">
        <v>1453</v>
      </c>
      <c r="C214" s="797"/>
      <c r="D214" s="797"/>
      <c r="E214" s="797"/>
      <c r="F214" s="797"/>
      <c r="G214" s="796" t="s">
        <v>2737</v>
      </c>
      <c r="H214" s="796" t="s">
        <v>291</v>
      </c>
      <c r="I214" s="900"/>
      <c r="J214" s="792" t="str">
        <f>IF(ISBLANK(HLOOKUP(CaseName,CaseData,MATCH($G214,cases!$G$4:$G$2494,0),FALSE)),"",HLOOKUP(CaseName,CaseData,MATCH($G214,cases!$G$4:$G$2494,0),FALSE))</f>
        <v/>
      </c>
      <c r="K214" s="798">
        <f>L215+L219+L220</f>
        <v>0.61818499629647783</v>
      </c>
      <c r="L214" s="794">
        <f t="shared" si="12"/>
        <v>0.61818499629647783</v>
      </c>
      <c r="M214" s="796" t="s">
        <v>291</v>
      </c>
      <c r="N214" s="797"/>
      <c r="O214" s="799"/>
      <c r="P214" s="797" t="s">
        <v>1452</v>
      </c>
    </row>
    <row r="215" spans="1:16" ht="12.75" customHeight="1" x14ac:dyDescent="0.3">
      <c r="A215" s="797"/>
      <c r="B215" s="797"/>
      <c r="C215" s="797" t="s">
        <v>1455</v>
      </c>
      <c r="D215" s="797"/>
      <c r="E215" s="797"/>
      <c r="F215" s="797"/>
      <c r="G215" s="796" t="s">
        <v>2738</v>
      </c>
      <c r="H215" s="796" t="s">
        <v>291</v>
      </c>
      <c r="I215" s="900"/>
      <c r="J215" s="792" t="str">
        <f>IF(ISBLANK(HLOOKUP(CaseName,CaseData,MATCH($G215,cases!$G$4:$G$2494,0),FALSE)),"",HLOOKUP(CaseName,CaseData,MATCH($G215,cases!$G$4:$G$2494,0),FALSE))</f>
        <v/>
      </c>
      <c r="K215" s="798">
        <f>2.4*L216^(1/3)*L221^(-0.081)*L222^-0.715*L223^0.053</f>
        <v>0.618124306094614</v>
      </c>
      <c r="L215" s="794">
        <f t="shared" si="12"/>
        <v>0.618124306094614</v>
      </c>
      <c r="M215" s="796" t="s">
        <v>291</v>
      </c>
      <c r="N215" s="797"/>
      <c r="O215" s="799"/>
      <c r="P215" s="797" t="s">
        <v>1452</v>
      </c>
    </row>
    <row r="216" spans="1:16" ht="12.75" customHeight="1" x14ac:dyDescent="0.3">
      <c r="A216" s="797"/>
      <c r="B216" s="797"/>
      <c r="C216" s="797"/>
      <c r="D216" s="797" t="s">
        <v>1457</v>
      </c>
      <c r="E216" s="797"/>
      <c r="F216" s="797"/>
      <c r="G216" s="797" t="s">
        <v>2739</v>
      </c>
      <c r="H216" s="796" t="s">
        <v>291</v>
      </c>
      <c r="I216" s="900"/>
      <c r="J216" s="792" t="str">
        <f>IF(ISBLANK(HLOOKUP(CaseName,CaseData,MATCH($G216,cases!$G$4:$G$2494,0),FALSE)),"",HLOOKUP(CaseName,CaseData,MATCH($G216,cases!$G$4:$G$2494,0),FALSE))</f>
        <v/>
      </c>
      <c r="K216" s="512">
        <f>(2*(1-L217^5))/(2-3*L217+3*L217^5-2*L217^6)</f>
        <v>37.979096123930859</v>
      </c>
      <c r="L216" s="794">
        <f t="shared" si="12"/>
        <v>37.979096123930859</v>
      </c>
      <c r="M216" s="796" t="s">
        <v>291</v>
      </c>
      <c r="N216" s="797"/>
      <c r="O216" s="799"/>
      <c r="P216" s="797" t="s">
        <v>1452</v>
      </c>
    </row>
    <row r="217" spans="1:16" ht="12.75" customHeight="1" x14ac:dyDescent="0.3">
      <c r="A217" s="797"/>
      <c r="B217" s="797"/>
      <c r="C217" s="797"/>
      <c r="D217" s="797"/>
      <c r="E217" s="797" t="s">
        <v>1499</v>
      </c>
      <c r="F217" s="797"/>
      <c r="G217" s="797" t="s">
        <v>2740</v>
      </c>
      <c r="H217" s="796" t="s">
        <v>291</v>
      </c>
      <c r="I217" s="900"/>
      <c r="J217" s="792" t="str">
        <f>IF(ISBLANK(HLOOKUP(CaseName,CaseData,MATCH($G217,cases!$G$4:$G$2494,0),FALSE)),"",HLOOKUP(CaseName,CaseData,MATCH($G217,cases!$G$4:$G$2494,0),FALSE))</f>
        <v/>
      </c>
      <c r="K217" s="512">
        <f>(1-L218)^(1/3)</f>
        <v>0.84343266530174932</v>
      </c>
      <c r="L217" s="794">
        <f t="shared" si="12"/>
        <v>0.84343266530174932</v>
      </c>
      <c r="M217" s="796" t="s">
        <v>291</v>
      </c>
      <c r="N217" s="797"/>
      <c r="O217" s="799"/>
      <c r="P217" s="797" t="s">
        <v>1452</v>
      </c>
    </row>
    <row r="218" spans="1:16" ht="12.75" customHeight="1" x14ac:dyDescent="0.3">
      <c r="A218" s="797"/>
      <c r="B218" s="797"/>
      <c r="C218" s="797"/>
      <c r="D218" s="797"/>
      <c r="E218" s="797"/>
      <c r="F218" s="797" t="s">
        <v>1501</v>
      </c>
      <c r="G218" s="797" t="s">
        <v>2741</v>
      </c>
      <c r="H218" s="796" t="s">
        <v>1463</v>
      </c>
      <c r="I218" s="900"/>
      <c r="J218" s="792" t="str">
        <f>IF(ISBLANK(HLOOKUP(CaseName,CaseData,MATCH($G218,cases!$G$4:$G$2494,0),FALSE)),"",HLOOKUP(CaseName,CaseData,MATCH($G218,cases!$G$4:$G$2494,0),FALSE))</f>
        <v/>
      </c>
      <c r="K218" s="798">
        <f>1-L24</f>
        <v>0.39999999999999991</v>
      </c>
      <c r="L218" s="794">
        <f t="shared" si="12"/>
        <v>0.39999999999999991</v>
      </c>
      <c r="M218" s="796" t="s">
        <v>1463</v>
      </c>
      <c r="N218" s="797"/>
      <c r="O218" s="799"/>
      <c r="P218" s="797"/>
    </row>
    <row r="219" spans="1:16" ht="12.75" customHeight="1" x14ac:dyDescent="0.3">
      <c r="A219" s="797"/>
      <c r="B219" s="797"/>
      <c r="C219" s="797" t="s">
        <v>1465</v>
      </c>
      <c r="D219" s="797"/>
      <c r="E219" s="797"/>
      <c r="F219" s="797"/>
      <c r="G219" s="796" t="s">
        <v>2742</v>
      </c>
      <c r="H219" s="796" t="s">
        <v>291</v>
      </c>
      <c r="I219" s="900"/>
      <c r="J219" s="792" t="str">
        <f>IF(ISBLANK(HLOOKUP(CaseName,CaseData,MATCH($G219,cases!$G$4:$G$2494,0),FALSE)),"",HLOOKUP(CaseName,CaseData,MATCH($G219,cases!$G$4:$G$2494,0),FALSE))</f>
        <v/>
      </c>
      <c r="K219" s="798">
        <f>0.55*L221^1.55*L222^-0.125*L223^0.125</f>
        <v>1.4099767714425791E-7</v>
      </c>
      <c r="L219" s="794">
        <f t="shared" si="12"/>
        <v>1.4099767714425791E-7</v>
      </c>
      <c r="M219" s="796" t="s">
        <v>291</v>
      </c>
      <c r="N219" s="797"/>
      <c r="O219" s="799"/>
      <c r="P219" s="797" t="s">
        <v>1452</v>
      </c>
    </row>
    <row r="220" spans="1:16" ht="12.75" customHeight="1" x14ac:dyDescent="0.3">
      <c r="A220" s="797"/>
      <c r="B220" s="797"/>
      <c r="C220" s="797" t="s">
        <v>1467</v>
      </c>
      <c r="D220" s="797"/>
      <c r="E220" s="797"/>
      <c r="F220" s="797"/>
      <c r="G220" s="796" t="s">
        <v>2743</v>
      </c>
      <c r="H220" s="796" t="s">
        <v>291</v>
      </c>
      <c r="I220" s="900"/>
      <c r="J220" s="792" t="str">
        <f>IF(ISBLANK(HLOOKUP(CaseName,CaseData,MATCH($G220,cases!$G$4:$G$2494,0),FALSE)),"",HLOOKUP(CaseName,CaseData,MATCH($G220,cases!$G$4:$G$2494,0),FALSE))</f>
        <v/>
      </c>
      <c r="K220" s="798">
        <f>0.22*L221^-0.24*L224^1.11*L223^0.053</f>
        <v>6.0549204186767489E-5</v>
      </c>
      <c r="L220" s="794">
        <f t="shared" si="12"/>
        <v>6.0549204186767489E-5</v>
      </c>
      <c r="M220" s="796" t="s">
        <v>291</v>
      </c>
      <c r="N220" s="797"/>
      <c r="O220" s="799"/>
      <c r="P220" s="797" t="s">
        <v>1452</v>
      </c>
    </row>
    <row r="221" spans="1:16" ht="12.75" customHeight="1" x14ac:dyDescent="0.3">
      <c r="A221" s="797"/>
      <c r="B221" s="797"/>
      <c r="C221" s="797"/>
      <c r="D221" s="797" t="s">
        <v>1471</v>
      </c>
      <c r="E221" s="797"/>
      <c r="F221" s="797"/>
      <c r="G221" s="797" t="s">
        <v>2744</v>
      </c>
      <c r="H221" s="796" t="s">
        <v>1473</v>
      </c>
      <c r="I221" s="900"/>
      <c r="J221" s="792" t="str">
        <f>IF(ISBLANK(HLOOKUP(CaseName,CaseData,MATCH($G221,cases!$G$4:$G$2494,0),FALSE)),"",HLOOKUP(CaseName,CaseData,MATCH($G221,cases!$G$4:$G$2494,0),FALSE))</f>
        <v/>
      </c>
      <c r="K221" s="512">
        <f>RadS/RadFP.s</f>
        <v>7.8125000000000002E-5</v>
      </c>
      <c r="L221" s="794">
        <f t="shared" si="12"/>
        <v>7.8125000000000002E-5</v>
      </c>
      <c r="M221" s="796" t="s">
        <v>1473</v>
      </c>
      <c r="N221" s="797"/>
      <c r="O221" s="799"/>
      <c r="P221" s="797" t="s">
        <v>1452</v>
      </c>
    </row>
    <row r="222" spans="1:16" ht="12.75" customHeight="1" x14ac:dyDescent="0.3">
      <c r="A222" s="797"/>
      <c r="B222" s="797"/>
      <c r="C222" s="797"/>
      <c r="D222" s="797" t="s">
        <v>1474</v>
      </c>
      <c r="E222" s="797"/>
      <c r="F222" s="797"/>
      <c r="G222" s="797" t="s">
        <v>2745</v>
      </c>
      <c r="H222" s="796" t="s">
        <v>291</v>
      </c>
      <c r="I222" s="900"/>
      <c r="J222" s="792" t="str">
        <f>IF(ISBLANK(HLOOKUP(CaseName,CaseData,MATCH($G222,cases!$G$4:$G$2494,0),FALSE)),"",HLOOKUP(CaseName,CaseData,MATCH($G222,cases!$G$4:$G$2494,0),FALSE))</f>
        <v/>
      </c>
      <c r="K222" s="512">
        <f>(L213*2*RadFP.s)/(DiffS.wC)</f>
        <v>110.59187966851262</v>
      </c>
      <c r="L222" s="794">
        <f t="shared" si="12"/>
        <v>110.59187966851262</v>
      </c>
      <c r="M222" s="796" t="s">
        <v>291</v>
      </c>
      <c r="N222" s="797"/>
      <c r="O222" s="799"/>
      <c r="P222" s="797" t="s">
        <v>1452</v>
      </c>
    </row>
    <row r="223" spans="1:16" ht="12.75" customHeight="1" x14ac:dyDescent="0.3">
      <c r="A223" s="797"/>
      <c r="B223" s="797"/>
      <c r="C223" s="797"/>
      <c r="D223" s="797" t="s">
        <v>1469</v>
      </c>
      <c r="E223" s="797"/>
      <c r="F223" s="797"/>
      <c r="G223" s="797" t="s">
        <v>2746</v>
      </c>
      <c r="H223" s="796" t="s">
        <v>291</v>
      </c>
      <c r="I223" s="900"/>
      <c r="J223" s="792" t="str">
        <f>IF(ISBLANK(HLOOKUP(CaseName,CaseData,MATCH($G223,cases!$G$4:$G$2494,0),FALSE)),"",HLOOKUP(CaseName,CaseData,MATCH($G223,cases!$G$4:$G$2494,0),FALSE))</f>
        <v/>
      </c>
      <c r="K223" s="512">
        <f>AHamakerSP.w/(kboltz*L52)</f>
        <v>1.7535615368506079</v>
      </c>
      <c r="L223" s="794">
        <f t="shared" si="12"/>
        <v>1.7535615368506079</v>
      </c>
      <c r="M223" s="796" t="s">
        <v>291</v>
      </c>
      <c r="N223" s="797"/>
      <c r="O223" s="799"/>
      <c r="P223" s="797" t="s">
        <v>1452</v>
      </c>
    </row>
    <row r="224" spans="1:16" ht="12.75" customHeight="1" x14ac:dyDescent="0.3">
      <c r="A224" s="797"/>
      <c r="B224" s="797"/>
      <c r="C224" s="797"/>
      <c r="D224" s="797" t="s">
        <v>1476</v>
      </c>
      <c r="E224" s="797"/>
      <c r="F224" s="797"/>
      <c r="G224" s="796" t="s">
        <v>2747</v>
      </c>
      <c r="H224" s="796" t="s">
        <v>291</v>
      </c>
      <c r="I224" s="900"/>
      <c r="J224" s="792" t="str">
        <f>IF(ISBLANK(HLOOKUP(CaseName,CaseData,MATCH($G224,cases!$G$4:$G$2494,0),FALSE)),"",HLOOKUP(CaseName,CaseData,MATCH($G224,cases!$G$4:$G$2494,0),FALSE))</f>
        <v/>
      </c>
      <c r="K224" s="513">
        <f>(2*RadS^2*(ABS(RhoS-Rho.w))*9.81)/(9*DYNVISC.w*L213)</f>
        <v>7.8129962297626983E-5</v>
      </c>
      <c r="L224" s="794">
        <f t="shared" si="12"/>
        <v>7.8129962297626983E-5</v>
      </c>
      <c r="M224" s="796" t="s">
        <v>291</v>
      </c>
      <c r="N224" s="797"/>
      <c r="O224" s="799"/>
      <c r="P224" s="797" t="s">
        <v>1452</v>
      </c>
    </row>
    <row r="225" spans="1:16" ht="12.75" customHeight="1" x14ac:dyDescent="0.3">
      <c r="G225" s="779"/>
      <c r="I225" s="778"/>
      <c r="J225" s="230"/>
      <c r="K225" s="780"/>
      <c r="O225" s="782"/>
    </row>
    <row r="226" spans="1:16" s="837" customFormat="1" ht="12.75" customHeight="1" x14ac:dyDescent="0.3">
      <c r="A226" s="836" t="s">
        <v>1541</v>
      </c>
      <c r="G226" s="836" t="s">
        <v>258</v>
      </c>
      <c r="H226" s="836" t="s">
        <v>274</v>
      </c>
      <c r="I226" s="837" t="s">
        <v>259</v>
      </c>
      <c r="J226" s="898" t="s">
        <v>275</v>
      </c>
      <c r="K226" s="838" t="s">
        <v>260</v>
      </c>
      <c r="L226" s="839" t="s">
        <v>261</v>
      </c>
      <c r="N226" s="836" t="s">
        <v>262</v>
      </c>
      <c r="O226" s="840" t="s">
        <v>1326</v>
      </c>
      <c r="P226" s="837" t="s">
        <v>1327</v>
      </c>
    </row>
    <row r="227" spans="1:16" ht="12.75" customHeight="1" x14ac:dyDescent="0.3">
      <c r="A227" s="778" t="s">
        <v>2748</v>
      </c>
      <c r="G227" s="779"/>
      <c r="I227" s="778"/>
      <c r="J227" s="230"/>
      <c r="K227" s="780"/>
      <c r="O227" s="782"/>
    </row>
    <row r="228" spans="1:16" ht="12.75" customHeight="1" x14ac:dyDescent="0.3">
      <c r="A228" s="797"/>
      <c r="B228" s="797" t="s">
        <v>1543</v>
      </c>
      <c r="C228" s="797"/>
      <c r="D228" s="797"/>
      <c r="E228" s="797"/>
      <c r="F228" s="797"/>
      <c r="G228" s="796" t="s">
        <v>2749</v>
      </c>
      <c r="H228" s="796" t="s">
        <v>813</v>
      </c>
      <c r="I228" s="900"/>
      <c r="J228" s="792" t="str">
        <f>IF(ISBLANK(HLOOKUP(CaseName,CaseData,MATCH($G228,cases!$G$4:$G$2494,0),FALSE)),"",HLOOKUP(CaseName,CaseData,MATCH($G228,cases!$G$4:$G$2494,0),FALSE))</f>
        <v/>
      </c>
      <c r="K228" s="918">
        <f>((7*10^-4)*(60*6*10^4*L230)^0.25)/2</f>
        <v>3.7599209583432351E-4</v>
      </c>
      <c r="L228" s="794">
        <f t="shared" ref="L228:L234" si="13">IF(ISBLANK(I228),IF(ISNUMBER(J228)=FALSE,K228,J228),I228)</f>
        <v>3.7599209583432351E-4</v>
      </c>
      <c r="M228" s="796" t="s">
        <v>813</v>
      </c>
      <c r="N228" s="797"/>
      <c r="O228" s="799"/>
      <c r="P228" s="797" t="s">
        <v>1545</v>
      </c>
    </row>
    <row r="229" spans="1:16" ht="12.75" customHeight="1" x14ac:dyDescent="0.3">
      <c r="A229" s="797"/>
      <c r="B229" s="797" t="s">
        <v>1546</v>
      </c>
      <c r="C229" s="797"/>
      <c r="D229" s="797"/>
      <c r="E229" s="797"/>
      <c r="F229" s="797"/>
      <c r="G229" s="796" t="s">
        <v>2750</v>
      </c>
      <c r="H229" s="796" t="s">
        <v>291</v>
      </c>
      <c r="I229" s="900"/>
      <c r="J229" s="792" t="str">
        <f>IF(ISBLANK(HLOOKUP(CaseName,CaseData,MATCH($G229,cases!$G$4:$G$2494,0),FALSE)),"",HLOOKUP(CaseName,CaseData,MATCH($G229,cases!$G$4:$G$2494,0),FALSE))</f>
        <v/>
      </c>
      <c r="K229" s="798">
        <f>L87/(L87+L86)</f>
        <v>0.06</v>
      </c>
      <c r="L229" s="794">
        <f t="shared" si="13"/>
        <v>0.06</v>
      </c>
      <c r="M229" s="796" t="s">
        <v>291</v>
      </c>
      <c r="N229" s="797"/>
      <c r="O229" s="799"/>
      <c r="P229" s="797"/>
    </row>
    <row r="230" spans="1:16" ht="12.75" customHeight="1" x14ac:dyDescent="0.3">
      <c r="A230" s="797"/>
      <c r="B230" s="797" t="s">
        <v>1549</v>
      </c>
      <c r="C230" s="797"/>
      <c r="D230" s="797"/>
      <c r="E230" s="797"/>
      <c r="F230" s="797"/>
      <c r="G230" s="796" t="s">
        <v>2751</v>
      </c>
      <c r="H230" s="796" t="s">
        <v>866</v>
      </c>
      <c r="I230" s="900"/>
      <c r="J230" s="792" t="str">
        <f>IF(ISBLANK(HLOOKUP(CaseName,CaseData,MATCH($G230,cases!$G$4:$G$2494,0),FALSE)),"",HLOOKUP(CaseName,CaseData,MATCH($G230,cases!$G$4:$G$2494,0),FALSE))</f>
        <v/>
      </c>
      <c r="K230" s="798">
        <f>L92/L229</f>
        <v>3.699475731439202E-7</v>
      </c>
      <c r="L230" s="794">
        <f t="shared" si="13"/>
        <v>3.699475731439202E-7</v>
      </c>
      <c r="M230" s="796" t="s">
        <v>866</v>
      </c>
      <c r="N230" s="797"/>
      <c r="O230" s="799"/>
      <c r="P230" s="797"/>
    </row>
    <row r="231" spans="1:16" ht="12.75" customHeight="1" x14ac:dyDescent="0.3">
      <c r="A231" s="797"/>
      <c r="B231" s="797" t="s">
        <v>1553</v>
      </c>
      <c r="C231" s="797"/>
      <c r="D231" s="797"/>
      <c r="E231" s="797"/>
      <c r="F231" s="797"/>
      <c r="G231" s="796" t="s">
        <v>2752</v>
      </c>
      <c r="H231" s="796" t="s">
        <v>866</v>
      </c>
      <c r="I231" s="900"/>
      <c r="J231" s="792" t="str">
        <f>IF(ISBLANK(HLOOKUP(CaseName,CaseData,MATCH($G231,cases!$G$4:$G$2494,0),FALSE)),"",HLOOKUP(CaseName,CaseData,MATCH($G231,cases!$G$4:$G$2494,0),FALSE))</f>
        <v/>
      </c>
      <c r="K231" s="798">
        <f>((2*L228)^2*(Rho.w-Rho.a)*g*L232)/(18*DYNVISC.a)</f>
        <v>16.971979015664793</v>
      </c>
      <c r="L231" s="794">
        <f t="shared" si="13"/>
        <v>16.971979015664793</v>
      </c>
      <c r="M231" s="796" t="s">
        <v>866</v>
      </c>
      <c r="N231" s="797"/>
      <c r="O231" s="799"/>
      <c r="P231" s="797"/>
    </row>
    <row r="232" spans="1:16" ht="12.75" customHeight="1" x14ac:dyDescent="0.3">
      <c r="A232" s="797"/>
      <c r="B232" s="797" t="s">
        <v>1555</v>
      </c>
      <c r="C232" s="797"/>
      <c r="D232" s="797"/>
      <c r="E232" s="797"/>
      <c r="F232" s="797"/>
      <c r="G232" s="796" t="s">
        <v>2753</v>
      </c>
      <c r="H232" s="796" t="s">
        <v>291</v>
      </c>
      <c r="I232" s="900"/>
      <c r="J232" s="792" t="str">
        <f>IF(ISBLANK(HLOOKUP(CaseName,CaseData,MATCH($G232,cases!$G$4:$G$2494,0),FALSE)),"",HLOOKUP(CaseName,CaseData,MATCH($G232,cases!$G$4:$G$2494,0),FALSE))</f>
        <v/>
      </c>
      <c r="K232" s="798">
        <v>1</v>
      </c>
      <c r="L232" s="794">
        <f t="shared" si="13"/>
        <v>1</v>
      </c>
      <c r="M232" s="796" t="s">
        <v>291</v>
      </c>
      <c r="N232" s="797"/>
      <c r="O232" s="799"/>
      <c r="P232" s="797"/>
    </row>
    <row r="233" spans="1:16" ht="12.75" customHeight="1" x14ac:dyDescent="0.3">
      <c r="A233" s="797"/>
      <c r="B233" s="797" t="s">
        <v>1557</v>
      </c>
      <c r="C233" s="797"/>
      <c r="D233" s="797"/>
      <c r="E233" s="797"/>
      <c r="F233" s="797"/>
      <c r="G233" s="796" t="s">
        <v>2754</v>
      </c>
      <c r="H233" s="796" t="s">
        <v>291</v>
      </c>
      <c r="I233" s="900"/>
      <c r="J233" s="792" t="str">
        <f>IF(ISBLANK(HLOOKUP(CaseName,CaseData,MATCH($G233,cases!$G$4:$G$2494,0),FALSE)),"",HLOOKUP(CaseName,CaseData,MATCH($G233,cases!$G$4:$G$2494,0),FALSE))</f>
        <v/>
      </c>
      <c r="K233" s="798">
        <f>((1.2+(1/12)*LN(1+L234))/(1+LN(L234)))</f>
        <v>0.24134606684422638</v>
      </c>
      <c r="L233" s="794">
        <f t="shared" si="13"/>
        <v>0.24134606684422638</v>
      </c>
      <c r="M233" s="796" t="s">
        <v>291</v>
      </c>
      <c r="N233" s="797"/>
      <c r="O233" s="799"/>
      <c r="P233" s="797"/>
    </row>
    <row r="234" spans="1:16" ht="12.75" customHeight="1" x14ac:dyDescent="0.3">
      <c r="A234" s="797"/>
      <c r="B234" s="797" t="s">
        <v>1559</v>
      </c>
      <c r="C234" s="797"/>
      <c r="D234" s="797"/>
      <c r="E234" s="797"/>
      <c r="F234" s="797"/>
      <c r="G234" s="796" t="s">
        <v>2755</v>
      </c>
      <c r="H234" s="796" t="s">
        <v>291</v>
      </c>
      <c r="I234" s="900"/>
      <c r="J234" s="792" t="str">
        <f>IF(ISBLANK(HLOOKUP(CaseName,CaseData,MATCH($G234,cases!$G$4:$G$2494,0),FALSE)),"",HLOOKUP(CaseName,CaseData,MATCH($G234,cases!$G$4:$G$2494,0),FALSE))</f>
        <v/>
      </c>
      <c r="K234" s="902">
        <f>((2*L228)*L231*Rho.a)/(2*DYNVISC.a)</f>
        <v>431.88559125309695</v>
      </c>
      <c r="L234" s="794">
        <f t="shared" si="13"/>
        <v>431.88559125309695</v>
      </c>
      <c r="M234" s="796" t="s">
        <v>2273</v>
      </c>
      <c r="N234" s="797"/>
      <c r="O234" s="799"/>
      <c r="P234" s="797"/>
    </row>
    <row r="235" spans="1:16" ht="12.75" customHeight="1" x14ac:dyDescent="0.3">
      <c r="A235" s="778" t="s">
        <v>2756</v>
      </c>
      <c r="H235" s="778"/>
      <c r="I235" s="778"/>
      <c r="J235" s="792" t="str">
        <f>IF(ISBLANK(HLOOKUP(CaseName,CaseData,MATCH($G235,cases!$G$4:$G$2494,0),FALSE)),"",HLOOKUP(CaseName,CaseData,MATCH($G235,cases!$G$4:$G$2494,0),FALSE))</f>
        <v/>
      </c>
      <c r="K235" s="780"/>
      <c r="O235" s="782"/>
    </row>
    <row r="236" spans="1:16" ht="12.75" customHeight="1" x14ac:dyDescent="0.3">
      <c r="A236" s="797"/>
      <c r="B236" s="797" t="s">
        <v>1562</v>
      </c>
      <c r="C236" s="797"/>
      <c r="D236" s="797"/>
      <c r="E236" s="797"/>
      <c r="F236" s="797"/>
      <c r="G236" s="797" t="s">
        <v>2757</v>
      </c>
      <c r="H236" s="797" t="s">
        <v>813</v>
      </c>
      <c r="I236" s="900"/>
      <c r="J236" s="792" t="str">
        <f>IF(ISBLANK(HLOOKUP(CaseName,CaseData,MATCH($G236,cases!$G$4:$G$2494,0),FALSE)),"",HLOOKUP(CaseName,CaseData,MATCH($G236,cases!$G$4:$G$2494,0),FALSE))</f>
        <v/>
      </c>
      <c r="K236" s="918">
        <f>(L238/((4/3)*PI()))^(1/3)</f>
        <v>4.5513903748867723E-8</v>
      </c>
      <c r="L236" s="794">
        <f>IF(ISBLANK(I236),IF(ISNUMBER(J236)=FALSE,K236,J236),I236)</f>
        <v>4.5513903748867723E-8</v>
      </c>
      <c r="M236" s="797" t="s">
        <v>813</v>
      </c>
      <c r="N236" s="797"/>
      <c r="O236" s="799"/>
      <c r="P236" s="797"/>
    </row>
    <row r="237" spans="1:16" ht="12.75" customHeight="1" x14ac:dyDescent="0.3">
      <c r="A237" s="797"/>
      <c r="B237" s="797" t="s">
        <v>1564</v>
      </c>
      <c r="C237" s="797"/>
      <c r="D237" s="797"/>
      <c r="E237" s="797"/>
      <c r="F237" s="797"/>
      <c r="G237" s="797" t="s">
        <v>2758</v>
      </c>
      <c r="H237" s="797" t="s">
        <v>282</v>
      </c>
      <c r="I237" s="900"/>
      <c r="J237" s="792" t="str">
        <f>IF(ISBLANK(HLOOKUP(CaseName,CaseData,MATCH($G237,cases!$G$4:$G$2494,0),FALSE)),"",HLOOKUP(CaseName,CaseData,MATCH($G237,cases!$G$4:$G$2494,0),FALSE))</f>
        <v/>
      </c>
      <c r="K237" s="798">
        <f>(L239)/L238</f>
        <v>2019.7574509045692</v>
      </c>
      <c r="L237" s="794">
        <f>IF(ISBLANK(I237),IF(ISNUMBER(J237)=FALSE,K237,J237),I237)</f>
        <v>2019.7574509045692</v>
      </c>
      <c r="M237" s="797" t="s">
        <v>282</v>
      </c>
      <c r="N237" s="797"/>
      <c r="O237" s="799"/>
      <c r="P237" s="797"/>
    </row>
    <row r="238" spans="1:16" ht="12.75" customHeight="1" x14ac:dyDescent="0.3">
      <c r="A238" s="797"/>
      <c r="B238" s="797"/>
      <c r="C238" s="797" t="s">
        <v>1566</v>
      </c>
      <c r="D238" s="797"/>
      <c r="E238" s="797"/>
      <c r="F238" s="797"/>
      <c r="G238" s="797" t="s">
        <v>2759</v>
      </c>
      <c r="H238" s="797" t="s">
        <v>857</v>
      </c>
      <c r="I238" s="900"/>
      <c r="J238" s="792" t="str">
        <f>IF(ISBLANK(HLOOKUP(CaseName,CaseData,MATCH($G238,cases!$G$4:$G$2494,0),FALSE)),"",HLOOKUP(CaseName,CaseData,MATCH($G238,cases!$G$4:$G$2494,0),FALSE))</f>
        <v/>
      </c>
      <c r="K238" s="798">
        <f>((L149*(SingleVolS+(((4/3)*PI()*(RadNuc)^3))))+(L154*(SingleVolS+(((4/3)*PI()*(RadAcc)^3)))))/(L149+L154)</f>
        <v>3.9493067684749707E-22</v>
      </c>
      <c r="L238" s="794">
        <f>IF(ISBLANK(I238),IF(ISNUMBER(J238)=FALSE,K238,J238),I238)</f>
        <v>3.9493067684749707E-22</v>
      </c>
      <c r="M238" s="797" t="s">
        <v>857</v>
      </c>
      <c r="N238" s="797"/>
      <c r="O238" s="799"/>
      <c r="P238" s="797"/>
    </row>
    <row r="239" spans="1:16" ht="12.75" customHeight="1" x14ac:dyDescent="0.3">
      <c r="A239" s="797"/>
      <c r="B239" s="797"/>
      <c r="C239" s="797" t="s">
        <v>1568</v>
      </c>
      <c r="D239" s="797"/>
      <c r="E239" s="797"/>
      <c r="F239" s="797"/>
      <c r="G239" s="797" t="s">
        <v>2760</v>
      </c>
      <c r="H239" s="797" t="s">
        <v>888</v>
      </c>
      <c r="I239" s="900"/>
      <c r="J239" s="792" t="str">
        <f>IF(ISBLANK(HLOOKUP(CaseName,CaseData,MATCH($G239,cases!$G$4:$G$2494,0),FALSE)),"",HLOOKUP(CaseName,CaseData,MATCH($G239,cases!$G$4:$G$2494,0),FALSE))</f>
        <v/>
      </c>
      <c r="K239" s="798">
        <f>((L149*(RhoNuc*(4/3*PI()*(RadNuc)^3)+RhoS*SingleVolS))+(L154*(RhoAcc*(4/3*PI()*(RadAcc)^3)+RhoS*SingleVolS)))/(L149+L154)</f>
        <v>7.976641771535168E-19</v>
      </c>
      <c r="L239" s="794">
        <f>IF(ISBLANK(I239),IF(ISNUMBER(J239)=FALSE,K239,J239),I239)</f>
        <v>7.976641771535168E-19</v>
      </c>
      <c r="M239" s="797" t="s">
        <v>888</v>
      </c>
      <c r="N239" s="797"/>
      <c r="O239" s="799"/>
      <c r="P239" s="797"/>
    </row>
    <row r="240" spans="1:16" ht="12.75" customHeight="1" x14ac:dyDescent="0.3">
      <c r="A240" s="778" t="s">
        <v>2761</v>
      </c>
      <c r="H240" s="778"/>
      <c r="I240" s="778"/>
      <c r="J240" s="792" t="str">
        <f>IF(ISBLANK(HLOOKUP(CaseName,CaseData,MATCH($G240,cases!$G$4:$G$2494,0),FALSE)),"",HLOOKUP(CaseName,CaseData,MATCH($G240,cases!$G$4:$G$2494,0),FALSE))</f>
        <v/>
      </c>
      <c r="K240" s="919"/>
      <c r="O240" s="782"/>
    </row>
    <row r="241" spans="1:16" ht="12.75" customHeight="1" x14ac:dyDescent="0.3">
      <c r="A241" s="797" t="s">
        <v>1571</v>
      </c>
      <c r="B241" s="797"/>
      <c r="C241" s="797"/>
      <c r="D241" s="797"/>
      <c r="E241" s="797"/>
      <c r="F241" s="797"/>
      <c r="G241" s="796" t="s">
        <v>2762</v>
      </c>
      <c r="H241" s="796" t="s">
        <v>335</v>
      </c>
      <c r="I241" s="900"/>
      <c r="J241" s="792" t="str">
        <f>IF(ISBLANK(HLOOKUP(CaseName,CaseData,MATCH($G241,cases!$G$4:$G$2494,0),FALSE)),"",HLOOKUP(CaseName,CaseData,MATCH($G241,cases!$G$4:$G$2494,0),FALSE))</f>
        <v/>
      </c>
      <c r="K241" s="798">
        <f>(3/2)*(L249*L230)/(2*L228)</f>
        <v>1.307983752658647E-6</v>
      </c>
      <c r="L241" s="794">
        <f t="shared" ref="L241:L272" si="14">IF(ISBLANK(I241),IF(ISNUMBER(J241)=FALSE,K241,J241),I241)</f>
        <v>1.307983752658647E-6</v>
      </c>
      <c r="M241" s="796" t="s">
        <v>335</v>
      </c>
      <c r="N241" s="797"/>
      <c r="O241" s="799" t="s">
        <v>2280</v>
      </c>
      <c r="P241" s="797" t="s">
        <v>1573</v>
      </c>
    </row>
    <row r="242" spans="1:16" ht="12.75" customHeight="1" x14ac:dyDescent="0.3">
      <c r="A242" s="797"/>
      <c r="B242" s="797" t="s">
        <v>1574</v>
      </c>
      <c r="C242" s="797"/>
      <c r="D242" s="797"/>
      <c r="E242" s="797"/>
      <c r="F242" s="797"/>
      <c r="G242" s="796" t="s">
        <v>2763</v>
      </c>
      <c r="H242" s="796" t="s">
        <v>1576</v>
      </c>
      <c r="I242" s="900"/>
      <c r="J242" s="792" t="str">
        <f>IF(ISBLANK(HLOOKUP(CaseName,CaseData,MATCH($G242,cases!$G$4:$G$2494,0),FALSE)),"",HLOOKUP(CaseName,CaseData,MATCH($G242,cases!$G$4:$G$2494,0),FALSE))</f>
        <v/>
      </c>
      <c r="K242" s="798">
        <f>((RhoS-Rho.a)*(2*RadS)^2*CunninghamS)/(18*DYNVISC.a)</f>
        <v>6.075883051773531E-8</v>
      </c>
      <c r="L242" s="794">
        <f t="shared" si="14"/>
        <v>6.075883051773531E-8</v>
      </c>
      <c r="M242" s="796" t="s">
        <v>1576</v>
      </c>
      <c r="N242" s="797"/>
      <c r="O242" s="799"/>
      <c r="P242" s="797"/>
    </row>
    <row r="243" spans="1:16" ht="12.75" customHeight="1" x14ac:dyDescent="0.3">
      <c r="A243" s="797"/>
      <c r="B243" s="797" t="s">
        <v>1577</v>
      </c>
      <c r="C243" s="797"/>
      <c r="D243" s="797"/>
      <c r="E243" s="797"/>
      <c r="F243" s="797"/>
      <c r="G243" s="796" t="s">
        <v>2764</v>
      </c>
      <c r="H243" s="796" t="s">
        <v>291</v>
      </c>
      <c r="I243" s="900"/>
      <c r="J243" s="792" t="str">
        <f>IF(ISBLANK(HLOOKUP(CaseName,CaseData,MATCH($G243,cases!$G$4:$G$2494,0),FALSE)),"",HLOOKUP(CaseName,CaseData,MATCH($G243,cases!$G$4:$G$2494,0),FALSE))</f>
        <v/>
      </c>
      <c r="K243" s="798">
        <f>(2*L242*(L231-L244))/(2*L228)</f>
        <v>2.7426043573074957E-3</v>
      </c>
      <c r="L243" s="794">
        <f t="shared" si="14"/>
        <v>2.7426043573074957E-3</v>
      </c>
      <c r="M243" s="796" t="s">
        <v>291</v>
      </c>
      <c r="N243" s="797"/>
      <c r="O243" s="799" t="s">
        <v>1579</v>
      </c>
      <c r="P243" s="797"/>
    </row>
    <row r="244" spans="1:16" ht="12.75" customHeight="1" x14ac:dyDescent="0.3">
      <c r="A244" s="797"/>
      <c r="B244" s="797" t="s">
        <v>1580</v>
      </c>
      <c r="C244" s="797"/>
      <c r="D244" s="797"/>
      <c r="E244" s="797"/>
      <c r="F244" s="797"/>
      <c r="G244" s="796" t="s">
        <v>2765</v>
      </c>
      <c r="H244" s="796" t="s">
        <v>866</v>
      </c>
      <c r="I244" s="900"/>
      <c r="J244" s="792" t="str">
        <f>IF(ISBLANK(HLOOKUP(CaseName,CaseData,MATCH($G244,cases!$G$4:$G$2494,0),FALSE)),"",HLOOKUP(CaseName,CaseData,MATCH($G244,cases!$G$4:$G$2494,0),FALSE))</f>
        <v/>
      </c>
      <c r="K244" s="798">
        <f>((2*RadS)^2*(RhoS-Rho.a)*9.81*CunninghamS)/(18*DYNVISC.a)</f>
        <v>5.9604412737898326E-7</v>
      </c>
      <c r="L244" s="794">
        <f t="shared" si="14"/>
        <v>5.9604412737898326E-7</v>
      </c>
      <c r="M244" s="796" t="s">
        <v>866</v>
      </c>
      <c r="N244" s="797"/>
      <c r="O244" s="799"/>
      <c r="P244" s="797"/>
    </row>
    <row r="245" spans="1:16" ht="12.75" customHeight="1" x14ac:dyDescent="0.3">
      <c r="A245" s="797"/>
      <c r="B245" s="797" t="s">
        <v>1582</v>
      </c>
      <c r="C245" s="797"/>
      <c r="D245" s="797"/>
      <c r="E245" s="797"/>
      <c r="F245" s="797"/>
      <c r="G245" s="796" t="s">
        <v>2766</v>
      </c>
      <c r="H245" s="796" t="s">
        <v>291</v>
      </c>
      <c r="I245" s="900"/>
      <c r="J245" s="792" t="str">
        <f>IF(ISBLANK(HLOOKUP(CaseName,CaseData,MATCH($G245,cases!$G$4:$G$2494,0),FALSE)),"",HLOOKUP(CaseName,CaseData,MATCH($G245,cases!$G$4:$G$2494,0),FALSE))</f>
        <v/>
      </c>
      <c r="K245" s="798">
        <f>DYNVISC.a/(Rho.a*DiffS.aM)</f>
        <v>1094.7329450414386</v>
      </c>
      <c r="L245" s="794">
        <f t="shared" si="14"/>
        <v>1094.7329450414386</v>
      </c>
      <c r="M245" s="796" t="s">
        <v>291</v>
      </c>
      <c r="N245" s="797"/>
      <c r="O245" s="799"/>
      <c r="P245" s="797"/>
    </row>
    <row r="246" spans="1:16" ht="12.75" customHeight="1" x14ac:dyDescent="0.3">
      <c r="A246" s="797"/>
      <c r="B246" s="797"/>
      <c r="C246" s="797" t="s">
        <v>1584</v>
      </c>
      <c r="D246" s="797"/>
      <c r="E246" s="797"/>
      <c r="F246" s="797"/>
      <c r="G246" s="796" t="s">
        <v>2767</v>
      </c>
      <c r="H246" s="796" t="s">
        <v>291</v>
      </c>
      <c r="I246" s="900"/>
      <c r="J246" s="792" t="str">
        <f>IF(ISBLANK(HLOOKUP(CaseName,CaseData,MATCH($G246,cases!$G$4:$G$2494,0),FALSE)),"",HLOOKUP(CaseName,CaseData,MATCH($G246,cases!$G$4:$G$2494,0),FALSE))</f>
        <v/>
      </c>
      <c r="K246" s="798">
        <f>(4/(L234*L245))*(1+0.4*(L234^0.5*L245^(1/3))+0.16*(L234^0.5*L245^0.5))</f>
        <v>1.6640484132278246E-3</v>
      </c>
      <c r="L246" s="794">
        <f t="shared" si="14"/>
        <v>1.6640484132278246E-3</v>
      </c>
      <c r="M246" s="796" t="s">
        <v>291</v>
      </c>
      <c r="N246" s="797"/>
      <c r="O246" s="799"/>
      <c r="P246" s="797"/>
    </row>
    <row r="247" spans="1:16" ht="12.75" customHeight="1" x14ac:dyDescent="0.3">
      <c r="A247" s="797"/>
      <c r="B247" s="797"/>
      <c r="C247" s="797" t="s">
        <v>1586</v>
      </c>
      <c r="D247" s="797"/>
      <c r="E247" s="797"/>
      <c r="F247" s="797"/>
      <c r="G247" s="796" t="s">
        <v>2768</v>
      </c>
      <c r="H247" s="796" t="s">
        <v>291</v>
      </c>
      <c r="I247" s="900"/>
      <c r="J247" s="792" t="str">
        <f>IF(ISBLANK(HLOOKUP(CaseName,CaseData,MATCH($G247,cases!$G$4:$G$2494,0),FALSE)),"",HLOOKUP(CaseName,CaseData,MATCH($G247,cases!$G$4:$G$2494,0),FALSE))</f>
        <v/>
      </c>
      <c r="K247" s="798">
        <f>4*(RadS/L228)*((DYNVISC.a/DYNVISC.w)+(1+2*L234^0.5*(RadS/L228)))</f>
        <v>1.0842454665667307E-4</v>
      </c>
      <c r="L247" s="794">
        <f t="shared" si="14"/>
        <v>1.0842454665667307E-4</v>
      </c>
      <c r="M247" s="796" t="s">
        <v>291</v>
      </c>
      <c r="N247" s="797"/>
      <c r="O247" s="799"/>
      <c r="P247" s="797"/>
    </row>
    <row r="248" spans="1:16" ht="12.75" customHeight="1" x14ac:dyDescent="0.3">
      <c r="A248" s="797"/>
      <c r="B248" s="797"/>
      <c r="C248" s="797" t="s">
        <v>1588</v>
      </c>
      <c r="D248" s="797"/>
      <c r="E248" s="797"/>
      <c r="F248" s="797"/>
      <c r="G248" s="796" t="s">
        <v>2769</v>
      </c>
      <c r="H248" s="796" t="s">
        <v>291</v>
      </c>
      <c r="I248" s="900"/>
      <c r="J248" s="792" t="str">
        <f>IF(ISBLANK(HLOOKUP(CaseName,CaseData,MATCH($G248,cases!$G$4:$G$2494,0),FALSE)),"",HLOOKUP(CaseName,CaseData,MATCH($G248,cases!$G$4:$G$2494,0),FALSE))</f>
        <v/>
      </c>
      <c r="K248" s="798">
        <f>IF(L243&gt;L233,((L243-L233)/(L243-L233+2/3))^(3/2),0)</f>
        <v>0</v>
      </c>
      <c r="L248" s="794">
        <f t="shared" si="14"/>
        <v>0</v>
      </c>
      <c r="M248" s="796" t="s">
        <v>291</v>
      </c>
      <c r="N248" s="797"/>
      <c r="O248" s="799"/>
      <c r="P248" s="797"/>
    </row>
    <row r="249" spans="1:16" ht="12.75" customHeight="1" x14ac:dyDescent="0.3">
      <c r="A249" s="797"/>
      <c r="B249" s="797"/>
      <c r="C249" s="797" t="s">
        <v>1590</v>
      </c>
      <c r="D249" s="797"/>
      <c r="E249" s="797"/>
      <c r="F249" s="797"/>
      <c r="G249" s="796" t="s">
        <v>2770</v>
      </c>
      <c r="H249" s="796" t="s">
        <v>291</v>
      </c>
      <c r="I249" s="900"/>
      <c r="J249" s="792" t="str">
        <f>IF(ISBLANK(HLOOKUP(CaseName,CaseData,MATCH($G249,cases!$G$4:$G$2494,0),FALSE)),"",HLOOKUP(CaseName,CaseData,MATCH($G249,cases!$G$4:$G$2494,0),FALSE))</f>
        <v/>
      </c>
      <c r="K249" s="798">
        <f>L246+L247+L248</f>
        <v>1.7724729598844976E-3</v>
      </c>
      <c r="L249" s="794">
        <f t="shared" si="14"/>
        <v>1.7724729598844976E-3</v>
      </c>
      <c r="M249" s="796" t="s">
        <v>291</v>
      </c>
      <c r="N249" s="797"/>
      <c r="O249" s="799"/>
      <c r="P249" s="797"/>
    </row>
    <row r="250" spans="1:16" ht="12.75" customHeight="1" x14ac:dyDescent="0.3">
      <c r="A250" s="797" t="s">
        <v>1592</v>
      </c>
      <c r="B250" s="797"/>
      <c r="C250" s="797"/>
      <c r="D250" s="797"/>
      <c r="E250" s="797"/>
      <c r="F250" s="797"/>
      <c r="G250" s="796" t="s">
        <v>2771</v>
      </c>
      <c r="H250" s="796" t="s">
        <v>335</v>
      </c>
      <c r="I250" s="900"/>
      <c r="J250" s="792" t="str">
        <f>IF(ISBLANK(HLOOKUP(CaseName,CaseData,MATCH($G250,cases!$G$4:$G$2494,0),FALSE)),"",HLOOKUP(CaseName,CaseData,MATCH($G250,cases!$G$4:$G$2494,0),FALSE))</f>
        <v/>
      </c>
      <c r="K250" s="798">
        <f>((3/2)*(L260*L230)/(2*L228))</f>
        <v>6.102932305942184E-7</v>
      </c>
      <c r="L250" s="794">
        <f t="shared" si="14"/>
        <v>6.102932305942184E-7</v>
      </c>
      <c r="M250" s="796" t="s">
        <v>335</v>
      </c>
      <c r="N250" s="797"/>
      <c r="O250" s="799"/>
      <c r="P250" s="797"/>
    </row>
    <row r="251" spans="1:16" ht="12.75" customHeight="1" x14ac:dyDescent="0.3">
      <c r="A251" s="797"/>
      <c r="B251" s="797" t="s">
        <v>1594</v>
      </c>
      <c r="C251" s="797"/>
      <c r="D251" s="797"/>
      <c r="E251" s="797"/>
      <c r="F251" s="797"/>
      <c r="G251" s="796" t="s">
        <v>2772</v>
      </c>
      <c r="H251" s="796" t="s">
        <v>291</v>
      </c>
      <c r="I251" s="900"/>
      <c r="J251" s="792" t="str">
        <f>IF(ISBLANK(HLOOKUP(CaseName,CaseData,MATCH($G251,cases!$G$4:$G$2494,0),FALSE)),"",HLOOKUP(CaseName,CaseData,MATCH($G251,cases!$G$4:$G$2494,0),FALSE))</f>
        <v/>
      </c>
      <c r="K251" s="798">
        <f>1+(66*10^-9/L236)*(1.142+0.558*EXP(-0.999/(66*10^-9/L236)))</f>
        <v>3.0623169806934145</v>
      </c>
      <c r="L251" s="794">
        <f t="shared" si="14"/>
        <v>3.0623169806934145</v>
      </c>
      <c r="M251" s="796" t="s">
        <v>291</v>
      </c>
      <c r="N251" s="797"/>
      <c r="O251" s="799"/>
      <c r="P251" s="797"/>
    </row>
    <row r="252" spans="1:16" ht="12.75" customHeight="1" x14ac:dyDescent="0.3">
      <c r="A252" s="797"/>
      <c r="B252" s="797" t="s">
        <v>1596</v>
      </c>
      <c r="C252" s="797"/>
      <c r="D252" s="797"/>
      <c r="E252" s="797"/>
      <c r="F252" s="797"/>
      <c r="G252" s="796" t="s">
        <v>2773</v>
      </c>
      <c r="H252" s="796"/>
      <c r="I252" s="900"/>
      <c r="J252" s="792" t="str">
        <f>IF(ISBLANK(HLOOKUP(CaseName,CaseData,MATCH($G252,cases!$G$4:$G$2494,0),FALSE)),"",HLOOKUP(CaseName,CaseData,MATCH($G252,cases!$G$4:$G$2494,0),FALSE))</f>
        <v/>
      </c>
      <c r="K252" s="798">
        <f>(kboltz*L52*L251)/(6*PI()*DYNVISC.a*L236)</f>
        <v>7.7598698567995119E-10</v>
      </c>
      <c r="L252" s="794">
        <f t="shared" si="14"/>
        <v>7.7598698567995119E-10</v>
      </c>
      <c r="M252" s="796"/>
      <c r="N252" s="797"/>
      <c r="O252" s="799"/>
      <c r="P252" s="797"/>
    </row>
    <row r="253" spans="1:16" ht="12.75" customHeight="1" x14ac:dyDescent="0.3">
      <c r="A253" s="797"/>
      <c r="B253" s="797" t="s">
        <v>1574</v>
      </c>
      <c r="C253" s="797"/>
      <c r="D253" s="797"/>
      <c r="E253" s="797"/>
      <c r="F253" s="797"/>
      <c r="G253" s="796" t="s">
        <v>2774</v>
      </c>
      <c r="H253" s="796" t="s">
        <v>1576</v>
      </c>
      <c r="I253" s="900"/>
      <c r="J253" s="792" t="str">
        <f>IF(ISBLANK(HLOOKUP(CaseName,CaseData,MATCH($G253,cases!$G$4:$G$2494,0),FALSE)),"",HLOOKUP(CaseName,CaseData,MATCH($G253,cases!$G$4:$G$2494,0),FALSE))</f>
        <v/>
      </c>
      <c r="K253" s="798">
        <f>((L237-Rho.a)*(2*L236)^2*L251)/(18*DYNVISC.a)</f>
        <v>1.5721101191739341E-7</v>
      </c>
      <c r="L253" s="794">
        <f t="shared" si="14"/>
        <v>1.5721101191739341E-7</v>
      </c>
      <c r="M253" s="796" t="s">
        <v>1576</v>
      </c>
      <c r="N253" s="797"/>
      <c r="O253" s="799"/>
      <c r="P253" s="797"/>
    </row>
    <row r="254" spans="1:16" ht="12.75" customHeight="1" x14ac:dyDescent="0.3">
      <c r="A254" s="797"/>
      <c r="B254" s="797" t="s">
        <v>1599</v>
      </c>
      <c r="C254" s="797"/>
      <c r="D254" s="797"/>
      <c r="E254" s="797"/>
      <c r="F254" s="797"/>
      <c r="G254" s="796" t="s">
        <v>2775</v>
      </c>
      <c r="H254" s="796" t="s">
        <v>291</v>
      </c>
      <c r="I254" s="900"/>
      <c r="J254" s="792" t="str">
        <f>IF(ISBLANK(HLOOKUP(CaseName,CaseData,MATCH($G254,cases!$G$4:$G$2494,0),FALSE)),"",HLOOKUP(CaseName,CaseData,MATCH($G254,cases!$G$4:$G$2494,0),FALSE))</f>
        <v/>
      </c>
      <c r="K254" s="798">
        <f>(2*L253*(L231-L255))/(2*L228)</f>
        <v>7.0963772440897702E-3</v>
      </c>
      <c r="L254" s="794">
        <f t="shared" si="14"/>
        <v>7.0963772440897702E-3</v>
      </c>
      <c r="M254" s="796" t="s">
        <v>291</v>
      </c>
      <c r="N254" s="797"/>
      <c r="O254" s="799"/>
      <c r="P254" s="797"/>
    </row>
    <row r="255" spans="1:16" ht="12.75" customHeight="1" x14ac:dyDescent="0.3">
      <c r="A255" s="797"/>
      <c r="B255" s="797" t="s">
        <v>1580</v>
      </c>
      <c r="C255" s="797"/>
      <c r="D255" s="797"/>
      <c r="E255" s="797"/>
      <c r="F255" s="797"/>
      <c r="G255" s="796" t="s">
        <v>2776</v>
      </c>
      <c r="H255" s="796" t="s">
        <v>866</v>
      </c>
      <c r="I255" s="900"/>
      <c r="J255" s="792" t="str">
        <f>IF(ISBLANK(HLOOKUP(CaseName,CaseData,MATCH($G255,cases!$G$4:$G$2494,0),FALSE)),"",HLOOKUP(CaseName,CaseData,MATCH($G255,cases!$G$4:$G$2494,0),FALSE))</f>
        <v/>
      </c>
      <c r="K255" s="798">
        <f>((2*L236)^2*(L237-Rho.a)*9.81*L251)/(18*DYNVISC.a)</f>
        <v>1.5422400269096293E-6</v>
      </c>
      <c r="L255" s="794">
        <f t="shared" si="14"/>
        <v>1.5422400269096293E-6</v>
      </c>
      <c r="M255" s="796" t="s">
        <v>866</v>
      </c>
      <c r="N255" s="797"/>
      <c r="O255" s="799"/>
      <c r="P255" s="797"/>
    </row>
    <row r="256" spans="1:16" ht="12.75" customHeight="1" x14ac:dyDescent="0.3">
      <c r="A256" s="797"/>
      <c r="B256" s="797" t="s">
        <v>1582</v>
      </c>
      <c r="C256" s="797"/>
      <c r="D256" s="797"/>
      <c r="E256" s="797"/>
      <c r="F256" s="797"/>
      <c r="G256" s="796" t="s">
        <v>2777</v>
      </c>
      <c r="H256" s="796" t="s">
        <v>291</v>
      </c>
      <c r="I256" s="900"/>
      <c r="J256" s="792" t="str">
        <f>IF(ISBLANK(HLOOKUP(CaseName,CaseData,MATCH($G256,cases!$G$4:$G$2494,0),FALSE)),"",HLOOKUP(CaseName,CaseData,MATCH($G256,cases!$G$4:$G$2494,0),FALSE))</f>
        <v/>
      </c>
      <c r="K256" s="798">
        <f>DYNVISC.a/(Rho.a*L252)</f>
        <v>19040.925269042669</v>
      </c>
      <c r="L256" s="794">
        <f t="shared" si="14"/>
        <v>19040.925269042669</v>
      </c>
      <c r="M256" s="796" t="s">
        <v>291</v>
      </c>
      <c r="N256" s="797"/>
      <c r="O256" s="799"/>
      <c r="P256" s="797"/>
    </row>
    <row r="257" spans="1:16" ht="12.75" customHeight="1" x14ac:dyDescent="0.3">
      <c r="A257" s="797"/>
      <c r="B257" s="797"/>
      <c r="C257" s="797" t="s">
        <v>1584</v>
      </c>
      <c r="D257" s="797"/>
      <c r="E257" s="797"/>
      <c r="F257" s="797"/>
      <c r="G257" s="796" t="s">
        <v>2778</v>
      </c>
      <c r="H257" s="796" t="s">
        <v>291</v>
      </c>
      <c r="I257" s="900"/>
      <c r="J257" s="792" t="str">
        <f>IF(ISBLANK(HLOOKUP(CaseName,CaseData,MATCH($G257,cases!$G$4:$G$2494,0),FALSE)),"",HLOOKUP(CaseName,CaseData,MATCH($G257,cases!$G$4:$G$2494,0),FALSE))</f>
        <v/>
      </c>
      <c r="K257" s="798">
        <f>(4/(L234*L256))*(1+0.4*(L234^0.5*L256^(1/3))+0.16*(L234^0.5*L256^0.5))</f>
        <v>3.3163629870182961E-4</v>
      </c>
      <c r="L257" s="794">
        <f t="shared" si="14"/>
        <v>3.3163629870182961E-4</v>
      </c>
      <c r="M257" s="796" t="s">
        <v>291</v>
      </c>
      <c r="N257" s="797"/>
      <c r="O257" s="799"/>
      <c r="P257" s="797"/>
    </row>
    <row r="258" spans="1:16" ht="12.75" customHeight="1" x14ac:dyDescent="0.3">
      <c r="A258" s="797"/>
      <c r="B258" s="797"/>
      <c r="C258" s="797" t="s">
        <v>1586</v>
      </c>
      <c r="D258" s="797"/>
      <c r="E258" s="797"/>
      <c r="F258" s="797"/>
      <c r="G258" s="796" t="s">
        <v>2779</v>
      </c>
      <c r="H258" s="796" t="s">
        <v>291</v>
      </c>
      <c r="I258" s="900"/>
      <c r="J258" s="792" t="str">
        <f>IF(ISBLANK(HLOOKUP(CaseName,CaseData,MATCH($G258,cases!$G$4:$G$2494,0),FALSE)),"",HLOOKUP(CaseName,CaseData,MATCH($G258,cases!$G$4:$G$2494,0),FALSE))</f>
        <v/>
      </c>
      <c r="K258" s="798">
        <f>4*(L236/L228)*((DYNVISC.a/DYNVISC.w)+(1+2*L234^0.5*(L236/L228)))</f>
        <v>4.9538333868284963E-4</v>
      </c>
      <c r="L258" s="794">
        <f t="shared" si="14"/>
        <v>4.9538333868284963E-4</v>
      </c>
      <c r="M258" s="796" t="s">
        <v>291</v>
      </c>
      <c r="N258" s="797"/>
      <c r="O258" s="799"/>
      <c r="P258" s="797"/>
    </row>
    <row r="259" spans="1:16" ht="12.75" customHeight="1" x14ac:dyDescent="0.3">
      <c r="A259" s="797"/>
      <c r="B259" s="797"/>
      <c r="C259" s="797" t="s">
        <v>1588</v>
      </c>
      <c r="D259" s="797"/>
      <c r="E259" s="797"/>
      <c r="F259" s="797"/>
      <c r="G259" s="796" t="s">
        <v>2780</v>
      </c>
      <c r="H259" s="796" t="s">
        <v>291</v>
      </c>
      <c r="I259" s="900"/>
      <c r="J259" s="792" t="str">
        <f>IF(ISBLANK(HLOOKUP(CaseName,CaseData,MATCH($G259,cases!$G$4:$G$2494,0),FALSE)),"",HLOOKUP(CaseName,CaseData,MATCH($G259,cases!$G$4:$G$2494,0),FALSE))</f>
        <v/>
      </c>
      <c r="K259" s="798">
        <f>IF(L254&gt;L233,((L254-L233)/(L254-L233+2/3))^(3/2),0)</f>
        <v>0</v>
      </c>
      <c r="L259" s="794">
        <f t="shared" si="14"/>
        <v>0</v>
      </c>
      <c r="M259" s="796" t="s">
        <v>291</v>
      </c>
      <c r="N259" s="797"/>
      <c r="O259" s="799"/>
      <c r="P259" s="797"/>
    </row>
    <row r="260" spans="1:16" ht="12.75" customHeight="1" x14ac:dyDescent="0.3">
      <c r="A260" s="797"/>
      <c r="B260" s="797"/>
      <c r="C260" s="797" t="s">
        <v>1590</v>
      </c>
      <c r="D260" s="797"/>
      <c r="E260" s="797"/>
      <c r="F260" s="797"/>
      <c r="G260" s="796" t="s">
        <v>2781</v>
      </c>
      <c r="H260" s="796" t="s">
        <v>291</v>
      </c>
      <c r="I260" s="900"/>
      <c r="J260" s="792" t="str">
        <f>IF(ISBLANK(HLOOKUP(CaseName,CaseData,MATCH($G260,cases!$G$4:$G$2494,0),FALSE)),"",HLOOKUP(CaseName,CaseData,MATCH($G260,cases!$G$4:$G$2494,0),FALSE))</f>
        <v/>
      </c>
      <c r="K260" s="798">
        <f>L257+L258+L259</f>
        <v>8.2701963738467923E-4</v>
      </c>
      <c r="L260" s="794">
        <f t="shared" si="14"/>
        <v>8.2701963738467923E-4</v>
      </c>
      <c r="M260" s="796" t="s">
        <v>291</v>
      </c>
      <c r="N260" s="797"/>
      <c r="O260" s="799"/>
      <c r="P260" s="797"/>
    </row>
    <row r="261" spans="1:16" ht="12.75" customHeight="1" x14ac:dyDescent="0.3">
      <c r="A261" s="797" t="s">
        <v>1607</v>
      </c>
      <c r="B261" s="797"/>
      <c r="C261" s="797"/>
      <c r="D261" s="797"/>
      <c r="E261" s="797"/>
      <c r="F261" s="797"/>
      <c r="G261" s="796" t="s">
        <v>2782</v>
      </c>
      <c r="H261" s="796" t="s">
        <v>335</v>
      </c>
      <c r="I261" s="900"/>
      <c r="J261" s="792" t="str">
        <f>IF(ISBLANK(HLOOKUP(CaseName,CaseData,MATCH($G261,cases!$G$4:$G$2494,0),FALSE)),"",HLOOKUP(CaseName,CaseData,MATCH($G261,cases!$G$4:$G$2494,0),FALSE))</f>
        <v/>
      </c>
      <c r="K261" s="798">
        <f>((L86+L87)/L87*L92*L93)/L14</f>
        <v>7.3989514628784045E-5</v>
      </c>
      <c r="L261" s="794">
        <f t="shared" si="14"/>
        <v>7.3989514628784045E-5</v>
      </c>
      <c r="M261" s="797" t="s">
        <v>335</v>
      </c>
      <c r="N261" s="797" t="s">
        <v>2783</v>
      </c>
      <c r="O261" s="799"/>
      <c r="P261" s="797"/>
    </row>
    <row r="262" spans="1:16" ht="12.75" customHeight="1" x14ac:dyDescent="0.3">
      <c r="A262" s="797" t="s">
        <v>2784</v>
      </c>
      <c r="B262" s="797"/>
      <c r="C262" s="797"/>
      <c r="D262" s="797"/>
      <c r="E262" s="797"/>
      <c r="F262" s="797"/>
      <c r="G262" s="796" t="s">
        <v>2785</v>
      </c>
      <c r="H262" s="796" t="s">
        <v>335</v>
      </c>
      <c r="I262" s="900"/>
      <c r="J262" s="792" t="str">
        <f>IF(ISBLANK(HLOOKUP(CaseName,CaseData,MATCH($G262,cases!$G$4:$G$2494,0),FALSE)),"",HLOOKUP(CaseName,CaseData,MATCH($G262,cases!$G$4:$G$2494,0),FALSE))</f>
        <v/>
      </c>
      <c r="K262" s="798">
        <f>(L263*L13*L11)/(L5)</f>
        <v>7.9164989220246872E-7</v>
      </c>
      <c r="L262" s="794">
        <f t="shared" si="14"/>
        <v>7.9164989220246872E-7</v>
      </c>
      <c r="M262" s="796" t="s">
        <v>335</v>
      </c>
      <c r="N262" s="797"/>
      <c r="O262" s="799"/>
      <c r="P262" s="797"/>
    </row>
    <row r="263" spans="1:16" ht="12.75" customHeight="1" x14ac:dyDescent="0.3">
      <c r="A263" s="797"/>
      <c r="B263" s="797" t="s">
        <v>1612</v>
      </c>
      <c r="C263" s="797"/>
      <c r="D263" s="797"/>
      <c r="E263" s="797"/>
      <c r="F263" s="797"/>
      <c r="G263" s="796" t="s">
        <v>2786</v>
      </c>
      <c r="H263" s="796" t="s">
        <v>866</v>
      </c>
      <c r="I263" s="900"/>
      <c r="J263" s="792" t="str">
        <f>IF(ISBLANK(HLOOKUP(CaseName,CaseData,MATCH($G263,cases!$G$4:$G$2494,0),FALSE)),"",HLOOKUP(CaseName,CaseData,MATCH($G263,cases!$G$4:$G$2494,0),FALSE))</f>
        <v/>
      </c>
      <c r="K263" s="798">
        <f>1/(L264+L265)+L244</f>
        <v>1.5832993094150021E-3</v>
      </c>
      <c r="L263" s="794">
        <f t="shared" si="14"/>
        <v>1.5832993094150021E-3</v>
      </c>
      <c r="M263" s="796" t="s">
        <v>866</v>
      </c>
      <c r="N263" s="797"/>
      <c r="O263" s="799"/>
      <c r="P263" s="797"/>
    </row>
    <row r="264" spans="1:16" ht="12.75" customHeight="1" x14ac:dyDescent="0.3">
      <c r="A264" s="797"/>
      <c r="B264" s="797" t="s">
        <v>1614</v>
      </c>
      <c r="C264" s="797"/>
      <c r="D264" s="797"/>
      <c r="E264" s="797"/>
      <c r="F264" s="797"/>
      <c r="G264" s="796" t="s">
        <v>2787</v>
      </c>
      <c r="H264" s="796" t="s">
        <v>1616</v>
      </c>
      <c r="I264" s="900"/>
      <c r="J264" s="792" t="str">
        <f>IF(ISBLANK(HLOOKUP(CaseName,CaseData,MATCH($G264,cases!$G$4:$G$2494,0),FALSE)),"",HLOOKUP(CaseName,CaseData,MATCH($G264,cases!$G$4:$G$2494,0),FALSE))</f>
        <v/>
      </c>
      <c r="K264" s="798">
        <v>74</v>
      </c>
      <c r="L264" s="794">
        <f t="shared" si="14"/>
        <v>74</v>
      </c>
      <c r="M264" s="796" t="s">
        <v>1616</v>
      </c>
      <c r="N264" s="797"/>
      <c r="O264" s="799" t="s">
        <v>1617</v>
      </c>
      <c r="P264" s="797" t="s">
        <v>1618</v>
      </c>
    </row>
    <row r="265" spans="1:16" ht="12.75" customHeight="1" x14ac:dyDescent="0.3">
      <c r="A265" s="797"/>
      <c r="B265" s="797" t="s">
        <v>1619</v>
      </c>
      <c r="C265" s="797"/>
      <c r="D265" s="797"/>
      <c r="E265" s="797"/>
      <c r="F265" s="797"/>
      <c r="G265" s="796" t="s">
        <v>2788</v>
      </c>
      <c r="H265" s="796" t="s">
        <v>1616</v>
      </c>
      <c r="I265" s="900"/>
      <c r="J265" s="792" t="str">
        <f>IF(ISBLANK(HLOOKUP(CaseName,CaseData,MATCH($G265,cases!$G$4:$G$2494,0),FALSE)),"",HLOOKUP(CaseName,CaseData,MATCH($G265,cases!$G$4:$G$2494,0),FALSE))</f>
        <v/>
      </c>
      <c r="K265" s="798">
        <f>1/(L266*(L267+L268+L272))</f>
        <v>557.83037650350138</v>
      </c>
      <c r="L265" s="794">
        <f t="shared" si="14"/>
        <v>557.83037650350138</v>
      </c>
      <c r="M265" s="796" t="s">
        <v>1616</v>
      </c>
      <c r="N265" s="797"/>
      <c r="O265" s="799" t="s">
        <v>1621</v>
      </c>
      <c r="P265" s="797"/>
    </row>
    <row r="266" spans="1:16" ht="12.75" customHeight="1" x14ac:dyDescent="0.3">
      <c r="A266" s="797"/>
      <c r="B266" s="797"/>
      <c r="C266" s="797" t="s">
        <v>1622</v>
      </c>
      <c r="D266" s="797"/>
      <c r="E266" s="797"/>
      <c r="F266" s="797"/>
      <c r="G266" s="796" t="s">
        <v>2789</v>
      </c>
      <c r="H266" s="796" t="s">
        <v>866</v>
      </c>
      <c r="I266" s="900"/>
      <c r="J266" s="792" t="str">
        <f>IF(ISBLANK(HLOOKUP(CaseName,CaseData,MATCH($G266,cases!$G$4:$G$2494,0),FALSE)),"",HLOOKUP(CaseName,CaseData,MATCH($G266,cases!$G$4:$G$2494,0),FALSE))</f>
        <v/>
      </c>
      <c r="K266" s="798">
        <v>0.19</v>
      </c>
      <c r="L266" s="794">
        <f t="shared" si="14"/>
        <v>0.19</v>
      </c>
      <c r="M266" s="796" t="s">
        <v>866</v>
      </c>
      <c r="N266" s="797"/>
      <c r="O266" s="799" t="s">
        <v>1624</v>
      </c>
      <c r="P266" s="797" t="s">
        <v>1625</v>
      </c>
    </row>
    <row r="267" spans="1:16" ht="12.75" customHeight="1" x14ac:dyDescent="0.3">
      <c r="A267" s="797"/>
      <c r="B267" s="797"/>
      <c r="C267" s="797" t="s">
        <v>1584</v>
      </c>
      <c r="D267" s="797"/>
      <c r="E267" s="797"/>
      <c r="F267" s="797"/>
      <c r="G267" s="796" t="s">
        <v>2790</v>
      </c>
      <c r="H267" s="796" t="s">
        <v>291</v>
      </c>
      <c r="I267" s="900"/>
      <c r="J267" s="792" t="str">
        <f>IF(ISBLANK(HLOOKUP(CaseName,CaseData,MATCH($G267,cases!$G$4:$G$2494,0),FALSE)),"",HLOOKUP(CaseName,CaseData,MATCH($G267,cases!$G$4:$G$2494,0),FALSE))</f>
        <v/>
      </c>
      <c r="K267" s="798">
        <f>L245^(-2/3)</f>
        <v>9.4144410707051943E-3</v>
      </c>
      <c r="L267" s="794">
        <f t="shared" si="14"/>
        <v>9.4144410707051943E-3</v>
      </c>
      <c r="M267" s="796" t="s">
        <v>291</v>
      </c>
      <c r="N267" s="797"/>
      <c r="O267" s="799" t="s">
        <v>1621</v>
      </c>
      <c r="P267" s="797" t="s">
        <v>1627</v>
      </c>
    </row>
    <row r="268" spans="1:16" ht="12.75" customHeight="1" x14ac:dyDescent="0.3">
      <c r="A268" s="797"/>
      <c r="B268" s="797"/>
      <c r="C268" s="797" t="s">
        <v>1586</v>
      </c>
      <c r="D268" s="797"/>
      <c r="E268" s="797"/>
      <c r="F268" s="797"/>
      <c r="G268" s="796" t="s">
        <v>2791</v>
      </c>
      <c r="H268" s="796" t="s">
        <v>291</v>
      </c>
      <c r="I268" s="900"/>
      <c r="J268" s="792" t="str">
        <f>IF(ISBLANK(HLOOKUP(CaseName,CaseData,MATCH($G268,cases!$G$4:$G$2494,0),FALSE)),"",HLOOKUP(CaseName,CaseData,MATCH($G268,cases!$G$4:$G$2494,0),FALSE))</f>
        <v/>
      </c>
      <c r="K268" s="798">
        <f>0.3*(L271*(RadS/(RadS+L269))+(1-L271)*(RadS/(RadS+L270)))</f>
        <v>8.9368841993789489E-6</v>
      </c>
      <c r="L268" s="794">
        <f t="shared" si="14"/>
        <v>8.9368841993789489E-6</v>
      </c>
      <c r="M268" s="796" t="s">
        <v>291</v>
      </c>
      <c r="N268" s="797"/>
      <c r="O268" s="799" t="s">
        <v>1621</v>
      </c>
      <c r="P268" s="797" t="s">
        <v>1627</v>
      </c>
    </row>
    <row r="269" spans="1:16" ht="12.75" customHeight="1" x14ac:dyDescent="0.3">
      <c r="A269" s="797"/>
      <c r="B269" s="797"/>
      <c r="C269" s="797"/>
      <c r="D269" s="797" t="s">
        <v>1629</v>
      </c>
      <c r="E269" s="797"/>
      <c r="F269" s="797"/>
      <c r="G269" s="796" t="s">
        <v>2792</v>
      </c>
      <c r="H269" s="796" t="s">
        <v>813</v>
      </c>
      <c r="I269" s="900"/>
      <c r="J269" s="792" t="str">
        <f>IF(ISBLANK(HLOOKUP(CaseName,CaseData,MATCH($G269,cases!$G$4:$G$2494,0),FALSE)),"",HLOOKUP(CaseName,CaseData,MATCH($G269,cases!$G$4:$G$2494,0),FALSE))</f>
        <v/>
      </c>
      <c r="K269" s="798">
        <f>1*10^-5</f>
        <v>1.0000000000000001E-5</v>
      </c>
      <c r="L269" s="794">
        <f t="shared" si="14"/>
        <v>1.0000000000000001E-5</v>
      </c>
      <c r="M269" s="796" t="s">
        <v>813</v>
      </c>
      <c r="N269" s="797"/>
      <c r="O269" s="799" t="s">
        <v>1617</v>
      </c>
      <c r="P269" s="797" t="s">
        <v>1627</v>
      </c>
    </row>
    <row r="270" spans="1:16" ht="12.75" customHeight="1" x14ac:dyDescent="0.3">
      <c r="A270" s="797"/>
      <c r="B270" s="797"/>
      <c r="C270" s="797"/>
      <c r="D270" s="797" t="s">
        <v>1631</v>
      </c>
      <c r="E270" s="797"/>
      <c r="F270" s="797"/>
      <c r="G270" s="796" t="s">
        <v>2793</v>
      </c>
      <c r="H270" s="796" t="s">
        <v>813</v>
      </c>
      <c r="I270" s="900"/>
      <c r="J270" s="792" t="str">
        <f>IF(ISBLANK(HLOOKUP(CaseName,CaseData,MATCH($G270,cases!$G$4:$G$2494,0),FALSE)),"",HLOOKUP(CaseName,CaseData,MATCH($G270,cases!$G$4:$G$2494,0),FALSE))</f>
        <v/>
      </c>
      <c r="K270" s="798">
        <f>0.0005</f>
        <v>5.0000000000000001E-4</v>
      </c>
      <c r="L270" s="794">
        <f t="shared" si="14"/>
        <v>5.0000000000000001E-4</v>
      </c>
      <c r="M270" s="796" t="s">
        <v>813</v>
      </c>
      <c r="N270" s="797"/>
      <c r="O270" s="799" t="s">
        <v>1617</v>
      </c>
      <c r="P270" s="797" t="s">
        <v>1627</v>
      </c>
    </row>
    <row r="271" spans="1:16" ht="12.75" customHeight="1" x14ac:dyDescent="0.3">
      <c r="A271" s="797"/>
      <c r="B271" s="797"/>
      <c r="C271" s="797"/>
      <c r="D271" s="797" t="s">
        <v>1633</v>
      </c>
      <c r="E271" s="797"/>
      <c r="F271" s="797"/>
      <c r="G271" s="796" t="s">
        <v>2794</v>
      </c>
      <c r="H271" s="796" t="s">
        <v>291</v>
      </c>
      <c r="I271" s="900"/>
      <c r="J271" s="792" t="str">
        <f>IF(ISBLANK(HLOOKUP(CaseName,CaseData,MATCH($G271,cases!$G$4:$G$2494,0),FALSE)),"",HLOOKUP(CaseName,CaseData,MATCH($G271,cases!$G$4:$G$2494,0),FALSE))</f>
        <v/>
      </c>
      <c r="K271" s="798">
        <v>0.01</v>
      </c>
      <c r="L271" s="794">
        <f t="shared" si="14"/>
        <v>0.01</v>
      </c>
      <c r="M271" s="796" t="s">
        <v>291</v>
      </c>
      <c r="N271" s="797"/>
      <c r="O271" s="799" t="s">
        <v>1617</v>
      </c>
      <c r="P271" s="797" t="s">
        <v>1635</v>
      </c>
    </row>
    <row r="272" spans="1:16" ht="12.75" customHeight="1" x14ac:dyDescent="0.3">
      <c r="A272" s="797"/>
      <c r="B272" s="797"/>
      <c r="C272" s="797" t="s">
        <v>1588</v>
      </c>
      <c r="D272" s="797"/>
      <c r="E272" s="797"/>
      <c r="F272" s="797"/>
      <c r="G272" s="796" t="s">
        <v>2795</v>
      </c>
      <c r="H272" s="796" t="s">
        <v>291</v>
      </c>
      <c r="I272" s="900"/>
      <c r="J272" s="792" t="str">
        <f>IF(ISBLANK(HLOOKUP(CaseName,CaseData,MATCH($G272,cases!$G$4:$G$2494,0),FALSE)),"",HLOOKUP(CaseName,CaseData,MATCH($G272,cases!$G$4:$G$2494,0),FALSE))</f>
        <v/>
      </c>
      <c r="K272" s="798">
        <f>(L243/(L243+0.8))^2</f>
        <v>1.1672763786085569E-5</v>
      </c>
      <c r="L272" s="794">
        <f t="shared" si="14"/>
        <v>1.1672763786085569E-5</v>
      </c>
      <c r="M272" s="796" t="s">
        <v>291</v>
      </c>
      <c r="N272" s="797"/>
      <c r="O272" s="799" t="s">
        <v>1621</v>
      </c>
      <c r="P272" s="797" t="s">
        <v>1627</v>
      </c>
    </row>
    <row r="273" spans="1:16" ht="12.75" customHeight="1" x14ac:dyDescent="0.3">
      <c r="A273" s="797" t="s">
        <v>2796</v>
      </c>
      <c r="B273" s="797"/>
      <c r="C273" s="797"/>
      <c r="D273" s="797"/>
      <c r="E273" s="797"/>
      <c r="F273" s="797"/>
      <c r="G273" s="796" t="s">
        <v>2797</v>
      </c>
      <c r="H273" s="796" t="s">
        <v>335</v>
      </c>
      <c r="I273" s="900"/>
      <c r="J273" s="792" t="str">
        <f>IF(ISBLANK(HLOOKUP(CaseName,CaseData,MATCH($G273,cases!$G$4:$G$2494,0),FALSE)),"",HLOOKUP(CaseName,CaseData,MATCH($G273,cases!$G$4:$G$2494,0),FALSE))</f>
        <v/>
      </c>
      <c r="K273" s="798">
        <f>(L274*L13*L11)/(L5)</f>
        <v>1.4218084065521646E-7</v>
      </c>
      <c r="L273" s="794">
        <f t="shared" ref="L273:L304" si="15">IF(ISBLANK(I273),IF(ISNUMBER(J273)=FALSE,K273,J273),I273)</f>
        <v>1.4218084065521646E-7</v>
      </c>
      <c r="M273" s="796" t="s">
        <v>335</v>
      </c>
      <c r="N273" s="797"/>
      <c r="O273" s="799"/>
      <c r="P273" s="797"/>
    </row>
    <row r="274" spans="1:16" ht="12.75" customHeight="1" x14ac:dyDescent="0.3">
      <c r="A274" s="797"/>
      <c r="B274" s="797" t="s">
        <v>1612</v>
      </c>
      <c r="C274" s="797"/>
      <c r="D274" s="797"/>
      <c r="E274" s="797"/>
      <c r="F274" s="797"/>
      <c r="G274" s="796" t="s">
        <v>2798</v>
      </c>
      <c r="H274" s="796" t="s">
        <v>866</v>
      </c>
      <c r="I274" s="900"/>
      <c r="J274" s="792" t="str">
        <f>IF(ISBLANK(HLOOKUP(CaseName,CaseData,MATCH($G274,cases!$G$4:$G$2494,0),FALSE)),"",HLOOKUP(CaseName,CaseData,MATCH($G274,cases!$G$4:$G$2494,0),FALSE))</f>
        <v/>
      </c>
      <c r="K274" s="798">
        <f>1/(L264+L275)+L255</f>
        <v>2.8436159600192854E-4</v>
      </c>
      <c r="L274" s="794">
        <f t="shared" si="15"/>
        <v>2.8436159600192854E-4</v>
      </c>
      <c r="M274" s="796" t="s">
        <v>866</v>
      </c>
      <c r="N274" s="797"/>
      <c r="O274" s="799"/>
      <c r="P274" s="797"/>
    </row>
    <row r="275" spans="1:16" ht="12.75" customHeight="1" x14ac:dyDescent="0.3">
      <c r="A275" s="797"/>
      <c r="B275" s="797" t="s">
        <v>1619</v>
      </c>
      <c r="C275" s="797"/>
      <c r="D275" s="797"/>
      <c r="E275" s="797"/>
      <c r="F275" s="797"/>
      <c r="G275" s="796" t="s">
        <v>2799</v>
      </c>
      <c r="H275" s="796" t="s">
        <v>1616</v>
      </c>
      <c r="I275" s="900"/>
      <c r="J275" s="792" t="str">
        <f>IF(ISBLANK(HLOOKUP(CaseName,CaseData,MATCH($G275,cases!$G$4:$G$2494,0),FALSE)),"",HLOOKUP(CaseName,CaseData,MATCH($G275,cases!$G$4:$G$2494,0),FALSE))</f>
        <v/>
      </c>
      <c r="K275" s="798">
        <f>1/(L266*(L276+L277+L278))</f>
        <v>3461.8258862888042</v>
      </c>
      <c r="L275" s="794">
        <f t="shared" si="15"/>
        <v>3461.8258862888042</v>
      </c>
      <c r="M275" s="796" t="s">
        <v>1616</v>
      </c>
      <c r="N275" s="797"/>
      <c r="O275" s="799"/>
      <c r="P275" s="797"/>
    </row>
    <row r="276" spans="1:16" ht="12.75" customHeight="1" x14ac:dyDescent="0.3">
      <c r="A276" s="797"/>
      <c r="B276" s="797"/>
      <c r="C276" s="797" t="s">
        <v>1584</v>
      </c>
      <c r="D276" s="797"/>
      <c r="E276" s="797"/>
      <c r="F276" s="797"/>
      <c r="G276" s="796" t="s">
        <v>2800</v>
      </c>
      <c r="H276" s="796" t="s">
        <v>291</v>
      </c>
      <c r="I276" s="900"/>
      <c r="J276" s="792" t="str">
        <f>IF(ISBLANK(HLOOKUP(CaseName,CaseData,MATCH($G276,cases!$G$4:$G$2494,0),FALSE)),"",HLOOKUP(CaseName,CaseData,MATCH($G276,cases!$G$4:$G$2494,0),FALSE))</f>
        <v/>
      </c>
      <c r="K276" s="798">
        <f>L256^(-2/3)</f>
        <v>1.4024088195419206E-3</v>
      </c>
      <c r="L276" s="794">
        <f t="shared" si="15"/>
        <v>1.4024088195419206E-3</v>
      </c>
      <c r="M276" s="796" t="s">
        <v>291</v>
      </c>
      <c r="N276" s="797"/>
      <c r="O276" s="799"/>
      <c r="P276" s="797" t="s">
        <v>1627</v>
      </c>
    </row>
    <row r="277" spans="1:16" ht="12.75" customHeight="1" x14ac:dyDescent="0.3">
      <c r="A277" s="797"/>
      <c r="B277" s="797"/>
      <c r="C277" s="797" t="s">
        <v>1586</v>
      </c>
      <c r="D277" s="797"/>
      <c r="E277" s="797"/>
      <c r="F277" s="797"/>
      <c r="G277" s="796" t="s">
        <v>2801</v>
      </c>
      <c r="H277" s="796" t="s">
        <v>291</v>
      </c>
      <c r="I277" s="900"/>
      <c r="J277" s="792" t="str">
        <f>IF(ISBLANK(HLOOKUP(CaseName,CaseData,MATCH($G277,cases!$G$4:$G$2494,0),FALSE)),"",HLOOKUP(CaseName,CaseData,MATCH($G277,cases!$G$4:$G$2494,0),FALSE))</f>
        <v/>
      </c>
      <c r="K277" s="798">
        <f>0.3*(L271*(L236/(L236+L269))+(1-L271)*(L236/(L236+L270)))</f>
        <v>4.062510531885534E-5</v>
      </c>
      <c r="L277" s="794">
        <f t="shared" si="15"/>
        <v>4.062510531885534E-5</v>
      </c>
      <c r="M277" s="796" t="s">
        <v>291</v>
      </c>
      <c r="N277" s="797"/>
      <c r="O277" s="799"/>
      <c r="P277" s="797" t="s">
        <v>1627</v>
      </c>
    </row>
    <row r="278" spans="1:16" ht="12.75" customHeight="1" x14ac:dyDescent="0.3">
      <c r="A278" s="797"/>
      <c r="B278" s="797"/>
      <c r="C278" s="797" t="s">
        <v>1588</v>
      </c>
      <c r="D278" s="797"/>
      <c r="E278" s="797"/>
      <c r="F278" s="797"/>
      <c r="G278" s="796" t="s">
        <v>2802</v>
      </c>
      <c r="H278" s="796" t="s">
        <v>291</v>
      </c>
      <c r="I278" s="900"/>
      <c r="J278" s="792" t="str">
        <f>IF(ISBLANK(HLOOKUP(CaseName,CaseData,MATCH($G278,cases!$G$4:$G$2494,0),FALSE)),"",HLOOKUP(CaseName,CaseData,MATCH($G278,cases!$G$4:$G$2494,0),FALSE))</f>
        <v/>
      </c>
      <c r="K278" s="798">
        <f>(L254/(L254+0.8))^2</f>
        <v>7.730767163098959E-5</v>
      </c>
      <c r="L278" s="794">
        <f t="shared" si="15"/>
        <v>7.730767163098959E-5</v>
      </c>
      <c r="M278" s="796" t="s">
        <v>291</v>
      </c>
      <c r="N278" s="797"/>
      <c r="O278" s="799"/>
      <c r="P278" s="797" t="s">
        <v>1627</v>
      </c>
    </row>
    <row r="279" spans="1:16" ht="12.75" customHeight="1" x14ac:dyDescent="0.3">
      <c r="A279" s="797" t="s">
        <v>2803</v>
      </c>
      <c r="B279" s="797"/>
      <c r="C279" s="797"/>
      <c r="D279" s="797"/>
      <c r="E279" s="797"/>
      <c r="F279" s="797"/>
      <c r="G279" s="796" t="s">
        <v>2804</v>
      </c>
      <c r="H279" s="796" t="s">
        <v>335</v>
      </c>
      <c r="I279" s="900"/>
      <c r="J279" s="792" t="str">
        <f>IF(ISBLANK(HLOOKUP(CaseName,CaseData,MATCH($G279,cases!$G$4:$G$2494,0),FALSE)),"",HLOOKUP(CaseName,CaseData,MATCH($G279,cases!$G$4:$G$2494,0),FALSE))</f>
        <v/>
      </c>
      <c r="K279" s="798">
        <f>(L91*L13*L11)/(L5)</f>
        <v>5.0000015000004499E-7</v>
      </c>
      <c r="L279" s="794">
        <f t="shared" si="15"/>
        <v>5.0000015000004499E-7</v>
      </c>
      <c r="M279" s="796" t="s">
        <v>335</v>
      </c>
      <c r="N279" s="797" t="s">
        <v>2353</v>
      </c>
      <c r="O279" s="799"/>
      <c r="P279" s="797"/>
    </row>
    <row r="280" spans="1:16" ht="12.75" customHeight="1" x14ac:dyDescent="0.3">
      <c r="A280" s="797" t="s">
        <v>2805</v>
      </c>
      <c r="B280" s="797"/>
      <c r="C280" s="797"/>
      <c r="D280" s="797"/>
      <c r="E280" s="797"/>
      <c r="F280" s="797"/>
      <c r="G280" s="796" t="s">
        <v>2806</v>
      </c>
      <c r="H280" s="796" t="s">
        <v>335</v>
      </c>
      <c r="I280" s="900"/>
      <c r="J280" s="792" t="str">
        <f>IF(ISBLANK(HLOOKUP(CaseName,CaseData,MATCH($G280,cases!$G$4:$G$2494,0),FALSE)),"",HLOOKUP(CaseName,CaseData,MATCH($G280,cases!$G$4:$G$2494,0),FALSE))</f>
        <v/>
      </c>
      <c r="K280" s="798">
        <f>(L281*L12*L11)/(L5)</f>
        <v>1.6176845896440213E-6</v>
      </c>
      <c r="L280" s="794">
        <f t="shared" si="15"/>
        <v>1.6176845896440213E-6</v>
      </c>
      <c r="M280" s="796" t="s">
        <v>335</v>
      </c>
      <c r="N280" s="797"/>
      <c r="O280" s="799"/>
      <c r="P280" s="797"/>
    </row>
    <row r="281" spans="1:16" ht="12.75" customHeight="1" x14ac:dyDescent="0.3">
      <c r="A281" s="797"/>
      <c r="B281" s="797" t="s">
        <v>1612</v>
      </c>
      <c r="C281" s="797"/>
      <c r="D281" s="797"/>
      <c r="E281" s="797"/>
      <c r="F281" s="797"/>
      <c r="G281" s="796" t="s">
        <v>2807</v>
      </c>
      <c r="H281" s="796" t="s">
        <v>866</v>
      </c>
      <c r="I281" s="900"/>
      <c r="J281" s="792" t="str">
        <f>IF(ISBLANK(HLOOKUP(CaseName,CaseData,MATCH($G281,cases!$G$4:$G$2494,0),FALSE)),"",HLOOKUP(CaseName,CaseData,MATCH($G281,cases!$G$4:$G$2494,0),FALSE))</f>
        <v/>
      </c>
      <c r="K281" s="798">
        <f>1/(L282+L283)+L244</f>
        <v>3.2353682086772887E-3</v>
      </c>
      <c r="L281" s="794">
        <f t="shared" si="15"/>
        <v>3.2353682086772887E-3</v>
      </c>
      <c r="M281" s="796" t="s">
        <v>866</v>
      </c>
      <c r="N281" s="797"/>
      <c r="O281" s="799"/>
      <c r="P281" s="797"/>
    </row>
    <row r="282" spans="1:16" ht="12.75" customHeight="1" x14ac:dyDescent="0.3">
      <c r="A282" s="797"/>
      <c r="B282" s="797"/>
      <c r="C282" s="797" t="s">
        <v>1708</v>
      </c>
      <c r="D282" s="797"/>
      <c r="E282" s="797"/>
      <c r="F282" s="797"/>
      <c r="G282" s="797" t="s">
        <v>2808</v>
      </c>
      <c r="H282" s="796" t="s">
        <v>1616</v>
      </c>
      <c r="I282" s="900"/>
      <c r="J282" s="792" t="str">
        <f>IF(ISBLANK(HLOOKUP(CaseName,CaseData,MATCH($G282,cases!$G$4:$G$2494,0),FALSE)),"",HLOOKUP(CaseName,CaseData,MATCH($G282,cases!$G$4:$G$2494,0),FALSE))</f>
        <v/>
      </c>
      <c r="K282" s="798">
        <v>135</v>
      </c>
      <c r="L282" s="794">
        <f t="shared" si="15"/>
        <v>135</v>
      </c>
      <c r="M282" s="796" t="s">
        <v>1616</v>
      </c>
      <c r="N282" s="797"/>
      <c r="O282" s="799"/>
      <c r="P282" s="797" t="s">
        <v>1618</v>
      </c>
    </row>
    <row r="283" spans="1:16" ht="12.75" customHeight="1" x14ac:dyDescent="0.3">
      <c r="A283" s="797"/>
      <c r="B283" s="797"/>
      <c r="C283" s="797" t="s">
        <v>2809</v>
      </c>
      <c r="D283" s="797"/>
      <c r="E283" s="797"/>
      <c r="F283" s="797"/>
      <c r="G283" s="796" t="s">
        <v>2810</v>
      </c>
      <c r="H283" s="796" t="s">
        <v>1616</v>
      </c>
      <c r="I283" s="900"/>
      <c r="J283" s="792" t="str">
        <f>IF(ISBLANK(HLOOKUP(CaseName,CaseData,MATCH($G283,cases!$G$4:$G$2494,0),FALSE)),"",HLOOKUP(CaseName,CaseData,MATCH($G283,cases!$G$4:$G$2494,0),FALSE))</f>
        <v/>
      </c>
      <c r="K283" s="798">
        <f>1/(L284*(L285+L286))</f>
        <v>174.14078306938237</v>
      </c>
      <c r="L283" s="794">
        <f t="shared" si="15"/>
        <v>174.14078306938237</v>
      </c>
      <c r="M283" s="796" t="s">
        <v>1616</v>
      </c>
      <c r="N283" s="797"/>
      <c r="O283" s="799"/>
      <c r="P283" s="797"/>
    </row>
    <row r="284" spans="1:16" ht="12.75" customHeight="1" x14ac:dyDescent="0.3">
      <c r="A284" s="797"/>
      <c r="B284" s="797"/>
      <c r="C284" s="797" t="s">
        <v>1696</v>
      </c>
      <c r="D284" s="797"/>
      <c r="E284" s="797"/>
      <c r="F284" s="797"/>
      <c r="G284" s="796" t="s">
        <v>2811</v>
      </c>
      <c r="H284" s="796" t="s">
        <v>866</v>
      </c>
      <c r="I284" s="900"/>
      <c r="J284" s="792" t="str">
        <f>IF(ISBLANK(HLOOKUP(CaseName,CaseData,MATCH($G284,cases!$G$4:$G$2494,0),FALSE)),"",HLOOKUP(CaseName,CaseData,MATCH($G284,cases!$G$4:$G$2494,0),FALSE))</f>
        <v/>
      </c>
      <c r="K284" s="798">
        <v>0.19</v>
      </c>
      <c r="L284" s="794">
        <f t="shared" si="15"/>
        <v>0.19</v>
      </c>
      <c r="M284" s="796" t="s">
        <v>866</v>
      </c>
      <c r="N284" s="797"/>
      <c r="O284" s="799" t="s">
        <v>1624</v>
      </c>
      <c r="P284" s="797" t="s">
        <v>1625</v>
      </c>
    </row>
    <row r="285" spans="1:16" ht="12.75" customHeight="1" x14ac:dyDescent="0.3">
      <c r="A285" s="797"/>
      <c r="B285" s="797"/>
      <c r="C285" s="797"/>
      <c r="D285" s="797" t="s">
        <v>1584</v>
      </c>
      <c r="E285" s="797"/>
      <c r="F285" s="797"/>
      <c r="G285" s="796" t="s">
        <v>2812</v>
      </c>
      <c r="H285" s="796" t="s">
        <v>291</v>
      </c>
      <c r="I285" s="900"/>
      <c r="J285" s="792" t="str">
        <f>IF(ISBLANK(HLOOKUP(CaseName,CaseData,MATCH($G285,cases!$G$4:$G$2494,0),FALSE)),"",HLOOKUP(CaseName,CaseData,MATCH($G285,cases!$G$4:$G$2494,0),FALSE))</f>
        <v/>
      </c>
      <c r="K285" s="798">
        <f>L245^-(1/2)</f>
        <v>3.0223580036618181E-2</v>
      </c>
      <c r="L285" s="794">
        <f t="shared" si="15"/>
        <v>3.0223580036618181E-2</v>
      </c>
      <c r="M285" s="796" t="s">
        <v>291</v>
      </c>
      <c r="N285" s="797"/>
      <c r="O285" s="799"/>
      <c r="P285" s="797"/>
    </row>
    <row r="286" spans="1:16" ht="12.75" customHeight="1" x14ac:dyDescent="0.3">
      <c r="A286" s="797"/>
      <c r="B286" s="797"/>
      <c r="C286" s="797"/>
      <c r="D286" s="797" t="s">
        <v>1588</v>
      </c>
      <c r="E286" s="797"/>
      <c r="F286" s="797"/>
      <c r="G286" s="796" t="s">
        <v>2813</v>
      </c>
      <c r="H286" s="796" t="s">
        <v>291</v>
      </c>
      <c r="I286" s="900"/>
      <c r="J286" s="792" t="str">
        <f>IF(ISBLANK(HLOOKUP(CaseName,CaseData,MATCH($G286,cases!$G$4:$G$2494,0),FALSE)),"",HLOOKUP(CaseName,CaseData,MATCH($G286,cases!$G$4:$G$2494,0),FALSE))</f>
        <v/>
      </c>
      <c r="K286" s="798">
        <f>10^(-3/L243)</f>
        <v>0</v>
      </c>
      <c r="L286" s="794">
        <f t="shared" si="15"/>
        <v>0</v>
      </c>
      <c r="M286" s="796" t="s">
        <v>291</v>
      </c>
      <c r="N286" s="797"/>
      <c r="O286" s="799"/>
      <c r="P286" s="797"/>
    </row>
    <row r="287" spans="1:16" ht="12.75" customHeight="1" x14ac:dyDescent="0.3">
      <c r="A287" s="797" t="s">
        <v>2814</v>
      </c>
      <c r="B287" s="797"/>
      <c r="C287" s="797"/>
      <c r="D287" s="797"/>
      <c r="E287" s="797"/>
      <c r="F287" s="797"/>
      <c r="G287" s="797" t="s">
        <v>2815</v>
      </c>
      <c r="H287" s="796" t="s">
        <v>335</v>
      </c>
      <c r="I287" s="900"/>
      <c r="J287" s="792" t="str">
        <f>IF(ISBLANK(HLOOKUP(CaseName,CaseData,MATCH($G287,cases!$G$4:$G$2494,0),FALSE)),"",HLOOKUP(CaseName,CaseData,MATCH($G287,cases!$G$4:$G$2494,0),FALSE))</f>
        <v/>
      </c>
      <c r="K287" s="798">
        <f>L288*L12*L11/L5</f>
        <v>5.8131799616657634E-7</v>
      </c>
      <c r="L287" s="794">
        <f t="shared" si="15"/>
        <v>5.8131799616657634E-7</v>
      </c>
      <c r="M287" s="796" t="s">
        <v>335</v>
      </c>
      <c r="N287" s="797"/>
      <c r="O287" s="799"/>
      <c r="P287" s="797"/>
    </row>
    <row r="288" spans="1:16" ht="12.75" customHeight="1" x14ac:dyDescent="0.3">
      <c r="A288" s="797"/>
      <c r="B288" s="797" t="s">
        <v>1612</v>
      </c>
      <c r="C288" s="797"/>
      <c r="D288" s="797"/>
      <c r="E288" s="797"/>
      <c r="F288" s="797"/>
      <c r="G288" s="796" t="s">
        <v>2816</v>
      </c>
      <c r="H288" s="796" t="s">
        <v>866</v>
      </c>
      <c r="I288" s="900"/>
      <c r="J288" s="792" t="str">
        <f>IF(ISBLANK(HLOOKUP(CaseName,CaseData,MATCH($G288,cases!$G$4:$G$2494,0),FALSE)),"",HLOOKUP(CaseName,CaseData,MATCH($G288,cases!$G$4:$G$2494,0),FALSE))</f>
        <v/>
      </c>
      <c r="K288" s="798">
        <f>1/(L282+L289)+L255</f>
        <v>1.162635643542355E-3</v>
      </c>
      <c r="L288" s="794">
        <f t="shared" si="15"/>
        <v>1.162635643542355E-3</v>
      </c>
      <c r="M288" s="796" t="s">
        <v>866</v>
      </c>
      <c r="N288" s="797"/>
      <c r="O288" s="799"/>
      <c r="P288" s="797"/>
    </row>
    <row r="289" spans="1:16" ht="12.75" customHeight="1" x14ac:dyDescent="0.3">
      <c r="A289" s="797"/>
      <c r="B289" s="797"/>
      <c r="C289" s="797" t="s">
        <v>1694</v>
      </c>
      <c r="D289" s="797"/>
      <c r="E289" s="797"/>
      <c r="F289" s="797"/>
      <c r="G289" s="796" t="s">
        <v>2817</v>
      </c>
      <c r="H289" s="796" t="s">
        <v>1616</v>
      </c>
      <c r="I289" s="900"/>
      <c r="J289" s="792" t="str">
        <f>IF(ISBLANK(HLOOKUP(CaseName,CaseData,MATCH($G289,cases!$G$4:$G$2494,0),FALSE)),"",HLOOKUP(CaseName,CaseData,MATCH($G289,cases!$G$4:$G$2494,0),FALSE))</f>
        <v/>
      </c>
      <c r="K289" s="798">
        <f>1/(L284*(L290+L291))</f>
        <v>726.25715379339636</v>
      </c>
      <c r="L289" s="794">
        <f t="shared" si="15"/>
        <v>726.25715379339636</v>
      </c>
      <c r="M289" s="796" t="s">
        <v>1616</v>
      </c>
      <c r="N289" s="797"/>
      <c r="O289" s="797"/>
      <c r="P289" s="799"/>
    </row>
    <row r="290" spans="1:16" ht="12.75" customHeight="1" x14ac:dyDescent="0.3">
      <c r="A290" s="797"/>
      <c r="B290" s="797"/>
      <c r="C290" s="797"/>
      <c r="D290" s="797" t="s">
        <v>1584</v>
      </c>
      <c r="E290" s="797"/>
      <c r="F290" s="797"/>
      <c r="G290" s="796" t="s">
        <v>2818</v>
      </c>
      <c r="H290" s="796" t="s">
        <v>291</v>
      </c>
      <c r="I290" s="900"/>
      <c r="J290" s="792" t="str">
        <f>IF(ISBLANK(HLOOKUP(CaseName,CaseData,MATCH($G290,cases!$G$4:$G$2494,0),FALSE)),"",HLOOKUP(CaseName,CaseData,MATCH($G290,cases!$G$4:$G$2494,0),FALSE))</f>
        <v/>
      </c>
      <c r="K290" s="798">
        <f>L256^-(1/2)</f>
        <v>7.2469618608866611E-3</v>
      </c>
      <c r="L290" s="794">
        <f t="shared" si="15"/>
        <v>7.2469618608866611E-3</v>
      </c>
      <c r="M290" s="796" t="s">
        <v>291</v>
      </c>
      <c r="N290" s="797"/>
      <c r="O290" s="797"/>
      <c r="P290" s="799"/>
    </row>
    <row r="291" spans="1:16" ht="12.75" customHeight="1" x14ac:dyDescent="0.3">
      <c r="A291" s="797"/>
      <c r="B291" s="797"/>
      <c r="C291" s="797"/>
      <c r="D291" s="797" t="s">
        <v>1588</v>
      </c>
      <c r="E291" s="797"/>
      <c r="F291" s="797"/>
      <c r="G291" s="796" t="s">
        <v>2819</v>
      </c>
      <c r="H291" s="796" t="s">
        <v>291</v>
      </c>
      <c r="I291" s="900"/>
      <c r="J291" s="792" t="str">
        <f>IF(ISBLANK(HLOOKUP(CaseName,CaseData,MATCH($G291,cases!$G$4:$G$2494,0),FALSE)),"",HLOOKUP(CaseName,CaseData,MATCH($G291,cases!$G$4:$G$2494,0),FALSE))</f>
        <v/>
      </c>
      <c r="K291" s="798">
        <f>10^(-3/L254)</f>
        <v>0</v>
      </c>
      <c r="L291" s="794">
        <f t="shared" si="15"/>
        <v>0</v>
      </c>
      <c r="M291" s="796" t="s">
        <v>291</v>
      </c>
      <c r="N291" s="797"/>
      <c r="O291" s="797"/>
      <c r="P291" s="799"/>
    </row>
    <row r="292" spans="1:16" ht="12.75" customHeight="1" x14ac:dyDescent="0.3">
      <c r="A292" s="797" t="s">
        <v>2820</v>
      </c>
      <c r="B292" s="797"/>
      <c r="C292" s="797"/>
      <c r="D292" s="797"/>
      <c r="E292" s="797"/>
      <c r="F292" s="797"/>
      <c r="G292" s="797" t="s">
        <v>2821</v>
      </c>
      <c r="H292" s="796" t="s">
        <v>335</v>
      </c>
      <c r="I292" s="900"/>
      <c r="J292" s="792" t="str">
        <f>IF(ISBLANK(HLOOKUP(CaseName,CaseData,MATCH($G292,cases!$G$4:$G$2494,0),FALSE)),"",HLOOKUP(CaseName,CaseData,MATCH($G292,cases!$G$4:$G$2494,0),FALSE))</f>
        <v/>
      </c>
      <c r="K292" s="798">
        <f>(L91*L12*L11)/L5</f>
        <v>5.0000015000004499E-7</v>
      </c>
      <c r="L292" s="794">
        <f t="shared" si="15"/>
        <v>5.0000015000004499E-7</v>
      </c>
      <c r="M292" s="796" t="s">
        <v>335</v>
      </c>
      <c r="N292" s="797"/>
      <c r="O292" s="799"/>
      <c r="P292" s="797"/>
    </row>
    <row r="293" spans="1:16" ht="12.75" customHeight="1" x14ac:dyDescent="0.3">
      <c r="A293" s="797" t="s">
        <v>2822</v>
      </c>
      <c r="B293" s="797"/>
      <c r="C293" s="797"/>
      <c r="D293" s="797"/>
      <c r="E293" s="797"/>
      <c r="F293" s="797"/>
      <c r="G293" s="796" t="s">
        <v>2823</v>
      </c>
      <c r="H293" s="796" t="s">
        <v>335</v>
      </c>
      <c r="I293" s="900"/>
      <c r="J293" s="792" t="str">
        <f>IF(ISBLANK(HLOOKUP(CaseName,CaseData,MATCH($G293,cases!$G$4:$G$2494,0),FALSE)),"",HLOOKUP(CaseName,CaseData,MATCH($G293,cases!$G$4:$G$2494,0),FALSE))</f>
        <v/>
      </c>
      <c r="K293" s="798">
        <f>(L92*L13*L11)/(L6)</f>
        <v>3.699476841282254E-5</v>
      </c>
      <c r="L293" s="794">
        <f t="shared" si="15"/>
        <v>3.699476841282254E-5</v>
      </c>
      <c r="M293" s="796" t="s">
        <v>335</v>
      </c>
      <c r="N293" s="797"/>
      <c r="O293" s="799"/>
      <c r="P293" s="797"/>
    </row>
    <row r="294" spans="1:16" ht="12.75" customHeight="1" x14ac:dyDescent="0.3">
      <c r="A294" s="797" t="s">
        <v>2824</v>
      </c>
      <c r="B294" s="797"/>
      <c r="C294" s="797"/>
      <c r="D294" s="797"/>
      <c r="E294" s="797"/>
      <c r="F294" s="797"/>
      <c r="G294" s="796" t="s">
        <v>2825</v>
      </c>
      <c r="H294" s="796" t="s">
        <v>335</v>
      </c>
      <c r="I294" s="900"/>
      <c r="J294" s="792" t="str">
        <f>IF(ISBLANK(HLOOKUP(CaseName,CaseData,MATCH($G294,cases!$G$4:$G$2494,0),FALSE)),"",HLOOKUP(CaseName,CaseData,MATCH($G294,cases!$G$4:$G$2494,0),FALSE))</f>
        <v/>
      </c>
      <c r="K294" s="798">
        <f>(L92*L13*L11)/(L6)</f>
        <v>3.699476841282254E-5</v>
      </c>
      <c r="L294" s="794">
        <f t="shared" si="15"/>
        <v>3.699476841282254E-5</v>
      </c>
      <c r="M294" s="796" t="s">
        <v>335</v>
      </c>
      <c r="N294" s="797"/>
      <c r="O294" s="799"/>
      <c r="P294" s="797"/>
    </row>
    <row r="295" spans="1:16" ht="12.75" customHeight="1" x14ac:dyDescent="0.3">
      <c r="A295" s="797" t="s">
        <v>2826</v>
      </c>
      <c r="B295" s="797"/>
      <c r="C295" s="797"/>
      <c r="D295" s="797"/>
      <c r="E295" s="797"/>
      <c r="F295" s="797"/>
      <c r="G295" s="796" t="s">
        <v>2827</v>
      </c>
      <c r="H295" s="796" t="s">
        <v>335</v>
      </c>
      <c r="I295" s="900"/>
      <c r="J295" s="792" t="str">
        <f>IF(ISBLANK(HLOOKUP(CaseName,CaseData,MATCH($G295,cases!$G$4:$G$2494,0),FALSE)),"",HLOOKUP(CaseName,CaseData,MATCH($G295,cases!$G$4:$G$2494,0),FALSE))</f>
        <v/>
      </c>
      <c r="K295" s="798">
        <f>(L92*L13*L11)/(L6)</f>
        <v>3.699476841282254E-5</v>
      </c>
      <c r="L295" s="794">
        <f t="shared" si="15"/>
        <v>3.699476841282254E-5</v>
      </c>
      <c r="M295" s="796" t="s">
        <v>335</v>
      </c>
      <c r="N295" s="797"/>
      <c r="O295" s="799"/>
      <c r="P295" s="797"/>
    </row>
    <row r="296" spans="1:16" ht="12.75" customHeight="1" x14ac:dyDescent="0.3">
      <c r="A296" s="797" t="s">
        <v>2828</v>
      </c>
      <c r="B296" s="797"/>
      <c r="C296" s="797"/>
      <c r="D296" s="797"/>
      <c r="E296" s="797"/>
      <c r="F296" s="797"/>
      <c r="G296" s="796" t="s">
        <v>2829</v>
      </c>
      <c r="H296" s="796" t="s">
        <v>335</v>
      </c>
      <c r="I296" s="900"/>
      <c r="J296" s="792" t="str">
        <f>IF(ISBLANK(HLOOKUP(CaseName,CaseData,MATCH($G296,cases!$G$4:$G$2494,0),FALSE)),"",HLOOKUP(CaseName,CaseData,MATCH($G296,cases!$G$4:$G$2494,0),FALSE))</f>
        <v/>
      </c>
      <c r="K296" s="798">
        <f>(L92*L12*L11)/(L6)</f>
        <v>3.699476841282254E-5</v>
      </c>
      <c r="L296" s="794">
        <f t="shared" si="15"/>
        <v>3.699476841282254E-5</v>
      </c>
      <c r="M296" s="796" t="s">
        <v>335</v>
      </c>
      <c r="N296" s="797"/>
      <c r="O296" s="799"/>
      <c r="P296" s="797"/>
    </row>
    <row r="297" spans="1:16" ht="12.75" customHeight="1" x14ac:dyDescent="0.3">
      <c r="A297" s="797" t="s">
        <v>2830</v>
      </c>
      <c r="B297" s="797"/>
      <c r="C297" s="797"/>
      <c r="D297" s="797"/>
      <c r="E297" s="797"/>
      <c r="F297" s="797"/>
      <c r="G297" s="796" t="s">
        <v>2831</v>
      </c>
      <c r="H297" s="796" t="s">
        <v>335</v>
      </c>
      <c r="I297" s="900"/>
      <c r="J297" s="792" t="str">
        <f>IF(ISBLANK(HLOOKUP(CaseName,CaseData,MATCH($G297,cases!$G$4:$G$2494,0),FALSE)),"",HLOOKUP(CaseName,CaseData,MATCH($G297,cases!$G$4:$G$2494,0),FALSE))</f>
        <v/>
      </c>
      <c r="K297" s="798">
        <f>(L92*L12*L11)/(L6)</f>
        <v>3.699476841282254E-5</v>
      </c>
      <c r="L297" s="794">
        <f t="shared" si="15"/>
        <v>3.699476841282254E-5</v>
      </c>
      <c r="M297" s="796" t="s">
        <v>335</v>
      </c>
      <c r="N297" s="797"/>
      <c r="O297" s="799"/>
      <c r="P297" s="797"/>
    </row>
    <row r="298" spans="1:16" ht="12.75" customHeight="1" x14ac:dyDescent="0.3">
      <c r="A298" s="797" t="s">
        <v>2832</v>
      </c>
      <c r="B298" s="797"/>
      <c r="C298" s="797"/>
      <c r="D298" s="797"/>
      <c r="E298" s="797"/>
      <c r="F298" s="797"/>
      <c r="G298" s="796" t="s">
        <v>2833</v>
      </c>
      <c r="H298" s="796" t="s">
        <v>335</v>
      </c>
      <c r="I298" s="900"/>
      <c r="J298" s="792" t="str">
        <f>IF(ISBLANK(HLOOKUP(CaseName,CaseData,MATCH($G298,cases!$G$4:$G$2494,0),FALSE)),"",HLOOKUP(CaseName,CaseData,MATCH($G298,cases!$G$4:$G$2494,0),FALSE))</f>
        <v/>
      </c>
      <c r="K298" s="798">
        <f>(L92*L12*L11)/(L6)</f>
        <v>3.699476841282254E-5</v>
      </c>
      <c r="L298" s="794">
        <f t="shared" si="15"/>
        <v>3.699476841282254E-5</v>
      </c>
      <c r="M298" s="796" t="s">
        <v>335</v>
      </c>
      <c r="N298" s="797"/>
      <c r="O298" s="797"/>
      <c r="P298" s="907"/>
    </row>
    <row r="299" spans="1:16" ht="12.75" customHeight="1" x14ac:dyDescent="0.3">
      <c r="A299" s="797" t="s">
        <v>2834</v>
      </c>
      <c r="B299" s="797"/>
      <c r="C299" s="797"/>
      <c r="D299" s="797"/>
      <c r="E299" s="797"/>
      <c r="F299" s="797"/>
      <c r="G299" s="796" t="s">
        <v>2835</v>
      </c>
      <c r="H299" s="796" t="s">
        <v>335</v>
      </c>
      <c r="I299" s="900"/>
      <c r="J299" s="792" t="str">
        <f>IF(ISBLANK(HLOOKUP(CaseName,CaseData,MATCH($G299,cases!$G$4:$G$2494,0),FALSE)),"",HLOOKUP(CaseName,CaseData,MATCH($G299,cases!$G$4:$G$2494,0),FALSE))</f>
        <v/>
      </c>
      <c r="K299" s="798">
        <f>IF((SetVelS.w*L12*L11)/(L7)&gt;0,(SetVelS.w*L12*L11)/(L7)+L41,L41)</f>
        <v>2.4911889921172661E-7</v>
      </c>
      <c r="L299" s="794">
        <f t="shared" si="15"/>
        <v>2.4911889921172661E-7</v>
      </c>
      <c r="M299" s="796" t="s">
        <v>335</v>
      </c>
      <c r="N299" s="797" t="s">
        <v>2836</v>
      </c>
      <c r="O299" s="797"/>
      <c r="P299" s="907"/>
    </row>
    <row r="300" spans="1:16" ht="12.75" customHeight="1" x14ac:dyDescent="0.3">
      <c r="A300" s="797" t="s">
        <v>2837</v>
      </c>
      <c r="B300" s="797"/>
      <c r="C300" s="797"/>
      <c r="D300" s="797"/>
      <c r="E300" s="797"/>
      <c r="F300" s="797"/>
      <c r="G300" s="796" t="s">
        <v>2838</v>
      </c>
      <c r="H300" s="796" t="s">
        <v>335</v>
      </c>
      <c r="I300" s="900"/>
      <c r="J300" s="792" t="str">
        <f>IF(ISBLANK(HLOOKUP(CaseName,CaseData,MATCH($G300,cases!$G$4:$G$2494,0),FALSE)),"",HLOOKUP(CaseName,CaseData,MATCH($G300,cases!$G$4:$G$2494,0),FALSE))</f>
        <v/>
      </c>
      <c r="K300" s="798">
        <f>IF((SetVelA.w*L12*L11)/(L7)&gt;0,(SetVelA.w*L12*L11)/(L7)+L41,L41)</f>
        <v>2.4960278781372614E-7</v>
      </c>
      <c r="L300" s="794">
        <f t="shared" si="15"/>
        <v>2.4960278781372614E-7</v>
      </c>
      <c r="M300" s="796" t="s">
        <v>335</v>
      </c>
      <c r="N300" s="797" t="s">
        <v>2836</v>
      </c>
      <c r="O300" s="797"/>
      <c r="P300" s="907"/>
    </row>
    <row r="301" spans="1:16" ht="12.75" customHeight="1" x14ac:dyDescent="0.3">
      <c r="A301" s="797" t="s">
        <v>2839</v>
      </c>
      <c r="B301" s="797"/>
      <c r="C301" s="797"/>
      <c r="D301" s="797"/>
      <c r="E301" s="797"/>
      <c r="F301" s="797"/>
      <c r="G301" s="796" t="s">
        <v>2840</v>
      </c>
      <c r="H301" s="796" t="s">
        <v>335</v>
      </c>
      <c r="I301" s="900"/>
      <c r="J301" s="792" t="str">
        <f>IF(ISBLANK(HLOOKUP(CaseName,CaseData,MATCH($G301,cases!$G$4:$G$2494,0),FALSE)),"",HLOOKUP(CaseName,CaseData,MATCH($G301,cases!$G$4:$G$2494,0),FALSE))</f>
        <v/>
      </c>
      <c r="K301" s="798">
        <f>IF((SetVelP.w*L12*L11)/L7&gt;0,(SetVelP.w*L12*L11)/L7+L41,L41)</f>
        <v>5.4321607893995853E-7</v>
      </c>
      <c r="L301" s="794">
        <f t="shared" si="15"/>
        <v>5.4321607893995853E-7</v>
      </c>
      <c r="M301" s="796" t="s">
        <v>335</v>
      </c>
      <c r="N301" s="797" t="s">
        <v>2836</v>
      </c>
      <c r="O301" s="797"/>
      <c r="P301" s="907"/>
    </row>
    <row r="302" spans="1:16" ht="12.75" customHeight="1" x14ac:dyDescent="0.3">
      <c r="A302" s="797" t="s">
        <v>2841</v>
      </c>
      <c r="B302" s="797"/>
      <c r="C302" s="797"/>
      <c r="D302" s="797"/>
      <c r="E302" s="797"/>
      <c r="F302" s="797"/>
      <c r="G302" s="796" t="s">
        <v>2842</v>
      </c>
      <c r="H302" s="796" t="s">
        <v>335</v>
      </c>
      <c r="I302" s="900"/>
      <c r="J302" s="792" t="str">
        <f>IF(ISBLANK(HLOOKUP(CaseName,CaseData,MATCH($G302,cases!$G$4:$G$2494,0),FALSE)),"",HLOOKUP(CaseName,CaseData,MATCH($G302,cases!$G$4:$G$2494,0),FALSE))</f>
        <v/>
      </c>
      <c r="K302" s="798">
        <f>IF((SetVelS.w*L12*L11)/(L8)&gt;0,(SetVelS.w*L12*L11)/(L8),0)</f>
        <v>2.3438988689288094E-13</v>
      </c>
      <c r="L302" s="794">
        <f t="shared" si="15"/>
        <v>2.3438988689288094E-13</v>
      </c>
      <c r="M302" s="796" t="s">
        <v>335</v>
      </c>
      <c r="N302" s="797"/>
      <c r="O302" s="797"/>
      <c r="P302" s="907"/>
    </row>
    <row r="303" spans="1:16" ht="12.75" customHeight="1" x14ac:dyDescent="0.3">
      <c r="A303" s="797" t="s">
        <v>2843</v>
      </c>
      <c r="B303" s="797"/>
      <c r="C303" s="797"/>
      <c r="D303" s="797"/>
      <c r="E303" s="797"/>
      <c r="F303" s="797"/>
      <c r="G303" s="796" t="s">
        <v>2844</v>
      </c>
      <c r="H303" s="796" t="s">
        <v>335</v>
      </c>
      <c r="I303" s="900"/>
      <c r="J303" s="792" t="str">
        <f>IF(ISBLANK(HLOOKUP(CaseName,CaseData,MATCH($G303,cases!$G$4:$G$2494,0),FALSE)),"",HLOOKUP(CaseName,CaseData,MATCH($G303,cases!$G$4:$G$2494,0),FALSE))</f>
        <v/>
      </c>
      <c r="K303" s="798">
        <f>IF((SetVelA.w*L12*L11)/(L8)&gt;0,(SetVelA.w*L12*L11)/(L8),0)</f>
        <v>1.6364009953543899E-11</v>
      </c>
      <c r="L303" s="794">
        <f t="shared" si="15"/>
        <v>1.6364009953543899E-11</v>
      </c>
      <c r="M303" s="796" t="s">
        <v>335</v>
      </c>
      <c r="N303" s="797"/>
      <c r="O303" s="797"/>
      <c r="P303" s="907"/>
    </row>
    <row r="304" spans="1:16" ht="12.75" customHeight="1" x14ac:dyDescent="0.3">
      <c r="A304" s="797" t="s">
        <v>2845</v>
      </c>
      <c r="B304" s="797"/>
      <c r="C304" s="797"/>
      <c r="D304" s="797"/>
      <c r="E304" s="797"/>
      <c r="F304" s="797"/>
      <c r="G304" s="796" t="s">
        <v>2846</v>
      </c>
      <c r="H304" s="796" t="s">
        <v>335</v>
      </c>
      <c r="I304" s="900"/>
      <c r="J304" s="792" t="str">
        <f>IF(ISBLANK(HLOOKUP(CaseName,CaseData,MATCH($G304,cases!$G$4:$G$2494,0),FALSE)),"",HLOOKUP(CaseName,CaseData,MATCH($G304,cases!$G$4:$G$2494,0),FALSE))</f>
        <v/>
      </c>
      <c r="K304" s="798">
        <f>IF((SetVelP.w*L12*L11)/L8&gt;0,(SetVelP.w*L12*L11)/L8,0)</f>
        <v>9.8034737141612897E-9</v>
      </c>
      <c r="L304" s="794">
        <f t="shared" si="15"/>
        <v>9.8034737141612897E-9</v>
      </c>
      <c r="M304" s="796" t="s">
        <v>335</v>
      </c>
      <c r="N304" s="797"/>
      <c r="O304" s="797"/>
      <c r="P304" s="907"/>
    </row>
    <row r="305" spans="1:19" ht="12.75" customHeight="1" x14ac:dyDescent="0.3">
      <c r="A305" s="797" t="s">
        <v>2847</v>
      </c>
      <c r="B305" s="797"/>
      <c r="C305" s="797"/>
      <c r="D305" s="797"/>
      <c r="E305" s="797"/>
      <c r="F305" s="797"/>
      <c r="G305" s="796" t="s">
        <v>2848</v>
      </c>
      <c r="H305" s="796" t="s">
        <v>335</v>
      </c>
      <c r="I305" s="900"/>
      <c r="J305" s="792" t="str">
        <f>IF(ISBLANK(HLOOKUP(CaseName,CaseData,MATCH($G305,cases!$G$4:$G$2494,0),FALSE)),"",HLOOKUP(CaseName,CaseData,MATCH($G305,cases!$G$4:$G$2494,0),FALSE))</f>
        <v/>
      </c>
      <c r="K305" s="798">
        <f>$L$108/$L$17</f>
        <v>9.6420777940804072E-9</v>
      </c>
      <c r="L305" s="794">
        <f t="shared" ref="L305:L310" si="16">IF(ISBLANK(I305),IF(ISNUMBER(J305)=FALSE,K305,J305),I305)</f>
        <v>9.6420777940804072E-9</v>
      </c>
      <c r="M305" s="796" t="s">
        <v>335</v>
      </c>
      <c r="N305" s="797" t="s">
        <v>1786</v>
      </c>
      <c r="O305" s="797"/>
      <c r="P305" s="797"/>
    </row>
    <row r="306" spans="1:19" ht="12.75" customHeight="1" x14ac:dyDescent="0.3">
      <c r="A306" s="797" t="s">
        <v>2849</v>
      </c>
      <c r="B306" s="797"/>
      <c r="C306" s="797"/>
      <c r="D306" s="797"/>
      <c r="E306" s="797"/>
      <c r="F306" s="797"/>
      <c r="G306" s="796" t="s">
        <v>2850</v>
      </c>
      <c r="H306" s="796" t="s">
        <v>335</v>
      </c>
      <c r="I306" s="900"/>
      <c r="J306" s="792" t="str">
        <f>IF(ISBLANK(HLOOKUP(CaseName,CaseData,MATCH($G306,cases!$G$4:$G$2494,0),FALSE)),"",HLOOKUP(CaseName,CaseData,MATCH($G306,cases!$G$4:$G$2494,0),FALSE))</f>
        <v/>
      </c>
      <c r="K306" s="798">
        <f>$L$108/$L$17</f>
        <v>9.6420777940804072E-9</v>
      </c>
      <c r="L306" s="794">
        <f t="shared" si="16"/>
        <v>9.6420777940804072E-9</v>
      </c>
      <c r="M306" s="796" t="s">
        <v>335</v>
      </c>
      <c r="N306" s="797" t="s">
        <v>1786</v>
      </c>
      <c r="O306" s="799"/>
      <c r="P306" s="797"/>
    </row>
    <row r="307" spans="1:19" ht="12.75" customHeight="1" x14ac:dyDescent="0.3">
      <c r="A307" s="797" t="s">
        <v>2851</v>
      </c>
      <c r="B307" s="797"/>
      <c r="C307" s="797"/>
      <c r="D307" s="797"/>
      <c r="E307" s="797"/>
      <c r="F307" s="797"/>
      <c r="G307" s="796" t="s">
        <v>2852</v>
      </c>
      <c r="H307" s="796" t="s">
        <v>335</v>
      </c>
      <c r="I307" s="900"/>
      <c r="J307" s="792" t="str">
        <f>IF(ISBLANK(HLOOKUP(CaseName,CaseData,MATCH($G307,cases!$G$4:$G$2494,0),FALSE)),"",HLOOKUP(CaseName,CaseData,MATCH($G307,cases!$G$4:$G$2494,0),FALSE))</f>
        <v/>
      </c>
      <c r="K307" s="798">
        <f>$L$108/$L$17</f>
        <v>9.6420777940804072E-9</v>
      </c>
      <c r="L307" s="794">
        <f t="shared" si="16"/>
        <v>9.6420777940804072E-9</v>
      </c>
      <c r="M307" s="796" t="s">
        <v>335</v>
      </c>
      <c r="N307" s="797" t="s">
        <v>1786</v>
      </c>
      <c r="O307" s="799"/>
      <c r="P307" s="797"/>
    </row>
    <row r="308" spans="1:19" ht="12.75" customHeight="1" x14ac:dyDescent="0.3">
      <c r="A308" s="797" t="s">
        <v>1803</v>
      </c>
      <c r="B308" s="797"/>
      <c r="C308" s="797"/>
      <c r="D308" s="797"/>
      <c r="E308" s="797"/>
      <c r="F308" s="797"/>
      <c r="G308" s="796" t="s">
        <v>2853</v>
      </c>
      <c r="H308" s="796" t="s">
        <v>335</v>
      </c>
      <c r="I308" s="900"/>
      <c r="J308" s="792" t="str">
        <f>IF(ISBLANK(HLOOKUP(CaseName,CaseData,MATCH($G308,cases!$G$4:$G$2494,0),FALSE)),"",HLOOKUP(CaseName,CaseData,MATCH($G308,cases!$G$4:$G$2494,0),FALSE))</f>
        <v/>
      </c>
      <c r="K308" s="798">
        <f>((L120*L92*L121+L119)/L18)</f>
        <v>1.4105196107430861E-7</v>
      </c>
      <c r="L308" s="794">
        <f t="shared" si="16"/>
        <v>1.4105196107430861E-7</v>
      </c>
      <c r="M308" s="796" t="s">
        <v>335</v>
      </c>
      <c r="N308" s="797" t="s">
        <v>1805</v>
      </c>
      <c r="O308" s="802"/>
      <c r="P308" s="797"/>
    </row>
    <row r="309" spans="1:19" ht="12.75" customHeight="1" x14ac:dyDescent="0.3">
      <c r="A309" s="797" t="s">
        <v>1810</v>
      </c>
      <c r="B309" s="797"/>
      <c r="C309" s="797"/>
      <c r="D309" s="797"/>
      <c r="E309" s="797"/>
      <c r="F309" s="797"/>
      <c r="G309" s="796" t="s">
        <v>2854</v>
      </c>
      <c r="H309" s="796" t="s">
        <v>335</v>
      </c>
      <c r="I309" s="900"/>
      <c r="J309" s="792" t="str">
        <f>IF(ISBLANK(HLOOKUP(CaseName,CaseData,MATCH($G309,cases!$G$4:$G$2494,0),FALSE)),"",HLOOKUP(CaseName,CaseData,MATCH($G309,cases!$G$4:$G$2494,0),FALSE))</f>
        <v/>
      </c>
      <c r="K309" s="798">
        <f>((L120*L92*L121+L119)/L18)</f>
        <v>1.4105196107430861E-7</v>
      </c>
      <c r="L309" s="794">
        <f t="shared" si="16"/>
        <v>1.4105196107430861E-7</v>
      </c>
      <c r="M309" s="796" t="s">
        <v>335</v>
      </c>
      <c r="N309" s="797" t="s">
        <v>1805</v>
      </c>
      <c r="O309" s="799"/>
      <c r="P309" s="797"/>
    </row>
    <row r="310" spans="1:19" ht="12.75" customHeight="1" x14ac:dyDescent="0.3">
      <c r="A310" s="797" t="s">
        <v>1816</v>
      </c>
      <c r="B310" s="797"/>
      <c r="C310" s="797"/>
      <c r="D310" s="797"/>
      <c r="E310" s="797"/>
      <c r="F310" s="797"/>
      <c r="G310" s="796" t="s">
        <v>2855</v>
      </c>
      <c r="H310" s="796" t="s">
        <v>335</v>
      </c>
      <c r="I310" s="900"/>
      <c r="J310" s="792" t="str">
        <f>IF(ISBLANK(HLOOKUP(CaseName,CaseData,MATCH($G310,cases!$G$4:$G$2494,0),FALSE)),"",HLOOKUP(CaseName,CaseData,MATCH($G310,cases!$G$4:$G$2494,0),FALSE))</f>
        <v/>
      </c>
      <c r="K310" s="902">
        <f>(L119/L18)</f>
        <v>1.9025875190258751E-11</v>
      </c>
      <c r="L310" s="794">
        <f t="shared" si="16"/>
        <v>1.9025875190258751E-11</v>
      </c>
      <c r="M310" s="796" t="s">
        <v>335</v>
      </c>
      <c r="N310" s="797" t="s">
        <v>1818</v>
      </c>
      <c r="O310" s="799"/>
      <c r="P310" s="797"/>
    </row>
    <row r="311" spans="1:19" ht="12.75" customHeight="1" x14ac:dyDescent="0.3">
      <c r="A311" s="779" t="s">
        <v>2856</v>
      </c>
      <c r="G311" s="779"/>
      <c r="I311" s="778"/>
      <c r="J311" s="792" t="str">
        <f>IF(ISBLANK(HLOOKUP(CaseName,CaseData,MATCH($G311,cases!$G$4:$G$2494,0),FALSE)),"",HLOOKUP(CaseName,CaseData,MATCH($G311,cases!$G$4:$G$2494,0),FALSE))</f>
        <v/>
      </c>
      <c r="K311" s="780"/>
      <c r="L311" s="825"/>
      <c r="N311" s="779"/>
      <c r="O311" s="782"/>
    </row>
    <row r="312" spans="1:19" ht="12.75" customHeight="1" x14ac:dyDescent="0.3">
      <c r="A312" s="796" t="s">
        <v>1267</v>
      </c>
      <c r="B312" s="797"/>
      <c r="C312" s="797"/>
      <c r="D312" s="797"/>
      <c r="E312" s="797"/>
      <c r="F312" s="797"/>
      <c r="G312" s="796" t="s">
        <v>2857</v>
      </c>
      <c r="H312" s="796" t="s">
        <v>4690</v>
      </c>
      <c r="I312" s="920"/>
      <c r="J312" s="792" t="str">
        <f>IF(ISBLANK(HLOOKUP(CaseName,CaseData,MATCH($G312,cases!$G$4:$G$2494,0),FALSE)),"",HLOOKUP(CaseName,CaseData,MATCH($G312,cases!$G$4:$G$2494,0),FALSE))</f>
        <v/>
      </c>
      <c r="K312" s="918">
        <f>L130+kdegS.a</f>
        <v>3.663258818281463E-10</v>
      </c>
      <c r="L312" s="794">
        <f t="shared" ref="L312:L328" si="17">IF(ISBLANK(I312),IF(ISNUMBER(J312)=FALSE,K312,J312),I312)</f>
        <v>3.663258818281463E-10</v>
      </c>
      <c r="M312" s="797" t="s">
        <v>1038</v>
      </c>
      <c r="N312" s="796"/>
      <c r="O312" s="799"/>
      <c r="P312" s="797"/>
      <c r="Q312" s="918"/>
      <c r="S312" s="603"/>
    </row>
    <row r="313" spans="1:19" ht="12.75" customHeight="1" x14ac:dyDescent="0.3">
      <c r="A313" s="796" t="s">
        <v>1267</v>
      </c>
      <c r="B313" s="797"/>
      <c r="C313" s="797"/>
      <c r="D313" s="797"/>
      <c r="E313" s="797"/>
      <c r="F313" s="797"/>
      <c r="G313" s="796" t="s">
        <v>2858</v>
      </c>
      <c r="H313" s="796" t="s">
        <v>4690</v>
      </c>
      <c r="I313" s="920"/>
      <c r="J313" s="792" t="str">
        <f>IF(ISBLANK(HLOOKUP(CaseName,CaseData,MATCH($G313,cases!$G$4:$G$2494,0),FALSE)),"",HLOOKUP(CaseName,CaseData,MATCH($G313,cases!$G$4:$G$2494,0),FALSE))</f>
        <v/>
      </c>
      <c r="K313" s="798">
        <f>L130+kdegA.a</f>
        <v>3.663258818281463E-10</v>
      </c>
      <c r="L313" s="794">
        <f t="shared" si="17"/>
        <v>3.663258818281463E-10</v>
      </c>
      <c r="M313" s="797" t="s">
        <v>1038</v>
      </c>
      <c r="N313" s="796"/>
      <c r="O313" s="799"/>
      <c r="P313" s="797"/>
      <c r="Q313" s="798"/>
      <c r="S313" s="603"/>
    </row>
    <row r="314" spans="1:19" ht="12.75" customHeight="1" x14ac:dyDescent="0.3">
      <c r="A314" s="796" t="s">
        <v>1267</v>
      </c>
      <c r="B314" s="797"/>
      <c r="C314" s="797"/>
      <c r="D314" s="797"/>
      <c r="E314" s="797"/>
      <c r="F314" s="797"/>
      <c r="G314" s="796" t="s">
        <v>2859</v>
      </c>
      <c r="H314" s="796" t="s">
        <v>4690</v>
      </c>
      <c r="I314" s="920"/>
      <c r="J314" s="792" t="str">
        <f>IF(ISBLANK(HLOOKUP(CaseName,CaseData,MATCH($G314,cases!$G$4:$G$2494,0),FALSE)),"",HLOOKUP(CaseName,CaseData,MATCH($G314,cases!$G$4:$G$2494,0),FALSE))</f>
        <v/>
      </c>
      <c r="K314" s="798">
        <f>L130+kdegP.a</f>
        <v>3.663258818281463E-10</v>
      </c>
      <c r="L314" s="794">
        <f t="shared" si="17"/>
        <v>3.663258818281463E-10</v>
      </c>
      <c r="M314" s="797" t="s">
        <v>1038</v>
      </c>
      <c r="N314" s="796"/>
      <c r="O314" s="799"/>
      <c r="P314" s="797"/>
      <c r="Q314" s="798"/>
      <c r="S314" s="603"/>
    </row>
    <row r="315" spans="1:19" ht="12.75" customHeight="1" x14ac:dyDescent="0.3">
      <c r="A315" s="796" t="s">
        <v>4794</v>
      </c>
      <c r="B315" s="797"/>
      <c r="C315" s="797"/>
      <c r="D315" s="797"/>
      <c r="E315" s="797"/>
      <c r="F315" s="797"/>
      <c r="G315" s="796" t="s">
        <v>2860</v>
      </c>
      <c r="H315" s="796" t="s">
        <v>4690</v>
      </c>
      <c r="I315" s="920"/>
      <c r="J315" s="792" t="str">
        <f>IF(ISBLANK(HLOOKUP(CaseName,CaseData,MATCH($G315,cases!$G$4:$G$2494,0),FALSE)),"",HLOOKUP(CaseName,CaseData,MATCH($G315,cases!$G$4:$G$2494,0),FALSE))</f>
        <v/>
      </c>
      <c r="K315" s="798">
        <f>kdegS.w2</f>
        <v>0</v>
      </c>
      <c r="L315" s="794">
        <f t="shared" si="17"/>
        <v>0</v>
      </c>
      <c r="M315" s="797" t="s">
        <v>1828</v>
      </c>
      <c r="N315" s="796"/>
      <c r="O315" s="799"/>
      <c r="P315" s="797"/>
      <c r="Q315" s="798"/>
      <c r="S315" s="603"/>
    </row>
    <row r="316" spans="1:19" ht="12.75" customHeight="1" x14ac:dyDescent="0.3">
      <c r="A316" s="796" t="s">
        <v>4794</v>
      </c>
      <c r="B316" s="797"/>
      <c r="C316" s="797"/>
      <c r="D316" s="797"/>
      <c r="E316" s="797"/>
      <c r="F316" s="797"/>
      <c r="G316" s="796" t="s">
        <v>2861</v>
      </c>
      <c r="H316" s="796" t="s">
        <v>4690</v>
      </c>
      <c r="I316" s="920"/>
      <c r="J316" s="792" t="str">
        <f>IF(ISBLANK(HLOOKUP(CaseName,CaseData,MATCH($G316,cases!$G$4:$G$2494,0),FALSE)),"",HLOOKUP(CaseName,CaseData,MATCH($G316,cases!$G$4:$G$2494,0),FALSE))</f>
        <v/>
      </c>
      <c r="K316" s="798">
        <f>kdegA.w2</f>
        <v>0</v>
      </c>
      <c r="L316" s="794">
        <f t="shared" si="17"/>
        <v>0</v>
      </c>
      <c r="M316" s="797" t="s">
        <v>1828</v>
      </c>
      <c r="N316" s="796"/>
      <c r="O316" s="799"/>
      <c r="P316" s="797"/>
      <c r="Q316" s="798"/>
      <c r="S316" s="603"/>
    </row>
    <row r="317" spans="1:19" ht="12.75" customHeight="1" x14ac:dyDescent="0.3">
      <c r="A317" s="796" t="s">
        <v>4794</v>
      </c>
      <c r="B317" s="797"/>
      <c r="C317" s="797"/>
      <c r="D317" s="797"/>
      <c r="E317" s="797"/>
      <c r="F317" s="797"/>
      <c r="G317" s="796" t="s">
        <v>2862</v>
      </c>
      <c r="H317" s="796" t="s">
        <v>4690</v>
      </c>
      <c r="I317" s="920"/>
      <c r="J317" s="792" t="str">
        <f>IF(ISBLANK(HLOOKUP(CaseName,CaseData,MATCH($G317,cases!$G$4:$G$2494,0),FALSE)),"",HLOOKUP(CaseName,CaseData,MATCH($G317,cases!$G$4:$G$2494,0),FALSE))</f>
        <v/>
      </c>
      <c r="K317" s="798">
        <f>kdegP.w2</f>
        <v>0</v>
      </c>
      <c r="L317" s="794">
        <f t="shared" si="17"/>
        <v>0</v>
      </c>
      <c r="M317" s="797" t="s">
        <v>1828</v>
      </c>
      <c r="N317" s="796"/>
      <c r="O317" s="799"/>
      <c r="P317" s="797"/>
      <c r="Q317" s="798"/>
      <c r="S317" s="603"/>
    </row>
    <row r="318" spans="1:19" ht="12.75" customHeight="1" x14ac:dyDescent="0.3">
      <c r="A318" s="796" t="s">
        <v>2638</v>
      </c>
      <c r="B318" s="797"/>
      <c r="C318" s="797"/>
      <c r="D318" s="797"/>
      <c r="E318" s="797"/>
      <c r="F318" s="797"/>
      <c r="G318" s="796" t="s">
        <v>2863</v>
      </c>
      <c r="H318" s="796" t="s">
        <v>4690</v>
      </c>
      <c r="I318" s="920"/>
      <c r="J318" s="792" t="str">
        <f>IF(ISBLANK(HLOOKUP(CaseName,CaseData,MATCH($G318,cases!$G$4:$G$2494,0),FALSE)),"",HLOOKUP(CaseName,CaseData,MATCH($G318,cases!$G$4:$G$2494,0),FALSE))</f>
        <v/>
      </c>
      <c r="K318" s="798">
        <f>kdegS.w3</f>
        <v>0</v>
      </c>
      <c r="L318" s="794">
        <f t="shared" si="17"/>
        <v>0</v>
      </c>
      <c r="M318" s="797" t="s">
        <v>1828</v>
      </c>
      <c r="N318" s="796"/>
      <c r="O318" s="799"/>
      <c r="P318" s="797"/>
      <c r="Q318" s="798"/>
      <c r="S318" s="603"/>
    </row>
    <row r="319" spans="1:19" ht="12.75" customHeight="1" x14ac:dyDescent="0.3">
      <c r="A319" s="796" t="s">
        <v>2638</v>
      </c>
      <c r="B319" s="797"/>
      <c r="C319" s="797"/>
      <c r="D319" s="797"/>
      <c r="E319" s="797"/>
      <c r="F319" s="797"/>
      <c r="G319" s="796" t="s">
        <v>2864</v>
      </c>
      <c r="H319" s="796" t="s">
        <v>4690</v>
      </c>
      <c r="I319" s="920"/>
      <c r="J319" s="792" t="str">
        <f>IF(ISBLANK(HLOOKUP(CaseName,CaseData,MATCH($G319,cases!$G$4:$G$2494,0),FALSE)),"",HLOOKUP(CaseName,CaseData,MATCH($G319,cases!$G$4:$G$2494,0),FALSE))</f>
        <v/>
      </c>
      <c r="K319" s="798">
        <f>kdegA.w3</f>
        <v>0</v>
      </c>
      <c r="L319" s="794">
        <f t="shared" si="17"/>
        <v>0</v>
      </c>
      <c r="M319" s="797" t="s">
        <v>1828</v>
      </c>
      <c r="N319" s="796"/>
      <c r="O319" s="799"/>
      <c r="P319" s="797"/>
      <c r="Q319" s="798"/>
      <c r="S319" s="603"/>
    </row>
    <row r="320" spans="1:19" ht="12.75" customHeight="1" x14ac:dyDescent="0.3">
      <c r="A320" s="796" t="s">
        <v>2638</v>
      </c>
      <c r="B320" s="797"/>
      <c r="C320" s="797"/>
      <c r="D320" s="797"/>
      <c r="E320" s="797"/>
      <c r="F320" s="797"/>
      <c r="G320" s="796" t="s">
        <v>2865</v>
      </c>
      <c r="H320" s="796" t="s">
        <v>4690</v>
      </c>
      <c r="I320" s="920"/>
      <c r="J320" s="792" t="str">
        <f>IF(ISBLANK(HLOOKUP(CaseName,CaseData,MATCH($G320,cases!$G$4:$G$2494,0),FALSE)),"",HLOOKUP(CaseName,CaseData,MATCH($G320,cases!$G$4:$G$2494,0),FALSE))</f>
        <v/>
      </c>
      <c r="K320" s="798">
        <f>kdegP.w3</f>
        <v>0</v>
      </c>
      <c r="L320" s="794">
        <f t="shared" si="17"/>
        <v>0</v>
      </c>
      <c r="M320" s="797" t="s">
        <v>1828</v>
      </c>
      <c r="N320" s="796"/>
      <c r="O320" s="799"/>
      <c r="P320" s="797"/>
      <c r="Q320" s="798"/>
      <c r="S320" s="603"/>
    </row>
    <row r="321" spans="1:19" ht="12.75" customHeight="1" x14ac:dyDescent="0.3">
      <c r="A321" s="796" t="s">
        <v>2640</v>
      </c>
      <c r="B321" s="797"/>
      <c r="C321" s="797"/>
      <c r="D321" s="797"/>
      <c r="E321" s="797"/>
      <c r="F321" s="797"/>
      <c r="G321" s="796" t="s">
        <v>2866</v>
      </c>
      <c r="H321" s="796" t="s">
        <v>4690</v>
      </c>
      <c r="I321" s="920"/>
      <c r="J321" s="792" t="str">
        <f>IF(ISBLANK(HLOOKUP(CaseName,CaseData,MATCH($G321,cases!$G$4:$G$2494,0),FALSE)),"",HLOOKUP(CaseName,CaseData,MATCH($G321,cases!$G$4:$G$2494,0),FALSE))</f>
        <v/>
      </c>
      <c r="K321" s="798">
        <f>L328+kdegS.sd2</f>
        <v>2.983934314656158E-12</v>
      </c>
      <c r="L321" s="794">
        <f t="shared" si="17"/>
        <v>2.983934314656158E-12</v>
      </c>
      <c r="M321" s="797" t="s">
        <v>1828</v>
      </c>
      <c r="N321" s="796"/>
      <c r="O321" s="799"/>
      <c r="P321" s="603"/>
      <c r="Q321" s="798"/>
      <c r="S321" s="603"/>
    </row>
    <row r="322" spans="1:19" ht="12.75" customHeight="1" x14ac:dyDescent="0.3">
      <c r="A322" s="796" t="s">
        <v>2640</v>
      </c>
      <c r="B322" s="797"/>
      <c r="C322" s="797"/>
      <c r="D322" s="797"/>
      <c r="E322" s="797"/>
      <c r="F322" s="797"/>
      <c r="G322" s="796" t="s">
        <v>2867</v>
      </c>
      <c r="H322" s="796" t="s">
        <v>4690</v>
      </c>
      <c r="I322" s="920"/>
      <c r="J322" s="792" t="str">
        <f>IF(ISBLANK(HLOOKUP(CaseName,CaseData,MATCH($G322,cases!$G$4:$G$2494,0),FALSE)),"",HLOOKUP(CaseName,CaseData,MATCH($G322,cases!$G$4:$G$2494,0),FALSE))</f>
        <v/>
      </c>
      <c r="K322" s="798">
        <f>L328+kdegA.sd2</f>
        <v>2.983934314656158E-12</v>
      </c>
      <c r="L322" s="794">
        <f t="shared" si="17"/>
        <v>2.983934314656158E-12</v>
      </c>
      <c r="M322" s="797" t="s">
        <v>1828</v>
      </c>
      <c r="N322" s="796"/>
      <c r="O322" s="799"/>
      <c r="P322" s="603"/>
      <c r="Q322" s="798"/>
      <c r="S322" s="603"/>
    </row>
    <row r="323" spans="1:19" ht="12.75" customHeight="1" x14ac:dyDescent="0.3">
      <c r="A323" s="796" t="s">
        <v>2640</v>
      </c>
      <c r="B323" s="797"/>
      <c r="C323" s="797"/>
      <c r="D323" s="797"/>
      <c r="E323" s="797"/>
      <c r="F323" s="797"/>
      <c r="G323" s="796" t="s">
        <v>2868</v>
      </c>
      <c r="H323" s="796" t="s">
        <v>4690</v>
      </c>
      <c r="I323" s="920"/>
      <c r="J323" s="792" t="str">
        <f>IF(ISBLANK(HLOOKUP(CaseName,CaseData,MATCH($G323,cases!$G$4:$G$2494,0),FALSE)),"",HLOOKUP(CaseName,CaseData,MATCH($G323,cases!$G$4:$G$2494,0),FALSE))</f>
        <v/>
      </c>
      <c r="K323" s="798">
        <f>L328+kdegP.sd2</f>
        <v>2.983934314656158E-12</v>
      </c>
      <c r="L323" s="794">
        <f t="shared" si="17"/>
        <v>2.983934314656158E-12</v>
      </c>
      <c r="M323" s="797" t="s">
        <v>1828</v>
      </c>
      <c r="N323" s="796"/>
      <c r="O323" s="799"/>
      <c r="P323" s="603"/>
      <c r="Q323" s="798"/>
      <c r="S323" s="603"/>
    </row>
    <row r="324" spans="1:19" ht="12.75" customHeight="1" x14ac:dyDescent="0.3">
      <c r="A324" s="796" t="s">
        <v>2642</v>
      </c>
      <c r="B324" s="797"/>
      <c r="C324" s="797"/>
      <c r="D324" s="797"/>
      <c r="E324" s="797"/>
      <c r="F324" s="797"/>
      <c r="G324" s="796" t="s">
        <v>2869</v>
      </c>
      <c r="H324" s="796" t="s">
        <v>4690</v>
      </c>
      <c r="I324" s="920"/>
      <c r="J324" s="792" t="str">
        <f>IF(ISBLANK(HLOOKUP(CaseName,CaseData,MATCH($G324,cases!$G$4:$G$2494,0),FALSE)),"",HLOOKUP(CaseName,CaseData,MATCH($G324,cases!$G$4:$G$2494,0),FALSE))</f>
        <v/>
      </c>
      <c r="K324" s="798">
        <f>L327+kdegS.s1</f>
        <v>9.5027244249711473E-10</v>
      </c>
      <c r="L324" s="794">
        <f t="shared" si="17"/>
        <v>9.5027244249711473E-10</v>
      </c>
      <c r="M324" s="797" t="s">
        <v>1828</v>
      </c>
      <c r="N324" s="796"/>
      <c r="O324" s="799"/>
      <c r="P324" s="603"/>
      <c r="Q324" s="798"/>
      <c r="S324" s="603"/>
    </row>
    <row r="325" spans="1:19" ht="12.75" customHeight="1" x14ac:dyDescent="0.3">
      <c r="A325" s="796" t="s">
        <v>2642</v>
      </c>
      <c r="B325" s="797"/>
      <c r="C325" s="797"/>
      <c r="D325" s="797"/>
      <c r="E325" s="797"/>
      <c r="F325" s="797"/>
      <c r="G325" s="796" t="s">
        <v>2870</v>
      </c>
      <c r="H325" s="796" t="s">
        <v>4690</v>
      </c>
      <c r="I325" s="920"/>
      <c r="J325" s="792" t="str">
        <f>IF(ISBLANK(HLOOKUP(CaseName,CaseData,MATCH($G325,cases!$G$4:$G$2494,0),FALSE)),"",HLOOKUP(CaseName,CaseData,MATCH($G325,cases!$G$4:$G$2494,0),FALSE))</f>
        <v/>
      </c>
      <c r="K325" s="798">
        <f>L327+kdegA.s1</f>
        <v>9.5027244249711473E-10</v>
      </c>
      <c r="L325" s="794">
        <f t="shared" si="17"/>
        <v>9.5027244249711473E-10</v>
      </c>
      <c r="M325" s="797" t="s">
        <v>1828</v>
      </c>
      <c r="N325" s="796"/>
      <c r="O325" s="799"/>
      <c r="P325" s="603"/>
      <c r="Q325" s="798"/>
      <c r="S325" s="603"/>
    </row>
    <row r="326" spans="1:19" ht="12.75" customHeight="1" x14ac:dyDescent="0.3">
      <c r="A326" s="796" t="s">
        <v>2642</v>
      </c>
      <c r="B326" s="797"/>
      <c r="C326" s="797"/>
      <c r="D326" s="797"/>
      <c r="E326" s="797"/>
      <c r="F326" s="797"/>
      <c r="G326" s="796" t="s">
        <v>2871</v>
      </c>
      <c r="H326" s="796" t="s">
        <v>4690</v>
      </c>
      <c r="I326" s="920"/>
      <c r="J326" s="792" t="str">
        <f>IF(ISBLANK(HLOOKUP(CaseName,CaseData,MATCH($G326,cases!$G$4:$G$2494,0),FALSE)),"",HLOOKUP(CaseName,CaseData,MATCH($G326,cases!$G$4:$G$2494,0),FALSE))</f>
        <v/>
      </c>
      <c r="K326" s="798">
        <f>kdegP.s1</f>
        <v>0</v>
      </c>
      <c r="L326" s="794">
        <f t="shared" si="17"/>
        <v>0</v>
      </c>
      <c r="M326" s="797" t="s">
        <v>1828</v>
      </c>
      <c r="N326" s="796"/>
      <c r="O326" s="799"/>
      <c r="P326" s="797"/>
      <c r="Q326" s="798"/>
      <c r="S326" s="603"/>
    </row>
    <row r="327" spans="1:19" ht="12.75" customHeight="1" x14ac:dyDescent="0.3">
      <c r="A327" s="797"/>
      <c r="B327" s="797" t="s">
        <v>1855</v>
      </c>
      <c r="C327" s="797"/>
      <c r="D327" s="797"/>
      <c r="E327" s="797"/>
      <c r="F327" s="797"/>
      <c r="G327" s="796" t="s">
        <v>2872</v>
      </c>
      <c r="H327" s="796" t="s">
        <v>335</v>
      </c>
      <c r="I327" s="900"/>
      <c r="J327" s="792" t="str">
        <f>IF(ISBLANK(HLOOKUP(CaseName,CaseData,MATCH($G327,cases!$G$4:$G$2494,0),FALSE)),"",HLOOKUP(CaseName,CaseData,MATCH($G327,cases!$G$4:$G$2494,0),FALSE))</f>
        <v/>
      </c>
      <c r="K327" s="798">
        <f>(L141*L92*L142)/L18</f>
        <v>9.5027244249711473E-10</v>
      </c>
      <c r="L327" s="794">
        <f t="shared" si="17"/>
        <v>9.5027244249711473E-10</v>
      </c>
      <c r="M327" s="797" t="s">
        <v>1828</v>
      </c>
      <c r="N327" s="797" t="s">
        <v>1857</v>
      </c>
      <c r="O327" s="799"/>
      <c r="P327" s="603"/>
      <c r="S327" s="603"/>
    </row>
    <row r="328" spans="1:19" s="826" customFormat="1" ht="12.75" customHeight="1" x14ac:dyDescent="0.3">
      <c r="A328" s="852"/>
      <c r="B328" s="852" t="s">
        <v>1862</v>
      </c>
      <c r="C328" s="852"/>
      <c r="D328" s="852"/>
      <c r="E328" s="852"/>
      <c r="F328" s="852"/>
      <c r="G328" s="853" t="s">
        <v>2873</v>
      </c>
      <c r="H328" s="853" t="s">
        <v>335</v>
      </c>
      <c r="I328" s="908"/>
      <c r="J328" s="792" t="str">
        <f>IF(ISBLANK(HLOOKUP(CaseName,CaseData,MATCH($G328,cases!$G$4:$G$2494,0),FALSE)),"",HLOOKUP(CaseName,CaseData,MATCH($G328,cases!$G$4:$G$2494,0),FALSE))</f>
        <v/>
      </c>
      <c r="K328" s="902">
        <f>L111/L17</f>
        <v>2.983934314656158E-12</v>
      </c>
      <c r="L328" s="850">
        <f t="shared" si="17"/>
        <v>2.983934314656158E-12</v>
      </c>
      <c r="M328" s="852" t="s">
        <v>1828</v>
      </c>
      <c r="N328" s="852" t="s">
        <v>1864</v>
      </c>
      <c r="O328" s="854"/>
      <c r="P328" s="603"/>
    </row>
    <row r="329" spans="1:19" ht="12.75" customHeight="1" x14ac:dyDescent="0.3">
      <c r="A329" s="70"/>
      <c r="B329" s="860"/>
      <c r="C329" s="860"/>
      <c r="D329" s="860"/>
      <c r="E329" s="860"/>
      <c r="F329" s="860"/>
      <c r="G329" s="860"/>
      <c r="H329" s="860"/>
      <c r="I329" s="862"/>
      <c r="J329" s="792" t="str">
        <f t="shared" ref="J329:J331" si="18">IF(HLOOKUP(CaseName,CaseData,ROW()+1421,FALSE)="","",HLOOKUP(CaseName,CaseData,ROW()+1421,FALSE))</f>
        <v/>
      </c>
      <c r="K329" s="863"/>
      <c r="L329" s="863"/>
      <c r="M329" s="860"/>
      <c r="N329" s="860"/>
      <c r="P329" s="603"/>
    </row>
    <row r="330" spans="1:19" ht="12.75" customHeight="1" x14ac:dyDescent="0.3">
      <c r="A330" s="98" t="s">
        <v>2874</v>
      </c>
      <c r="B330" s="860"/>
      <c r="C330" s="860"/>
      <c r="D330" s="860"/>
      <c r="E330" s="860"/>
      <c r="F330" s="860"/>
      <c r="G330" s="860"/>
      <c r="H330" s="860"/>
      <c r="I330" s="862"/>
      <c r="J330" s="792" t="str">
        <f t="shared" si="18"/>
        <v/>
      </c>
      <c r="K330" s="863"/>
      <c r="L330" s="863"/>
      <c r="M330" s="860"/>
      <c r="N330" s="860"/>
      <c r="P330" s="603"/>
    </row>
    <row r="331" spans="1:19" ht="12.75" customHeight="1" x14ac:dyDescent="0.3">
      <c r="A331" s="860"/>
      <c r="B331" s="860"/>
      <c r="C331" s="860"/>
      <c r="D331" s="860"/>
      <c r="E331" s="860"/>
      <c r="F331" s="860"/>
      <c r="G331" s="860"/>
      <c r="H331" s="860"/>
      <c r="I331" s="862"/>
      <c r="J331" s="792" t="str">
        <f t="shared" si="18"/>
        <v/>
      </c>
      <c r="K331" s="863"/>
      <c r="L331" s="886"/>
      <c r="M331" s="860"/>
      <c r="N331" s="860"/>
      <c r="P331" s="603"/>
    </row>
    <row r="332" spans="1:19" ht="12.75" customHeight="1" x14ac:dyDescent="0.3">
      <c r="A332" s="864" t="s">
        <v>947</v>
      </c>
      <c r="B332" s="864"/>
      <c r="C332" s="864"/>
      <c r="D332" s="864"/>
      <c r="E332" s="864"/>
      <c r="F332" s="864"/>
      <c r="G332" s="865" t="s">
        <v>258</v>
      </c>
      <c r="H332" s="865" t="s">
        <v>274</v>
      </c>
      <c r="I332" s="864" t="s">
        <v>259</v>
      </c>
      <c r="J332" s="910" t="s">
        <v>2875</v>
      </c>
      <c r="K332" s="867" t="s">
        <v>260</v>
      </c>
      <c r="L332" s="867" t="s">
        <v>261</v>
      </c>
      <c r="M332" s="864"/>
      <c r="N332" s="865" t="s">
        <v>262</v>
      </c>
      <c r="P332" s="603"/>
    </row>
    <row r="333" spans="1:19" ht="12.75" customHeight="1" x14ac:dyDescent="0.3">
      <c r="A333" s="821"/>
      <c r="B333" s="821"/>
      <c r="C333" s="860"/>
      <c r="D333" s="860"/>
      <c r="E333" s="860"/>
      <c r="F333" s="860"/>
      <c r="G333" s="860"/>
      <c r="H333" s="860"/>
      <c r="I333" s="862"/>
      <c r="J333" s="792" t="str">
        <f t="shared" ref="J333:J367" si="19">IF(HLOOKUP(CaseName,CaseData,ROW()+1421,FALSE)="","",HLOOKUP(CaseName,CaseData,ROW()+1421,FALSE))</f>
        <v/>
      </c>
      <c r="K333" s="863"/>
      <c r="L333" s="886"/>
      <c r="M333" s="860"/>
      <c r="N333" s="860"/>
      <c r="P333" s="603"/>
    </row>
    <row r="334" spans="1:19" ht="12.75" customHeight="1" x14ac:dyDescent="0.3">
      <c r="A334" s="821" t="s">
        <v>948</v>
      </c>
      <c r="B334" s="860"/>
      <c r="C334" s="860"/>
      <c r="D334" s="860"/>
      <c r="E334" s="860"/>
      <c r="F334" s="860"/>
      <c r="G334" s="821" t="s">
        <v>2876</v>
      </c>
      <c r="H334" s="860" t="s">
        <v>4683</v>
      </c>
      <c r="I334" s="921"/>
      <c r="J334" s="792" t="str">
        <f>IF(ISBLANK(HLOOKUP(CaseName,CaseData,MATCH($G334,cases!$G$4:$G$2494,0),FALSE)),"",HLOOKUP(CaseName,CaseData,MATCH($G334,cases!$G$4:$G$2494,0),FALSE))</f>
        <v/>
      </c>
      <c r="K334" s="874">
        <f>L340*L343*(1-L348)</f>
        <v>4.249998725E+16</v>
      </c>
      <c r="L334" s="794">
        <f t="shared" ref="L334:L339" si="20">IF(ISBLANK(I334),IF(ISNUMBER(J334)=FALSE,K334,J334),I334)</f>
        <v>4.249998725E+16</v>
      </c>
      <c r="M334" s="821" t="s">
        <v>951</v>
      </c>
      <c r="N334" s="860"/>
      <c r="P334" s="603"/>
    </row>
    <row r="335" spans="1:19" ht="12.75" customHeight="1" x14ac:dyDescent="0.3">
      <c r="A335" s="796" t="s">
        <v>1871</v>
      </c>
      <c r="B335" s="797"/>
      <c r="C335" s="797"/>
      <c r="D335" s="797"/>
      <c r="E335" s="797"/>
      <c r="F335" s="797"/>
      <c r="G335" s="796" t="s">
        <v>2877</v>
      </c>
      <c r="H335" s="797" t="s">
        <v>4683</v>
      </c>
      <c r="I335" s="922"/>
      <c r="J335" s="792" t="str">
        <f>IF(ISBLANK(HLOOKUP(CaseName,CaseData,MATCH($G335,cases!$G$4:$G$2494,0),FALSE)),"",HLOOKUP(CaseName,CaseData,MATCH($G335,cases!$G$4:$G$2494,0),FALSE))</f>
        <v/>
      </c>
      <c r="K335" s="923">
        <f>L348*L334</f>
        <v>12749996175</v>
      </c>
      <c r="L335" s="924">
        <f t="shared" si="20"/>
        <v>12749996175</v>
      </c>
      <c r="M335" s="796" t="s">
        <v>951</v>
      </c>
      <c r="N335" s="797"/>
      <c r="P335" s="603"/>
    </row>
    <row r="336" spans="1:19" ht="12.75" customHeight="1" x14ac:dyDescent="0.3">
      <c r="A336" s="860" t="s">
        <v>4797</v>
      </c>
      <c r="B336" s="860"/>
      <c r="C336" s="860"/>
      <c r="D336" s="860"/>
      <c r="E336" s="860"/>
      <c r="F336" s="860"/>
      <c r="G336" s="821" t="s">
        <v>2878</v>
      </c>
      <c r="H336" s="860" t="s">
        <v>4683</v>
      </c>
      <c r="I336" s="921"/>
      <c r="J336" s="792" t="str">
        <f>IF(ISBLANK(HLOOKUP(CaseName,CaseData,MATCH($G336,cases!$G$4:$G$2494,0),FALSE)),"",HLOOKUP(CaseName,CaseData,MATCH($G336,cases!$G$4:$G$2494,0),FALSE))</f>
        <v/>
      </c>
      <c r="K336" s="874">
        <f>L340*L344*L341</f>
        <v>2550000000000000</v>
      </c>
      <c r="L336" s="794">
        <f t="shared" si="20"/>
        <v>2550000000000000</v>
      </c>
      <c r="M336" s="821" t="s">
        <v>951</v>
      </c>
      <c r="N336" s="860"/>
      <c r="P336" s="603"/>
    </row>
    <row r="337" spans="1:16" ht="12.75" customHeight="1" x14ac:dyDescent="0.3">
      <c r="A337" s="821" t="s">
        <v>2879</v>
      </c>
      <c r="B337" s="860"/>
      <c r="C337" s="860"/>
      <c r="D337" s="860"/>
      <c r="E337" s="860"/>
      <c r="F337" s="860"/>
      <c r="G337" s="821" t="s">
        <v>2880</v>
      </c>
      <c r="H337" s="860" t="s">
        <v>4683</v>
      </c>
      <c r="I337" s="921"/>
      <c r="J337" s="792" t="str">
        <f>IF(ISBLANK(HLOOKUP(CaseName,CaseData,MATCH($G337,cases!$G$4:$G$2494,0),FALSE)),"",HLOOKUP(CaseName,CaseData,MATCH($G337,cases!$G$4:$G$2494,0),FALSE))</f>
        <v/>
      </c>
      <c r="K337" s="874">
        <f>L340*L345*L341</f>
        <v>7.65E+16</v>
      </c>
      <c r="L337" s="794">
        <f t="shared" si="20"/>
        <v>7.65E+16</v>
      </c>
      <c r="M337" s="821" t="s">
        <v>951</v>
      </c>
      <c r="N337" s="860"/>
      <c r="P337" s="603"/>
    </row>
    <row r="338" spans="1:16" ht="12.75" customHeight="1" x14ac:dyDescent="0.3">
      <c r="A338" s="821" t="s">
        <v>2470</v>
      </c>
      <c r="B338" s="860"/>
      <c r="C338" s="860"/>
      <c r="D338" s="860"/>
      <c r="E338" s="860"/>
      <c r="F338" s="860"/>
      <c r="G338" s="821" t="s">
        <v>2881</v>
      </c>
      <c r="H338" s="860" t="s">
        <v>4683</v>
      </c>
      <c r="I338" s="921"/>
      <c r="J338" s="792" t="str">
        <f>IF(ISBLANK(HLOOKUP(CaseName,CaseData,MATCH($G338,cases!$G$4:$G$2494,0),FALSE)),"",HLOOKUP(CaseName,CaseData,MATCH($G338,cases!$G$4:$G$2494,0),FALSE))</f>
        <v/>
      </c>
      <c r="K338" s="874">
        <f>L340*L346*L341</f>
        <v>765000000000</v>
      </c>
      <c r="L338" s="794">
        <f t="shared" si="20"/>
        <v>765000000000</v>
      </c>
      <c r="M338" s="821" t="s">
        <v>951</v>
      </c>
      <c r="N338" s="860"/>
      <c r="P338" s="603"/>
    </row>
    <row r="339" spans="1:16" ht="12.75" customHeight="1" x14ac:dyDescent="0.3">
      <c r="A339" s="821" t="s">
        <v>2472</v>
      </c>
      <c r="B339" s="860"/>
      <c r="C339" s="860"/>
      <c r="D339" s="860"/>
      <c r="E339" s="860"/>
      <c r="F339" s="860"/>
      <c r="G339" s="821" t="s">
        <v>2882</v>
      </c>
      <c r="H339" s="860" t="s">
        <v>4683</v>
      </c>
      <c r="I339" s="921"/>
      <c r="J339" s="792" t="str">
        <f>IF(ISBLANK(HLOOKUP(CaseName,CaseData,MATCH($G339,cases!$G$4:$G$2494,0),FALSE)),"",HLOOKUP(CaseName,CaseData,MATCH($G339,cases!$G$4:$G$2494,0),FALSE))</f>
        <v/>
      </c>
      <c r="K339" s="874">
        <f>L340*L342*L347</f>
        <v>850000000000</v>
      </c>
      <c r="L339" s="794">
        <f t="shared" si="20"/>
        <v>850000000000</v>
      </c>
      <c r="M339" s="821" t="s">
        <v>951</v>
      </c>
      <c r="N339" s="860"/>
      <c r="P339" s="603"/>
    </row>
    <row r="340" spans="1:16" ht="12.75" customHeight="1" x14ac:dyDescent="0.3">
      <c r="A340" s="860"/>
      <c r="B340" s="821" t="s">
        <v>2883</v>
      </c>
      <c r="C340" s="860"/>
      <c r="D340" s="860"/>
      <c r="E340" s="860"/>
      <c r="F340" s="860"/>
      <c r="G340" s="821" t="s">
        <v>2884</v>
      </c>
      <c r="H340" s="860" t="s">
        <v>4684</v>
      </c>
      <c r="I340" s="920"/>
      <c r="J340" s="792" t="str">
        <f>IF(ISBLANK(HLOOKUP(CaseName,CaseData,MATCH($G340,cases!$G$4:$G$2494,0),FALSE)),"",HLOOKUP(CaseName,CaseData,MATCH($G340,cases!$G$4:$G$2494,0),FALSE))</f>
        <v/>
      </c>
      <c r="K340" s="874">
        <v>42500000</v>
      </c>
      <c r="L340" s="794">
        <f>IF(ISBLANK(I340),IF(ISNUMBER(J340)=FALSE,K340*1000000,J340*1000000),I340*1000000)</f>
        <v>42500000000000</v>
      </c>
      <c r="M340" s="821" t="s">
        <v>673</v>
      </c>
      <c r="N340" s="860"/>
      <c r="P340" s="603"/>
    </row>
    <row r="341" spans="1:16" ht="12.75" customHeight="1" x14ac:dyDescent="0.3">
      <c r="A341" s="860"/>
      <c r="B341" s="821" t="s">
        <v>4767</v>
      </c>
      <c r="C341" s="860"/>
      <c r="D341" s="860"/>
      <c r="E341" s="860"/>
      <c r="F341" s="860"/>
      <c r="G341" s="872" t="s">
        <v>2885</v>
      </c>
      <c r="H341" s="860" t="s">
        <v>291</v>
      </c>
      <c r="I341" s="921"/>
      <c r="J341" s="792" t="str">
        <f>IF(ISBLANK(HLOOKUP(CaseName,CaseData,MATCH($G341,cases!$G$4:$G$2494,0),FALSE)),"",HLOOKUP(CaseName,CaseData,MATCH($G341,cases!$G$4:$G$2494,0),FALSE))</f>
        <v/>
      </c>
      <c r="K341" s="874">
        <v>0.6</v>
      </c>
      <c r="L341" s="794">
        <f>IF(ISBLANK(I341),IF(ISNUMBER(J341)=FALSE,K341,J341),I341)</f>
        <v>0.6</v>
      </c>
      <c r="M341" s="860" t="s">
        <v>292</v>
      </c>
      <c r="N341" s="860"/>
      <c r="P341" s="603"/>
    </row>
    <row r="342" spans="1:16" ht="12.75" customHeight="1" x14ac:dyDescent="0.3">
      <c r="A342" s="860"/>
      <c r="B342" s="821" t="s">
        <v>4768</v>
      </c>
      <c r="C342" s="860"/>
      <c r="D342" s="860"/>
      <c r="E342" s="860"/>
      <c r="F342" s="860"/>
      <c r="G342" s="872" t="s">
        <v>2886</v>
      </c>
      <c r="H342" s="860" t="s">
        <v>291</v>
      </c>
      <c r="I342" s="921"/>
      <c r="J342" s="792" t="str">
        <f>IF(ISBLANK(HLOOKUP(CaseName,CaseData,MATCH($G342,cases!$G$4:$G$2494,0),FALSE)),"",HLOOKUP(CaseName,CaseData,MATCH($G342,cases!$G$4:$G$2494,0),FALSE))</f>
        <v/>
      </c>
      <c r="K342" s="874">
        <f>1-L341</f>
        <v>0.4</v>
      </c>
      <c r="L342" s="794">
        <f>IF(ISBLANK(I342),IF(ISNUMBER(J342)=FALSE,K342,J342),I342)</f>
        <v>0.4</v>
      </c>
      <c r="M342" s="860" t="s">
        <v>292</v>
      </c>
      <c r="N342" s="860"/>
      <c r="P342" s="603"/>
    </row>
    <row r="343" spans="1:16" ht="12.75" customHeight="1" x14ac:dyDescent="0.3">
      <c r="A343" s="860"/>
      <c r="B343" s="860"/>
      <c r="C343" s="821" t="s">
        <v>987</v>
      </c>
      <c r="D343" s="860"/>
      <c r="E343" s="860"/>
      <c r="F343" s="860"/>
      <c r="G343" s="872" t="s">
        <v>2887</v>
      </c>
      <c r="H343" s="821" t="s">
        <v>813</v>
      </c>
      <c r="I343" s="921"/>
      <c r="J343" s="792" t="str">
        <f>IF(ISBLANK(HLOOKUP(CaseName,CaseData,MATCH($G343,cases!$G$4:$G$2494,0),FALSE)),"",HLOOKUP(CaseName,CaseData,MATCH($G343,cases!$G$4:$G$2494,0),FALSE))</f>
        <v/>
      </c>
      <c r="K343" s="874">
        <v>1000</v>
      </c>
      <c r="L343" s="794">
        <f>IF(ISBLANK(I343),IF(ISNUMBER(J343)=FALSE,K343,J343),I343)</f>
        <v>1000</v>
      </c>
      <c r="M343" s="821" t="s">
        <v>279</v>
      </c>
      <c r="N343" s="860"/>
      <c r="P343" s="603"/>
    </row>
    <row r="344" spans="1:16" ht="12.75" customHeight="1" x14ac:dyDescent="0.3">
      <c r="A344" s="860"/>
      <c r="B344" s="860"/>
      <c r="C344" s="821" t="s">
        <v>2888</v>
      </c>
      <c r="D344" s="860"/>
      <c r="E344" s="860"/>
      <c r="F344" s="860"/>
      <c r="G344" s="872" t="s">
        <v>2889</v>
      </c>
      <c r="H344" s="821" t="s">
        <v>813</v>
      </c>
      <c r="I344" s="920"/>
      <c r="J344" s="792" t="str">
        <f>IF(ISBLANK(HLOOKUP(CaseName,CaseData,MATCH($G344,cases!$G$4:$G$2494,0),FALSE)),"",HLOOKUP(CaseName,CaseData,MATCH($G344,cases!$G$4:$G$2494,0),FALSE))</f>
        <v/>
      </c>
      <c r="K344" s="874">
        <v>100</v>
      </c>
      <c r="L344" s="794">
        <f>IF(ISBLANK(I344),IF(ISNUMBER(J344)=FALSE,K344,J344),I344)</f>
        <v>100</v>
      </c>
      <c r="M344" s="821" t="s">
        <v>279</v>
      </c>
      <c r="N344" s="860"/>
      <c r="P344" s="603"/>
    </row>
    <row r="345" spans="1:16" ht="12.75" customHeight="1" x14ac:dyDescent="0.3">
      <c r="A345" s="860"/>
      <c r="B345" s="860"/>
      <c r="C345" s="821" t="s">
        <v>2890</v>
      </c>
      <c r="D345" s="860"/>
      <c r="E345" s="860"/>
      <c r="F345" s="860"/>
      <c r="G345" s="872" t="s">
        <v>2891</v>
      </c>
      <c r="H345" s="821" t="s">
        <v>813</v>
      </c>
      <c r="I345" s="921"/>
      <c r="J345" s="792" t="str">
        <f>IF(ISBLANK(HLOOKUP(CaseName,CaseData,MATCH($G345,cases!$G$4:$G$2494,0),FALSE)),"",HLOOKUP(CaseName,CaseData,MATCH($G345,cases!$G$4:$G$2494,0),FALSE))</f>
        <v/>
      </c>
      <c r="K345" s="874">
        <v>3000</v>
      </c>
      <c r="L345" s="794">
        <f>IF(ISBLANK(I345),IF(ISNUMBER(J345)=FALSE,K345,J345),I345)</f>
        <v>3000</v>
      </c>
      <c r="M345" s="821" t="s">
        <v>279</v>
      </c>
      <c r="N345" s="860"/>
      <c r="P345" s="603"/>
    </row>
    <row r="346" spans="1:16" ht="12.75" customHeight="1" x14ac:dyDescent="0.3">
      <c r="A346" s="860"/>
      <c r="B346" s="860"/>
      <c r="C346" s="821" t="s">
        <v>2483</v>
      </c>
      <c r="D346" s="860"/>
      <c r="E346" s="860"/>
      <c r="F346" s="860"/>
      <c r="G346" s="872" t="s">
        <v>2892</v>
      </c>
      <c r="H346" s="821" t="s">
        <v>997</v>
      </c>
      <c r="I346" s="921"/>
      <c r="J346" s="792" t="str">
        <f>IF(ISBLANK(HLOOKUP(CaseName,CaseData,MATCH($G346,cases!$G$4:$G$2494,0),FALSE)),"",HLOOKUP(CaseName,CaseData,MATCH($G346,cases!$G$4:$G$2494,0),FALSE))</f>
        <v/>
      </c>
      <c r="K346" s="874">
        <v>3</v>
      </c>
      <c r="L346" s="794">
        <f>IF(ISBLANK(I346),IF(ISNUMBER(J346)=FALSE,K346/100,J346/100),I346/100)</f>
        <v>0.03</v>
      </c>
      <c r="M346" s="821" t="s">
        <v>279</v>
      </c>
      <c r="N346" s="860"/>
    </row>
    <row r="347" spans="1:16" ht="12.75" customHeight="1" x14ac:dyDescent="0.3">
      <c r="A347" s="821"/>
      <c r="B347" s="860"/>
      <c r="C347" s="821" t="s">
        <v>4769</v>
      </c>
      <c r="D347" s="872"/>
      <c r="E347" s="872"/>
      <c r="F347" s="872"/>
      <c r="G347" s="872" t="s">
        <v>2893</v>
      </c>
      <c r="H347" s="821" t="s">
        <v>813</v>
      </c>
      <c r="I347" s="925"/>
      <c r="J347" s="792" t="str">
        <f>IF(ISBLANK(HLOOKUP(CaseName,CaseData,MATCH($G347,cases!$G$4:$G$2494,0),FALSE)),"",HLOOKUP(CaseName,CaseData,MATCH($G347,cases!$G$4:$G$2494,0),FALSE))</f>
        <v/>
      </c>
      <c r="K347" s="874">
        <v>0.05</v>
      </c>
      <c r="L347" s="794">
        <f t="shared" ref="L347:L355" si="21">IF(ISBLANK(I347),IF(ISNUMBER(J347)=FALSE,K347,J347),I347)</f>
        <v>0.05</v>
      </c>
      <c r="M347" s="860" t="s">
        <v>279</v>
      </c>
      <c r="N347" s="860"/>
    </row>
    <row r="348" spans="1:16" ht="12.75" customHeight="1" x14ac:dyDescent="0.3">
      <c r="A348" s="797"/>
      <c r="B348" s="797"/>
      <c r="C348" s="797" t="s">
        <v>1005</v>
      </c>
      <c r="D348" s="797"/>
      <c r="E348" s="797"/>
      <c r="F348" s="797"/>
      <c r="G348" s="796" t="s">
        <v>4798</v>
      </c>
      <c r="H348" s="796" t="s">
        <v>1007</v>
      </c>
      <c r="I348" s="926"/>
      <c r="J348" s="792" t="str">
        <f>IF(ISBLANK(HLOOKUP(CaseName,CaseData,MATCH($G348,cases!$G$4:$G$2494,0),FALSE)),"",HLOOKUP(CaseName,CaseData,MATCH($G348,cases!$G$4:$G$2494,0),FALSE))</f>
        <v/>
      </c>
      <c r="K348" s="923">
        <v>2.9999999999999999E-7</v>
      </c>
      <c r="L348" s="924">
        <f t="shared" si="21"/>
        <v>2.9999999999999999E-7</v>
      </c>
      <c r="M348" s="796" t="s">
        <v>292</v>
      </c>
      <c r="N348" s="797" t="s">
        <v>1008</v>
      </c>
    </row>
    <row r="349" spans="1:16" ht="12.75" customHeight="1" x14ac:dyDescent="0.3">
      <c r="A349" s="860"/>
      <c r="B349" s="860"/>
      <c r="C349" s="860" t="s">
        <v>1009</v>
      </c>
      <c r="D349" s="860"/>
      <c r="E349" s="860"/>
      <c r="F349" s="860"/>
      <c r="G349" s="821" t="s">
        <v>4799</v>
      </c>
      <c r="H349" s="821" t="s">
        <v>1007</v>
      </c>
      <c r="I349" s="925"/>
      <c r="J349" s="792" t="str">
        <f>IF(ISBLANK(HLOOKUP(CaseName,CaseData,MATCH($G349,cases!$G$4:$G$2494,0),FALSE)),"",HLOOKUP(CaseName,CaseData,MATCH($G349,cases!$G$4:$G$2494,0),FALSE))</f>
        <v/>
      </c>
      <c r="K349" s="874">
        <v>1.9999999999999999E-11</v>
      </c>
      <c r="L349" s="794">
        <f t="shared" si="21"/>
        <v>1.9999999999999999E-11</v>
      </c>
      <c r="M349" s="821" t="s">
        <v>292</v>
      </c>
      <c r="N349" s="860" t="s">
        <v>1011</v>
      </c>
    </row>
    <row r="350" spans="1:16" ht="12.75" customHeight="1" x14ac:dyDescent="0.3">
      <c r="A350" s="860"/>
      <c r="B350" s="860"/>
      <c r="C350" s="860" t="s">
        <v>1012</v>
      </c>
      <c r="D350" s="860"/>
      <c r="E350" s="860"/>
      <c r="F350" s="860"/>
      <c r="G350" s="821" t="s">
        <v>4800</v>
      </c>
      <c r="H350" s="821" t="s">
        <v>1007</v>
      </c>
      <c r="I350" s="925"/>
      <c r="J350" s="792" t="str">
        <f>IF(ISBLANK(HLOOKUP(CaseName,CaseData,MATCH($G350,cases!$G$4:$G$2494,0),FALSE)),"",HLOOKUP(CaseName,CaseData,MATCH($G350,cases!$G$4:$G$2494,0),FALSE))</f>
        <v/>
      </c>
      <c r="K350" s="874">
        <v>1.9999999999999999E-11</v>
      </c>
      <c r="L350" s="794">
        <f t="shared" si="21"/>
        <v>1.9999999999999999E-11</v>
      </c>
      <c r="M350" s="821" t="s">
        <v>292</v>
      </c>
      <c r="N350" s="860" t="s">
        <v>1011</v>
      </c>
    </row>
    <row r="351" spans="1:16" ht="12.75" customHeight="1" x14ac:dyDescent="0.3">
      <c r="A351" s="860"/>
      <c r="B351" s="860"/>
      <c r="C351" s="821" t="s">
        <v>2489</v>
      </c>
      <c r="D351" s="872"/>
      <c r="E351" s="872"/>
      <c r="F351" s="872"/>
      <c r="G351" s="872" t="s">
        <v>2897</v>
      </c>
      <c r="H351" s="821" t="s">
        <v>1007</v>
      </c>
      <c r="I351" s="921"/>
      <c r="J351" s="792" t="str">
        <f>IF(ISBLANK(HLOOKUP(CaseName,CaseData,MATCH($G351,cases!$G$4:$G$2494,0),FALSE)),"",HLOOKUP(CaseName,CaseData,MATCH($G351,cases!$G$4:$G$2494,0),FALSE))</f>
        <v/>
      </c>
      <c r="K351" s="874">
        <v>0.2</v>
      </c>
      <c r="L351" s="794">
        <f t="shared" si="21"/>
        <v>0.2</v>
      </c>
      <c r="M351" s="860" t="s">
        <v>292</v>
      </c>
      <c r="N351" s="860"/>
    </row>
    <row r="352" spans="1:16" ht="12.75" customHeight="1" x14ac:dyDescent="0.3">
      <c r="A352" s="860"/>
      <c r="B352" s="860"/>
      <c r="C352" s="821" t="s">
        <v>2491</v>
      </c>
      <c r="D352" s="860"/>
      <c r="E352" s="860"/>
      <c r="F352" s="860"/>
      <c r="G352" s="872" t="s">
        <v>2898</v>
      </c>
      <c r="H352" s="821" t="s">
        <v>1007</v>
      </c>
      <c r="I352" s="921"/>
      <c r="J352" s="792" t="str">
        <f>IF(ISBLANK(HLOOKUP(CaseName,CaseData,MATCH($G352,cases!$G$4:$G$2494,0),FALSE)),"",HLOOKUP(CaseName,CaseData,MATCH($G352,cases!$G$4:$G$2494,0),FALSE))</f>
        <v/>
      </c>
      <c r="K352" s="874">
        <v>0.2</v>
      </c>
      <c r="L352" s="794">
        <f t="shared" si="21"/>
        <v>0.2</v>
      </c>
      <c r="M352" s="860" t="s">
        <v>292</v>
      </c>
      <c r="N352" s="860"/>
    </row>
    <row r="353" spans="1:14" ht="12.75" customHeight="1" x14ac:dyDescent="0.3">
      <c r="A353" s="860"/>
      <c r="B353" s="860"/>
      <c r="C353" s="821" t="s">
        <v>2493</v>
      </c>
      <c r="D353" s="860"/>
      <c r="E353" s="860"/>
      <c r="F353" s="860"/>
      <c r="G353" s="872" t="s">
        <v>2899</v>
      </c>
      <c r="H353" s="821" t="s">
        <v>1007</v>
      </c>
      <c r="I353" s="921"/>
      <c r="J353" s="792" t="str">
        <f>IF(ISBLANK(HLOOKUP(CaseName,CaseData,MATCH($G353,cases!$G$4:$G$2494,0),FALSE)),"",HLOOKUP(CaseName,CaseData,MATCH($G353,cases!$G$4:$G$2494,0),FALSE))</f>
        <v/>
      </c>
      <c r="K353" s="874">
        <f>1-L351-L352</f>
        <v>0.60000000000000009</v>
      </c>
      <c r="L353" s="794">
        <f t="shared" si="21"/>
        <v>0.60000000000000009</v>
      </c>
      <c r="M353" s="860" t="s">
        <v>292</v>
      </c>
      <c r="N353" s="860"/>
    </row>
    <row r="354" spans="1:14" ht="12.75" customHeight="1" x14ac:dyDescent="0.3">
      <c r="A354" s="821"/>
      <c r="B354" s="860"/>
      <c r="C354" s="821" t="s">
        <v>1032</v>
      </c>
      <c r="D354" s="872"/>
      <c r="E354" s="872"/>
      <c r="F354" s="872"/>
      <c r="G354" s="872" t="s">
        <v>2900</v>
      </c>
      <c r="H354" s="821" t="s">
        <v>1007</v>
      </c>
      <c r="I354" s="921"/>
      <c r="J354" s="792" t="str">
        <f>IF(ISBLANK(HLOOKUP(CaseName,CaseData,MATCH($G354,cases!$G$4:$G$2494,0),FALSE)),"",HLOOKUP(CaseName,CaseData,MATCH($G354,cases!$G$4:$G$2494,0),FALSE))</f>
        <v/>
      </c>
      <c r="K354" s="874">
        <v>0.8</v>
      </c>
      <c r="L354" s="794">
        <f t="shared" si="21"/>
        <v>0.8</v>
      </c>
      <c r="M354" s="821" t="s">
        <v>292</v>
      </c>
      <c r="N354" s="860"/>
    </row>
    <row r="355" spans="1:14" ht="12.75" customHeight="1" x14ac:dyDescent="0.3">
      <c r="A355" s="821"/>
      <c r="B355" s="860"/>
      <c r="C355" s="821" t="s">
        <v>2901</v>
      </c>
      <c r="D355" s="872"/>
      <c r="E355" s="872"/>
      <c r="F355" s="872"/>
      <c r="G355" s="872" t="s">
        <v>2902</v>
      </c>
      <c r="H355" s="821" t="s">
        <v>1007</v>
      </c>
      <c r="I355" s="921"/>
      <c r="J355" s="792" t="str">
        <f>IF(ISBLANK(HLOOKUP(CaseName,CaseData,MATCH($G355,cases!$G$4:$G$2494,0),FALSE)),"",HLOOKUP(CaseName,CaseData,MATCH($G355,cases!$G$4:$G$2494,0),FALSE))</f>
        <v/>
      </c>
      <c r="K355" s="874">
        <f>1-L354</f>
        <v>0.19999999999999996</v>
      </c>
      <c r="L355" s="794">
        <f t="shared" si="21"/>
        <v>0.19999999999999996</v>
      </c>
      <c r="M355" s="821" t="s">
        <v>292</v>
      </c>
      <c r="N355" s="860"/>
    </row>
    <row r="356" spans="1:14" ht="12.75" customHeight="1" x14ac:dyDescent="0.3">
      <c r="A356" s="860"/>
      <c r="B356" s="860"/>
      <c r="C356" s="860"/>
      <c r="D356" s="860"/>
      <c r="E356" s="860"/>
      <c r="F356" s="860"/>
      <c r="G356" s="860"/>
      <c r="H356" s="860"/>
      <c r="I356" s="790"/>
      <c r="J356" s="792" t="str">
        <f>IF(ISBLANK(HLOOKUP(CaseName,CaseData,MATCH($G356,cases!$G$4:$G$2494,0),FALSE)),"",HLOOKUP(CaseName,CaseData,MATCH($G356,cases!$G$4:$G$2494,0),FALSE))</f>
        <v/>
      </c>
      <c r="K356" s="886"/>
      <c r="L356" s="886"/>
      <c r="M356" s="860"/>
      <c r="N356" s="860"/>
    </row>
    <row r="357" spans="1:14" ht="12.75" customHeight="1" x14ac:dyDescent="0.3">
      <c r="A357" s="821" t="s">
        <v>2903</v>
      </c>
      <c r="B357" s="860"/>
      <c r="C357" s="860"/>
      <c r="D357" s="860"/>
      <c r="E357" s="860"/>
      <c r="F357" s="860"/>
      <c r="G357" s="821" t="s">
        <v>2904</v>
      </c>
      <c r="H357" s="821" t="s">
        <v>4690</v>
      </c>
      <c r="I357" s="920"/>
      <c r="J357" s="792" t="str">
        <f>IF(ISBLANK(HLOOKUP(CaseName,CaseData,MATCH($G357,cases!$G$4:$G$2494,0),FALSE)),"",HLOOKUP(CaseName,CaseData,MATCH($G357,cases!$G$4:$G$2494,0),FALSE))</f>
        <v/>
      </c>
      <c r="K357" s="874">
        <f>1/L358</f>
        <v>6.9234185224561193E-7</v>
      </c>
      <c r="L357" s="794">
        <f>IF(ISBLANK(I357),IF(ISNUMBER(J357)=FALSE,K357,J357),I357)</f>
        <v>6.9234185224561193E-7</v>
      </c>
      <c r="M357" s="860" t="s">
        <v>1038</v>
      </c>
      <c r="N357" s="860"/>
    </row>
    <row r="358" spans="1:14" ht="12.75" customHeight="1" x14ac:dyDescent="0.3">
      <c r="A358" s="821"/>
      <c r="B358" s="821" t="s">
        <v>2905</v>
      </c>
      <c r="C358" s="860"/>
      <c r="D358" s="860"/>
      <c r="E358" s="860"/>
      <c r="F358" s="860"/>
      <c r="G358" s="821" t="s">
        <v>2906</v>
      </c>
      <c r="H358" s="860" t="s">
        <v>1041</v>
      </c>
      <c r="I358" s="921"/>
      <c r="J358" s="792" t="str">
        <f>IF(ISBLANK(HLOOKUP(CaseName,CaseData,MATCH($G358,cases!$G$4:$G$2494,0),FALSE)),"",HLOOKUP(CaseName,CaseData,MATCH($G358,cases!$G$4:$G$2494,0),FALSE))</f>
        <v/>
      </c>
      <c r="K358" s="874">
        <f>1.5*(0.5*SQRT(L340*PI()/4)/L422)/(3600*24)</f>
        <v>16.717282129534052</v>
      </c>
      <c r="L358" s="794">
        <f>IF(ISBLANK(I358),IF(ISNUMBER(J358)=FALSE,K358*(3600*24),J358*(3600*24)),I358*(3600*24))</f>
        <v>1444373.1759917422</v>
      </c>
      <c r="M358" s="821" t="s">
        <v>1042</v>
      </c>
      <c r="N358" s="860"/>
    </row>
    <row r="359" spans="1:14" ht="12.75" customHeight="1" x14ac:dyDescent="0.3">
      <c r="A359" s="860"/>
      <c r="B359" s="860"/>
      <c r="C359" s="860"/>
      <c r="D359" s="860"/>
      <c r="E359" s="860"/>
      <c r="F359" s="860"/>
      <c r="G359" s="860"/>
      <c r="H359" s="860"/>
      <c r="I359" s="790"/>
      <c r="J359" s="792" t="str">
        <f>IF(ISBLANK(HLOOKUP(CaseName,CaseData,MATCH($G359,cases!$G$4:$G$2494,0),FALSE)),"",HLOOKUP(CaseName,CaseData,MATCH($G359,cases!$G$4:$G$2494,0),FALSE))</f>
        <v/>
      </c>
      <c r="K359" s="886"/>
      <c r="L359" s="886"/>
      <c r="M359" s="860"/>
      <c r="N359" s="860"/>
    </row>
    <row r="360" spans="1:14" ht="12.75" customHeight="1" x14ac:dyDescent="0.3">
      <c r="A360" s="821" t="s">
        <v>2907</v>
      </c>
      <c r="B360" s="860"/>
      <c r="C360" s="860"/>
      <c r="D360" s="860"/>
      <c r="E360" s="860"/>
      <c r="F360" s="860"/>
      <c r="G360" s="821" t="s">
        <v>2908</v>
      </c>
      <c r="H360" s="821" t="s">
        <v>4690</v>
      </c>
      <c r="I360" s="920"/>
      <c r="J360" s="792" t="str">
        <f>IF(ISBLANK(HLOOKUP(CaseName,CaseData,MATCH($G360,cases!$G$4:$G$2494,0),FALSE)),"",HLOOKUP(CaseName,CaseData,MATCH($G360,cases!$G$4:$G$2494,0),FALSE))</f>
        <v/>
      </c>
      <c r="K360" s="870">
        <f>L362/L336</f>
        <v>0</v>
      </c>
      <c r="L360" s="794">
        <f t="shared" ref="L360:L365" si="22">IF(ISBLANK(I360),IF(ISNUMBER(J360)=FALSE,K360,J360),I360)</f>
        <v>0</v>
      </c>
      <c r="M360" s="860" t="s">
        <v>1038</v>
      </c>
      <c r="N360" s="860"/>
    </row>
    <row r="361" spans="1:14" ht="12.75" customHeight="1" x14ac:dyDescent="0.3">
      <c r="A361" s="821" t="s">
        <v>2909</v>
      </c>
      <c r="B361" s="860"/>
      <c r="C361" s="860"/>
      <c r="D361" s="860"/>
      <c r="E361" s="860"/>
      <c r="F361" s="860"/>
      <c r="G361" s="821" t="s">
        <v>2910</v>
      </c>
      <c r="H361" s="821" t="s">
        <v>4690</v>
      </c>
      <c r="I361" s="920"/>
      <c r="J361" s="792" t="str">
        <f>IF(ISBLANK(HLOOKUP(CaseName,CaseData,MATCH($G361,cases!$G$4:$G$2494,0),FALSE)),"",HLOOKUP(CaseName,CaseData,MATCH($G361,cases!$G$4:$G$2494,0),FALSE))</f>
        <v/>
      </c>
      <c r="K361" s="870">
        <f>L40/L337</f>
        <v>1.9607843137254903E-9</v>
      </c>
      <c r="L361" s="794">
        <f t="shared" si="22"/>
        <v>1.9607843137254903E-9</v>
      </c>
      <c r="M361" s="860" t="s">
        <v>1038</v>
      </c>
      <c r="N361" s="860"/>
    </row>
    <row r="362" spans="1:14" ht="12.75" customHeight="1" x14ac:dyDescent="0.3">
      <c r="A362" s="821"/>
      <c r="B362" s="821" t="s">
        <v>2911</v>
      </c>
      <c r="C362" s="860"/>
      <c r="D362" s="860"/>
      <c r="E362" s="860"/>
      <c r="F362" s="860"/>
      <c r="G362" s="872" t="s">
        <v>2912</v>
      </c>
      <c r="H362" s="860" t="s">
        <v>4691</v>
      </c>
      <c r="I362" s="921"/>
      <c r="J362" s="792" t="str">
        <f>IF(ISBLANK(HLOOKUP(CaseName,CaseData,MATCH($G362,cases!$G$4:$G$2494,0),FALSE)),"",HLOOKUP(CaseName,CaseData,MATCH($G362,cases!$G$4:$G$2494,0),FALSE))</f>
        <v/>
      </c>
      <c r="K362" s="870">
        <f>0</f>
        <v>0</v>
      </c>
      <c r="L362" s="794">
        <f t="shared" si="22"/>
        <v>0</v>
      </c>
      <c r="M362" s="860" t="s">
        <v>4692</v>
      </c>
      <c r="N362" s="860"/>
    </row>
    <row r="363" spans="1:14" ht="12.75" customHeight="1" x14ac:dyDescent="0.3">
      <c r="A363" s="821" t="s">
        <v>2913</v>
      </c>
      <c r="B363" s="860"/>
      <c r="C363" s="860"/>
      <c r="D363" s="860"/>
      <c r="E363" s="860"/>
      <c r="F363" s="860"/>
      <c r="G363" s="821" t="s">
        <v>2914</v>
      </c>
      <c r="H363" s="821" t="s">
        <v>4690</v>
      </c>
      <c r="I363" s="921"/>
      <c r="J363" s="792" t="str">
        <f>IF(ISBLANK(HLOOKUP(CaseName,CaseData,MATCH($G363,cases!$G$4:$G$2494,0),FALSE)),"",HLOOKUP(CaseName,CaseData,MATCH($G363,cases!$G$4:$G$2494,0),FALSE))</f>
        <v/>
      </c>
      <c r="K363" s="870">
        <f>(L40+L365)/L336</f>
        <v>2.6926123984947511E-7</v>
      </c>
      <c r="L363" s="794">
        <f t="shared" si="22"/>
        <v>2.6926123984947511E-7</v>
      </c>
      <c r="M363" s="860" t="s">
        <v>1038</v>
      </c>
      <c r="N363" s="860"/>
    </row>
    <row r="364" spans="1:14" ht="12.75" customHeight="1" x14ac:dyDescent="0.3">
      <c r="A364" s="821" t="s">
        <v>2915</v>
      </c>
      <c r="B364" s="860"/>
      <c r="C364" s="860"/>
      <c r="D364" s="860"/>
      <c r="E364" s="860"/>
      <c r="F364" s="860"/>
      <c r="G364" s="821" t="s">
        <v>2916</v>
      </c>
      <c r="H364" s="821" t="s">
        <v>4690</v>
      </c>
      <c r="I364" s="920"/>
      <c r="J364" s="792" t="str">
        <f>IF(ISBLANK(HLOOKUP(CaseName,CaseData,MATCH($G364,cases!$G$4:$G$2494,0),FALSE)),"",HLOOKUP(CaseName,CaseData,MATCH($G364,cases!$G$4:$G$2494,0),FALSE))</f>
        <v/>
      </c>
      <c r="K364" s="870">
        <f>(L40+L365)/L337</f>
        <v>8.9753746616491718E-9</v>
      </c>
      <c r="L364" s="794">
        <f t="shared" si="22"/>
        <v>8.9753746616491718E-9</v>
      </c>
      <c r="M364" s="860" t="s">
        <v>1038</v>
      </c>
      <c r="N364" s="860"/>
    </row>
    <row r="365" spans="1:14" ht="12.75" customHeight="1" x14ac:dyDescent="0.3">
      <c r="A365" s="821"/>
      <c r="B365" s="860" t="s">
        <v>2522</v>
      </c>
      <c r="C365" s="860"/>
      <c r="D365" s="860"/>
      <c r="E365" s="860"/>
      <c r="F365" s="860"/>
      <c r="G365" s="821" t="s">
        <v>2917</v>
      </c>
      <c r="H365" s="860" t="s">
        <v>4691</v>
      </c>
      <c r="I365" s="875"/>
      <c r="J365" s="792" t="str">
        <f>IF(ISBLANK(HLOOKUP(CaseName,CaseData,MATCH($G365,cases!$G$4:$G$2494,0),FALSE)),"",HLOOKUP(CaseName,CaseData,MATCH($G365,cases!$G$4:$G$2494,0),FALSE))</f>
        <v/>
      </c>
      <c r="K365" s="874">
        <f>L336/L366</f>
        <v>536616161.61616164</v>
      </c>
      <c r="L365" s="794">
        <f t="shared" si="22"/>
        <v>536616161.61616164</v>
      </c>
      <c r="M365" s="860" t="s">
        <v>4692</v>
      </c>
      <c r="N365" s="860"/>
    </row>
    <row r="366" spans="1:14" ht="12.75" customHeight="1" x14ac:dyDescent="0.3">
      <c r="A366" s="821"/>
      <c r="B366" s="821"/>
      <c r="C366" s="860" t="s">
        <v>2524</v>
      </c>
      <c r="D366" s="860"/>
      <c r="E366" s="860"/>
      <c r="F366" s="860"/>
      <c r="G366" s="821" t="s">
        <v>2918</v>
      </c>
      <c r="H366" s="860" t="s">
        <v>1041</v>
      </c>
      <c r="I366" s="920"/>
      <c r="J366" s="792" t="str">
        <f>IF(ISBLANK(HLOOKUP(CaseName,CaseData,MATCH($G366,cases!$G$4:$G$2494,0),FALSE)),"",HLOOKUP(CaseName,CaseData,MATCH($G366,cases!$G$4:$G$2494,0),FALSE))</f>
        <v/>
      </c>
      <c r="K366" s="874">
        <v>55</v>
      </c>
      <c r="L366" s="794">
        <f>IF(ISBLANK(I366),IF(ISNUMBER(J366)=FALSE,K366*(3600*24),J366*(3600*24)),I366*(3600*24))</f>
        <v>4752000</v>
      </c>
      <c r="M366" s="821" t="s">
        <v>1042</v>
      </c>
      <c r="N366" s="860"/>
    </row>
    <row r="367" spans="1:14" ht="12.75" customHeight="1" x14ac:dyDescent="0.3">
      <c r="A367" s="860"/>
      <c r="B367" s="860"/>
      <c r="C367" s="860"/>
      <c r="D367" s="860"/>
      <c r="E367" s="860"/>
      <c r="F367" s="860"/>
      <c r="G367" s="860"/>
      <c r="H367" s="860"/>
      <c r="I367" s="862"/>
      <c r="J367" s="792" t="str">
        <f t="shared" si="19"/>
        <v/>
      </c>
      <c r="K367" s="863"/>
      <c r="L367" s="886"/>
      <c r="M367" s="860"/>
      <c r="N367" s="860"/>
    </row>
    <row r="368" spans="1:14" ht="12.75" customHeight="1" x14ac:dyDescent="0.3">
      <c r="A368" s="865" t="s">
        <v>1952</v>
      </c>
      <c r="B368" s="864"/>
      <c r="C368" s="864"/>
      <c r="D368" s="864"/>
      <c r="E368" s="864"/>
      <c r="F368" s="864"/>
      <c r="G368" s="865" t="s">
        <v>258</v>
      </c>
      <c r="H368" s="865" t="s">
        <v>274</v>
      </c>
      <c r="I368" s="864" t="s">
        <v>259</v>
      </c>
      <c r="J368" s="910" t="s">
        <v>2875</v>
      </c>
      <c r="K368" s="867" t="s">
        <v>260</v>
      </c>
      <c r="L368" s="867" t="s">
        <v>261</v>
      </c>
      <c r="M368" s="864"/>
      <c r="N368" s="865" t="s">
        <v>262</v>
      </c>
    </row>
    <row r="369" spans="1:14" ht="12.75" customHeight="1" x14ac:dyDescent="0.3">
      <c r="A369" s="821"/>
      <c r="B369" s="821"/>
      <c r="C369" s="860"/>
      <c r="D369" s="860"/>
      <c r="E369" s="860"/>
      <c r="F369" s="860"/>
      <c r="G369" s="860"/>
      <c r="H369" s="860"/>
      <c r="I369" s="862"/>
      <c r="J369" s="792" t="str">
        <f t="shared" ref="J369:J397" si="23">IF(HLOOKUP(CaseName,CaseData,ROW()+1421,FALSE)="","",HLOOKUP(CaseName,CaseData,ROW()+1421,FALSE))</f>
        <v/>
      </c>
      <c r="K369" s="863"/>
      <c r="L369" s="886"/>
      <c r="M369" s="860"/>
      <c r="N369" s="860"/>
    </row>
    <row r="370" spans="1:14" ht="12.75" customHeight="1" x14ac:dyDescent="0.3">
      <c r="A370" s="860"/>
      <c r="B370" s="860" t="s">
        <v>2526</v>
      </c>
      <c r="C370" s="860"/>
      <c r="D370" s="860"/>
      <c r="E370" s="860"/>
      <c r="F370" s="860"/>
      <c r="G370" s="821" t="s">
        <v>4801</v>
      </c>
      <c r="H370" s="821" t="s">
        <v>291</v>
      </c>
      <c r="I370" s="875"/>
      <c r="J370" s="792" t="str">
        <f>IF(ISBLANK(HLOOKUP(CaseName,CaseData,MATCH($G370,cases!$G$4:$G$2494,0),FALSE)),"",HLOOKUP(CaseName,CaseData,MATCH($G370,cases!$G$4:$G$2494,0),FALSE))</f>
        <v/>
      </c>
      <c r="K370" s="372">
        <f>1-L350 *L375/(1+L350*L375+L349*L376)-L349 *L376/(1+L350*L375+L349*L376)</f>
        <v>0.99999996416294512</v>
      </c>
      <c r="L370" s="794">
        <f>IF(ISBLANK(I370),IF(ISNUMBER(J370)=FALSE,K370,J370),I370)</f>
        <v>0.99999996416294512</v>
      </c>
      <c r="M370" s="821" t="s">
        <v>292</v>
      </c>
      <c r="N370" s="821"/>
    </row>
    <row r="371" spans="1:14" ht="12.75" customHeight="1" x14ac:dyDescent="0.3">
      <c r="A371" s="860"/>
      <c r="B371" s="860" t="s">
        <v>1955</v>
      </c>
      <c r="C371" s="860"/>
      <c r="D371" s="860"/>
      <c r="E371" s="860"/>
      <c r="F371" s="860"/>
      <c r="G371" s="860" t="s">
        <v>2920</v>
      </c>
      <c r="H371" s="860" t="s">
        <v>291</v>
      </c>
      <c r="I371" s="884"/>
      <c r="J371" s="792" t="str">
        <f>IF(ISBLANK(HLOOKUP(CaseName,CaseData,MATCH($G371,cases!$G$4:$G$2494,0),FALSE)),"",HLOOKUP(CaseName,CaseData,MATCH($G371,cases!$G$4:$G$2494,0),FALSE))</f>
        <v/>
      </c>
      <c r="K371" s="372">
        <f>L350 *L375/(1+L350*L375+L349*L376)</f>
        <v>7.5395671451565307E-10</v>
      </c>
      <c r="L371" s="794">
        <f>IF(ISBLANK(I371),IF(ISNUMBER(J371)=FALSE,K371,J371),I371)</f>
        <v>7.5395671451565307E-10</v>
      </c>
      <c r="M371" s="821" t="s">
        <v>292</v>
      </c>
      <c r="N371" s="860" t="s">
        <v>1067</v>
      </c>
    </row>
    <row r="372" spans="1:14" ht="12.75" customHeight="1" x14ac:dyDescent="0.3">
      <c r="A372" s="860"/>
      <c r="B372" s="860" t="s">
        <v>1957</v>
      </c>
      <c r="C372" s="860"/>
      <c r="D372" s="860"/>
      <c r="E372" s="860"/>
      <c r="F372" s="860"/>
      <c r="G372" s="860" t="s">
        <v>2921</v>
      </c>
      <c r="H372" s="860" t="s">
        <v>291</v>
      </c>
      <c r="I372" s="884"/>
      <c r="J372" s="792" t="str">
        <f>IF(ISBLANK(HLOOKUP(CaseName,CaseData,MATCH($G372,cases!$G$4:$G$2494,0),FALSE)),"",HLOOKUP(CaseName,CaseData,MATCH($G372,cases!$G$4:$G$2494,0),FALSE))</f>
        <v/>
      </c>
      <c r="K372" s="372">
        <f>L349 *L376/(1+L350*L375+L349*L376)</f>
        <v>3.5083098243780637E-8</v>
      </c>
      <c r="L372" s="794">
        <f>IF(ISBLANK(I372),IF(ISNUMBER(J372)=FALSE,K372,J372),I372)</f>
        <v>3.5083098243780637E-8</v>
      </c>
      <c r="M372" s="821" t="s">
        <v>292</v>
      </c>
      <c r="N372" s="860" t="s">
        <v>1067</v>
      </c>
    </row>
    <row r="373" spans="1:14" ht="12.75" customHeight="1" x14ac:dyDescent="0.3">
      <c r="A373" s="860"/>
      <c r="B373" s="860"/>
      <c r="C373" s="821" t="s">
        <v>1959</v>
      </c>
      <c r="D373" s="821"/>
      <c r="E373" s="821"/>
      <c r="F373" s="821"/>
      <c r="G373" s="821" t="s">
        <v>4802</v>
      </c>
      <c r="H373" s="821" t="s">
        <v>291</v>
      </c>
      <c r="I373" s="869"/>
      <c r="J373" s="792" t="str">
        <f>IF(ISBLANK(HLOOKUP(CaseName,CaseData,MATCH($G373,cases!$G$4:$G$2494,0),FALSE)),"",HLOOKUP(CaseName,CaseData,MATCH($G373,cases!$G$4:$G$2494,0),FALSE))</f>
        <v/>
      </c>
      <c r="K373" s="372">
        <f>Kaw*EXP((H0vap/8.314)*(1/298-1/L374))*EXP(-(H0sol/8.314)*(1/298-1/L374))*(298/L374)</f>
        <v>2.6526720829201759E-2</v>
      </c>
      <c r="L373" s="794">
        <f>IF(ISBLANK(I373),IF(ISNUMBER(J373)=FALSE,K373,J373),I373)</f>
        <v>2.6526720829201759E-2</v>
      </c>
      <c r="M373" s="821" t="s">
        <v>292</v>
      </c>
      <c r="N373" s="860"/>
    </row>
    <row r="374" spans="1:14" ht="12.75" customHeight="1" x14ac:dyDescent="0.3">
      <c r="A374" s="821"/>
      <c r="B374" s="860"/>
      <c r="C374" s="860" t="s">
        <v>2923</v>
      </c>
      <c r="D374" s="860"/>
      <c r="E374" s="860"/>
      <c r="F374" s="860"/>
      <c r="G374" s="860" t="s">
        <v>2924</v>
      </c>
      <c r="H374" s="860" t="s">
        <v>4778</v>
      </c>
      <c r="I374" s="869"/>
      <c r="J374" s="792" t="str">
        <f>IF(ISBLANK(HLOOKUP(CaseName,CaseData,MATCH($G374,cases!$G$4:$G$2494,0),FALSE)),"",HLOOKUP(CaseName,CaseData,MATCH($G374,cases!$G$4:$G$2494,0),FALSE))</f>
        <v/>
      </c>
      <c r="K374" s="874">
        <v>-10</v>
      </c>
      <c r="L374" s="794">
        <f>IF(ISBLANK(I374),IF(ISNUMBER(J374)=FALSE,K374+273,J374+273),I374+273)</f>
        <v>263</v>
      </c>
      <c r="M374" s="821" t="s">
        <v>586</v>
      </c>
      <c r="N374" s="860"/>
    </row>
    <row r="375" spans="1:14" ht="12.75" customHeight="1" x14ac:dyDescent="0.35">
      <c r="A375" s="860"/>
      <c r="B375" s="860"/>
      <c r="C375" s="860" t="s">
        <v>1961</v>
      </c>
      <c r="D375" s="860"/>
      <c r="E375" s="860"/>
      <c r="F375" s="860"/>
      <c r="G375" s="860" t="s">
        <v>2925</v>
      </c>
      <c r="H375" s="860" t="s">
        <v>4701</v>
      </c>
      <c r="I375" s="884"/>
      <c r="J375" s="792" t="str">
        <f>IF(ISBLANK(HLOOKUP(CaseName,CaseData,MATCH($G375,cases!$G$4:$G$2494,0),FALSE)),"",HLOOKUP(CaseName,CaseData,MATCH($G375,cases!$G$4:$G$2494,0),FALSE))</f>
        <v/>
      </c>
      <c r="K375" s="372">
        <f>1/(L373*FRorig.aerw)</f>
        <v>37.697837076762113</v>
      </c>
      <c r="L375" s="794">
        <f t="shared" ref="L375:L382" si="24">IF(ISBLANK(I375),IF(ISNUMBER(J375)=FALSE,K375,J375),I375)</f>
        <v>37.697837076762113</v>
      </c>
      <c r="M375" s="821" t="s">
        <v>4779</v>
      </c>
      <c r="N375" s="860"/>
    </row>
    <row r="376" spans="1:14" ht="12.75" customHeight="1" x14ac:dyDescent="0.35">
      <c r="A376" s="860"/>
      <c r="B376" s="860"/>
      <c r="C376" s="860" t="s">
        <v>1963</v>
      </c>
      <c r="D376" s="860"/>
      <c r="E376" s="860"/>
      <c r="F376" s="860"/>
      <c r="G376" s="860" t="s">
        <v>2926</v>
      </c>
      <c r="H376" s="860" t="s">
        <v>4703</v>
      </c>
      <c r="I376" s="884"/>
      <c r="J376" s="792" t="str">
        <f>IF(ISBLANK(HLOOKUP(CaseName,CaseData,MATCH($G376,cases!$G$4:$G$2494,0),FALSE)),"",HLOOKUP(CaseName,CaseData,MATCH($G376,cases!$G$4:$G$2494,0),FALSE))</f>
        <v/>
      </c>
      <c r="K376" s="372">
        <f>0.54*(Kow/Kaw)*CORGaers*(RHOaers/1000)</f>
        <v>1754.1549750527802</v>
      </c>
      <c r="L376" s="794">
        <f t="shared" si="24"/>
        <v>1754.1549750527802</v>
      </c>
      <c r="M376" s="821" t="s">
        <v>4780</v>
      </c>
      <c r="N376" s="860" t="s">
        <v>1074</v>
      </c>
    </row>
    <row r="377" spans="1:14" ht="12.75" customHeight="1" x14ac:dyDescent="0.3">
      <c r="A377" s="821"/>
      <c r="B377" s="821" t="s">
        <v>4781</v>
      </c>
      <c r="C377" s="872"/>
      <c r="D377" s="860"/>
      <c r="E377" s="860"/>
      <c r="F377" s="860"/>
      <c r="G377" s="821" t="s">
        <v>2927</v>
      </c>
      <c r="H377" s="821" t="s">
        <v>291</v>
      </c>
      <c r="I377" s="869"/>
      <c r="J377" s="792" t="str">
        <f>IF(ISBLANK(HLOOKUP(CaseName,CaseData,MATCH($G377,cases!$G$4:$G$2494,0),FALSE)),"",HLOOKUP(CaseName,CaseData,MATCH($G377,cases!$G$4:$G$2494,0),FALSE))</f>
        <v/>
      </c>
      <c r="K377" s="874">
        <f>1/(1+L379*L383/1000+L385*L387/1000)</f>
        <v>0.99939559656267651</v>
      </c>
      <c r="L377" s="794">
        <f t="shared" si="24"/>
        <v>0.99939559656267651</v>
      </c>
      <c r="M377" s="821" t="s">
        <v>292</v>
      </c>
      <c r="N377" s="860"/>
    </row>
    <row r="378" spans="1:14" ht="12.75" customHeight="1" x14ac:dyDescent="0.3">
      <c r="A378" s="821"/>
      <c r="B378" s="821" t="s">
        <v>2536</v>
      </c>
      <c r="C378" s="872"/>
      <c r="D378" s="860"/>
      <c r="E378" s="860"/>
      <c r="F378" s="860"/>
      <c r="G378" s="821" t="s">
        <v>2928</v>
      </c>
      <c r="H378" s="821" t="s">
        <v>291</v>
      </c>
      <c r="I378" s="869"/>
      <c r="J378" s="792" t="str">
        <f>IF(ISBLANK(HLOOKUP(CaseName,CaseData,MATCH($G378,cases!$G$4:$G$2494,0),FALSE)),"",HLOOKUP(CaseName,CaseData,MATCH($G378,cases!$G$4:$G$2494,0),FALSE))</f>
        <v/>
      </c>
      <c r="K378" s="874">
        <f>1/(1+L380*L384/1000+L386*L388/1000)</f>
        <v>0.99939559656267651</v>
      </c>
      <c r="L378" s="794">
        <f t="shared" si="24"/>
        <v>0.99939559656267651</v>
      </c>
      <c r="M378" s="821" t="s">
        <v>292</v>
      </c>
      <c r="N378" s="860"/>
    </row>
    <row r="379" spans="1:14" ht="12.75" customHeight="1" x14ac:dyDescent="0.3">
      <c r="A379" s="821"/>
      <c r="B379" s="860"/>
      <c r="C379" s="821" t="s">
        <v>4782</v>
      </c>
      <c r="D379" s="860"/>
      <c r="E379" s="860"/>
      <c r="F379" s="860"/>
      <c r="G379" s="872" t="s">
        <v>2929</v>
      </c>
      <c r="H379" s="821" t="s">
        <v>4706</v>
      </c>
      <c r="I379" s="869"/>
      <c r="J379" s="792" t="str">
        <f>IF(ISBLANK(HLOOKUP(CaseName,CaseData,MATCH($G379,cases!$G$4:$G$2494,0),FALSE)),"",HLOOKUP(CaseName,CaseData,MATCH($G379,cases!$G$4:$G$2494,0),FALSE))</f>
        <v/>
      </c>
      <c r="K379" s="874">
        <f>(FRorig.w2*Ksw+(1-FRorig.w2)*Ksw.alt)*(1000/RHOsolid/CORG)*L381</f>
        <v>76.953792352546415</v>
      </c>
      <c r="L379" s="794">
        <f t="shared" si="24"/>
        <v>76.953792352546415</v>
      </c>
      <c r="M379" s="821" t="s">
        <v>1078</v>
      </c>
      <c r="N379" s="860"/>
    </row>
    <row r="380" spans="1:14" ht="12.75" customHeight="1" x14ac:dyDescent="0.3">
      <c r="A380" s="821"/>
      <c r="B380" s="860"/>
      <c r="C380" s="821" t="s">
        <v>2539</v>
      </c>
      <c r="D380" s="860"/>
      <c r="E380" s="860"/>
      <c r="F380" s="860"/>
      <c r="G380" s="872" t="s">
        <v>2930</v>
      </c>
      <c r="H380" s="821" t="s">
        <v>4706</v>
      </c>
      <c r="I380" s="869"/>
      <c r="J380" s="792" t="str">
        <f>IF(ISBLANK(HLOOKUP(CaseName,CaseData,MATCH($G380,cases!$G$4:$G$2494,0),FALSE)),"",HLOOKUP(CaseName,CaseData,MATCH($G380,cases!$G$4:$G$2494,0),FALSE))</f>
        <v/>
      </c>
      <c r="K380" s="874">
        <f>(FRorig.w2*Ksw+(1-FRorig.w2)*Ksw.alt)*(1000/RHOsolid/CORG)*L382</f>
        <v>76.953792352546415</v>
      </c>
      <c r="L380" s="794">
        <f t="shared" si="24"/>
        <v>76.953792352546415</v>
      </c>
      <c r="M380" s="821" t="s">
        <v>1078</v>
      </c>
      <c r="N380" s="860"/>
    </row>
    <row r="381" spans="1:14" ht="12.75" customHeight="1" x14ac:dyDescent="0.3">
      <c r="A381" s="821"/>
      <c r="B381" s="860"/>
      <c r="C381" s="821" t="s">
        <v>4783</v>
      </c>
      <c r="D381" s="860"/>
      <c r="E381" s="860"/>
      <c r="F381" s="860"/>
      <c r="G381" s="872" t="s">
        <v>2931</v>
      </c>
      <c r="H381" s="821" t="s">
        <v>291</v>
      </c>
      <c r="I381" s="869"/>
      <c r="J381" s="792" t="str">
        <f>IF(ISBLANK(HLOOKUP(CaseName,CaseData,MATCH($G381,cases!$G$4:$G$2494,0),FALSE)),"",HLOOKUP(CaseName,CaseData,MATCH($G381,cases!$G$4:$G$2494,0),FALSE))</f>
        <v/>
      </c>
      <c r="K381" s="874">
        <v>0.1</v>
      </c>
      <c r="L381" s="794">
        <f t="shared" si="24"/>
        <v>0.1</v>
      </c>
      <c r="M381" s="821" t="s">
        <v>292</v>
      </c>
      <c r="N381" s="860"/>
    </row>
    <row r="382" spans="1:14" ht="12.75" customHeight="1" x14ac:dyDescent="0.3">
      <c r="A382" s="821"/>
      <c r="B382" s="860"/>
      <c r="C382" s="821" t="s">
        <v>2542</v>
      </c>
      <c r="D382" s="860"/>
      <c r="E382" s="860"/>
      <c r="F382" s="860"/>
      <c r="G382" s="872" t="s">
        <v>2932</v>
      </c>
      <c r="H382" s="821" t="s">
        <v>291</v>
      </c>
      <c r="I382" s="869"/>
      <c r="J382" s="792" t="str">
        <f>IF(ISBLANK(HLOOKUP(CaseName,CaseData,MATCH($G382,cases!$G$4:$G$2494,0),FALSE)),"",HLOOKUP(CaseName,CaseData,MATCH($G382,cases!$G$4:$G$2494,0),FALSE))</f>
        <v/>
      </c>
      <c r="K382" s="874">
        <v>0.1</v>
      </c>
      <c r="L382" s="794">
        <f t="shared" si="24"/>
        <v>0.1</v>
      </c>
      <c r="M382" s="821" t="s">
        <v>292</v>
      </c>
      <c r="N382" s="860"/>
    </row>
    <row r="383" spans="1:14" ht="12.75" customHeight="1" x14ac:dyDescent="0.3">
      <c r="A383" s="821"/>
      <c r="B383" s="860"/>
      <c r="C383" s="821" t="s">
        <v>4784</v>
      </c>
      <c r="D383" s="860"/>
      <c r="E383" s="860"/>
      <c r="F383" s="860"/>
      <c r="G383" s="872" t="s">
        <v>2933</v>
      </c>
      <c r="H383" s="821" t="s">
        <v>4785</v>
      </c>
      <c r="I383" s="869"/>
      <c r="J383" s="792" t="str">
        <f>IF(ISBLANK(HLOOKUP(CaseName,CaseData,MATCH($G383,cases!$G$4:$G$2494,0),FALSE)),"",HLOOKUP(CaseName,CaseData,MATCH($G383,cases!$G$4:$G$2494,0),FALSE))</f>
        <v/>
      </c>
      <c r="K383" s="874">
        <v>5</v>
      </c>
      <c r="L383" s="794">
        <f>IF(ISBLANK(I383),IF(ISNUMBER(J383)=FALSE,K383/1000,J383/1000),I383/1000)</f>
        <v>5.0000000000000001E-3</v>
      </c>
      <c r="M383" s="821" t="s">
        <v>717</v>
      </c>
      <c r="N383" s="860"/>
    </row>
    <row r="384" spans="1:14" ht="12.75" customHeight="1" x14ac:dyDescent="0.3">
      <c r="A384" s="821"/>
      <c r="B384" s="860"/>
      <c r="C384" s="821" t="s">
        <v>2545</v>
      </c>
      <c r="D384" s="860"/>
      <c r="E384" s="860"/>
      <c r="F384" s="860"/>
      <c r="G384" s="872" t="s">
        <v>2934</v>
      </c>
      <c r="H384" s="821" t="s">
        <v>4785</v>
      </c>
      <c r="I384" s="869"/>
      <c r="J384" s="792" t="str">
        <f>IF(ISBLANK(HLOOKUP(CaseName,CaseData,MATCH($G384,cases!$G$4:$G$2494,0),FALSE)),"",HLOOKUP(CaseName,CaseData,MATCH($G384,cases!$G$4:$G$2494,0),FALSE))</f>
        <v/>
      </c>
      <c r="K384" s="874">
        <v>5</v>
      </c>
      <c r="L384" s="794">
        <f>IF(ISBLANK(I384),IF(ISNUMBER(J384)=FALSE,K384/1000,J384/1000),I384/1000)</f>
        <v>5.0000000000000001E-3</v>
      </c>
      <c r="M384" s="821" t="s">
        <v>717</v>
      </c>
      <c r="N384" s="860"/>
    </row>
    <row r="385" spans="1:14" ht="12.75" customHeight="1" x14ac:dyDescent="0.3">
      <c r="A385" s="821"/>
      <c r="B385" s="860"/>
      <c r="C385" s="821" t="s">
        <v>4786</v>
      </c>
      <c r="D385" s="860"/>
      <c r="E385" s="860"/>
      <c r="F385" s="860"/>
      <c r="G385" s="872" t="s">
        <v>2935</v>
      </c>
      <c r="H385" s="821" t="s">
        <v>1083</v>
      </c>
      <c r="I385" s="871"/>
      <c r="J385" s="792" t="str">
        <f>IF(ISBLANK(HLOOKUP(CaseName,CaseData,MATCH($G385,cases!$G$4:$G$2494,0),FALSE)),"",HLOOKUP(CaseName,CaseData,MATCH($G385,cases!$G$4:$G$2494,0),FALSE))</f>
        <v/>
      </c>
      <c r="K385" s="874">
        <f>0.08*D</f>
        <v>220</v>
      </c>
      <c r="L385" s="794">
        <f>IF(ISBLANK(I385),IF(ISNUMBER(J385)=FALSE,K385,J385),I385)</f>
        <v>220</v>
      </c>
      <c r="M385" s="821" t="s">
        <v>1078</v>
      </c>
      <c r="N385" s="860"/>
    </row>
    <row r="386" spans="1:14" ht="12.75" customHeight="1" x14ac:dyDescent="0.3">
      <c r="A386" s="821"/>
      <c r="B386" s="860"/>
      <c r="C386" s="821" t="s">
        <v>2548</v>
      </c>
      <c r="D386" s="860"/>
      <c r="E386" s="860"/>
      <c r="F386" s="860"/>
      <c r="G386" s="872" t="s">
        <v>2936</v>
      </c>
      <c r="H386" s="821" t="s">
        <v>1083</v>
      </c>
      <c r="I386" s="871"/>
      <c r="J386" s="792" t="str">
        <f>IF(ISBLANK(HLOOKUP(CaseName,CaseData,MATCH($G386,cases!$G$4:$G$2494,0),FALSE)),"",HLOOKUP(CaseName,CaseData,MATCH($G386,cases!$G$4:$G$2494,0),FALSE))</f>
        <v/>
      </c>
      <c r="K386" s="874">
        <f>0.08*D</f>
        <v>220</v>
      </c>
      <c r="L386" s="794">
        <f>IF(ISBLANK(I386),IF(ISNUMBER(J386)=FALSE,K386,J386),I386)</f>
        <v>220</v>
      </c>
      <c r="M386" s="821" t="s">
        <v>1078</v>
      </c>
      <c r="N386" s="860"/>
    </row>
    <row r="387" spans="1:14" ht="12.75" customHeight="1" x14ac:dyDescent="0.3">
      <c r="A387" s="821"/>
      <c r="B387" s="860"/>
      <c r="C387" s="821" t="s">
        <v>4787</v>
      </c>
      <c r="D387" s="860"/>
      <c r="E387" s="860"/>
      <c r="F387" s="860"/>
      <c r="G387" s="872" t="s">
        <v>2937</v>
      </c>
      <c r="H387" s="821" t="s">
        <v>716</v>
      </c>
      <c r="I387" s="871"/>
      <c r="J387" s="792" t="str">
        <f>IF(ISBLANK(HLOOKUP(CaseName,CaseData,MATCH($G387,cases!$G$4:$G$2494,0),FALSE)),"",HLOOKUP(CaseName,CaseData,MATCH($G387,cases!$G$4:$G$2494,0),FALSE))</f>
        <v/>
      </c>
      <c r="K387" s="874">
        <v>1</v>
      </c>
      <c r="L387" s="794">
        <f>IF(ISBLANK(I387),IF(ISNUMBER(J387)=FALSE,K387/1000,J387/1000),I387/1000)</f>
        <v>1E-3</v>
      </c>
      <c r="M387" s="821" t="s">
        <v>717</v>
      </c>
      <c r="N387" s="860"/>
    </row>
    <row r="388" spans="1:14" ht="12.75" customHeight="1" x14ac:dyDescent="0.3">
      <c r="A388" s="821"/>
      <c r="B388" s="860"/>
      <c r="C388" s="821" t="s">
        <v>2551</v>
      </c>
      <c r="D388" s="860"/>
      <c r="E388" s="860"/>
      <c r="F388" s="860"/>
      <c r="G388" s="872" t="s">
        <v>2938</v>
      </c>
      <c r="H388" s="821" t="s">
        <v>716</v>
      </c>
      <c r="I388" s="871"/>
      <c r="J388" s="792" t="str">
        <f>IF(ISBLANK(HLOOKUP(CaseName,CaseData,MATCH($G388,cases!$G$4:$G$2494,0),FALSE)),"",HLOOKUP(CaseName,CaseData,MATCH($G388,cases!$G$4:$G$2494,0),FALSE))</f>
        <v/>
      </c>
      <c r="K388" s="874">
        <v>1</v>
      </c>
      <c r="L388" s="794">
        <f>IF(ISBLANK(I388),IF(ISNUMBER(J388)=FALSE,K388/1000,J388/1000),I388/1000)</f>
        <v>1E-3</v>
      </c>
      <c r="M388" s="821" t="s">
        <v>717</v>
      </c>
      <c r="N388" s="860"/>
    </row>
    <row r="389" spans="1:14" ht="12.75" customHeight="1" x14ac:dyDescent="0.3">
      <c r="A389" s="821"/>
      <c r="B389" s="821" t="s">
        <v>2553</v>
      </c>
      <c r="C389" s="872"/>
      <c r="D389" s="860"/>
      <c r="E389" s="860"/>
      <c r="F389" s="860"/>
      <c r="G389" s="872" t="s">
        <v>2939</v>
      </c>
      <c r="H389" s="821" t="s">
        <v>291</v>
      </c>
      <c r="I389" s="869"/>
      <c r="J389" s="792" t="str">
        <f>IF(ISBLANK(HLOOKUP(CaseName,CaseData,MATCH($G389,cases!$G$4:$G$2494,0),FALSE)),"",HLOOKUP(CaseName,CaseData,MATCH($G389,cases!$G$4:$G$2494,0),FALSE))</f>
        <v/>
      </c>
      <c r="K389" s="874">
        <f>L354+L355*L390*RHOsolid/1000</f>
        <v>20.038448088136601</v>
      </c>
      <c r="L389" s="794">
        <f t="shared" ref="L389:L396" si="25">IF(ISBLANK(I389),IF(ISNUMBER(J389)=FALSE,K389,J389),I389)</f>
        <v>20.038448088136601</v>
      </c>
      <c r="M389" s="821" t="s">
        <v>292</v>
      </c>
      <c r="N389" s="860"/>
    </row>
    <row r="390" spans="1:14" ht="12.75" customHeight="1" x14ac:dyDescent="0.3">
      <c r="A390" s="821"/>
      <c r="B390" s="860"/>
      <c r="C390" s="821" t="s">
        <v>2555</v>
      </c>
      <c r="D390" s="860"/>
      <c r="E390" s="860"/>
      <c r="F390" s="860"/>
      <c r="G390" s="872" t="s">
        <v>2940</v>
      </c>
      <c r="H390" s="821" t="s">
        <v>4706</v>
      </c>
      <c r="I390" s="869"/>
      <c r="J390" s="792" t="str">
        <f>IF(ISBLANK(HLOOKUP(CaseName,CaseData,MATCH($G390,cases!$G$4:$G$2494,0),FALSE)),"",HLOOKUP(CaseName,CaseData,MATCH($G390,cases!$G$4:$G$2494,0),FALSE))</f>
        <v/>
      </c>
      <c r="K390" s="874">
        <f>(FRorig.sd2*Ksw+(1-FRorig.sd2)*Ksw.alt)*(1000/RHOsolid/CORG)*L391</f>
        <v>38.476896176273208</v>
      </c>
      <c r="L390" s="794">
        <f t="shared" si="25"/>
        <v>38.476896176273208</v>
      </c>
      <c r="M390" s="821" t="s">
        <v>1078</v>
      </c>
      <c r="N390" s="860"/>
    </row>
    <row r="391" spans="1:14" ht="12.75" customHeight="1" x14ac:dyDescent="0.3">
      <c r="A391" s="821"/>
      <c r="B391" s="860"/>
      <c r="C391" s="821" t="s">
        <v>2557</v>
      </c>
      <c r="D391" s="860"/>
      <c r="E391" s="860"/>
      <c r="F391" s="860"/>
      <c r="G391" s="872" t="s">
        <v>2941</v>
      </c>
      <c r="H391" s="821" t="s">
        <v>291</v>
      </c>
      <c r="I391" s="869"/>
      <c r="J391" s="792" t="str">
        <f>IF(ISBLANK(HLOOKUP(CaseName,CaseData,MATCH($G391,cases!$G$4:$G$2494,0),FALSE)),"",HLOOKUP(CaseName,CaseData,MATCH($G391,cases!$G$4:$G$2494,0),FALSE))</f>
        <v/>
      </c>
      <c r="K391" s="874">
        <v>0.05</v>
      </c>
      <c r="L391" s="794">
        <f t="shared" si="25"/>
        <v>0.05</v>
      </c>
      <c r="M391" s="821" t="s">
        <v>292</v>
      </c>
      <c r="N391" s="860"/>
    </row>
    <row r="392" spans="1:14" ht="12.75" customHeight="1" x14ac:dyDescent="0.3">
      <c r="A392" s="821"/>
      <c r="B392" s="821" t="s">
        <v>2559</v>
      </c>
      <c r="C392" s="872"/>
      <c r="D392" s="860"/>
      <c r="E392" s="860"/>
      <c r="F392" s="860"/>
      <c r="G392" s="872" t="s">
        <v>4803</v>
      </c>
      <c r="H392" s="821" t="s">
        <v>291</v>
      </c>
      <c r="I392" s="869"/>
      <c r="J392" s="792" t="str">
        <f>IF(ISBLANK(HLOOKUP(CaseName,CaseData,MATCH($G392,cases!$G$4:$G$2494,0),FALSE)),"",HLOOKUP(CaseName,CaseData,MATCH($G392,cases!$G$4:$G$2494,0),FALSE))</f>
        <v/>
      </c>
      <c r="K392" s="874">
        <f>L351*(L373*FRorig.s1w)+L352+L353*L395*RHOsolid/1000</f>
        <v>23.291443049929764</v>
      </c>
      <c r="L392" s="794">
        <f t="shared" si="25"/>
        <v>23.291443049929764</v>
      </c>
      <c r="M392" s="860" t="s">
        <v>292</v>
      </c>
      <c r="N392" s="860"/>
    </row>
    <row r="393" spans="1:14" ht="12.75" customHeight="1" x14ac:dyDescent="0.3">
      <c r="A393" s="821"/>
      <c r="B393" s="821" t="s">
        <v>2561</v>
      </c>
      <c r="C393" s="872"/>
      <c r="D393" s="860"/>
      <c r="E393" s="860"/>
      <c r="F393" s="860"/>
      <c r="G393" s="872" t="s">
        <v>2943</v>
      </c>
      <c r="H393" s="821" t="s">
        <v>291</v>
      </c>
      <c r="I393" s="869"/>
      <c r="J393" s="792" t="str">
        <f>IF(ISBLANK(HLOOKUP(CaseName,CaseData,MATCH($G393,cases!$G$4:$G$2494,0),FALSE)),"",HLOOKUP(CaseName,CaseData,MATCH($G393,cases!$G$4:$G$2494,0),FALSE))</f>
        <v/>
      </c>
      <c r="K393" s="874">
        <f>L352/(L351*(L373*FRorig.s1w)+L352+L353*L395*RHOsolid/1000)</f>
        <v>8.5868445150118385E-3</v>
      </c>
      <c r="L393" s="794">
        <f t="shared" si="25"/>
        <v>8.5868445150118385E-3</v>
      </c>
      <c r="M393" s="860" t="s">
        <v>292</v>
      </c>
      <c r="N393" s="860"/>
    </row>
    <row r="394" spans="1:14" ht="12.75" customHeight="1" x14ac:dyDescent="0.3">
      <c r="A394" s="821"/>
      <c r="B394" s="821" t="s">
        <v>2563</v>
      </c>
      <c r="C394" s="872"/>
      <c r="D394" s="860"/>
      <c r="E394" s="860"/>
      <c r="F394" s="860"/>
      <c r="G394" s="872" t="s">
        <v>2944</v>
      </c>
      <c r="H394" s="821" t="s">
        <v>291</v>
      </c>
      <c r="I394" s="869"/>
      <c r="J394" s="792" t="str">
        <f>IF(ISBLANK(HLOOKUP(CaseName,CaseData,MATCH($G394,cases!$G$4:$G$2494,0),FALSE)),"",HLOOKUP(CaseName,CaseData,MATCH($G394,cases!$G$4:$G$2494,0),FALSE))</f>
        <v/>
      </c>
      <c r="K394" s="874">
        <f>L353 / (L351*L373*FRorig.s1w/(L395*RHOsolid/1000)+L352/(L395*RHOsolid/1000)+L353 )</f>
        <v>0.99118537465773471</v>
      </c>
      <c r="L394" s="794">
        <f t="shared" si="25"/>
        <v>0.99118537465773471</v>
      </c>
      <c r="M394" s="5" t="s">
        <v>292</v>
      </c>
      <c r="N394" s="860"/>
    </row>
    <row r="395" spans="1:14" ht="12.75" customHeight="1" x14ac:dyDescent="0.3">
      <c r="A395" s="821"/>
      <c r="B395" s="860"/>
      <c r="C395" s="821" t="s">
        <v>2565</v>
      </c>
      <c r="D395" s="860"/>
      <c r="E395" s="860"/>
      <c r="F395" s="860"/>
      <c r="G395" s="872" t="s">
        <v>2945</v>
      </c>
      <c r="H395" s="821" t="s">
        <v>4706</v>
      </c>
      <c r="I395" s="869"/>
      <c r="J395" s="792" t="str">
        <f>IF(ISBLANK(HLOOKUP(CaseName,CaseData,MATCH($G395,cases!$G$4:$G$2494,0),FALSE)),"",HLOOKUP(CaseName,CaseData,MATCH($G395,cases!$G$4:$G$2494,0),FALSE))</f>
        <v/>
      </c>
      <c r="K395" s="874">
        <f>(FRorig.s1*Ksw+(1-FRorig.s1)*Ksw.alt)*(1000/RHOsolid/CORG)*L396</f>
        <v>15.390758470509281</v>
      </c>
      <c r="L395" s="794">
        <f t="shared" si="25"/>
        <v>15.390758470509281</v>
      </c>
      <c r="M395" s="821" t="s">
        <v>1078</v>
      </c>
      <c r="N395" s="860"/>
    </row>
    <row r="396" spans="1:14" ht="12.75" customHeight="1" x14ac:dyDescent="0.3">
      <c r="A396" s="821"/>
      <c r="B396" s="860"/>
      <c r="C396" s="821" t="s">
        <v>2567</v>
      </c>
      <c r="D396" s="860"/>
      <c r="E396" s="860"/>
      <c r="F396" s="860"/>
      <c r="G396" s="872" t="s">
        <v>2946</v>
      </c>
      <c r="H396" s="821" t="s">
        <v>291</v>
      </c>
      <c r="I396" s="869"/>
      <c r="J396" s="792" t="str">
        <f>IF(ISBLANK(HLOOKUP(CaseName,CaseData,MATCH($G396,cases!$G$4:$G$2494,0),FALSE)),"",HLOOKUP(CaseName,CaseData,MATCH($G396,cases!$G$4:$G$2494,0),FALSE))</f>
        <v/>
      </c>
      <c r="K396" s="874">
        <v>0.02</v>
      </c>
      <c r="L396" s="794">
        <f t="shared" si="25"/>
        <v>0.02</v>
      </c>
      <c r="M396" s="860" t="s">
        <v>292</v>
      </c>
      <c r="N396" s="860"/>
    </row>
    <row r="397" spans="1:14" ht="12.75" customHeight="1" x14ac:dyDescent="0.3">
      <c r="A397" s="860"/>
      <c r="B397" s="860"/>
      <c r="C397" s="860"/>
      <c r="D397" s="860"/>
      <c r="E397" s="860"/>
      <c r="F397" s="860"/>
      <c r="G397" s="860"/>
      <c r="H397" s="860"/>
      <c r="I397" s="862"/>
      <c r="J397" s="792" t="str">
        <f t="shared" si="23"/>
        <v/>
      </c>
      <c r="K397" s="863"/>
      <c r="L397" s="886"/>
      <c r="M397" s="860"/>
      <c r="N397" s="860"/>
    </row>
    <row r="398" spans="1:14" ht="12.75" customHeight="1" x14ac:dyDescent="0.3">
      <c r="A398" s="865" t="s">
        <v>1129</v>
      </c>
      <c r="B398" s="864"/>
      <c r="C398" s="864"/>
      <c r="D398" s="864"/>
      <c r="E398" s="864"/>
      <c r="F398" s="864"/>
      <c r="G398" s="865" t="s">
        <v>258</v>
      </c>
      <c r="H398" s="865" t="s">
        <v>274</v>
      </c>
      <c r="I398" s="864" t="s">
        <v>259</v>
      </c>
      <c r="J398" s="910" t="s">
        <v>2875</v>
      </c>
      <c r="K398" s="867" t="s">
        <v>260</v>
      </c>
      <c r="L398" s="867" t="s">
        <v>261</v>
      </c>
      <c r="M398" s="864"/>
      <c r="N398" s="865" t="s">
        <v>262</v>
      </c>
    </row>
    <row r="399" spans="1:14" ht="12.75" customHeight="1" x14ac:dyDescent="0.3">
      <c r="A399" s="860"/>
      <c r="B399" s="860"/>
      <c r="C399" s="860"/>
      <c r="D399" s="860"/>
      <c r="E399" s="860"/>
      <c r="F399" s="860"/>
      <c r="G399" s="860"/>
      <c r="H399" s="860"/>
      <c r="I399" s="862"/>
      <c r="J399" s="792" t="str">
        <f t="shared" ref="J399" si="26">IF(HLOOKUP(CaseName,CaseData,ROW()+1421,FALSE)="","",HLOOKUP(CaseName,CaseData,ROW()+1421,FALSE))</f>
        <v/>
      </c>
      <c r="K399" s="863"/>
      <c r="L399" s="886"/>
      <c r="M399" s="860"/>
      <c r="N399" s="860"/>
    </row>
    <row r="400" spans="1:14" ht="12.75" customHeight="1" x14ac:dyDescent="0.3">
      <c r="A400" s="821" t="s">
        <v>2569</v>
      </c>
      <c r="B400" s="860"/>
      <c r="C400" s="860"/>
      <c r="D400" s="860"/>
      <c r="E400" s="860"/>
      <c r="F400" s="860"/>
      <c r="G400" s="821" t="s">
        <v>2947</v>
      </c>
      <c r="H400" s="821" t="s">
        <v>4690</v>
      </c>
      <c r="I400" s="875"/>
      <c r="J400" s="792" t="str">
        <f>IF(ISBLANK(HLOOKUP(CaseName,CaseData,MATCH($G400,cases!$G$4:$G$2494,0),FALSE)),"",HLOOKUP(CaseName,CaseData,MATCH($G400,cases!$G$4:$G$2494,0),FALSE))</f>
        <v/>
      </c>
      <c r="K400" s="890">
        <f>(L404+L416/L343)*L341</f>
        <v>1.1265617780280159E-7</v>
      </c>
      <c r="L400" s="794">
        <f t="shared" ref="L400:L407" si="27">IF(ISBLANK(I400),IF(ISNUMBER(J400)=FALSE,K400,J400),I400)</f>
        <v>1.1265617780280159E-7</v>
      </c>
      <c r="M400" s="860" t="s">
        <v>1038</v>
      </c>
      <c r="N400" s="860"/>
    </row>
    <row r="401" spans="1:14" ht="12.75" customHeight="1" x14ac:dyDescent="0.3">
      <c r="A401" s="821" t="s">
        <v>2571</v>
      </c>
      <c r="B401" s="860"/>
      <c r="C401" s="860"/>
      <c r="D401" s="860"/>
      <c r="E401" s="860"/>
      <c r="F401" s="860"/>
      <c r="G401" s="821" t="s">
        <v>2948</v>
      </c>
      <c r="H401" s="821" t="s">
        <v>4690</v>
      </c>
      <c r="I401" s="875"/>
      <c r="J401" s="792" t="str">
        <f>IF(ISBLANK(HLOOKUP(CaseName,CaseData,MATCH($G401,cases!$G$4:$G$2494,0),FALSE)),"",HLOOKUP(CaseName,CaseData,MATCH($G401,cases!$G$4:$G$2494,0),FALSE))</f>
        <v/>
      </c>
      <c r="K401" s="890">
        <f>(L404+L417/L343)*L342</f>
        <v>4.5147475223446605E-10</v>
      </c>
      <c r="L401" s="794">
        <f t="shared" si="27"/>
        <v>4.5147475223446605E-10</v>
      </c>
      <c r="M401" s="860" t="s">
        <v>1038</v>
      </c>
      <c r="N401" s="860"/>
    </row>
    <row r="402" spans="1:14" ht="12.75" customHeight="1" x14ac:dyDescent="0.3">
      <c r="A402" s="821" t="s">
        <v>2573</v>
      </c>
      <c r="B402" s="860"/>
      <c r="C402" s="860"/>
      <c r="D402" s="860"/>
      <c r="E402" s="860"/>
      <c r="F402" s="860"/>
      <c r="G402" s="821" t="s">
        <v>2949</v>
      </c>
      <c r="H402" s="821" t="s">
        <v>4690</v>
      </c>
      <c r="I402" s="875"/>
      <c r="J402" s="792" t="str">
        <f>IF(ISBLANK(HLOOKUP(CaseName,CaseData,MATCH($G402,cases!$G$4:$G$2494,0),FALSE)),"",HLOOKUP(CaseName,CaseData,MATCH($G402,cases!$G$4:$G$2494,0),FALSE))</f>
        <v/>
      </c>
      <c r="K402" s="890">
        <f>L418/L344</f>
        <v>4.9697298026139259E-8</v>
      </c>
      <c r="L402" s="794">
        <f t="shared" si="27"/>
        <v>4.9697298026139259E-8</v>
      </c>
      <c r="M402" s="860" t="s">
        <v>1038</v>
      </c>
      <c r="N402" s="860"/>
    </row>
    <row r="403" spans="1:14" ht="12.75" customHeight="1" x14ac:dyDescent="0.3">
      <c r="A403" s="821" t="s">
        <v>2575</v>
      </c>
      <c r="B403" s="860"/>
      <c r="C403" s="860"/>
      <c r="D403" s="860"/>
      <c r="E403" s="860"/>
      <c r="F403" s="860"/>
      <c r="G403" s="821" t="s">
        <v>2950</v>
      </c>
      <c r="H403" s="821" t="s">
        <v>4690</v>
      </c>
      <c r="I403" s="875"/>
      <c r="J403" s="792" t="str">
        <f>IF(ISBLANK(HLOOKUP(CaseName,CaseData,MATCH($G403,cases!$G$4:$G$2494,0),FALSE)),"",HLOOKUP(CaseName,CaseData,MATCH($G403,cases!$G$4:$G$2494,0),FALSE))</f>
        <v/>
      </c>
      <c r="K403" s="890">
        <f>L419/L347</f>
        <v>2.4017280424639986E-8</v>
      </c>
      <c r="L403" s="794">
        <f t="shared" si="27"/>
        <v>2.4017280424639986E-8</v>
      </c>
      <c r="M403" s="860" t="s">
        <v>1038</v>
      </c>
      <c r="N403" s="860"/>
    </row>
    <row r="404" spans="1:14" ht="12.75" customHeight="1" x14ac:dyDescent="0.3">
      <c r="A404" s="821"/>
      <c r="B404" s="821" t="s">
        <v>2031</v>
      </c>
      <c r="C404" s="860"/>
      <c r="D404" s="860"/>
      <c r="E404" s="860"/>
      <c r="F404" s="860"/>
      <c r="G404" s="894" t="s">
        <v>2951</v>
      </c>
      <c r="H404" s="821" t="s">
        <v>4690</v>
      </c>
      <c r="I404" s="875"/>
      <c r="J404" s="792" t="str">
        <f>IF(ISBLANK(HLOOKUP(CaseName,CaseData,MATCH($G404,cases!$G$4:$G$2494,0),FALSE)),"",HLOOKUP(CaseName,CaseData,MATCH($G404,cases!$G$4:$G$2494,0),FALSE))</f>
        <v/>
      </c>
      <c r="K404" s="890">
        <f>L405 - SUM((L416*L341+L417*L342)/L343,L453,L357)</f>
        <v>2.9893634719285038E-10</v>
      </c>
      <c r="L404" s="794">
        <f t="shared" si="27"/>
        <v>2.9893634719285038E-10</v>
      </c>
      <c r="M404" s="860" t="s">
        <v>1828</v>
      </c>
      <c r="N404" s="860"/>
    </row>
    <row r="405" spans="1:14" ht="12.75" customHeight="1" x14ac:dyDescent="0.3">
      <c r="A405" s="821"/>
      <c r="B405" s="821"/>
      <c r="C405" s="860" t="s">
        <v>2033</v>
      </c>
      <c r="D405" s="860"/>
      <c r="E405" s="860"/>
      <c r="F405" s="860"/>
      <c r="G405" s="894" t="s">
        <v>2952</v>
      </c>
      <c r="H405" s="821" t="s">
        <v>4690</v>
      </c>
      <c r="I405" s="875"/>
      <c r="J405" s="792" t="str">
        <f>IF(ISBLANK(HLOOKUP(CaseName,CaseData,MATCH($G405,cases!$G$4:$G$2494,0),FALSE)),"",HLOOKUP(CaseName,CaseData,MATCH($G405,cases!$G$4:$G$2494,0),FALSE))</f>
        <v/>
      </c>
      <c r="K405" s="890">
        <f>((1/L406)*L408/(L408+L409)+(1/L407)*L409/(L408+L409)-((1/L407-1/L406)^2/(L408+L409))*(1-EXP(-L406*L408))*(1-EXP(-L407*L409))/(1-EXP(-L406*L408-L407*L409)))^-1</f>
        <v>9.8603566515325458E-7</v>
      </c>
      <c r="L405" s="794">
        <f t="shared" si="27"/>
        <v>9.8603566515325458E-7</v>
      </c>
      <c r="M405" s="860" t="s">
        <v>1038</v>
      </c>
      <c r="N405" s="860"/>
    </row>
    <row r="406" spans="1:14" ht="12.75" customHeight="1" x14ac:dyDescent="0.3">
      <c r="A406" s="821"/>
      <c r="B406" s="821"/>
      <c r="C406" s="821"/>
      <c r="D406" s="821" t="s">
        <v>4804</v>
      </c>
      <c r="E406" s="860"/>
      <c r="F406" s="860"/>
      <c r="G406" s="894" t="s">
        <v>2953</v>
      </c>
      <c r="H406" s="821" t="s">
        <v>4690</v>
      </c>
      <c r="I406" s="875"/>
      <c r="J406" s="792" t="str">
        <f>IF(ISBLANK(HLOOKUP(CaseName,CaseData,MATCH($G406,cases!$G$4:$G$2494,0),FALSE)),"",HLOOKUP(CaseName,CaseData,MATCH($G406,cases!$G$4:$G$2494,0),FALSE))</f>
        <v/>
      </c>
      <c r="K406" s="890">
        <f>L410/L343 + SUM((L416*L341+L417*L342)/L343,L453,L357)</f>
        <v>9.8573676464311665E-7</v>
      </c>
      <c r="L406" s="794">
        <f t="shared" si="27"/>
        <v>9.8573676464311665E-7</v>
      </c>
      <c r="M406" s="860" t="s">
        <v>1038</v>
      </c>
      <c r="N406" s="860"/>
    </row>
    <row r="407" spans="1:14" ht="12.75" customHeight="1" x14ac:dyDescent="0.3">
      <c r="A407" s="821"/>
      <c r="B407" s="821"/>
      <c r="C407" s="821"/>
      <c r="D407" s="821" t="s">
        <v>4805</v>
      </c>
      <c r="E407" s="860"/>
      <c r="F407" s="860"/>
      <c r="G407" s="894" t="s">
        <v>2954</v>
      </c>
      <c r="H407" s="821" t="s">
        <v>4690</v>
      </c>
      <c r="I407" s="875"/>
      <c r="J407" s="792" t="str">
        <f>IF(ISBLANK(HLOOKUP(CaseName,CaseData,MATCH($G407,cases!$G$4:$G$2494,0),FALSE)),"",HLOOKUP(CaseName,CaseData,MATCH($G407,cases!$G$4:$G$2494,0),FALSE))</f>
        <v/>
      </c>
      <c r="K407" s="890">
        <f>(L411+L412)/L343 + SUM((L416*L341+L417*L342)/L343,L453,L357)</f>
        <v>9.9071844974211246E-7</v>
      </c>
      <c r="L407" s="794">
        <f t="shared" si="27"/>
        <v>9.9071844974211246E-7</v>
      </c>
      <c r="M407" s="860" t="s">
        <v>1038</v>
      </c>
      <c r="N407" s="860"/>
    </row>
    <row r="408" spans="1:14" ht="12.75" customHeight="1" x14ac:dyDescent="0.3">
      <c r="A408" s="821"/>
      <c r="B408" s="821"/>
      <c r="C408" s="860" t="s">
        <v>1148</v>
      </c>
      <c r="D408" s="860"/>
      <c r="E408" s="860"/>
      <c r="F408" s="860"/>
      <c r="G408" s="860" t="s">
        <v>2955</v>
      </c>
      <c r="H408" s="860" t="s">
        <v>1150</v>
      </c>
      <c r="I408" s="875"/>
      <c r="J408" s="792" t="str">
        <f>IF(ISBLANK(HLOOKUP(CaseName,CaseData,MATCH($G408,cases!$G$4:$G$2494,0),FALSE)),"",HLOOKUP(CaseName,CaseData,MATCH($G408,cases!$G$4:$G$2494,0),FALSE))</f>
        <v/>
      </c>
      <c r="K408" s="890">
        <f>3.3*24</f>
        <v>79.199999999999989</v>
      </c>
      <c r="L408" s="794">
        <f>IF(ISBLANK(I408),IF(ISNUMBER(J408)=FALSE,K408*3600,J408*3600),I408*3600)</f>
        <v>285119.99999999994</v>
      </c>
      <c r="M408" s="821" t="s">
        <v>1042</v>
      </c>
      <c r="N408" s="860"/>
    </row>
    <row r="409" spans="1:14" ht="12.75" customHeight="1" x14ac:dyDescent="0.3">
      <c r="A409" s="821"/>
      <c r="B409" s="821"/>
      <c r="C409" s="860" t="s">
        <v>1151</v>
      </c>
      <c r="D409" s="860"/>
      <c r="E409" s="860"/>
      <c r="F409" s="860"/>
      <c r="G409" s="860" t="s">
        <v>2956</v>
      </c>
      <c r="H409" s="860" t="s">
        <v>1150</v>
      </c>
      <c r="I409" s="875"/>
      <c r="J409" s="792" t="str">
        <f>IF(ISBLANK(HLOOKUP(CaseName,CaseData,MATCH($G409,cases!$G$4:$G$2494,0),FALSE)),"",HLOOKUP(CaseName,CaseData,MATCH($G409,cases!$G$4:$G$2494,0),FALSE))</f>
        <v/>
      </c>
      <c r="K409" s="890">
        <f>3.3*24*(0.06/(1-0.06))</f>
        <v>5.0553191489361691</v>
      </c>
      <c r="L409" s="794">
        <f>IF(ISBLANK(I409),IF(ISNUMBER(J409)=FALSE,K409*3600,J409*3600),I409*3600)</f>
        <v>18199.148936170208</v>
      </c>
      <c r="M409" s="821" t="s">
        <v>2957</v>
      </c>
      <c r="N409" s="860"/>
    </row>
    <row r="410" spans="1:14" ht="12.75" customHeight="1" x14ac:dyDescent="0.3">
      <c r="A410" s="821"/>
      <c r="B410" s="821"/>
      <c r="C410" s="821" t="s">
        <v>1153</v>
      </c>
      <c r="D410" s="860"/>
      <c r="E410" s="860"/>
      <c r="F410" s="860"/>
      <c r="G410" s="872" t="s">
        <v>2958</v>
      </c>
      <c r="H410" s="913" t="s">
        <v>4734</v>
      </c>
      <c r="I410" s="869"/>
      <c r="J410" s="792" t="str">
        <f>IF(ISBLANK(HLOOKUP(CaseName,CaseData,MATCH($G410,cases!$G$4:$G$2494,0),FALSE)),"",HLOOKUP(CaseName,CaseData,MATCH($G410,cases!$G$4:$G$2494,0),FALSE))</f>
        <v/>
      </c>
      <c r="K410" s="890">
        <f>L413*(L371+L372)</f>
        <v>3.5837054958296295E-11</v>
      </c>
      <c r="L410" s="794">
        <f>IF(ISBLANK(I410),IF(ISNUMBER(J410)=FALSE,K410,J410),I410)</f>
        <v>3.5837054958296295E-11</v>
      </c>
      <c r="M410" s="860" t="s">
        <v>690</v>
      </c>
      <c r="N410" s="860"/>
    </row>
    <row r="411" spans="1:14" ht="12.75" customHeight="1" x14ac:dyDescent="0.3">
      <c r="A411" s="821"/>
      <c r="B411" s="821"/>
      <c r="C411" s="821" t="s">
        <v>1156</v>
      </c>
      <c r="D411" s="860"/>
      <c r="E411" s="860"/>
      <c r="F411" s="860"/>
      <c r="G411" s="821" t="s">
        <v>2959</v>
      </c>
      <c r="H411" s="872" t="s">
        <v>4734</v>
      </c>
      <c r="I411" s="869"/>
      <c r="J411" s="792" t="str">
        <f>IF(ISBLANK(HLOOKUP(CaseName,CaseData,MATCH($G411,cases!$G$4:$G$2494,0),FALSE)),"",HLOOKUP(CaseName,CaseData,MATCH($G411,cases!$G$4:$G$2494,0),FALSE))</f>
        <v/>
      </c>
      <c r="K411" s="890">
        <f>L372*(L408+L409)/L409*L414*L415</f>
        <v>9.2706478954688394E-10</v>
      </c>
      <c r="L411" s="794">
        <f>IF(ISBLANK(I411),IF(ISNUMBER(J411)=FALSE,K411,J411),I411)</f>
        <v>9.2706478954688394E-10</v>
      </c>
      <c r="M411" s="860" t="s">
        <v>690</v>
      </c>
      <c r="N411" s="860"/>
    </row>
    <row r="412" spans="1:14" ht="12.75" customHeight="1" x14ac:dyDescent="0.3">
      <c r="A412" s="821"/>
      <c r="B412" s="821"/>
      <c r="C412" s="821" t="s">
        <v>2043</v>
      </c>
      <c r="D412" s="860"/>
      <c r="E412" s="860"/>
      <c r="F412" s="860"/>
      <c r="G412" s="821" t="s">
        <v>2960</v>
      </c>
      <c r="H412" s="872" t="s">
        <v>4734</v>
      </c>
      <c r="I412" s="869"/>
      <c r="J412" s="792" t="str">
        <f>IF(ISBLANK(HLOOKUP(CaseName,CaseData,MATCH($G412,cases!$G$4:$G$2494,0),FALSE)),"",HLOOKUP(CaseName,CaseData,MATCH($G412,cases!$G$4:$G$2494,0),FALSE))</f>
        <v/>
      </c>
      <c r="K412" s="890">
        <f>L370*(L408+L409)/L409*L414/(L373*FRorig.aerw)</f>
        <v>4.9807938712612395E-6</v>
      </c>
      <c r="L412" s="794">
        <f>IF(ISBLANK(I412),IF(ISNUMBER(J412)=FALSE,K412,J412),I412)</f>
        <v>4.9807938712612395E-6</v>
      </c>
      <c r="M412" s="860" t="s">
        <v>690</v>
      </c>
      <c r="N412" s="860"/>
    </row>
    <row r="413" spans="1:14" ht="12.75" customHeight="1" x14ac:dyDescent="0.3">
      <c r="A413" s="821"/>
      <c r="B413" s="821"/>
      <c r="C413" s="860"/>
      <c r="D413" s="872" t="s">
        <v>1160</v>
      </c>
      <c r="E413" s="872"/>
      <c r="F413" s="872"/>
      <c r="G413" s="872" t="s">
        <v>2961</v>
      </c>
      <c r="H413" s="913" t="s">
        <v>4734</v>
      </c>
      <c r="I413" s="869"/>
      <c r="J413" s="792" t="str">
        <f>IF(ISBLANK(HLOOKUP(CaseName,CaseData,MATCH($G413,cases!$G$4:$G$2494,0),FALSE)),"",HLOOKUP(CaseName,CaseData,MATCH($G413,cases!$G$4:$G$2494,0),FALSE))</f>
        <v/>
      </c>
      <c r="K413" s="890">
        <v>1E-3</v>
      </c>
      <c r="L413" s="794">
        <f>IF(ISBLANK(I413),IF(ISNUMBER(J413)=FALSE,K413,J413),I413)</f>
        <v>1E-3</v>
      </c>
      <c r="M413" s="860" t="s">
        <v>690</v>
      </c>
      <c r="N413" s="860"/>
    </row>
    <row r="414" spans="1:14" ht="12.75" customHeight="1" x14ac:dyDescent="0.3">
      <c r="A414" s="821"/>
      <c r="B414" s="821"/>
      <c r="C414" s="860"/>
      <c r="D414" s="821" t="s">
        <v>2591</v>
      </c>
      <c r="E414" s="872"/>
      <c r="F414" s="872"/>
      <c r="G414" s="872" t="s">
        <v>2962</v>
      </c>
      <c r="H414" s="872" t="s">
        <v>4789</v>
      </c>
      <c r="I414" s="869"/>
      <c r="J414" s="792" t="str">
        <f>IF(ISBLANK(HLOOKUP(CaseName,CaseData,MATCH($G414,cases!$G$4:$G$2494,0),FALSE)),"",HLOOKUP(CaseName,CaseData,MATCH($G414,cases!$G$4:$G$2494,0),FALSE))</f>
        <v/>
      </c>
      <c r="K414" s="890">
        <v>250</v>
      </c>
      <c r="L414" s="794">
        <f>IF(ISBLANK(I414),IF(ISNUMBER(J414)=FALSE,K414/(1000*3600*24*365),J414/(1000*3600*24*365)),I414/(1000*3600*24*365))</f>
        <v>7.9274479959411465E-9</v>
      </c>
      <c r="M414" s="860" t="s">
        <v>690</v>
      </c>
      <c r="N414" s="860"/>
    </row>
    <row r="415" spans="1:14" ht="12.75" customHeight="1" x14ac:dyDescent="0.3">
      <c r="A415" s="821"/>
      <c r="B415" s="821"/>
      <c r="C415" s="860"/>
      <c r="D415" s="821" t="s">
        <v>1162</v>
      </c>
      <c r="E415" s="860"/>
      <c r="F415" s="860"/>
      <c r="G415" s="872" t="s">
        <v>2963</v>
      </c>
      <c r="H415" s="821" t="s">
        <v>291</v>
      </c>
      <c r="I415" s="869"/>
      <c r="J415" s="792" t="str">
        <f>IF(ISBLANK(HLOOKUP(CaseName,CaseData,MATCH($G415,cases!$G$4:$G$2494,0),FALSE)),"",HLOOKUP(CaseName,CaseData,MATCH($G415,cases!$G$4:$G$2494,0),FALSE))</f>
        <v/>
      </c>
      <c r="K415" s="890">
        <v>200000</v>
      </c>
      <c r="L415" s="794">
        <f t="shared" ref="L415:L425" si="28">IF(ISBLANK(I415),IF(ISNUMBER(J415)=FALSE,K415,J415),I415)</f>
        <v>200000</v>
      </c>
      <c r="M415" s="821" t="s">
        <v>292</v>
      </c>
      <c r="N415" s="860"/>
    </row>
    <row r="416" spans="1:14" ht="12.75" customHeight="1" x14ac:dyDescent="0.3">
      <c r="A416" s="821"/>
      <c r="B416" s="821" t="s">
        <v>1164</v>
      </c>
      <c r="C416" s="860"/>
      <c r="D416" s="821"/>
      <c r="E416" s="860"/>
      <c r="F416" s="860"/>
      <c r="G416" s="872" t="s">
        <v>2964</v>
      </c>
      <c r="H416" s="821" t="s">
        <v>866</v>
      </c>
      <c r="I416" s="869"/>
      <c r="J416" s="792" t="str">
        <f>IF(ISBLANK(HLOOKUP(CaseName,CaseData,MATCH($G416,cases!$G$4:$G$2494,0),FALSE)),"",HLOOKUP(CaseName,CaseData,MATCH($G416,cases!$G$4:$G$2494,0),FALSE))</f>
        <v/>
      </c>
      <c r="K416" s="890">
        <f>L370*(L420*L421/(L420*(L373*FRorig.w2)+L421))</f>
        <v>1.8746135999080983E-4</v>
      </c>
      <c r="L416" s="794">
        <f t="shared" si="28"/>
        <v>1.8746135999080983E-4</v>
      </c>
      <c r="M416" s="821"/>
      <c r="N416" s="860"/>
    </row>
    <row r="417" spans="1:14" ht="12.75" customHeight="1" x14ac:dyDescent="0.3">
      <c r="A417" s="821"/>
      <c r="B417" s="821" t="s">
        <v>1166</v>
      </c>
      <c r="C417" s="860"/>
      <c r="D417" s="821"/>
      <c r="E417" s="860"/>
      <c r="F417" s="860"/>
      <c r="G417" s="872" t="s">
        <v>2965</v>
      </c>
      <c r="H417" s="821" t="s">
        <v>866</v>
      </c>
      <c r="I417" s="869"/>
      <c r="J417" s="792" t="str">
        <f>IF(ISBLANK(HLOOKUP(CaseName,CaseData,MATCH($G417,cases!$G$4:$G$2494,0),FALSE)),"",HLOOKUP(CaseName,CaseData,MATCH($G417,cases!$G$4:$G$2494,0),FALSE))</f>
        <v/>
      </c>
      <c r="K417" s="890">
        <f>L370*(L423*L424)/(L423*((L373*FRorig.s1w)/L392)+L424)</f>
        <v>8.2975053339331478E-7</v>
      </c>
      <c r="L417" s="794">
        <f t="shared" si="28"/>
        <v>8.2975053339331478E-7</v>
      </c>
      <c r="M417" s="821"/>
      <c r="N417" s="860"/>
    </row>
    <row r="418" spans="1:14" ht="12.75" customHeight="1" x14ac:dyDescent="0.3">
      <c r="A418" s="821"/>
      <c r="B418" s="821" t="s">
        <v>2597</v>
      </c>
      <c r="C418" s="860"/>
      <c r="D418" s="821"/>
      <c r="E418" s="860"/>
      <c r="F418" s="860"/>
      <c r="G418" s="872" t="s">
        <v>2966</v>
      </c>
      <c r="H418" s="821" t="s">
        <v>866</v>
      </c>
      <c r="I418" s="869"/>
      <c r="J418" s="792" t="str">
        <f>IF(ISBLANK(HLOOKUP(CaseName,CaseData,MATCH($G418,cases!$G$4:$G$2494,0),FALSE)),"",HLOOKUP(CaseName,CaseData,MATCH($G418,cases!$G$4:$G$2494,0),FALSE))</f>
        <v/>
      </c>
      <c r="K418" s="890">
        <f>(L420*L421/(L420*(L373*FRorig.w2)+L421))*(L373*FRorig.w2)*L377</f>
        <v>4.9697298026139256E-6</v>
      </c>
      <c r="L418" s="794">
        <f t="shared" si="28"/>
        <v>4.9697298026139256E-6</v>
      </c>
      <c r="M418" s="821"/>
      <c r="N418" s="860"/>
    </row>
    <row r="419" spans="1:14" ht="12.75" customHeight="1" x14ac:dyDescent="0.3">
      <c r="A419" s="821"/>
      <c r="B419" s="821" t="s">
        <v>2599</v>
      </c>
      <c r="C419" s="860"/>
      <c r="D419" s="821"/>
      <c r="E419" s="860"/>
      <c r="F419" s="860"/>
      <c r="G419" s="872" t="s">
        <v>2967</v>
      </c>
      <c r="H419" s="821" t="s">
        <v>866</v>
      </c>
      <c r="I419" s="869"/>
      <c r="J419" s="792" t="str">
        <f>IF(ISBLANK(HLOOKUP(CaseName,CaseData,MATCH($G419,cases!$G$4:$G$2494,0),FALSE)),"",HLOOKUP(CaseName,CaseData,MATCH($G419,cases!$G$4:$G$2494,0),FALSE))</f>
        <v/>
      </c>
      <c r="K419" s="890">
        <f>(L423*L424)/(L423+L424/((L373*FRorig.s1w)/L392))*L425</f>
        <v>1.2008640212319993E-9</v>
      </c>
      <c r="L419" s="794">
        <f t="shared" si="28"/>
        <v>1.2008640212319993E-9</v>
      </c>
      <c r="M419" s="821"/>
      <c r="N419" s="860"/>
    </row>
    <row r="420" spans="1:14" ht="12.75" customHeight="1" x14ac:dyDescent="0.3">
      <c r="A420" s="860"/>
      <c r="B420" s="821"/>
      <c r="C420" s="860" t="s">
        <v>1174</v>
      </c>
      <c r="D420" s="860"/>
      <c r="E420" s="860"/>
      <c r="F420" s="860"/>
      <c r="G420" s="860" t="s">
        <v>4806</v>
      </c>
      <c r="H420" s="913" t="s">
        <v>4734</v>
      </c>
      <c r="I420" s="869"/>
      <c r="J420" s="792" t="str">
        <f>IF(ISBLANK(HLOOKUP(CaseName,CaseData,MATCH($G420,cases!$G$4:$G$2494,0),FALSE)),"",HLOOKUP(CaseName,CaseData,MATCH($G420,cases!$G$4:$G$2494,0),FALSE))</f>
        <v/>
      </c>
      <c r="K420" s="890">
        <f>0.01*(0.3+0.2*L422)*((0.018/Molweight)^(0.67*0.5))</f>
        <v>4.4535618852450994E-3</v>
      </c>
      <c r="L420" s="794">
        <f t="shared" si="28"/>
        <v>4.4535618852450994E-3</v>
      </c>
      <c r="M420" s="860" t="s">
        <v>690</v>
      </c>
      <c r="N420" s="860"/>
    </row>
    <row r="421" spans="1:14" ht="12.75" customHeight="1" x14ac:dyDescent="0.3">
      <c r="A421" s="860"/>
      <c r="B421" s="821"/>
      <c r="C421" s="860" t="s">
        <v>1176</v>
      </c>
      <c r="D421" s="860"/>
      <c r="E421" s="860"/>
      <c r="F421" s="860"/>
      <c r="G421" s="860" t="s">
        <v>4807</v>
      </c>
      <c r="H421" s="913" t="s">
        <v>4734</v>
      </c>
      <c r="I421" s="869"/>
      <c r="J421" s="792" t="str">
        <f>IF(ISBLANK(HLOOKUP(CaseName,CaseData,MATCH($G421,cases!$G$4:$G$2494,0),FALSE)),"",HLOOKUP(CaseName,CaseData,MATCH($G421,cases!$G$4:$G$2494,0),FALSE))</f>
        <v/>
      </c>
      <c r="K421" s="890">
        <f>0.01*(0.0004+0.00004*L422^2)*((0.032/Molweight)^(0.5*0.5))</f>
        <v>5.191247717588049E-6</v>
      </c>
      <c r="L421" s="794">
        <f t="shared" si="28"/>
        <v>5.191247717588049E-6</v>
      </c>
      <c r="M421" s="860" t="s">
        <v>690</v>
      </c>
      <c r="N421" s="860"/>
    </row>
    <row r="422" spans="1:14" ht="12.75" customHeight="1" x14ac:dyDescent="0.3">
      <c r="A422" s="821"/>
      <c r="B422" s="860"/>
      <c r="C422" s="872" t="s">
        <v>2603</v>
      </c>
      <c r="D422" s="860"/>
      <c r="E422" s="860"/>
      <c r="F422" s="860"/>
      <c r="G422" s="821" t="s">
        <v>2970</v>
      </c>
      <c r="H422" s="913" t="s">
        <v>4734</v>
      </c>
      <c r="I422" s="869"/>
      <c r="J422" s="792" t="str">
        <f>IF(ISBLANK(HLOOKUP(CaseName,CaseData,MATCH($G422,cases!$G$4:$G$2494,0),FALSE)),"",HLOOKUP(CaseName,CaseData,MATCH($G422,cases!$G$4:$G$2494,0),FALSE))</f>
        <v/>
      </c>
      <c r="K422" s="890">
        <v>3</v>
      </c>
      <c r="L422" s="794">
        <f t="shared" si="28"/>
        <v>3</v>
      </c>
      <c r="M422" s="860" t="s">
        <v>690</v>
      </c>
      <c r="N422" s="860"/>
    </row>
    <row r="423" spans="1:14" ht="12.75" customHeight="1" x14ac:dyDescent="0.3">
      <c r="A423" s="821"/>
      <c r="B423" s="821"/>
      <c r="C423" s="860" t="s">
        <v>1181</v>
      </c>
      <c r="D423" s="860"/>
      <c r="E423" s="872"/>
      <c r="F423" s="872"/>
      <c r="G423" s="860" t="s">
        <v>4808</v>
      </c>
      <c r="H423" s="913" t="s">
        <v>4734</v>
      </c>
      <c r="I423" s="869"/>
      <c r="J423" s="792" t="str">
        <f>IF(ISBLANK(HLOOKUP(CaseName,CaseData,MATCH($G423,cases!$G$4:$G$2494,0),FALSE)),"",HLOOKUP(CaseName,CaseData,MATCH($G423,cases!$G$4:$G$2494,0),FALSE))</f>
        <v/>
      </c>
      <c r="K423" s="890">
        <f>0.43/(24*3600)/0.00475</f>
        <v>1.0477582846003899E-3</v>
      </c>
      <c r="L423" s="794">
        <f t="shared" si="28"/>
        <v>1.0477582846003899E-3</v>
      </c>
      <c r="M423" s="860" t="s">
        <v>690</v>
      </c>
      <c r="N423" s="860"/>
    </row>
    <row r="424" spans="1:14" ht="12.75" customHeight="1" x14ac:dyDescent="0.3">
      <c r="A424" s="821"/>
      <c r="B424" s="821"/>
      <c r="C424" s="860" t="s">
        <v>1183</v>
      </c>
      <c r="D424" s="860"/>
      <c r="E424" s="860"/>
      <c r="F424" s="860"/>
      <c r="G424" s="860" t="s">
        <v>4809</v>
      </c>
      <c r="H424" s="872" t="s">
        <v>4734</v>
      </c>
      <c r="I424" s="869"/>
      <c r="J424" s="792" t="str">
        <f>IF(ISBLANK(HLOOKUP(CaseName,CaseData,MATCH($G424,cases!$G$4:$G$2494,0),FALSE)),"",HLOOKUP(CaseName,CaseData,MATCH($G424,cases!$G$4:$G$2494,0),FALSE))</f>
        <v/>
      </c>
      <c r="K424" s="890">
        <f>0.1*L462</f>
        <v>9.4575531983700746E-10</v>
      </c>
      <c r="L424" s="794">
        <f t="shared" si="28"/>
        <v>9.4575531983700746E-10</v>
      </c>
      <c r="M424" s="860" t="s">
        <v>690</v>
      </c>
      <c r="N424" s="860" t="s">
        <v>2062</v>
      </c>
    </row>
    <row r="425" spans="1:14" ht="12.75" customHeight="1" x14ac:dyDescent="0.3">
      <c r="A425" s="821"/>
      <c r="B425" s="821"/>
      <c r="C425" s="860" t="s">
        <v>1185</v>
      </c>
      <c r="D425" s="860"/>
      <c r="E425" s="872"/>
      <c r="F425" s="860"/>
      <c r="G425" s="821" t="s">
        <v>2973</v>
      </c>
      <c r="H425" s="860" t="s">
        <v>291</v>
      </c>
      <c r="I425" s="875"/>
      <c r="J425" s="792" t="str">
        <f>IF(ISBLANK(HLOOKUP(CaseName,CaseData,MATCH($G425,cases!$G$4:$G$2494,0),FALSE)),"",HLOOKUP(CaseName,CaseData,MATCH($G425,cases!$G$4:$G$2494,0),FALSE))</f>
        <v/>
      </c>
      <c r="K425" s="890">
        <f>(EXP((-1/0.1)*0)*(1/0.1)*L347/(1-EXP((-1/0.1)*L347)))</f>
        <v>1.2707470412683992</v>
      </c>
      <c r="L425" s="794">
        <f t="shared" si="28"/>
        <v>1.2707470412683992</v>
      </c>
      <c r="M425" s="821" t="s">
        <v>292</v>
      </c>
      <c r="N425" s="860" t="s">
        <v>1187</v>
      </c>
    </row>
    <row r="426" spans="1:14" ht="12.75" customHeight="1" x14ac:dyDescent="0.3">
      <c r="A426" s="860"/>
      <c r="B426" s="860"/>
      <c r="C426" s="860"/>
      <c r="D426" s="860"/>
      <c r="E426" s="860"/>
      <c r="F426" s="860"/>
      <c r="G426" s="860"/>
      <c r="H426" s="860"/>
      <c r="I426" s="790"/>
      <c r="J426" s="792" t="str">
        <f>IF(ISBLANK(HLOOKUP(CaseName,CaseData,MATCH($G426,cases!$G$4:$G$2494,0),FALSE)),"",HLOOKUP(CaseName,CaseData,MATCH($G426,cases!$G$4:$G$2494,0),FALSE))</f>
        <v/>
      </c>
      <c r="K426" s="886"/>
      <c r="L426" s="886"/>
      <c r="M426" s="860"/>
      <c r="N426" s="860"/>
    </row>
    <row r="427" spans="1:14" ht="12.75" customHeight="1" x14ac:dyDescent="0.3">
      <c r="A427" s="821" t="s">
        <v>2608</v>
      </c>
      <c r="B427" s="860"/>
      <c r="C427" s="860"/>
      <c r="D427" s="860"/>
      <c r="E427" s="860"/>
      <c r="F427" s="860"/>
      <c r="G427" s="821" t="s">
        <v>2974</v>
      </c>
      <c r="H427" s="821" t="s">
        <v>4690</v>
      </c>
      <c r="I427" s="875"/>
      <c r="J427" s="792" t="str">
        <f>IF(ISBLANK(HLOOKUP(CaseName,CaseData,MATCH($G427,cases!$G$4:$G$2494,0),FALSE)),"",HLOOKUP(CaseName,CaseData,MATCH($G427,cases!$G$4:$G$2494,0),FALSE))</f>
        <v/>
      </c>
      <c r="K427" s="890">
        <f>(L429+L435)/L345</f>
        <v>1.4992283931314811E-11</v>
      </c>
      <c r="L427" s="794">
        <f t="shared" ref="L427:L433" si="29">IF(ISBLANK(I427),IF(ISNUMBER(J427)=FALSE,K427,J427),I427)</f>
        <v>1.4992283931314811E-11</v>
      </c>
      <c r="M427" s="860" t="s">
        <v>1038</v>
      </c>
      <c r="N427" s="860"/>
    </row>
    <row r="428" spans="1:14" ht="12.75" customHeight="1" x14ac:dyDescent="0.3">
      <c r="A428" s="821" t="s">
        <v>2610</v>
      </c>
      <c r="B428" s="860"/>
      <c r="C428" s="860"/>
      <c r="D428" s="860"/>
      <c r="E428" s="860"/>
      <c r="F428" s="860"/>
      <c r="G428" s="821" t="s">
        <v>2975</v>
      </c>
      <c r="H428" s="821" t="s">
        <v>4690</v>
      </c>
      <c r="I428" s="875"/>
      <c r="J428" s="792" t="str">
        <f>IF(ISBLANK(HLOOKUP(CaseName,CaseData,MATCH($G428,cases!$G$4:$G$2494,0),FALSE)),"",HLOOKUP(CaseName,CaseData,MATCH($G428,cases!$G$4:$G$2494,0),FALSE))</f>
        <v/>
      </c>
      <c r="K428" s="890">
        <f>(L430+L436)/L346</f>
        <v>5.5396574926151886E-8</v>
      </c>
      <c r="L428" s="794">
        <f t="shared" si="29"/>
        <v>5.5396574926151886E-8</v>
      </c>
      <c r="M428" s="860" t="s">
        <v>1038</v>
      </c>
      <c r="N428" s="860"/>
    </row>
    <row r="429" spans="1:14" ht="12.75" customHeight="1" x14ac:dyDescent="0.3">
      <c r="A429" s="821"/>
      <c r="B429" s="821" t="s">
        <v>2612</v>
      </c>
      <c r="C429" s="860"/>
      <c r="D429" s="860"/>
      <c r="E429" s="860"/>
      <c r="F429" s="860"/>
      <c r="G429" s="894" t="s">
        <v>2976</v>
      </c>
      <c r="H429" s="821" t="s">
        <v>4734</v>
      </c>
      <c r="I429" s="875"/>
      <c r="J429" s="792" t="str">
        <f>IF(ISBLANK(HLOOKUP(CaseName,CaseData,MATCH($G429,cases!$G$4:$G$2494,0),FALSE)),"",HLOOKUP(CaseName,CaseData,MATCH($G429,cases!$G$4:$G$2494,0),FALSE))</f>
        <v/>
      </c>
      <c r="K429" s="890">
        <f>L432*(1-L378)</f>
        <v>1.7488525385517546E-8</v>
      </c>
      <c r="L429" s="794">
        <f t="shared" si="29"/>
        <v>1.7488525385517546E-8</v>
      </c>
      <c r="M429" s="860"/>
      <c r="N429" s="860"/>
    </row>
    <row r="430" spans="1:14" ht="12.75" customHeight="1" x14ac:dyDescent="0.3">
      <c r="A430" s="821"/>
      <c r="B430" s="821" t="s">
        <v>2614</v>
      </c>
      <c r="C430" s="860"/>
      <c r="D430" s="860"/>
      <c r="E430" s="860"/>
      <c r="F430" s="860"/>
      <c r="G430" s="894" t="s">
        <v>2977</v>
      </c>
      <c r="H430" s="821" t="s">
        <v>4734</v>
      </c>
      <c r="I430" s="875"/>
      <c r="J430" s="792" t="str">
        <f>IF(ISBLANK(HLOOKUP(CaseName,CaseData,MATCH($G430,cases!$G$4:$G$2494,0),FALSE)),"",HLOOKUP(CaseName,CaseData,MATCH($G430,cases!$G$4:$G$2494,0),FALSE))</f>
        <v/>
      </c>
      <c r="K430" s="890">
        <f>L431-L433</f>
        <v>2.8928843226788437E-10</v>
      </c>
      <c r="L430" s="794">
        <f t="shared" si="29"/>
        <v>2.8928843226788437E-10</v>
      </c>
      <c r="M430" s="860"/>
      <c r="N430" s="860"/>
    </row>
    <row r="431" spans="1:14" ht="12.75" customHeight="1" x14ac:dyDescent="0.3">
      <c r="A431" s="821"/>
      <c r="B431" s="821"/>
      <c r="C431" s="821" t="s">
        <v>1216</v>
      </c>
      <c r="D431" s="821"/>
      <c r="E431" s="860"/>
      <c r="F431" s="860"/>
      <c r="G431" s="872" t="s">
        <v>2978</v>
      </c>
      <c r="H431" s="913" t="s">
        <v>4734</v>
      </c>
      <c r="I431" s="869"/>
      <c r="J431" s="792" t="str">
        <f>IF(ISBLANK(HLOOKUP(CaseName,CaseData,MATCH($G431,cases!$G$4:$G$2494,0),FALSE)),"",HLOOKUP(CaseName,CaseData,MATCH($G431,cases!$G$4:$G$2494,0),FALSE))</f>
        <v/>
      </c>
      <c r="K431" s="890">
        <f>IF(L432*L383/(L355*RHOsolid)&gt;L433,L432*L383/(L355*RHOsolid),L433)</f>
        <v>2.893518518518519E-10</v>
      </c>
      <c r="L431" s="927">
        <f t="shared" si="29"/>
        <v>2.893518518518519E-10</v>
      </c>
      <c r="M431" s="860" t="s">
        <v>690</v>
      </c>
      <c r="N431" s="860"/>
    </row>
    <row r="432" spans="1:14" ht="12.75" customHeight="1" x14ac:dyDescent="0.3">
      <c r="A432" s="821"/>
      <c r="B432" s="821"/>
      <c r="C432" s="860"/>
      <c r="D432" s="821" t="s">
        <v>1220</v>
      </c>
      <c r="E432" s="872"/>
      <c r="F432" s="872"/>
      <c r="G432" s="872" t="s">
        <v>2979</v>
      </c>
      <c r="H432" s="913" t="s">
        <v>4734</v>
      </c>
      <c r="I432" s="869"/>
      <c r="J432" s="792" t="str">
        <f>IF(ISBLANK(HLOOKUP(CaseName,CaseData,MATCH($G432,cases!$G$4:$G$2494,0),FALSE)),"",HLOOKUP(CaseName,CaseData,MATCH($G432,cases!$G$4:$G$2494,0),FALSE))</f>
        <v/>
      </c>
      <c r="K432" s="890">
        <f>2.5/(24*3600)</f>
        <v>2.8935185185185186E-5</v>
      </c>
      <c r="L432" s="927">
        <f t="shared" si="29"/>
        <v>2.8935185185185186E-5</v>
      </c>
      <c r="M432" s="860" t="s">
        <v>690</v>
      </c>
      <c r="N432" s="860"/>
    </row>
    <row r="433" spans="1:14" ht="12.75" customHeight="1" x14ac:dyDescent="0.3">
      <c r="A433" s="821"/>
      <c r="B433" s="821"/>
      <c r="C433" s="860"/>
      <c r="D433" s="821" t="s">
        <v>2618</v>
      </c>
      <c r="E433" s="872"/>
      <c r="F433" s="872"/>
      <c r="G433" s="872" t="s">
        <v>2980</v>
      </c>
      <c r="H433" s="913" t="s">
        <v>4734</v>
      </c>
      <c r="I433" s="869"/>
      <c r="J433" s="792" t="str">
        <f>IF(ISBLANK(HLOOKUP(CaseName,CaseData,MATCH($G433,cases!$G$4:$G$2494,0),FALSE)),"",HLOOKUP(CaseName,CaseData,MATCH($G433,cases!$G$4:$G$2494,0),FALSE))</f>
        <v/>
      </c>
      <c r="K433" s="890">
        <v>6.3419583967528499E-14</v>
      </c>
      <c r="L433" s="794">
        <f t="shared" si="29"/>
        <v>6.3419583967528499E-14</v>
      </c>
      <c r="M433" s="860" t="s">
        <v>690</v>
      </c>
      <c r="N433" s="860" t="s">
        <v>1227</v>
      </c>
    </row>
    <row r="434" spans="1:14" ht="12.75" customHeight="1" x14ac:dyDescent="0.3">
      <c r="A434" s="821"/>
      <c r="B434" s="821"/>
      <c r="C434" s="821"/>
      <c r="D434" s="860"/>
      <c r="E434" s="821" t="s">
        <v>2620</v>
      </c>
      <c r="F434" s="821"/>
      <c r="G434" s="872" t="s">
        <v>2981</v>
      </c>
      <c r="H434" s="821" t="s">
        <v>4744</v>
      </c>
      <c r="I434" s="869"/>
      <c r="J434" s="792" t="str">
        <f>IF(ISBLANK(HLOOKUP(CaseName,CaseData,MATCH($G434,cases!$G$4:$G$2494,0),FALSE)),"",HLOOKUP(CaseName,CaseData,MATCH($G434,cases!$G$4:$G$2494,0),FALSE))</f>
        <v/>
      </c>
      <c r="K434" s="890">
        <v>1</v>
      </c>
      <c r="L434" s="928">
        <f>IF(ISBLANK(I434),IF(ISNUMBER(J434)=FALSE,K434/(1000*3600*24*365)*L341*L340,J434/(1000*3600*24*365)*L341*L340),I434/(1000*3600*24*365)*L341*L340)</f>
        <v>808.59969558599687</v>
      </c>
      <c r="M434" s="821" t="s">
        <v>1233</v>
      </c>
      <c r="N434" s="860" t="s">
        <v>2982</v>
      </c>
    </row>
    <row r="435" spans="1:14" ht="12.75" customHeight="1" x14ac:dyDescent="0.3">
      <c r="A435" s="821"/>
      <c r="B435" s="860" t="s">
        <v>2623</v>
      </c>
      <c r="C435" s="872"/>
      <c r="D435" s="872"/>
      <c r="E435" s="860"/>
      <c r="F435" s="860"/>
      <c r="G435" s="894" t="s">
        <v>2983</v>
      </c>
      <c r="H435" s="821" t="s">
        <v>4734</v>
      </c>
      <c r="I435" s="869"/>
      <c r="J435" s="792" t="str">
        <f>IF(ISBLANK(HLOOKUP(CaseName,CaseData,MATCH($G435,cases!$G$4:$G$2494,0),FALSE)),"",HLOOKUP(CaseName,CaseData,MATCH($G435,cases!$G$4:$G$2494,0),FALSE))</f>
        <v/>
      </c>
      <c r="K435" s="890">
        <f>(L437*L438)/(L437+L438)*L378</f>
        <v>2.7488326408426885E-8</v>
      </c>
      <c r="L435" s="794">
        <f>IF(ISBLANK(I435),IF(ISNUMBER(J435)=FALSE,K435,J435),I435)</f>
        <v>2.7488326408426885E-8</v>
      </c>
      <c r="M435" s="821"/>
      <c r="N435" s="860"/>
    </row>
    <row r="436" spans="1:14" ht="12.75" customHeight="1" x14ac:dyDescent="0.3">
      <c r="A436" s="821"/>
      <c r="B436" s="860" t="s">
        <v>2625</v>
      </c>
      <c r="C436" s="872"/>
      <c r="D436" s="872"/>
      <c r="E436" s="860"/>
      <c r="F436" s="860"/>
      <c r="G436" s="894" t="s">
        <v>2984</v>
      </c>
      <c r="H436" s="821" t="s">
        <v>4734</v>
      </c>
      <c r="I436" s="869"/>
      <c r="J436" s="792" t="str">
        <f>IF(ISBLANK(HLOOKUP(CaseName,CaseData,MATCH($G436,cases!$G$4:$G$2494,0),FALSE)),"",HLOOKUP(CaseName,CaseData,MATCH($G436,cases!$G$4:$G$2494,0),FALSE))</f>
        <v/>
      </c>
      <c r="K436" s="890">
        <f>(L437*L438/(L437+L438))/L389</f>
        <v>1.3726088155166722E-9</v>
      </c>
      <c r="L436" s="794">
        <f>IF(ISBLANK(I436),IF(ISNUMBER(J436)=FALSE,K436,J436),I436)</f>
        <v>1.3726088155166722E-9</v>
      </c>
      <c r="M436" s="821"/>
      <c r="N436" s="860"/>
    </row>
    <row r="437" spans="1:14" ht="12.75" customHeight="1" x14ac:dyDescent="0.3">
      <c r="A437" s="821"/>
      <c r="B437" s="821"/>
      <c r="C437" s="860" t="s">
        <v>1244</v>
      </c>
      <c r="D437" s="860"/>
      <c r="E437" s="860"/>
      <c r="F437" s="860"/>
      <c r="G437" s="860" t="s">
        <v>2985</v>
      </c>
      <c r="H437" s="913" t="s">
        <v>4734</v>
      </c>
      <c r="I437" s="869"/>
      <c r="J437" s="792" t="str">
        <f>IF(ISBLANK(HLOOKUP(CaseName,CaseData,MATCH($G437,cases!$G$4:$G$2494,0),FALSE)),"",HLOOKUP(CaseName,CaseData,MATCH($G437,cases!$G$4:$G$2494,0),FALSE))</f>
        <v/>
      </c>
      <c r="K437" s="929">
        <v>2.7779999999999999E-6</v>
      </c>
      <c r="L437" s="794">
        <f>IF(ISBLANK(I437),IF(ISNUMBER(J437)=FALSE,K437,J437),I437)</f>
        <v>2.7779999999999999E-6</v>
      </c>
      <c r="M437" s="860" t="s">
        <v>690</v>
      </c>
      <c r="N437" s="860"/>
    </row>
    <row r="438" spans="1:14" ht="12.75" customHeight="1" x14ac:dyDescent="0.3">
      <c r="A438" s="821"/>
      <c r="B438" s="821"/>
      <c r="C438" s="860" t="s">
        <v>1246</v>
      </c>
      <c r="D438" s="860"/>
      <c r="E438" s="860"/>
      <c r="F438" s="860"/>
      <c r="G438" s="860" t="s">
        <v>2986</v>
      </c>
      <c r="H438" s="913" t="s">
        <v>4734</v>
      </c>
      <c r="I438" s="869"/>
      <c r="J438" s="792" t="str">
        <f>IF(ISBLANK(HLOOKUP(CaseName,CaseData,MATCH($G438,cases!$G$4:$G$2494,0),FALSE)),"",HLOOKUP(CaseName,CaseData,MATCH($G438,cases!$G$4:$G$2494,0),FALSE))</f>
        <v/>
      </c>
      <c r="K438" s="929">
        <v>2.7779999999999998E-8</v>
      </c>
      <c r="L438" s="794">
        <f>IF(ISBLANK(I438),IF(ISNUMBER(J438)=FALSE,K438,J438),I438)</f>
        <v>2.7779999999999998E-8</v>
      </c>
      <c r="M438" s="860" t="s">
        <v>690</v>
      </c>
      <c r="N438" s="860"/>
    </row>
    <row r="439" spans="1:14" ht="12.75" customHeight="1" x14ac:dyDescent="0.3">
      <c r="A439" s="860"/>
      <c r="B439" s="860"/>
      <c r="C439" s="860"/>
      <c r="D439" s="860"/>
      <c r="E439" s="860"/>
      <c r="F439" s="860"/>
      <c r="G439" s="860"/>
      <c r="H439" s="860"/>
      <c r="I439" s="790"/>
      <c r="J439" s="792" t="str">
        <f>IF(ISBLANK(HLOOKUP(CaseName,CaseData,MATCH($G439,cases!$G$4:$G$2494,0),FALSE)),"",HLOOKUP(CaseName,CaseData,MATCH($G439,cases!$G$4:$G$2494,0),FALSE))</f>
        <v/>
      </c>
      <c r="K439" s="886"/>
      <c r="L439" s="886"/>
      <c r="M439" s="860"/>
      <c r="N439" s="860"/>
    </row>
    <row r="440" spans="1:14" ht="12.75" customHeight="1" x14ac:dyDescent="0.3">
      <c r="A440" s="821" t="s">
        <v>2987</v>
      </c>
      <c r="B440" s="860"/>
      <c r="C440" s="860"/>
      <c r="D440" s="860"/>
      <c r="E440" s="860"/>
      <c r="F440" s="860"/>
      <c r="G440" s="821" t="s">
        <v>2988</v>
      </c>
      <c r="H440" s="821" t="s">
        <v>4690</v>
      </c>
      <c r="I440" s="875"/>
      <c r="J440" s="792" t="str">
        <f>IF(ISBLANK(HLOOKUP(CaseName,CaseData,MATCH($G440,cases!$G$4:$G$2494,0),FALSE)),"",HLOOKUP(CaseName,CaseData,MATCH($G440,cases!$G$4:$G$2494,0),FALSE))</f>
        <v/>
      </c>
      <c r="K440" s="874">
        <f>(L414*L442/L392+L441)*L443/L347</f>
        <v>2.1867268711244373E-9</v>
      </c>
      <c r="L440" s="794">
        <f>IF(ISBLANK(I440),IF(ISNUMBER(J440)=FALSE,K440,J440),I440)</f>
        <v>2.1867268711244373E-9</v>
      </c>
      <c r="M440" s="860" t="s">
        <v>1038</v>
      </c>
      <c r="N440" s="860"/>
    </row>
    <row r="441" spans="1:14" ht="12.75" customHeight="1" x14ac:dyDescent="0.3">
      <c r="A441" s="860"/>
      <c r="B441" s="860"/>
      <c r="C441" s="872" t="s">
        <v>2631</v>
      </c>
      <c r="D441" s="860"/>
      <c r="E441" s="860"/>
      <c r="F441" s="860"/>
      <c r="G441" s="872" t="s">
        <v>2989</v>
      </c>
      <c r="H441" s="872" t="s">
        <v>4734</v>
      </c>
      <c r="I441" s="869"/>
      <c r="J441" s="792" t="str">
        <f>IF(ISBLANK(HLOOKUP(CaseName,CaseData,MATCH($G441,cases!$G$4:$G$2494,0),FALSE)),"",HLOOKUP(CaseName,CaseData,MATCH($G441,cases!$G$4:$G$2494,0),FALSE))</f>
        <v/>
      </c>
      <c r="K441" s="874">
        <f>EROSION.C</f>
        <v>9.5129375951293754E-13</v>
      </c>
      <c r="L441" s="794">
        <f>IF(ISBLANK(I441),IF(ISNUMBER(J441)=FALSE,K441,J441),I441)</f>
        <v>9.5129375951293754E-13</v>
      </c>
      <c r="M441" s="860" t="s">
        <v>690</v>
      </c>
      <c r="N441" s="860"/>
    </row>
    <row r="442" spans="1:14" ht="12.75" customHeight="1" x14ac:dyDescent="0.3">
      <c r="A442" s="860"/>
      <c r="B442" s="860"/>
      <c r="C442" s="821" t="s">
        <v>2633</v>
      </c>
      <c r="D442" s="860"/>
      <c r="E442" s="860"/>
      <c r="F442" s="860"/>
      <c r="G442" s="872" t="s">
        <v>2990</v>
      </c>
      <c r="H442" s="821" t="s">
        <v>291</v>
      </c>
      <c r="I442" s="869"/>
      <c r="J442" s="792" t="str">
        <f>IF(ISBLANK(HLOOKUP(CaseName,CaseData,MATCH($G442,cases!$G$4:$G$2494,0),FALSE)),"",HLOOKUP(CaseName,CaseData,MATCH($G442,cases!$G$4:$G$2494,0),FALSE))</f>
        <v/>
      </c>
      <c r="K442" s="874">
        <f>FRACrun.C</f>
        <v>0.25</v>
      </c>
      <c r="L442" s="794">
        <f>IF(ISBLANK(I442),IF(ISNUMBER(J442)=FALSE,K442,J442),I442)</f>
        <v>0.25</v>
      </c>
      <c r="M442" s="860" t="s">
        <v>292</v>
      </c>
      <c r="N442" s="860"/>
    </row>
    <row r="443" spans="1:14" ht="12.75" customHeight="1" x14ac:dyDescent="0.3">
      <c r="A443" s="821"/>
      <c r="B443" s="821"/>
      <c r="C443" s="860" t="s">
        <v>1185</v>
      </c>
      <c r="D443" s="860"/>
      <c r="E443" s="872"/>
      <c r="F443" s="872"/>
      <c r="G443" s="821" t="s">
        <v>2991</v>
      </c>
      <c r="H443" s="860" t="s">
        <v>291</v>
      </c>
      <c r="I443" s="875"/>
      <c r="J443" s="792" t="str">
        <f>IF(ISBLANK(HLOOKUP(CaseName,CaseData,MATCH($G443,cases!$G$4:$G$2494,0),FALSE)),"",HLOOKUP(CaseName,CaseData,MATCH($G443,cases!$G$4:$G$2494,0),FALSE))</f>
        <v/>
      </c>
      <c r="K443" s="874">
        <f>(EXP((-1/0.1)*0)*(1/0.1)*L347/(1-EXP((-1/0.1)*L347)))</f>
        <v>1.2707470412683992</v>
      </c>
      <c r="L443" s="794">
        <f>IF(ISBLANK(I443),IF(ISNUMBER(J443)=FALSE,K443,J443),I443)</f>
        <v>1.2707470412683992</v>
      </c>
      <c r="M443" s="821" t="s">
        <v>292</v>
      </c>
      <c r="N443" s="860" t="s">
        <v>1187</v>
      </c>
    </row>
    <row r="444" spans="1:14" ht="12.75" customHeight="1" x14ac:dyDescent="0.3">
      <c r="A444" s="860"/>
      <c r="B444" s="860"/>
      <c r="C444" s="860"/>
      <c r="D444" s="872"/>
      <c r="E444" s="860"/>
      <c r="F444" s="860"/>
      <c r="G444" s="860"/>
      <c r="H444" s="860"/>
      <c r="I444" s="868"/>
      <c r="J444" s="792"/>
      <c r="K444" s="863"/>
      <c r="L444" s="886"/>
      <c r="M444" s="860"/>
      <c r="N444" s="860"/>
    </row>
    <row r="445" spans="1:14" ht="12.75" customHeight="1" x14ac:dyDescent="0.3">
      <c r="A445" s="865" t="s">
        <v>1266</v>
      </c>
      <c r="B445" s="864"/>
      <c r="C445" s="864"/>
      <c r="D445" s="864"/>
      <c r="E445" s="864"/>
      <c r="F445" s="864"/>
      <c r="G445" s="865" t="s">
        <v>258</v>
      </c>
      <c r="H445" s="865" t="s">
        <v>274</v>
      </c>
      <c r="I445" s="864" t="s">
        <v>259</v>
      </c>
      <c r="J445" s="910" t="s">
        <v>2875</v>
      </c>
      <c r="K445" s="867" t="s">
        <v>260</v>
      </c>
      <c r="L445" s="867" t="s">
        <v>261</v>
      </c>
      <c r="M445" s="864"/>
      <c r="N445" s="865" t="s">
        <v>262</v>
      </c>
    </row>
    <row r="446" spans="1:14" ht="12.75" customHeight="1" x14ac:dyDescent="0.3">
      <c r="A446" s="821"/>
      <c r="B446" s="860"/>
      <c r="C446" s="860"/>
      <c r="D446" s="860"/>
      <c r="E446" s="860"/>
      <c r="F446" s="860"/>
      <c r="G446" s="860"/>
      <c r="H446" s="860"/>
      <c r="I446" s="862"/>
      <c r="J446" s="792"/>
      <c r="K446" s="915"/>
      <c r="L446" s="916"/>
      <c r="M446" s="860"/>
      <c r="N446" s="860"/>
    </row>
    <row r="447" spans="1:14" ht="12.75" customHeight="1" x14ac:dyDescent="0.3">
      <c r="A447" s="821" t="s">
        <v>1267</v>
      </c>
      <c r="B447" s="860"/>
      <c r="C447" s="860"/>
      <c r="D447" s="860"/>
      <c r="E447" s="860"/>
      <c r="F447" s="860"/>
      <c r="G447" s="821" t="s">
        <v>2992</v>
      </c>
      <c r="H447" s="821" t="s">
        <v>4690</v>
      </c>
      <c r="I447" s="875"/>
      <c r="J447" s="792" t="str">
        <f>IF(ISBLANK(HLOOKUP(CaseName,CaseData,MATCH($G447,cases!$G$4:$G$2494,0),FALSE)),"",HLOOKUP(CaseName,CaseData,MATCH($G447,cases!$G$4:$G$2494,0),FALSE))</f>
        <v/>
      </c>
      <c r="K447" s="890">
        <f>L452+L453</f>
        <v>1.8095248623443467E-7</v>
      </c>
      <c r="L447" s="794">
        <f t="shared" ref="L447:L464" si="30">IF(ISBLANK(I447),IF(ISNUMBER(J447)=FALSE,K447,J447),I447)</f>
        <v>1.8095248623443467E-7</v>
      </c>
      <c r="M447" s="860" t="s">
        <v>1038</v>
      </c>
      <c r="N447" s="860"/>
    </row>
    <row r="448" spans="1:14" ht="12.75" customHeight="1" x14ac:dyDescent="0.3">
      <c r="A448" s="821" t="s">
        <v>4794</v>
      </c>
      <c r="B448" s="860"/>
      <c r="C448" s="860"/>
      <c r="D448" s="860"/>
      <c r="E448" s="860"/>
      <c r="F448" s="860"/>
      <c r="G448" s="821" t="s">
        <v>2993</v>
      </c>
      <c r="H448" s="821" t="s">
        <v>4690</v>
      </c>
      <c r="I448" s="875"/>
      <c r="J448" s="792" t="str">
        <f>IF(ISBLANK(HLOOKUP(CaseName,CaseData,MATCH($G448,cases!$G$4:$G$2494,0),FALSE)),"",HLOOKUP(CaseName,CaseData,MATCH($G448,cases!$G$4:$G$2494,0),FALSE))</f>
        <v/>
      </c>
      <c r="K448" s="890">
        <f>L456</f>
        <v>1.8903674041416619E-8</v>
      </c>
      <c r="L448" s="794">
        <f t="shared" si="30"/>
        <v>1.8903674041416619E-8</v>
      </c>
      <c r="M448" s="860" t="s">
        <v>1038</v>
      </c>
      <c r="N448" s="860"/>
    </row>
    <row r="449" spans="1:14" ht="12.75" customHeight="1" x14ac:dyDescent="0.3">
      <c r="A449" s="821" t="s">
        <v>2638</v>
      </c>
      <c r="B449" s="860"/>
      <c r="C449" s="860"/>
      <c r="D449" s="860"/>
      <c r="E449" s="860"/>
      <c r="F449" s="860"/>
      <c r="G449" s="821" t="s">
        <v>2994</v>
      </c>
      <c r="H449" s="821" t="s">
        <v>4690</v>
      </c>
      <c r="I449" s="875"/>
      <c r="J449" s="792" t="str">
        <f>IF(ISBLANK(HLOOKUP(CaseName,CaseData,MATCH($G449,cases!$G$4:$G$2494,0),FALSE)),"",HLOOKUP(CaseName,CaseData,MATCH($G449,cases!$G$4:$G$2494,0),FALSE))</f>
        <v/>
      </c>
      <c r="K449" s="890">
        <f>L457</f>
        <v>1.8903674041416619E-8</v>
      </c>
      <c r="L449" s="794">
        <f t="shared" si="30"/>
        <v>1.8903674041416619E-8</v>
      </c>
      <c r="M449" s="860" t="s">
        <v>1038</v>
      </c>
      <c r="N449" s="860"/>
    </row>
    <row r="450" spans="1:14" ht="12.75" customHeight="1" x14ac:dyDescent="0.3">
      <c r="A450" s="821" t="s">
        <v>2640</v>
      </c>
      <c r="B450" s="860"/>
      <c r="C450" s="860"/>
      <c r="D450" s="860"/>
      <c r="E450" s="860"/>
      <c r="F450" s="860"/>
      <c r="G450" s="821" t="s">
        <v>2995</v>
      </c>
      <c r="H450" s="821" t="s">
        <v>4690</v>
      </c>
      <c r="I450" s="875"/>
      <c r="J450" s="792" t="str">
        <f>IF(ISBLANK(HLOOKUP(CaseName,CaseData,MATCH($G450,cases!$G$4:$G$2494,0),FALSE)),"",HLOOKUP(CaseName,CaseData,MATCH($G450,cases!$G$4:$G$2494,0),FALSE))</f>
        <v/>
      </c>
      <c r="K450" s="890">
        <f>L461+L433/L346</f>
        <v>2.10575666016223E-9</v>
      </c>
      <c r="L450" s="794">
        <f t="shared" si="30"/>
        <v>2.10575666016223E-9</v>
      </c>
      <c r="M450" s="860" t="s">
        <v>1038</v>
      </c>
      <c r="N450" s="860"/>
    </row>
    <row r="451" spans="1:14" ht="12.75" customHeight="1" x14ac:dyDescent="0.3">
      <c r="A451" s="821" t="s">
        <v>2642</v>
      </c>
      <c r="B451" s="860"/>
      <c r="C451" s="860"/>
      <c r="D451" s="860"/>
      <c r="E451" s="860"/>
      <c r="F451" s="860"/>
      <c r="G451" s="821" t="s">
        <v>2996</v>
      </c>
      <c r="H451" s="821" t="s">
        <v>4690</v>
      </c>
      <c r="I451" s="875"/>
      <c r="J451" s="792" t="str">
        <f>IF(ISBLANK(HLOOKUP(CaseName,CaseData,MATCH($G451,cases!$G$4:$G$2494,0),FALSE)),"",HLOOKUP(CaseName,CaseData,MATCH($G451,cases!$G$4:$G$2494,0),FALSE))</f>
        <v/>
      </c>
      <c r="K451" s="890">
        <f>L462+L463*L414/L392*L464/L347</f>
        <v>9.4721243442819017E-9</v>
      </c>
      <c r="L451" s="794">
        <f t="shared" si="30"/>
        <v>9.4721243442819017E-9</v>
      </c>
      <c r="M451" s="860" t="s">
        <v>1038</v>
      </c>
      <c r="N451" s="860"/>
    </row>
    <row r="452" spans="1:14" ht="12.75" customHeight="1" x14ac:dyDescent="0.3">
      <c r="A452" s="821"/>
      <c r="B452" s="821" t="s">
        <v>1278</v>
      </c>
      <c r="C452" s="872"/>
      <c r="D452" s="860"/>
      <c r="E452" s="860"/>
      <c r="F452" s="860"/>
      <c r="G452" s="872" t="s">
        <v>2997</v>
      </c>
      <c r="H452" s="821" t="s">
        <v>4690</v>
      </c>
      <c r="I452" s="869"/>
      <c r="J452" s="792" t="str">
        <f>IF(ISBLANK(HLOOKUP(CaseName,CaseData,MATCH($G452,cases!$G$4:$G$2494,0),FALSE)),"",HLOOKUP(CaseName,CaseData,MATCH($G452,cases!$G$4:$G$2494,0),FALSE))</f>
        <v/>
      </c>
      <c r="K452" s="890">
        <f>LN(2)/(60*365*24*3600)</f>
        <v>3.663258818281463E-10</v>
      </c>
      <c r="L452" s="794">
        <f t="shared" si="30"/>
        <v>3.663258818281463E-10</v>
      </c>
      <c r="M452" s="821" t="s">
        <v>1038</v>
      </c>
      <c r="N452" s="860"/>
    </row>
    <row r="453" spans="1:14" ht="12.75" customHeight="1" x14ac:dyDescent="0.3">
      <c r="A453" s="821"/>
      <c r="B453" s="821" t="s">
        <v>1280</v>
      </c>
      <c r="C453" s="860"/>
      <c r="D453" s="860"/>
      <c r="E453" s="860"/>
      <c r="F453" s="860"/>
      <c r="G453" s="821" t="s">
        <v>2998</v>
      </c>
      <c r="H453" s="821" t="s">
        <v>4690</v>
      </c>
      <c r="I453" s="869"/>
      <c r="J453" s="792" t="str">
        <f>IF(ISBLANK(HLOOKUP(CaseName,CaseData,MATCH($G453,cases!$G$4:$G$2494,0),FALSE)),"",HLOOKUP(CaseName,CaseData,MATCH($G453,cases!$G$4:$G$2494,0),FALSE))</f>
        <v/>
      </c>
      <c r="K453" s="890">
        <f>L370*kdegG.air*(L454/C.OHrad)*L455</f>
        <v>1.8058616035260653E-7</v>
      </c>
      <c r="L453" s="794">
        <f t="shared" si="30"/>
        <v>1.8058616035260653E-7</v>
      </c>
      <c r="M453" s="821" t="s">
        <v>1038</v>
      </c>
      <c r="N453" s="860"/>
    </row>
    <row r="454" spans="1:14" ht="12.75" customHeight="1" x14ac:dyDescent="0.3">
      <c r="A454" s="872"/>
      <c r="B454" s="872"/>
      <c r="C454" s="821" t="s">
        <v>2999</v>
      </c>
      <c r="D454" s="860"/>
      <c r="E454" s="860"/>
      <c r="F454" s="860"/>
      <c r="G454" s="821" t="s">
        <v>3000</v>
      </c>
      <c r="H454" s="821" t="s">
        <v>4757</v>
      </c>
      <c r="I454" s="869"/>
      <c r="J454" s="792" t="str">
        <f>IF(ISBLANK(HLOOKUP(CaseName,CaseData,MATCH($G454,cases!$G$4:$G$2494,0),FALSE)),"",HLOOKUP(CaseName,CaseData,MATCH($G454,cases!$G$4:$G$2494,0),FALSE))</f>
        <v/>
      </c>
      <c r="K454" s="890">
        <v>500000</v>
      </c>
      <c r="L454" s="794">
        <f t="shared" si="30"/>
        <v>500000</v>
      </c>
      <c r="M454" s="821" t="s">
        <v>1284</v>
      </c>
      <c r="N454" s="860"/>
    </row>
    <row r="455" spans="1:14" ht="12.75" customHeight="1" x14ac:dyDescent="0.3">
      <c r="A455" s="872"/>
      <c r="B455" s="872"/>
      <c r="C455" s="821" t="s">
        <v>2122</v>
      </c>
      <c r="D455" s="860"/>
      <c r="E455" s="860"/>
      <c r="F455" s="860"/>
      <c r="G455" s="821" t="s">
        <v>3001</v>
      </c>
      <c r="H455" s="821" t="s">
        <v>291</v>
      </c>
      <c r="I455" s="869"/>
      <c r="J455" s="792" t="str">
        <f>IF(ISBLANK(HLOOKUP(CaseName,CaseData,MATCH($G455,cases!$G$4:$G$2494,0),FALSE)),"",HLOOKUP(CaseName,CaseData,MATCH($G455,cases!$G$4:$G$2494,0),FALSE))</f>
        <v/>
      </c>
      <c r="K455" s="890">
        <f>EXP((Ea.OHrad/8.314)*(L374-298)/298^2)</f>
        <v>0.75244236176784551</v>
      </c>
      <c r="L455" s="794">
        <f t="shared" si="30"/>
        <v>0.75244236176784551</v>
      </c>
      <c r="M455" s="821" t="s">
        <v>292</v>
      </c>
      <c r="N455" s="860"/>
    </row>
    <row r="456" spans="1:14" ht="12.75" customHeight="1" x14ac:dyDescent="0.3">
      <c r="A456" s="821"/>
      <c r="B456" s="821" t="s">
        <v>4795</v>
      </c>
      <c r="C456" s="860"/>
      <c r="D456" s="860"/>
      <c r="E456" s="860"/>
      <c r="F456" s="860"/>
      <c r="G456" s="821" t="s">
        <v>3002</v>
      </c>
      <c r="H456" s="821" t="s">
        <v>4690</v>
      </c>
      <c r="I456" s="869"/>
      <c r="J456" s="792" t="str">
        <f>IF(ISBLANK(HLOOKUP(CaseName,CaseData,MATCH($G456,cases!$G$4:$G$2494,0),FALSE)),"",HLOOKUP(CaseName,CaseData,MATCH($G456,cases!$G$4:$G$2494,0),FALSE))</f>
        <v/>
      </c>
      <c r="K456" s="511">
        <f>kdeg.water*L460*(L458/BACT.test)*L377</f>
        <v>1.8903674041416619E-8</v>
      </c>
      <c r="L456" s="794">
        <f t="shared" si="30"/>
        <v>1.8903674041416619E-8</v>
      </c>
      <c r="M456" s="821" t="s">
        <v>1038</v>
      </c>
      <c r="N456" s="860"/>
    </row>
    <row r="457" spans="1:14" ht="12.75" customHeight="1" x14ac:dyDescent="0.3">
      <c r="A457" s="821"/>
      <c r="B457" s="821" t="s">
        <v>2650</v>
      </c>
      <c r="C457" s="860"/>
      <c r="D457" s="860"/>
      <c r="E457" s="860"/>
      <c r="F457" s="860"/>
      <c r="G457" s="821" t="s">
        <v>3003</v>
      </c>
      <c r="H457" s="821" t="s">
        <v>4690</v>
      </c>
      <c r="I457" s="869"/>
      <c r="J457" s="792" t="str">
        <f>IF(ISBLANK(HLOOKUP(CaseName,CaseData,MATCH($G457,cases!$G$4:$G$2494,0),FALSE)),"",HLOOKUP(CaseName,CaseData,MATCH($G457,cases!$G$4:$G$2494,0),FALSE))</f>
        <v/>
      </c>
      <c r="K457" s="511">
        <f>kdeg.water*L460*(L459/BACT.test)*L378</f>
        <v>1.8903674041416619E-8</v>
      </c>
      <c r="L457" s="794">
        <f t="shared" si="30"/>
        <v>1.8903674041416619E-8</v>
      </c>
      <c r="M457" s="821" t="s">
        <v>1038</v>
      </c>
      <c r="N457" s="860"/>
    </row>
    <row r="458" spans="1:14" ht="12.75" customHeight="1" x14ac:dyDescent="0.3">
      <c r="A458" s="821"/>
      <c r="B458" s="821"/>
      <c r="C458" s="821" t="s">
        <v>4796</v>
      </c>
      <c r="D458" s="860"/>
      <c r="E458" s="860"/>
      <c r="F458" s="860"/>
      <c r="G458" s="872" t="s">
        <v>3004</v>
      </c>
      <c r="H458" s="821" t="s">
        <v>1295</v>
      </c>
      <c r="I458" s="869"/>
      <c r="J458" s="792" t="str">
        <f>IF(ISBLANK(HLOOKUP(CaseName,CaseData,MATCH($G458,cases!$G$4:$G$2494,0),FALSE)),"",HLOOKUP(CaseName,CaseData,MATCH($G458,cases!$G$4:$G$2494,0),FALSE))</f>
        <v/>
      </c>
      <c r="K458" s="890">
        <v>40000</v>
      </c>
      <c r="L458" s="794">
        <f t="shared" si="30"/>
        <v>40000</v>
      </c>
      <c r="M458" s="821" t="s">
        <v>638</v>
      </c>
      <c r="N458" s="860"/>
    </row>
    <row r="459" spans="1:14" ht="12.75" customHeight="1" x14ac:dyDescent="0.3">
      <c r="A459" s="821"/>
      <c r="B459" s="821"/>
      <c r="C459" s="821" t="s">
        <v>3005</v>
      </c>
      <c r="D459" s="860"/>
      <c r="E459" s="860"/>
      <c r="F459" s="860"/>
      <c r="G459" s="872" t="s">
        <v>3006</v>
      </c>
      <c r="H459" s="821" t="s">
        <v>1295</v>
      </c>
      <c r="I459" s="869"/>
      <c r="J459" s="792" t="str">
        <f>IF(ISBLANK(HLOOKUP(CaseName,CaseData,MATCH($G459,cases!$G$4:$G$2494,0),FALSE)),"",HLOOKUP(CaseName,CaseData,MATCH($G459,cases!$G$4:$G$2494,0),FALSE))</f>
        <v/>
      </c>
      <c r="K459" s="890">
        <v>40000</v>
      </c>
      <c r="L459" s="794">
        <f t="shared" si="30"/>
        <v>40000</v>
      </c>
      <c r="M459" s="821" t="s">
        <v>638</v>
      </c>
      <c r="N459" s="860"/>
    </row>
    <row r="460" spans="1:14" ht="12.75" customHeight="1" x14ac:dyDescent="0.3">
      <c r="A460" s="872"/>
      <c r="B460" s="872"/>
      <c r="C460" s="821" t="s">
        <v>1301</v>
      </c>
      <c r="D460" s="860"/>
      <c r="E460" s="860"/>
      <c r="F460" s="860"/>
      <c r="G460" s="821" t="s">
        <v>3007</v>
      </c>
      <c r="H460" s="821" t="s">
        <v>291</v>
      </c>
      <c r="I460" s="869"/>
      <c r="J460" s="792" t="str">
        <f>IF(ISBLANK(HLOOKUP(CaseName,CaseData,MATCH($G460,cases!$G$4:$G$2494,0),FALSE)),"",HLOOKUP(CaseName,CaseData,MATCH($G460,cases!$G$4:$G$2494,0),FALSE))</f>
        <v/>
      </c>
      <c r="K460" s="511">
        <f>Q.10^((L374-298)/10)</f>
        <v>8.8388347648318447E-2</v>
      </c>
      <c r="L460" s="794">
        <f t="shared" si="30"/>
        <v>8.8388347648318447E-2</v>
      </c>
      <c r="M460" s="821" t="s">
        <v>292</v>
      </c>
      <c r="N460" s="860"/>
    </row>
    <row r="461" spans="1:14" ht="12.75" customHeight="1" x14ac:dyDescent="0.3">
      <c r="A461" s="821"/>
      <c r="B461" s="821" t="s">
        <v>2656</v>
      </c>
      <c r="C461" s="860"/>
      <c r="D461" s="860"/>
      <c r="E461" s="860"/>
      <c r="F461" s="860"/>
      <c r="G461" s="821" t="s">
        <v>3008</v>
      </c>
      <c r="H461" s="821" t="s">
        <v>4690</v>
      </c>
      <c r="I461" s="869"/>
      <c r="J461" s="792" t="str">
        <f>IF(ISBLANK(HLOOKUP(CaseName,CaseData,MATCH($G461,cases!$G$4:$G$2494,0),FALSE)),"",HLOOKUP(CaseName,CaseData,MATCH($G461,cases!$G$4:$G$2494,0),FALSE))</f>
        <v/>
      </c>
      <c r="K461" s="511">
        <f>L460*kdeg.sed</f>
        <v>2.103642674029979E-9</v>
      </c>
      <c r="L461" s="794">
        <f t="shared" si="30"/>
        <v>2.103642674029979E-9</v>
      </c>
      <c r="M461" s="821" t="s">
        <v>1038</v>
      </c>
      <c r="N461" s="860"/>
    </row>
    <row r="462" spans="1:14" ht="12.75" customHeight="1" x14ac:dyDescent="0.3">
      <c r="A462" s="821"/>
      <c r="B462" s="821" t="s">
        <v>2658</v>
      </c>
      <c r="C462" s="860"/>
      <c r="D462" s="860"/>
      <c r="E462" s="860"/>
      <c r="F462" s="860"/>
      <c r="G462" s="821" t="s">
        <v>3009</v>
      </c>
      <c r="H462" s="821" t="s">
        <v>4690</v>
      </c>
      <c r="I462" s="869"/>
      <c r="J462" s="792" t="str">
        <f>IF(ISBLANK(HLOOKUP(CaseName,CaseData,MATCH($G462,cases!$G$4:$G$2494,0),FALSE)),"",HLOOKUP(CaseName,CaseData,MATCH($G462,cases!$G$4:$G$2494,0),FALSE))</f>
        <v/>
      </c>
      <c r="K462" s="511">
        <f>L460*kdeg.soil</f>
        <v>9.4575531983700746E-9</v>
      </c>
      <c r="L462" s="794">
        <f t="shared" si="30"/>
        <v>9.4575531983700746E-9</v>
      </c>
      <c r="M462" s="821" t="s">
        <v>1038</v>
      </c>
      <c r="N462" s="860"/>
    </row>
    <row r="463" spans="1:14" ht="12.75" customHeight="1" x14ac:dyDescent="0.3">
      <c r="A463" s="860"/>
      <c r="B463" s="860"/>
      <c r="C463" s="821" t="s">
        <v>2660</v>
      </c>
      <c r="D463" s="860"/>
      <c r="E463" s="860"/>
      <c r="F463" s="860"/>
      <c r="G463" s="872" t="s">
        <v>3010</v>
      </c>
      <c r="H463" s="821" t="s">
        <v>291</v>
      </c>
      <c r="I463" s="869"/>
      <c r="J463" s="792" t="str">
        <f>IF(ISBLANK(HLOOKUP(CaseName,CaseData,MATCH($G463,cases!$G$4:$G$2494,0),FALSE)),"",HLOOKUP(CaseName,CaseData,MATCH($G463,cases!$G$4:$G$2494,0),FALSE))</f>
        <v/>
      </c>
      <c r="K463" s="890">
        <f>FRACinf.C</f>
        <v>0.25</v>
      </c>
      <c r="L463" s="794">
        <f t="shared" si="30"/>
        <v>0.25</v>
      </c>
      <c r="M463" s="860" t="s">
        <v>292</v>
      </c>
      <c r="N463" s="860"/>
    </row>
    <row r="464" spans="1:14" ht="12.75" customHeight="1" x14ac:dyDescent="0.3">
      <c r="A464" s="821"/>
      <c r="B464" s="821"/>
      <c r="C464" s="860" t="s">
        <v>1185</v>
      </c>
      <c r="D464" s="860"/>
      <c r="E464" s="872"/>
      <c r="F464" s="872"/>
      <c r="G464" s="821" t="s">
        <v>3011</v>
      </c>
      <c r="H464" s="860" t="s">
        <v>291</v>
      </c>
      <c r="I464" s="875"/>
      <c r="J464" s="792" t="str">
        <f>IF(ISBLANK(HLOOKUP(CaseName,CaseData,MATCH($G464,cases!$G$4:$G$2494,0),FALSE)),"",HLOOKUP(CaseName,CaseData,MATCH($G464,cases!$G$4:$G$2494,0),FALSE))</f>
        <v/>
      </c>
      <c r="K464" s="890">
        <f>(EXP((-1/0.1)*0.5)*(1/0.1)*L347/(1-EXP((-1/0.1)*L347)))</f>
        <v>8.5622262133111474E-3</v>
      </c>
      <c r="L464" s="794">
        <f t="shared" si="30"/>
        <v>8.5622262133111474E-3</v>
      </c>
      <c r="M464" s="821" t="s">
        <v>292</v>
      </c>
      <c r="N464" s="860" t="s">
        <v>1187</v>
      </c>
    </row>
    <row r="465" spans="1:16" ht="12.75" customHeight="1" x14ac:dyDescent="0.3">
      <c r="A465" s="895"/>
      <c r="B465" s="895"/>
      <c r="C465" s="895"/>
      <c r="D465" s="895"/>
      <c r="E465" s="895"/>
      <c r="F465" s="895"/>
      <c r="G465" s="895"/>
      <c r="H465" s="895"/>
      <c r="I465" s="896"/>
      <c r="J465" s="792"/>
      <c r="K465" s="897"/>
      <c r="L465" s="930"/>
      <c r="M465" s="895"/>
      <c r="N465" s="895"/>
    </row>
    <row r="466" spans="1:16" s="784" customFormat="1" ht="12.75" customHeight="1" x14ac:dyDescent="0.3">
      <c r="A466" s="785" t="s">
        <v>1325</v>
      </c>
      <c r="G466" s="785" t="s">
        <v>258</v>
      </c>
      <c r="H466" s="785" t="s">
        <v>274</v>
      </c>
      <c r="I466" s="784" t="s">
        <v>259</v>
      </c>
      <c r="J466" s="811" t="s">
        <v>2875</v>
      </c>
      <c r="K466" s="786" t="s">
        <v>260</v>
      </c>
      <c r="L466" s="787" t="s">
        <v>261</v>
      </c>
      <c r="N466" s="785" t="s">
        <v>262</v>
      </c>
      <c r="O466" s="788" t="s">
        <v>1326</v>
      </c>
      <c r="P466" s="784" t="s">
        <v>1327</v>
      </c>
    </row>
    <row r="467" spans="1:16" s="352" customFormat="1" ht="12.75" customHeight="1" x14ac:dyDescent="0.3">
      <c r="A467" s="352" t="s">
        <v>3012</v>
      </c>
      <c r="G467" s="520"/>
      <c r="H467" s="520"/>
      <c r="J467" s="521" t="str">
        <f t="shared" ref="J467" si="31">IF(HLOOKUP(CaseName,CaseData,ROW()+1421,FALSE)="","",HLOOKUP(CaseName,CaseData,ROW()+1421,FALSE))</f>
        <v/>
      </c>
      <c r="K467" s="522"/>
      <c r="L467" s="523"/>
      <c r="O467" s="356"/>
    </row>
    <row r="468" spans="1:16" ht="12.75" customHeight="1" x14ac:dyDescent="0.3">
      <c r="A468" s="797" t="s">
        <v>1329</v>
      </c>
      <c r="B468" s="797"/>
      <c r="C468" s="797"/>
      <c r="D468" s="797"/>
      <c r="E468" s="797"/>
      <c r="F468" s="797"/>
      <c r="G468" s="797" t="s">
        <v>3013</v>
      </c>
      <c r="H468" s="796" t="s">
        <v>335</v>
      </c>
      <c r="I468" s="900"/>
      <c r="J468" s="792" t="str">
        <f>IF(ISBLANK(HLOOKUP(CaseName,CaseData,MATCH($G468,cases!$G$4:$G$2494,0),FALSE)),"",HLOOKUP(CaseName,CaseData,MATCH($G468,cases!$G$4:$G$2494,0),FALSE))</f>
        <v/>
      </c>
      <c r="K468" s="918">
        <f>L469+L474</f>
        <v>2.0613690584752422E-5</v>
      </c>
      <c r="L468" s="794">
        <f t="shared" ref="L468:L483" si="32">IF(ISBLANK(I468),IF(ISNUMBER(J468)=FALSE,K468,J468),I468)</f>
        <v>2.0613690584752422E-5</v>
      </c>
      <c r="M468" s="796" t="s">
        <v>335</v>
      </c>
      <c r="N468" s="797"/>
      <c r="O468" s="799">
        <v>2</v>
      </c>
      <c r="P468" s="797" t="s">
        <v>1331</v>
      </c>
    </row>
    <row r="469" spans="1:16" ht="12.75" customHeight="1" x14ac:dyDescent="0.3">
      <c r="A469" s="797"/>
      <c r="B469" s="797" t="s">
        <v>1332</v>
      </c>
      <c r="C469" s="797"/>
      <c r="D469" s="797"/>
      <c r="E469" s="797"/>
      <c r="F469" s="797"/>
      <c r="G469" s="797" t="s">
        <v>3014</v>
      </c>
      <c r="H469" s="797" t="s">
        <v>335</v>
      </c>
      <c r="I469" s="900"/>
      <c r="J469" s="792" t="str">
        <f>IF(ISBLANK(HLOOKUP(CaseName,CaseData,MATCH($G469,cases!$G$4:$G$2494,0),FALSE)),"",HLOOKUP(CaseName,CaseData,MATCH($G469,cases!$G$4:$G$2494,0),FALSE))</f>
        <v/>
      </c>
      <c r="K469" s="798">
        <f>L473*(4*PI()*(RadNuc+RadS)*(L472+DiffS.aA))*L470</f>
        <v>4.6467310087458173E-6</v>
      </c>
      <c r="L469" s="794">
        <f t="shared" si="32"/>
        <v>4.6467310087458173E-6</v>
      </c>
      <c r="M469" s="797" t="s">
        <v>335</v>
      </c>
      <c r="N469" s="797"/>
      <c r="O469" s="799">
        <v>10</v>
      </c>
      <c r="P469" s="797" t="s">
        <v>908</v>
      </c>
    </row>
    <row r="470" spans="1:16" ht="12.75" customHeight="1" x14ac:dyDescent="0.3">
      <c r="A470" s="797"/>
      <c r="B470" s="797"/>
      <c r="C470" s="797" t="s">
        <v>706</v>
      </c>
      <c r="D470" s="797"/>
      <c r="E470" s="797"/>
      <c r="F470" s="797"/>
      <c r="G470" s="797" t="s">
        <v>3015</v>
      </c>
      <c r="H470" s="796" t="s">
        <v>708</v>
      </c>
      <c r="I470" s="900"/>
      <c r="J470" s="792" t="str">
        <f>IF(ISBLANK(HLOOKUP(CaseName,CaseData,MATCH($G470,cases!$G$4:$G$2494,0),FALSE)),"",HLOOKUP(CaseName,CaseData,MATCH($G470,cases!$G$4:$G$2494,0),FALSE))</f>
        <v/>
      </c>
      <c r="K470" s="798">
        <f>3.2*10^9</f>
        <v>3200000000</v>
      </c>
      <c r="L470" s="794">
        <f t="shared" si="32"/>
        <v>3200000000</v>
      </c>
      <c r="M470" s="796" t="s">
        <v>708</v>
      </c>
      <c r="N470" s="797"/>
      <c r="O470" s="848"/>
      <c r="P470" s="797" t="s">
        <v>709</v>
      </c>
    </row>
    <row r="471" spans="1:16" ht="12.75" customHeight="1" x14ac:dyDescent="0.3">
      <c r="A471" s="797"/>
      <c r="B471" s="797"/>
      <c r="C471" s="797" t="s">
        <v>1339</v>
      </c>
      <c r="D471" s="797"/>
      <c r="E471" s="797"/>
      <c r="F471" s="797"/>
      <c r="G471" s="796" t="s">
        <v>3016</v>
      </c>
      <c r="H471" s="796" t="s">
        <v>866</v>
      </c>
      <c r="I471" s="900"/>
      <c r="J471" s="792" t="str">
        <f>IF(ISBLANK(HLOOKUP(CaseName,CaseData,MATCH($G471,cases!$G$4:$G$2494,0),FALSE)),"",HLOOKUP(CaseName,CaseData,MATCH($G471,cases!$G$4:$G$2494,0),FALSE))</f>
        <v/>
      </c>
      <c r="K471" s="798">
        <f>((8*kboltz*L374)/((PI()*(4/3*PI()*(RadNuc)^3)*RhoNuc)))^0.5</f>
        <v>1.3030874450354406</v>
      </c>
      <c r="L471" s="794">
        <f t="shared" si="32"/>
        <v>1.3030874450354406</v>
      </c>
      <c r="M471" s="796" t="s">
        <v>866</v>
      </c>
      <c r="N471" s="797"/>
      <c r="O471" s="799"/>
      <c r="P471" s="797"/>
    </row>
    <row r="472" spans="1:16" ht="12.75" customHeight="1" x14ac:dyDescent="0.3">
      <c r="A472" s="797"/>
      <c r="B472" s="797"/>
      <c r="C472" s="797" t="s">
        <v>1337</v>
      </c>
      <c r="D472" s="797"/>
      <c r="E472" s="797"/>
      <c r="F472" s="797"/>
      <c r="G472" s="797" t="s">
        <v>3017</v>
      </c>
      <c r="H472" s="797" t="s">
        <v>900</v>
      </c>
      <c r="I472" s="900"/>
      <c r="J472" s="792" t="str">
        <f>IF(ISBLANK(HLOOKUP(CaseName,CaseData,MATCH($G472,cases!$G$4:$G$2494,0),FALSE)),"",HLOOKUP(CaseName,CaseData,MATCH($G472,cases!$G$4:$G$2494,0),FALSE))</f>
        <v/>
      </c>
      <c r="K472" s="798">
        <f>(kboltz*L374*(1+(66*10^-9/RadNuc)*(1.142+0.558*EXP(-0.999/(66*10^-9/RadNuc)))))/(6*PI()*DYNVISC.a*RadNuc)</f>
        <v>1.2455041721249486E-8</v>
      </c>
      <c r="L472" s="794">
        <f t="shared" si="32"/>
        <v>1.2455041721249486E-8</v>
      </c>
      <c r="M472" s="797" t="s">
        <v>900</v>
      </c>
      <c r="N472" s="797"/>
      <c r="O472" s="799"/>
      <c r="P472" s="797"/>
    </row>
    <row r="473" spans="1:16" ht="12.75" customHeight="1" x14ac:dyDescent="0.3">
      <c r="A473" s="797"/>
      <c r="B473" s="797"/>
      <c r="C473" s="797" t="s">
        <v>1334</v>
      </c>
      <c r="D473" s="797"/>
      <c r="E473" s="797"/>
      <c r="F473" s="797"/>
      <c r="G473" s="796" t="s">
        <v>3018</v>
      </c>
      <c r="H473" s="796" t="s">
        <v>291</v>
      </c>
      <c r="I473" s="900"/>
      <c r="J473" s="792" t="str">
        <f>IF(ISBLANK(HLOOKUP(CaseName,CaseData,MATCH($G473,cases!$G$4:$G$2494,0),FALSE)),"",HLOOKUP(CaseName,CaseData,MATCH($G473,cases!$G$4:$G$2494,0),FALSE))</f>
        <v/>
      </c>
      <c r="K473" s="798">
        <f>(1+(4*(DiffS.aA+L472))/((RadS+RadNuc)*(ThermvelS^2+L471^2)^0.5))^-1</f>
        <v>0.2319436634238092</v>
      </c>
      <c r="L473" s="794">
        <f t="shared" si="32"/>
        <v>0.2319436634238092</v>
      </c>
      <c r="M473" s="796" t="s">
        <v>291</v>
      </c>
      <c r="N473" s="797"/>
      <c r="O473" s="832" t="s">
        <v>1336</v>
      </c>
      <c r="P473" s="797"/>
    </row>
    <row r="474" spans="1:16" ht="12.75" customHeight="1" x14ac:dyDescent="0.3">
      <c r="A474" s="797" t="s">
        <v>1341</v>
      </c>
      <c r="B474" s="797"/>
      <c r="C474" s="797"/>
      <c r="D474" s="797"/>
      <c r="E474" s="797"/>
      <c r="F474" s="797"/>
      <c r="G474" s="797" t="s">
        <v>3019</v>
      </c>
      <c r="H474" s="797" t="s">
        <v>335</v>
      </c>
      <c r="I474" s="900"/>
      <c r="J474" s="792" t="str">
        <f>IF(ISBLANK(HLOOKUP(CaseName,CaseData,MATCH($G474,cases!$G$4:$G$2494,0),FALSE)),"",HLOOKUP(CaseName,CaseData,MATCH($G474,cases!$G$4:$G$2494,0),FALSE))</f>
        <v/>
      </c>
      <c r="K474" s="798">
        <f>L478*(4*PI()*(RadAcc+RadS)*(L477+DiffS.aA))*L475</f>
        <v>1.5966959576006605E-5</v>
      </c>
      <c r="L474" s="794">
        <f t="shared" si="32"/>
        <v>1.5966959576006605E-5</v>
      </c>
      <c r="M474" s="797" t="s">
        <v>335</v>
      </c>
      <c r="N474" s="797"/>
      <c r="O474" s="799"/>
      <c r="P474" s="797"/>
    </row>
    <row r="475" spans="1:16" ht="12.75" customHeight="1" x14ac:dyDescent="0.3">
      <c r="A475" s="797"/>
      <c r="B475" s="797"/>
      <c r="C475" s="797" t="s">
        <v>710</v>
      </c>
      <c r="D475" s="797"/>
      <c r="E475" s="797"/>
      <c r="F475" s="797"/>
      <c r="G475" s="797" t="s">
        <v>3020</v>
      </c>
      <c r="H475" s="796" t="s">
        <v>708</v>
      </c>
      <c r="I475" s="900"/>
      <c r="J475" s="792" t="str">
        <f>IF(ISBLANK(HLOOKUP(CaseName,CaseData,MATCH($G475,cases!$G$4:$G$2494,0),FALSE)),"",HLOOKUP(CaseName,CaseData,MATCH($G475,cases!$G$4:$G$2494,0),FALSE))</f>
        <v/>
      </c>
      <c r="K475" s="798">
        <f>2.9*10^9</f>
        <v>2900000000</v>
      </c>
      <c r="L475" s="794">
        <f t="shared" si="32"/>
        <v>2900000000</v>
      </c>
      <c r="M475" s="796" t="s">
        <v>708</v>
      </c>
      <c r="N475" s="797"/>
      <c r="O475" s="848"/>
      <c r="P475" s="797" t="s">
        <v>709</v>
      </c>
    </row>
    <row r="476" spans="1:16" ht="12.75" customHeight="1" x14ac:dyDescent="0.3">
      <c r="A476" s="797"/>
      <c r="B476" s="797"/>
      <c r="C476" s="797" t="s">
        <v>1343</v>
      </c>
      <c r="D476" s="797"/>
      <c r="E476" s="797"/>
      <c r="F476" s="797"/>
      <c r="G476" s="796" t="s">
        <v>3021</v>
      </c>
      <c r="H476" s="796" t="s">
        <v>866</v>
      </c>
      <c r="I476" s="900"/>
      <c r="J476" s="792" t="str">
        <f>IF(ISBLANK(HLOOKUP(CaseName,CaseData,MATCH($G476,cases!$G$4:$G$2494,0),FALSE)),"",HLOOKUP(CaseName,CaseData,MATCH($G476,cases!$G$4:$G$2494,0),FALSE))</f>
        <v/>
      </c>
      <c r="K476" s="798">
        <f>((8*kboltz*L374)/((PI()*(4/3*PI()*(RadAcc)^3)*RhoAcc)))^0.5</f>
        <v>7.521219241859671E-2</v>
      </c>
      <c r="L476" s="794">
        <f t="shared" si="32"/>
        <v>7.521219241859671E-2</v>
      </c>
      <c r="M476" s="796" t="s">
        <v>866</v>
      </c>
      <c r="N476" s="797"/>
      <c r="O476" s="799"/>
      <c r="P476" s="797"/>
    </row>
    <row r="477" spans="1:16" ht="12.75" customHeight="1" x14ac:dyDescent="0.3">
      <c r="A477" s="797"/>
      <c r="B477" s="797"/>
      <c r="C477" s="797" t="s">
        <v>1345</v>
      </c>
      <c r="D477" s="797"/>
      <c r="E477" s="797"/>
      <c r="F477" s="797"/>
      <c r="G477" s="797" t="s">
        <v>3022</v>
      </c>
      <c r="H477" s="797" t="s">
        <v>900</v>
      </c>
      <c r="I477" s="900"/>
      <c r="J477" s="792" t="str">
        <f>IF(ISBLANK(HLOOKUP(CaseName,CaseData,MATCH($G477,cases!$G$4:$G$2494,0),FALSE)),"",HLOOKUP(CaseName,CaseData,MATCH($G477,cases!$G$4:$G$2494,0),FALSE))</f>
        <v/>
      </c>
      <c r="K477" s="798">
        <f>(kboltz*L374*(1+(66*10^-9/RadAcc)*(1.142+0.558*EXP(-0.999/(66*10^-9/RadAcc)))))/(6*PI()*DYNVISC.a*RadAcc)</f>
        <v>4.7038629804181629E-10</v>
      </c>
      <c r="L477" s="794">
        <f t="shared" si="32"/>
        <v>4.7038629804181629E-10</v>
      </c>
      <c r="M477" s="797" t="s">
        <v>900</v>
      </c>
      <c r="N477" s="797"/>
      <c r="O477" s="799"/>
      <c r="P477" s="797"/>
    </row>
    <row r="478" spans="1:16" ht="12.75" customHeight="1" x14ac:dyDescent="0.3">
      <c r="A478" s="797"/>
      <c r="B478" s="797"/>
      <c r="C478" s="797" t="s">
        <v>1347</v>
      </c>
      <c r="D478" s="797"/>
      <c r="E478" s="797"/>
      <c r="F478" s="797"/>
      <c r="G478" s="796" t="s">
        <v>3023</v>
      </c>
      <c r="H478" s="796" t="s">
        <v>291</v>
      </c>
      <c r="I478" s="900"/>
      <c r="J478" s="792" t="str">
        <f>IF(ISBLANK(HLOOKUP(CaseName,CaseData,MATCH($G478,cases!$G$4:$G$2494,0),FALSE)),"",HLOOKUP(CaseName,CaseData,MATCH($G478,cases!$G$4:$G$2494,0),FALSE))</f>
        <v/>
      </c>
      <c r="K478" s="798">
        <f>(1+(4*(DiffS.aA+L477))/((RadS+RadAcc)*(L476^2+ThermvelS^2)^0.5))^-1</f>
        <v>0.49849466837110828</v>
      </c>
      <c r="L478" s="794">
        <f t="shared" si="32"/>
        <v>0.49849466837110828</v>
      </c>
      <c r="M478" s="796" t="s">
        <v>291</v>
      </c>
      <c r="N478" s="797"/>
      <c r="O478" s="799"/>
      <c r="P478" s="797"/>
    </row>
    <row r="479" spans="1:16" ht="12.75" customHeight="1" x14ac:dyDescent="0.3">
      <c r="A479" s="797" t="s">
        <v>1349</v>
      </c>
      <c r="B479" s="797"/>
      <c r="C479" s="797"/>
      <c r="D479" s="797"/>
      <c r="E479" s="797"/>
      <c r="F479" s="797"/>
      <c r="G479" s="796" t="s">
        <v>3024</v>
      </c>
      <c r="H479" s="796" t="s">
        <v>335</v>
      </c>
      <c r="I479" s="900"/>
      <c r="J479" s="792" t="str">
        <f>IF(ISBLANK(HLOOKUP(CaseName,CaseData,MATCH($G479,cases!$G$4:$G$2494,0),FALSE)),"",HLOOKUP(CaseName,CaseData,MATCH($G479,cases!$G$4:$G$2494,0),FALSE))</f>
        <v/>
      </c>
      <c r="K479" s="798">
        <f>L483*(4*PI()*(RadCP.a+RadS)*(L482+DiffS.aA))*L480</f>
        <v>3.986412789197493E-8</v>
      </c>
      <c r="L479" s="794">
        <f t="shared" si="32"/>
        <v>3.986412789197493E-8</v>
      </c>
      <c r="M479" s="797" t="s">
        <v>335</v>
      </c>
      <c r="N479" s="797"/>
      <c r="O479" s="799"/>
      <c r="P479" s="797"/>
    </row>
    <row r="480" spans="1:16" ht="12.75" customHeight="1" x14ac:dyDescent="0.3">
      <c r="A480" s="797"/>
      <c r="B480" s="797" t="s">
        <v>712</v>
      </c>
      <c r="C480" s="797"/>
      <c r="D480" s="797"/>
      <c r="E480" s="797"/>
      <c r="F480" s="797"/>
      <c r="G480" s="797" t="s">
        <v>3025</v>
      </c>
      <c r="H480" s="796" t="s">
        <v>708</v>
      </c>
      <c r="I480" s="900"/>
      <c r="J480" s="792" t="str">
        <f>IF(ISBLANK(HLOOKUP(CaseName,CaseData,MATCH($G480,cases!$G$4:$G$2494,0),FALSE)),"",HLOOKUP(CaseName,CaseData,MATCH($G480,cases!$G$4:$G$2494,0),FALSE))</f>
        <v/>
      </c>
      <c r="K480" s="798">
        <f>3*10^5</f>
        <v>300000</v>
      </c>
      <c r="L480" s="794">
        <f t="shared" si="32"/>
        <v>300000</v>
      </c>
      <c r="M480" s="796" t="s">
        <v>708</v>
      </c>
      <c r="N480" s="797"/>
      <c r="O480" s="848"/>
      <c r="P480" s="797" t="s">
        <v>709</v>
      </c>
    </row>
    <row r="481" spans="1:16" ht="12.75" customHeight="1" x14ac:dyDescent="0.3">
      <c r="A481" s="797"/>
      <c r="B481" s="797" t="s">
        <v>1351</v>
      </c>
      <c r="C481" s="797"/>
      <c r="D481" s="797"/>
      <c r="E481" s="797"/>
      <c r="F481" s="797"/>
      <c r="G481" s="796" t="s">
        <v>3026</v>
      </c>
      <c r="H481" s="796" t="s">
        <v>866</v>
      </c>
      <c r="I481" s="900"/>
      <c r="J481" s="792" t="str">
        <f>IF(ISBLANK(HLOOKUP(CaseName,CaseData,MATCH($G481,cases!$G$4:$G$2494,0),FALSE)),"",HLOOKUP(CaseName,CaseData,MATCH($G481,cases!$G$4:$G$2494,0),FALSE))</f>
        <v/>
      </c>
      <c r="K481" s="798">
        <f>((8*kboltz*L374)/((PI()*(4/3*PI()*(RadCP.a)^3)*RhoCP.a)))^0.5</f>
        <v>1.2304570944728663E-3</v>
      </c>
      <c r="L481" s="794">
        <f t="shared" si="32"/>
        <v>1.2304570944728663E-3</v>
      </c>
      <c r="M481" s="796" t="s">
        <v>866</v>
      </c>
      <c r="N481" s="797"/>
      <c r="O481" s="799"/>
      <c r="P481" s="797"/>
    </row>
    <row r="482" spans="1:16" ht="12.75" customHeight="1" x14ac:dyDescent="0.3">
      <c r="A482" s="797"/>
      <c r="B482" s="797" t="s">
        <v>1353</v>
      </c>
      <c r="C482" s="797"/>
      <c r="D482" s="797"/>
      <c r="E482" s="797"/>
      <c r="F482" s="797"/>
      <c r="G482" s="797" t="s">
        <v>3027</v>
      </c>
      <c r="H482" s="797" t="s">
        <v>900</v>
      </c>
      <c r="I482" s="900"/>
      <c r="J482" s="792" t="str">
        <f>IF(ISBLANK(HLOOKUP(CaseName,CaseData,MATCH($G482,cases!$G$4:$G$2494,0),FALSE)),"",HLOOKUP(CaseName,CaseData,MATCH($G482,cases!$G$4:$G$2494,0),FALSE))</f>
        <v/>
      </c>
      <c r="K482" s="798">
        <f>(kboltz*L374)/(6*PI()*DYNVISC.a*RadCP.a)</f>
        <v>1.1825425077551464E-11</v>
      </c>
      <c r="L482" s="794">
        <f t="shared" si="32"/>
        <v>1.1825425077551464E-11</v>
      </c>
      <c r="M482" s="797" t="s">
        <v>900</v>
      </c>
      <c r="N482" s="797"/>
      <c r="O482" s="799"/>
      <c r="P482" s="797"/>
    </row>
    <row r="483" spans="1:16" ht="12.75" customHeight="1" x14ac:dyDescent="0.3">
      <c r="A483" s="797"/>
      <c r="B483" s="797" t="s">
        <v>1355</v>
      </c>
      <c r="C483" s="797"/>
      <c r="D483" s="797"/>
      <c r="E483" s="797"/>
      <c r="F483" s="797"/>
      <c r="G483" s="796" t="s">
        <v>3028</v>
      </c>
      <c r="H483" s="796" t="s">
        <v>291</v>
      </c>
      <c r="I483" s="900"/>
      <c r="J483" s="792" t="str">
        <f>IF(ISBLANK(HLOOKUP(CaseName,CaseData,MATCH($G483,cases!$G$4:$G$2494,0),FALSE)),"",HLOOKUP(CaseName,CaseData,MATCH($G483,cases!$G$4:$G$2494,0),FALSE))</f>
        <v/>
      </c>
      <c r="K483" s="902">
        <f>(1+(4*(DiffS.aA+L482))/((RadS+RadCP.a)*(L481^2+ThermvelS^2)^0.5))^-1</f>
        <v>0.93207835972735675</v>
      </c>
      <c r="L483" s="794">
        <f t="shared" si="32"/>
        <v>0.93207835972735675</v>
      </c>
      <c r="M483" s="796" t="s">
        <v>291</v>
      </c>
      <c r="N483" s="797"/>
      <c r="O483" s="799"/>
      <c r="P483" s="797"/>
    </row>
    <row r="484" spans="1:16" s="352" customFormat="1" ht="12.75" customHeight="1" x14ac:dyDescent="0.3">
      <c r="A484" s="352" t="s">
        <v>3029</v>
      </c>
      <c r="G484" s="520"/>
      <c r="H484" s="520"/>
      <c r="J484" s="792" t="str">
        <f>IF(ISBLANK(HLOOKUP(CaseName,CaseData,MATCH($G484,cases!$G$4:$G$2494,0),FALSE)),"",HLOOKUP(CaseName,CaseData,MATCH($G484,cases!$G$4:$G$2494,0),FALSE))</f>
        <v/>
      </c>
      <c r="K484" s="522"/>
      <c r="L484" s="523"/>
      <c r="O484" s="356"/>
    </row>
    <row r="485" spans="1:16" ht="12.75" customHeight="1" x14ac:dyDescent="0.3">
      <c r="A485" s="797" t="s">
        <v>1380</v>
      </c>
      <c r="B485" s="797"/>
      <c r="C485" s="797"/>
      <c r="D485" s="797"/>
      <c r="E485" s="797"/>
      <c r="F485" s="797"/>
      <c r="G485" s="796" t="s">
        <v>3030</v>
      </c>
      <c r="H485" s="796" t="s">
        <v>335</v>
      </c>
      <c r="I485" s="900"/>
      <c r="J485" s="792" t="str">
        <f>IF(ISBLANK(HLOOKUP(CaseName,CaseData,MATCH($G485,cases!$G$4:$G$2494,0),FALSE)),"",HLOOKUP(CaseName,CaseData,MATCH($G485,cases!$G$4:$G$2494,0),FALSE))</f>
        <v/>
      </c>
      <c r="K485" s="918">
        <f>L487*L486*AtefSA.w2</f>
        <v>2.9206671988249891E-3</v>
      </c>
      <c r="L485" s="794">
        <f t="shared" ref="L485:L506" si="33">IF(ISBLANK(I485),IF(ISNUMBER(J485)=FALSE,K485,J485),I485)</f>
        <v>2.9206671988249891E-3</v>
      </c>
      <c r="M485" s="797" t="s">
        <v>335</v>
      </c>
      <c r="N485" s="797"/>
      <c r="O485" s="799"/>
      <c r="P485" s="797"/>
    </row>
    <row r="486" spans="1:16" ht="12.75" customHeight="1" x14ac:dyDescent="0.3">
      <c r="A486" s="797"/>
      <c r="B486" s="797" t="s">
        <v>1382</v>
      </c>
      <c r="C486" s="797"/>
      <c r="D486" s="797"/>
      <c r="E486" s="797"/>
      <c r="F486" s="797"/>
      <c r="G486" s="796" t="s">
        <v>3031</v>
      </c>
      <c r="H486" s="796" t="s">
        <v>708</v>
      </c>
      <c r="I486" s="900"/>
      <c r="J486" s="792" t="str">
        <f>IF(ISBLANK(HLOOKUP(CaseName,CaseData,MATCH($G486,cases!$G$4:$G$2494,0),FALSE)),"",HLOOKUP(CaseName,CaseData,MATCH($G486,cases!$G$4:$G$2494,0),FALSE))</f>
        <v/>
      </c>
      <c r="K486" s="798">
        <f>2*L387/(SingleVolNC.w*RhoNC.w)</f>
        <v>70735530263064.578</v>
      </c>
      <c r="L486" s="794">
        <f t="shared" si="33"/>
        <v>70735530263064.578</v>
      </c>
      <c r="M486" s="796" t="s">
        <v>708</v>
      </c>
      <c r="N486" s="797"/>
      <c r="O486" s="799"/>
      <c r="P486" s="492" t="s">
        <v>1384</v>
      </c>
    </row>
    <row r="487" spans="1:16" ht="12.75" customHeight="1" x14ac:dyDescent="0.3">
      <c r="A487" s="797"/>
      <c r="B487" s="797" t="s">
        <v>1385</v>
      </c>
      <c r="C487" s="797"/>
      <c r="D487" s="797"/>
      <c r="E487" s="797"/>
      <c r="F487" s="797"/>
      <c r="G487" s="796" t="s">
        <v>3032</v>
      </c>
      <c r="H487" s="796" t="s">
        <v>335</v>
      </c>
      <c r="I487" s="900"/>
      <c r="J487" s="792" t="str">
        <f>IF(ISBLANK(HLOOKUP(CaseName,CaseData,MATCH($G487,cases!$G$4:$G$2494,0),FALSE)),"",HLOOKUP(CaseName,CaseData,MATCH($G487,cases!$G$4:$G$2494,0),FALSE))</f>
        <v/>
      </c>
      <c r="K487" s="798">
        <f>L488+L495+L496</f>
        <v>4.1289959769341702E-17</v>
      </c>
      <c r="L487" s="794">
        <f t="shared" si="33"/>
        <v>4.1289959769341702E-17</v>
      </c>
      <c r="M487" s="797" t="s">
        <v>335</v>
      </c>
      <c r="N487" s="797"/>
      <c r="O487" s="799"/>
      <c r="P487" s="797"/>
    </row>
    <row r="488" spans="1:16" ht="12.75" customHeight="1" x14ac:dyDescent="0.3">
      <c r="A488" s="797"/>
      <c r="B488" s="797"/>
      <c r="C488" s="797" t="s">
        <v>1364</v>
      </c>
      <c r="D488" s="797"/>
      <c r="E488" s="797"/>
      <c r="F488" s="797"/>
      <c r="G488" s="796" t="s">
        <v>3033</v>
      </c>
      <c r="H488" s="796" t="s">
        <v>335</v>
      </c>
      <c r="I488" s="900"/>
      <c r="J488" s="792" t="str">
        <f>IF(ISBLANK(HLOOKUP(CaseName,CaseData,MATCH($G488,cases!$G$4:$G$2494,0),FALSE)),"",HLOOKUP(CaseName,CaseData,MATCH($G488,cases!$G$4:$G$2494,0),FALSE))</f>
        <v/>
      </c>
      <c r="K488" s="798">
        <f>(4/3)*L489*(RadS+RadNC.w)^3</f>
        <v>5.4613333333333359E-20</v>
      </c>
      <c r="L488" s="794">
        <f t="shared" si="33"/>
        <v>5.4613333333333359E-20</v>
      </c>
      <c r="M488" s="797" t="s">
        <v>335</v>
      </c>
      <c r="N488" s="797"/>
      <c r="O488" s="799"/>
      <c r="P488" s="797"/>
    </row>
    <row r="489" spans="1:16" ht="12.75" customHeight="1" x14ac:dyDescent="0.3">
      <c r="A489" s="797"/>
      <c r="B489" s="797"/>
      <c r="C489" s="797"/>
      <c r="D489" s="797" t="s">
        <v>1388</v>
      </c>
      <c r="E489" s="797"/>
      <c r="F489" s="797"/>
      <c r="G489" s="796" t="s">
        <v>3034</v>
      </c>
      <c r="H489" s="796" t="s">
        <v>335</v>
      </c>
      <c r="I489" s="900"/>
      <c r="J489" s="792" t="str">
        <f>IF(ISBLANK(HLOOKUP(CaseName,CaseData,MATCH($G489,cases!$G$4:$G$2494,0),FALSE)),"",HLOOKUP(CaseName,CaseData,MATCH($G489,cases!$G$4:$G$2494,0),FALSE))</f>
        <v/>
      </c>
      <c r="K489" s="798">
        <v>10</v>
      </c>
      <c r="L489" s="794">
        <f t="shared" si="33"/>
        <v>10</v>
      </c>
      <c r="M489" s="796" t="s">
        <v>335</v>
      </c>
      <c r="N489" s="797"/>
      <c r="O489" s="799"/>
      <c r="P489" s="492" t="s">
        <v>1368</v>
      </c>
    </row>
    <row r="490" spans="1:16" ht="12.75" customHeight="1" x14ac:dyDescent="0.3">
      <c r="A490" s="797" t="s">
        <v>1380</v>
      </c>
      <c r="B490" s="797"/>
      <c r="C490" s="797"/>
      <c r="D490" s="797"/>
      <c r="E490" s="797"/>
      <c r="F490" s="797"/>
      <c r="G490" s="796" t="s">
        <v>3035</v>
      </c>
      <c r="H490" s="796" t="s">
        <v>335</v>
      </c>
      <c r="I490" s="900"/>
      <c r="J490" s="792" t="str">
        <f>IF(ISBLANK(HLOOKUP(CaseName,CaseData,MATCH($G490,cases!$G$4:$G$2494,0),FALSE)),"",HLOOKUP(CaseName,CaseData,MATCH($G490,cases!$G$4:$G$2494,0),FALSE))</f>
        <v/>
      </c>
      <c r="K490" s="798">
        <f>L492*L491*AtefSA.w3</f>
        <v>2.9206671988249891E-3</v>
      </c>
      <c r="L490" s="794">
        <f t="shared" si="33"/>
        <v>2.9206671988249891E-3</v>
      </c>
      <c r="M490" s="797" t="s">
        <v>335</v>
      </c>
      <c r="N490" s="797"/>
      <c r="O490" s="799"/>
      <c r="P490" s="797"/>
    </row>
    <row r="491" spans="1:16" ht="12.75" customHeight="1" x14ac:dyDescent="0.3">
      <c r="A491" s="797"/>
      <c r="B491" s="797" t="s">
        <v>1382</v>
      </c>
      <c r="C491" s="797"/>
      <c r="D491" s="797"/>
      <c r="E491" s="797"/>
      <c r="F491" s="797"/>
      <c r="G491" s="796" t="s">
        <v>3036</v>
      </c>
      <c r="H491" s="796" t="s">
        <v>708</v>
      </c>
      <c r="I491" s="900"/>
      <c r="J491" s="792" t="str">
        <f>IF(ISBLANK(HLOOKUP(CaseName,CaseData,MATCH($G491,cases!$G$4:$G$2494,0),FALSE)),"",HLOOKUP(CaseName,CaseData,MATCH($G491,cases!$G$4:$G$2494,0),FALSE))</f>
        <v/>
      </c>
      <c r="K491" s="798">
        <f>2*L388/(SingleVolNC.w*RhoNC.w)</f>
        <v>70735530263064.578</v>
      </c>
      <c r="L491" s="794">
        <f t="shared" si="33"/>
        <v>70735530263064.578</v>
      </c>
      <c r="M491" s="796" t="s">
        <v>708</v>
      </c>
      <c r="N491" s="797"/>
      <c r="O491" s="799"/>
      <c r="P491" s="492" t="s">
        <v>1384</v>
      </c>
    </row>
    <row r="492" spans="1:16" ht="12.75" customHeight="1" x14ac:dyDescent="0.3">
      <c r="A492" s="797"/>
      <c r="B492" s="797" t="s">
        <v>1385</v>
      </c>
      <c r="C492" s="797"/>
      <c r="D492" s="797"/>
      <c r="E492" s="797"/>
      <c r="F492" s="797"/>
      <c r="G492" s="796" t="s">
        <v>3037</v>
      </c>
      <c r="H492" s="796" t="s">
        <v>335</v>
      </c>
      <c r="I492" s="900"/>
      <c r="J492" s="792" t="str">
        <f>IF(ISBLANK(HLOOKUP(CaseName,CaseData,MATCH($G492,cases!$G$4:$G$2494,0),FALSE)),"",HLOOKUP(CaseName,CaseData,MATCH($G492,cases!$G$4:$G$2494,0),FALSE))</f>
        <v/>
      </c>
      <c r="K492" s="798">
        <f>L493+L495+L496</f>
        <v>4.1289959769341702E-17</v>
      </c>
      <c r="L492" s="794">
        <f t="shared" si="33"/>
        <v>4.1289959769341702E-17</v>
      </c>
      <c r="M492" s="797" t="s">
        <v>335</v>
      </c>
      <c r="N492" s="797"/>
      <c r="O492" s="799"/>
      <c r="P492" s="797"/>
    </row>
    <row r="493" spans="1:16" ht="12.75" customHeight="1" x14ac:dyDescent="0.3">
      <c r="A493" s="797"/>
      <c r="B493" s="797"/>
      <c r="C493" s="797" t="s">
        <v>1364</v>
      </c>
      <c r="D493" s="797"/>
      <c r="E493" s="797"/>
      <c r="F493" s="797"/>
      <c r="G493" s="796" t="s">
        <v>3038</v>
      </c>
      <c r="H493" s="796" t="s">
        <v>335</v>
      </c>
      <c r="I493" s="900"/>
      <c r="J493" s="792" t="str">
        <f>IF(ISBLANK(HLOOKUP(CaseName,CaseData,MATCH($G493,cases!$G$4:$G$2494,0),FALSE)),"",HLOOKUP(CaseName,CaseData,MATCH($G493,cases!$G$4:$G$2494,0),FALSE))</f>
        <v/>
      </c>
      <c r="K493" s="798">
        <f>(4/3)*L494*(RadS+RadNC.w)^3</f>
        <v>5.4613333333333359E-20</v>
      </c>
      <c r="L493" s="794">
        <f t="shared" si="33"/>
        <v>5.4613333333333359E-20</v>
      </c>
      <c r="M493" s="797" t="s">
        <v>335</v>
      </c>
      <c r="N493" s="797"/>
      <c r="O493" s="799"/>
      <c r="P493" s="797"/>
    </row>
    <row r="494" spans="1:16" ht="12.75" customHeight="1" x14ac:dyDescent="0.3">
      <c r="A494" s="797"/>
      <c r="B494" s="797"/>
      <c r="C494" s="797"/>
      <c r="D494" s="797" t="s">
        <v>1388</v>
      </c>
      <c r="E494" s="797"/>
      <c r="F494" s="797"/>
      <c r="G494" s="796" t="s">
        <v>3039</v>
      </c>
      <c r="H494" s="796" t="s">
        <v>335</v>
      </c>
      <c r="I494" s="900"/>
      <c r="J494" s="792" t="str">
        <f>IF(ISBLANK(HLOOKUP(CaseName,CaseData,MATCH($G494,cases!$G$4:$G$2494,0),FALSE)),"",HLOOKUP(CaseName,CaseData,MATCH($G494,cases!$G$4:$G$2494,0),FALSE))</f>
        <v/>
      </c>
      <c r="K494" s="798">
        <v>10</v>
      </c>
      <c r="L494" s="794">
        <f t="shared" si="33"/>
        <v>10</v>
      </c>
      <c r="M494" s="796" t="s">
        <v>335</v>
      </c>
      <c r="N494" s="797"/>
      <c r="O494" s="799"/>
      <c r="P494" s="492" t="s">
        <v>1368</v>
      </c>
    </row>
    <row r="495" spans="1:16" ht="12.75" customHeight="1" x14ac:dyDescent="0.3">
      <c r="A495" s="797"/>
      <c r="B495" s="797"/>
      <c r="C495" s="797" t="s">
        <v>1390</v>
      </c>
      <c r="D495" s="797"/>
      <c r="E495" s="797"/>
      <c r="F495" s="797"/>
      <c r="G495" s="797" t="s">
        <v>3040</v>
      </c>
      <c r="H495" s="797" t="s">
        <v>335</v>
      </c>
      <c r="I495" s="900"/>
      <c r="J495" s="792" t="str">
        <f>IF(ISBLANK(HLOOKUP(CaseName,CaseData,MATCH($G495,cases!$G$4:$G$2494,0),FALSE)),"",HLOOKUP(CaseName,CaseData,MATCH($G495,cases!$G$4:$G$2494,0),FALSE))</f>
        <v/>
      </c>
      <c r="K495" s="798">
        <f>(2*kboltz*L374)/(3*DYNVISC.w)*(RadS+RadNC.w)^2/(RadS*RadNC.w)</f>
        <v>4.1231458153204701E-17</v>
      </c>
      <c r="L495" s="833">
        <f t="shared" si="33"/>
        <v>4.1231458153204701E-17</v>
      </c>
      <c r="M495" s="797" t="s">
        <v>335</v>
      </c>
      <c r="N495" s="797"/>
      <c r="O495" s="799"/>
      <c r="P495" s="797"/>
    </row>
    <row r="496" spans="1:16" ht="12.75" customHeight="1" x14ac:dyDescent="0.3">
      <c r="A496" s="797"/>
      <c r="B496" s="797"/>
      <c r="C496" s="797" t="s">
        <v>1392</v>
      </c>
      <c r="D496" s="797"/>
      <c r="E496" s="797"/>
      <c r="F496" s="797"/>
      <c r="G496" s="796" t="s">
        <v>3041</v>
      </c>
      <c r="H496" s="796" t="s">
        <v>335</v>
      </c>
      <c r="I496" s="900"/>
      <c r="J496" s="792" t="str">
        <f>IF(ISBLANK(HLOOKUP(CaseName,CaseData,MATCH($G496,cases!$G$4:$G$2494,0),FALSE)),"",HLOOKUP(CaseName,CaseData,MATCH($G496,cases!$G$4:$G$2494,0),FALSE))</f>
        <v/>
      </c>
      <c r="K496" s="798">
        <f>PI()*(RadS+RadNC.w)^2*ABS(SetVelS.w-SetVelNC.w)</f>
        <v>3.8882828036701237E-21</v>
      </c>
      <c r="L496" s="794">
        <f t="shared" si="33"/>
        <v>3.8882828036701237E-21</v>
      </c>
      <c r="M496" s="797" t="s">
        <v>335</v>
      </c>
      <c r="N496" s="797"/>
      <c r="O496" s="799"/>
      <c r="P496" s="797"/>
    </row>
    <row r="497" spans="1:16" ht="12.75" customHeight="1" x14ac:dyDescent="0.3">
      <c r="A497" s="797" t="s">
        <v>1412</v>
      </c>
      <c r="B497" s="797"/>
      <c r="C497" s="797"/>
      <c r="D497" s="797"/>
      <c r="E497" s="797"/>
      <c r="F497" s="797"/>
      <c r="G497" s="796" t="s">
        <v>3042</v>
      </c>
      <c r="H497" s="796" t="s">
        <v>335</v>
      </c>
      <c r="I497" s="900"/>
      <c r="J497" s="792" t="str">
        <f>IF(ISBLANK(HLOOKUP(CaseName,CaseData,MATCH($G497,cases!$G$4:$G$2494,0),FALSE)),"",HLOOKUP(CaseName,CaseData,MATCH($G497,cases!$G$4:$G$2494,0),FALSE))</f>
        <v/>
      </c>
      <c r="K497" s="798">
        <f>L498*L499*AtefSP.w2</f>
        <v>3.4135491587144741E-5</v>
      </c>
      <c r="L497" s="794">
        <f t="shared" si="33"/>
        <v>3.4135491587144741E-5</v>
      </c>
      <c r="M497" s="797" t="s">
        <v>335</v>
      </c>
      <c r="N497" s="797"/>
      <c r="O497" s="799"/>
      <c r="P497" s="797"/>
    </row>
    <row r="498" spans="1:16" ht="12.75" customHeight="1" x14ac:dyDescent="0.3">
      <c r="A498" s="797"/>
      <c r="B498" s="797" t="s">
        <v>1406</v>
      </c>
      <c r="C498" s="797"/>
      <c r="D498" s="797"/>
      <c r="E498" s="797"/>
      <c r="F498" s="797"/>
      <c r="G498" s="796" t="s">
        <v>3043</v>
      </c>
      <c r="H498" s="796" t="s">
        <v>708</v>
      </c>
      <c r="I498" s="900"/>
      <c r="J498" s="792" t="str">
        <f>IF(ISBLANK(HLOOKUP(CaseName,CaseData,MATCH($G498,cases!$G$4:$G$2494,0),FALSE)),"",HLOOKUP(CaseName,CaseData,MATCH($G498,cases!$G$4:$G$2494,0),FALSE))</f>
        <v/>
      </c>
      <c r="K498" s="798">
        <f>(L383)/(SingleVolSPM.w*RhoSPM.w)</f>
        <v>17683882565.766148</v>
      </c>
      <c r="L498" s="794">
        <f t="shared" si="33"/>
        <v>17683882565.766148</v>
      </c>
      <c r="M498" s="797" t="s">
        <v>708</v>
      </c>
      <c r="N498" s="797"/>
      <c r="O498" s="799"/>
      <c r="P498" s="797"/>
    </row>
    <row r="499" spans="1:16" ht="12.75" customHeight="1" x14ac:dyDescent="0.3">
      <c r="A499" s="797"/>
      <c r="B499" s="797" t="s">
        <v>1417</v>
      </c>
      <c r="C499" s="797"/>
      <c r="D499" s="797"/>
      <c r="E499" s="797"/>
      <c r="F499" s="797"/>
      <c r="G499" s="796" t="s">
        <v>3044</v>
      </c>
      <c r="H499" s="797" t="s">
        <v>335</v>
      </c>
      <c r="I499" s="900"/>
      <c r="J499" s="792" t="str">
        <f>IF(ISBLANK(HLOOKUP(CaseName,CaseData,MATCH($G499,cases!$G$4:$G$2494,0),FALSE)),"",HLOOKUP(CaseName,CaseData,MATCH($G499,cases!$G$4:$G$2494,0),FALSE))</f>
        <v/>
      </c>
      <c r="K499" s="798">
        <f>L505+L506+L500</f>
        <v>1.9303165727433021E-15</v>
      </c>
      <c r="L499" s="794">
        <f t="shared" si="33"/>
        <v>1.9303165727433021E-15</v>
      </c>
      <c r="M499" s="797" t="s">
        <v>335</v>
      </c>
      <c r="N499" s="797"/>
      <c r="O499" s="799"/>
      <c r="P499" s="797"/>
    </row>
    <row r="500" spans="1:16" ht="12.75" customHeight="1" x14ac:dyDescent="0.3">
      <c r="A500" s="797"/>
      <c r="B500" s="797"/>
      <c r="C500" s="797" t="s">
        <v>1402</v>
      </c>
      <c r="D500" s="797"/>
      <c r="E500" s="797"/>
      <c r="F500" s="797"/>
      <c r="G500" s="796" t="s">
        <v>3045</v>
      </c>
      <c r="H500" s="796" t="s">
        <v>335</v>
      </c>
      <c r="I500" s="900"/>
      <c r="J500" s="792" t="str">
        <f>IF(ISBLANK(HLOOKUP(CaseName,CaseData,MATCH($G500,cases!$G$4:$G$2494,0),FALSE)),"",HLOOKUP(CaseName,CaseData,MATCH($G500,cases!$G$4:$G$2494,0),FALSE))</f>
        <v/>
      </c>
      <c r="K500" s="798">
        <f>(4/3)*L489*(RadS+RadSPM.w)^3</f>
        <v>3.6361201333333332E-16</v>
      </c>
      <c r="L500" s="794">
        <f t="shared" si="33"/>
        <v>3.6361201333333332E-16</v>
      </c>
      <c r="M500" s="797" t="s">
        <v>335</v>
      </c>
      <c r="N500" s="797"/>
      <c r="O500" s="799"/>
      <c r="P500" s="797"/>
    </row>
    <row r="501" spans="1:16" ht="12.75" customHeight="1" x14ac:dyDescent="0.3">
      <c r="A501" s="797" t="s">
        <v>1412</v>
      </c>
      <c r="B501" s="797"/>
      <c r="C501" s="797"/>
      <c r="D501" s="797"/>
      <c r="E501" s="797"/>
      <c r="F501" s="797"/>
      <c r="G501" s="796" t="s">
        <v>3046</v>
      </c>
      <c r="H501" s="796" t="s">
        <v>335</v>
      </c>
      <c r="I501" s="900"/>
      <c r="J501" s="792" t="str">
        <f>IF(ISBLANK(HLOOKUP(CaseName,CaseData,MATCH($G501,cases!$G$4:$G$2494,0),FALSE)),"",HLOOKUP(CaseName,CaseData,MATCH($G501,cases!$G$4:$G$2494,0),FALSE))</f>
        <v/>
      </c>
      <c r="K501" s="798">
        <f>L502*L503*AtefSP.w3</f>
        <v>3.4135491587144741E-5</v>
      </c>
      <c r="L501" s="794">
        <f t="shared" si="33"/>
        <v>3.4135491587144741E-5</v>
      </c>
      <c r="M501" s="797" t="s">
        <v>335</v>
      </c>
      <c r="N501" s="797"/>
      <c r="O501" s="799"/>
      <c r="P501" s="797"/>
    </row>
    <row r="502" spans="1:16" ht="12.75" customHeight="1" x14ac:dyDescent="0.3">
      <c r="A502" s="797"/>
      <c r="B502" s="797" t="s">
        <v>1406</v>
      </c>
      <c r="C502" s="797"/>
      <c r="D502" s="797"/>
      <c r="E502" s="797"/>
      <c r="F502" s="797"/>
      <c r="G502" s="796" t="s">
        <v>3047</v>
      </c>
      <c r="H502" s="796" t="s">
        <v>708</v>
      </c>
      <c r="I502" s="900"/>
      <c r="J502" s="792" t="str">
        <f>IF(ISBLANK(HLOOKUP(CaseName,CaseData,MATCH($G502,cases!$G$4:$G$2494,0),FALSE)),"",HLOOKUP(CaseName,CaseData,MATCH($G502,cases!$G$4:$G$2494,0),FALSE))</f>
        <v/>
      </c>
      <c r="K502" s="798">
        <f>(L384)/(SingleVolSPM.w*RhoSPM.w)</f>
        <v>17683882565.766148</v>
      </c>
      <c r="L502" s="794">
        <f t="shared" si="33"/>
        <v>17683882565.766148</v>
      </c>
      <c r="M502" s="797" t="s">
        <v>708</v>
      </c>
      <c r="N502" s="797"/>
      <c r="O502" s="799"/>
      <c r="P502" s="797"/>
    </row>
    <row r="503" spans="1:16" ht="12.75" customHeight="1" x14ac:dyDescent="0.3">
      <c r="A503" s="797"/>
      <c r="B503" s="797" t="s">
        <v>1417</v>
      </c>
      <c r="C503" s="797"/>
      <c r="D503" s="797"/>
      <c r="E503" s="797"/>
      <c r="F503" s="797"/>
      <c r="G503" s="796" t="s">
        <v>3048</v>
      </c>
      <c r="H503" s="797" t="s">
        <v>335</v>
      </c>
      <c r="I503" s="900"/>
      <c r="J503" s="792" t="str">
        <f>IF(ISBLANK(HLOOKUP(CaseName,CaseData,MATCH($G503,cases!$G$4:$G$2494,0),FALSE)),"",HLOOKUP(CaseName,CaseData,MATCH($G503,cases!$G$4:$G$2494,0),FALSE))</f>
        <v/>
      </c>
      <c r="K503" s="798">
        <f>L505+L506+L504</f>
        <v>1.9303165727433021E-15</v>
      </c>
      <c r="L503" s="794">
        <f t="shared" si="33"/>
        <v>1.9303165727433021E-15</v>
      </c>
      <c r="M503" s="797" t="s">
        <v>335</v>
      </c>
      <c r="N503" s="797"/>
      <c r="O503" s="799"/>
      <c r="P503" s="797"/>
    </row>
    <row r="504" spans="1:16" ht="12.75" customHeight="1" x14ac:dyDescent="0.3">
      <c r="A504" s="797"/>
      <c r="B504" s="797"/>
      <c r="C504" s="797" t="s">
        <v>1402</v>
      </c>
      <c r="D504" s="797"/>
      <c r="E504" s="797"/>
      <c r="F504" s="797"/>
      <c r="G504" s="796" t="s">
        <v>3049</v>
      </c>
      <c r="H504" s="796" t="s">
        <v>335</v>
      </c>
      <c r="I504" s="900"/>
      <c r="J504" s="792" t="str">
        <f>IF(ISBLANK(HLOOKUP(CaseName,CaseData,MATCH($G504,cases!$G$4:$G$2494,0),FALSE)),"",HLOOKUP(CaseName,CaseData,MATCH($G504,cases!$G$4:$G$2494,0),FALSE))</f>
        <v/>
      </c>
      <c r="K504" s="798">
        <f>(4/3)*L494*(RadS+RadSPM.w)^3</f>
        <v>3.6361201333333332E-16</v>
      </c>
      <c r="L504" s="794">
        <f t="shared" si="33"/>
        <v>3.6361201333333332E-16</v>
      </c>
      <c r="M504" s="797" t="s">
        <v>335</v>
      </c>
      <c r="N504" s="797"/>
      <c r="O504" s="799"/>
      <c r="P504" s="797"/>
    </row>
    <row r="505" spans="1:16" ht="12.75" customHeight="1" x14ac:dyDescent="0.3">
      <c r="A505" s="797"/>
      <c r="B505" s="797"/>
      <c r="C505" s="797" t="s">
        <v>1420</v>
      </c>
      <c r="D505" s="797"/>
      <c r="E505" s="797"/>
      <c r="F505" s="797"/>
      <c r="G505" s="796" t="s">
        <v>3050</v>
      </c>
      <c r="H505" s="796" t="s">
        <v>335</v>
      </c>
      <c r="I505" s="900"/>
      <c r="J505" s="792" t="str">
        <f>IF(ISBLANK(HLOOKUP(CaseName,CaseData,MATCH($G505,cases!$G$4:$G$2494,0),FALSE)),"",HLOOKUP(CaseName,CaseData,MATCH($G505,cases!$G$4:$G$2494,0),FALSE))</f>
        <v/>
      </c>
      <c r="K505" s="798">
        <f>((2*kboltz*L374)/(3*DYNVISC.w))*(RadS+RadSPM.w)^2/(RadS*RadSPM.w)</f>
        <v>7.296115898708006E-16</v>
      </c>
      <c r="L505" s="794">
        <f t="shared" si="33"/>
        <v>7.296115898708006E-16</v>
      </c>
      <c r="M505" s="797" t="s">
        <v>335</v>
      </c>
      <c r="N505" s="797"/>
      <c r="O505" s="799"/>
      <c r="P505" s="797"/>
    </row>
    <row r="506" spans="1:16" ht="12.75" customHeight="1" x14ac:dyDescent="0.3">
      <c r="A506" s="797"/>
      <c r="B506" s="797"/>
      <c r="C506" s="797" t="s">
        <v>2187</v>
      </c>
      <c r="D506" s="797"/>
      <c r="E506" s="797"/>
      <c r="F506" s="797"/>
      <c r="G506" s="796" t="s">
        <v>3051</v>
      </c>
      <c r="H506" s="796" t="s">
        <v>335</v>
      </c>
      <c r="I506" s="900"/>
      <c r="J506" s="792" t="str">
        <f>IF(ISBLANK(HLOOKUP(CaseName,CaseData,MATCH($G506,cases!$G$4:$G$2494,0),FALSE)),"",HLOOKUP(CaseName,CaseData,MATCH($G506,cases!$G$4:$G$2494,0),FALSE))</f>
        <v/>
      </c>
      <c r="K506" s="902">
        <f>PI()*(RadS+RadSPM.w)^2*ABS(SetVelS.w-SetVelSPM.w)</f>
        <v>8.3709296953916809E-16</v>
      </c>
      <c r="L506" s="794">
        <f t="shared" si="33"/>
        <v>8.3709296953916809E-16</v>
      </c>
      <c r="M506" s="797" t="s">
        <v>335</v>
      </c>
      <c r="N506" s="797"/>
      <c r="O506" s="799"/>
      <c r="P506" s="797"/>
    </row>
    <row r="507" spans="1:16" ht="12.75" customHeight="1" x14ac:dyDescent="0.3">
      <c r="A507" s="352" t="s">
        <v>3052</v>
      </c>
      <c r="G507" s="779"/>
      <c r="I507" s="778"/>
      <c r="J507" s="792" t="str">
        <f>IF(ISBLANK(HLOOKUP(CaseName,CaseData,MATCH($G507,cases!$G$4:$G$2494,0),FALSE)),"",HLOOKUP(CaseName,CaseData,MATCH($G507,cases!$G$4:$G$2494,0),FALSE))</f>
        <v/>
      </c>
      <c r="K507" s="780"/>
      <c r="O507" s="782"/>
    </row>
    <row r="508" spans="1:16" ht="12.75" customHeight="1" x14ac:dyDescent="0.3">
      <c r="A508" s="797" t="s">
        <v>2704</v>
      </c>
      <c r="B508" s="797"/>
      <c r="C508" s="797"/>
      <c r="D508" s="797"/>
      <c r="E508" s="797"/>
      <c r="F508" s="797"/>
      <c r="G508" s="796" t="s">
        <v>3053</v>
      </c>
      <c r="H508" s="796" t="s">
        <v>335</v>
      </c>
      <c r="I508" s="900"/>
      <c r="J508" s="792" t="str">
        <f>IF(ISBLANK(HLOOKUP(CaseName,CaseData,MATCH($G508,cases!$G$4:$G$2494,0),FALSE)),"",HLOOKUP(CaseName,CaseData,MATCH($G508,cases!$G$4:$G$2494,0),FALSE))</f>
        <v/>
      </c>
      <c r="K508" s="918">
        <f>AtefSA.sd2*L509*(L510+L511)</f>
        <v>2.9168040957322223E-3</v>
      </c>
      <c r="L508" s="794">
        <f t="shared" ref="L508:L525" si="34">IF(ISBLANK(I508),IF(ISNUMBER(J508)=FALSE,K508,J508),I508)</f>
        <v>2.9168040957322223E-3</v>
      </c>
      <c r="M508" s="796" t="s">
        <v>335</v>
      </c>
      <c r="N508" s="797" t="s">
        <v>2706</v>
      </c>
      <c r="O508" s="799"/>
      <c r="P508" s="797"/>
    </row>
    <row r="509" spans="1:16" ht="12.75" customHeight="1" x14ac:dyDescent="0.3">
      <c r="A509" s="797"/>
      <c r="B509" s="797" t="s">
        <v>1436</v>
      </c>
      <c r="C509" s="797"/>
      <c r="D509" s="797"/>
      <c r="E509" s="797"/>
      <c r="F509" s="797"/>
      <c r="G509" s="796" t="s">
        <v>3054</v>
      </c>
      <c r="H509" s="796" t="s">
        <v>708</v>
      </c>
      <c r="I509" s="900"/>
      <c r="J509" s="792" t="str">
        <f>IF(ISBLANK(HLOOKUP(CaseName,CaseData,MATCH($G509,cases!$G$4:$G$2494,0),FALSE)),"",HLOOKUP(CaseName,CaseData,MATCH($G509,cases!$G$4:$G$2494,0),FALSE))</f>
        <v/>
      </c>
      <c r="K509" s="798">
        <f>L486</f>
        <v>70735530263064.578</v>
      </c>
      <c r="L509" s="794">
        <f t="shared" si="34"/>
        <v>70735530263064.578</v>
      </c>
      <c r="M509" s="796" t="s">
        <v>708</v>
      </c>
      <c r="N509" s="797" t="s">
        <v>2192</v>
      </c>
      <c r="O509" s="799"/>
      <c r="P509" s="492" t="s">
        <v>3055</v>
      </c>
    </row>
    <row r="510" spans="1:16" ht="12.75" customHeight="1" x14ac:dyDescent="0.3">
      <c r="A510" s="797"/>
      <c r="B510" s="797"/>
      <c r="C510" s="797" t="s">
        <v>1390</v>
      </c>
      <c r="D510" s="797"/>
      <c r="E510" s="797"/>
      <c r="F510" s="797"/>
      <c r="G510" s="797" t="s">
        <v>3056</v>
      </c>
      <c r="H510" s="797" t="s">
        <v>335</v>
      </c>
      <c r="I510" s="900"/>
      <c r="J510" s="792" t="str">
        <f>IF(ISBLANK(HLOOKUP(CaseName,CaseData,MATCH($G510,cases!$G$4:$G$2494,0),FALSE)),"",HLOOKUP(CaseName,CaseData,MATCH($G510,cases!$G$4:$G$2494,0),FALSE))</f>
        <v/>
      </c>
      <c r="K510" s="798">
        <f>((2*kboltz*L374)/(3*DYNVISC.w))*(RadS+RadNC.sd)^2/(RadS*RadNC.sd)</f>
        <v>4.1231458153204701E-17</v>
      </c>
      <c r="L510" s="833">
        <f t="shared" si="34"/>
        <v>4.1231458153204701E-17</v>
      </c>
      <c r="M510" s="797" t="s">
        <v>335</v>
      </c>
      <c r="N510" s="797"/>
      <c r="O510" s="799"/>
      <c r="P510" s="797"/>
    </row>
    <row r="511" spans="1:16" ht="12.75" customHeight="1" x14ac:dyDescent="0.3">
      <c r="A511" s="797"/>
      <c r="B511" s="797"/>
      <c r="C511" s="797" t="s">
        <v>1392</v>
      </c>
      <c r="D511" s="797"/>
      <c r="E511" s="797"/>
      <c r="F511" s="797"/>
      <c r="G511" s="796" t="s">
        <v>3057</v>
      </c>
      <c r="H511" s="796" t="s">
        <v>335</v>
      </c>
      <c r="I511" s="900"/>
      <c r="J511" s="792" t="str">
        <f>IF(ISBLANK(HLOOKUP(CaseName,CaseData,MATCH($G511,cases!$G$4:$G$2494,0),FALSE)),"",HLOOKUP(CaseName,CaseData,MATCH($G511,cases!$G$4:$G$2494,0),FALSE))</f>
        <v/>
      </c>
      <c r="K511" s="798">
        <f>PI()*(RadS+RadNC.sd)^2*ABS(SetVelS.w-SetVelNC.sd)</f>
        <v>3.8882828036701237E-21</v>
      </c>
      <c r="L511" s="794">
        <f t="shared" si="34"/>
        <v>3.8882828036701237E-21</v>
      </c>
      <c r="M511" s="797" t="s">
        <v>335</v>
      </c>
      <c r="N511" s="797"/>
      <c r="O511" s="799"/>
      <c r="P511" s="797"/>
    </row>
    <row r="512" spans="1:16" ht="12.75" customHeight="1" x14ac:dyDescent="0.3">
      <c r="A512" s="797" t="s">
        <v>2710</v>
      </c>
      <c r="B512" s="797"/>
      <c r="C512" s="797"/>
      <c r="D512" s="797"/>
      <c r="E512" s="797"/>
      <c r="F512" s="797"/>
      <c r="G512" s="796" t="s">
        <v>3058</v>
      </c>
      <c r="H512" s="796" t="s">
        <v>335</v>
      </c>
      <c r="I512" s="900"/>
      <c r="J512" s="792" t="str">
        <f>IF(ISBLANK(HLOOKUP(CaseName,CaseData,MATCH($G512,cases!$G$4:$G$2494,0),FALSE)),"",HLOOKUP(CaseName,CaseData,MATCH($G512,cases!$G$4:$G$2494,0),FALSE))</f>
        <v/>
      </c>
      <c r="K512" s="798">
        <f>L513*L515*L514*AtefSP.sd2</f>
        <v>1.1687316933893591E-2</v>
      </c>
      <c r="L512" s="794">
        <f t="shared" si="34"/>
        <v>1.1687316933893591E-2</v>
      </c>
      <c r="M512" s="796" t="s">
        <v>335</v>
      </c>
      <c r="N512" s="797" t="s">
        <v>2706</v>
      </c>
      <c r="O512" s="799"/>
      <c r="P512" s="797"/>
    </row>
    <row r="513" spans="1:16" ht="12.75" customHeight="1" x14ac:dyDescent="0.3">
      <c r="A513" s="797"/>
      <c r="B513" s="797" t="s">
        <v>1447</v>
      </c>
      <c r="C513" s="797"/>
      <c r="D513" s="797"/>
      <c r="E513" s="797"/>
      <c r="F513" s="797"/>
      <c r="G513" s="796" t="s">
        <v>3059</v>
      </c>
      <c r="H513" s="796" t="s">
        <v>1449</v>
      </c>
      <c r="I513" s="900"/>
      <c r="J513" s="792" t="str">
        <f>IF(ISBLANK(HLOOKUP(CaseName,CaseData,MATCH($G513,cases!$G$4:$G$2494,0),FALSE)),"",HLOOKUP(CaseName,CaseData,MATCH($G513,cases!$G$4:$G$2494,0),FALSE))</f>
        <v/>
      </c>
      <c r="K513" s="798">
        <f>(3/2)*((1-L519)/(2*RadFP.sd*L519))</f>
        <v>1464.8437499999995</v>
      </c>
      <c r="L513" s="794">
        <f t="shared" si="34"/>
        <v>1464.8437499999995</v>
      </c>
      <c r="M513" s="796" t="s">
        <v>1449</v>
      </c>
      <c r="N513" s="797"/>
      <c r="O513" s="799"/>
      <c r="P513" s="797"/>
    </row>
    <row r="514" spans="1:16" ht="12.75" customHeight="1" x14ac:dyDescent="0.3">
      <c r="A514" s="797"/>
      <c r="B514" s="797" t="s">
        <v>1450</v>
      </c>
      <c r="C514" s="797"/>
      <c r="D514" s="797"/>
      <c r="E514" s="797"/>
      <c r="F514" s="797"/>
      <c r="G514" s="797" t="s">
        <v>3060</v>
      </c>
      <c r="H514" s="796" t="s">
        <v>866</v>
      </c>
      <c r="I514" s="900"/>
      <c r="J514" s="792" t="str">
        <f>IF(ISBLANK(HLOOKUP(CaseName,CaseData,MATCH($G514,cases!$G$4:$G$2494,0),FALSE)),"",HLOOKUP(CaseName,CaseData,MATCH($G514,cases!$G$4:$G$2494,0),FALSE))</f>
        <v/>
      </c>
      <c r="K514" s="512">
        <f>9*10^-6</f>
        <v>9.0000000000000002E-6</v>
      </c>
      <c r="L514" s="794">
        <f t="shared" si="34"/>
        <v>9.0000000000000002E-6</v>
      </c>
      <c r="M514" s="796" t="s">
        <v>866</v>
      </c>
      <c r="N514" s="797"/>
      <c r="O514" s="799"/>
      <c r="P514" s="797" t="s">
        <v>1452</v>
      </c>
    </row>
    <row r="515" spans="1:16" ht="12.75" customHeight="1" x14ac:dyDescent="0.3">
      <c r="A515" s="797"/>
      <c r="B515" s="797" t="s">
        <v>1453</v>
      </c>
      <c r="C515" s="797"/>
      <c r="D515" s="797"/>
      <c r="E515" s="797"/>
      <c r="F515" s="797"/>
      <c r="G515" s="796" t="s">
        <v>3061</v>
      </c>
      <c r="H515" s="796" t="s">
        <v>291</v>
      </c>
      <c r="I515" s="900"/>
      <c r="J515" s="792" t="str">
        <f>IF(ISBLANK(HLOOKUP(CaseName,CaseData,MATCH($G515,cases!$G$4:$G$2494,0),FALSE)),"",HLOOKUP(CaseName,CaseData,MATCH($G515,cases!$G$4:$G$2494,0),FALSE))</f>
        <v/>
      </c>
      <c r="K515" s="798">
        <f>L516+L520+L521</f>
        <v>0.8865046326153363</v>
      </c>
      <c r="L515" s="794">
        <f t="shared" si="34"/>
        <v>0.8865046326153363</v>
      </c>
      <c r="M515" s="796" t="s">
        <v>291</v>
      </c>
      <c r="N515" s="797"/>
      <c r="O515" s="799"/>
      <c r="P515" s="797" t="s">
        <v>1452</v>
      </c>
    </row>
    <row r="516" spans="1:16" ht="12.75" customHeight="1" x14ac:dyDescent="0.3">
      <c r="A516" s="797"/>
      <c r="B516" s="797"/>
      <c r="C516" s="797" t="s">
        <v>1455</v>
      </c>
      <c r="D516" s="797"/>
      <c r="E516" s="797"/>
      <c r="F516" s="797"/>
      <c r="G516" s="796" t="s">
        <v>3062</v>
      </c>
      <c r="H516" s="796" t="s">
        <v>291</v>
      </c>
      <c r="I516" s="900"/>
      <c r="J516" s="792" t="str">
        <f>IF(ISBLANK(HLOOKUP(CaseName,CaseData,MATCH($G516,cases!$G$4:$G$2494,0),FALSE)),"",HLOOKUP(CaseName,CaseData,MATCH($G516,cases!$G$4:$G$2494,0),FALSE))</f>
        <v/>
      </c>
      <c r="K516" s="798">
        <f>2.4*L524^(1/3)*L523^(-0.081)*L524^(-0.715)*L522^(0.053)</f>
        <v>0.88644368263668949</v>
      </c>
      <c r="L516" s="794">
        <f t="shared" si="34"/>
        <v>0.88644368263668949</v>
      </c>
      <c r="M516" s="796" t="s">
        <v>291</v>
      </c>
      <c r="N516" s="797"/>
      <c r="O516" s="799"/>
      <c r="P516" s="797" t="s">
        <v>1452</v>
      </c>
    </row>
    <row r="517" spans="1:16" ht="12.75" customHeight="1" x14ac:dyDescent="0.3">
      <c r="A517" s="797"/>
      <c r="B517" s="797"/>
      <c r="C517" s="797"/>
      <c r="D517" s="797" t="s">
        <v>1457</v>
      </c>
      <c r="E517" s="797"/>
      <c r="F517" s="797"/>
      <c r="G517" s="797" t="s">
        <v>3063</v>
      </c>
      <c r="H517" s="796" t="s">
        <v>291</v>
      </c>
      <c r="I517" s="900"/>
      <c r="J517" s="792" t="str">
        <f>IF(ISBLANK(HLOOKUP(CaseName,CaseData,MATCH($G517,cases!$G$4:$G$2494,0),FALSE)),"",HLOOKUP(CaseName,CaseData,MATCH($G517,cases!$G$4:$G$2494,0),FALSE))</f>
        <v/>
      </c>
      <c r="K517" s="512">
        <f>(2*(1-L518^5))/(2-3*L518+3*L518^5-2*L518^6)</f>
        <v>5.0249997549306684</v>
      </c>
      <c r="L517" s="794">
        <f t="shared" si="34"/>
        <v>5.0249997549306684</v>
      </c>
      <c r="M517" s="796" t="s">
        <v>291</v>
      </c>
      <c r="N517" s="797"/>
      <c r="O517" s="799"/>
      <c r="P517" s="797" t="s">
        <v>1452</v>
      </c>
    </row>
    <row r="518" spans="1:16" ht="12.75" customHeight="1" x14ac:dyDescent="0.3">
      <c r="A518" s="797"/>
      <c r="B518" s="797"/>
      <c r="C518" s="797"/>
      <c r="D518" s="797"/>
      <c r="E518" s="797" t="s">
        <v>1459</v>
      </c>
      <c r="F518" s="797"/>
      <c r="G518" s="797" t="s">
        <v>3064</v>
      </c>
      <c r="H518" s="796" t="s">
        <v>291</v>
      </c>
      <c r="I518" s="900"/>
      <c r="J518" s="792" t="str">
        <f>IF(ISBLANK(HLOOKUP(CaseName,CaseData,MATCH($G518,cases!$G$4:$G$2494,0),FALSE)),"",HLOOKUP(CaseName,CaseData,MATCH($G518,cases!$G$4:$G$2494,0),FALSE))</f>
        <v/>
      </c>
      <c r="K518" s="512">
        <f>(1-L519)^(1/3)</f>
        <v>0.58480354764257325</v>
      </c>
      <c r="L518" s="794">
        <f t="shared" si="34"/>
        <v>0.58480354764257325</v>
      </c>
      <c r="M518" s="796" t="s">
        <v>291</v>
      </c>
      <c r="N518" s="797"/>
      <c r="O518" s="799"/>
      <c r="P518" s="797" t="s">
        <v>1452</v>
      </c>
    </row>
    <row r="519" spans="1:16" ht="12.75" customHeight="1" x14ac:dyDescent="0.3">
      <c r="A519" s="797"/>
      <c r="B519" s="797"/>
      <c r="C519" s="797"/>
      <c r="D519" s="797"/>
      <c r="E519" s="797"/>
      <c r="F519" s="797" t="s">
        <v>1461</v>
      </c>
      <c r="G519" s="797" t="s">
        <v>3065</v>
      </c>
      <c r="H519" s="796" t="s">
        <v>1463</v>
      </c>
      <c r="I519" s="900"/>
      <c r="J519" s="792" t="str">
        <f>IF(ISBLANK(HLOOKUP(CaseName,CaseData,MATCH($G519,cases!$G$4:$G$2494,0),FALSE)),"",HLOOKUP(CaseName,CaseData,MATCH($G519,cases!$G$4:$G$2494,0),FALSE))</f>
        <v/>
      </c>
      <c r="K519" s="798">
        <f>L354</f>
        <v>0.8</v>
      </c>
      <c r="L519" s="794">
        <f t="shared" si="34"/>
        <v>0.8</v>
      </c>
      <c r="M519" s="796" t="s">
        <v>1463</v>
      </c>
      <c r="N519" s="797" t="s">
        <v>1464</v>
      </c>
      <c r="O519" s="799"/>
      <c r="P519" s="797"/>
    </row>
    <row r="520" spans="1:16" ht="12.75" customHeight="1" x14ac:dyDescent="0.3">
      <c r="A520" s="797"/>
      <c r="B520" s="797"/>
      <c r="C520" s="797" t="s">
        <v>1465</v>
      </c>
      <c r="D520" s="797"/>
      <c r="E520" s="797"/>
      <c r="F520" s="797"/>
      <c r="G520" s="796" t="s">
        <v>3066</v>
      </c>
      <c r="H520" s="796" t="s">
        <v>291</v>
      </c>
      <c r="I520" s="900"/>
      <c r="J520" s="792" t="str">
        <f>IF(ISBLANK(HLOOKUP(CaseName,CaseData,MATCH($G520,cases!$G$4:$G$2494,0),FALSE)),"",HLOOKUP(CaseName,CaseData,MATCH($G520,cases!$G$4:$G$2494,0),FALSE))</f>
        <v/>
      </c>
      <c r="K520" s="798">
        <f>0.55*L523^1.55*L524^-0.125*L522^0.125</f>
        <v>1.424206937360112E-7</v>
      </c>
      <c r="L520" s="794">
        <f t="shared" si="34"/>
        <v>1.424206937360112E-7</v>
      </c>
      <c r="M520" s="796" t="s">
        <v>291</v>
      </c>
      <c r="N520" s="797"/>
      <c r="O520" s="799"/>
      <c r="P520" s="797" t="s">
        <v>1452</v>
      </c>
    </row>
    <row r="521" spans="1:16" ht="12.75" customHeight="1" x14ac:dyDescent="0.3">
      <c r="A521" s="797"/>
      <c r="B521" s="797"/>
      <c r="C521" s="797" t="s">
        <v>1467</v>
      </c>
      <c r="D521" s="797"/>
      <c r="E521" s="797"/>
      <c r="F521" s="797"/>
      <c r="G521" s="796" t="s">
        <v>3067</v>
      </c>
      <c r="H521" s="796" t="s">
        <v>291</v>
      </c>
      <c r="I521" s="900"/>
      <c r="J521" s="792" t="str">
        <f>IF(ISBLANK(HLOOKUP(CaseName,CaseData,MATCH($G521,cases!$G$4:$G$2494,0),FALSE)),"",HLOOKUP(CaseName,CaseData,MATCH($G521,cases!$G$4:$G$2494,0),FALSE))</f>
        <v/>
      </c>
      <c r="K521" s="798">
        <f>0.22*L523^-0.24*L525^1.11*L522^0.053</f>
        <v>6.0807557953115421E-5</v>
      </c>
      <c r="L521" s="794">
        <f t="shared" si="34"/>
        <v>6.0807557953115421E-5</v>
      </c>
      <c r="M521" s="796" t="s">
        <v>291</v>
      </c>
      <c r="N521" s="797"/>
      <c r="O521" s="799"/>
      <c r="P521" s="797" t="s">
        <v>1452</v>
      </c>
    </row>
    <row r="522" spans="1:16" ht="12.75" customHeight="1" x14ac:dyDescent="0.3">
      <c r="A522" s="797"/>
      <c r="B522" s="797"/>
      <c r="C522" s="797"/>
      <c r="D522" s="797" t="s">
        <v>1469</v>
      </c>
      <c r="E522" s="797"/>
      <c r="F522" s="797"/>
      <c r="G522" s="797" t="s">
        <v>3068</v>
      </c>
      <c r="H522" s="796" t="s">
        <v>291</v>
      </c>
      <c r="I522" s="900"/>
      <c r="J522" s="792" t="str">
        <f>IF(ISBLANK(HLOOKUP(CaseName,CaseData,MATCH($G522,cases!$G$4:$G$2494,0),FALSE)),"",HLOOKUP(CaseName,CaseData,MATCH($G522,cases!$G$4:$G$2494,0),FALSE))</f>
        <v/>
      </c>
      <c r="K522" s="512">
        <f>AHamakerSP.w/(kboltz*L374)</f>
        <v>1.9002472927848792</v>
      </c>
      <c r="L522" s="794">
        <f t="shared" si="34"/>
        <v>1.9002472927848792</v>
      </c>
      <c r="M522" s="796" t="s">
        <v>291</v>
      </c>
      <c r="N522" s="797"/>
      <c r="O522" s="799"/>
      <c r="P522" s="797" t="s">
        <v>1452</v>
      </c>
    </row>
    <row r="523" spans="1:16" ht="12.75" customHeight="1" x14ac:dyDescent="0.3">
      <c r="A523" s="797"/>
      <c r="B523" s="797"/>
      <c r="C523" s="797"/>
      <c r="D523" s="797" t="s">
        <v>1471</v>
      </c>
      <c r="E523" s="797"/>
      <c r="F523" s="797"/>
      <c r="G523" s="797" t="s">
        <v>3069</v>
      </c>
      <c r="H523" s="796" t="s">
        <v>1473</v>
      </c>
      <c r="I523" s="900"/>
      <c r="J523" s="792" t="str">
        <f>IF(ISBLANK(HLOOKUP(CaseName,CaseData,MATCH($G523,cases!$G$4:$G$2494,0),FALSE)),"",HLOOKUP(CaseName,CaseData,MATCH($G523,cases!$G$4:$G$2494,0),FALSE))</f>
        <v/>
      </c>
      <c r="K523" s="512">
        <f>RadS/RadFP.sd</f>
        <v>7.8125000000000002E-5</v>
      </c>
      <c r="L523" s="794">
        <f t="shared" si="34"/>
        <v>7.8125000000000002E-5</v>
      </c>
      <c r="M523" s="796" t="s">
        <v>1473</v>
      </c>
      <c r="N523" s="797"/>
      <c r="O523" s="799"/>
      <c r="P523" s="797" t="s">
        <v>1452</v>
      </c>
    </row>
    <row r="524" spans="1:16" ht="12.75" customHeight="1" x14ac:dyDescent="0.3">
      <c r="A524" s="797"/>
      <c r="B524" s="797"/>
      <c r="C524" s="797"/>
      <c r="D524" s="797" t="s">
        <v>1474</v>
      </c>
      <c r="E524" s="797"/>
      <c r="F524" s="797"/>
      <c r="G524" s="797" t="s">
        <v>3070</v>
      </c>
      <c r="H524" s="796" t="s">
        <v>291</v>
      </c>
      <c r="I524" s="900"/>
      <c r="J524" s="792" t="str">
        <f>IF(ISBLANK(HLOOKUP(CaseName,CaseData,MATCH($G524,cases!$G$4:$G$2494,0),FALSE)),"",HLOOKUP(CaseName,CaseData,MATCH($G524,cases!$G$4:$G$2494,0),FALSE))</f>
        <v/>
      </c>
      <c r="K524" s="512">
        <f>(L514*2*RadFP.sd)/DiffS.wC</f>
        <v>110.59187966851262</v>
      </c>
      <c r="L524" s="794">
        <f t="shared" si="34"/>
        <v>110.59187966851262</v>
      </c>
      <c r="M524" s="796" t="s">
        <v>291</v>
      </c>
      <c r="N524" s="797"/>
      <c r="O524" s="799"/>
      <c r="P524" s="797" t="s">
        <v>1452</v>
      </c>
    </row>
    <row r="525" spans="1:16" ht="12.75" customHeight="1" x14ac:dyDescent="0.3">
      <c r="A525" s="797"/>
      <c r="B525" s="797"/>
      <c r="C525" s="797"/>
      <c r="D525" s="797" t="s">
        <v>1476</v>
      </c>
      <c r="E525" s="797"/>
      <c r="F525" s="797"/>
      <c r="G525" s="796" t="s">
        <v>3071</v>
      </c>
      <c r="H525" s="796" t="s">
        <v>291</v>
      </c>
      <c r="I525" s="900"/>
      <c r="J525" s="792" t="str">
        <f>IF(ISBLANK(HLOOKUP(CaseName,CaseData,MATCH($G525,cases!$G$4:$G$2494,0),FALSE)),"",HLOOKUP(CaseName,CaseData,MATCH($G525,cases!$G$4:$G$2494,0),FALSE))</f>
        <v/>
      </c>
      <c r="K525" s="513">
        <f>(2*RadS^2*(ABS(RhoS-Rho.w))*9.81)/(9*DYNVISC.w*L514)</f>
        <v>7.8129962297626983E-5</v>
      </c>
      <c r="L525" s="794">
        <f t="shared" si="34"/>
        <v>7.8129962297626983E-5</v>
      </c>
      <c r="M525" s="796" t="s">
        <v>291</v>
      </c>
      <c r="N525" s="797"/>
      <c r="O525" s="799"/>
      <c r="P525" s="797" t="s">
        <v>1452</v>
      </c>
    </row>
    <row r="526" spans="1:16" ht="12.75" customHeight="1" x14ac:dyDescent="0.3">
      <c r="A526" s="352" t="s">
        <v>3072</v>
      </c>
      <c r="G526" s="779"/>
      <c r="I526" s="778"/>
      <c r="J526" s="792" t="str">
        <f>IF(ISBLANK(HLOOKUP(CaseName,CaseData,MATCH($G526,cases!$G$4:$G$2494,0),FALSE)),"",HLOOKUP(CaseName,CaseData,MATCH($G526,cases!$G$4:$G$2494,0),FALSE))</f>
        <v/>
      </c>
      <c r="K526" s="780"/>
      <c r="M526" s="779"/>
      <c r="O526" s="782"/>
    </row>
    <row r="527" spans="1:16" ht="12.75" customHeight="1" x14ac:dyDescent="0.3">
      <c r="A527" s="797" t="s">
        <v>2726</v>
      </c>
      <c r="B527" s="797"/>
      <c r="C527" s="797"/>
      <c r="D527" s="797"/>
      <c r="E527" s="797"/>
      <c r="F527" s="797"/>
      <c r="G527" s="796" t="s">
        <v>3073</v>
      </c>
      <c r="H527" s="796" t="s">
        <v>335</v>
      </c>
      <c r="I527" s="900"/>
      <c r="J527" s="792" t="str">
        <f>IF(ISBLANK(HLOOKUP(CaseName,CaseData,MATCH($G527,cases!$G$4:$G$2494,0),FALSE)),"",HLOOKUP(CaseName,CaseData,MATCH($G527,cases!$G$4:$G$2494,0),FALSE))</f>
        <v/>
      </c>
      <c r="K527" s="918">
        <f>AtefSA.s1*L528*(L530+L531)</f>
        <v>1.4584020478661116E-2</v>
      </c>
      <c r="L527" s="794">
        <f>IF(ISBLANK(I527),IF(ISNUMBER(J527)=FALSE,K527,J527),I527)</f>
        <v>1.4584020478661116E-2</v>
      </c>
      <c r="M527" s="796" t="s">
        <v>335</v>
      </c>
      <c r="N527" s="797"/>
      <c r="O527" s="799"/>
      <c r="P527" s="797"/>
    </row>
    <row r="528" spans="1:16" ht="12.75" customHeight="1" x14ac:dyDescent="0.3">
      <c r="A528" s="797"/>
      <c r="B528" s="797" t="s">
        <v>1485</v>
      </c>
      <c r="C528" s="797"/>
      <c r="D528" s="797"/>
      <c r="E528" s="797"/>
      <c r="F528" s="797"/>
      <c r="G528" s="796" t="s">
        <v>3074</v>
      </c>
      <c r="H528" s="796" t="s">
        <v>708</v>
      </c>
      <c r="I528" s="900"/>
      <c r="J528" s="792" t="str">
        <f>IF(ISBLANK(HLOOKUP(CaseName,CaseData,MATCH($G528,cases!$G$4:$G$2494,0),FALSE)),"",HLOOKUP(CaseName,CaseData,MATCH($G528,cases!$G$4:$G$2494,0),FALSE))</f>
        <v/>
      </c>
      <c r="K528" s="798">
        <f>(L529)/(SingleVolNC.s*RhoNC.s)</f>
        <v>3536776513153229.5</v>
      </c>
      <c r="L528" s="794">
        <f>IF(ISBLANK(I528),IF(ISNUMBER(J528)=FALSE,K528,J528),I528)</f>
        <v>3536776513153229.5</v>
      </c>
      <c r="M528" s="796" t="s">
        <v>708</v>
      </c>
      <c r="N528" s="797"/>
      <c r="O528" s="799"/>
      <c r="P528" s="797"/>
    </row>
    <row r="529" spans="1:16" ht="12.75" customHeight="1" x14ac:dyDescent="0.3">
      <c r="A529" s="797"/>
      <c r="B529" s="797" t="s">
        <v>727</v>
      </c>
      <c r="C529" s="797"/>
      <c r="D529" s="797"/>
      <c r="E529" s="797"/>
      <c r="F529" s="797"/>
      <c r="G529" s="796" t="s">
        <v>3075</v>
      </c>
      <c r="H529" s="796" t="s">
        <v>729</v>
      </c>
      <c r="I529" s="900"/>
      <c r="J529" s="792" t="str">
        <f>IF(ISBLANK(HLOOKUP(CaseName,CaseData,MATCH($G529,cases!$G$4:$G$2494,0),FALSE)),"",HLOOKUP(CaseName,CaseData,MATCH($G529,cases!$G$4:$G$2494,0),FALSE))</f>
        <v/>
      </c>
      <c r="K529" s="798">
        <v>100</v>
      </c>
      <c r="L529" s="794">
        <f>IF(ISBLANK(I529),IF(ISNUMBER(J529)=FALSE,K529/1000,J529/1000),I529/1000)</f>
        <v>0.1</v>
      </c>
      <c r="M529" s="796" t="s">
        <v>730</v>
      </c>
      <c r="N529" s="797" t="s">
        <v>731</v>
      </c>
      <c r="O529" s="799"/>
      <c r="P529" s="797"/>
    </row>
    <row r="530" spans="1:16" ht="12.75" customHeight="1" x14ac:dyDescent="0.3">
      <c r="A530" s="797"/>
      <c r="B530" s="797" t="s">
        <v>1390</v>
      </c>
      <c r="C530" s="797"/>
      <c r="D530" s="797"/>
      <c r="E530" s="797"/>
      <c r="F530" s="797"/>
      <c r="G530" s="796" t="s">
        <v>3076</v>
      </c>
      <c r="H530" s="796" t="s">
        <v>335</v>
      </c>
      <c r="I530" s="900"/>
      <c r="J530" s="792" t="str">
        <f>IF(ISBLANK(HLOOKUP(CaseName,CaseData,MATCH($G530,cases!$G$4:$G$2494,0),FALSE)),"",HLOOKUP(CaseName,CaseData,MATCH($G530,cases!$G$4:$G$2494,0),FALSE))</f>
        <v/>
      </c>
      <c r="K530" s="798">
        <f>((2*kboltz*L374)/(3*DYNVISC.w))*(RadS+RadNC.s)^2/(RadS*RadNC.s)</f>
        <v>4.1231458153204701E-17</v>
      </c>
      <c r="L530" s="794">
        <f t="shared" ref="L530:L545" si="35">IF(ISBLANK(I530),IF(ISNUMBER(J530)=FALSE,K530,J530),I530)</f>
        <v>4.1231458153204701E-17</v>
      </c>
      <c r="M530" s="797" t="s">
        <v>335</v>
      </c>
      <c r="N530" s="797"/>
      <c r="O530" s="799"/>
      <c r="P530" s="797"/>
    </row>
    <row r="531" spans="1:16" ht="12.75" customHeight="1" x14ac:dyDescent="0.3">
      <c r="A531" s="797"/>
      <c r="B531" s="797" t="s">
        <v>1392</v>
      </c>
      <c r="C531" s="797"/>
      <c r="D531" s="797"/>
      <c r="E531" s="797"/>
      <c r="F531" s="797"/>
      <c r="G531" s="796" t="s">
        <v>3077</v>
      </c>
      <c r="H531" s="796" t="s">
        <v>335</v>
      </c>
      <c r="I531" s="900"/>
      <c r="J531" s="792" t="str">
        <f>IF(ISBLANK(HLOOKUP(CaseName,CaseData,MATCH($G531,cases!$G$4:$G$2494,0),FALSE)),"",HLOOKUP(CaseName,CaseData,MATCH($G531,cases!$G$4:$G$2494,0),FALSE))</f>
        <v/>
      </c>
      <c r="K531" s="798">
        <f>PI()*(RadS+RadNC.s)^2*ABS(SetVelS.w-SetVelNC.s)</f>
        <v>3.8882828036701237E-21</v>
      </c>
      <c r="L531" s="794">
        <f t="shared" si="35"/>
        <v>3.8882828036701237E-21</v>
      </c>
      <c r="M531" s="797" t="s">
        <v>335</v>
      </c>
      <c r="N531" s="797"/>
      <c r="O531" s="799"/>
      <c r="P531" s="797"/>
    </row>
    <row r="532" spans="1:16" ht="12.75" customHeight="1" x14ac:dyDescent="0.3">
      <c r="A532" s="797" t="s">
        <v>2733</v>
      </c>
      <c r="B532" s="797"/>
      <c r="C532" s="797"/>
      <c r="D532" s="797"/>
      <c r="E532" s="797"/>
      <c r="F532" s="797"/>
      <c r="G532" s="796" t="s">
        <v>3078</v>
      </c>
      <c r="H532" s="796" t="s">
        <v>335</v>
      </c>
      <c r="I532" s="900"/>
      <c r="J532" s="792" t="str">
        <f>IF(ISBLANK(HLOOKUP(CaseName,CaseData,MATCH($G532,cases!$G$4:$G$2494,0),FALSE)),"",HLOOKUP(CaseName,CaseData,MATCH($G532,cases!$G$4:$G$2494,0),FALSE))</f>
        <v/>
      </c>
      <c r="K532" s="798">
        <f>L533*L534*L535*AtefSP.s1</f>
        <v>4.9108045098192436E-3</v>
      </c>
      <c r="L532" s="794">
        <f t="shared" si="35"/>
        <v>4.9108045098192436E-3</v>
      </c>
      <c r="M532" s="796" t="s">
        <v>335</v>
      </c>
      <c r="N532" s="797"/>
      <c r="O532" s="799"/>
      <c r="P532" s="797"/>
    </row>
    <row r="533" spans="1:16" ht="12.75" customHeight="1" x14ac:dyDescent="0.3">
      <c r="A533" s="797"/>
      <c r="B533" s="797" t="s">
        <v>1492</v>
      </c>
      <c r="C533" s="797"/>
      <c r="D533" s="797"/>
      <c r="E533" s="797"/>
      <c r="F533" s="797"/>
      <c r="G533" s="796" t="s">
        <v>3079</v>
      </c>
      <c r="H533" s="796" t="s">
        <v>1449</v>
      </c>
      <c r="I533" s="900"/>
      <c r="J533" s="792" t="str">
        <f>IF(ISBLANK(HLOOKUP(CaseName,CaseData,MATCH($G533,cases!$G$4:$G$2494,0),FALSE)),"",HLOOKUP(CaseName,CaseData,MATCH($G533,cases!$G$4:$G$2494,0),FALSE))</f>
        <v/>
      </c>
      <c r="K533" s="798">
        <f>(3/2)*(1-L539)/(2*RadFP.s*L539)</f>
        <v>8789.0625000000036</v>
      </c>
      <c r="L533" s="794">
        <f t="shared" si="35"/>
        <v>8789.0625000000036</v>
      </c>
      <c r="M533" s="796" t="s">
        <v>1449</v>
      </c>
      <c r="N533" s="797"/>
      <c r="O533" s="799"/>
      <c r="P533" s="797"/>
    </row>
    <row r="534" spans="1:16" ht="12.75" customHeight="1" x14ac:dyDescent="0.3">
      <c r="A534" s="797"/>
      <c r="B534" s="797" t="s">
        <v>1494</v>
      </c>
      <c r="C534" s="797"/>
      <c r="D534" s="797"/>
      <c r="E534" s="797"/>
      <c r="F534" s="797"/>
      <c r="G534" s="797" t="s">
        <v>3080</v>
      </c>
      <c r="H534" s="796" t="s">
        <v>866</v>
      </c>
      <c r="I534" s="900"/>
      <c r="J534" s="792" t="str">
        <f>IF(ISBLANK(HLOOKUP(CaseName,CaseData,MATCH($G534,cases!$G$4:$G$2494,0),FALSE)),"",HLOOKUP(CaseName,CaseData,MATCH($G534,cases!$G$4:$G$2494,0),FALSE))</f>
        <v/>
      </c>
      <c r="K534" s="512">
        <f>9*10^-6</f>
        <v>9.0000000000000002E-6</v>
      </c>
      <c r="L534" s="794">
        <f t="shared" si="35"/>
        <v>9.0000000000000002E-6</v>
      </c>
      <c r="M534" s="796" t="s">
        <v>866</v>
      </c>
      <c r="N534" s="797"/>
      <c r="O534" s="799"/>
      <c r="P534" s="797" t="s">
        <v>1452</v>
      </c>
    </row>
    <row r="535" spans="1:16" ht="12.75" customHeight="1" x14ac:dyDescent="0.3">
      <c r="A535" s="797"/>
      <c r="B535" s="797" t="s">
        <v>1453</v>
      </c>
      <c r="C535" s="797"/>
      <c r="D535" s="797"/>
      <c r="E535" s="797"/>
      <c r="F535" s="797"/>
      <c r="G535" s="796" t="s">
        <v>3081</v>
      </c>
      <c r="H535" s="796" t="s">
        <v>291</v>
      </c>
      <c r="I535" s="900"/>
      <c r="J535" s="792" t="str">
        <f>IF(ISBLANK(HLOOKUP(CaseName,CaseData,MATCH($G535,cases!$G$4:$G$2494,0),FALSE)),"",HLOOKUP(CaseName,CaseData,MATCH($G535,cases!$G$4:$G$2494,0),FALSE))</f>
        <v/>
      </c>
      <c r="K535" s="798">
        <f>L536+L540+L541</f>
        <v>0.62082269358702491</v>
      </c>
      <c r="L535" s="794">
        <f t="shared" si="35"/>
        <v>0.62082269358702491</v>
      </c>
      <c r="M535" s="796" t="s">
        <v>291</v>
      </c>
      <c r="N535" s="797"/>
      <c r="O535" s="799"/>
      <c r="P535" s="797" t="s">
        <v>1452</v>
      </c>
    </row>
    <row r="536" spans="1:16" ht="12.75" customHeight="1" x14ac:dyDescent="0.3">
      <c r="A536" s="797"/>
      <c r="B536" s="797"/>
      <c r="C536" s="797" t="s">
        <v>1455</v>
      </c>
      <c r="D536" s="797"/>
      <c r="E536" s="797"/>
      <c r="F536" s="797"/>
      <c r="G536" s="796" t="s">
        <v>3082</v>
      </c>
      <c r="H536" s="796" t="s">
        <v>291</v>
      </c>
      <c r="I536" s="900"/>
      <c r="J536" s="792" t="str">
        <f>IF(ISBLANK(HLOOKUP(CaseName,CaseData,MATCH($G536,cases!$G$4:$G$2494,0),FALSE)),"",HLOOKUP(CaseName,CaseData,MATCH($G536,cases!$G$4:$G$2494,0),FALSE))</f>
        <v/>
      </c>
      <c r="K536" s="798">
        <f>2.4*L537^(1/3)*L542^(-0.081)*L543^-0.715*L544^0.053</f>
        <v>0.6207617436083781</v>
      </c>
      <c r="L536" s="794">
        <f t="shared" si="35"/>
        <v>0.6207617436083781</v>
      </c>
      <c r="M536" s="796" t="s">
        <v>291</v>
      </c>
      <c r="N536" s="797"/>
      <c r="O536" s="799"/>
      <c r="P536" s="797" t="s">
        <v>1452</v>
      </c>
    </row>
    <row r="537" spans="1:16" ht="12.75" customHeight="1" x14ac:dyDescent="0.3">
      <c r="A537" s="797"/>
      <c r="B537" s="797"/>
      <c r="C537" s="797"/>
      <c r="D537" s="797" t="s">
        <v>1457</v>
      </c>
      <c r="E537" s="797"/>
      <c r="F537" s="797"/>
      <c r="G537" s="797" t="s">
        <v>3083</v>
      </c>
      <c r="H537" s="796" t="s">
        <v>291</v>
      </c>
      <c r="I537" s="900"/>
      <c r="J537" s="792" t="str">
        <f>IF(ISBLANK(HLOOKUP(CaseName,CaseData,MATCH($G537,cases!$G$4:$G$2494,0),FALSE)),"",HLOOKUP(CaseName,CaseData,MATCH($G537,cases!$G$4:$G$2494,0),FALSE))</f>
        <v/>
      </c>
      <c r="K537" s="512">
        <f>(2*(1-L538^5))/(2-3*L538+3*L538^5-2*L538^6)</f>
        <v>37.979096123930859</v>
      </c>
      <c r="L537" s="794">
        <f t="shared" si="35"/>
        <v>37.979096123930859</v>
      </c>
      <c r="M537" s="796" t="s">
        <v>291</v>
      </c>
      <c r="N537" s="797"/>
      <c r="O537" s="799"/>
      <c r="P537" s="797" t="s">
        <v>1452</v>
      </c>
    </row>
    <row r="538" spans="1:16" ht="12.75" customHeight="1" x14ac:dyDescent="0.3">
      <c r="A538" s="797"/>
      <c r="B538" s="797"/>
      <c r="C538" s="797"/>
      <c r="D538" s="797"/>
      <c r="E538" s="797" t="s">
        <v>1499</v>
      </c>
      <c r="F538" s="797"/>
      <c r="G538" s="797" t="s">
        <v>3084</v>
      </c>
      <c r="H538" s="796" t="s">
        <v>291</v>
      </c>
      <c r="I538" s="900"/>
      <c r="J538" s="792" t="str">
        <f>IF(ISBLANK(HLOOKUP(CaseName,CaseData,MATCH($G538,cases!$G$4:$G$2494,0),FALSE)),"",HLOOKUP(CaseName,CaseData,MATCH($G538,cases!$G$4:$G$2494,0),FALSE))</f>
        <v/>
      </c>
      <c r="K538" s="512">
        <f>(1-L539)^(1/3)</f>
        <v>0.84343266530174932</v>
      </c>
      <c r="L538" s="794">
        <f t="shared" si="35"/>
        <v>0.84343266530174932</v>
      </c>
      <c r="M538" s="796" t="s">
        <v>291</v>
      </c>
      <c r="N538" s="797"/>
      <c r="O538" s="799"/>
      <c r="P538" s="797" t="s">
        <v>1452</v>
      </c>
    </row>
    <row r="539" spans="1:16" ht="12.75" customHeight="1" x14ac:dyDescent="0.3">
      <c r="A539" s="797"/>
      <c r="B539" s="797"/>
      <c r="C539" s="797"/>
      <c r="D539" s="797"/>
      <c r="E539" s="797"/>
      <c r="F539" s="797" t="s">
        <v>1501</v>
      </c>
      <c r="G539" s="797" t="s">
        <v>3085</v>
      </c>
      <c r="H539" s="796" t="s">
        <v>1463</v>
      </c>
      <c r="I539" s="900"/>
      <c r="J539" s="792" t="str">
        <f>IF(ISBLANK(HLOOKUP(CaseName,CaseData,MATCH($G539,cases!$G$4:$G$2494,0),FALSE)),"",HLOOKUP(CaseName,CaseData,MATCH($G539,cases!$G$4:$G$2494,0),FALSE))</f>
        <v/>
      </c>
      <c r="K539" s="798">
        <f>1-L353</f>
        <v>0.39999999999999991</v>
      </c>
      <c r="L539" s="794">
        <f t="shared" si="35"/>
        <v>0.39999999999999991</v>
      </c>
      <c r="M539" s="796" t="s">
        <v>1463</v>
      </c>
      <c r="N539" s="797" t="s">
        <v>1519</v>
      </c>
      <c r="O539" s="799"/>
      <c r="P539" s="797"/>
    </row>
    <row r="540" spans="1:16" ht="12.75" customHeight="1" x14ac:dyDescent="0.3">
      <c r="A540" s="797"/>
      <c r="B540" s="797"/>
      <c r="C540" s="797" t="s">
        <v>1465</v>
      </c>
      <c r="D540" s="797"/>
      <c r="E540" s="797"/>
      <c r="F540" s="797"/>
      <c r="G540" s="796" t="s">
        <v>3086</v>
      </c>
      <c r="H540" s="796" t="s">
        <v>291</v>
      </c>
      <c r="I540" s="900"/>
      <c r="J540" s="792" t="str">
        <f>IF(ISBLANK(HLOOKUP(CaseName,CaseData,MATCH($G540,cases!$G$4:$G$2494,0),FALSE)),"",HLOOKUP(CaseName,CaseData,MATCH($G540,cases!$G$4:$G$2494,0),FALSE))</f>
        <v/>
      </c>
      <c r="K540" s="798">
        <f>0.55*L542^1.55*L543^-0.125*L544^0.125</f>
        <v>1.424206937360112E-7</v>
      </c>
      <c r="L540" s="794">
        <f t="shared" si="35"/>
        <v>1.424206937360112E-7</v>
      </c>
      <c r="M540" s="796" t="s">
        <v>291</v>
      </c>
      <c r="N540" s="797"/>
      <c r="O540" s="799"/>
      <c r="P540" s="797" t="s">
        <v>1452</v>
      </c>
    </row>
    <row r="541" spans="1:16" ht="12.75" customHeight="1" x14ac:dyDescent="0.3">
      <c r="A541" s="797"/>
      <c r="B541" s="797"/>
      <c r="C541" s="797" t="s">
        <v>1467</v>
      </c>
      <c r="D541" s="797"/>
      <c r="E541" s="797"/>
      <c r="F541" s="797"/>
      <c r="G541" s="796" t="s">
        <v>3087</v>
      </c>
      <c r="H541" s="796" t="s">
        <v>291</v>
      </c>
      <c r="I541" s="900"/>
      <c r="J541" s="792" t="str">
        <f>IF(ISBLANK(HLOOKUP(CaseName,CaseData,MATCH($G541,cases!$G$4:$G$2494,0),FALSE)),"",HLOOKUP(CaseName,CaseData,MATCH($G541,cases!$G$4:$G$2494,0),FALSE))</f>
        <v/>
      </c>
      <c r="K541" s="798">
        <f>0.22*L542^-0.24*L545^1.11*L544^0.053</f>
        <v>6.0807557953115421E-5</v>
      </c>
      <c r="L541" s="794">
        <f t="shared" si="35"/>
        <v>6.0807557953115421E-5</v>
      </c>
      <c r="M541" s="796" t="s">
        <v>291</v>
      </c>
      <c r="N541" s="797"/>
      <c r="O541" s="799"/>
      <c r="P541" s="797" t="s">
        <v>1452</v>
      </c>
    </row>
    <row r="542" spans="1:16" ht="12.75" customHeight="1" x14ac:dyDescent="0.3">
      <c r="A542" s="797"/>
      <c r="B542" s="797"/>
      <c r="C542" s="797"/>
      <c r="D542" s="797" t="s">
        <v>1471</v>
      </c>
      <c r="E542" s="797"/>
      <c r="F542" s="797"/>
      <c r="G542" s="797" t="s">
        <v>3088</v>
      </c>
      <c r="H542" s="796" t="s">
        <v>1473</v>
      </c>
      <c r="I542" s="900"/>
      <c r="J542" s="792" t="str">
        <f>IF(ISBLANK(HLOOKUP(CaseName,CaseData,MATCH($G542,cases!$G$4:$G$2494,0),FALSE)),"",HLOOKUP(CaseName,CaseData,MATCH($G542,cases!$G$4:$G$2494,0),FALSE))</f>
        <v/>
      </c>
      <c r="K542" s="512">
        <f>RadS/RadFP.s</f>
        <v>7.8125000000000002E-5</v>
      </c>
      <c r="L542" s="794">
        <f t="shared" si="35"/>
        <v>7.8125000000000002E-5</v>
      </c>
      <c r="M542" s="796" t="s">
        <v>1473</v>
      </c>
      <c r="N542" s="797"/>
      <c r="O542" s="799"/>
      <c r="P542" s="797" t="s">
        <v>1452</v>
      </c>
    </row>
    <row r="543" spans="1:16" ht="12.75" customHeight="1" x14ac:dyDescent="0.3">
      <c r="A543" s="797"/>
      <c r="B543" s="797"/>
      <c r="C543" s="797"/>
      <c r="D543" s="797" t="s">
        <v>1474</v>
      </c>
      <c r="E543" s="797"/>
      <c r="F543" s="797"/>
      <c r="G543" s="797" t="s">
        <v>3089</v>
      </c>
      <c r="H543" s="796" t="s">
        <v>291</v>
      </c>
      <c r="I543" s="900"/>
      <c r="J543" s="792" t="str">
        <f>IF(ISBLANK(HLOOKUP(CaseName,CaseData,MATCH($G543,cases!$G$4:$G$2494,0),FALSE)),"",HLOOKUP(CaseName,CaseData,MATCH($G543,cases!$G$4:$G$2494,0),FALSE))</f>
        <v/>
      </c>
      <c r="K543" s="512">
        <f>(L534*2*RadFP.s)/(DiffS.wC)</f>
        <v>110.59187966851262</v>
      </c>
      <c r="L543" s="794">
        <f t="shared" si="35"/>
        <v>110.59187966851262</v>
      </c>
      <c r="M543" s="796" t="s">
        <v>291</v>
      </c>
      <c r="N543" s="797"/>
      <c r="O543" s="799"/>
      <c r="P543" s="797" t="s">
        <v>1452</v>
      </c>
    </row>
    <row r="544" spans="1:16" ht="12.75" customHeight="1" x14ac:dyDescent="0.3">
      <c r="A544" s="797"/>
      <c r="B544" s="797"/>
      <c r="C544" s="797"/>
      <c r="D544" s="797" t="s">
        <v>1469</v>
      </c>
      <c r="E544" s="797"/>
      <c r="F544" s="797"/>
      <c r="G544" s="797" t="s">
        <v>3090</v>
      </c>
      <c r="H544" s="796" t="s">
        <v>291</v>
      </c>
      <c r="I544" s="900"/>
      <c r="J544" s="792" t="str">
        <f>IF(ISBLANK(HLOOKUP(CaseName,CaseData,MATCH($G544,cases!$G$4:$G$2494,0),FALSE)),"",HLOOKUP(CaseName,CaseData,MATCH($G544,cases!$G$4:$G$2494,0),FALSE))</f>
        <v/>
      </c>
      <c r="K544" s="512">
        <f>AHamakerSP.w/(kboltz*L374)</f>
        <v>1.9002472927848792</v>
      </c>
      <c r="L544" s="794">
        <f t="shared" si="35"/>
        <v>1.9002472927848792</v>
      </c>
      <c r="M544" s="796" t="s">
        <v>291</v>
      </c>
      <c r="N544" s="797"/>
      <c r="O544" s="799"/>
      <c r="P544" s="797" t="s">
        <v>1452</v>
      </c>
    </row>
    <row r="545" spans="1:16" ht="12.75" customHeight="1" x14ac:dyDescent="0.3">
      <c r="A545" s="797"/>
      <c r="B545" s="797"/>
      <c r="C545" s="797"/>
      <c r="D545" s="797" t="s">
        <v>1476</v>
      </c>
      <c r="E545" s="797"/>
      <c r="F545" s="797"/>
      <c r="G545" s="796" t="s">
        <v>3091</v>
      </c>
      <c r="H545" s="796" t="s">
        <v>291</v>
      </c>
      <c r="I545" s="900"/>
      <c r="J545" s="792" t="str">
        <f>IF(ISBLANK(HLOOKUP(CaseName,CaseData,MATCH($G545,cases!$G$4:$G$2494,0),FALSE)),"",HLOOKUP(CaseName,CaseData,MATCH($G545,cases!$G$4:$G$2494,0),FALSE))</f>
        <v/>
      </c>
      <c r="K545" s="513">
        <f>(2*RadS^2*(ABS(RhoS-Rho.w))*9.81)/(9*DYNVISC.w*L534)</f>
        <v>7.8129962297626983E-5</v>
      </c>
      <c r="L545" s="794">
        <f t="shared" si="35"/>
        <v>7.8129962297626983E-5</v>
      </c>
      <c r="M545" s="796" t="s">
        <v>291</v>
      </c>
      <c r="N545" s="797"/>
      <c r="O545" s="799"/>
      <c r="P545" s="797" t="s">
        <v>1452</v>
      </c>
    </row>
    <row r="546" spans="1:16" ht="12.75" customHeight="1" x14ac:dyDescent="0.3">
      <c r="G546" s="779"/>
      <c r="I546" s="778"/>
      <c r="J546" s="230"/>
      <c r="K546" s="780"/>
      <c r="O546" s="782"/>
    </row>
    <row r="547" spans="1:16" s="837" customFormat="1" ht="12.75" customHeight="1" x14ac:dyDescent="0.3">
      <c r="A547" s="836" t="s">
        <v>1541</v>
      </c>
      <c r="G547" s="836" t="s">
        <v>258</v>
      </c>
      <c r="H547" s="836" t="s">
        <v>274</v>
      </c>
      <c r="I547" s="837" t="s">
        <v>259</v>
      </c>
      <c r="J547" s="898" t="s">
        <v>2875</v>
      </c>
      <c r="K547" s="838" t="s">
        <v>260</v>
      </c>
      <c r="L547" s="839" t="s">
        <v>261</v>
      </c>
      <c r="N547" s="836" t="s">
        <v>262</v>
      </c>
      <c r="O547" s="840" t="s">
        <v>1326</v>
      </c>
      <c r="P547" s="837" t="s">
        <v>1327</v>
      </c>
    </row>
    <row r="548" spans="1:16" ht="12.75" customHeight="1" x14ac:dyDescent="0.3">
      <c r="A548" s="778" t="s">
        <v>3092</v>
      </c>
      <c r="G548" s="779"/>
      <c r="I548" s="778"/>
      <c r="J548" s="230"/>
      <c r="K548" s="780"/>
      <c r="O548" s="782"/>
    </row>
    <row r="549" spans="1:16" ht="12.75" customHeight="1" x14ac:dyDescent="0.3">
      <c r="A549" s="797"/>
      <c r="B549" s="797" t="s">
        <v>1543</v>
      </c>
      <c r="C549" s="797"/>
      <c r="D549" s="797"/>
      <c r="E549" s="797"/>
      <c r="F549" s="797"/>
      <c r="G549" s="796" t="s">
        <v>3093</v>
      </c>
      <c r="H549" s="796" t="s">
        <v>813</v>
      </c>
      <c r="I549" s="900"/>
      <c r="J549" s="792" t="str">
        <f>IF(ISBLANK(HLOOKUP(CaseName,CaseData,MATCH($G549,cases!$G$4:$G$2494,0),FALSE)),"",HLOOKUP(CaseName,CaseData,MATCH($G549,cases!$G$4:$G$2494,0),FALSE))</f>
        <v/>
      </c>
      <c r="K549" s="918">
        <f>((7*10^-4)*(60*6*10^4*L551)^0.25)/2</f>
        <v>2.9066263570473773E-4</v>
      </c>
      <c r="L549" s="794">
        <f t="shared" ref="L549:L555" si="36">IF(ISBLANK(I549),IF(ISNUMBER(J549)=FALSE,K549,J549),I549)</f>
        <v>2.9066263570473773E-4</v>
      </c>
      <c r="M549" s="796" t="s">
        <v>813</v>
      </c>
      <c r="N549" s="797"/>
      <c r="O549" s="799"/>
      <c r="P549" s="797" t="s">
        <v>1545</v>
      </c>
    </row>
    <row r="550" spans="1:16" ht="12.75" customHeight="1" x14ac:dyDescent="0.3">
      <c r="A550" s="797"/>
      <c r="B550" s="797" t="s">
        <v>1546</v>
      </c>
      <c r="C550" s="797"/>
      <c r="D550" s="797"/>
      <c r="E550" s="797"/>
      <c r="F550" s="797"/>
      <c r="G550" s="796" t="s">
        <v>3094</v>
      </c>
      <c r="H550" s="796" t="s">
        <v>291</v>
      </c>
      <c r="I550" s="900"/>
      <c r="J550" s="792" t="str">
        <f>IF(ISBLANK(HLOOKUP(CaseName,CaseData,MATCH($G550,cases!$G$4:$G$2494,0),FALSE)),"",HLOOKUP(CaseName,CaseData,MATCH($G550,cases!$G$4:$G$2494,0),FALSE))</f>
        <v/>
      </c>
      <c r="K550" s="798">
        <f>L409/(L409+L408)</f>
        <v>0.06</v>
      </c>
      <c r="L550" s="794">
        <f t="shared" si="36"/>
        <v>0.06</v>
      </c>
      <c r="M550" s="796" t="s">
        <v>291</v>
      </c>
      <c r="N550" s="797"/>
      <c r="O550" s="799"/>
      <c r="P550" s="797"/>
    </row>
    <row r="551" spans="1:16" ht="12.75" customHeight="1" x14ac:dyDescent="0.3">
      <c r="A551" s="797"/>
      <c r="B551" s="797" t="s">
        <v>1549</v>
      </c>
      <c r="C551" s="797"/>
      <c r="D551" s="797"/>
      <c r="E551" s="797"/>
      <c r="F551" s="797"/>
      <c r="G551" s="796" t="s">
        <v>3095</v>
      </c>
      <c r="H551" s="796" t="s">
        <v>866</v>
      </c>
      <c r="I551" s="900"/>
      <c r="J551" s="792" t="str">
        <f>IF(ISBLANK(HLOOKUP(CaseName,CaseData,MATCH($G551,cases!$G$4:$G$2494,0),FALSE)),"",HLOOKUP(CaseName,CaseData,MATCH($G551,cases!$G$4:$G$2494,0),FALSE))</f>
        <v/>
      </c>
      <c r="K551" s="798">
        <f>L414/L550</f>
        <v>1.3212413326568579E-7</v>
      </c>
      <c r="L551" s="794">
        <f t="shared" si="36"/>
        <v>1.3212413326568579E-7</v>
      </c>
      <c r="M551" s="796" t="s">
        <v>866</v>
      </c>
      <c r="N551" s="797"/>
      <c r="O551" s="799"/>
      <c r="P551" s="797"/>
    </row>
    <row r="552" spans="1:16" ht="12.75" customHeight="1" x14ac:dyDescent="0.3">
      <c r="A552" s="797"/>
      <c r="B552" s="797" t="s">
        <v>1553</v>
      </c>
      <c r="C552" s="797"/>
      <c r="D552" s="797"/>
      <c r="E552" s="797"/>
      <c r="F552" s="797"/>
      <c r="G552" s="796" t="s">
        <v>3096</v>
      </c>
      <c r="H552" s="796" t="s">
        <v>866</v>
      </c>
      <c r="I552" s="900"/>
      <c r="J552" s="792" t="str">
        <f>IF(ISBLANK(HLOOKUP(CaseName,CaseData,MATCH($G552,cases!$G$4:$G$2494,0),FALSE)),"",HLOOKUP(CaseName,CaseData,MATCH($G552,cases!$G$4:$G$2494,0),FALSE))</f>
        <v/>
      </c>
      <c r="K552" s="798">
        <f>((2*L549)^2*(Rho.w-Rho.a)*g*L553)/(18*DYNVISC.a)</f>
        <v>10.142697438272769</v>
      </c>
      <c r="L552" s="794">
        <f t="shared" si="36"/>
        <v>10.142697438272769</v>
      </c>
      <c r="M552" s="796" t="s">
        <v>866</v>
      </c>
      <c r="N552" s="797"/>
      <c r="O552" s="799"/>
      <c r="P552" s="797"/>
    </row>
    <row r="553" spans="1:16" ht="12.75" customHeight="1" x14ac:dyDescent="0.3">
      <c r="A553" s="797"/>
      <c r="B553" s="797" t="s">
        <v>1555</v>
      </c>
      <c r="C553" s="797"/>
      <c r="D553" s="797"/>
      <c r="E553" s="797"/>
      <c r="F553" s="797"/>
      <c r="G553" s="796" t="s">
        <v>3097</v>
      </c>
      <c r="H553" s="796" t="s">
        <v>291</v>
      </c>
      <c r="I553" s="900"/>
      <c r="J553" s="792" t="str">
        <f>IF(ISBLANK(HLOOKUP(CaseName,CaseData,MATCH($G553,cases!$G$4:$G$2494,0),FALSE)),"",HLOOKUP(CaseName,CaseData,MATCH($G553,cases!$G$4:$G$2494,0),FALSE))</f>
        <v/>
      </c>
      <c r="K553" s="798">
        <v>1</v>
      </c>
      <c r="L553" s="794">
        <f t="shared" si="36"/>
        <v>1</v>
      </c>
      <c r="M553" s="796" t="s">
        <v>291</v>
      </c>
      <c r="N553" s="797"/>
      <c r="O553" s="799"/>
      <c r="P553" s="797"/>
    </row>
    <row r="554" spans="1:16" ht="12.75" customHeight="1" x14ac:dyDescent="0.3">
      <c r="A554" s="797"/>
      <c r="B554" s="797" t="s">
        <v>1557</v>
      </c>
      <c r="C554" s="797"/>
      <c r="D554" s="797"/>
      <c r="E554" s="797"/>
      <c r="F554" s="797"/>
      <c r="G554" s="796" t="s">
        <v>3098</v>
      </c>
      <c r="H554" s="796" t="s">
        <v>291</v>
      </c>
      <c r="I554" s="900"/>
      <c r="J554" s="792" t="str">
        <f>IF(ISBLANK(HLOOKUP(CaseName,CaseData,MATCH($G554,cases!$G$4:$G$2494,0),FALSE)),"",HLOOKUP(CaseName,CaseData,MATCH($G554,cases!$G$4:$G$2494,0),FALSE))</f>
        <v/>
      </c>
      <c r="K554" s="798">
        <f>((1.2+(1/12)*LN(1+L555))/(1+LN(L555)))</f>
        <v>0.26076230934983047</v>
      </c>
      <c r="L554" s="794">
        <f t="shared" si="36"/>
        <v>0.26076230934983047</v>
      </c>
      <c r="M554" s="796" t="s">
        <v>291</v>
      </c>
      <c r="N554" s="797"/>
      <c r="O554" s="799"/>
      <c r="P554" s="797"/>
    </row>
    <row r="555" spans="1:16" ht="12.75" customHeight="1" x14ac:dyDescent="0.3">
      <c r="A555" s="797"/>
      <c r="B555" s="797" t="s">
        <v>1559</v>
      </c>
      <c r="C555" s="797"/>
      <c r="D555" s="797"/>
      <c r="E555" s="797"/>
      <c r="F555" s="797"/>
      <c r="G555" s="796" t="s">
        <v>3099</v>
      </c>
      <c r="H555" s="796" t="s">
        <v>291</v>
      </c>
      <c r="I555" s="900"/>
      <c r="J555" s="792" t="str">
        <f>IF(ISBLANK(HLOOKUP(CaseName,CaseData,MATCH($G555,cases!$G$4:$G$2494,0),FALSE)),"",HLOOKUP(CaseName,CaseData,MATCH($G555,cases!$G$4:$G$2494,0),FALSE))</f>
        <v/>
      </c>
      <c r="K555" s="902">
        <f>((2*L549)*L552*Rho.a)/(2*DYNVISC.a)</f>
        <v>199.52631955474951</v>
      </c>
      <c r="L555" s="794">
        <f t="shared" si="36"/>
        <v>199.52631955474951</v>
      </c>
      <c r="M555" s="796" t="s">
        <v>2273</v>
      </c>
      <c r="N555" s="797"/>
      <c r="O555" s="799"/>
      <c r="P555" s="797"/>
    </row>
    <row r="556" spans="1:16" ht="12.75" customHeight="1" x14ac:dyDescent="0.3">
      <c r="A556" s="778" t="s">
        <v>3100</v>
      </c>
      <c r="H556" s="778"/>
      <c r="I556" s="778"/>
      <c r="J556" s="792" t="str">
        <f>IF(ISBLANK(HLOOKUP(CaseName,CaseData,MATCH($G556,cases!$G$4:$G$2494,0),FALSE)),"",HLOOKUP(CaseName,CaseData,MATCH($G556,cases!$G$4:$G$2494,0),FALSE))</f>
        <v/>
      </c>
      <c r="K556" s="780"/>
      <c r="O556" s="782"/>
    </row>
    <row r="557" spans="1:16" ht="12.75" customHeight="1" x14ac:dyDescent="0.3">
      <c r="A557" s="797"/>
      <c r="B557" s="797" t="s">
        <v>1562</v>
      </c>
      <c r="C557" s="797"/>
      <c r="D557" s="797"/>
      <c r="E557" s="797"/>
      <c r="F557" s="797"/>
      <c r="G557" s="797" t="s">
        <v>3101</v>
      </c>
      <c r="H557" s="797" t="s">
        <v>813</v>
      </c>
      <c r="I557" s="900"/>
      <c r="J557" s="792" t="str">
        <f>IF(ISBLANK(HLOOKUP(CaseName,CaseData,MATCH($G557,cases!$G$4:$G$2494,0),FALSE)),"",HLOOKUP(CaseName,CaseData,MATCH($G557,cases!$G$4:$G$2494,0),FALSE))</f>
        <v/>
      </c>
      <c r="K557" s="918">
        <f>(L559/((4/3)*PI()))^(1/3)</f>
        <v>4.5513903748867723E-8</v>
      </c>
      <c r="L557" s="794">
        <f>IF(ISBLANK(I557),IF(ISNUMBER(J557)=FALSE,K557,J557),I557)</f>
        <v>4.5513903748867723E-8</v>
      </c>
      <c r="M557" s="797" t="s">
        <v>813</v>
      </c>
      <c r="N557" s="797"/>
      <c r="O557" s="799"/>
      <c r="P557" s="797"/>
    </row>
    <row r="558" spans="1:16" ht="12.75" customHeight="1" x14ac:dyDescent="0.3">
      <c r="A558" s="797"/>
      <c r="B558" s="797" t="s">
        <v>1564</v>
      </c>
      <c r="C558" s="797"/>
      <c r="D558" s="797"/>
      <c r="E558" s="797"/>
      <c r="F558" s="797"/>
      <c r="G558" s="797" t="s">
        <v>3102</v>
      </c>
      <c r="H558" s="797" t="s">
        <v>282</v>
      </c>
      <c r="I558" s="900"/>
      <c r="J558" s="792" t="str">
        <f>IF(ISBLANK(HLOOKUP(CaseName,CaseData,MATCH($G558,cases!$G$4:$G$2494,0),FALSE)),"",HLOOKUP(CaseName,CaseData,MATCH($G558,cases!$G$4:$G$2494,0),FALSE))</f>
        <v/>
      </c>
      <c r="K558" s="798">
        <f>(L560)/L559</f>
        <v>2019.7574509045692</v>
      </c>
      <c r="L558" s="794">
        <f>IF(ISBLANK(I558),IF(ISNUMBER(J558)=FALSE,K558,J558),I558)</f>
        <v>2019.7574509045692</v>
      </c>
      <c r="M558" s="797" t="s">
        <v>282</v>
      </c>
      <c r="N558" s="797"/>
      <c r="O558" s="799"/>
      <c r="P558" s="797"/>
    </row>
    <row r="559" spans="1:16" ht="12.75" customHeight="1" x14ac:dyDescent="0.3">
      <c r="A559" s="797"/>
      <c r="B559" s="797"/>
      <c r="C559" s="797" t="s">
        <v>1566</v>
      </c>
      <c r="D559" s="797"/>
      <c r="E559" s="797"/>
      <c r="F559" s="797"/>
      <c r="G559" s="797" t="s">
        <v>3103</v>
      </c>
      <c r="H559" s="797" t="s">
        <v>857</v>
      </c>
      <c r="I559" s="900"/>
      <c r="J559" s="792" t="str">
        <f>IF(ISBLANK(HLOOKUP(CaseName,CaseData,MATCH($G559,cases!$G$4:$G$2494,0),FALSE)),"",HLOOKUP(CaseName,CaseData,MATCH($G559,cases!$G$4:$G$2494,0),FALSE))</f>
        <v/>
      </c>
      <c r="K559" s="798">
        <f>((L470*(SingleVolS+(((4/3)*PI()*(RadNuc)^3))))+(L475*(SingleVolS+(((4/3)*PI()*(RadAcc)^3)))))/(L470+L475)</f>
        <v>3.9493067684749707E-22</v>
      </c>
      <c r="L559" s="794">
        <f>IF(ISBLANK(I559),IF(ISNUMBER(J559)=FALSE,K559,J559),I559)</f>
        <v>3.9493067684749707E-22</v>
      </c>
      <c r="M559" s="797" t="s">
        <v>857</v>
      </c>
      <c r="N559" s="797"/>
      <c r="O559" s="799"/>
      <c r="P559" s="797"/>
    </row>
    <row r="560" spans="1:16" ht="12.75" customHeight="1" x14ac:dyDescent="0.3">
      <c r="A560" s="797"/>
      <c r="B560" s="797"/>
      <c r="C560" s="797" t="s">
        <v>1568</v>
      </c>
      <c r="D560" s="797"/>
      <c r="E560" s="797"/>
      <c r="F560" s="797"/>
      <c r="G560" s="797" t="s">
        <v>3104</v>
      </c>
      <c r="H560" s="797" t="s">
        <v>888</v>
      </c>
      <c r="I560" s="900"/>
      <c r="J560" s="792" t="str">
        <f>IF(ISBLANK(HLOOKUP(CaseName,CaseData,MATCH($G560,cases!$G$4:$G$2494,0),FALSE)),"",HLOOKUP(CaseName,CaseData,MATCH($G560,cases!$G$4:$G$2494,0),FALSE))</f>
        <v/>
      </c>
      <c r="K560" s="798">
        <f>((L470*(RhoNuc*(4/3*PI()*(RadNuc)^3)+RhoS*SingleVolS))+(L475*(RhoAcc*(4/3*PI()*(RadAcc)^3)+RhoS*SingleVolS)))/(L470+L475)</f>
        <v>7.976641771535168E-19</v>
      </c>
      <c r="L560" s="794">
        <f>IF(ISBLANK(I560),IF(ISNUMBER(J560)=FALSE,K560,J560),I560)</f>
        <v>7.976641771535168E-19</v>
      </c>
      <c r="M560" s="797" t="s">
        <v>888</v>
      </c>
      <c r="N560" s="797"/>
      <c r="O560" s="799"/>
      <c r="P560" s="797"/>
    </row>
    <row r="561" spans="1:17" ht="12.75" customHeight="1" x14ac:dyDescent="0.3">
      <c r="A561" s="778" t="s">
        <v>3105</v>
      </c>
      <c r="H561" s="778"/>
      <c r="I561" s="778"/>
      <c r="J561" s="792" t="str">
        <f>IF(ISBLANK(HLOOKUP(CaseName,CaseData,MATCH($G561,cases!$G$4:$G$2494,0),FALSE)),"",HLOOKUP(CaseName,CaseData,MATCH($G561,cases!$G$4:$G$2494,0),FALSE))</f>
        <v/>
      </c>
      <c r="K561" s="919"/>
      <c r="O561" s="782"/>
    </row>
    <row r="562" spans="1:17" ht="12.75" customHeight="1" x14ac:dyDescent="0.3">
      <c r="A562" s="797" t="s">
        <v>1571</v>
      </c>
      <c r="B562" s="797"/>
      <c r="C562" s="797"/>
      <c r="D562" s="797"/>
      <c r="E562" s="797"/>
      <c r="F562" s="797"/>
      <c r="G562" s="796" t="s">
        <v>3106</v>
      </c>
      <c r="H562" s="796" t="s">
        <v>335</v>
      </c>
      <c r="I562" s="900"/>
      <c r="J562" s="792" t="str">
        <f>IF(ISBLANK(HLOOKUP(CaseName,CaseData,MATCH($G562,cases!$G$4:$G$2494,0),FALSE)),"",HLOOKUP(CaseName,CaseData,MATCH($G562,cases!$G$4:$G$2494,0),FALSE))</f>
        <v/>
      </c>
      <c r="K562" s="798">
        <f>(3/2)*(L570*L551)/(2*L549)</f>
        <v>8.4663808498073567E-7</v>
      </c>
      <c r="L562" s="794">
        <f t="shared" ref="L562:L593" si="37">IF(ISBLANK(I562),IF(ISNUMBER(J562)=FALSE,K562,J562),I562)</f>
        <v>8.4663808498073567E-7</v>
      </c>
      <c r="M562" s="796" t="s">
        <v>335</v>
      </c>
      <c r="N562" s="797"/>
      <c r="O562" s="799" t="s">
        <v>2280</v>
      </c>
      <c r="P562" s="797" t="s">
        <v>1573</v>
      </c>
    </row>
    <row r="563" spans="1:17" ht="12.75" customHeight="1" x14ac:dyDescent="0.3">
      <c r="A563" s="797"/>
      <c r="B563" s="797" t="s">
        <v>1574</v>
      </c>
      <c r="C563" s="797"/>
      <c r="D563" s="797"/>
      <c r="E563" s="797"/>
      <c r="F563" s="797"/>
      <c r="G563" s="796" t="s">
        <v>3107</v>
      </c>
      <c r="H563" s="796" t="s">
        <v>1576</v>
      </c>
      <c r="I563" s="900"/>
      <c r="J563" s="792" t="str">
        <f>IF(ISBLANK(HLOOKUP(CaseName,CaseData,MATCH($G563,cases!$G$4:$G$2494,0),FALSE)),"",HLOOKUP(CaseName,CaseData,MATCH($G563,cases!$G$4:$G$2494,0),FALSE))</f>
        <v/>
      </c>
      <c r="K563" s="798">
        <f>((RhoS-Rho.a)*(2*RadS)^2*CunninghamS)/(18*DYNVISC.a)</f>
        <v>6.075883051773531E-8</v>
      </c>
      <c r="L563" s="794">
        <f t="shared" si="37"/>
        <v>6.075883051773531E-8</v>
      </c>
      <c r="M563" s="796" t="s">
        <v>1576</v>
      </c>
      <c r="N563" s="797"/>
      <c r="O563" s="799"/>
      <c r="P563" s="797"/>
    </row>
    <row r="564" spans="1:17" ht="12.75" customHeight="1" x14ac:dyDescent="0.3">
      <c r="A564" s="797"/>
      <c r="B564" s="797" t="s">
        <v>1577</v>
      </c>
      <c r="C564" s="797"/>
      <c r="D564" s="797"/>
      <c r="E564" s="797"/>
      <c r="F564" s="797"/>
      <c r="G564" s="796" t="s">
        <v>3108</v>
      </c>
      <c r="H564" s="796" t="s">
        <v>291</v>
      </c>
      <c r="I564" s="900"/>
      <c r="J564" s="792" t="str">
        <f>IF(ISBLANK(HLOOKUP(CaseName,CaseData,MATCH($G564,cases!$G$4:$G$2494,0),FALSE)),"",HLOOKUP(CaseName,CaseData,MATCH($G564,cases!$G$4:$G$2494,0),FALSE))</f>
        <v/>
      </c>
      <c r="K564" s="798">
        <f>(2*L563*(L552-L565))/(2*L549)</f>
        <v>2.1201844431623113E-3</v>
      </c>
      <c r="L564" s="794">
        <f t="shared" si="37"/>
        <v>2.1201844431623113E-3</v>
      </c>
      <c r="M564" s="796" t="s">
        <v>291</v>
      </c>
      <c r="N564" s="797"/>
      <c r="O564" s="799" t="s">
        <v>1579</v>
      </c>
      <c r="P564" s="797"/>
      <c r="Q564" s="778">
        <f>(L552-L565)</f>
        <v>10.142696842228641</v>
      </c>
    </row>
    <row r="565" spans="1:17" ht="12.75" customHeight="1" x14ac:dyDescent="0.3">
      <c r="A565" s="797"/>
      <c r="B565" s="797" t="s">
        <v>1580</v>
      </c>
      <c r="C565" s="797"/>
      <c r="D565" s="797"/>
      <c r="E565" s="797"/>
      <c r="F565" s="797"/>
      <c r="G565" s="796" t="s">
        <v>3109</v>
      </c>
      <c r="H565" s="796" t="s">
        <v>866</v>
      </c>
      <c r="I565" s="900"/>
      <c r="J565" s="792" t="str">
        <f>IF(ISBLANK(HLOOKUP(CaseName,CaseData,MATCH($G565,cases!$G$4:$G$2494,0),FALSE)),"",HLOOKUP(CaseName,CaseData,MATCH($G565,cases!$G$4:$G$2494,0),FALSE))</f>
        <v/>
      </c>
      <c r="K565" s="798">
        <f>((2*RadS)^2*(RhoS-Rho.a)*9.81*CunninghamS)/(18*DYNVISC.a)</f>
        <v>5.9604412737898326E-7</v>
      </c>
      <c r="L565" s="794">
        <f t="shared" si="37"/>
        <v>5.9604412737898326E-7</v>
      </c>
      <c r="M565" s="796" t="s">
        <v>866</v>
      </c>
      <c r="N565" s="797"/>
      <c r="O565" s="799"/>
      <c r="P565" s="797"/>
    </row>
    <row r="566" spans="1:17" ht="12.75" customHeight="1" x14ac:dyDescent="0.3">
      <c r="A566" s="797"/>
      <c r="B566" s="797" t="s">
        <v>1582</v>
      </c>
      <c r="C566" s="797"/>
      <c r="D566" s="797"/>
      <c r="E566" s="797"/>
      <c r="F566" s="797"/>
      <c r="G566" s="796" t="s">
        <v>3110</v>
      </c>
      <c r="H566" s="796" t="s">
        <v>291</v>
      </c>
      <c r="I566" s="900"/>
      <c r="J566" s="792" t="str">
        <f>IF(ISBLANK(HLOOKUP(CaseName,CaseData,MATCH($G566,cases!$G$4:$G$2494,0),FALSE)),"",HLOOKUP(CaseName,CaseData,MATCH($G566,cases!$G$4:$G$2494,0),FALSE))</f>
        <v/>
      </c>
      <c r="K566" s="798">
        <f>DYNVISC.a/(Rho.a*DiffS.aA)</f>
        <v>1186.307564018289</v>
      </c>
      <c r="L566" s="794">
        <f t="shared" si="37"/>
        <v>1186.307564018289</v>
      </c>
      <c r="M566" s="796" t="s">
        <v>291</v>
      </c>
      <c r="N566" s="797"/>
      <c r="O566" s="799"/>
      <c r="P566" s="797"/>
    </row>
    <row r="567" spans="1:17" ht="12.75" customHeight="1" x14ac:dyDescent="0.3">
      <c r="A567" s="797"/>
      <c r="B567" s="797"/>
      <c r="C567" s="797" t="s">
        <v>1584</v>
      </c>
      <c r="D567" s="797"/>
      <c r="E567" s="797"/>
      <c r="F567" s="797"/>
      <c r="G567" s="796" t="s">
        <v>3111</v>
      </c>
      <c r="H567" s="796" t="s">
        <v>291</v>
      </c>
      <c r="I567" s="900"/>
      <c r="J567" s="792" t="str">
        <f>IF(ISBLANK(HLOOKUP(CaseName,CaseData,MATCH($G567,cases!$G$4:$G$2494,0),FALSE)),"",HLOOKUP(CaseName,CaseData,MATCH($G567,cases!$G$4:$G$2494,0),FALSE))</f>
        <v/>
      </c>
      <c r="K567" s="798">
        <f>(4/(L555*L566))*(1+0.4*(L555^0.5*L566^(1/3))+0.16*(L555^0.5*L566^0.5))</f>
        <v>2.343146137321827E-3</v>
      </c>
      <c r="L567" s="794">
        <f t="shared" si="37"/>
        <v>2.343146137321827E-3</v>
      </c>
      <c r="M567" s="796" t="s">
        <v>291</v>
      </c>
      <c r="N567" s="797"/>
      <c r="O567" s="799"/>
      <c r="P567" s="797"/>
    </row>
    <row r="568" spans="1:17" ht="12.75" customHeight="1" x14ac:dyDescent="0.3">
      <c r="A568" s="797"/>
      <c r="B568" s="797"/>
      <c r="C568" s="797" t="s">
        <v>1586</v>
      </c>
      <c r="D568" s="797"/>
      <c r="E568" s="797"/>
      <c r="F568" s="797"/>
      <c r="G568" s="796" t="s">
        <v>3112</v>
      </c>
      <c r="H568" s="796" t="s">
        <v>291</v>
      </c>
      <c r="I568" s="900"/>
      <c r="J568" s="792" t="str">
        <f>IF(ISBLANK(HLOOKUP(CaseName,CaseData,MATCH($G568,cases!$G$4:$G$2494,0),FALSE)),"",HLOOKUP(CaseName,CaseData,MATCH($G568,cases!$G$4:$G$2494,0),FALSE))</f>
        <v/>
      </c>
      <c r="K568" s="798">
        <f>4*(RadS/L549)*((DYNVISC.a/DYNVISC.w)+(1+2*L555^0.5*(RadS/L549)))</f>
        <v>1.4023623132451072E-4</v>
      </c>
      <c r="L568" s="794">
        <f t="shared" si="37"/>
        <v>1.4023623132451072E-4</v>
      </c>
      <c r="M568" s="796" t="s">
        <v>291</v>
      </c>
      <c r="N568" s="797"/>
      <c r="O568" s="799"/>
      <c r="P568" s="797"/>
    </row>
    <row r="569" spans="1:17" ht="12.75" customHeight="1" x14ac:dyDescent="0.3">
      <c r="A569" s="797"/>
      <c r="B569" s="797"/>
      <c r="C569" s="797" t="s">
        <v>1588</v>
      </c>
      <c r="D569" s="797"/>
      <c r="E569" s="797"/>
      <c r="F569" s="797"/>
      <c r="G569" s="796" t="s">
        <v>3113</v>
      </c>
      <c r="H569" s="796" t="s">
        <v>291</v>
      </c>
      <c r="I569" s="900"/>
      <c r="J569" s="792" t="str">
        <f>IF(ISBLANK(HLOOKUP(CaseName,CaseData,MATCH($G569,cases!$G$4:$G$2494,0),FALSE)),"",HLOOKUP(CaseName,CaseData,MATCH($G569,cases!$G$4:$G$2494,0),FALSE))</f>
        <v/>
      </c>
      <c r="K569" s="798">
        <f>IF(L564&gt;L554,((L564-L554)/(L564-L554+2/3))^(3/2),0)</f>
        <v>0</v>
      </c>
      <c r="L569" s="794">
        <f t="shared" si="37"/>
        <v>0</v>
      </c>
      <c r="M569" s="796" t="s">
        <v>291</v>
      </c>
      <c r="N569" s="797"/>
      <c r="O569" s="799"/>
      <c r="P569" s="797"/>
    </row>
    <row r="570" spans="1:17" ht="12.75" customHeight="1" x14ac:dyDescent="0.3">
      <c r="A570" s="797"/>
      <c r="B570" s="797"/>
      <c r="C570" s="797" t="s">
        <v>1590</v>
      </c>
      <c r="D570" s="797"/>
      <c r="E570" s="797"/>
      <c r="F570" s="797"/>
      <c r="G570" s="796" t="s">
        <v>3114</v>
      </c>
      <c r="H570" s="796" t="s">
        <v>291</v>
      </c>
      <c r="I570" s="900"/>
      <c r="J570" s="792" t="str">
        <f>IF(ISBLANK(HLOOKUP(CaseName,CaseData,MATCH($G570,cases!$G$4:$G$2494,0),FALSE)),"",HLOOKUP(CaseName,CaseData,MATCH($G570,cases!$G$4:$G$2494,0),FALSE))</f>
        <v/>
      </c>
      <c r="K570" s="798">
        <f>L567+L568+L569</f>
        <v>2.4833823686463375E-3</v>
      </c>
      <c r="L570" s="794">
        <f t="shared" si="37"/>
        <v>2.4833823686463375E-3</v>
      </c>
      <c r="M570" s="796" t="s">
        <v>291</v>
      </c>
      <c r="N570" s="797"/>
      <c r="O570" s="799"/>
      <c r="P570" s="797"/>
    </row>
    <row r="571" spans="1:17" ht="12.75" customHeight="1" x14ac:dyDescent="0.3">
      <c r="A571" s="797" t="s">
        <v>1592</v>
      </c>
      <c r="B571" s="797"/>
      <c r="C571" s="797"/>
      <c r="D571" s="797"/>
      <c r="E571" s="797"/>
      <c r="F571" s="797"/>
      <c r="G571" s="796" t="s">
        <v>3115</v>
      </c>
      <c r="H571" s="796" t="s">
        <v>335</v>
      </c>
      <c r="I571" s="900"/>
      <c r="J571" s="792" t="str">
        <f>IF(ISBLANK(HLOOKUP(CaseName,CaseData,MATCH($G571,cases!$G$4:$G$2494,0),FALSE)),"",HLOOKUP(CaseName,CaseData,MATCH($G571,cases!$G$4:$G$2494,0),FALSE))</f>
        <v/>
      </c>
      <c r="K571" s="798">
        <f>((3/2)*(L581*L551)/(2*L549))</f>
        <v>3.7753418314669891E-7</v>
      </c>
      <c r="L571" s="794">
        <f t="shared" si="37"/>
        <v>3.7753418314669891E-7</v>
      </c>
      <c r="M571" s="796" t="s">
        <v>335</v>
      </c>
      <c r="N571" s="797"/>
      <c r="O571" s="799"/>
      <c r="P571" s="797"/>
    </row>
    <row r="572" spans="1:17" ht="12.75" customHeight="1" x14ac:dyDescent="0.3">
      <c r="A572" s="797"/>
      <c r="B572" s="797" t="s">
        <v>1594</v>
      </c>
      <c r="C572" s="797"/>
      <c r="D572" s="797"/>
      <c r="E572" s="797"/>
      <c r="F572" s="797"/>
      <c r="G572" s="796" t="s">
        <v>3116</v>
      </c>
      <c r="H572" s="796" t="s">
        <v>291</v>
      </c>
      <c r="I572" s="900"/>
      <c r="J572" s="792" t="str">
        <f>IF(ISBLANK(HLOOKUP(CaseName,CaseData,MATCH($G572,cases!$G$4:$G$2494,0),FALSE)),"",HLOOKUP(CaseName,CaseData,MATCH($G572,cases!$G$4:$G$2494,0),FALSE))</f>
        <v/>
      </c>
      <c r="K572" s="798">
        <f>1+(66*10^-9/L557)*(1.142+0.558*EXP(-0.999/(66*10^-9/L557)))</f>
        <v>3.0623169806934145</v>
      </c>
      <c r="L572" s="794">
        <f t="shared" si="37"/>
        <v>3.0623169806934145</v>
      </c>
      <c r="M572" s="796" t="s">
        <v>291</v>
      </c>
      <c r="N572" s="797"/>
      <c r="O572" s="799"/>
      <c r="P572" s="797"/>
    </row>
    <row r="573" spans="1:17" ht="12.75" customHeight="1" x14ac:dyDescent="0.3">
      <c r="A573" s="797"/>
      <c r="B573" s="797" t="s">
        <v>1596</v>
      </c>
      <c r="C573" s="797"/>
      <c r="D573" s="797"/>
      <c r="E573" s="797"/>
      <c r="F573" s="797"/>
      <c r="G573" s="796" t="s">
        <v>3117</v>
      </c>
      <c r="H573" s="796"/>
      <c r="I573" s="900"/>
      <c r="J573" s="792" t="str">
        <f>IF(ISBLANK(HLOOKUP(CaseName,CaseData,MATCH($G573,cases!$G$4:$G$2494,0),FALSE)),"",HLOOKUP(CaseName,CaseData,MATCH($G573,cases!$G$4:$G$2494,0),FALSE))</f>
        <v/>
      </c>
      <c r="K573" s="798">
        <f>(kboltz*L374*L572)/(6*PI()*DYNVISC.a*L557)</f>
        <v>7.1608623590816556E-10</v>
      </c>
      <c r="L573" s="794">
        <f t="shared" si="37"/>
        <v>7.1608623590816556E-10</v>
      </c>
      <c r="M573" s="796"/>
      <c r="N573" s="797"/>
      <c r="O573" s="799">
        <f>(kboltz*L374*L572)/(6*PI()*DYNVISC.a*L557)</f>
        <v>7.1608623590816556E-10</v>
      </c>
      <c r="P573" s="797"/>
    </row>
    <row r="574" spans="1:17" ht="12.75" customHeight="1" x14ac:dyDescent="0.3">
      <c r="A574" s="797"/>
      <c r="B574" s="797" t="s">
        <v>1574</v>
      </c>
      <c r="C574" s="797"/>
      <c r="D574" s="797"/>
      <c r="E574" s="797"/>
      <c r="F574" s="797"/>
      <c r="G574" s="796" t="s">
        <v>3118</v>
      </c>
      <c r="H574" s="796" t="s">
        <v>1576</v>
      </c>
      <c r="I574" s="900"/>
      <c r="J574" s="792" t="str">
        <f>IF(ISBLANK(HLOOKUP(CaseName,CaseData,MATCH($G574,cases!$G$4:$G$2494,0),FALSE)),"",HLOOKUP(CaseName,CaseData,MATCH($G574,cases!$G$4:$G$2494,0),FALSE))</f>
        <v/>
      </c>
      <c r="K574" s="798">
        <f>((L558-Rho.a)*(2*L557)^2*L572)/(18*DYNVISC.a)</f>
        <v>1.5721101191739341E-7</v>
      </c>
      <c r="L574" s="794">
        <f t="shared" si="37"/>
        <v>1.5721101191739341E-7</v>
      </c>
      <c r="M574" s="796" t="s">
        <v>1576</v>
      </c>
      <c r="N574" s="797"/>
      <c r="O574" s="799">
        <f>L572</f>
        <v>3.0623169806934145</v>
      </c>
      <c r="P574" s="797"/>
    </row>
    <row r="575" spans="1:17" ht="12.75" customHeight="1" x14ac:dyDescent="0.3">
      <c r="A575" s="797"/>
      <c r="B575" s="797" t="s">
        <v>1599</v>
      </c>
      <c r="C575" s="797"/>
      <c r="D575" s="797"/>
      <c r="E575" s="797"/>
      <c r="F575" s="797"/>
      <c r="G575" s="796" t="s">
        <v>3119</v>
      </c>
      <c r="H575" s="796" t="s">
        <v>291</v>
      </c>
      <c r="I575" s="900"/>
      <c r="J575" s="792" t="str">
        <f>IF(ISBLANK(HLOOKUP(CaseName,CaseData,MATCH($G575,cases!$G$4:$G$2494,0),FALSE)),"",HLOOKUP(CaseName,CaseData,MATCH($G575,cases!$G$4:$G$2494,0),FALSE))</f>
        <v/>
      </c>
      <c r="K575" s="798">
        <f>(2*L574*(L552-L576))/(2*L549)</f>
        <v>5.4858908215690899E-3</v>
      </c>
      <c r="L575" s="794">
        <f t="shared" si="37"/>
        <v>5.4858908215690899E-3</v>
      </c>
      <c r="M575" s="796" t="s">
        <v>291</v>
      </c>
      <c r="N575" s="797"/>
      <c r="O575" s="799">
        <f>L557</f>
        <v>4.5513903748867723E-8</v>
      </c>
      <c r="P575" s="797"/>
    </row>
    <row r="576" spans="1:17" ht="12.75" customHeight="1" x14ac:dyDescent="0.3">
      <c r="A576" s="797"/>
      <c r="B576" s="797" t="s">
        <v>1580</v>
      </c>
      <c r="C576" s="797"/>
      <c r="D576" s="797"/>
      <c r="E576" s="797"/>
      <c r="F576" s="797"/>
      <c r="G576" s="796" t="s">
        <v>3120</v>
      </c>
      <c r="H576" s="796" t="s">
        <v>866</v>
      </c>
      <c r="I576" s="900"/>
      <c r="J576" s="792" t="str">
        <f>IF(ISBLANK(HLOOKUP(CaseName,CaseData,MATCH($G576,cases!$G$4:$G$2494,0),FALSE)),"",HLOOKUP(CaseName,CaseData,MATCH($G576,cases!$G$4:$G$2494,0),FALSE))</f>
        <v/>
      </c>
      <c r="K576" s="798">
        <f>((2*L557)^2*(L558-Rho.a)*9.81*L572)/(18*DYNVISC.a)</f>
        <v>1.5422400269096293E-6</v>
      </c>
      <c r="L576" s="794">
        <f t="shared" si="37"/>
        <v>1.5422400269096293E-6</v>
      </c>
      <c r="M576" s="796" t="s">
        <v>866</v>
      </c>
      <c r="N576" s="797"/>
      <c r="O576" s="799"/>
      <c r="P576" s="797"/>
    </row>
    <row r="577" spans="1:16" ht="12.75" customHeight="1" x14ac:dyDescent="0.3">
      <c r="A577" s="797"/>
      <c r="B577" s="797" t="s">
        <v>1582</v>
      </c>
      <c r="C577" s="797"/>
      <c r="D577" s="797"/>
      <c r="E577" s="797"/>
      <c r="F577" s="797"/>
      <c r="G577" s="796" t="s">
        <v>3121</v>
      </c>
      <c r="H577" s="796" t="s">
        <v>291</v>
      </c>
      <c r="I577" s="900"/>
      <c r="J577" s="792" t="str">
        <f>IF(ISBLANK(HLOOKUP(CaseName,CaseData,MATCH($G577,cases!$G$4:$G$2494,0),FALSE)),"",HLOOKUP(CaseName,CaseData,MATCH($G577,cases!$G$4:$G$2494,0),FALSE))</f>
        <v/>
      </c>
      <c r="K577" s="798">
        <f>DYNVISC.a/(Rho.a*L573)</f>
        <v>20633.702287745855</v>
      </c>
      <c r="L577" s="794">
        <f t="shared" si="37"/>
        <v>20633.702287745855</v>
      </c>
      <c r="M577" s="796" t="s">
        <v>291</v>
      </c>
      <c r="N577" s="797"/>
      <c r="O577" s="799"/>
      <c r="P577" s="797"/>
    </row>
    <row r="578" spans="1:16" ht="12.75" customHeight="1" x14ac:dyDescent="0.3">
      <c r="A578" s="797"/>
      <c r="B578" s="797"/>
      <c r="C578" s="797" t="s">
        <v>1584</v>
      </c>
      <c r="D578" s="797"/>
      <c r="E578" s="797"/>
      <c r="F578" s="797"/>
      <c r="G578" s="796" t="s">
        <v>3122</v>
      </c>
      <c r="H578" s="796" t="s">
        <v>291</v>
      </c>
      <c r="I578" s="900"/>
      <c r="J578" s="792" t="str">
        <f>IF(ISBLANK(HLOOKUP(CaseName,CaseData,MATCH($G578,cases!$G$4:$G$2494,0),FALSE)),"",HLOOKUP(CaseName,CaseData,MATCH($G578,cases!$G$4:$G$2494,0),FALSE))</f>
        <v/>
      </c>
      <c r="K578" s="798">
        <f>(4/(L555*L577))*(1+0.4*(L555^0.5*L577^(1/3))+0.16*(L555^0.5*L577^0.5))</f>
        <v>4.6696193612354018E-4</v>
      </c>
      <c r="L578" s="794">
        <f t="shared" si="37"/>
        <v>4.6696193612354018E-4</v>
      </c>
      <c r="M578" s="796" t="s">
        <v>291</v>
      </c>
      <c r="N578" s="797"/>
      <c r="O578" s="799"/>
      <c r="P578" s="797"/>
    </row>
    <row r="579" spans="1:16" ht="12.75" customHeight="1" x14ac:dyDescent="0.3">
      <c r="A579" s="797"/>
      <c r="B579" s="797"/>
      <c r="C579" s="797" t="s">
        <v>1586</v>
      </c>
      <c r="D579" s="797"/>
      <c r="E579" s="797"/>
      <c r="F579" s="797"/>
      <c r="G579" s="796" t="s">
        <v>3123</v>
      </c>
      <c r="H579" s="796" t="s">
        <v>291</v>
      </c>
      <c r="I579" s="900"/>
      <c r="J579" s="792" t="str">
        <f>IF(ISBLANK(HLOOKUP(CaseName,CaseData,MATCH($G579,cases!$G$4:$G$2494,0),FALSE)),"",HLOOKUP(CaseName,CaseData,MATCH($G579,cases!$G$4:$G$2494,0),FALSE))</f>
        <v/>
      </c>
      <c r="K579" s="798">
        <f>4*(L557/L549)*((DYNVISC.a/DYNVISC.w)+(1+2*L555^0.5*(L557/L549)))</f>
        <v>6.4043182588651934E-4</v>
      </c>
      <c r="L579" s="794">
        <f t="shared" si="37"/>
        <v>6.4043182588651934E-4</v>
      </c>
      <c r="M579" s="796" t="s">
        <v>291</v>
      </c>
      <c r="N579" s="797"/>
      <c r="O579" s="799"/>
      <c r="P579" s="797"/>
    </row>
    <row r="580" spans="1:16" ht="12.75" customHeight="1" x14ac:dyDescent="0.3">
      <c r="A580" s="797"/>
      <c r="B580" s="797"/>
      <c r="C580" s="797" t="s">
        <v>1588</v>
      </c>
      <c r="D580" s="797"/>
      <c r="E580" s="797"/>
      <c r="F580" s="797"/>
      <c r="G580" s="796" t="s">
        <v>3124</v>
      </c>
      <c r="H580" s="796" t="s">
        <v>291</v>
      </c>
      <c r="I580" s="900"/>
      <c r="J580" s="792" t="str">
        <f>IF(ISBLANK(HLOOKUP(CaseName,CaseData,MATCH($G580,cases!$G$4:$G$2494,0),FALSE)),"",HLOOKUP(CaseName,CaseData,MATCH($G580,cases!$G$4:$G$2494,0),FALSE))</f>
        <v/>
      </c>
      <c r="K580" s="798">
        <f>IF(L575&gt;L554,((L575-L554)/(L575-L554+2/3))^(3/2),0)</f>
        <v>0</v>
      </c>
      <c r="L580" s="794">
        <f t="shared" si="37"/>
        <v>0</v>
      </c>
      <c r="M580" s="796" t="s">
        <v>291</v>
      </c>
      <c r="N580" s="797"/>
      <c r="O580" s="799"/>
      <c r="P580" s="797"/>
    </row>
    <row r="581" spans="1:16" ht="12.75" customHeight="1" x14ac:dyDescent="0.3">
      <c r="A581" s="797"/>
      <c r="B581" s="797"/>
      <c r="C581" s="797" t="s">
        <v>1590</v>
      </c>
      <c r="D581" s="797"/>
      <c r="E581" s="797"/>
      <c r="F581" s="797"/>
      <c r="G581" s="796" t="s">
        <v>3125</v>
      </c>
      <c r="H581" s="796" t="s">
        <v>291</v>
      </c>
      <c r="I581" s="900"/>
      <c r="J581" s="792" t="str">
        <f>IF(ISBLANK(HLOOKUP(CaseName,CaseData,MATCH($G581,cases!$G$4:$G$2494,0),FALSE)),"",HLOOKUP(CaseName,CaseData,MATCH($G581,cases!$G$4:$G$2494,0),FALSE))</f>
        <v/>
      </c>
      <c r="K581" s="798">
        <f>L578+L579+L580</f>
        <v>1.1073937620100596E-3</v>
      </c>
      <c r="L581" s="794">
        <f t="shared" si="37"/>
        <v>1.1073937620100596E-3</v>
      </c>
      <c r="M581" s="796" t="s">
        <v>291</v>
      </c>
      <c r="N581" s="797"/>
      <c r="O581" s="799"/>
      <c r="P581" s="797"/>
    </row>
    <row r="582" spans="1:16" ht="12.75" customHeight="1" x14ac:dyDescent="0.3">
      <c r="A582" s="797" t="s">
        <v>1607</v>
      </c>
      <c r="B582" s="797"/>
      <c r="C582" s="797"/>
      <c r="D582" s="797"/>
      <c r="E582" s="797"/>
      <c r="F582" s="797"/>
      <c r="G582" s="796" t="s">
        <v>3126</v>
      </c>
      <c r="H582" s="796" t="s">
        <v>335</v>
      </c>
      <c r="I582" s="900"/>
      <c r="J582" s="792" t="str">
        <f>IF(ISBLANK(HLOOKUP(CaseName,CaseData,MATCH($G582,cases!$G$4:$G$2494,0),FALSE)),"",HLOOKUP(CaseName,CaseData,MATCH($G582,cases!$G$4:$G$2494,0),FALSE))</f>
        <v/>
      </c>
      <c r="K582" s="798">
        <f>((L408+L409)/L409*L414*L415)/L343</f>
        <v>2.6424826653137157E-5</v>
      </c>
      <c r="L582" s="794">
        <f t="shared" si="37"/>
        <v>2.6424826653137157E-5</v>
      </c>
      <c r="M582" s="797" t="s">
        <v>335</v>
      </c>
      <c r="N582" s="797" t="s">
        <v>1609</v>
      </c>
      <c r="O582" s="799"/>
      <c r="P582" s="797"/>
    </row>
    <row r="583" spans="1:16" ht="12.75" customHeight="1" x14ac:dyDescent="0.3">
      <c r="A583" s="797" t="s">
        <v>2784</v>
      </c>
      <c r="B583" s="797"/>
      <c r="C583" s="797"/>
      <c r="D583" s="797"/>
      <c r="E583" s="797"/>
      <c r="F583" s="797"/>
      <c r="G583" s="796" t="s">
        <v>3127</v>
      </c>
      <c r="H583" s="796" t="s">
        <v>335</v>
      </c>
      <c r="I583" s="900"/>
      <c r="J583" s="792" t="str">
        <f>IF(ISBLANK(HLOOKUP(CaseName,CaseData,MATCH($G583,cases!$G$4:$G$2494,0),FALSE)),"",HLOOKUP(CaseName,CaseData,MATCH($G583,cases!$G$4:$G$2494,0),FALSE))</f>
        <v/>
      </c>
      <c r="K583" s="798">
        <f>(L584*L342*L340)/(L334)</f>
        <v>6.0377694966806459E-7</v>
      </c>
      <c r="L583" s="794">
        <f t="shared" si="37"/>
        <v>6.0377694966806459E-7</v>
      </c>
      <c r="M583" s="796" t="s">
        <v>335</v>
      </c>
      <c r="N583" s="797"/>
      <c r="O583" s="799"/>
      <c r="P583" s="797"/>
    </row>
    <row r="584" spans="1:16" ht="12.75" customHeight="1" x14ac:dyDescent="0.3">
      <c r="A584" s="797"/>
      <c r="B584" s="797" t="s">
        <v>1612</v>
      </c>
      <c r="C584" s="797"/>
      <c r="D584" s="797"/>
      <c r="E584" s="797"/>
      <c r="F584" s="797"/>
      <c r="G584" s="796" t="s">
        <v>3128</v>
      </c>
      <c r="H584" s="796" t="s">
        <v>866</v>
      </c>
      <c r="I584" s="900"/>
      <c r="J584" s="792" t="str">
        <f>IF(ISBLANK(HLOOKUP(CaseName,CaseData,MATCH($G584,cases!$G$4:$G$2494,0),FALSE)),"",HLOOKUP(CaseName,CaseData,MATCH($G584,cases!$G$4:$G$2494,0),FALSE))</f>
        <v/>
      </c>
      <c r="K584" s="798">
        <f>1/(L585+L586)+L565</f>
        <v>1.5094419213374491E-3</v>
      </c>
      <c r="L584" s="794">
        <f t="shared" si="37"/>
        <v>1.5094419213374491E-3</v>
      </c>
      <c r="M584" s="796" t="s">
        <v>866</v>
      </c>
      <c r="N584" s="797"/>
      <c r="O584" s="799"/>
      <c r="P584" s="797"/>
    </row>
    <row r="585" spans="1:16" ht="12.75" customHeight="1" x14ac:dyDescent="0.3">
      <c r="A585" s="797"/>
      <c r="B585" s="797" t="s">
        <v>1614</v>
      </c>
      <c r="C585" s="797"/>
      <c r="D585" s="797"/>
      <c r="E585" s="797"/>
      <c r="F585" s="797"/>
      <c r="G585" s="796" t="s">
        <v>3129</v>
      </c>
      <c r="H585" s="796" t="s">
        <v>1616</v>
      </c>
      <c r="I585" s="900"/>
      <c r="J585" s="792" t="str">
        <f>IF(ISBLANK(HLOOKUP(CaseName,CaseData,MATCH($G585,cases!$G$4:$G$2494,0),FALSE)),"",HLOOKUP(CaseName,CaseData,MATCH($G585,cases!$G$4:$G$2494,0),FALSE))</f>
        <v/>
      </c>
      <c r="K585" s="798">
        <v>74</v>
      </c>
      <c r="L585" s="794">
        <f t="shared" si="37"/>
        <v>74</v>
      </c>
      <c r="M585" s="796" t="s">
        <v>1616</v>
      </c>
      <c r="N585" s="797"/>
      <c r="O585" s="799" t="s">
        <v>1617</v>
      </c>
      <c r="P585" s="797" t="s">
        <v>1618</v>
      </c>
    </row>
    <row r="586" spans="1:16" ht="12.75" customHeight="1" x14ac:dyDescent="0.3">
      <c r="A586" s="797"/>
      <c r="B586" s="797" t="s">
        <v>1619</v>
      </c>
      <c r="C586" s="797"/>
      <c r="D586" s="797"/>
      <c r="E586" s="797"/>
      <c r="F586" s="797"/>
      <c r="G586" s="796" t="s">
        <v>3130</v>
      </c>
      <c r="H586" s="796" t="s">
        <v>1616</v>
      </c>
      <c r="I586" s="900"/>
      <c r="J586" s="792" t="str">
        <f>IF(ISBLANK(HLOOKUP(CaseName,CaseData,MATCH($G586,cases!$G$4:$G$2494,0),FALSE)),"",HLOOKUP(CaseName,CaseData,MATCH($G586,cases!$G$4:$G$2494,0),FALSE))</f>
        <v/>
      </c>
      <c r="K586" s="798">
        <f>1/(L587*(L588+L589+L593))</f>
        <v>588.75821480789602</v>
      </c>
      <c r="L586" s="794">
        <f t="shared" si="37"/>
        <v>588.75821480789602</v>
      </c>
      <c r="M586" s="796" t="s">
        <v>1616</v>
      </c>
      <c r="N586" s="797"/>
      <c r="O586" s="799" t="s">
        <v>1621</v>
      </c>
      <c r="P586" s="797"/>
    </row>
    <row r="587" spans="1:16" ht="12.75" customHeight="1" x14ac:dyDescent="0.3">
      <c r="A587" s="797"/>
      <c r="B587" s="797"/>
      <c r="C587" s="797" t="s">
        <v>1622</v>
      </c>
      <c r="D587" s="797"/>
      <c r="E587" s="797"/>
      <c r="F587" s="797"/>
      <c r="G587" s="796" t="s">
        <v>3131</v>
      </c>
      <c r="H587" s="796" t="s">
        <v>866</v>
      </c>
      <c r="I587" s="900"/>
      <c r="J587" s="792" t="str">
        <f>IF(ISBLANK(HLOOKUP(CaseName,CaseData,MATCH($G587,cases!$G$4:$G$2494,0),FALSE)),"",HLOOKUP(CaseName,CaseData,MATCH($G587,cases!$G$4:$G$2494,0),FALSE))</f>
        <v/>
      </c>
      <c r="K587" s="798">
        <v>0.19</v>
      </c>
      <c r="L587" s="794">
        <f t="shared" si="37"/>
        <v>0.19</v>
      </c>
      <c r="M587" s="796" t="s">
        <v>866</v>
      </c>
      <c r="N587" s="797"/>
      <c r="O587" s="799" t="s">
        <v>1624</v>
      </c>
      <c r="P587" s="797" t="s">
        <v>1625</v>
      </c>
    </row>
    <row r="588" spans="1:16" ht="12.75" customHeight="1" x14ac:dyDescent="0.3">
      <c r="A588" s="797"/>
      <c r="B588" s="797"/>
      <c r="C588" s="797" t="s">
        <v>1584</v>
      </c>
      <c r="D588" s="797"/>
      <c r="E588" s="797"/>
      <c r="F588" s="797"/>
      <c r="G588" s="796" t="s">
        <v>3132</v>
      </c>
      <c r="H588" s="796" t="s">
        <v>291</v>
      </c>
      <c r="I588" s="900"/>
      <c r="J588" s="792" t="str">
        <f>IF(ISBLANK(HLOOKUP(CaseName,CaseData,MATCH($G588,cases!$G$4:$G$2494,0),FALSE)),"",HLOOKUP(CaseName,CaseData,MATCH($G588,cases!$G$4:$G$2494,0),FALSE))</f>
        <v/>
      </c>
      <c r="K588" s="798">
        <f>L566^(-2/3)</f>
        <v>8.9234980618915875E-3</v>
      </c>
      <c r="L588" s="794">
        <f t="shared" si="37"/>
        <v>8.9234980618915875E-3</v>
      </c>
      <c r="M588" s="796" t="s">
        <v>291</v>
      </c>
      <c r="N588" s="797"/>
      <c r="O588" s="799" t="s">
        <v>1621</v>
      </c>
      <c r="P588" s="797" t="s">
        <v>1627</v>
      </c>
    </row>
    <row r="589" spans="1:16" ht="12.75" customHeight="1" x14ac:dyDescent="0.3">
      <c r="A589" s="797"/>
      <c r="B589" s="797"/>
      <c r="C589" s="797" t="s">
        <v>1586</v>
      </c>
      <c r="D589" s="797"/>
      <c r="E589" s="797"/>
      <c r="F589" s="797"/>
      <c r="G589" s="796" t="s">
        <v>3133</v>
      </c>
      <c r="H589" s="796" t="s">
        <v>291</v>
      </c>
      <c r="I589" s="900"/>
      <c r="J589" s="792" t="str">
        <f>IF(ISBLANK(HLOOKUP(CaseName,CaseData,MATCH($G589,cases!$G$4:$G$2494,0),FALSE)),"",HLOOKUP(CaseName,CaseData,MATCH($G589,cases!$G$4:$G$2494,0),FALSE))</f>
        <v/>
      </c>
      <c r="K589" s="798">
        <f>0.3*(L592*(RadS/(RadS+L590))+(1-L592)*(RadS/(RadS+L591)))</f>
        <v>8.9368841993789489E-6</v>
      </c>
      <c r="L589" s="794">
        <f t="shared" si="37"/>
        <v>8.9368841993789489E-6</v>
      </c>
      <c r="M589" s="796" t="s">
        <v>291</v>
      </c>
      <c r="N589" s="797"/>
      <c r="O589" s="799" t="s">
        <v>1621</v>
      </c>
      <c r="P589" s="797" t="s">
        <v>1627</v>
      </c>
    </row>
    <row r="590" spans="1:16" ht="12.75" customHeight="1" x14ac:dyDescent="0.3">
      <c r="A590" s="797"/>
      <c r="B590" s="797"/>
      <c r="C590" s="797"/>
      <c r="D590" s="797" t="s">
        <v>1629</v>
      </c>
      <c r="E590" s="797"/>
      <c r="F590" s="797"/>
      <c r="G590" s="796" t="s">
        <v>3134</v>
      </c>
      <c r="H590" s="796" t="s">
        <v>813</v>
      </c>
      <c r="I590" s="900"/>
      <c r="J590" s="792" t="str">
        <f>IF(ISBLANK(HLOOKUP(CaseName,CaseData,MATCH($G590,cases!$G$4:$G$2494,0),FALSE)),"",HLOOKUP(CaseName,CaseData,MATCH($G590,cases!$G$4:$G$2494,0),FALSE))</f>
        <v/>
      </c>
      <c r="K590" s="798">
        <f>1*10^-5</f>
        <v>1.0000000000000001E-5</v>
      </c>
      <c r="L590" s="794">
        <f t="shared" si="37"/>
        <v>1.0000000000000001E-5</v>
      </c>
      <c r="M590" s="796" t="s">
        <v>813</v>
      </c>
      <c r="N590" s="797"/>
      <c r="O590" s="799" t="s">
        <v>1617</v>
      </c>
      <c r="P590" s="797" t="s">
        <v>1627</v>
      </c>
    </row>
    <row r="591" spans="1:16" ht="12.75" customHeight="1" x14ac:dyDescent="0.3">
      <c r="A591" s="797"/>
      <c r="B591" s="797"/>
      <c r="C591" s="797"/>
      <c r="D591" s="797" t="s">
        <v>1631</v>
      </c>
      <c r="E591" s="797"/>
      <c r="F591" s="797"/>
      <c r="G591" s="796" t="s">
        <v>3135</v>
      </c>
      <c r="H591" s="796" t="s">
        <v>813</v>
      </c>
      <c r="I591" s="900"/>
      <c r="J591" s="792" t="str">
        <f>IF(ISBLANK(HLOOKUP(CaseName,CaseData,MATCH($G591,cases!$G$4:$G$2494,0),FALSE)),"",HLOOKUP(CaseName,CaseData,MATCH($G591,cases!$G$4:$G$2494,0),FALSE))</f>
        <v/>
      </c>
      <c r="K591" s="798">
        <f>0.0005</f>
        <v>5.0000000000000001E-4</v>
      </c>
      <c r="L591" s="794">
        <f t="shared" si="37"/>
        <v>5.0000000000000001E-4</v>
      </c>
      <c r="M591" s="796" t="s">
        <v>813</v>
      </c>
      <c r="N591" s="797"/>
      <c r="O591" s="799" t="s">
        <v>1617</v>
      </c>
      <c r="P591" s="797" t="s">
        <v>1627</v>
      </c>
    </row>
    <row r="592" spans="1:16" ht="12.75" customHeight="1" x14ac:dyDescent="0.3">
      <c r="A592" s="797"/>
      <c r="B592" s="797"/>
      <c r="C592" s="797"/>
      <c r="D592" s="797" t="s">
        <v>1633</v>
      </c>
      <c r="E592" s="797"/>
      <c r="F592" s="797"/>
      <c r="G592" s="796" t="s">
        <v>3136</v>
      </c>
      <c r="H592" s="796" t="s">
        <v>291</v>
      </c>
      <c r="I592" s="900"/>
      <c r="J592" s="792" t="str">
        <f>IF(ISBLANK(HLOOKUP(CaseName,CaseData,MATCH($G592,cases!$G$4:$G$2494,0),FALSE)),"",HLOOKUP(CaseName,CaseData,MATCH($G592,cases!$G$4:$G$2494,0),FALSE))</f>
        <v/>
      </c>
      <c r="K592" s="798">
        <v>0.01</v>
      </c>
      <c r="L592" s="794">
        <f t="shared" si="37"/>
        <v>0.01</v>
      </c>
      <c r="M592" s="796" t="s">
        <v>291</v>
      </c>
      <c r="N592" s="797"/>
      <c r="O592" s="799" t="s">
        <v>1617</v>
      </c>
      <c r="P592" s="797" t="s">
        <v>1635</v>
      </c>
    </row>
    <row r="593" spans="1:16" ht="12.75" customHeight="1" x14ac:dyDescent="0.3">
      <c r="A593" s="797"/>
      <c r="B593" s="797"/>
      <c r="C593" s="797" t="s">
        <v>1588</v>
      </c>
      <c r="D593" s="797"/>
      <c r="E593" s="797"/>
      <c r="F593" s="797"/>
      <c r="G593" s="796" t="s">
        <v>3137</v>
      </c>
      <c r="H593" s="796" t="s">
        <v>291</v>
      </c>
      <c r="I593" s="900"/>
      <c r="J593" s="792" t="str">
        <f>IF(ISBLANK(HLOOKUP(CaseName,CaseData,MATCH($G593,cases!$G$4:$G$2494,0),FALSE)),"",HLOOKUP(CaseName,CaseData,MATCH($G593,cases!$G$4:$G$2494,0),FALSE))</f>
        <v/>
      </c>
      <c r="K593" s="798">
        <f>(L564/(L564+0.8))^2</f>
        <v>6.986640500636381E-6</v>
      </c>
      <c r="L593" s="794">
        <f t="shared" si="37"/>
        <v>6.986640500636381E-6</v>
      </c>
      <c r="M593" s="796" t="s">
        <v>291</v>
      </c>
      <c r="N593" s="797"/>
      <c r="O593" s="799" t="s">
        <v>1621</v>
      </c>
      <c r="P593" s="797" t="s">
        <v>1627</v>
      </c>
    </row>
    <row r="594" spans="1:16" ht="12.75" customHeight="1" x14ac:dyDescent="0.3">
      <c r="A594" s="797" t="s">
        <v>2796</v>
      </c>
      <c r="B594" s="797"/>
      <c r="C594" s="797"/>
      <c r="D594" s="797"/>
      <c r="E594" s="797"/>
      <c r="F594" s="797"/>
      <c r="G594" s="796" t="s">
        <v>3138</v>
      </c>
      <c r="H594" s="796" t="s">
        <v>335</v>
      </c>
      <c r="I594" s="900"/>
      <c r="J594" s="792" t="str">
        <f>IF(ISBLANK(HLOOKUP(CaseName,CaseData,MATCH($G594,cases!$G$4:$G$2494,0),FALSE)),"",HLOOKUP(CaseName,CaseData,MATCH($G594,cases!$G$4:$G$2494,0),FALSE))</f>
        <v/>
      </c>
      <c r="K594" s="798">
        <f>(L595*L342*L340)/(L334)</f>
        <v>1.0615315225578244E-7</v>
      </c>
      <c r="L594" s="794">
        <f t="shared" ref="L594:L625" si="38">IF(ISBLANK(I594),IF(ISNUMBER(J594)=FALSE,K594,J594),I594)</f>
        <v>1.0615315225578244E-7</v>
      </c>
      <c r="M594" s="796" t="s">
        <v>335</v>
      </c>
      <c r="N594" s="797"/>
      <c r="O594" s="799"/>
      <c r="P594" s="797"/>
    </row>
    <row r="595" spans="1:16" ht="12.75" customHeight="1" x14ac:dyDescent="0.3">
      <c r="A595" s="797"/>
      <c r="B595" s="797" t="s">
        <v>1612</v>
      </c>
      <c r="C595" s="797"/>
      <c r="D595" s="797"/>
      <c r="E595" s="797"/>
      <c r="F595" s="797"/>
      <c r="G595" s="796" t="s">
        <v>3139</v>
      </c>
      <c r="H595" s="796" t="s">
        <v>866</v>
      </c>
      <c r="I595" s="900"/>
      <c r="J595" s="792" t="str">
        <f>IF(ISBLANK(HLOOKUP(CaseName,CaseData,MATCH($G595,cases!$G$4:$G$2494,0),FALSE)),"",HLOOKUP(CaseName,CaseData,MATCH($G595,cases!$G$4:$G$2494,0),FALSE))</f>
        <v/>
      </c>
      <c r="K595" s="798">
        <f>1/(L585+L596)+L576</f>
        <v>2.6538280102459186E-4</v>
      </c>
      <c r="L595" s="794">
        <f t="shared" si="38"/>
        <v>2.6538280102459186E-4</v>
      </c>
      <c r="M595" s="796" t="s">
        <v>866</v>
      </c>
      <c r="N595" s="797"/>
      <c r="O595" s="799"/>
      <c r="P595" s="797"/>
    </row>
    <row r="596" spans="1:16" ht="12.75" customHeight="1" x14ac:dyDescent="0.3">
      <c r="A596" s="797"/>
      <c r="B596" s="797" t="s">
        <v>1619</v>
      </c>
      <c r="C596" s="797"/>
      <c r="D596" s="797"/>
      <c r="E596" s="797"/>
      <c r="F596" s="797"/>
      <c r="G596" s="796" t="s">
        <v>3140</v>
      </c>
      <c r="H596" s="796" t="s">
        <v>1616</v>
      </c>
      <c r="I596" s="900"/>
      <c r="J596" s="792" t="str">
        <f>IF(ISBLANK(HLOOKUP(CaseName,CaseData,MATCH($G596,cases!$G$4:$G$2494,0),FALSE)),"",HLOOKUP(CaseName,CaseData,MATCH($G596,cases!$G$4:$G$2494,0),FALSE))</f>
        <v/>
      </c>
      <c r="K596" s="798">
        <f>1/(L587*(L597+L598+L599))</f>
        <v>3716.16780520257</v>
      </c>
      <c r="L596" s="794">
        <f t="shared" si="38"/>
        <v>3716.16780520257</v>
      </c>
      <c r="M596" s="796" t="s">
        <v>1616</v>
      </c>
      <c r="N596" s="797"/>
      <c r="O596" s="799"/>
      <c r="P596" s="797"/>
    </row>
    <row r="597" spans="1:16" ht="12.75" customHeight="1" x14ac:dyDescent="0.3">
      <c r="A597" s="797"/>
      <c r="B597" s="797"/>
      <c r="C597" s="797" t="s">
        <v>1584</v>
      </c>
      <c r="D597" s="797"/>
      <c r="E597" s="797"/>
      <c r="F597" s="797"/>
      <c r="G597" s="796" t="s">
        <v>3141</v>
      </c>
      <c r="H597" s="796" t="s">
        <v>291</v>
      </c>
      <c r="I597" s="900"/>
      <c r="J597" s="792" t="str">
        <f>IF(ISBLANK(HLOOKUP(CaseName,CaseData,MATCH($G597,cases!$G$4:$G$2494,0),FALSE)),"",HLOOKUP(CaseName,CaseData,MATCH($G597,cases!$G$4:$G$2494,0),FALSE))</f>
        <v/>
      </c>
      <c r="K597" s="798">
        <f>L577^(-2/3)</f>
        <v>1.3292761927314939E-3</v>
      </c>
      <c r="L597" s="794">
        <f t="shared" si="38"/>
        <v>1.3292761927314939E-3</v>
      </c>
      <c r="M597" s="796" t="s">
        <v>291</v>
      </c>
      <c r="N597" s="797"/>
      <c r="O597" s="799"/>
      <c r="P597" s="797" t="s">
        <v>1627</v>
      </c>
    </row>
    <row r="598" spans="1:16" ht="12.75" customHeight="1" x14ac:dyDescent="0.3">
      <c r="A598" s="797"/>
      <c r="B598" s="797"/>
      <c r="C598" s="797" t="s">
        <v>1586</v>
      </c>
      <c r="D598" s="797"/>
      <c r="E598" s="797"/>
      <c r="F598" s="797"/>
      <c r="G598" s="796" t="s">
        <v>3142</v>
      </c>
      <c r="H598" s="796" t="s">
        <v>291</v>
      </c>
      <c r="I598" s="900"/>
      <c r="J598" s="792" t="str">
        <f>IF(ISBLANK(HLOOKUP(CaseName,CaseData,MATCH($G598,cases!$G$4:$G$2494,0),FALSE)),"",HLOOKUP(CaseName,CaseData,MATCH($G598,cases!$G$4:$G$2494,0),FALSE))</f>
        <v/>
      </c>
      <c r="K598" s="798">
        <f>0.3*(L592*(L557/(L557+L590))+(1-L592)*(L557/(L557+L591)))</f>
        <v>4.062510531885534E-5</v>
      </c>
      <c r="L598" s="794">
        <f t="shared" si="38"/>
        <v>4.062510531885534E-5</v>
      </c>
      <c r="M598" s="796" t="s">
        <v>291</v>
      </c>
      <c r="N598" s="797"/>
      <c r="O598" s="799"/>
      <c r="P598" s="797" t="s">
        <v>1627</v>
      </c>
    </row>
    <row r="599" spans="1:16" ht="12.75" customHeight="1" x14ac:dyDescent="0.3">
      <c r="A599" s="797"/>
      <c r="B599" s="797"/>
      <c r="C599" s="797" t="s">
        <v>1588</v>
      </c>
      <c r="D599" s="797"/>
      <c r="E599" s="797"/>
      <c r="F599" s="797"/>
      <c r="G599" s="796" t="s">
        <v>3143</v>
      </c>
      <c r="H599" s="796" t="s">
        <v>291</v>
      </c>
      <c r="I599" s="900"/>
      <c r="J599" s="792" t="str">
        <f>IF(ISBLANK(HLOOKUP(CaseName,CaseData,MATCH($G599,cases!$G$4:$G$2494,0),FALSE)),"",HLOOKUP(CaseName,CaseData,MATCH($G599,cases!$G$4:$G$2494,0),FALSE))</f>
        <v/>
      </c>
      <c r="K599" s="798">
        <f>(L575/(L575+0.8))^2</f>
        <v>4.6385094444767257E-5</v>
      </c>
      <c r="L599" s="794">
        <f t="shared" si="38"/>
        <v>4.6385094444767257E-5</v>
      </c>
      <c r="M599" s="796" t="s">
        <v>291</v>
      </c>
      <c r="N599" s="797"/>
      <c r="O599" s="799"/>
      <c r="P599" s="797" t="s">
        <v>1627</v>
      </c>
    </row>
    <row r="600" spans="1:16" ht="12.75" customHeight="1" x14ac:dyDescent="0.3">
      <c r="A600" s="797" t="s">
        <v>2803</v>
      </c>
      <c r="B600" s="797"/>
      <c r="C600" s="797"/>
      <c r="D600" s="797"/>
      <c r="E600" s="797"/>
      <c r="F600" s="797"/>
      <c r="G600" s="796" t="s">
        <v>3144</v>
      </c>
      <c r="H600" s="796" t="s">
        <v>335</v>
      </c>
      <c r="I600" s="900"/>
      <c r="J600" s="792" t="str">
        <f>IF(ISBLANK(HLOOKUP(CaseName,CaseData,MATCH($G600,cases!$G$4:$G$2494,0),FALSE)),"",HLOOKUP(CaseName,CaseData,MATCH($G600,cases!$G$4:$G$2494,0),FALSE))</f>
        <v/>
      </c>
      <c r="K600" s="798">
        <f>(L413*L342*L340)/(L334)</f>
        <v>4.0000012000003599E-7</v>
      </c>
      <c r="L600" s="794">
        <f t="shared" si="38"/>
        <v>4.0000012000003599E-7</v>
      </c>
      <c r="M600" s="796" t="s">
        <v>335</v>
      </c>
      <c r="N600" s="797" t="s">
        <v>2353</v>
      </c>
      <c r="O600" s="799"/>
      <c r="P600" s="797"/>
    </row>
    <row r="601" spans="1:16" ht="12.75" customHeight="1" x14ac:dyDescent="0.3">
      <c r="A601" s="797" t="s">
        <v>2805</v>
      </c>
      <c r="B601" s="797"/>
      <c r="C601" s="797"/>
      <c r="D601" s="797"/>
      <c r="E601" s="797"/>
      <c r="F601" s="797"/>
      <c r="G601" s="796" t="s">
        <v>3145</v>
      </c>
      <c r="H601" s="796" t="s">
        <v>335</v>
      </c>
      <c r="I601" s="900"/>
      <c r="J601" s="792" t="str">
        <f>IF(ISBLANK(HLOOKUP(CaseName,CaseData,MATCH($G601,cases!$G$4:$G$2494,0),FALSE)),"",HLOOKUP(CaseName,CaseData,MATCH($G601,cases!$G$4:$G$2494,0),FALSE))</f>
        <v/>
      </c>
      <c r="K601" s="798">
        <f>(L602*L341*L340)/(L334)</f>
        <v>1.8974235666317165E-6</v>
      </c>
      <c r="L601" s="794">
        <f t="shared" si="38"/>
        <v>1.8974235666317165E-6</v>
      </c>
      <c r="M601" s="796" t="s">
        <v>335</v>
      </c>
      <c r="N601" s="797"/>
      <c r="O601" s="799"/>
      <c r="P601" s="797"/>
    </row>
    <row r="602" spans="1:16" ht="12.75" customHeight="1" x14ac:dyDescent="0.3">
      <c r="A602" s="797"/>
      <c r="B602" s="797" t="s">
        <v>1612</v>
      </c>
      <c r="C602" s="797"/>
      <c r="D602" s="797"/>
      <c r="E602" s="797"/>
      <c r="F602" s="797"/>
      <c r="G602" s="796" t="s">
        <v>3146</v>
      </c>
      <c r="H602" s="796" t="s">
        <v>866</v>
      </c>
      <c r="I602" s="900"/>
      <c r="J602" s="792" t="str">
        <f>IF(ISBLANK(HLOOKUP(CaseName,CaseData,MATCH($G602,cases!$G$4:$G$2494,0),FALSE)),"",HLOOKUP(CaseName,CaseData,MATCH($G602,cases!$G$4:$G$2494,0),FALSE))</f>
        <v/>
      </c>
      <c r="K602" s="798">
        <f>1/(L603+L604)+L565</f>
        <v>3.162371662341078E-3</v>
      </c>
      <c r="L602" s="794">
        <f t="shared" si="38"/>
        <v>3.162371662341078E-3</v>
      </c>
      <c r="M602" s="796" t="s">
        <v>866</v>
      </c>
      <c r="N602" s="797"/>
      <c r="O602" s="799"/>
      <c r="P602" s="797"/>
    </row>
    <row r="603" spans="1:16" ht="12.75" customHeight="1" x14ac:dyDescent="0.3">
      <c r="A603" s="797"/>
      <c r="B603" s="797"/>
      <c r="C603" s="797" t="s">
        <v>1708</v>
      </c>
      <c r="D603" s="797"/>
      <c r="E603" s="797"/>
      <c r="F603" s="797"/>
      <c r="G603" s="797" t="s">
        <v>3147</v>
      </c>
      <c r="H603" s="796" t="s">
        <v>1616</v>
      </c>
      <c r="I603" s="900"/>
      <c r="J603" s="792" t="str">
        <f>IF(ISBLANK(HLOOKUP(CaseName,CaseData,MATCH($G603,cases!$G$4:$G$2494,0),FALSE)),"",HLOOKUP(CaseName,CaseData,MATCH($G603,cases!$G$4:$G$2494,0),FALSE))</f>
        <v/>
      </c>
      <c r="K603" s="798">
        <v>135</v>
      </c>
      <c r="L603" s="794">
        <f t="shared" si="38"/>
        <v>135</v>
      </c>
      <c r="M603" s="796" t="s">
        <v>1616</v>
      </c>
      <c r="N603" s="797"/>
      <c r="O603" s="799"/>
      <c r="P603" s="797" t="s">
        <v>1618</v>
      </c>
    </row>
    <row r="604" spans="1:16" ht="12.75" customHeight="1" x14ac:dyDescent="0.3">
      <c r="A604" s="797"/>
      <c r="B604" s="797"/>
      <c r="C604" s="797" t="s">
        <v>2809</v>
      </c>
      <c r="D604" s="797"/>
      <c r="E604" s="797"/>
      <c r="F604" s="797"/>
      <c r="G604" s="796" t="s">
        <v>3148</v>
      </c>
      <c r="H604" s="796" t="s">
        <v>1616</v>
      </c>
      <c r="I604" s="900"/>
      <c r="J604" s="792" t="str">
        <f>IF(ISBLANK(HLOOKUP(CaseName,CaseData,MATCH($G604,cases!$G$4:$G$2494,0),FALSE)),"",HLOOKUP(CaseName,CaseData,MATCH($G604,cases!$G$4:$G$2494,0),FALSE))</f>
        <v/>
      </c>
      <c r="K604" s="798">
        <f>1/(L605*(L606+L607))</f>
        <v>181.27797818396985</v>
      </c>
      <c r="L604" s="794">
        <f t="shared" si="38"/>
        <v>181.27797818396985</v>
      </c>
      <c r="M604" s="796" t="s">
        <v>1616</v>
      </c>
      <c r="N604" s="797"/>
      <c r="O604" s="799"/>
      <c r="P604" s="797"/>
    </row>
    <row r="605" spans="1:16" ht="12.75" customHeight="1" x14ac:dyDescent="0.3">
      <c r="A605" s="797"/>
      <c r="B605" s="797"/>
      <c r="C605" s="797" t="s">
        <v>1696</v>
      </c>
      <c r="D605" s="797"/>
      <c r="E605" s="797"/>
      <c r="F605" s="797"/>
      <c r="G605" s="796" t="s">
        <v>3149</v>
      </c>
      <c r="H605" s="796" t="s">
        <v>866</v>
      </c>
      <c r="I605" s="900"/>
      <c r="J605" s="792" t="str">
        <f>IF(ISBLANK(HLOOKUP(CaseName,CaseData,MATCH($G605,cases!$G$4:$G$2494,0),FALSE)),"",HLOOKUP(CaseName,CaseData,MATCH($G605,cases!$G$4:$G$2494,0),FALSE))</f>
        <v/>
      </c>
      <c r="K605" s="798">
        <v>0.19</v>
      </c>
      <c r="L605" s="794">
        <f t="shared" si="38"/>
        <v>0.19</v>
      </c>
      <c r="M605" s="796" t="s">
        <v>866</v>
      </c>
      <c r="N605" s="797"/>
      <c r="O605" s="799" t="s">
        <v>1624</v>
      </c>
      <c r="P605" s="797" t="s">
        <v>1625</v>
      </c>
    </row>
    <row r="606" spans="1:16" ht="12.75" customHeight="1" x14ac:dyDescent="0.3">
      <c r="A606" s="797"/>
      <c r="B606" s="797"/>
      <c r="C606" s="797"/>
      <c r="D606" s="797" t="s">
        <v>1584</v>
      </c>
      <c r="E606" s="797"/>
      <c r="F606" s="797"/>
      <c r="G606" s="796" t="s">
        <v>3150</v>
      </c>
      <c r="H606" s="796" t="s">
        <v>291</v>
      </c>
      <c r="I606" s="900"/>
      <c r="J606" s="792" t="str">
        <f>IF(ISBLANK(HLOOKUP(CaseName,CaseData,MATCH($G606,cases!$G$4:$G$2494,0),FALSE)),"",HLOOKUP(CaseName,CaseData,MATCH($G606,cases!$G$4:$G$2494,0),FALSE))</f>
        <v/>
      </c>
      <c r="K606" s="798">
        <f>L566^-(1/2)</f>
        <v>2.9033630821916658E-2</v>
      </c>
      <c r="L606" s="794">
        <f t="shared" si="38"/>
        <v>2.9033630821916658E-2</v>
      </c>
      <c r="M606" s="796" t="s">
        <v>291</v>
      </c>
      <c r="N606" s="797"/>
      <c r="O606" s="799"/>
      <c r="P606" s="797"/>
    </row>
    <row r="607" spans="1:16" ht="12.75" customHeight="1" x14ac:dyDescent="0.3">
      <c r="A607" s="797"/>
      <c r="B607" s="797"/>
      <c r="C607" s="797"/>
      <c r="D607" s="797" t="s">
        <v>1588</v>
      </c>
      <c r="E607" s="797"/>
      <c r="F607" s="797"/>
      <c r="G607" s="796" t="s">
        <v>3151</v>
      </c>
      <c r="H607" s="796" t="s">
        <v>291</v>
      </c>
      <c r="I607" s="900"/>
      <c r="J607" s="792" t="str">
        <f>IF(ISBLANK(HLOOKUP(CaseName,CaseData,MATCH($G607,cases!$G$4:$G$2494,0),FALSE)),"",HLOOKUP(CaseName,CaseData,MATCH($G607,cases!$G$4:$G$2494,0),FALSE))</f>
        <v/>
      </c>
      <c r="K607" s="798">
        <f>10^(-3/L564)</f>
        <v>0</v>
      </c>
      <c r="L607" s="794">
        <f t="shared" si="38"/>
        <v>0</v>
      </c>
      <c r="M607" s="796" t="s">
        <v>291</v>
      </c>
      <c r="N607" s="797"/>
      <c r="O607" s="799"/>
      <c r="P607" s="797"/>
    </row>
    <row r="608" spans="1:16" ht="12.75" customHeight="1" x14ac:dyDescent="0.3">
      <c r="A608" s="797" t="s">
        <v>2814</v>
      </c>
      <c r="B608" s="797"/>
      <c r="C608" s="797"/>
      <c r="D608" s="797"/>
      <c r="E608" s="797"/>
      <c r="F608" s="797"/>
      <c r="G608" s="797" t="s">
        <v>3152</v>
      </c>
      <c r="H608" s="796" t="s">
        <v>335</v>
      </c>
      <c r="I608" s="900"/>
      <c r="J608" s="792" t="str">
        <f>IF(ISBLANK(HLOOKUP(CaseName,CaseData,MATCH($G608,cases!$G$4:$G$2494,0),FALSE)),"",HLOOKUP(CaseName,CaseData,MATCH($G608,cases!$G$4:$G$2494,0),FALSE))</f>
        <v/>
      </c>
      <c r="K608" s="798">
        <f>L609*L341*L340/L334</f>
        <v>6.7430887520486228E-7</v>
      </c>
      <c r="L608" s="794">
        <f t="shared" si="38"/>
        <v>6.7430887520486228E-7</v>
      </c>
      <c r="M608" s="796" t="s">
        <v>335</v>
      </c>
      <c r="N608" s="797"/>
      <c r="O608" s="799"/>
      <c r="P608" s="797"/>
    </row>
    <row r="609" spans="1:18" ht="12.75" customHeight="1" x14ac:dyDescent="0.3">
      <c r="A609" s="797"/>
      <c r="B609" s="797" t="s">
        <v>1612</v>
      </c>
      <c r="C609" s="797"/>
      <c r="D609" s="797"/>
      <c r="E609" s="797"/>
      <c r="F609" s="797"/>
      <c r="G609" s="796" t="s">
        <v>3153</v>
      </c>
      <c r="H609" s="796" t="s">
        <v>866</v>
      </c>
      <c r="I609" s="900"/>
      <c r="J609" s="792" t="str">
        <f>IF(ISBLANK(HLOOKUP(CaseName,CaseData,MATCH($G609,cases!$G$4:$G$2494,0),FALSE)),"",HLOOKUP(CaseName,CaseData,MATCH($G609,cases!$G$4:$G$2494,0),FALSE))</f>
        <v/>
      </c>
      <c r="K609" s="798">
        <f>1/(L603+L610)+L576</f>
        <v>1.1238477881869995E-3</v>
      </c>
      <c r="L609" s="794">
        <f t="shared" si="38"/>
        <v>1.1238477881869995E-3</v>
      </c>
      <c r="M609" s="796" t="s">
        <v>866</v>
      </c>
      <c r="N609" s="797"/>
      <c r="O609" s="799"/>
      <c r="P609" s="797"/>
    </row>
    <row r="610" spans="1:18" ht="12.75" customHeight="1" x14ac:dyDescent="0.3">
      <c r="A610" s="797"/>
      <c r="B610" s="797"/>
      <c r="C610" s="797" t="s">
        <v>1694</v>
      </c>
      <c r="D610" s="797"/>
      <c r="E610" s="797"/>
      <c r="F610" s="797"/>
      <c r="G610" s="796" t="s">
        <v>3154</v>
      </c>
      <c r="H610" s="796" t="s">
        <v>1616</v>
      </c>
      <c r="I610" s="900"/>
      <c r="J610" s="792" t="str">
        <f>IF(ISBLANK(HLOOKUP(CaseName,CaseData,MATCH($G610,cases!$G$4:$G$2494,0),FALSE)),"",HLOOKUP(CaseName,CaseData,MATCH($G610,cases!$G$4:$G$2494,0),FALSE))</f>
        <v/>
      </c>
      <c r="K610" s="798">
        <f>1/(L605*(L611+L612))</f>
        <v>756.02294971222591</v>
      </c>
      <c r="L610" s="794">
        <f t="shared" si="38"/>
        <v>756.02294971222591</v>
      </c>
      <c r="M610" s="796" t="s">
        <v>1616</v>
      </c>
      <c r="N610" s="797"/>
      <c r="O610" s="797"/>
      <c r="P610" s="799"/>
    </row>
    <row r="611" spans="1:18" ht="12.75" customHeight="1" x14ac:dyDescent="0.3">
      <c r="A611" s="797"/>
      <c r="B611" s="797"/>
      <c r="C611" s="797"/>
      <c r="D611" s="797" t="s">
        <v>1584</v>
      </c>
      <c r="E611" s="797"/>
      <c r="F611" s="797"/>
      <c r="G611" s="796" t="s">
        <v>3155</v>
      </c>
      <c r="H611" s="796" t="s">
        <v>291</v>
      </c>
      <c r="I611" s="900"/>
      <c r="J611" s="792" t="str">
        <f>IF(ISBLANK(HLOOKUP(CaseName,CaseData,MATCH($G611,cases!$G$4:$G$2494,0),FALSE)),"",HLOOKUP(CaseName,CaseData,MATCH($G611,cases!$G$4:$G$2494,0),FALSE))</f>
        <v/>
      </c>
      <c r="K611" s="798">
        <f>L577^-(1/2)</f>
        <v>6.9616377343309768E-3</v>
      </c>
      <c r="L611" s="794">
        <f t="shared" si="38"/>
        <v>6.9616377343309768E-3</v>
      </c>
      <c r="M611" s="796" t="s">
        <v>291</v>
      </c>
      <c r="N611" s="797"/>
      <c r="O611" s="797"/>
      <c r="P611" s="799"/>
    </row>
    <row r="612" spans="1:18" ht="12.75" customHeight="1" x14ac:dyDescent="0.3">
      <c r="A612" s="797"/>
      <c r="B612" s="797"/>
      <c r="C612" s="797"/>
      <c r="D612" s="797" t="s">
        <v>1588</v>
      </c>
      <c r="E612" s="797"/>
      <c r="F612" s="797"/>
      <c r="G612" s="796" t="s">
        <v>3156</v>
      </c>
      <c r="H612" s="796" t="s">
        <v>291</v>
      </c>
      <c r="I612" s="900"/>
      <c r="J612" s="792" t="str">
        <f>IF(ISBLANK(HLOOKUP(CaseName,CaseData,MATCH($G612,cases!$G$4:$G$2494,0),FALSE)),"",HLOOKUP(CaseName,CaseData,MATCH($G612,cases!$G$4:$G$2494,0),FALSE))</f>
        <v/>
      </c>
      <c r="K612" s="798">
        <f>10^(-3/L575)</f>
        <v>0</v>
      </c>
      <c r="L612" s="794">
        <f t="shared" si="38"/>
        <v>0</v>
      </c>
      <c r="M612" s="796" t="s">
        <v>291</v>
      </c>
      <c r="N612" s="797"/>
      <c r="O612" s="797"/>
      <c r="P612" s="799"/>
    </row>
    <row r="613" spans="1:18" ht="12.75" customHeight="1" x14ac:dyDescent="0.3">
      <c r="A613" s="797" t="s">
        <v>2820</v>
      </c>
      <c r="B613" s="797"/>
      <c r="C613" s="797"/>
      <c r="D613" s="797"/>
      <c r="E613" s="797"/>
      <c r="F613" s="797"/>
      <c r="G613" s="797" t="s">
        <v>3157</v>
      </c>
      <c r="H613" s="796" t="s">
        <v>335</v>
      </c>
      <c r="I613" s="900"/>
      <c r="J613" s="792" t="str">
        <f>IF(ISBLANK(HLOOKUP(CaseName,CaseData,MATCH($G613,cases!$G$4:$G$2494,0),FALSE)),"",HLOOKUP(CaseName,CaseData,MATCH($G613,cases!$G$4:$G$2494,0),FALSE))</f>
        <v/>
      </c>
      <c r="K613" s="798">
        <f>(L413*L341*L340)/L334</f>
        <v>6.0000018000005388E-7</v>
      </c>
      <c r="L613" s="794">
        <f t="shared" si="38"/>
        <v>6.0000018000005388E-7</v>
      </c>
      <c r="M613" s="796" t="s">
        <v>335</v>
      </c>
      <c r="N613" s="797"/>
      <c r="O613" s="799"/>
      <c r="P613" s="797"/>
    </row>
    <row r="614" spans="1:18" ht="12.75" customHeight="1" x14ac:dyDescent="0.3">
      <c r="A614" s="797" t="s">
        <v>2822</v>
      </c>
      <c r="B614" s="797"/>
      <c r="C614" s="797"/>
      <c r="D614" s="797"/>
      <c r="E614" s="797"/>
      <c r="F614" s="797"/>
      <c r="G614" s="796" t="s">
        <v>3158</v>
      </c>
      <c r="H614" s="796" t="s">
        <v>335</v>
      </c>
      <c r="I614" s="900"/>
      <c r="J614" s="792" t="str">
        <f>IF(ISBLANK(HLOOKUP(CaseName,CaseData,MATCH($G614,cases!$G$4:$G$2494,0),FALSE)),"",HLOOKUP(CaseName,CaseData,MATCH($G614,cases!$G$4:$G$2494,0),FALSE))</f>
        <v/>
      </c>
      <c r="K614" s="798">
        <f>(L414*L342*L340)/(L335)</f>
        <v>1.0569933832235011E-5</v>
      </c>
      <c r="L614" s="794">
        <f t="shared" si="38"/>
        <v>1.0569933832235011E-5</v>
      </c>
      <c r="M614" s="796" t="s">
        <v>335</v>
      </c>
      <c r="N614" s="797"/>
      <c r="O614" s="799"/>
      <c r="P614" s="797"/>
    </row>
    <row r="615" spans="1:18" ht="12.75" customHeight="1" x14ac:dyDescent="0.3">
      <c r="A615" s="797" t="s">
        <v>2824</v>
      </c>
      <c r="B615" s="797"/>
      <c r="C615" s="797"/>
      <c r="D615" s="797"/>
      <c r="E615" s="797"/>
      <c r="F615" s="797"/>
      <c r="G615" s="796" t="s">
        <v>3159</v>
      </c>
      <c r="H615" s="796" t="s">
        <v>335</v>
      </c>
      <c r="I615" s="900"/>
      <c r="J615" s="792" t="str">
        <f>IF(ISBLANK(HLOOKUP(CaseName,CaseData,MATCH($G615,cases!$G$4:$G$2494,0),FALSE)),"",HLOOKUP(CaseName,CaseData,MATCH($G615,cases!$G$4:$G$2494,0),FALSE))</f>
        <v/>
      </c>
      <c r="K615" s="798">
        <f>(L414*L342*L340)/(L335)</f>
        <v>1.0569933832235011E-5</v>
      </c>
      <c r="L615" s="794">
        <f t="shared" si="38"/>
        <v>1.0569933832235011E-5</v>
      </c>
      <c r="M615" s="796" t="s">
        <v>335</v>
      </c>
      <c r="N615" s="797"/>
      <c r="O615" s="799"/>
      <c r="P615" s="797"/>
    </row>
    <row r="616" spans="1:18" ht="12.75" customHeight="1" x14ac:dyDescent="0.3">
      <c r="A616" s="797" t="s">
        <v>2826</v>
      </c>
      <c r="B616" s="797"/>
      <c r="C616" s="797"/>
      <c r="D616" s="797"/>
      <c r="E616" s="797"/>
      <c r="F616" s="797"/>
      <c r="G616" s="796" t="s">
        <v>3160</v>
      </c>
      <c r="H616" s="796" t="s">
        <v>335</v>
      </c>
      <c r="I616" s="900"/>
      <c r="J616" s="792" t="str">
        <f>IF(ISBLANK(HLOOKUP(CaseName,CaseData,MATCH($G616,cases!$G$4:$G$2494,0),FALSE)),"",HLOOKUP(CaseName,CaseData,MATCH($G616,cases!$G$4:$G$2494,0),FALSE))</f>
        <v/>
      </c>
      <c r="K616" s="798">
        <f>(L414*L342*L340)/(L335)</f>
        <v>1.0569933832235011E-5</v>
      </c>
      <c r="L616" s="794">
        <f t="shared" si="38"/>
        <v>1.0569933832235011E-5</v>
      </c>
      <c r="M616" s="796" t="s">
        <v>335</v>
      </c>
      <c r="N616" s="797"/>
      <c r="O616" s="799"/>
      <c r="P616" s="797"/>
    </row>
    <row r="617" spans="1:18" ht="12.75" customHeight="1" x14ac:dyDescent="0.3">
      <c r="A617" s="797" t="s">
        <v>2828</v>
      </c>
      <c r="B617" s="797"/>
      <c r="C617" s="797"/>
      <c r="D617" s="797"/>
      <c r="E617" s="797"/>
      <c r="F617" s="797"/>
      <c r="G617" s="796" t="s">
        <v>3161</v>
      </c>
      <c r="H617" s="796" t="s">
        <v>335</v>
      </c>
      <c r="I617" s="900"/>
      <c r="J617" s="792" t="str">
        <f>IF(ISBLANK(HLOOKUP(CaseName,CaseData,MATCH($G617,cases!$G$4:$G$2494,0),FALSE)),"",HLOOKUP(CaseName,CaseData,MATCH($G617,cases!$G$4:$G$2494,0),FALSE))</f>
        <v/>
      </c>
      <c r="K617" s="798">
        <f>(L414*L341*L340)/(L335)</f>
        <v>1.5854900748352518E-5</v>
      </c>
      <c r="L617" s="794">
        <f t="shared" si="38"/>
        <v>1.5854900748352518E-5</v>
      </c>
      <c r="M617" s="796" t="s">
        <v>335</v>
      </c>
      <c r="N617" s="797"/>
      <c r="O617" s="799"/>
      <c r="P617" s="797"/>
    </row>
    <row r="618" spans="1:18" ht="12.75" customHeight="1" x14ac:dyDescent="0.3">
      <c r="A618" s="797" t="s">
        <v>2830</v>
      </c>
      <c r="B618" s="797"/>
      <c r="C618" s="797"/>
      <c r="D618" s="797"/>
      <c r="E618" s="797"/>
      <c r="F618" s="797"/>
      <c r="G618" s="796" t="s">
        <v>3162</v>
      </c>
      <c r="H618" s="796" t="s">
        <v>335</v>
      </c>
      <c r="I618" s="900"/>
      <c r="J618" s="792" t="str">
        <f>IF(ISBLANK(HLOOKUP(CaseName,CaseData,MATCH($G618,cases!$G$4:$G$2494,0),FALSE)),"",HLOOKUP(CaseName,CaseData,MATCH($G618,cases!$G$4:$G$2494,0),FALSE))</f>
        <v/>
      </c>
      <c r="K618" s="798">
        <f>(L414*L341*L340)/(L335)</f>
        <v>1.5854900748352518E-5</v>
      </c>
      <c r="L618" s="794">
        <f t="shared" si="38"/>
        <v>1.5854900748352518E-5</v>
      </c>
      <c r="M618" s="796" t="s">
        <v>335</v>
      </c>
      <c r="N618" s="797"/>
      <c r="O618" s="799"/>
      <c r="P618" s="797"/>
    </row>
    <row r="619" spans="1:18" ht="12.75" customHeight="1" x14ac:dyDescent="0.3">
      <c r="A619" s="797" t="s">
        <v>2832</v>
      </c>
      <c r="B619" s="797"/>
      <c r="C619" s="797"/>
      <c r="D619" s="797"/>
      <c r="E619" s="797"/>
      <c r="F619" s="797"/>
      <c r="G619" s="796" t="s">
        <v>3163</v>
      </c>
      <c r="H619" s="796" t="s">
        <v>335</v>
      </c>
      <c r="I619" s="900"/>
      <c r="J619" s="792" t="str">
        <f>IF(ISBLANK(HLOOKUP(CaseName,CaseData,MATCH($G619,cases!$G$4:$G$2494,0),FALSE)),"",HLOOKUP(CaseName,CaseData,MATCH($G619,cases!$G$4:$G$2494,0),FALSE))</f>
        <v/>
      </c>
      <c r="K619" s="798">
        <f>(L414*L341*L340)/(L335)</f>
        <v>1.5854900748352518E-5</v>
      </c>
      <c r="L619" s="794">
        <f t="shared" si="38"/>
        <v>1.5854900748352518E-5</v>
      </c>
      <c r="M619" s="796" t="s">
        <v>335</v>
      </c>
      <c r="N619" s="797"/>
      <c r="O619" s="799"/>
      <c r="P619" s="907"/>
      <c r="Q619" s="797"/>
      <c r="R619" s="907"/>
    </row>
    <row r="620" spans="1:18" ht="12.75" customHeight="1" x14ac:dyDescent="0.3">
      <c r="A620" s="797" t="s">
        <v>2834</v>
      </c>
      <c r="B620" s="797"/>
      <c r="C620" s="797"/>
      <c r="D620" s="797"/>
      <c r="E620" s="797"/>
      <c r="F620" s="797"/>
      <c r="G620" s="796" t="s">
        <v>3164</v>
      </c>
      <c r="H620" s="796" t="s">
        <v>335</v>
      </c>
      <c r="I620" s="900"/>
      <c r="J620" s="792" t="str">
        <f>IF(ISBLANK(HLOOKUP(CaseName,CaseData,MATCH($G620,cases!$G$4:$G$2494,0),FALSE)),"",HLOOKUP(CaseName,CaseData,MATCH($G620,cases!$G$4:$G$2494,0),FALSE))</f>
        <v/>
      </c>
      <c r="K620" s="798">
        <f>IF((SetVelS.w*L341*L340)/(L336)&gt;0,(SetVelS.w*L341*L340)/(L336)+L363,L363)</f>
        <v>2.6926827154608188E-7</v>
      </c>
      <c r="L620" s="794">
        <f t="shared" si="38"/>
        <v>2.6926827154608188E-7</v>
      </c>
      <c r="M620" s="796" t="s">
        <v>335</v>
      </c>
      <c r="N620" s="797" t="s">
        <v>2836</v>
      </c>
      <c r="O620" s="799"/>
      <c r="P620" s="907"/>
      <c r="Q620" s="797"/>
      <c r="R620" s="907"/>
    </row>
    <row r="621" spans="1:18" ht="12.75" customHeight="1" x14ac:dyDescent="0.3">
      <c r="A621" s="797" t="s">
        <v>2837</v>
      </c>
      <c r="B621" s="797"/>
      <c r="C621" s="797"/>
      <c r="D621" s="797"/>
      <c r="E621" s="797"/>
      <c r="F621" s="797"/>
      <c r="G621" s="796" t="s">
        <v>3165</v>
      </c>
      <c r="H621" s="796" t="s">
        <v>335</v>
      </c>
      <c r="I621" s="900"/>
      <c r="J621" s="792" t="str">
        <f>IF(ISBLANK(HLOOKUP(CaseName,CaseData,MATCH($G621,cases!$G$4:$G$2494,0),FALSE)),"",HLOOKUP(CaseName,CaseData,MATCH($G621,cases!$G$4:$G$2494,0),FALSE))</f>
        <v/>
      </c>
      <c r="K621" s="798">
        <f>IF((SetVelA.w*L341*L340)/(L336)&gt;0,(SetVelA.w*L341*L340)/(L336)+L363,L363)</f>
        <v>2.6975216014808141E-7</v>
      </c>
      <c r="L621" s="794">
        <f t="shared" si="38"/>
        <v>2.6975216014808141E-7</v>
      </c>
      <c r="M621" s="796" t="s">
        <v>335</v>
      </c>
      <c r="N621" s="797" t="s">
        <v>2836</v>
      </c>
      <c r="O621" s="799"/>
      <c r="P621" s="907"/>
      <c r="Q621" s="797"/>
      <c r="R621" s="907"/>
    </row>
    <row r="622" spans="1:18" ht="12.75" customHeight="1" x14ac:dyDescent="0.3">
      <c r="A622" s="797" t="s">
        <v>2839</v>
      </c>
      <c r="B622" s="797"/>
      <c r="C622" s="797"/>
      <c r="D622" s="797"/>
      <c r="E622" s="797"/>
      <c r="F622" s="797"/>
      <c r="G622" s="796" t="s">
        <v>3166</v>
      </c>
      <c r="H622" s="796" t="s">
        <v>335</v>
      </c>
      <c r="I622" s="900"/>
      <c r="J622" s="792" t="str">
        <f>IF(ISBLANK(HLOOKUP(CaseName,CaseData,MATCH($G622,cases!$G$4:$G$2494,0),FALSE)),"",HLOOKUP(CaseName,CaseData,MATCH($G622,cases!$G$4:$G$2494,0),FALSE))</f>
        <v/>
      </c>
      <c r="K622" s="798">
        <f>IF((SetVelP.w*L341*L340)/L336&gt;0,(SetVelP.w*L341*L340)/L336+L363,L363)</f>
        <v>5.6336545127431375E-7</v>
      </c>
      <c r="L622" s="794">
        <f t="shared" si="38"/>
        <v>5.6336545127431375E-7</v>
      </c>
      <c r="M622" s="796" t="s">
        <v>335</v>
      </c>
      <c r="N622" s="797" t="s">
        <v>2836</v>
      </c>
      <c r="O622" s="799"/>
      <c r="P622" s="907"/>
      <c r="Q622" s="797"/>
      <c r="R622" s="907"/>
    </row>
    <row r="623" spans="1:18" ht="12.75" customHeight="1" x14ac:dyDescent="0.3">
      <c r="A623" s="797" t="s">
        <v>2841</v>
      </c>
      <c r="B623" s="797"/>
      <c r="C623" s="797"/>
      <c r="D623" s="797"/>
      <c r="E623" s="797"/>
      <c r="F623" s="797"/>
      <c r="G623" s="796" t="s">
        <v>3167</v>
      </c>
      <c r="H623" s="796" t="s">
        <v>335</v>
      </c>
      <c r="I623" s="900"/>
      <c r="J623" s="792" t="str">
        <f>IF(ISBLANK(HLOOKUP(CaseName,CaseData,MATCH($G623,cases!$G$4:$G$2494,0),FALSE)),"",HLOOKUP(CaseName,CaseData,MATCH($G623,cases!$G$4:$G$2494,0),FALSE))</f>
        <v/>
      </c>
      <c r="K623" s="798">
        <f>IF((SetVelS.w*L341*L340)/(L337)&gt;0,(SetVelS.w*L341*L340)/(L337),0)</f>
        <v>2.3438988689288094E-13</v>
      </c>
      <c r="L623" s="794">
        <f t="shared" si="38"/>
        <v>2.3438988689288094E-13</v>
      </c>
      <c r="M623" s="796" t="s">
        <v>335</v>
      </c>
      <c r="N623" s="797"/>
      <c r="O623" s="799"/>
      <c r="P623" s="907"/>
      <c r="Q623" s="797"/>
      <c r="R623" s="907"/>
    </row>
    <row r="624" spans="1:18" ht="12.75" customHeight="1" x14ac:dyDescent="0.3">
      <c r="A624" s="797" t="s">
        <v>2843</v>
      </c>
      <c r="B624" s="797"/>
      <c r="C624" s="797"/>
      <c r="D624" s="797"/>
      <c r="E624" s="797"/>
      <c r="F624" s="797"/>
      <c r="G624" s="796" t="s">
        <v>3168</v>
      </c>
      <c r="H624" s="796" t="s">
        <v>335</v>
      </c>
      <c r="I624" s="900"/>
      <c r="J624" s="792" t="str">
        <f>IF(ISBLANK(HLOOKUP(CaseName,CaseData,MATCH($G624,cases!$G$4:$G$2494,0),FALSE)),"",HLOOKUP(CaseName,CaseData,MATCH($G624,cases!$G$4:$G$2494,0),FALSE))</f>
        <v/>
      </c>
      <c r="K624" s="798">
        <f>IF((SetVelA.w*L341*L340)/(L337)&gt;0,(SetVelA.w*L341*L340)/(L337),0)</f>
        <v>1.6364009953543896E-11</v>
      </c>
      <c r="L624" s="794">
        <f t="shared" si="38"/>
        <v>1.6364009953543896E-11</v>
      </c>
      <c r="M624" s="796" t="s">
        <v>335</v>
      </c>
      <c r="N624" s="797"/>
      <c r="O624" s="799"/>
      <c r="P624" s="907"/>
      <c r="Q624" s="797"/>
      <c r="R624" s="907"/>
    </row>
    <row r="625" spans="1:19" ht="12.75" customHeight="1" x14ac:dyDescent="0.3">
      <c r="A625" s="797" t="s">
        <v>3169</v>
      </c>
      <c r="B625" s="797"/>
      <c r="C625" s="797"/>
      <c r="D625" s="797"/>
      <c r="E625" s="797"/>
      <c r="F625" s="797"/>
      <c r="G625" s="796" t="s">
        <v>3170</v>
      </c>
      <c r="H625" s="796" t="s">
        <v>335</v>
      </c>
      <c r="I625" s="900"/>
      <c r="J625" s="792" t="str">
        <f>IF(ISBLANK(HLOOKUP(CaseName,CaseData,MATCH($G625,cases!$G$4:$G$2494,0),FALSE)),"",HLOOKUP(CaseName,CaseData,MATCH($G625,cases!$G$4:$G$2494,0),FALSE))</f>
        <v/>
      </c>
      <c r="K625" s="798">
        <f>IF((SetVelP.w*L341*L340)/L337&gt;0,(SetVelP.w*L341*L340)/L337,0)</f>
        <v>9.803473714161288E-9</v>
      </c>
      <c r="L625" s="794">
        <f t="shared" si="38"/>
        <v>9.803473714161288E-9</v>
      </c>
      <c r="M625" s="796" t="s">
        <v>335</v>
      </c>
      <c r="N625" s="797"/>
      <c r="O625" s="799"/>
      <c r="P625" s="907"/>
      <c r="Q625" s="797"/>
      <c r="R625" s="907"/>
    </row>
    <row r="626" spans="1:19" ht="12.75" customHeight="1" x14ac:dyDescent="0.3">
      <c r="A626" s="797" t="s">
        <v>2847</v>
      </c>
      <c r="B626" s="797"/>
      <c r="C626" s="797"/>
      <c r="D626" s="797"/>
      <c r="E626" s="797"/>
      <c r="F626" s="797"/>
      <c r="G626" s="796" t="s">
        <v>3171</v>
      </c>
      <c r="H626" s="796" t="s">
        <v>335</v>
      </c>
      <c r="I626" s="900"/>
      <c r="J626" s="792" t="str">
        <f>IF(ISBLANK(HLOOKUP(CaseName,CaseData,MATCH($G626,cases!$G$4:$G$2494,0),FALSE)),"",HLOOKUP(CaseName,CaseData,MATCH($G626,cases!$G$4:$G$2494,0),FALSE))</f>
        <v/>
      </c>
      <c r="K626" s="798">
        <f>$L$430/$L$346</f>
        <v>9.6429477422628121E-9</v>
      </c>
      <c r="L626" s="794">
        <f t="shared" ref="L626:L631" si="39">IF(ISBLANK(I626),IF(ISNUMBER(J626)=FALSE,K626,J626),I626)</f>
        <v>9.6429477422628121E-9</v>
      </c>
      <c r="M626" s="796" t="s">
        <v>335</v>
      </c>
      <c r="N626" s="797" t="s">
        <v>1786</v>
      </c>
      <c r="O626" s="799"/>
      <c r="P626" s="797"/>
    </row>
    <row r="627" spans="1:19" ht="12.75" customHeight="1" x14ac:dyDescent="0.3">
      <c r="A627" s="797" t="s">
        <v>2849</v>
      </c>
      <c r="B627" s="797"/>
      <c r="C627" s="797"/>
      <c r="D627" s="797"/>
      <c r="E627" s="797"/>
      <c r="F627" s="797"/>
      <c r="G627" s="796" t="s">
        <v>3172</v>
      </c>
      <c r="H627" s="796" t="s">
        <v>335</v>
      </c>
      <c r="I627" s="900"/>
      <c r="J627" s="792" t="str">
        <f>IF(ISBLANK(HLOOKUP(CaseName,CaseData,MATCH($G627,cases!$G$4:$G$2494,0),FALSE)),"",HLOOKUP(CaseName,CaseData,MATCH($G627,cases!$G$4:$G$2494,0),FALSE))</f>
        <v/>
      </c>
      <c r="K627" s="798">
        <f>$L$430/$L$346</f>
        <v>9.6429477422628121E-9</v>
      </c>
      <c r="L627" s="794">
        <f t="shared" si="39"/>
        <v>9.6429477422628121E-9</v>
      </c>
      <c r="M627" s="796" t="s">
        <v>335</v>
      </c>
      <c r="N627" s="797" t="s">
        <v>1786</v>
      </c>
      <c r="O627" s="799"/>
      <c r="P627" s="797"/>
    </row>
    <row r="628" spans="1:19" ht="12.75" customHeight="1" x14ac:dyDescent="0.3">
      <c r="A628" s="797" t="s">
        <v>2851</v>
      </c>
      <c r="B628" s="797"/>
      <c r="C628" s="797"/>
      <c r="D628" s="797"/>
      <c r="E628" s="797"/>
      <c r="F628" s="797"/>
      <c r="G628" s="796" t="s">
        <v>3173</v>
      </c>
      <c r="H628" s="796" t="s">
        <v>335</v>
      </c>
      <c r="I628" s="900"/>
      <c r="J628" s="792" t="str">
        <f>IF(ISBLANK(HLOOKUP(CaseName,CaseData,MATCH($G628,cases!$G$4:$G$2494,0),FALSE)),"",HLOOKUP(CaseName,CaseData,MATCH($G628,cases!$G$4:$G$2494,0),FALSE))</f>
        <v/>
      </c>
      <c r="K628" s="798">
        <f>$L$430/$L$346</f>
        <v>9.6429477422628121E-9</v>
      </c>
      <c r="L628" s="794">
        <f t="shared" si="39"/>
        <v>9.6429477422628121E-9</v>
      </c>
      <c r="M628" s="796" t="s">
        <v>335</v>
      </c>
      <c r="N628" s="797" t="s">
        <v>1786</v>
      </c>
      <c r="O628" s="799"/>
      <c r="P628" s="797"/>
    </row>
    <row r="629" spans="1:19" ht="12.75" customHeight="1" x14ac:dyDescent="0.3">
      <c r="A629" s="797" t="s">
        <v>1803</v>
      </c>
      <c r="B629" s="797"/>
      <c r="C629" s="797"/>
      <c r="D629" s="797"/>
      <c r="E629" s="797"/>
      <c r="F629" s="797"/>
      <c r="G629" s="796" t="s">
        <v>3174</v>
      </c>
      <c r="H629" s="796" t="s">
        <v>335</v>
      </c>
      <c r="I629" s="900"/>
      <c r="J629" s="792" t="str">
        <f>IF(ISBLANK(HLOOKUP(CaseName,CaseData,MATCH($G629,cases!$G$4:$G$2494,0),FALSE)),"",HLOOKUP(CaseName,CaseData,MATCH($G629,cases!$G$4:$G$2494,0),FALSE))</f>
        <v/>
      </c>
      <c r="K629" s="798">
        <f>((L442*L414*L443+L441)/L347)</f>
        <v>5.0387931303446822E-8</v>
      </c>
      <c r="L629" s="794">
        <f t="shared" si="39"/>
        <v>5.0387931303446822E-8</v>
      </c>
      <c r="M629" s="796" t="s">
        <v>335</v>
      </c>
      <c r="N629" s="797" t="s">
        <v>1805</v>
      </c>
      <c r="O629" s="802"/>
      <c r="P629" s="797"/>
    </row>
    <row r="630" spans="1:19" ht="12.75" customHeight="1" x14ac:dyDescent="0.3">
      <c r="A630" s="797" t="s">
        <v>1810</v>
      </c>
      <c r="B630" s="797"/>
      <c r="C630" s="797"/>
      <c r="D630" s="797"/>
      <c r="E630" s="797"/>
      <c r="F630" s="797"/>
      <c r="G630" s="796" t="s">
        <v>3175</v>
      </c>
      <c r="H630" s="796" t="s">
        <v>335</v>
      </c>
      <c r="I630" s="900"/>
      <c r="J630" s="792" t="str">
        <f>IF(ISBLANK(HLOOKUP(CaseName,CaseData,MATCH($G630,cases!$G$4:$G$2494,0),FALSE)),"",HLOOKUP(CaseName,CaseData,MATCH($G630,cases!$G$4:$G$2494,0),FALSE))</f>
        <v/>
      </c>
      <c r="K630" s="798">
        <f>((L442*L414*L443+L441)/L347)</f>
        <v>5.0387931303446822E-8</v>
      </c>
      <c r="L630" s="794">
        <f t="shared" si="39"/>
        <v>5.0387931303446822E-8</v>
      </c>
      <c r="M630" s="796" t="s">
        <v>335</v>
      </c>
      <c r="N630" s="797" t="s">
        <v>1805</v>
      </c>
      <c r="O630" s="799"/>
      <c r="P630" s="797"/>
    </row>
    <row r="631" spans="1:19" ht="12.75" customHeight="1" x14ac:dyDescent="0.3">
      <c r="A631" s="797" t="s">
        <v>1816</v>
      </c>
      <c r="B631" s="797"/>
      <c r="C631" s="797"/>
      <c r="D631" s="797"/>
      <c r="E631" s="797"/>
      <c r="F631" s="797"/>
      <c r="G631" s="796" t="s">
        <v>3176</v>
      </c>
      <c r="H631" s="796" t="s">
        <v>335</v>
      </c>
      <c r="I631" s="900"/>
      <c r="J631" s="792" t="str">
        <f>IF(ISBLANK(HLOOKUP(CaseName,CaseData,MATCH($G631,cases!$G$4:$G$2494,0),FALSE)),"",HLOOKUP(CaseName,CaseData,MATCH($G631,cases!$G$4:$G$2494,0),FALSE))</f>
        <v/>
      </c>
      <c r="K631" s="798">
        <f>(L441)/L347</f>
        <v>1.9025875190258751E-11</v>
      </c>
      <c r="L631" s="794">
        <f t="shared" si="39"/>
        <v>1.9025875190258751E-11</v>
      </c>
      <c r="M631" s="796" t="s">
        <v>335</v>
      </c>
      <c r="N631" s="797" t="s">
        <v>1818</v>
      </c>
      <c r="O631" s="799"/>
      <c r="P631" s="797"/>
    </row>
    <row r="632" spans="1:19" ht="12.75" customHeight="1" x14ac:dyDescent="0.3">
      <c r="A632" s="785" t="s">
        <v>3177</v>
      </c>
      <c r="B632" s="784"/>
      <c r="C632" s="784"/>
      <c r="D632" s="784"/>
      <c r="E632" s="784"/>
      <c r="F632" s="784"/>
      <c r="G632" s="785"/>
      <c r="H632" s="785"/>
      <c r="I632" s="784"/>
      <c r="J632" s="792" t="str">
        <f>IF(ISBLANK(HLOOKUP(CaseName,CaseData,MATCH($G632,cases!$G$4:$G$2494,0),FALSE)),"",HLOOKUP(CaseName,CaseData,MATCH($G632,cases!$G$4:$G$2494,0),FALSE))</f>
        <v/>
      </c>
      <c r="K632" s="786"/>
      <c r="L632" s="787"/>
      <c r="N632" s="779"/>
      <c r="O632" s="782"/>
    </row>
    <row r="633" spans="1:19" ht="12.75" customHeight="1" x14ac:dyDescent="0.3">
      <c r="A633" s="796" t="s">
        <v>1267</v>
      </c>
      <c r="B633" s="797"/>
      <c r="C633" s="797"/>
      <c r="D633" s="797"/>
      <c r="E633" s="797"/>
      <c r="F633" s="797"/>
      <c r="G633" s="796" t="s">
        <v>3178</v>
      </c>
      <c r="H633" s="796" t="s">
        <v>4690</v>
      </c>
      <c r="I633" s="920"/>
      <c r="J633" s="792" t="str">
        <f>IF(ISBLANK(HLOOKUP(CaseName,CaseData,MATCH($G633,cases!$G$4:$G$2494,0),FALSE)),"",HLOOKUP(CaseName,CaseData,MATCH($G633,cases!$G$4:$G$2494,0),FALSE))</f>
        <v/>
      </c>
      <c r="K633" s="798">
        <f>L452+kdegS.a</f>
        <v>3.663258818281463E-10</v>
      </c>
      <c r="L633" s="794">
        <f t="shared" ref="L633:L649" si="40">IF(ISBLANK(I633),IF(ISNUMBER(J633)=FALSE,K633,J633),I633)</f>
        <v>3.663258818281463E-10</v>
      </c>
      <c r="M633" s="797" t="s">
        <v>1038</v>
      </c>
      <c r="N633" s="796"/>
      <c r="O633" s="799"/>
      <c r="P633" s="797"/>
      <c r="Q633" s="798"/>
      <c r="S633" s="603"/>
    </row>
    <row r="634" spans="1:19" ht="12.75" customHeight="1" x14ac:dyDescent="0.3">
      <c r="A634" s="796" t="s">
        <v>1267</v>
      </c>
      <c r="B634" s="797"/>
      <c r="C634" s="797"/>
      <c r="D634" s="797"/>
      <c r="E634" s="797"/>
      <c r="F634" s="797"/>
      <c r="G634" s="796" t="s">
        <v>3179</v>
      </c>
      <c r="H634" s="796" t="s">
        <v>4690</v>
      </c>
      <c r="I634" s="920"/>
      <c r="J634" s="792" t="str">
        <f>IF(ISBLANK(HLOOKUP(CaseName,CaseData,MATCH($G634,cases!$G$4:$G$2494,0),FALSE)),"",HLOOKUP(CaseName,CaseData,MATCH($G634,cases!$G$4:$G$2494,0),FALSE))</f>
        <v/>
      </c>
      <c r="K634" s="798">
        <f>L452+kdegA.a</f>
        <v>3.663258818281463E-10</v>
      </c>
      <c r="L634" s="794">
        <f t="shared" si="40"/>
        <v>3.663258818281463E-10</v>
      </c>
      <c r="M634" s="797" t="s">
        <v>1038</v>
      </c>
      <c r="N634" s="796"/>
      <c r="O634" s="799"/>
      <c r="P634" s="797"/>
      <c r="Q634" s="798"/>
      <c r="S634" s="603"/>
    </row>
    <row r="635" spans="1:19" ht="12.75" customHeight="1" x14ac:dyDescent="0.3">
      <c r="A635" s="796" t="s">
        <v>1267</v>
      </c>
      <c r="B635" s="797"/>
      <c r="C635" s="797"/>
      <c r="D635" s="797"/>
      <c r="E635" s="797"/>
      <c r="F635" s="797"/>
      <c r="G635" s="796" t="s">
        <v>3180</v>
      </c>
      <c r="H635" s="796" t="s">
        <v>4690</v>
      </c>
      <c r="I635" s="920"/>
      <c r="J635" s="792" t="str">
        <f>IF(ISBLANK(HLOOKUP(CaseName,CaseData,MATCH($G635,cases!$G$4:$G$2494,0),FALSE)),"",HLOOKUP(CaseName,CaseData,MATCH($G635,cases!$G$4:$G$2494,0),FALSE))</f>
        <v/>
      </c>
      <c r="K635" s="798">
        <f>L452+kdegP.a</f>
        <v>3.663258818281463E-10</v>
      </c>
      <c r="L635" s="794">
        <f t="shared" si="40"/>
        <v>3.663258818281463E-10</v>
      </c>
      <c r="M635" s="797" t="s">
        <v>1038</v>
      </c>
      <c r="N635" s="796"/>
      <c r="O635" s="799"/>
      <c r="P635" s="797"/>
      <c r="Q635" s="798"/>
      <c r="S635" s="603"/>
    </row>
    <row r="636" spans="1:19" ht="12.75" customHeight="1" x14ac:dyDescent="0.3">
      <c r="A636" s="796" t="s">
        <v>1268</v>
      </c>
      <c r="B636" s="797"/>
      <c r="C636" s="797"/>
      <c r="D636" s="797"/>
      <c r="E636" s="797"/>
      <c r="F636" s="797"/>
      <c r="G636" s="796" t="s">
        <v>3181</v>
      </c>
      <c r="H636" s="796" t="s">
        <v>4690</v>
      </c>
      <c r="I636" s="920"/>
      <c r="J636" s="792" t="str">
        <f>IF(ISBLANK(HLOOKUP(CaseName,CaseData,MATCH($G636,cases!$G$4:$G$2494,0),FALSE)),"",HLOOKUP(CaseName,CaseData,MATCH($G636,cases!$G$4:$G$2494,0),FALSE))</f>
        <v/>
      </c>
      <c r="K636" s="798">
        <f>kdegS.w2</f>
        <v>0</v>
      </c>
      <c r="L636" s="794">
        <f t="shared" si="40"/>
        <v>0</v>
      </c>
      <c r="M636" s="797" t="s">
        <v>1828</v>
      </c>
      <c r="N636" s="796"/>
      <c r="O636" s="799"/>
      <c r="P636" s="797"/>
      <c r="Q636" s="798"/>
      <c r="S636" s="603"/>
    </row>
    <row r="637" spans="1:19" ht="12.75" customHeight="1" x14ac:dyDescent="0.3">
      <c r="A637" s="796" t="s">
        <v>1268</v>
      </c>
      <c r="B637" s="797"/>
      <c r="C637" s="797"/>
      <c r="D637" s="797"/>
      <c r="E637" s="797"/>
      <c r="F637" s="797"/>
      <c r="G637" s="796" t="s">
        <v>3182</v>
      </c>
      <c r="H637" s="796" t="s">
        <v>4690</v>
      </c>
      <c r="I637" s="920"/>
      <c r="J637" s="792" t="str">
        <f>IF(ISBLANK(HLOOKUP(CaseName,CaseData,MATCH($G637,cases!$G$4:$G$2494,0),FALSE)),"",HLOOKUP(CaseName,CaseData,MATCH($G637,cases!$G$4:$G$2494,0),FALSE))</f>
        <v/>
      </c>
      <c r="K637" s="798">
        <f>kdegA.w2</f>
        <v>0</v>
      </c>
      <c r="L637" s="794">
        <f t="shared" si="40"/>
        <v>0</v>
      </c>
      <c r="M637" s="797" t="s">
        <v>1828</v>
      </c>
      <c r="N637" s="796"/>
      <c r="O637" s="799"/>
      <c r="P637" s="797"/>
      <c r="Q637" s="798"/>
      <c r="S637" s="603"/>
    </row>
    <row r="638" spans="1:19" ht="12.75" customHeight="1" x14ac:dyDescent="0.3">
      <c r="A638" s="796" t="s">
        <v>1268</v>
      </c>
      <c r="B638" s="797"/>
      <c r="C638" s="797"/>
      <c r="D638" s="797"/>
      <c r="E638" s="797"/>
      <c r="F638" s="797"/>
      <c r="G638" s="796" t="s">
        <v>3183</v>
      </c>
      <c r="H638" s="796" t="s">
        <v>4690</v>
      </c>
      <c r="I638" s="920"/>
      <c r="J638" s="792" t="str">
        <f>IF(ISBLANK(HLOOKUP(CaseName,CaseData,MATCH($G638,cases!$G$4:$G$2494,0),FALSE)),"",HLOOKUP(CaseName,CaseData,MATCH($G638,cases!$G$4:$G$2494,0),FALSE))</f>
        <v/>
      </c>
      <c r="K638" s="798">
        <f>kdegP.w2</f>
        <v>0</v>
      </c>
      <c r="L638" s="794">
        <f t="shared" si="40"/>
        <v>0</v>
      </c>
      <c r="M638" s="797" t="s">
        <v>1828</v>
      </c>
      <c r="N638" s="796"/>
      <c r="O638" s="799"/>
      <c r="P638" s="797"/>
      <c r="Q638" s="798"/>
      <c r="S638" s="603"/>
    </row>
    <row r="639" spans="1:19" ht="12.75" customHeight="1" x14ac:dyDescent="0.3">
      <c r="A639" s="796" t="s">
        <v>1269</v>
      </c>
      <c r="B639" s="797"/>
      <c r="C639" s="797"/>
      <c r="D639" s="797"/>
      <c r="E639" s="797"/>
      <c r="F639" s="797"/>
      <c r="G639" s="796" t="s">
        <v>3184</v>
      </c>
      <c r="H639" s="796" t="s">
        <v>4690</v>
      </c>
      <c r="I639" s="920"/>
      <c r="J639" s="792" t="str">
        <f>IF(ISBLANK(HLOOKUP(CaseName,CaseData,MATCH($G639,cases!$G$4:$G$2494,0),FALSE)),"",HLOOKUP(CaseName,CaseData,MATCH($G639,cases!$G$4:$G$2494,0),FALSE))</f>
        <v/>
      </c>
      <c r="K639" s="798">
        <f>kdegS.w3</f>
        <v>0</v>
      </c>
      <c r="L639" s="794">
        <f t="shared" si="40"/>
        <v>0</v>
      </c>
      <c r="M639" s="797" t="s">
        <v>1828</v>
      </c>
      <c r="N639" s="796"/>
      <c r="O639" s="799"/>
      <c r="P639" s="797"/>
      <c r="Q639" s="798"/>
      <c r="S639" s="603"/>
    </row>
    <row r="640" spans="1:19" ht="12.75" customHeight="1" x14ac:dyDescent="0.3">
      <c r="A640" s="796" t="s">
        <v>1269</v>
      </c>
      <c r="B640" s="797"/>
      <c r="C640" s="797"/>
      <c r="D640" s="797"/>
      <c r="E640" s="797"/>
      <c r="F640" s="797"/>
      <c r="G640" s="796" t="s">
        <v>3185</v>
      </c>
      <c r="H640" s="796" t="s">
        <v>4690</v>
      </c>
      <c r="I640" s="920"/>
      <c r="J640" s="792" t="str">
        <f>IF(ISBLANK(HLOOKUP(CaseName,CaseData,MATCH($G640,cases!$G$4:$G$2494,0),FALSE)),"",HLOOKUP(CaseName,CaseData,MATCH($G640,cases!$G$4:$G$2494,0),FALSE))</f>
        <v/>
      </c>
      <c r="K640" s="798">
        <f>kdegA.w3</f>
        <v>0</v>
      </c>
      <c r="L640" s="794">
        <f t="shared" si="40"/>
        <v>0</v>
      </c>
      <c r="M640" s="797" t="s">
        <v>1828</v>
      </c>
      <c r="N640" s="796"/>
      <c r="O640" s="799"/>
      <c r="P640" s="797"/>
      <c r="Q640" s="798"/>
      <c r="S640" s="603"/>
    </row>
    <row r="641" spans="1:19" ht="12.75" customHeight="1" x14ac:dyDescent="0.3">
      <c r="A641" s="796" t="s">
        <v>1269</v>
      </c>
      <c r="B641" s="797"/>
      <c r="C641" s="797"/>
      <c r="D641" s="797"/>
      <c r="E641" s="797"/>
      <c r="F641" s="797"/>
      <c r="G641" s="796" t="s">
        <v>3186</v>
      </c>
      <c r="H641" s="796" t="s">
        <v>4690</v>
      </c>
      <c r="I641" s="920"/>
      <c r="J641" s="792" t="str">
        <f>IF(ISBLANK(HLOOKUP(CaseName,CaseData,MATCH($G641,cases!$G$4:$G$2494,0),FALSE)),"",HLOOKUP(CaseName,CaseData,MATCH($G641,cases!$G$4:$G$2494,0),FALSE))</f>
        <v/>
      </c>
      <c r="K641" s="798">
        <f>kdegP.w3</f>
        <v>0</v>
      </c>
      <c r="L641" s="794">
        <f t="shared" si="40"/>
        <v>0</v>
      </c>
      <c r="M641" s="797" t="s">
        <v>1828</v>
      </c>
      <c r="N641" s="796"/>
      <c r="O641" s="799"/>
      <c r="P641" s="797"/>
      <c r="Q641" s="798"/>
      <c r="S641" s="603"/>
    </row>
    <row r="642" spans="1:19" ht="12.75" customHeight="1" x14ac:dyDescent="0.3">
      <c r="A642" s="796" t="s">
        <v>1271</v>
      </c>
      <c r="B642" s="797"/>
      <c r="C642" s="797"/>
      <c r="D642" s="797"/>
      <c r="E642" s="797"/>
      <c r="F642" s="797"/>
      <c r="G642" s="796" t="s">
        <v>3187</v>
      </c>
      <c r="H642" s="796" t="s">
        <v>4690</v>
      </c>
      <c r="I642" s="920"/>
      <c r="J642" s="792" t="str">
        <f>IF(ISBLANK(HLOOKUP(CaseName,CaseData,MATCH($G642,cases!$G$4:$G$2494,0),FALSE)),"",HLOOKUP(CaseName,CaseData,MATCH($G642,cases!$G$4:$G$2494,0),FALSE))</f>
        <v/>
      </c>
      <c r="K642" s="798">
        <f>L649+kdegS.sd2</f>
        <v>2.1139861322509499E-12</v>
      </c>
      <c r="L642" s="794">
        <f t="shared" si="40"/>
        <v>2.1139861322509499E-12</v>
      </c>
      <c r="M642" s="797" t="s">
        <v>1828</v>
      </c>
      <c r="N642" s="796"/>
      <c r="O642" s="799"/>
      <c r="P642" s="603"/>
      <c r="Q642" s="798"/>
      <c r="S642" s="603"/>
    </row>
    <row r="643" spans="1:19" ht="12.75" customHeight="1" x14ac:dyDescent="0.3">
      <c r="A643" s="796" t="s">
        <v>1271</v>
      </c>
      <c r="B643" s="797"/>
      <c r="C643" s="797"/>
      <c r="D643" s="797"/>
      <c r="E643" s="797"/>
      <c r="F643" s="797"/>
      <c r="G643" s="796" t="s">
        <v>3188</v>
      </c>
      <c r="H643" s="796" t="s">
        <v>4690</v>
      </c>
      <c r="I643" s="920"/>
      <c r="J643" s="792" t="str">
        <f>IF(ISBLANK(HLOOKUP(CaseName,CaseData,MATCH($G643,cases!$G$4:$G$2494,0),FALSE)),"",HLOOKUP(CaseName,CaseData,MATCH($G643,cases!$G$4:$G$2494,0),FALSE))</f>
        <v/>
      </c>
      <c r="K643" s="798">
        <f>L649+kdegA.sd2</f>
        <v>2.1139861322509499E-12</v>
      </c>
      <c r="L643" s="794">
        <f t="shared" si="40"/>
        <v>2.1139861322509499E-12</v>
      </c>
      <c r="M643" s="797" t="s">
        <v>1828</v>
      </c>
      <c r="N643" s="796"/>
      <c r="O643" s="799"/>
      <c r="P643" s="603"/>
      <c r="Q643" s="798"/>
      <c r="S643" s="603"/>
    </row>
    <row r="644" spans="1:19" ht="12.75" customHeight="1" x14ac:dyDescent="0.3">
      <c r="A644" s="796" t="s">
        <v>1271</v>
      </c>
      <c r="B644" s="797"/>
      <c r="C644" s="797"/>
      <c r="D644" s="797"/>
      <c r="E644" s="797"/>
      <c r="F644" s="797"/>
      <c r="G644" s="796" t="s">
        <v>3189</v>
      </c>
      <c r="H644" s="796" t="s">
        <v>4690</v>
      </c>
      <c r="I644" s="920"/>
      <c r="J644" s="792" t="str">
        <f>IF(ISBLANK(HLOOKUP(CaseName,CaseData,MATCH($G644,cases!$G$4:$G$2494,0),FALSE)),"",HLOOKUP(CaseName,CaseData,MATCH($G644,cases!$G$4:$G$2494,0),FALSE))</f>
        <v/>
      </c>
      <c r="K644" s="798">
        <f>L649+kdegP.sd2</f>
        <v>2.1139861322509499E-12</v>
      </c>
      <c r="L644" s="794">
        <f t="shared" si="40"/>
        <v>2.1139861322509499E-12</v>
      </c>
      <c r="M644" s="797" t="s">
        <v>1828</v>
      </c>
      <c r="N644" s="796"/>
      <c r="O644" s="799"/>
      <c r="P644" s="603"/>
      <c r="Q644" s="798"/>
      <c r="S644" s="603"/>
    </row>
    <row r="645" spans="1:19" ht="12.75" customHeight="1" x14ac:dyDescent="0.3">
      <c r="A645" s="796" t="s">
        <v>1275</v>
      </c>
      <c r="B645" s="797"/>
      <c r="C645" s="797"/>
      <c r="D645" s="797"/>
      <c r="E645" s="797"/>
      <c r="F645" s="797"/>
      <c r="G645" s="796" t="s">
        <v>3190</v>
      </c>
      <c r="H645" s="796" t="s">
        <v>4690</v>
      </c>
      <c r="I645" s="920"/>
      <c r="J645" s="792" t="str">
        <f>IF(ISBLANK(HLOOKUP(CaseName,CaseData,MATCH($G645,cases!$G$4:$G$2494,0),FALSE)),"",HLOOKUP(CaseName,CaseData,MATCH($G645,cases!$G$4:$G$2494,0),FALSE))</f>
        <v/>
      </c>
      <c r="K645" s="798">
        <f>L648+kdegS.s1</f>
        <v>3.3938301517754099E-10</v>
      </c>
      <c r="L645" s="794">
        <f t="shared" si="40"/>
        <v>3.3938301517754099E-10</v>
      </c>
      <c r="M645" s="797" t="s">
        <v>1828</v>
      </c>
      <c r="N645" s="796"/>
      <c r="O645" s="799"/>
      <c r="P645" s="603"/>
      <c r="Q645" s="798"/>
      <c r="S645" s="603"/>
    </row>
    <row r="646" spans="1:19" ht="12.75" customHeight="1" x14ac:dyDescent="0.3">
      <c r="A646" s="796" t="s">
        <v>1275</v>
      </c>
      <c r="B646" s="797"/>
      <c r="C646" s="797"/>
      <c r="D646" s="797"/>
      <c r="E646" s="797"/>
      <c r="F646" s="797"/>
      <c r="G646" s="796" t="s">
        <v>3191</v>
      </c>
      <c r="H646" s="796" t="s">
        <v>4690</v>
      </c>
      <c r="I646" s="920"/>
      <c r="J646" s="792" t="str">
        <f>IF(ISBLANK(HLOOKUP(CaseName,CaseData,MATCH($G646,cases!$G$4:$G$2494,0),FALSE)),"",HLOOKUP(CaseName,CaseData,MATCH($G646,cases!$G$4:$G$2494,0),FALSE))</f>
        <v/>
      </c>
      <c r="K646" s="798">
        <f>L648+kdegA.s1</f>
        <v>3.3938301517754099E-10</v>
      </c>
      <c r="L646" s="794">
        <f t="shared" si="40"/>
        <v>3.3938301517754099E-10</v>
      </c>
      <c r="M646" s="797" t="s">
        <v>1828</v>
      </c>
      <c r="N646" s="796"/>
      <c r="O646" s="799"/>
      <c r="P646" s="603"/>
      <c r="Q646" s="798"/>
      <c r="S646" s="603"/>
    </row>
    <row r="647" spans="1:19" ht="12.75" customHeight="1" x14ac:dyDescent="0.3">
      <c r="A647" s="796" t="s">
        <v>1275</v>
      </c>
      <c r="B647" s="797"/>
      <c r="C647" s="797"/>
      <c r="D647" s="797"/>
      <c r="E647" s="797"/>
      <c r="F647" s="797"/>
      <c r="G647" s="796" t="s">
        <v>3192</v>
      </c>
      <c r="H647" s="796" t="s">
        <v>4690</v>
      </c>
      <c r="I647" s="920"/>
      <c r="J647" s="792" t="str">
        <f>IF(ISBLANK(HLOOKUP(CaseName,CaseData,MATCH($G647,cases!$G$4:$G$2494,0),FALSE)),"",HLOOKUP(CaseName,CaseData,MATCH($G647,cases!$G$4:$G$2494,0),FALSE))</f>
        <v/>
      </c>
      <c r="K647" s="798">
        <f>kdegP.s1</f>
        <v>0</v>
      </c>
      <c r="L647" s="794">
        <f t="shared" si="40"/>
        <v>0</v>
      </c>
      <c r="M647" s="797" t="s">
        <v>1828</v>
      </c>
      <c r="N647" s="796"/>
      <c r="O647" s="799"/>
      <c r="P647" s="797"/>
      <c r="Q647" s="798"/>
      <c r="S647" s="603"/>
    </row>
    <row r="648" spans="1:19" ht="12.75" customHeight="1" x14ac:dyDescent="0.3">
      <c r="A648" s="797"/>
      <c r="B648" s="797" t="s">
        <v>1855</v>
      </c>
      <c r="C648" s="797"/>
      <c r="D648" s="797"/>
      <c r="E648" s="797"/>
      <c r="F648" s="797"/>
      <c r="G648" s="796" t="s">
        <v>3193</v>
      </c>
      <c r="H648" s="796" t="s">
        <v>335</v>
      </c>
      <c r="I648" s="900"/>
      <c r="J648" s="792" t="str">
        <f>IF(ISBLANK(HLOOKUP(CaseName,CaseData,MATCH($G648,cases!$G$4:$G$2494,0),FALSE)),"",HLOOKUP(CaseName,CaseData,MATCH($G648,cases!$G$4:$G$2494,0),FALSE))</f>
        <v/>
      </c>
      <c r="K648" s="798">
        <f>(L463*L414*L464)/L347</f>
        <v>3.3938301517754099E-10</v>
      </c>
      <c r="L648" s="794">
        <f t="shared" si="40"/>
        <v>3.3938301517754099E-10</v>
      </c>
      <c r="M648" s="797" t="s">
        <v>1828</v>
      </c>
      <c r="N648" s="797" t="s">
        <v>1857</v>
      </c>
      <c r="O648" s="799"/>
      <c r="P648" s="797"/>
    </row>
    <row r="649" spans="1:19" s="826" customFormat="1" ht="12.75" customHeight="1" x14ac:dyDescent="0.3">
      <c r="A649" s="852"/>
      <c r="B649" s="852" t="s">
        <v>1862</v>
      </c>
      <c r="C649" s="852"/>
      <c r="D649" s="852"/>
      <c r="E649" s="852"/>
      <c r="F649" s="852"/>
      <c r="G649" s="853" t="s">
        <v>3194</v>
      </c>
      <c r="H649" s="853" t="s">
        <v>335</v>
      </c>
      <c r="I649" s="908"/>
      <c r="J649" s="792" t="str">
        <f>IF(ISBLANK(HLOOKUP(CaseName,CaseData,MATCH($G649,cases!$G$4:$G$2494,0),FALSE)),"",HLOOKUP(CaseName,CaseData,MATCH($G649,cases!$G$4:$G$2494,0),FALSE))</f>
        <v/>
      </c>
      <c r="K649" s="902">
        <f>L433/L346</f>
        <v>2.1139861322509499E-12</v>
      </c>
      <c r="L649" s="850">
        <f t="shared" si="40"/>
        <v>2.1139861322509499E-12</v>
      </c>
      <c r="M649" s="852" t="s">
        <v>1828</v>
      </c>
      <c r="N649" s="852" t="s">
        <v>1864</v>
      </c>
      <c r="O649" s="854"/>
      <c r="P649" s="852"/>
    </row>
    <row r="650" spans="1:19" ht="12.75" customHeight="1" x14ac:dyDescent="0.3">
      <c r="A650" s="70"/>
      <c r="B650" s="5"/>
      <c r="C650" s="860"/>
      <c r="D650" s="860"/>
      <c r="E650" s="860"/>
      <c r="F650" s="860"/>
      <c r="G650" s="860"/>
      <c r="H650" s="821"/>
      <c r="I650" s="862"/>
      <c r="J650" s="792"/>
      <c r="K650" s="863"/>
      <c r="L650" s="863"/>
      <c r="M650" s="860"/>
      <c r="N650" s="860"/>
    </row>
    <row r="651" spans="1:19" ht="12.75" customHeight="1" x14ac:dyDescent="0.3">
      <c r="A651" s="70"/>
      <c r="B651" s="5"/>
      <c r="C651" s="860"/>
      <c r="D651" s="860"/>
      <c r="E651" s="860"/>
      <c r="F651" s="860"/>
      <c r="G651" s="860"/>
      <c r="H651" s="821"/>
      <c r="I651" s="862"/>
      <c r="J651" s="792"/>
      <c r="K651" s="863"/>
      <c r="L651" s="863"/>
      <c r="M651" s="860"/>
      <c r="N651" s="860"/>
    </row>
    <row r="652" spans="1:19" ht="12.75" customHeight="1" x14ac:dyDescent="0.3">
      <c r="A652" s="98" t="s">
        <v>3195</v>
      </c>
      <c r="B652" s="5"/>
      <c r="C652" s="860"/>
      <c r="D652" s="860"/>
      <c r="E652" s="860"/>
      <c r="F652" s="860"/>
      <c r="G652" s="860"/>
      <c r="H652" s="821"/>
      <c r="I652" s="862"/>
      <c r="J652" s="792"/>
      <c r="K652" s="863"/>
      <c r="L652" s="863"/>
      <c r="M652" s="860"/>
      <c r="N652" s="860"/>
    </row>
    <row r="653" spans="1:19" ht="12.75" customHeight="1" x14ac:dyDescent="0.3">
      <c r="A653" s="860"/>
      <c r="B653" s="860"/>
      <c r="C653" s="860"/>
      <c r="D653" s="860"/>
      <c r="E653" s="860"/>
      <c r="F653" s="860"/>
      <c r="G653" s="860"/>
      <c r="H653" s="821"/>
      <c r="I653" s="862"/>
      <c r="J653" s="792"/>
      <c r="K653" s="863"/>
      <c r="L653" s="886"/>
      <c r="M653" s="860"/>
      <c r="N653" s="860"/>
    </row>
    <row r="654" spans="1:19" ht="12.75" customHeight="1" x14ac:dyDescent="0.3">
      <c r="A654" s="864" t="s">
        <v>947</v>
      </c>
      <c r="B654" s="864"/>
      <c r="C654" s="864"/>
      <c r="D654" s="864"/>
      <c r="E654" s="864"/>
      <c r="F654" s="864"/>
      <c r="G654" s="865" t="s">
        <v>258</v>
      </c>
      <c r="H654" s="865" t="s">
        <v>274</v>
      </c>
      <c r="I654" s="864" t="s">
        <v>259</v>
      </c>
      <c r="J654" s="910" t="s">
        <v>2875</v>
      </c>
      <c r="K654" s="867" t="s">
        <v>260</v>
      </c>
      <c r="L654" s="867" t="s">
        <v>261</v>
      </c>
      <c r="M654" s="864"/>
      <c r="N654" s="865" t="s">
        <v>262</v>
      </c>
    </row>
    <row r="655" spans="1:19" ht="12.75" customHeight="1" x14ac:dyDescent="0.3">
      <c r="A655" s="860"/>
      <c r="B655" s="860"/>
      <c r="C655" s="860"/>
      <c r="D655" s="860"/>
      <c r="E655" s="860"/>
      <c r="F655" s="860"/>
      <c r="G655" s="860"/>
      <c r="H655" s="821"/>
      <c r="I655" s="862"/>
      <c r="J655" s="792"/>
      <c r="K655" s="863"/>
      <c r="L655" s="886"/>
      <c r="M655" s="860"/>
      <c r="N655" s="860"/>
    </row>
    <row r="656" spans="1:19" ht="12.75" customHeight="1" x14ac:dyDescent="0.3">
      <c r="A656" s="821" t="s">
        <v>948</v>
      </c>
      <c r="B656" s="860"/>
      <c r="C656" s="860"/>
      <c r="D656" s="860"/>
      <c r="E656" s="860"/>
      <c r="F656" s="860"/>
      <c r="G656" s="821" t="s">
        <v>3196</v>
      </c>
      <c r="H656" s="821" t="s">
        <v>4683</v>
      </c>
      <c r="I656" s="869"/>
      <c r="J656" s="792" t="str">
        <f>IF(ISBLANK(HLOOKUP(CaseName,CaseData,MATCH($G656,cases!$G$4:$G$2494,0),FALSE)),"",HLOOKUP(CaseName,CaseData,MATCH($G656,cases!$G$4:$G$2494,0),FALSE))</f>
        <v/>
      </c>
      <c r="K656" s="874">
        <f>L662*L665*(1-L670)</f>
        <v>1.2749996175E+17</v>
      </c>
      <c r="L656" s="794">
        <f t="shared" ref="L656:L661" si="41">IF(ISBLANK(I656),IF(ISNUMBER(J656)=FALSE,K656,J656),I656)</f>
        <v>1.2749996175E+17</v>
      </c>
      <c r="M656" s="821" t="s">
        <v>951</v>
      </c>
      <c r="N656" s="860"/>
    </row>
    <row r="657" spans="1:14" ht="12.75" customHeight="1" x14ac:dyDescent="0.3">
      <c r="A657" s="796" t="s">
        <v>1871</v>
      </c>
      <c r="B657" s="797"/>
      <c r="C657" s="797"/>
      <c r="D657" s="797"/>
      <c r="E657" s="797"/>
      <c r="F657" s="797"/>
      <c r="G657" s="796" t="s">
        <v>3197</v>
      </c>
      <c r="H657" s="797" t="s">
        <v>4683</v>
      </c>
      <c r="I657" s="922"/>
      <c r="J657" s="792" t="str">
        <f>IF(ISBLANK(HLOOKUP(CaseName,CaseData,MATCH($G657,cases!$G$4:$G$2494,0),FALSE)),"",HLOOKUP(CaseName,CaseData,MATCH($G657,cases!$G$4:$G$2494,0),FALSE))</f>
        <v/>
      </c>
      <c r="K657" s="923">
        <f>L670*L656</f>
        <v>38249988525</v>
      </c>
      <c r="L657" s="924">
        <f t="shared" si="41"/>
        <v>38249988525</v>
      </c>
      <c r="M657" s="796" t="s">
        <v>951</v>
      </c>
      <c r="N657" s="797"/>
    </row>
    <row r="658" spans="1:14" ht="12.75" customHeight="1" x14ac:dyDescent="0.3">
      <c r="A658" s="860" t="s">
        <v>4797</v>
      </c>
      <c r="B658" s="860"/>
      <c r="C658" s="860"/>
      <c r="D658" s="860"/>
      <c r="E658" s="860"/>
      <c r="F658" s="860"/>
      <c r="G658" s="821" t="s">
        <v>3198</v>
      </c>
      <c r="H658" s="860" t="s">
        <v>4683</v>
      </c>
      <c r="I658" s="869"/>
      <c r="J658" s="792" t="str">
        <f>IF(ISBLANK(HLOOKUP(CaseName,CaseData,MATCH($G658,cases!$G$4:$G$2494,0),FALSE)),"",HLOOKUP(CaseName,CaseData,MATCH($G658,cases!$G$4:$G$2494,0),FALSE))</f>
        <v/>
      </c>
      <c r="K658" s="874">
        <f>L662*L666*L663</f>
        <v>8924999999999999</v>
      </c>
      <c r="L658" s="794">
        <f t="shared" si="41"/>
        <v>8924999999999999</v>
      </c>
      <c r="M658" s="821" t="s">
        <v>951</v>
      </c>
      <c r="N658" s="860"/>
    </row>
    <row r="659" spans="1:14" ht="12.75" customHeight="1" x14ac:dyDescent="0.3">
      <c r="A659" s="821" t="s">
        <v>2879</v>
      </c>
      <c r="B659" s="860"/>
      <c r="C659" s="860"/>
      <c r="D659" s="860"/>
      <c r="E659" s="860"/>
      <c r="F659" s="860"/>
      <c r="G659" s="821" t="s">
        <v>3199</v>
      </c>
      <c r="H659" s="860" t="s">
        <v>4683</v>
      </c>
      <c r="I659" s="869"/>
      <c r="J659" s="792" t="str">
        <f>IF(ISBLANK(HLOOKUP(CaseName,CaseData,MATCH($G659,cases!$G$4:$G$2494,0),FALSE)),"",HLOOKUP(CaseName,CaseData,MATCH($G659,cases!$G$4:$G$2494,0),FALSE))</f>
        <v/>
      </c>
      <c r="K659" s="874">
        <f>L662*L667*L663</f>
        <v>2.6774999999999997E+17</v>
      </c>
      <c r="L659" s="794">
        <f t="shared" si="41"/>
        <v>2.6774999999999997E+17</v>
      </c>
      <c r="M659" s="821" t="s">
        <v>951</v>
      </c>
      <c r="N659" s="860"/>
    </row>
    <row r="660" spans="1:14" ht="12.75" customHeight="1" x14ac:dyDescent="0.3">
      <c r="A660" s="821" t="s">
        <v>2470</v>
      </c>
      <c r="B660" s="860"/>
      <c r="C660" s="860"/>
      <c r="D660" s="860"/>
      <c r="E660" s="860"/>
      <c r="F660" s="860"/>
      <c r="G660" s="821" t="s">
        <v>3200</v>
      </c>
      <c r="H660" s="821" t="s">
        <v>4683</v>
      </c>
      <c r="I660" s="869"/>
      <c r="J660" s="792" t="str">
        <f>IF(ISBLANK(HLOOKUP(CaseName,CaseData,MATCH($G660,cases!$G$4:$G$2494,0),FALSE)),"",HLOOKUP(CaseName,CaseData,MATCH($G660,cases!$G$4:$G$2494,0),FALSE))</f>
        <v/>
      </c>
      <c r="K660" s="874">
        <f>L662*L668*L663</f>
        <v>2677500000000</v>
      </c>
      <c r="L660" s="794">
        <f t="shared" si="41"/>
        <v>2677500000000</v>
      </c>
      <c r="M660" s="821" t="s">
        <v>951</v>
      </c>
      <c r="N660" s="860"/>
    </row>
    <row r="661" spans="1:14" ht="12.75" customHeight="1" x14ac:dyDescent="0.3">
      <c r="A661" s="821" t="s">
        <v>2472</v>
      </c>
      <c r="B661" s="860"/>
      <c r="C661" s="860"/>
      <c r="D661" s="860"/>
      <c r="E661" s="860"/>
      <c r="F661" s="860"/>
      <c r="G661" s="821" t="s">
        <v>3201</v>
      </c>
      <c r="H661" s="821" t="s">
        <v>4683</v>
      </c>
      <c r="I661" s="869"/>
      <c r="J661" s="792" t="str">
        <f>IF(ISBLANK(HLOOKUP(CaseName,CaseData,MATCH($G661,cases!$G$4:$G$2494,0),FALSE)),"",HLOOKUP(CaseName,CaseData,MATCH($G661,cases!$G$4:$G$2494,0),FALSE))</f>
        <v/>
      </c>
      <c r="K661" s="874">
        <f>L662*L664*L669</f>
        <v>1912500000000.0005</v>
      </c>
      <c r="L661" s="794">
        <f t="shared" si="41"/>
        <v>1912500000000.0005</v>
      </c>
      <c r="M661" s="821" t="s">
        <v>951</v>
      </c>
      <c r="N661" s="860"/>
    </row>
    <row r="662" spans="1:14" ht="12.75" customHeight="1" x14ac:dyDescent="0.3">
      <c r="A662" s="860"/>
      <c r="B662" s="821" t="s">
        <v>3202</v>
      </c>
      <c r="C662" s="860"/>
      <c r="D662" s="860"/>
      <c r="E662" s="860"/>
      <c r="F662" s="860"/>
      <c r="G662" s="821" t="s">
        <v>3203</v>
      </c>
      <c r="H662" s="821" t="s">
        <v>4684</v>
      </c>
      <c r="I662" s="869"/>
      <c r="J662" s="792" t="str">
        <f>IF(ISBLANK(HLOOKUP(CaseName,CaseData,MATCH($G662,cases!$G$4:$G$2494,0),FALSE)),"",HLOOKUP(CaseName,CaseData,MATCH($G662,cases!$G$4:$G$2494,0),FALSE))</f>
        <v/>
      </c>
      <c r="K662" s="914">
        <v>127500000</v>
      </c>
      <c r="L662" s="794">
        <f>IF(ISBLANK(I662),IF(ISNUMBER(J662)=FALSE,K662*1000000,J662*1000000),I662*1000000)</f>
        <v>127500000000000</v>
      </c>
      <c r="M662" s="821" t="s">
        <v>673</v>
      </c>
      <c r="N662" s="860"/>
    </row>
    <row r="663" spans="1:14" ht="12.75" customHeight="1" x14ac:dyDescent="0.3">
      <c r="A663" s="860"/>
      <c r="B663" s="821" t="s">
        <v>4767</v>
      </c>
      <c r="C663" s="860"/>
      <c r="D663" s="860"/>
      <c r="E663" s="860"/>
      <c r="F663" s="860"/>
      <c r="G663" s="872" t="s">
        <v>3204</v>
      </c>
      <c r="H663" s="821" t="s">
        <v>291</v>
      </c>
      <c r="I663" s="869"/>
      <c r="J663" s="792" t="str">
        <f>IF(ISBLANK(HLOOKUP(CaseName,CaseData,MATCH($G663,cases!$G$4:$G$2494,0),FALSE)),"",HLOOKUP(CaseName,CaseData,MATCH($G663,cases!$G$4:$G$2494,0),FALSE))</f>
        <v/>
      </c>
      <c r="K663" s="914">
        <v>0.7</v>
      </c>
      <c r="L663" s="794">
        <f>IF(ISBLANK(I663),IF(ISNUMBER(J663)=FALSE,K663,J663),I663)</f>
        <v>0.7</v>
      </c>
      <c r="M663" s="860" t="s">
        <v>292</v>
      </c>
      <c r="N663" s="860"/>
    </row>
    <row r="664" spans="1:14" ht="12.75" customHeight="1" x14ac:dyDescent="0.3">
      <c r="A664" s="860"/>
      <c r="B664" s="821" t="s">
        <v>4768</v>
      </c>
      <c r="C664" s="860"/>
      <c r="D664" s="860"/>
      <c r="E664" s="860"/>
      <c r="F664" s="860"/>
      <c r="G664" s="872" t="s">
        <v>3205</v>
      </c>
      <c r="H664" s="821" t="s">
        <v>291</v>
      </c>
      <c r="I664" s="869"/>
      <c r="J664" s="792" t="str">
        <f>IF(ISBLANK(HLOOKUP(CaseName,CaseData,MATCH($G664,cases!$G$4:$G$2494,0),FALSE)),"",HLOOKUP(CaseName,CaseData,MATCH($G664,cases!$G$4:$G$2494,0),FALSE))</f>
        <v/>
      </c>
      <c r="K664" s="874">
        <f>1-L663</f>
        <v>0.30000000000000004</v>
      </c>
      <c r="L664" s="794">
        <f>IF(ISBLANK(I664),IF(ISNUMBER(J664)=FALSE,K664,J664),I664)</f>
        <v>0.30000000000000004</v>
      </c>
      <c r="M664" s="860" t="s">
        <v>292</v>
      </c>
      <c r="N664" s="860"/>
    </row>
    <row r="665" spans="1:14" ht="12.75" customHeight="1" x14ac:dyDescent="0.3">
      <c r="A665" s="860"/>
      <c r="B665" s="860"/>
      <c r="C665" s="821" t="s">
        <v>987</v>
      </c>
      <c r="D665" s="860"/>
      <c r="E665" s="860"/>
      <c r="F665" s="860"/>
      <c r="G665" s="872" t="s">
        <v>3206</v>
      </c>
      <c r="H665" s="821" t="s">
        <v>813</v>
      </c>
      <c r="I665" s="869"/>
      <c r="J665" s="792" t="str">
        <f>IF(ISBLANK(HLOOKUP(CaseName,CaseData,MATCH($G665,cases!$G$4:$G$2494,0),FALSE)),"",HLOOKUP(CaseName,CaseData,MATCH($G665,cases!$G$4:$G$2494,0),FALSE))</f>
        <v/>
      </c>
      <c r="K665" s="914">
        <v>1000</v>
      </c>
      <c r="L665" s="794">
        <f>IF(ISBLANK(I665),IF(ISNUMBER(J665)=FALSE,K665,J665),I665)</f>
        <v>1000</v>
      </c>
      <c r="M665" s="821" t="s">
        <v>279</v>
      </c>
      <c r="N665" s="860"/>
    </row>
    <row r="666" spans="1:14" ht="12.75" customHeight="1" x14ac:dyDescent="0.3">
      <c r="A666" s="860"/>
      <c r="B666" s="860"/>
      <c r="C666" s="821" t="s">
        <v>2888</v>
      </c>
      <c r="D666" s="860"/>
      <c r="E666" s="860"/>
      <c r="F666" s="860"/>
      <c r="G666" s="872" t="s">
        <v>3207</v>
      </c>
      <c r="H666" s="821" t="s">
        <v>813</v>
      </c>
      <c r="I666" s="875"/>
      <c r="J666" s="792" t="str">
        <f>IF(ISBLANK(HLOOKUP(CaseName,CaseData,MATCH($G666,cases!$G$4:$G$2494,0),FALSE)),"",HLOOKUP(CaseName,CaseData,MATCH($G666,cases!$G$4:$G$2494,0),FALSE))</f>
        <v/>
      </c>
      <c r="K666" s="914">
        <v>100</v>
      </c>
      <c r="L666" s="794">
        <f>IF(ISBLANK(I666),IF(ISNUMBER(J666)=FALSE,K666,J666),I666)</f>
        <v>100</v>
      </c>
      <c r="M666" s="821" t="s">
        <v>279</v>
      </c>
      <c r="N666" s="860"/>
    </row>
    <row r="667" spans="1:14" ht="12.75" customHeight="1" x14ac:dyDescent="0.3">
      <c r="A667" s="860"/>
      <c r="B667" s="860"/>
      <c r="C667" s="821" t="s">
        <v>2890</v>
      </c>
      <c r="D667" s="860"/>
      <c r="E667" s="860"/>
      <c r="F667" s="860"/>
      <c r="G667" s="872" t="s">
        <v>3208</v>
      </c>
      <c r="H667" s="821" t="s">
        <v>813</v>
      </c>
      <c r="I667" s="869"/>
      <c r="J667" s="792" t="str">
        <f>IF(ISBLANK(HLOOKUP(CaseName,CaseData,MATCH($G667,cases!$G$4:$G$2494,0),FALSE)),"",HLOOKUP(CaseName,CaseData,MATCH($G667,cases!$G$4:$G$2494,0),FALSE))</f>
        <v/>
      </c>
      <c r="K667" s="874">
        <v>3000</v>
      </c>
      <c r="L667" s="794">
        <f>IF(ISBLANK(I667),IF(ISNUMBER(J667)=FALSE,K667,J667),I667)</f>
        <v>3000</v>
      </c>
      <c r="M667" s="821" t="s">
        <v>279</v>
      </c>
      <c r="N667" s="860"/>
    </row>
    <row r="668" spans="1:14" ht="12.75" customHeight="1" x14ac:dyDescent="0.3">
      <c r="A668" s="860"/>
      <c r="B668" s="860"/>
      <c r="C668" s="821" t="s">
        <v>2483</v>
      </c>
      <c r="D668" s="860"/>
      <c r="E668" s="860"/>
      <c r="F668" s="860"/>
      <c r="G668" s="872" t="s">
        <v>3209</v>
      </c>
      <c r="H668" s="821" t="s">
        <v>997</v>
      </c>
      <c r="I668" s="869"/>
      <c r="J668" s="792" t="str">
        <f>IF(ISBLANK(HLOOKUP(CaseName,CaseData,MATCH($G668,cases!$G$4:$G$2494,0),FALSE)),"",HLOOKUP(CaseName,CaseData,MATCH($G668,cases!$G$4:$G$2494,0),FALSE))</f>
        <v/>
      </c>
      <c r="K668" s="914">
        <v>3</v>
      </c>
      <c r="L668" s="794">
        <f>IF(ISBLANK(I668),IF(ISNUMBER(J668)=FALSE,K668/100,J668/100),I668/100)</f>
        <v>0.03</v>
      </c>
      <c r="M668" s="821" t="s">
        <v>279</v>
      </c>
      <c r="N668" s="860"/>
    </row>
    <row r="669" spans="1:14" ht="12.75" customHeight="1" x14ac:dyDescent="0.3">
      <c r="A669" s="821"/>
      <c r="B669" s="860"/>
      <c r="C669" s="821" t="s">
        <v>4769</v>
      </c>
      <c r="D669" s="872"/>
      <c r="E669" s="872"/>
      <c r="F669" s="872"/>
      <c r="G669" s="872" t="s">
        <v>3210</v>
      </c>
      <c r="H669" s="821" t="s">
        <v>813</v>
      </c>
      <c r="I669" s="871"/>
      <c r="J669" s="792" t="str">
        <f>IF(ISBLANK(HLOOKUP(CaseName,CaseData,MATCH($G669,cases!$G$4:$G$2494,0),FALSE)),"",HLOOKUP(CaseName,CaseData,MATCH($G669,cases!$G$4:$G$2494,0),FALSE))</f>
        <v/>
      </c>
      <c r="K669" s="874">
        <v>0.05</v>
      </c>
      <c r="L669" s="794">
        <f t="shared" ref="L669:L677" si="42">IF(ISBLANK(I669),IF(ISNUMBER(J669)=FALSE,K669,J669),I669)</f>
        <v>0.05</v>
      </c>
      <c r="M669" s="860" t="s">
        <v>279</v>
      </c>
      <c r="N669" s="860"/>
    </row>
    <row r="670" spans="1:14" ht="12.75" customHeight="1" x14ac:dyDescent="0.3">
      <c r="A670" s="797"/>
      <c r="B670" s="797"/>
      <c r="C670" s="797" t="s">
        <v>1005</v>
      </c>
      <c r="D670" s="797"/>
      <c r="E670" s="797"/>
      <c r="F670" s="797"/>
      <c r="G670" s="796" t="s">
        <v>4810</v>
      </c>
      <c r="H670" s="796" t="s">
        <v>1007</v>
      </c>
      <c r="I670" s="931"/>
      <c r="J670" s="792" t="str">
        <f>IF(ISBLANK(HLOOKUP(CaseName,CaseData,MATCH($G670,cases!$G$4:$G$2494,0),FALSE)),"",HLOOKUP(CaseName,CaseData,MATCH($G670,cases!$G$4:$G$2494,0),FALSE))</f>
        <v/>
      </c>
      <c r="K670" s="923">
        <v>2.9999999999999999E-7</v>
      </c>
      <c r="L670" s="924">
        <f t="shared" si="42"/>
        <v>2.9999999999999999E-7</v>
      </c>
      <c r="M670" s="796" t="s">
        <v>292</v>
      </c>
      <c r="N670" s="797" t="s">
        <v>1008</v>
      </c>
    </row>
    <row r="671" spans="1:14" ht="12.75" customHeight="1" x14ac:dyDescent="0.3">
      <c r="A671" s="860"/>
      <c r="B671" s="860"/>
      <c r="C671" s="860" t="s">
        <v>1009</v>
      </c>
      <c r="D671" s="860"/>
      <c r="E671" s="860"/>
      <c r="F671" s="860"/>
      <c r="G671" s="821" t="s">
        <v>4811</v>
      </c>
      <c r="H671" s="821" t="s">
        <v>1007</v>
      </c>
      <c r="I671" s="871"/>
      <c r="J671" s="792" t="str">
        <f>IF(ISBLANK(HLOOKUP(CaseName,CaseData,MATCH($G671,cases!$G$4:$G$2494,0),FALSE)),"",HLOOKUP(CaseName,CaseData,MATCH($G671,cases!$G$4:$G$2494,0),FALSE))</f>
        <v/>
      </c>
      <c r="K671" s="874">
        <v>1.9999999999999999E-11</v>
      </c>
      <c r="L671" s="794">
        <f t="shared" si="42"/>
        <v>1.9999999999999999E-11</v>
      </c>
      <c r="M671" s="821" t="s">
        <v>292</v>
      </c>
      <c r="N671" s="860" t="s">
        <v>1011</v>
      </c>
    </row>
    <row r="672" spans="1:14" ht="12.75" customHeight="1" x14ac:dyDescent="0.3">
      <c r="A672" s="860"/>
      <c r="B672" s="860"/>
      <c r="C672" s="860" t="s">
        <v>1012</v>
      </c>
      <c r="D672" s="860"/>
      <c r="E672" s="860"/>
      <c r="F672" s="860"/>
      <c r="G672" s="821" t="s">
        <v>4812</v>
      </c>
      <c r="H672" s="821" t="s">
        <v>1007</v>
      </c>
      <c r="I672" s="871"/>
      <c r="J672" s="792" t="str">
        <f>IF(ISBLANK(HLOOKUP(CaseName,CaseData,MATCH($G672,cases!$G$4:$G$2494,0),FALSE)),"",HLOOKUP(CaseName,CaseData,MATCH($G672,cases!$G$4:$G$2494,0),FALSE))</f>
        <v/>
      </c>
      <c r="K672" s="874">
        <v>1.9999999999999999E-11</v>
      </c>
      <c r="L672" s="794">
        <f t="shared" si="42"/>
        <v>1.9999999999999999E-11</v>
      </c>
      <c r="M672" s="821" t="s">
        <v>292</v>
      </c>
      <c r="N672" s="860" t="s">
        <v>1011</v>
      </c>
    </row>
    <row r="673" spans="1:14" ht="12.75" customHeight="1" x14ac:dyDescent="0.3">
      <c r="A673" s="860"/>
      <c r="B673" s="860"/>
      <c r="C673" s="821" t="s">
        <v>2489</v>
      </c>
      <c r="D673" s="872"/>
      <c r="E673" s="872"/>
      <c r="F673" s="872"/>
      <c r="G673" s="872" t="s">
        <v>3214</v>
      </c>
      <c r="H673" s="821" t="s">
        <v>1007</v>
      </c>
      <c r="I673" s="869"/>
      <c r="J673" s="792" t="str">
        <f>IF(ISBLANK(HLOOKUP(CaseName,CaseData,MATCH($G673,cases!$G$4:$G$2494,0),FALSE)),"",HLOOKUP(CaseName,CaseData,MATCH($G673,cases!$G$4:$G$2494,0),FALSE))</f>
        <v/>
      </c>
      <c r="K673" s="914">
        <v>0.2</v>
      </c>
      <c r="L673" s="794">
        <f t="shared" si="42"/>
        <v>0.2</v>
      </c>
      <c r="M673" s="860" t="s">
        <v>292</v>
      </c>
      <c r="N673" s="860"/>
    </row>
    <row r="674" spans="1:14" ht="12.75" customHeight="1" x14ac:dyDescent="0.3">
      <c r="A674" s="860"/>
      <c r="B674" s="860"/>
      <c r="C674" s="821" t="s">
        <v>2491</v>
      </c>
      <c r="D674" s="860"/>
      <c r="E674" s="860"/>
      <c r="F674" s="860"/>
      <c r="G674" s="872" t="s">
        <v>3215</v>
      </c>
      <c r="H674" s="821" t="s">
        <v>1007</v>
      </c>
      <c r="I674" s="869"/>
      <c r="J674" s="792" t="str">
        <f>IF(ISBLANK(HLOOKUP(CaseName,CaseData,MATCH($G674,cases!$G$4:$G$2494,0),FALSE)),"",HLOOKUP(CaseName,CaseData,MATCH($G674,cases!$G$4:$G$2494,0),FALSE))</f>
        <v/>
      </c>
      <c r="K674" s="914">
        <v>0.2</v>
      </c>
      <c r="L674" s="794">
        <f t="shared" si="42"/>
        <v>0.2</v>
      </c>
      <c r="M674" s="860" t="s">
        <v>292</v>
      </c>
      <c r="N674" s="860"/>
    </row>
    <row r="675" spans="1:14" ht="12.75" customHeight="1" x14ac:dyDescent="0.3">
      <c r="A675" s="860"/>
      <c r="B675" s="860"/>
      <c r="C675" s="821" t="s">
        <v>2493</v>
      </c>
      <c r="D675" s="860"/>
      <c r="E675" s="860"/>
      <c r="F675" s="860"/>
      <c r="G675" s="872" t="s">
        <v>3216</v>
      </c>
      <c r="H675" s="821" t="s">
        <v>1007</v>
      </c>
      <c r="I675" s="869"/>
      <c r="J675" s="792" t="str">
        <f>IF(ISBLANK(HLOOKUP(CaseName,CaseData,MATCH($G675,cases!$G$4:$G$2494,0),FALSE)),"",HLOOKUP(CaseName,CaseData,MATCH($G675,cases!$G$4:$G$2494,0),FALSE))</f>
        <v/>
      </c>
      <c r="K675" s="874">
        <f>1-L673-L674</f>
        <v>0.60000000000000009</v>
      </c>
      <c r="L675" s="794">
        <f t="shared" si="42"/>
        <v>0.60000000000000009</v>
      </c>
      <c r="M675" s="860" t="s">
        <v>292</v>
      </c>
      <c r="N675" s="860"/>
    </row>
    <row r="676" spans="1:14" ht="12.75" customHeight="1" x14ac:dyDescent="0.3">
      <c r="A676" s="821"/>
      <c r="B676" s="860"/>
      <c r="C676" s="821" t="s">
        <v>1032</v>
      </c>
      <c r="D676" s="872"/>
      <c r="E676" s="872"/>
      <c r="F676" s="872"/>
      <c r="G676" s="872" t="s">
        <v>3217</v>
      </c>
      <c r="H676" s="821" t="s">
        <v>1007</v>
      </c>
      <c r="I676" s="869"/>
      <c r="J676" s="792" t="str">
        <f>IF(ISBLANK(HLOOKUP(CaseName,CaseData,MATCH($G676,cases!$G$4:$G$2494,0),FALSE)),"",HLOOKUP(CaseName,CaseData,MATCH($G676,cases!$G$4:$G$2494,0),FALSE))</f>
        <v/>
      </c>
      <c r="K676" s="914">
        <v>0.8</v>
      </c>
      <c r="L676" s="794">
        <f t="shared" si="42"/>
        <v>0.8</v>
      </c>
      <c r="M676" s="821" t="s">
        <v>292</v>
      </c>
      <c r="N676" s="860"/>
    </row>
    <row r="677" spans="1:14" ht="12.75" customHeight="1" x14ac:dyDescent="0.3">
      <c r="A677" s="821"/>
      <c r="B677" s="860"/>
      <c r="C677" s="821" t="s">
        <v>1034</v>
      </c>
      <c r="D677" s="872"/>
      <c r="E677" s="872"/>
      <c r="F677" s="872"/>
      <c r="G677" s="872" t="s">
        <v>3218</v>
      </c>
      <c r="H677" s="821" t="s">
        <v>1007</v>
      </c>
      <c r="I677" s="869"/>
      <c r="J677" s="792" t="str">
        <f>IF(ISBLANK(HLOOKUP(CaseName,CaseData,MATCH($G677,cases!$G$4:$G$2494,0),FALSE)),"",HLOOKUP(CaseName,CaseData,MATCH($G677,cases!$G$4:$G$2494,0),FALSE))</f>
        <v/>
      </c>
      <c r="K677" s="874">
        <f>1-L676</f>
        <v>0.19999999999999996</v>
      </c>
      <c r="L677" s="794">
        <f t="shared" si="42"/>
        <v>0.19999999999999996</v>
      </c>
      <c r="M677" s="821" t="s">
        <v>292</v>
      </c>
      <c r="N677" s="860"/>
    </row>
    <row r="678" spans="1:14" ht="12.75" customHeight="1" x14ac:dyDescent="0.3">
      <c r="A678" s="860"/>
      <c r="B678" s="860"/>
      <c r="C678" s="860"/>
      <c r="D678" s="860"/>
      <c r="E678" s="860"/>
      <c r="F678" s="860"/>
      <c r="G678" s="860"/>
      <c r="H678" s="860"/>
      <c r="I678" s="790"/>
      <c r="J678" s="792" t="str">
        <f>IF(ISBLANK(HLOOKUP(CaseName,CaseData,MATCH($G678,cases!$G$4:$G$2494,0),FALSE)),"",HLOOKUP(CaseName,CaseData,MATCH($G678,cases!$G$4:$G$2494,0),FALSE))</f>
        <v/>
      </c>
      <c r="K678" s="886"/>
      <c r="L678" s="886"/>
      <c r="M678" s="860"/>
      <c r="N678" s="860"/>
    </row>
    <row r="679" spans="1:14" ht="12.75" customHeight="1" x14ac:dyDescent="0.3">
      <c r="A679" s="821" t="s">
        <v>3219</v>
      </c>
      <c r="B679" s="860"/>
      <c r="C679" s="860"/>
      <c r="D679" s="860"/>
      <c r="E679" s="860"/>
      <c r="F679" s="860"/>
      <c r="G679" s="821" t="s">
        <v>3220</v>
      </c>
      <c r="H679" s="821" t="s">
        <v>4690</v>
      </c>
      <c r="I679" s="875"/>
      <c r="J679" s="792" t="str">
        <f>IF(ISBLANK(HLOOKUP(CaseName,CaseData,MATCH($G679,cases!$G$4:$G$2494,0),FALSE)),"",HLOOKUP(CaseName,CaseData,MATCH($G679,cases!$G$4:$G$2494,0),FALSE))</f>
        <v/>
      </c>
      <c r="K679" s="874">
        <f>1/L680</f>
        <v>3.9972375476524815E-7</v>
      </c>
      <c r="L679" s="794">
        <f>IF(ISBLANK(I679),IF(ISNUMBER(J679)=FALSE,K679,J679),I679)</f>
        <v>3.9972375476524815E-7</v>
      </c>
      <c r="M679" s="860" t="s">
        <v>1038</v>
      </c>
      <c r="N679" s="860"/>
    </row>
    <row r="680" spans="1:14" ht="12.75" customHeight="1" x14ac:dyDescent="0.3">
      <c r="A680" s="821"/>
      <c r="B680" s="821"/>
      <c r="C680" s="821" t="s">
        <v>3221</v>
      </c>
      <c r="D680" s="860"/>
      <c r="E680" s="860"/>
      <c r="F680" s="860"/>
      <c r="G680" s="821" t="s">
        <v>3222</v>
      </c>
      <c r="H680" s="860" t="s">
        <v>1041</v>
      </c>
      <c r="I680" s="869"/>
      <c r="J680" s="792" t="str">
        <f>IF(ISBLANK(HLOOKUP(CaseName,CaseData,MATCH($G680,cases!$G$4:$G$2494,0),FALSE)),"",HLOOKUP(CaseName,CaseData,MATCH($G680,cases!$G$4:$G$2494,0),FALSE))</f>
        <v/>
      </c>
      <c r="K680" s="874">
        <f>1.5*(0.5*SQRT(L662*PI()/4)/L744)/(3600*24)</f>
        <v>28.955182012816216</v>
      </c>
      <c r="L680" s="794">
        <f>IF(ISBLANK(I680),IF(ISNUMBER(J680)=FALSE,K680*(3600*24),J680*(3600*24)),I680*(3600*24))</f>
        <v>2501727.7259073211</v>
      </c>
      <c r="M680" s="821" t="s">
        <v>1042</v>
      </c>
      <c r="N680" s="860"/>
    </row>
    <row r="681" spans="1:14" ht="12.75" customHeight="1" x14ac:dyDescent="0.3">
      <c r="A681" s="860"/>
      <c r="B681" s="860"/>
      <c r="C681" s="860"/>
      <c r="D681" s="860"/>
      <c r="E681" s="860"/>
      <c r="F681" s="860"/>
      <c r="G681" s="860"/>
      <c r="H681" s="860"/>
      <c r="I681" s="790"/>
      <c r="J681" s="792" t="str">
        <f>IF(ISBLANK(HLOOKUP(CaseName,CaseData,MATCH($G681,cases!$G$4:$G$2494,0),FALSE)),"",HLOOKUP(CaseName,CaseData,MATCH($G681,cases!$G$4:$G$2494,0),FALSE))</f>
        <v/>
      </c>
      <c r="K681" s="886"/>
      <c r="L681" s="886"/>
      <c r="M681" s="860"/>
      <c r="N681" s="860"/>
    </row>
    <row r="682" spans="1:14" ht="12.75" customHeight="1" x14ac:dyDescent="0.3">
      <c r="A682" s="821" t="s">
        <v>3223</v>
      </c>
      <c r="B682" s="860"/>
      <c r="C682" s="860"/>
      <c r="D682" s="860"/>
      <c r="E682" s="860"/>
      <c r="F682" s="860"/>
      <c r="G682" s="821" t="s">
        <v>3224</v>
      </c>
      <c r="H682" s="821" t="s">
        <v>4690</v>
      </c>
      <c r="I682" s="875"/>
      <c r="J682" s="792" t="str">
        <f>IF(ISBLANK(HLOOKUP(CaseName,CaseData,MATCH($G682,cases!$G$4:$G$2494,0),FALSE)),"",HLOOKUP(CaseName,CaseData,MATCH($G682,cases!$G$4:$G$2494,0),FALSE))</f>
        <v/>
      </c>
      <c r="K682" s="870">
        <f>L684/L658</f>
        <v>1.6806722689075633E-8</v>
      </c>
      <c r="L682" s="794">
        <f t="shared" ref="L682:L687" si="43">IF(ISBLANK(I682),IF(ISNUMBER(J682)=FALSE,K682,J682),I682)</f>
        <v>1.6806722689075633E-8</v>
      </c>
      <c r="M682" s="860" t="s">
        <v>1038</v>
      </c>
      <c r="N682" s="860"/>
    </row>
    <row r="683" spans="1:14" ht="12.75" customHeight="1" x14ac:dyDescent="0.3">
      <c r="A683" s="821" t="s">
        <v>3225</v>
      </c>
      <c r="B683" s="860"/>
      <c r="C683" s="860"/>
      <c r="D683" s="860"/>
      <c r="E683" s="860"/>
      <c r="F683" s="860"/>
      <c r="G683" s="821" t="s">
        <v>3226</v>
      </c>
      <c r="H683" s="821" t="s">
        <v>4690</v>
      </c>
      <c r="I683" s="875"/>
      <c r="J683" s="792" t="str">
        <f>IF(ISBLANK(HLOOKUP(CaseName,CaseData,MATCH($G683,cases!$G$4:$G$2494,0),FALSE)),"",HLOOKUP(CaseName,CaseData,MATCH($G683,cases!$G$4:$G$2494,0),FALSE))</f>
        <v/>
      </c>
      <c r="K683" s="870">
        <v>0</v>
      </c>
      <c r="L683" s="794">
        <f t="shared" si="43"/>
        <v>0</v>
      </c>
      <c r="M683" s="860" t="s">
        <v>1038</v>
      </c>
      <c r="N683" s="860"/>
    </row>
    <row r="684" spans="1:14" ht="12.75" customHeight="1" x14ac:dyDescent="0.3">
      <c r="A684" s="821"/>
      <c r="B684" s="821" t="s">
        <v>3227</v>
      </c>
      <c r="C684" s="860"/>
      <c r="D684" s="860"/>
      <c r="E684" s="860"/>
      <c r="F684" s="860"/>
      <c r="G684" s="872" t="s">
        <v>3228</v>
      </c>
      <c r="H684" s="860" t="s">
        <v>4691</v>
      </c>
      <c r="I684" s="869"/>
      <c r="J684" s="792" t="str">
        <f>IF(ISBLANK(HLOOKUP(CaseName,CaseData,MATCH($G684,cases!$G$4:$G$2494,0),FALSE)),"",HLOOKUP(CaseName,CaseData,MATCH($G684,cases!$G$4:$G$2494,0),FALSE))</f>
        <v/>
      </c>
      <c r="K684" s="870">
        <f>L40</f>
        <v>150000000</v>
      </c>
      <c r="L684" s="794">
        <f t="shared" si="43"/>
        <v>150000000</v>
      </c>
      <c r="M684" s="860" t="s">
        <v>4692</v>
      </c>
      <c r="N684" s="860"/>
    </row>
    <row r="685" spans="1:14" ht="12.75" customHeight="1" x14ac:dyDescent="0.3">
      <c r="A685" s="821" t="s">
        <v>2913</v>
      </c>
      <c r="B685" s="860"/>
      <c r="C685" s="860"/>
      <c r="D685" s="860"/>
      <c r="E685" s="860"/>
      <c r="F685" s="860"/>
      <c r="G685" s="821" t="s">
        <v>3229</v>
      </c>
      <c r="H685" s="821" t="s">
        <v>4690</v>
      </c>
      <c r="I685" s="875"/>
      <c r="J685" s="792" t="str">
        <f>IF(ISBLANK(HLOOKUP(CaseName,CaseData,MATCH($G685,cases!$G$4:$G$2494,0),FALSE)),"",HLOOKUP(CaseName,CaseData,MATCH($G685,cases!$G$4:$G$2494,0),FALSE))</f>
        <v/>
      </c>
      <c r="K685" s="870">
        <f>(L40+L687)/L658</f>
        <v>2.2724443312678606E-7</v>
      </c>
      <c r="L685" s="794">
        <f t="shared" si="43"/>
        <v>2.2724443312678606E-7</v>
      </c>
      <c r="M685" s="860" t="s">
        <v>1038</v>
      </c>
      <c r="N685" s="860"/>
    </row>
    <row r="686" spans="1:14" ht="12.75" customHeight="1" x14ac:dyDescent="0.3">
      <c r="A686" s="821" t="s">
        <v>2915</v>
      </c>
      <c r="B686" s="860"/>
      <c r="C686" s="860"/>
      <c r="D686" s="860"/>
      <c r="E686" s="860"/>
      <c r="F686" s="860"/>
      <c r="G686" s="821" t="s">
        <v>3230</v>
      </c>
      <c r="H686" s="821" t="s">
        <v>4690</v>
      </c>
      <c r="I686" s="875"/>
      <c r="J686" s="792" t="str">
        <f>IF(ISBLANK(HLOOKUP(CaseName,CaseData,MATCH($G686,cases!$G$4:$G$2494,0),FALSE)),"",HLOOKUP(CaseName,CaseData,MATCH($G686,cases!$G$4:$G$2494,0),FALSE))</f>
        <v/>
      </c>
      <c r="K686" s="870">
        <f>(L40+L687)/L659</f>
        <v>7.5748144375595357E-9</v>
      </c>
      <c r="L686" s="794">
        <f t="shared" si="43"/>
        <v>7.5748144375595357E-9</v>
      </c>
      <c r="M686" s="860" t="s">
        <v>1038</v>
      </c>
      <c r="N686" s="860"/>
    </row>
    <row r="687" spans="1:14" ht="12.75" customHeight="1" x14ac:dyDescent="0.3">
      <c r="A687" s="821"/>
      <c r="B687" s="860" t="s">
        <v>2522</v>
      </c>
      <c r="C687" s="860"/>
      <c r="D687" s="860"/>
      <c r="E687" s="860"/>
      <c r="F687" s="860"/>
      <c r="G687" s="821" t="s">
        <v>3231</v>
      </c>
      <c r="H687" s="860" t="s">
        <v>4691</v>
      </c>
      <c r="I687" s="875"/>
      <c r="J687" s="792" t="str">
        <f>IF(ISBLANK(HLOOKUP(CaseName,CaseData,MATCH($G687,cases!$G$4:$G$2494,0),FALSE)),"",HLOOKUP(CaseName,CaseData,MATCH($G687,cases!$G$4:$G$2494,0),FALSE))</f>
        <v/>
      </c>
      <c r="K687" s="874">
        <f>L658/L688</f>
        <v>1878156565.6565654</v>
      </c>
      <c r="L687" s="794">
        <f t="shared" si="43"/>
        <v>1878156565.6565654</v>
      </c>
      <c r="M687" s="860" t="s">
        <v>4692</v>
      </c>
      <c r="N687" s="860"/>
    </row>
    <row r="688" spans="1:14" ht="12.75" customHeight="1" x14ac:dyDescent="0.3">
      <c r="A688" s="821"/>
      <c r="B688" s="821"/>
      <c r="C688" s="860" t="s">
        <v>2524</v>
      </c>
      <c r="D688" s="860"/>
      <c r="E688" s="860"/>
      <c r="F688" s="860"/>
      <c r="G688" s="821" t="s">
        <v>3232</v>
      </c>
      <c r="H688" s="860" t="s">
        <v>1041</v>
      </c>
      <c r="I688" s="875"/>
      <c r="J688" s="792" t="str">
        <f>IF(ISBLANK(HLOOKUP(CaseName,CaseData,MATCH($G688,cases!$G$4:$G$2494,0),FALSE)),"",HLOOKUP(CaseName,CaseData,MATCH($G688,cases!$G$4:$G$2494,0),FALSE))</f>
        <v/>
      </c>
      <c r="K688" s="874">
        <v>55</v>
      </c>
      <c r="L688" s="794">
        <f>IF(ISBLANK(I688),IF(ISNUMBER(J688)=FALSE,K688*(3600*24),J688*(3600*24)),I688*(3600*24))</f>
        <v>4752000</v>
      </c>
      <c r="M688" s="821" t="s">
        <v>1042</v>
      </c>
      <c r="N688" s="860"/>
    </row>
    <row r="689" spans="1:14" ht="12.75" customHeight="1" x14ac:dyDescent="0.3">
      <c r="A689" s="860"/>
      <c r="B689" s="860"/>
      <c r="C689" s="860"/>
      <c r="D689" s="860"/>
      <c r="E689" s="860"/>
      <c r="F689" s="860"/>
      <c r="G689" s="860"/>
      <c r="H689" s="821"/>
      <c r="I689" s="862"/>
      <c r="J689" s="792"/>
      <c r="K689" s="863"/>
      <c r="L689" s="886"/>
      <c r="M689" s="860"/>
      <c r="N689" s="860"/>
    </row>
    <row r="690" spans="1:14" ht="12.75" customHeight="1" x14ac:dyDescent="0.3">
      <c r="A690" s="865" t="s">
        <v>1952</v>
      </c>
      <c r="B690" s="864"/>
      <c r="C690" s="864"/>
      <c r="D690" s="864"/>
      <c r="E690" s="864"/>
      <c r="F690" s="864"/>
      <c r="G690" s="865" t="s">
        <v>258</v>
      </c>
      <c r="H690" s="865" t="s">
        <v>274</v>
      </c>
      <c r="I690" s="864" t="s">
        <v>259</v>
      </c>
      <c r="J690" s="910" t="s">
        <v>2875</v>
      </c>
      <c r="K690" s="867" t="s">
        <v>260</v>
      </c>
      <c r="L690" s="867" t="s">
        <v>261</v>
      </c>
      <c r="M690" s="864"/>
      <c r="N690" s="865" t="s">
        <v>262</v>
      </c>
    </row>
    <row r="691" spans="1:14" ht="12.75" customHeight="1" x14ac:dyDescent="0.3">
      <c r="A691" s="860"/>
      <c r="B691" s="860"/>
      <c r="C691" s="860"/>
      <c r="D691" s="860"/>
      <c r="E691" s="860"/>
      <c r="F691" s="860"/>
      <c r="G691" s="860"/>
      <c r="H691" s="821"/>
      <c r="I691" s="862"/>
      <c r="J691" s="792"/>
      <c r="K691" s="863"/>
      <c r="L691" s="886"/>
      <c r="M691" s="860"/>
      <c r="N691" s="860"/>
    </row>
    <row r="692" spans="1:14" ht="12.75" customHeight="1" x14ac:dyDescent="0.3">
      <c r="A692" s="860"/>
      <c r="B692" s="821" t="s">
        <v>2526</v>
      </c>
      <c r="C692" s="821"/>
      <c r="D692" s="821"/>
      <c r="E692" s="821"/>
      <c r="F692" s="821"/>
      <c r="G692" s="821" t="s">
        <v>4813</v>
      </c>
      <c r="H692" s="821" t="s">
        <v>291</v>
      </c>
      <c r="I692" s="875"/>
      <c r="J692" s="792" t="str">
        <f>IF(ISBLANK(HLOOKUP(CaseName,CaseData,MATCH($G692,cases!$G$4:$G$2494,0),FALSE)),"",HLOOKUP(CaseName,CaseData,MATCH($G692,cases!$G$4:$G$2494,0),FALSE))</f>
        <v/>
      </c>
      <c r="K692" s="372">
        <f>1-L672 *L697/(1+L672*L697+L671*L698)-L671 *L698/(1+L672*L697+L671*L698)</f>
        <v>0.99999996479877673</v>
      </c>
      <c r="L692" s="794">
        <f>IF(ISBLANK(I692),IF(ISNUMBER(J692)=FALSE,K692,J692),I692)</f>
        <v>0.99999996479877673</v>
      </c>
      <c r="M692" s="20" t="s">
        <v>292</v>
      </c>
      <c r="N692" s="821"/>
    </row>
    <row r="693" spans="1:14" ht="12.75" customHeight="1" x14ac:dyDescent="0.3">
      <c r="A693" s="860"/>
      <c r="B693" s="860" t="s">
        <v>1955</v>
      </c>
      <c r="C693" s="860"/>
      <c r="D693" s="860"/>
      <c r="E693" s="860"/>
      <c r="F693" s="860"/>
      <c r="G693" s="860" t="s">
        <v>3234</v>
      </c>
      <c r="H693" s="860" t="s">
        <v>291</v>
      </c>
      <c r="I693" s="884"/>
      <c r="J693" s="792" t="str">
        <f>IF(ISBLANK(HLOOKUP(CaseName,CaseData,MATCH($G693,cases!$G$4:$G$2494,0),FALSE)),"",HLOOKUP(CaseName,CaseData,MATCH($G693,cases!$G$4:$G$2494,0),FALSE))</f>
        <v/>
      </c>
      <c r="K693" s="372">
        <f>L672 *L697/(1+L672*L697+L671*L698)</f>
        <v>1.1812490998682687E-10</v>
      </c>
      <c r="L693" s="794">
        <f>IF(ISBLANK(I693),IF(ISNUMBER(J693)=FALSE,K693,J693),I693)</f>
        <v>1.1812490998682687E-10</v>
      </c>
      <c r="M693" s="821" t="s">
        <v>292</v>
      </c>
      <c r="N693" s="860" t="s">
        <v>1067</v>
      </c>
    </row>
    <row r="694" spans="1:14" ht="12.75" customHeight="1" x14ac:dyDescent="0.3">
      <c r="A694" s="860"/>
      <c r="B694" s="860" t="s">
        <v>1957</v>
      </c>
      <c r="C694" s="860"/>
      <c r="D694" s="860"/>
      <c r="E694" s="860"/>
      <c r="F694" s="860"/>
      <c r="G694" s="860" t="s">
        <v>3235</v>
      </c>
      <c r="H694" s="860" t="s">
        <v>291</v>
      </c>
      <c r="I694" s="884"/>
      <c r="J694" s="792" t="str">
        <f>IF(ISBLANK(HLOOKUP(CaseName,CaseData,MATCH($G694,cases!$G$4:$G$2494,0),FALSE)),"",HLOOKUP(CaseName,CaseData,MATCH($G694,cases!$G$4:$G$2494,0),FALSE))</f>
        <v/>
      </c>
      <c r="K694" s="372">
        <f>L671 *L698/(1+L672*L697+L671*L698)</f>
        <v>3.5083098266087587E-8</v>
      </c>
      <c r="L694" s="794">
        <f>IF(ISBLANK(I694),IF(ISNUMBER(J694)=FALSE,K694,J694),I694)</f>
        <v>3.5083098266087587E-8</v>
      </c>
      <c r="M694" s="821" t="s">
        <v>292</v>
      </c>
      <c r="N694" s="860" t="s">
        <v>1067</v>
      </c>
    </row>
    <row r="695" spans="1:14" ht="12.75" customHeight="1" x14ac:dyDescent="0.3">
      <c r="A695" s="860"/>
      <c r="B695" s="860"/>
      <c r="C695" s="821" t="s">
        <v>1959</v>
      </c>
      <c r="D695" s="821"/>
      <c r="E695" s="821"/>
      <c r="F695" s="821"/>
      <c r="G695" s="821" t="s">
        <v>4814</v>
      </c>
      <c r="H695" s="821" t="s">
        <v>291</v>
      </c>
      <c r="I695" s="869"/>
      <c r="J695" s="792" t="str">
        <f>IF(ISBLANK(HLOOKUP(CaseName,CaseData,MATCH($G695,cases!$G$4:$G$2494,0),FALSE)),"",HLOOKUP(CaseName,CaseData,MATCH($G695,cases!$G$4:$G$2494,0),FALSE))</f>
        <v/>
      </c>
      <c r="K695" s="372">
        <f>Kaw*EXP((H0vap/8.314)*(1/298-1/L696))*EXP(-(H0sol/8.314)*(1/298-1/L696))*(298/L696)</f>
        <v>0.16931229237089712</v>
      </c>
      <c r="L695" s="794">
        <f>IF(ISBLANK(I695),IF(ISNUMBER(J695)=FALSE,K695,J695),I695)</f>
        <v>0.16931229237089712</v>
      </c>
      <c r="M695" s="821" t="s">
        <v>292</v>
      </c>
      <c r="N695" s="860"/>
    </row>
    <row r="696" spans="1:14" ht="12.75" customHeight="1" x14ac:dyDescent="0.3">
      <c r="A696" s="821"/>
      <c r="B696" s="821"/>
      <c r="C696" s="821" t="s">
        <v>3237</v>
      </c>
      <c r="D696" s="821"/>
      <c r="E696" s="821"/>
      <c r="F696" s="821"/>
      <c r="G696" s="821" t="s">
        <v>3238</v>
      </c>
      <c r="H696" s="821" t="s">
        <v>4778</v>
      </c>
      <c r="I696" s="869"/>
      <c r="J696" s="792" t="str">
        <f>IF(ISBLANK(HLOOKUP(CaseName,CaseData,MATCH($G696,cases!$G$4:$G$2494,0),FALSE)),"",HLOOKUP(CaseName,CaseData,MATCH($G696,cases!$G$4:$G$2494,0),FALSE))</f>
        <v/>
      </c>
      <c r="K696" s="372">
        <v>25</v>
      </c>
      <c r="L696" s="794">
        <f>IF(ISBLANK(I696),IF(ISNUMBER(J696)=FALSE,K696+273,J696+273),I696+273)</f>
        <v>298</v>
      </c>
      <c r="M696" s="821" t="s">
        <v>586</v>
      </c>
      <c r="N696" s="860"/>
    </row>
    <row r="697" spans="1:14" ht="12.75" customHeight="1" x14ac:dyDescent="0.35">
      <c r="A697" s="860"/>
      <c r="B697" s="860"/>
      <c r="C697" s="860" t="s">
        <v>1961</v>
      </c>
      <c r="D697" s="860"/>
      <c r="E697" s="860"/>
      <c r="F697" s="860"/>
      <c r="G697" s="860" t="s">
        <v>3239</v>
      </c>
      <c r="H697" s="860" t="s">
        <v>4701</v>
      </c>
      <c r="I697" s="884"/>
      <c r="J697" s="792" t="str">
        <f>IF(ISBLANK(HLOOKUP(CaseName,CaseData,MATCH($G697,cases!$G$4:$G$2494,0),FALSE)),"",HLOOKUP(CaseName,CaseData,MATCH($G697,cases!$G$4:$G$2494,0),FALSE))</f>
        <v/>
      </c>
      <c r="K697" s="372">
        <f>1/(L695*FRorig.aerw)</f>
        <v>5.9062457072484165</v>
      </c>
      <c r="L697" s="794">
        <f t="shared" ref="L697:L704" si="44">IF(ISBLANK(I697),IF(ISNUMBER(J697)=FALSE,K697,J697),I697)</f>
        <v>5.9062457072484165</v>
      </c>
      <c r="M697" s="821" t="s">
        <v>4779</v>
      </c>
      <c r="N697" s="860"/>
    </row>
    <row r="698" spans="1:14" ht="12.75" customHeight="1" x14ac:dyDescent="0.35">
      <c r="A698" s="860"/>
      <c r="B698" s="860"/>
      <c r="C698" s="860" t="s">
        <v>1963</v>
      </c>
      <c r="D698" s="860"/>
      <c r="E698" s="860"/>
      <c r="F698" s="860"/>
      <c r="G698" s="860" t="s">
        <v>3240</v>
      </c>
      <c r="H698" s="860" t="s">
        <v>4703</v>
      </c>
      <c r="I698" s="884"/>
      <c r="J698" s="792" t="str">
        <f>IF(ISBLANK(HLOOKUP(CaseName,CaseData,MATCH($G698,cases!$G$4:$G$2494,0),FALSE)),"",HLOOKUP(CaseName,CaseData,MATCH($G698,cases!$G$4:$G$2494,0),FALSE))</f>
        <v/>
      </c>
      <c r="K698" s="372">
        <f>0.54*(Kow/Kaw)*CORGaers*(RHOaers/1000)</f>
        <v>1754.1549750527802</v>
      </c>
      <c r="L698" s="794">
        <f t="shared" si="44"/>
        <v>1754.1549750527802</v>
      </c>
      <c r="M698" s="821" t="s">
        <v>4780</v>
      </c>
      <c r="N698" s="860" t="s">
        <v>1074</v>
      </c>
    </row>
    <row r="699" spans="1:14" ht="12.75" customHeight="1" x14ac:dyDescent="0.3">
      <c r="A699" s="821"/>
      <c r="B699" s="821" t="s">
        <v>4781</v>
      </c>
      <c r="C699" s="872"/>
      <c r="D699" s="860"/>
      <c r="E699" s="860"/>
      <c r="F699" s="860"/>
      <c r="G699" s="821" t="s">
        <v>3241</v>
      </c>
      <c r="H699" s="821" t="s">
        <v>291</v>
      </c>
      <c r="I699" s="869"/>
      <c r="J699" s="792" t="str">
        <f>IF(ISBLANK(HLOOKUP(CaseName,CaseData,MATCH($G699,cases!$G$4:$G$2494,0),FALSE)),"",HLOOKUP(CaseName,CaseData,MATCH($G699,cases!$G$4:$G$2494,0),FALSE))</f>
        <v/>
      </c>
      <c r="K699" s="372">
        <f>1/(1+L701*L705/1000+L707*L709/1000)</f>
        <v>0.99939559656267651</v>
      </c>
      <c r="L699" s="794">
        <f t="shared" si="44"/>
        <v>0.99939559656267651</v>
      </c>
      <c r="M699" s="821" t="s">
        <v>292</v>
      </c>
      <c r="N699" s="860"/>
    </row>
    <row r="700" spans="1:14" ht="12.75" customHeight="1" x14ac:dyDescent="0.3">
      <c r="A700" s="821"/>
      <c r="B700" s="821" t="s">
        <v>2536</v>
      </c>
      <c r="C700" s="872"/>
      <c r="D700" s="860"/>
      <c r="E700" s="860"/>
      <c r="F700" s="860"/>
      <c r="G700" s="821" t="s">
        <v>3242</v>
      </c>
      <c r="H700" s="821" t="s">
        <v>291</v>
      </c>
      <c r="I700" s="869"/>
      <c r="J700" s="792" t="str">
        <f>IF(ISBLANK(HLOOKUP(CaseName,CaseData,MATCH($G700,cases!$G$4:$G$2494,0),FALSE)),"",HLOOKUP(CaseName,CaseData,MATCH($G700,cases!$G$4:$G$2494,0),FALSE))</f>
        <v/>
      </c>
      <c r="K700" s="372">
        <f>1/(1+L702*L706/1000+L708*L710/1000)</f>
        <v>0.99939559656267651</v>
      </c>
      <c r="L700" s="794">
        <f t="shared" si="44"/>
        <v>0.99939559656267651</v>
      </c>
      <c r="M700" s="821" t="s">
        <v>292</v>
      </c>
      <c r="N700" s="860"/>
    </row>
    <row r="701" spans="1:14" ht="12.75" customHeight="1" x14ac:dyDescent="0.3">
      <c r="A701" s="821"/>
      <c r="B701" s="860"/>
      <c r="C701" s="821" t="s">
        <v>4782</v>
      </c>
      <c r="D701" s="860"/>
      <c r="E701" s="860"/>
      <c r="F701" s="860"/>
      <c r="G701" s="872" t="s">
        <v>3243</v>
      </c>
      <c r="H701" s="821" t="s">
        <v>4706</v>
      </c>
      <c r="I701" s="869"/>
      <c r="J701" s="792" t="str">
        <f>IF(ISBLANK(HLOOKUP(CaseName,CaseData,MATCH($G701,cases!$G$4:$G$2494,0),FALSE)),"",HLOOKUP(CaseName,CaseData,MATCH($G701,cases!$G$4:$G$2494,0),FALSE))</f>
        <v/>
      </c>
      <c r="K701" s="874">
        <f>(FRorig.w2*Ksw+(1-FRorig.w2)*Ksw.alt)*(1000/RHOsolid/CORG)*L703</f>
        <v>76.953792352546415</v>
      </c>
      <c r="L701" s="794">
        <f t="shared" si="44"/>
        <v>76.953792352546415</v>
      </c>
      <c r="M701" s="821" t="s">
        <v>1078</v>
      </c>
      <c r="N701" s="860"/>
    </row>
    <row r="702" spans="1:14" ht="12.75" customHeight="1" x14ac:dyDescent="0.3">
      <c r="A702" s="821"/>
      <c r="B702" s="860"/>
      <c r="C702" s="821" t="s">
        <v>2539</v>
      </c>
      <c r="D702" s="860"/>
      <c r="E702" s="860"/>
      <c r="F702" s="860"/>
      <c r="G702" s="872" t="s">
        <v>3244</v>
      </c>
      <c r="H702" s="821" t="s">
        <v>4706</v>
      </c>
      <c r="I702" s="869"/>
      <c r="J702" s="792" t="str">
        <f>IF(ISBLANK(HLOOKUP(CaseName,CaseData,MATCH($G702,cases!$G$4:$G$2494,0),FALSE)),"",HLOOKUP(CaseName,CaseData,MATCH($G702,cases!$G$4:$G$2494,0),FALSE))</f>
        <v/>
      </c>
      <c r="K702" s="874">
        <f>(FRorig.w2*Ksw+(1-FRorig.w2)*Ksw.alt)*(1000/RHOsolid/CORG)*L704</f>
        <v>76.953792352546415</v>
      </c>
      <c r="L702" s="794">
        <f t="shared" si="44"/>
        <v>76.953792352546415</v>
      </c>
      <c r="M702" s="821" t="s">
        <v>1078</v>
      </c>
      <c r="N702" s="860"/>
    </row>
    <row r="703" spans="1:14" ht="12.75" customHeight="1" x14ac:dyDescent="0.3">
      <c r="A703" s="821"/>
      <c r="B703" s="860"/>
      <c r="C703" s="821" t="s">
        <v>4783</v>
      </c>
      <c r="D703" s="860"/>
      <c r="E703" s="860"/>
      <c r="F703" s="860"/>
      <c r="G703" s="872" t="s">
        <v>3245</v>
      </c>
      <c r="H703" s="821" t="s">
        <v>291</v>
      </c>
      <c r="I703" s="869"/>
      <c r="J703" s="792" t="str">
        <f>IF(ISBLANK(HLOOKUP(CaseName,CaseData,MATCH($G703,cases!$G$4:$G$2494,0),FALSE)),"",HLOOKUP(CaseName,CaseData,MATCH($G703,cases!$G$4:$G$2494,0),FALSE))</f>
        <v/>
      </c>
      <c r="K703" s="372">
        <v>0.1</v>
      </c>
      <c r="L703" s="794">
        <f t="shared" si="44"/>
        <v>0.1</v>
      </c>
      <c r="M703" s="821" t="s">
        <v>292</v>
      </c>
      <c r="N703" s="860"/>
    </row>
    <row r="704" spans="1:14" ht="12.75" customHeight="1" x14ac:dyDescent="0.3">
      <c r="A704" s="821"/>
      <c r="B704" s="860"/>
      <c r="C704" s="821" t="s">
        <v>2542</v>
      </c>
      <c r="D704" s="860"/>
      <c r="E704" s="860"/>
      <c r="F704" s="860"/>
      <c r="G704" s="872" t="s">
        <v>3246</v>
      </c>
      <c r="H704" s="821" t="s">
        <v>291</v>
      </c>
      <c r="I704" s="869"/>
      <c r="J704" s="792" t="str">
        <f>IF(ISBLANK(HLOOKUP(CaseName,CaseData,MATCH($G704,cases!$G$4:$G$2494,0),FALSE)),"",HLOOKUP(CaseName,CaseData,MATCH($G704,cases!$G$4:$G$2494,0),FALSE))</f>
        <v/>
      </c>
      <c r="K704" s="372">
        <v>0.1</v>
      </c>
      <c r="L704" s="794">
        <f t="shared" si="44"/>
        <v>0.1</v>
      </c>
      <c r="M704" s="821" t="s">
        <v>292</v>
      </c>
      <c r="N704" s="860"/>
    </row>
    <row r="705" spans="1:14" ht="12.75" customHeight="1" x14ac:dyDescent="0.3">
      <c r="A705" s="821"/>
      <c r="B705" s="860"/>
      <c r="C705" s="821" t="s">
        <v>4784</v>
      </c>
      <c r="D705" s="860"/>
      <c r="E705" s="860"/>
      <c r="F705" s="860"/>
      <c r="G705" s="872" t="s">
        <v>3247</v>
      </c>
      <c r="H705" s="821" t="s">
        <v>4785</v>
      </c>
      <c r="I705" s="869"/>
      <c r="J705" s="792" t="str">
        <f>IF(ISBLANK(HLOOKUP(CaseName,CaseData,MATCH($G705,cases!$G$4:$G$2494,0),FALSE)),"",HLOOKUP(CaseName,CaseData,MATCH($G705,cases!$G$4:$G$2494,0),FALSE))</f>
        <v/>
      </c>
      <c r="K705" s="372">
        <v>5</v>
      </c>
      <c r="L705" s="794">
        <f>IF(ISBLANK(I705),IF(ISNUMBER(J705)=FALSE,K705/1000,J705/1000),I705/1000)</f>
        <v>5.0000000000000001E-3</v>
      </c>
      <c r="M705" s="821" t="s">
        <v>717</v>
      </c>
      <c r="N705" s="860"/>
    </row>
    <row r="706" spans="1:14" ht="12.75" customHeight="1" x14ac:dyDescent="0.3">
      <c r="A706" s="821"/>
      <c r="B706" s="860"/>
      <c r="C706" s="821" t="s">
        <v>2545</v>
      </c>
      <c r="D706" s="860"/>
      <c r="E706" s="860"/>
      <c r="F706" s="860"/>
      <c r="G706" s="872" t="s">
        <v>3248</v>
      </c>
      <c r="H706" s="821" t="s">
        <v>4785</v>
      </c>
      <c r="I706" s="869"/>
      <c r="J706" s="792" t="str">
        <f>IF(ISBLANK(HLOOKUP(CaseName,CaseData,MATCH($G706,cases!$G$4:$G$2494,0),FALSE)),"",HLOOKUP(CaseName,CaseData,MATCH($G706,cases!$G$4:$G$2494,0),FALSE))</f>
        <v/>
      </c>
      <c r="K706" s="372">
        <v>5</v>
      </c>
      <c r="L706" s="794">
        <f>IF(ISBLANK(I706),IF(ISNUMBER(J706)=FALSE,K706/1000,J706/1000),I706/1000)</f>
        <v>5.0000000000000001E-3</v>
      </c>
      <c r="M706" s="821" t="s">
        <v>717</v>
      </c>
      <c r="N706" s="860"/>
    </row>
    <row r="707" spans="1:14" ht="12.75" customHeight="1" x14ac:dyDescent="0.3">
      <c r="A707" s="821"/>
      <c r="B707" s="860"/>
      <c r="C707" s="821" t="s">
        <v>4786</v>
      </c>
      <c r="D707" s="860"/>
      <c r="E707" s="860"/>
      <c r="F707" s="860"/>
      <c r="G707" s="872" t="s">
        <v>3249</v>
      </c>
      <c r="H707" s="821" t="s">
        <v>1083</v>
      </c>
      <c r="I707" s="871"/>
      <c r="J707" s="792" t="str">
        <f>IF(ISBLANK(HLOOKUP(CaseName,CaseData,MATCH($G707,cases!$G$4:$G$2494,0),FALSE)),"",HLOOKUP(CaseName,CaseData,MATCH($G707,cases!$G$4:$G$2494,0),FALSE))</f>
        <v/>
      </c>
      <c r="K707" s="874">
        <f>0.08*D</f>
        <v>220</v>
      </c>
      <c r="L707" s="794">
        <f>IF(ISBLANK(I707),IF(ISNUMBER(J707)=FALSE,K707,J707),I707)</f>
        <v>220</v>
      </c>
      <c r="M707" s="821" t="s">
        <v>1078</v>
      </c>
      <c r="N707" s="860"/>
    </row>
    <row r="708" spans="1:14" ht="12.75" customHeight="1" x14ac:dyDescent="0.3">
      <c r="A708" s="821"/>
      <c r="B708" s="860"/>
      <c r="C708" s="821" t="s">
        <v>2548</v>
      </c>
      <c r="D708" s="860"/>
      <c r="E708" s="860"/>
      <c r="F708" s="860"/>
      <c r="G708" s="872" t="s">
        <v>3250</v>
      </c>
      <c r="H708" s="821" t="s">
        <v>1083</v>
      </c>
      <c r="I708" s="871"/>
      <c r="J708" s="792" t="str">
        <f>IF(ISBLANK(HLOOKUP(CaseName,CaseData,MATCH($G708,cases!$G$4:$G$2494,0),FALSE)),"",HLOOKUP(CaseName,CaseData,MATCH($G708,cases!$G$4:$G$2494,0),FALSE))</f>
        <v/>
      </c>
      <c r="K708" s="874">
        <f>0.08*D</f>
        <v>220</v>
      </c>
      <c r="L708" s="794">
        <f>IF(ISBLANK(I708),IF(ISNUMBER(J708)=FALSE,K708,J708),I708)</f>
        <v>220</v>
      </c>
      <c r="M708" s="821" t="s">
        <v>1078</v>
      </c>
      <c r="N708" s="860"/>
    </row>
    <row r="709" spans="1:14" ht="12.75" customHeight="1" x14ac:dyDescent="0.3">
      <c r="A709" s="821"/>
      <c r="B709" s="860"/>
      <c r="C709" s="821" t="s">
        <v>4787</v>
      </c>
      <c r="D709" s="860"/>
      <c r="E709" s="860"/>
      <c r="F709" s="860"/>
      <c r="G709" s="872" t="s">
        <v>3251</v>
      </c>
      <c r="H709" s="821" t="s">
        <v>716</v>
      </c>
      <c r="I709" s="871"/>
      <c r="J709" s="792" t="str">
        <f>IF(ISBLANK(HLOOKUP(CaseName,CaseData,MATCH($G709,cases!$G$4:$G$2494,0),FALSE)),"",HLOOKUP(CaseName,CaseData,MATCH($G709,cases!$G$4:$G$2494,0),FALSE))</f>
        <v/>
      </c>
      <c r="K709" s="874">
        <v>1</v>
      </c>
      <c r="L709" s="794">
        <f>IF(ISBLANK(I709),IF(ISNUMBER(J709)=FALSE,K709/1000,J709/1000),I709/1000)</f>
        <v>1E-3</v>
      </c>
      <c r="M709" s="821" t="s">
        <v>717</v>
      </c>
      <c r="N709" s="860"/>
    </row>
    <row r="710" spans="1:14" ht="12.75" customHeight="1" x14ac:dyDescent="0.3">
      <c r="A710" s="821"/>
      <c r="B710" s="860"/>
      <c r="C710" s="821" t="s">
        <v>2551</v>
      </c>
      <c r="D710" s="860"/>
      <c r="E710" s="860"/>
      <c r="F710" s="860"/>
      <c r="G710" s="872" t="s">
        <v>3252</v>
      </c>
      <c r="H710" s="821" t="s">
        <v>716</v>
      </c>
      <c r="I710" s="871"/>
      <c r="J710" s="792" t="str">
        <f>IF(ISBLANK(HLOOKUP(CaseName,CaseData,MATCH($G710,cases!$G$4:$G$2494,0),FALSE)),"",HLOOKUP(CaseName,CaseData,MATCH($G710,cases!$G$4:$G$2494,0),FALSE))</f>
        <v/>
      </c>
      <c r="K710" s="874">
        <v>1</v>
      </c>
      <c r="L710" s="794">
        <f>IF(ISBLANK(I710),IF(ISNUMBER(J710)=FALSE,K710/1000,J710/1000),I710/1000)</f>
        <v>1E-3</v>
      </c>
      <c r="M710" s="821" t="s">
        <v>717</v>
      </c>
      <c r="N710" s="860"/>
    </row>
    <row r="711" spans="1:14" ht="12.75" customHeight="1" x14ac:dyDescent="0.3">
      <c r="A711" s="821"/>
      <c r="B711" s="821" t="s">
        <v>2553</v>
      </c>
      <c r="C711" s="872"/>
      <c r="D711" s="860"/>
      <c r="E711" s="860"/>
      <c r="F711" s="860"/>
      <c r="G711" s="872" t="s">
        <v>3253</v>
      </c>
      <c r="H711" s="821" t="s">
        <v>291</v>
      </c>
      <c r="I711" s="869"/>
      <c r="J711" s="792" t="str">
        <f>IF(ISBLANK(HLOOKUP(CaseName,CaseData,MATCH($G711,cases!$G$4:$G$2494,0),FALSE)),"",HLOOKUP(CaseName,CaseData,MATCH($G711,cases!$G$4:$G$2494,0),FALSE))</f>
        <v/>
      </c>
      <c r="K711" s="874">
        <f>L676+L677*L712*RHOsolid/1000</f>
        <v>20.038448088136601</v>
      </c>
      <c r="L711" s="794">
        <f t="shared" ref="L711:L718" si="45">IF(ISBLANK(I711),IF(ISNUMBER(J711)=FALSE,K711,J711),I711)</f>
        <v>20.038448088136601</v>
      </c>
      <c r="M711" s="821" t="s">
        <v>292</v>
      </c>
      <c r="N711" s="860"/>
    </row>
    <row r="712" spans="1:14" ht="12.75" customHeight="1" x14ac:dyDescent="0.3">
      <c r="A712" s="821"/>
      <c r="B712" s="860"/>
      <c r="C712" s="821" t="s">
        <v>2555</v>
      </c>
      <c r="D712" s="860"/>
      <c r="E712" s="860"/>
      <c r="F712" s="860"/>
      <c r="G712" s="872" t="s">
        <v>3254</v>
      </c>
      <c r="H712" s="821" t="s">
        <v>4706</v>
      </c>
      <c r="I712" s="869"/>
      <c r="J712" s="792" t="str">
        <f>IF(ISBLANK(HLOOKUP(CaseName,CaseData,MATCH($G712,cases!$G$4:$G$2494,0),FALSE)),"",HLOOKUP(CaseName,CaseData,MATCH($G712,cases!$G$4:$G$2494,0),FALSE))</f>
        <v/>
      </c>
      <c r="K712" s="874">
        <f>(FRorig.sd2*Ksw+(1-FRorig.sd2)*Ksw.alt)*(1000/RHOsolid/CORG)*L713</f>
        <v>38.476896176273208</v>
      </c>
      <c r="L712" s="794">
        <f t="shared" si="45"/>
        <v>38.476896176273208</v>
      </c>
      <c r="M712" s="821" t="s">
        <v>1078</v>
      </c>
      <c r="N712" s="860"/>
    </row>
    <row r="713" spans="1:14" ht="12.75" customHeight="1" x14ac:dyDescent="0.3">
      <c r="A713" s="821"/>
      <c r="B713" s="860"/>
      <c r="C713" s="821" t="s">
        <v>2557</v>
      </c>
      <c r="D713" s="860"/>
      <c r="E713" s="860"/>
      <c r="F713" s="860"/>
      <c r="G713" s="872" t="s">
        <v>3255</v>
      </c>
      <c r="H713" s="821" t="s">
        <v>291</v>
      </c>
      <c r="I713" s="869"/>
      <c r="J713" s="792" t="str">
        <f>IF(ISBLANK(HLOOKUP(CaseName,CaseData,MATCH($G713,cases!$G$4:$G$2494,0),FALSE)),"",HLOOKUP(CaseName,CaseData,MATCH($G713,cases!$G$4:$G$2494,0),FALSE))</f>
        <v/>
      </c>
      <c r="K713" s="874">
        <v>0.05</v>
      </c>
      <c r="L713" s="794">
        <f t="shared" si="45"/>
        <v>0.05</v>
      </c>
      <c r="M713" s="821" t="s">
        <v>292</v>
      </c>
      <c r="N713" s="860"/>
    </row>
    <row r="714" spans="1:14" ht="12.75" customHeight="1" x14ac:dyDescent="0.3">
      <c r="A714" s="821"/>
      <c r="B714" s="821" t="s">
        <v>2559</v>
      </c>
      <c r="C714" s="872"/>
      <c r="D714" s="860"/>
      <c r="E714" s="860"/>
      <c r="F714" s="860"/>
      <c r="G714" s="872" t="s">
        <v>4815</v>
      </c>
      <c r="H714" s="821" t="s">
        <v>291</v>
      </c>
      <c r="I714" s="869"/>
      <c r="J714" s="792" t="str">
        <f>IF(ISBLANK(HLOOKUP(CaseName,CaseData,MATCH($G714,cases!$G$4:$G$2494,0),FALSE)),"",HLOOKUP(CaseName,CaseData,MATCH($G714,cases!$G$4:$G$2494,0),FALSE))</f>
        <v/>
      </c>
      <c r="K714" s="874">
        <f>L673*(L695*FRorig.s1w)+L674+L675*L717*RHOsolid/1000</f>
        <v>23.320000164238103</v>
      </c>
      <c r="L714" s="794">
        <f t="shared" si="45"/>
        <v>23.320000164238103</v>
      </c>
      <c r="M714" s="860" t="s">
        <v>292</v>
      </c>
      <c r="N714" s="860"/>
    </row>
    <row r="715" spans="1:14" ht="12.75" customHeight="1" x14ac:dyDescent="0.3">
      <c r="A715" s="821"/>
      <c r="B715" s="821" t="s">
        <v>2561</v>
      </c>
      <c r="C715" s="872"/>
      <c r="D715" s="860"/>
      <c r="E715" s="860"/>
      <c r="F715" s="860"/>
      <c r="G715" s="872" t="s">
        <v>3257</v>
      </c>
      <c r="H715" s="821" t="s">
        <v>291</v>
      </c>
      <c r="I715" s="869"/>
      <c r="J715" s="792" t="str">
        <f>IF(ISBLANK(HLOOKUP(CaseName,CaseData,MATCH($G715,cases!$G$4:$G$2494,0),FALSE)),"",HLOOKUP(CaseName,CaseData,MATCH($G715,cases!$G$4:$G$2494,0),FALSE))</f>
        <v/>
      </c>
      <c r="K715" s="874">
        <f>L674/(L673*(L695*FRorig.s1w)+L674+L675*L717*RHOsolid/1000)</f>
        <v>8.5763292706449376E-3</v>
      </c>
      <c r="L715" s="794">
        <f t="shared" si="45"/>
        <v>8.5763292706449376E-3</v>
      </c>
      <c r="M715" s="860" t="s">
        <v>292</v>
      </c>
      <c r="N715" s="860"/>
    </row>
    <row r="716" spans="1:14" ht="12.75" customHeight="1" x14ac:dyDescent="0.3">
      <c r="A716" s="821"/>
      <c r="B716" s="821" t="s">
        <v>2563</v>
      </c>
      <c r="C716" s="872"/>
      <c r="D716" s="860"/>
      <c r="E716" s="860"/>
      <c r="F716" s="860"/>
      <c r="G716" s="872" t="s">
        <v>3258</v>
      </c>
      <c r="H716" s="821" t="s">
        <v>291</v>
      </c>
      <c r="I716" s="869"/>
      <c r="J716" s="792" t="str">
        <f>IF(ISBLANK(HLOOKUP(CaseName,CaseData,MATCH($G716,cases!$G$4:$G$2494,0),FALSE)),"",HLOOKUP(CaseName,CaseData,MATCH($G716,cases!$G$4:$G$2494,0),FALSE))</f>
        <v/>
      </c>
      <c r="K716" s="874">
        <f>L675 / (L673*L695*FRorig.s1w/(L717*RHOsolid/1000)+L674/(L717*RHOsolid/1000)+L675 )</f>
        <v>0.98997159276041458</v>
      </c>
      <c r="L716" s="794">
        <f t="shared" si="45"/>
        <v>0.98997159276041458</v>
      </c>
      <c r="M716" s="5" t="s">
        <v>292</v>
      </c>
      <c r="N716" s="860"/>
    </row>
    <row r="717" spans="1:14" ht="12.75" customHeight="1" x14ac:dyDescent="0.3">
      <c r="A717" s="821"/>
      <c r="B717" s="860"/>
      <c r="C717" s="821" t="s">
        <v>2565</v>
      </c>
      <c r="D717" s="860"/>
      <c r="E717" s="860"/>
      <c r="F717" s="860"/>
      <c r="G717" s="872" t="s">
        <v>3259</v>
      </c>
      <c r="H717" s="821" t="s">
        <v>4706</v>
      </c>
      <c r="I717" s="869"/>
      <c r="J717" s="792" t="str">
        <f>IF(ISBLANK(HLOOKUP(CaseName,CaseData,MATCH($G717,cases!$G$4:$G$2494,0),FALSE)),"",HLOOKUP(CaseName,CaseData,MATCH($G717,cases!$G$4:$G$2494,0),FALSE))</f>
        <v/>
      </c>
      <c r="K717" s="874">
        <f>(FRorig.s1*Ksw+(1-FRorig.s1)*Ksw.alt)*(1000/RHOsolid/CORG)*L718</f>
        <v>15.390758470509281</v>
      </c>
      <c r="L717" s="794">
        <f t="shared" si="45"/>
        <v>15.390758470509281</v>
      </c>
      <c r="M717" s="821" t="s">
        <v>1078</v>
      </c>
      <c r="N717" s="860"/>
    </row>
    <row r="718" spans="1:14" ht="12.75" customHeight="1" x14ac:dyDescent="0.3">
      <c r="A718" s="821"/>
      <c r="B718" s="860"/>
      <c r="C718" s="821" t="s">
        <v>2567</v>
      </c>
      <c r="D718" s="860"/>
      <c r="E718" s="860"/>
      <c r="F718" s="860"/>
      <c r="G718" s="872" t="s">
        <v>3260</v>
      </c>
      <c r="H718" s="821" t="s">
        <v>291</v>
      </c>
      <c r="I718" s="869"/>
      <c r="J718" s="792" t="str">
        <f>IF(ISBLANK(HLOOKUP(CaseName,CaseData,MATCH($G718,cases!$G$4:$G$2494,0),FALSE)),"",HLOOKUP(CaseName,CaseData,MATCH($G718,cases!$G$4:$G$2494,0),FALSE))</f>
        <v/>
      </c>
      <c r="K718" s="874">
        <v>0.02</v>
      </c>
      <c r="L718" s="794">
        <f t="shared" si="45"/>
        <v>0.02</v>
      </c>
      <c r="M718" s="860" t="s">
        <v>292</v>
      </c>
      <c r="N718" s="860"/>
    </row>
    <row r="719" spans="1:14" ht="12.75" customHeight="1" x14ac:dyDescent="0.3">
      <c r="A719" s="860"/>
      <c r="B719" s="860"/>
      <c r="C719" s="860"/>
      <c r="D719" s="860"/>
      <c r="E719" s="860"/>
      <c r="F719" s="860"/>
      <c r="G719" s="860"/>
      <c r="H719" s="821"/>
      <c r="I719" s="862"/>
      <c r="J719" s="792"/>
      <c r="K719" s="863"/>
      <c r="L719" s="886"/>
      <c r="M719" s="860"/>
      <c r="N719" s="860"/>
    </row>
    <row r="720" spans="1:14" ht="12.75" customHeight="1" x14ac:dyDescent="0.3">
      <c r="A720" s="865" t="s">
        <v>1129</v>
      </c>
      <c r="B720" s="864"/>
      <c r="C720" s="864"/>
      <c r="D720" s="864"/>
      <c r="E720" s="864"/>
      <c r="F720" s="864"/>
      <c r="G720" s="865" t="s">
        <v>258</v>
      </c>
      <c r="H720" s="865" t="s">
        <v>274</v>
      </c>
      <c r="I720" s="864" t="s">
        <v>259</v>
      </c>
      <c r="J720" s="910" t="s">
        <v>2875</v>
      </c>
      <c r="K720" s="867" t="s">
        <v>260</v>
      </c>
      <c r="L720" s="867" t="s">
        <v>261</v>
      </c>
      <c r="M720" s="864"/>
      <c r="N720" s="865" t="s">
        <v>262</v>
      </c>
    </row>
    <row r="721" spans="1:14" ht="12.75" customHeight="1" x14ac:dyDescent="0.3">
      <c r="A721" s="860"/>
      <c r="B721" s="860"/>
      <c r="C721" s="860"/>
      <c r="D721" s="860"/>
      <c r="E721" s="860"/>
      <c r="F721" s="860"/>
      <c r="G721" s="860"/>
      <c r="H721" s="821"/>
      <c r="I721" s="862"/>
      <c r="J721" s="792"/>
      <c r="K721" s="863"/>
      <c r="L721" s="886"/>
      <c r="M721" s="860"/>
      <c r="N721" s="860"/>
    </row>
    <row r="722" spans="1:14" ht="12.75" customHeight="1" x14ac:dyDescent="0.3">
      <c r="A722" s="821" t="s">
        <v>2569</v>
      </c>
      <c r="B722" s="860"/>
      <c r="C722" s="860"/>
      <c r="D722" s="860"/>
      <c r="E722" s="860"/>
      <c r="F722" s="860"/>
      <c r="G722" s="821" t="s">
        <v>3261</v>
      </c>
      <c r="H722" s="821" t="s">
        <v>4690</v>
      </c>
      <c r="I722" s="875"/>
      <c r="J722" s="792" t="str">
        <f>IF(ISBLANK(HLOOKUP(CaseName,CaseData,MATCH($G722,cases!$G$4:$G$2494,0),FALSE)),"",HLOOKUP(CaseName,CaseData,MATCH($G722,cases!$G$4:$G$2494,0),FALSE))</f>
        <v/>
      </c>
      <c r="K722" s="874">
        <f>(L726+L738/L665)*L663</f>
        <v>2.1486454213464019E-8</v>
      </c>
      <c r="L722" s="794">
        <f t="shared" ref="L722:L729" si="46">IF(ISBLANK(I722),IF(ISNUMBER(J722)=FALSE,K722,J722),I722)</f>
        <v>2.1486454213464019E-8</v>
      </c>
      <c r="M722" s="860" t="s">
        <v>1038</v>
      </c>
      <c r="N722" s="860"/>
    </row>
    <row r="723" spans="1:14" ht="12.75" customHeight="1" x14ac:dyDescent="0.3">
      <c r="A723" s="821" t="s">
        <v>2571</v>
      </c>
      <c r="B723" s="860"/>
      <c r="C723" s="860"/>
      <c r="D723" s="860"/>
      <c r="E723" s="860"/>
      <c r="F723" s="860"/>
      <c r="G723" s="821" t="s">
        <v>3262</v>
      </c>
      <c r="H723" s="821" t="s">
        <v>4690</v>
      </c>
      <c r="I723" s="875"/>
      <c r="J723" s="792" t="str">
        <f>IF(ISBLANK(HLOOKUP(CaseName,CaseData,MATCH($G723,cases!$G$4:$G$2494,0),FALSE)),"",HLOOKUP(CaseName,CaseData,MATCH($G723,cases!$G$4:$G$2494,0),FALSE))</f>
        <v/>
      </c>
      <c r="K723" s="874">
        <f>(L726+L739/L665)*L664</f>
        <v>5.1464208392854672E-10</v>
      </c>
      <c r="L723" s="794">
        <f t="shared" si="46"/>
        <v>5.1464208392854672E-10</v>
      </c>
      <c r="M723" s="860" t="s">
        <v>1038</v>
      </c>
      <c r="N723" s="860"/>
    </row>
    <row r="724" spans="1:14" ht="12.75" customHeight="1" x14ac:dyDescent="0.3">
      <c r="A724" s="821" t="s">
        <v>2573</v>
      </c>
      <c r="B724" s="860"/>
      <c r="C724" s="860"/>
      <c r="D724" s="860"/>
      <c r="E724" s="860"/>
      <c r="F724" s="860"/>
      <c r="G724" s="821" t="s">
        <v>3263</v>
      </c>
      <c r="H724" s="821" t="s">
        <v>4690</v>
      </c>
      <c r="I724" s="875"/>
      <c r="J724" s="792" t="str">
        <f>IF(ISBLANK(HLOOKUP(CaseName,CaseData,MATCH($G724,cases!$G$4:$G$2494,0),FALSE)),"",HLOOKUP(CaseName,CaseData,MATCH($G724,cases!$G$4:$G$2494,0),FALSE))</f>
        <v/>
      </c>
      <c r="K724" s="874">
        <f>L740/L666</f>
        <v>5.1526365085130869E-8</v>
      </c>
      <c r="L724" s="794">
        <f t="shared" si="46"/>
        <v>5.1526365085130869E-8</v>
      </c>
      <c r="M724" s="860" t="s">
        <v>1038</v>
      </c>
      <c r="N724" s="860"/>
    </row>
    <row r="725" spans="1:14" ht="12.75" customHeight="1" x14ac:dyDescent="0.3">
      <c r="A725" s="821" t="s">
        <v>2575</v>
      </c>
      <c r="B725" s="860"/>
      <c r="C725" s="860"/>
      <c r="D725" s="860"/>
      <c r="E725" s="860"/>
      <c r="F725" s="860"/>
      <c r="G725" s="821" t="s">
        <v>3264</v>
      </c>
      <c r="H725" s="821" t="s">
        <v>4690</v>
      </c>
      <c r="I725" s="875"/>
      <c r="J725" s="792" t="str">
        <f>IF(ISBLANK(HLOOKUP(CaseName,CaseData,MATCH($G725,cases!$G$4:$G$2494,0),FALSE)),"",HLOOKUP(CaseName,CaseData,MATCH($G725,cases!$G$4:$G$2494,0),FALSE))</f>
        <v/>
      </c>
      <c r="K725" s="874">
        <f>L741/L669</f>
        <v>2.7155790041888986E-7</v>
      </c>
      <c r="L725" s="794">
        <f t="shared" si="46"/>
        <v>2.7155790041888986E-7</v>
      </c>
      <c r="M725" s="860" t="s">
        <v>1038</v>
      </c>
      <c r="N725" s="860"/>
    </row>
    <row r="726" spans="1:14" ht="12.75" customHeight="1" x14ac:dyDescent="0.3">
      <c r="A726" s="860"/>
      <c r="B726" s="821" t="s">
        <v>2031</v>
      </c>
      <c r="C726" s="860"/>
      <c r="D726" s="860"/>
      <c r="E726" s="860"/>
      <c r="F726" s="860"/>
      <c r="G726" s="894" t="s">
        <v>3265</v>
      </c>
      <c r="H726" s="821" t="s">
        <v>4690</v>
      </c>
      <c r="I726" s="876"/>
      <c r="J726" s="792" t="str">
        <f>IF(ISBLANK(HLOOKUP(CaseName,CaseData,MATCH($G726,cases!$G$4:$G$2494,0),FALSE)),"",HLOOKUP(CaseName,CaseData,MATCH($G726,cases!$G$4:$G$2494,0),FALSE))</f>
        <v/>
      </c>
      <c r="K726" s="874">
        <f>L727 - SUM((L738*L663+L739*L664)/L665,L775,L679)</f>
        <v>2.4379362824746265E-10</v>
      </c>
      <c r="L726" s="794">
        <f t="shared" si="46"/>
        <v>2.4379362824746265E-10</v>
      </c>
      <c r="M726" s="860" t="s">
        <v>1828</v>
      </c>
      <c r="N726" s="860"/>
    </row>
    <row r="727" spans="1:14" ht="12.75" customHeight="1" x14ac:dyDescent="0.3">
      <c r="A727" s="860"/>
      <c r="B727" s="821"/>
      <c r="C727" s="860" t="s">
        <v>2033</v>
      </c>
      <c r="D727" s="860"/>
      <c r="E727" s="860"/>
      <c r="F727" s="860"/>
      <c r="G727" s="894" t="s">
        <v>3266</v>
      </c>
      <c r="H727" s="821" t="s">
        <v>4690</v>
      </c>
      <c r="I727" s="876"/>
      <c r="J727" s="792" t="str">
        <f>IF(ISBLANK(HLOOKUP(CaseName,CaseData,MATCH($G727,cases!$G$4:$G$2494,0),FALSE)),"",HLOOKUP(CaseName,CaseData,MATCH($G727,cases!$G$4:$G$2494,0),FALSE))</f>
        <v/>
      </c>
      <c r="K727" s="874">
        <f>((1/L728)*L730/(L730+L731)+(1/L729)*L731/(L730+L731)-((1/L729-1/L728)^2/(L730+L731))*(1-EXP(-L728*L730))*(1-EXP(-L729*L731))/(1-EXP(-L728*L730-L729*L731)))^-1</f>
        <v>6.6172484261434713E-7</v>
      </c>
      <c r="L727" s="794">
        <f t="shared" si="46"/>
        <v>6.6172484261434713E-7</v>
      </c>
      <c r="M727" s="860" t="s">
        <v>1038</v>
      </c>
      <c r="N727" s="860"/>
    </row>
    <row r="728" spans="1:14" ht="12.75" customHeight="1" x14ac:dyDescent="0.3">
      <c r="A728" s="860"/>
      <c r="B728" s="821"/>
      <c r="C728" s="821"/>
      <c r="D728" s="821" t="s">
        <v>2581</v>
      </c>
      <c r="E728" s="860"/>
      <c r="F728" s="860"/>
      <c r="G728" s="821" t="s">
        <v>3267</v>
      </c>
      <c r="H728" s="821" t="s">
        <v>4690</v>
      </c>
      <c r="I728" s="876"/>
      <c r="J728" s="792" t="str">
        <f>IF(ISBLANK(HLOOKUP(CaseName,CaseData,MATCH($G728,cases!$G$4:$G$2494,0),FALSE)),"",HLOOKUP(CaseName,CaseData,MATCH($G728,cases!$G$4:$G$2494,0),FALSE))</f>
        <v/>
      </c>
      <c r="K728" s="874">
        <f>L732/L665 + SUM((L738*L663+L739*L664)/L665,L775,L679)</f>
        <v>6.6148108418732285E-7</v>
      </c>
      <c r="L728" s="794">
        <f t="shared" si="46"/>
        <v>6.6148108418732285E-7</v>
      </c>
      <c r="M728" s="860" t="s">
        <v>1038</v>
      </c>
      <c r="N728" s="860"/>
    </row>
    <row r="729" spans="1:14" ht="12.75" customHeight="1" x14ac:dyDescent="0.3">
      <c r="A729" s="860"/>
      <c r="B729" s="821"/>
      <c r="C729" s="821"/>
      <c r="D729" s="821" t="s">
        <v>2583</v>
      </c>
      <c r="E729" s="860"/>
      <c r="F729" s="860"/>
      <c r="G729" s="821" t="s">
        <v>3268</v>
      </c>
      <c r="H729" s="821" t="s">
        <v>4690</v>
      </c>
      <c r="I729" s="876"/>
      <c r="J729" s="792" t="str">
        <f>IF(ISBLANK(HLOOKUP(CaseName,CaseData,MATCH($G729,cases!$G$4:$G$2494,0),FALSE)),"",HLOOKUP(CaseName,CaseData,MATCH($G729,cases!$G$4:$G$2494,0),FALSE))</f>
        <v/>
      </c>
      <c r="K729" s="874">
        <f>(L733+L734)/L665 + SUM((L738*L663+L739*L664)/L665,L775,L679)</f>
        <v>6.6554372907377354E-7</v>
      </c>
      <c r="L729" s="794">
        <f t="shared" si="46"/>
        <v>6.6554372907377354E-7</v>
      </c>
      <c r="M729" s="860" t="s">
        <v>1038</v>
      </c>
      <c r="N729" s="860"/>
    </row>
    <row r="730" spans="1:14" ht="12.75" customHeight="1" x14ac:dyDescent="0.3">
      <c r="A730" s="860"/>
      <c r="B730" s="821"/>
      <c r="C730" s="860" t="s">
        <v>1148</v>
      </c>
      <c r="D730" s="860"/>
      <c r="E730" s="860"/>
      <c r="F730" s="860"/>
      <c r="G730" s="860" t="s">
        <v>3269</v>
      </c>
      <c r="H730" s="860" t="s">
        <v>1150</v>
      </c>
      <c r="I730" s="875"/>
      <c r="J730" s="792" t="str">
        <f>IF(ISBLANK(HLOOKUP(CaseName,CaseData,MATCH($G730,cases!$G$4:$G$2494,0),FALSE)),"",HLOOKUP(CaseName,CaseData,MATCH($G730,cases!$G$4:$G$2494,0),FALSE))</f>
        <v/>
      </c>
      <c r="K730" s="874">
        <f>3.3*24</f>
        <v>79.199999999999989</v>
      </c>
      <c r="L730" s="794">
        <f>IF(ISBLANK(I730),IF(ISNUMBER(J730)=FALSE,K730*3600,J730*3600),I730*3600)</f>
        <v>285119.99999999994</v>
      </c>
      <c r="M730" s="821" t="s">
        <v>1042</v>
      </c>
      <c r="N730" s="860"/>
    </row>
    <row r="731" spans="1:14" ht="12.75" customHeight="1" x14ac:dyDescent="0.3">
      <c r="A731" s="860"/>
      <c r="B731" s="821"/>
      <c r="C731" s="860" t="s">
        <v>1151</v>
      </c>
      <c r="D731" s="860"/>
      <c r="E731" s="860"/>
      <c r="F731" s="860"/>
      <c r="G731" s="860" t="s">
        <v>3270</v>
      </c>
      <c r="H731" s="860" t="s">
        <v>1150</v>
      </c>
      <c r="I731" s="875"/>
      <c r="J731" s="792" t="str">
        <f>IF(ISBLANK(HLOOKUP(CaseName,CaseData,MATCH($G731,cases!$G$4:$G$2494,0),FALSE)),"",HLOOKUP(CaseName,CaseData,MATCH($G731,cases!$G$4:$G$2494,0),FALSE))</f>
        <v/>
      </c>
      <c r="K731" s="874">
        <f>3.3*24*(0.06/(1-0.06))</f>
        <v>5.0553191489361691</v>
      </c>
      <c r="L731" s="794">
        <f>IF(ISBLANK(I731),IF(ISNUMBER(J731)=FALSE,K731*3600,J731*3600),I731*3600)</f>
        <v>18199.148936170208</v>
      </c>
      <c r="M731" s="821" t="s">
        <v>2957</v>
      </c>
      <c r="N731" s="860"/>
    </row>
    <row r="732" spans="1:14" ht="12.75" customHeight="1" x14ac:dyDescent="0.3">
      <c r="A732" s="860"/>
      <c r="B732" s="821"/>
      <c r="C732" s="821" t="s">
        <v>1153</v>
      </c>
      <c r="D732" s="860"/>
      <c r="E732" s="860"/>
      <c r="F732" s="860"/>
      <c r="G732" s="872" t="s">
        <v>3271</v>
      </c>
      <c r="H732" s="913" t="s">
        <v>4734</v>
      </c>
      <c r="I732" s="869"/>
      <c r="J732" s="792" t="str">
        <f>IF(ISBLANK(HLOOKUP(CaseName,CaseData,MATCH($G732,cases!$G$4:$G$2494,0),FALSE)),"",HLOOKUP(CaseName,CaseData,MATCH($G732,cases!$G$4:$G$2494,0),FALSE))</f>
        <v/>
      </c>
      <c r="K732" s="874">
        <f>L735*(L693+L694)</f>
        <v>3.5201223176074415E-11</v>
      </c>
      <c r="L732" s="794">
        <f>IF(ISBLANK(I732),IF(ISNUMBER(J732)=FALSE,K732,J732),I732)</f>
        <v>3.5201223176074415E-11</v>
      </c>
      <c r="M732" s="860" t="s">
        <v>690</v>
      </c>
      <c r="N732" s="860"/>
    </row>
    <row r="733" spans="1:14" ht="12.75" customHeight="1" x14ac:dyDescent="0.3">
      <c r="A733" s="860"/>
      <c r="B733" s="821"/>
      <c r="C733" s="821" t="s">
        <v>1156</v>
      </c>
      <c r="D733" s="860"/>
      <c r="E733" s="860"/>
      <c r="F733" s="860"/>
      <c r="G733" s="821" t="s">
        <v>3272</v>
      </c>
      <c r="H733" s="872" t="s">
        <v>4734</v>
      </c>
      <c r="I733" s="869"/>
      <c r="J733" s="792" t="str">
        <f>IF(ISBLANK(HLOOKUP(CaseName,CaseData,MATCH($G733,cases!$G$4:$G$2494,0),FALSE)),"",HLOOKUP(CaseName,CaseData,MATCH($G733,cases!$G$4:$G$2494,0),FALSE))</f>
        <v/>
      </c>
      <c r="K733" s="874">
        <f>(L694)*(L730+L731)/L731*L736*L737</f>
        <v>4.8207369087089747E-9</v>
      </c>
      <c r="L733" s="794">
        <f>IF(ISBLANK(I733),IF(ISNUMBER(J733)=FALSE,K733,J733),I733)</f>
        <v>4.8207369087089747E-9</v>
      </c>
      <c r="M733" s="860" t="s">
        <v>690</v>
      </c>
      <c r="N733" s="860"/>
    </row>
    <row r="734" spans="1:14" ht="12.75" customHeight="1" x14ac:dyDescent="0.3">
      <c r="A734" s="860"/>
      <c r="B734" s="821"/>
      <c r="C734" s="821" t="s">
        <v>2043</v>
      </c>
      <c r="D734" s="860"/>
      <c r="E734" s="860"/>
      <c r="F734" s="860"/>
      <c r="G734" s="821" t="s">
        <v>3273</v>
      </c>
      <c r="H734" s="872" t="s">
        <v>4734</v>
      </c>
      <c r="I734" s="869"/>
      <c r="J734" s="792" t="str">
        <f>IF(ISBLANK(HLOOKUP(CaseName,CaseData,MATCH($G734,cases!$G$4:$G$2494,0),FALSE)),"",HLOOKUP(CaseName,CaseData,MATCH($G734,cases!$G$4:$G$2494,0),FALSE))</f>
        <v/>
      </c>
      <c r="K734" s="874">
        <f>L692*(L730+L731)/L731*L736/(L695*FRorig.aerw)</f>
        <v>4.057859350765129E-6</v>
      </c>
      <c r="L734" s="794">
        <f>IF(ISBLANK(I734),IF(ISNUMBER(J734)=FALSE,K734,J734),I734)</f>
        <v>4.057859350765129E-6</v>
      </c>
      <c r="M734" s="860" t="s">
        <v>690</v>
      </c>
      <c r="N734" s="860"/>
    </row>
    <row r="735" spans="1:14" ht="12.75" customHeight="1" x14ac:dyDescent="0.3">
      <c r="A735" s="860"/>
      <c r="B735" s="821"/>
      <c r="C735" s="860"/>
      <c r="D735" s="872" t="s">
        <v>1160</v>
      </c>
      <c r="E735" s="872"/>
      <c r="F735" s="872"/>
      <c r="G735" s="872" t="s">
        <v>3274</v>
      </c>
      <c r="H735" s="913" t="s">
        <v>4734</v>
      </c>
      <c r="I735" s="869"/>
      <c r="J735" s="792" t="str">
        <f>IF(ISBLANK(HLOOKUP(CaseName,CaseData,MATCH($G735,cases!$G$4:$G$2494,0),FALSE)),"",HLOOKUP(CaseName,CaseData,MATCH($G735,cases!$G$4:$G$2494,0),FALSE))</f>
        <v/>
      </c>
      <c r="K735" s="914">
        <v>1E-3</v>
      </c>
      <c r="L735" s="794">
        <f>IF(ISBLANK(I735),IF(ISNUMBER(J735)=FALSE,K735,J735),I735)</f>
        <v>1E-3</v>
      </c>
      <c r="M735" s="860" t="s">
        <v>690</v>
      </c>
      <c r="N735" s="860"/>
    </row>
    <row r="736" spans="1:14" ht="12.75" customHeight="1" x14ac:dyDescent="0.3">
      <c r="A736" s="860"/>
      <c r="B736" s="821"/>
      <c r="C736" s="860"/>
      <c r="D736" s="821" t="s">
        <v>2591</v>
      </c>
      <c r="E736" s="872"/>
      <c r="F736" s="872"/>
      <c r="G736" s="872" t="s">
        <v>3275</v>
      </c>
      <c r="H736" s="872" t="s">
        <v>4789</v>
      </c>
      <c r="I736" s="869"/>
      <c r="J736" s="792" t="str">
        <f>IF(ISBLANK(HLOOKUP(CaseName,CaseData,MATCH($G736,cases!$G$4:$G$2494,0),FALSE)),"",HLOOKUP(CaseName,CaseData,MATCH($G736,cases!$G$4:$G$2494,0),FALSE))</f>
        <v/>
      </c>
      <c r="K736" s="914">
        <v>1300</v>
      </c>
      <c r="L736" s="794">
        <f>IF(ISBLANK(I736),IF(ISNUMBER(J736)=FALSE,K736/(1000*3600*24*365),J736/(1000*3600*24*365)),I736/(1000*3600*24*365))</f>
        <v>4.1222729578893962E-8</v>
      </c>
      <c r="M736" s="860" t="s">
        <v>690</v>
      </c>
      <c r="N736" s="860"/>
    </row>
    <row r="737" spans="1:14" ht="12.75" customHeight="1" x14ac:dyDescent="0.3">
      <c r="A737" s="860"/>
      <c r="B737" s="821"/>
      <c r="C737" s="860"/>
      <c r="D737" s="821" t="s">
        <v>1162</v>
      </c>
      <c r="E737" s="860"/>
      <c r="F737" s="860"/>
      <c r="G737" s="872" t="s">
        <v>3276</v>
      </c>
      <c r="H737" s="821" t="s">
        <v>291</v>
      </c>
      <c r="I737" s="869"/>
      <c r="J737" s="792" t="str">
        <f>IF(ISBLANK(HLOOKUP(CaseName,CaseData,MATCH($G737,cases!$G$4:$G$2494,0),FALSE)),"",HLOOKUP(CaseName,CaseData,MATCH($G737,cases!$G$4:$G$2494,0),FALSE))</f>
        <v/>
      </c>
      <c r="K737" s="914">
        <v>200000</v>
      </c>
      <c r="L737" s="794">
        <f t="shared" ref="L737:L747" si="47">IF(ISBLANK(I737),IF(ISNUMBER(J737)=FALSE,K737,J737),I737)</f>
        <v>200000</v>
      </c>
      <c r="M737" s="821" t="s">
        <v>292</v>
      </c>
      <c r="N737" s="860"/>
    </row>
    <row r="738" spans="1:14" ht="12.75" customHeight="1" x14ac:dyDescent="0.3">
      <c r="A738" s="860"/>
      <c r="B738" s="821" t="s">
        <v>1164</v>
      </c>
      <c r="C738" s="860"/>
      <c r="D738" s="860"/>
      <c r="E738" s="872"/>
      <c r="F738" s="872"/>
      <c r="G738" s="894" t="s">
        <v>3277</v>
      </c>
      <c r="H738" s="821" t="s">
        <v>4734</v>
      </c>
      <c r="I738" s="869"/>
      <c r="J738" s="792" t="str">
        <f>IF(ISBLANK(HLOOKUP(CaseName,CaseData,MATCH($G738,cases!$G$4:$G$2494,0),FALSE)),"",HLOOKUP(CaseName,CaseData,MATCH($G738,cases!$G$4:$G$2494,0),FALSE))</f>
        <v/>
      </c>
      <c r="K738" s="914">
        <f>L692*(L742*L743/(L742*(L695*FRorig.w2)+L743))</f>
        <v>3.045114096241542E-5</v>
      </c>
      <c r="L738" s="794">
        <f t="shared" si="47"/>
        <v>3.045114096241542E-5</v>
      </c>
      <c r="M738" s="821"/>
      <c r="N738" s="860"/>
    </row>
    <row r="739" spans="1:14" ht="12.75" customHeight="1" x14ac:dyDescent="0.3">
      <c r="A739" s="860"/>
      <c r="B739" s="821" t="s">
        <v>1166</v>
      </c>
      <c r="C739" s="860"/>
      <c r="D739" s="860"/>
      <c r="E739" s="872"/>
      <c r="F739" s="872"/>
      <c r="G739" s="894" t="s">
        <v>3278</v>
      </c>
      <c r="H739" s="821" t="s">
        <v>4734</v>
      </c>
      <c r="I739" s="869"/>
      <c r="J739" s="792" t="str">
        <f>IF(ISBLANK(HLOOKUP(CaseName,CaseData,MATCH($G739,cases!$G$4:$G$2494,0),FALSE)),"",HLOOKUP(CaseName,CaseData,MATCH($G739,cases!$G$4:$G$2494,0),FALSE))</f>
        <v/>
      </c>
      <c r="K739" s="914">
        <f>L692*(L745*L746)/(L745*((L695*FRorig.s1w)/L714)+L746)</f>
        <v>1.4716799848476931E-6</v>
      </c>
      <c r="L739" s="794">
        <f t="shared" si="47"/>
        <v>1.4716799848476931E-6</v>
      </c>
      <c r="M739" s="821"/>
      <c r="N739" s="860"/>
    </row>
    <row r="740" spans="1:14" ht="12.75" customHeight="1" x14ac:dyDescent="0.3">
      <c r="A740" s="860"/>
      <c r="B740" s="821" t="s">
        <v>2597</v>
      </c>
      <c r="C740" s="860"/>
      <c r="D740" s="860"/>
      <c r="E740" s="860"/>
      <c r="F740" s="860"/>
      <c r="G740" s="894" t="s">
        <v>3279</v>
      </c>
      <c r="H740" s="821" t="s">
        <v>4734</v>
      </c>
      <c r="I740" s="869"/>
      <c r="J740" s="792" t="str">
        <f>IF(ISBLANK(HLOOKUP(CaseName,CaseData,MATCH($G740,cases!$G$4:$G$2494,0),FALSE)),"",HLOOKUP(CaseName,CaseData,MATCH($G740,cases!$G$4:$G$2494,0),FALSE))</f>
        <v/>
      </c>
      <c r="K740" s="914">
        <f>(L742*L743/(L742*(L695*FRorig.w2)+L743))*(L695*FRorig.w2)*L699</f>
        <v>5.1526365085130871E-6</v>
      </c>
      <c r="L740" s="794">
        <f t="shared" si="47"/>
        <v>5.1526365085130871E-6</v>
      </c>
      <c r="M740" s="821"/>
      <c r="N740" s="860"/>
    </row>
    <row r="741" spans="1:14" ht="12.75" customHeight="1" x14ac:dyDescent="0.3">
      <c r="A741" s="860"/>
      <c r="B741" s="821" t="s">
        <v>2599</v>
      </c>
      <c r="C741" s="860"/>
      <c r="D741" s="860"/>
      <c r="E741" s="872"/>
      <c r="F741" s="872"/>
      <c r="G741" s="894" t="s">
        <v>3280</v>
      </c>
      <c r="H741" s="821" t="s">
        <v>4734</v>
      </c>
      <c r="I741" s="869"/>
      <c r="J741" s="792" t="str">
        <f>IF(ISBLANK(HLOOKUP(CaseName,CaseData,MATCH($G741,cases!$G$4:$G$2494,0),FALSE)),"",HLOOKUP(CaseName,CaseData,MATCH($G741,cases!$G$4:$G$2494,0),FALSE))</f>
        <v/>
      </c>
      <c r="K741" s="914">
        <f>(L745*L746)/(L745+L746/((L695*FRorig.s1w)/L714))*L747</f>
        <v>1.3577895020944495E-8</v>
      </c>
      <c r="L741" s="794">
        <f t="shared" si="47"/>
        <v>1.3577895020944495E-8</v>
      </c>
      <c r="M741" s="821"/>
      <c r="N741" s="860"/>
    </row>
    <row r="742" spans="1:14" ht="12.75" customHeight="1" x14ac:dyDescent="0.3">
      <c r="A742" s="860"/>
      <c r="B742" s="821"/>
      <c r="C742" s="860" t="s">
        <v>1174</v>
      </c>
      <c r="D742" s="860"/>
      <c r="E742" s="860"/>
      <c r="F742" s="860"/>
      <c r="G742" s="860" t="s">
        <v>4816</v>
      </c>
      <c r="H742" s="913" t="s">
        <v>4734</v>
      </c>
      <c r="I742" s="869"/>
      <c r="J742" s="792" t="str">
        <f>IF(ISBLANK(HLOOKUP(CaseName,CaseData,MATCH($G742,cases!$G$4:$G$2494,0),FALSE)),"",HLOOKUP(CaseName,CaseData,MATCH($G742,cases!$G$4:$G$2494,0),FALSE))</f>
        <v/>
      </c>
      <c r="K742" s="874">
        <f>0.01*(0.3+0.2*L744)*((0.018/Molweight)^(0.67*0.5))</f>
        <v>4.4535618852450994E-3</v>
      </c>
      <c r="L742" s="794">
        <f t="shared" si="47"/>
        <v>4.4535618852450994E-3</v>
      </c>
      <c r="M742" s="860" t="s">
        <v>690</v>
      </c>
      <c r="N742" s="860"/>
    </row>
    <row r="743" spans="1:14" ht="12.75" customHeight="1" x14ac:dyDescent="0.3">
      <c r="A743" s="860"/>
      <c r="B743" s="821"/>
      <c r="C743" s="860" t="s">
        <v>1176</v>
      </c>
      <c r="D743" s="860"/>
      <c r="E743" s="860"/>
      <c r="F743" s="860"/>
      <c r="G743" s="860" t="s">
        <v>4817</v>
      </c>
      <c r="H743" s="913" t="s">
        <v>4734</v>
      </c>
      <c r="I743" s="869"/>
      <c r="J743" s="792" t="str">
        <f>IF(ISBLANK(HLOOKUP(CaseName,CaseData,MATCH($G743,cases!$G$4:$G$2494,0),FALSE)),"",HLOOKUP(CaseName,CaseData,MATCH($G743,cases!$G$4:$G$2494,0),FALSE))</f>
        <v/>
      </c>
      <c r="K743" s="874">
        <f>0.01*(0.0004+0.00004*L744^2)*((0.032/Molweight)^(0.5*0.5))</f>
        <v>5.191247717588049E-6</v>
      </c>
      <c r="L743" s="794">
        <f t="shared" si="47"/>
        <v>5.191247717588049E-6</v>
      </c>
      <c r="M743" s="860" t="s">
        <v>690</v>
      </c>
      <c r="N743" s="860"/>
    </row>
    <row r="744" spans="1:14" ht="12.75" customHeight="1" x14ac:dyDescent="0.3">
      <c r="A744" s="821"/>
      <c r="B744" s="860"/>
      <c r="C744" s="860"/>
      <c r="D744" s="872" t="s">
        <v>2603</v>
      </c>
      <c r="E744" s="860"/>
      <c r="F744" s="860"/>
      <c r="G744" s="821" t="s">
        <v>3283</v>
      </c>
      <c r="H744" s="913" t="s">
        <v>4734</v>
      </c>
      <c r="I744" s="869"/>
      <c r="J744" s="792" t="str">
        <f>IF(ISBLANK(HLOOKUP(CaseName,CaseData,MATCH($G744,cases!$G$4:$G$2494,0),FALSE)),"",HLOOKUP(CaseName,CaseData,MATCH($G744,cases!$G$4:$G$2494,0),FALSE))</f>
        <v/>
      </c>
      <c r="K744" s="914">
        <v>3</v>
      </c>
      <c r="L744" s="794">
        <f t="shared" si="47"/>
        <v>3</v>
      </c>
      <c r="M744" s="860" t="s">
        <v>690</v>
      </c>
      <c r="N744" s="860"/>
    </row>
    <row r="745" spans="1:14" ht="12.75" customHeight="1" x14ac:dyDescent="0.3">
      <c r="A745" s="860"/>
      <c r="B745" s="821"/>
      <c r="C745" s="860" t="s">
        <v>1181</v>
      </c>
      <c r="D745" s="860"/>
      <c r="E745" s="872"/>
      <c r="F745" s="872"/>
      <c r="G745" s="860" t="s">
        <v>4818</v>
      </c>
      <c r="H745" s="913" t="s">
        <v>4734</v>
      </c>
      <c r="I745" s="869"/>
      <c r="J745" s="792" t="str">
        <f>IF(ISBLANK(HLOOKUP(CaseName,CaseData,MATCH($G745,cases!$G$4:$G$2494,0),FALSE)),"",HLOOKUP(CaseName,CaseData,MATCH($G745,cases!$G$4:$G$2494,0),FALSE))</f>
        <v/>
      </c>
      <c r="K745" s="874">
        <f>0.43/(24*3600)/0.00475</f>
        <v>1.0477582846003899E-3</v>
      </c>
      <c r="L745" s="794">
        <f t="shared" si="47"/>
        <v>1.0477582846003899E-3</v>
      </c>
      <c r="M745" s="860" t="s">
        <v>690</v>
      </c>
      <c r="N745" s="860"/>
    </row>
    <row r="746" spans="1:14" ht="12.75" customHeight="1" x14ac:dyDescent="0.3">
      <c r="A746" s="860"/>
      <c r="B746" s="821"/>
      <c r="C746" s="860" t="s">
        <v>1183</v>
      </c>
      <c r="D746" s="860"/>
      <c r="E746" s="860"/>
      <c r="F746" s="860"/>
      <c r="G746" s="860" t="s">
        <v>4819</v>
      </c>
      <c r="H746" s="872" t="s">
        <v>4734</v>
      </c>
      <c r="I746" s="869"/>
      <c r="J746" s="792" t="str">
        <f>IF(ISBLANK(HLOOKUP(CaseName,CaseData,MATCH($G746,cases!$G$4:$G$2494,0),FALSE)),"",HLOOKUP(CaseName,CaseData,MATCH($G746,cases!$G$4:$G$2494,0),FALSE))</f>
        <v/>
      </c>
      <c r="K746" s="874">
        <f>0.1*L784</f>
        <v>1.0700000000000002E-8</v>
      </c>
      <c r="L746" s="794">
        <f t="shared" si="47"/>
        <v>1.0700000000000002E-8</v>
      </c>
      <c r="M746" s="860" t="s">
        <v>690</v>
      </c>
      <c r="N746" s="860" t="s">
        <v>2062</v>
      </c>
    </row>
    <row r="747" spans="1:14" ht="12.75" customHeight="1" x14ac:dyDescent="0.3">
      <c r="A747" s="860"/>
      <c r="B747" s="821"/>
      <c r="C747" s="860" t="s">
        <v>1185</v>
      </c>
      <c r="D747" s="860"/>
      <c r="E747" s="872"/>
      <c r="F747" s="860"/>
      <c r="G747" s="821" t="s">
        <v>3286</v>
      </c>
      <c r="H747" s="860" t="s">
        <v>291</v>
      </c>
      <c r="I747" s="875"/>
      <c r="J747" s="792" t="str">
        <f>IF(ISBLANK(HLOOKUP(CaseName,CaseData,MATCH($G747,cases!$G$4:$G$2494,0),FALSE)),"",HLOOKUP(CaseName,CaseData,MATCH($G747,cases!$G$4:$G$2494,0),FALSE))</f>
        <v/>
      </c>
      <c r="K747" s="874">
        <f>(EXP((-1/0.1)*0)*(1/0.1)*L669/(1-EXP((-1/0.1)*L669)))</f>
        <v>1.2707470412683992</v>
      </c>
      <c r="L747" s="794">
        <f t="shared" si="47"/>
        <v>1.2707470412683992</v>
      </c>
      <c r="M747" s="821" t="s">
        <v>292</v>
      </c>
      <c r="N747" s="860" t="s">
        <v>1187</v>
      </c>
    </row>
    <row r="748" spans="1:14" ht="12.75" customHeight="1" x14ac:dyDescent="0.3">
      <c r="A748" s="860"/>
      <c r="B748" s="860"/>
      <c r="C748" s="860"/>
      <c r="D748" s="860"/>
      <c r="E748" s="860"/>
      <c r="F748" s="860"/>
      <c r="G748" s="860"/>
      <c r="H748" s="860"/>
      <c r="I748" s="790"/>
      <c r="J748" s="792" t="str">
        <f>IF(ISBLANK(HLOOKUP(CaseName,CaseData,MATCH($G748,cases!$G$4:$G$2494,0),FALSE)),"",HLOOKUP(CaseName,CaseData,MATCH($G748,cases!$G$4:$G$2494,0),FALSE))</f>
        <v/>
      </c>
      <c r="K748" s="886"/>
      <c r="L748" s="886"/>
      <c r="M748" s="860"/>
      <c r="N748" s="860"/>
    </row>
    <row r="749" spans="1:14" ht="12.75" customHeight="1" x14ac:dyDescent="0.3">
      <c r="A749" s="821" t="s">
        <v>2608</v>
      </c>
      <c r="B749" s="860"/>
      <c r="C749" s="860"/>
      <c r="D749" s="860"/>
      <c r="E749" s="860"/>
      <c r="F749" s="860"/>
      <c r="G749" s="821" t="s">
        <v>3287</v>
      </c>
      <c r="H749" s="821" t="s">
        <v>4690</v>
      </c>
      <c r="I749" s="875"/>
      <c r="J749" s="792" t="str">
        <f>IF(ISBLANK(HLOOKUP(CaseName,CaseData,MATCH($G749,cases!$G$4:$G$2494,0),FALSE)),"",HLOOKUP(CaseName,CaseData,MATCH($G749,cases!$G$4:$G$2494,0),FALSE))</f>
        <v/>
      </c>
      <c r="K749" s="885">
        <f>(L751+L757)/L667</f>
        <v>1.4992283931314811E-11</v>
      </c>
      <c r="L749" s="794">
        <f t="shared" ref="L749:L755" si="48">IF(ISBLANK(I749),IF(ISNUMBER(J749)=FALSE,K749,J749),I749)</f>
        <v>1.4992283931314811E-11</v>
      </c>
      <c r="M749" s="860" t="s">
        <v>1038</v>
      </c>
      <c r="N749" s="860"/>
    </row>
    <row r="750" spans="1:14" ht="12.75" customHeight="1" x14ac:dyDescent="0.3">
      <c r="A750" s="821" t="s">
        <v>2610</v>
      </c>
      <c r="B750" s="860"/>
      <c r="C750" s="860"/>
      <c r="D750" s="860"/>
      <c r="E750" s="860"/>
      <c r="F750" s="860"/>
      <c r="G750" s="821" t="s">
        <v>3288</v>
      </c>
      <c r="H750" s="821" t="s">
        <v>4690</v>
      </c>
      <c r="I750" s="875"/>
      <c r="J750" s="792" t="str">
        <f>IF(ISBLANK(HLOOKUP(CaseName,CaseData,MATCH($G750,cases!$G$4:$G$2494,0),FALSE)),"",HLOOKUP(CaseName,CaseData,MATCH($G750,cases!$G$4:$G$2494,0),FALSE))</f>
        <v/>
      </c>
      <c r="K750" s="874">
        <f>(L752+L758)/L668</f>
        <v>5.5396574926151886E-8</v>
      </c>
      <c r="L750" s="794">
        <f t="shared" si="48"/>
        <v>5.5396574926151886E-8</v>
      </c>
      <c r="M750" s="860" t="s">
        <v>1038</v>
      </c>
      <c r="N750" s="860"/>
    </row>
    <row r="751" spans="1:14" ht="12.75" customHeight="1" x14ac:dyDescent="0.3">
      <c r="A751" s="821"/>
      <c r="B751" s="821" t="s">
        <v>2612</v>
      </c>
      <c r="C751" s="860"/>
      <c r="D751" s="860"/>
      <c r="E751" s="860"/>
      <c r="F751" s="860"/>
      <c r="G751" s="894" t="s">
        <v>3289</v>
      </c>
      <c r="H751" s="821" t="s">
        <v>4734</v>
      </c>
      <c r="I751" s="875"/>
      <c r="J751" s="792" t="str">
        <f>IF(ISBLANK(HLOOKUP(CaseName,CaseData,MATCH($G751,cases!$G$4:$G$2494,0),FALSE)),"",HLOOKUP(CaseName,CaseData,MATCH($G751,cases!$G$4:$G$2494,0),FALSE))</f>
        <v/>
      </c>
      <c r="K751" s="874">
        <f>L754*(1-L700)</f>
        <v>1.7488525385517546E-8</v>
      </c>
      <c r="L751" s="794">
        <f t="shared" si="48"/>
        <v>1.7488525385517546E-8</v>
      </c>
      <c r="M751" s="860"/>
      <c r="N751" s="860"/>
    </row>
    <row r="752" spans="1:14" ht="12.75" customHeight="1" x14ac:dyDescent="0.3">
      <c r="A752" s="821"/>
      <c r="B752" s="821" t="s">
        <v>2614</v>
      </c>
      <c r="C752" s="860"/>
      <c r="D752" s="860"/>
      <c r="E752" s="860"/>
      <c r="F752" s="860"/>
      <c r="G752" s="894" t="s">
        <v>3290</v>
      </c>
      <c r="H752" s="821" t="s">
        <v>4734</v>
      </c>
      <c r="I752" s="875"/>
      <c r="J752" s="792" t="str">
        <f>IF(ISBLANK(HLOOKUP(CaseName,CaseData,MATCH($G752,cases!$G$4:$G$2494,0),FALSE)),"",HLOOKUP(CaseName,CaseData,MATCH($G752,cases!$G$4:$G$2494,0),FALSE))</f>
        <v/>
      </c>
      <c r="K752" s="874">
        <f>L753-L755</f>
        <v>2.8928843226788437E-10</v>
      </c>
      <c r="L752" s="794">
        <f t="shared" si="48"/>
        <v>2.8928843226788437E-10</v>
      </c>
      <c r="M752" s="860"/>
      <c r="N752" s="860"/>
    </row>
    <row r="753" spans="1:14" ht="12.75" customHeight="1" x14ac:dyDescent="0.3">
      <c r="A753" s="860"/>
      <c r="B753" s="821"/>
      <c r="C753" s="821" t="s">
        <v>1216</v>
      </c>
      <c r="D753" s="860"/>
      <c r="E753" s="860"/>
      <c r="F753" s="860"/>
      <c r="G753" s="872" t="s">
        <v>3291</v>
      </c>
      <c r="H753" s="913" t="s">
        <v>4734</v>
      </c>
      <c r="I753" s="869"/>
      <c r="J753" s="792" t="str">
        <f>IF(ISBLANK(HLOOKUP(CaseName,CaseData,MATCH($G753,cases!$G$4:$G$2494,0),FALSE)),"",HLOOKUP(CaseName,CaseData,MATCH($G753,cases!$G$4:$G$2494,0),FALSE))</f>
        <v/>
      </c>
      <c r="K753" s="874">
        <f>IF(L754*L705/(L677*RHOsolid)&gt;L755,L754*L705/(L677*RHOsolid),L755)</f>
        <v>2.893518518518519E-10</v>
      </c>
      <c r="L753" s="794">
        <f t="shared" si="48"/>
        <v>2.893518518518519E-10</v>
      </c>
      <c r="M753" s="860" t="s">
        <v>690</v>
      </c>
      <c r="N753" s="860"/>
    </row>
    <row r="754" spans="1:14" ht="12.75" customHeight="1" x14ac:dyDescent="0.3">
      <c r="A754" s="821"/>
      <c r="B754" s="860"/>
      <c r="C754" s="821"/>
      <c r="D754" s="821" t="s">
        <v>1220</v>
      </c>
      <c r="E754" s="872"/>
      <c r="F754" s="872"/>
      <c r="G754" s="872" t="s">
        <v>3292</v>
      </c>
      <c r="H754" s="913" t="s">
        <v>4734</v>
      </c>
      <c r="I754" s="869"/>
      <c r="J754" s="792" t="str">
        <f>IF(ISBLANK(HLOOKUP(CaseName,CaseData,MATCH($G754,cases!$G$4:$G$2494,0),FALSE)),"",HLOOKUP(CaseName,CaseData,MATCH($G754,cases!$G$4:$G$2494,0),FALSE))</f>
        <v/>
      </c>
      <c r="K754" s="914">
        <f>2.5/(24*3600)</f>
        <v>2.8935185185185186E-5</v>
      </c>
      <c r="L754" s="794">
        <f t="shared" si="48"/>
        <v>2.8935185185185186E-5</v>
      </c>
      <c r="M754" s="860" t="s">
        <v>690</v>
      </c>
      <c r="N754" s="860"/>
    </row>
    <row r="755" spans="1:14" ht="12.75" customHeight="1" x14ac:dyDescent="0.3">
      <c r="A755" s="821"/>
      <c r="B755" s="860"/>
      <c r="C755" s="821"/>
      <c r="D755" s="821" t="s">
        <v>2618</v>
      </c>
      <c r="E755" s="872"/>
      <c r="F755" s="872"/>
      <c r="G755" s="872" t="s">
        <v>3293</v>
      </c>
      <c r="H755" s="913" t="s">
        <v>4734</v>
      </c>
      <c r="I755" s="869"/>
      <c r="J755" s="792" t="str">
        <f>IF(ISBLANK(HLOOKUP(CaseName,CaseData,MATCH($G755,cases!$G$4:$G$2494,0),FALSE)),"",HLOOKUP(CaseName,CaseData,MATCH($G755,cases!$G$4:$G$2494,0),FALSE))</f>
        <v/>
      </c>
      <c r="K755" s="874">
        <v>6.3419583967529484E-14</v>
      </c>
      <c r="L755" s="794">
        <f t="shared" si="48"/>
        <v>6.3419583967529484E-14</v>
      </c>
      <c r="M755" s="860" t="s">
        <v>690</v>
      </c>
      <c r="N755" s="860" t="s">
        <v>1227</v>
      </c>
    </row>
    <row r="756" spans="1:14" ht="12.75" customHeight="1" x14ac:dyDescent="0.3">
      <c r="A756" s="860"/>
      <c r="B756" s="821"/>
      <c r="C756" s="821"/>
      <c r="D756" s="821"/>
      <c r="E756" s="821" t="s">
        <v>2620</v>
      </c>
      <c r="F756" s="821"/>
      <c r="G756" s="872" t="s">
        <v>3294</v>
      </c>
      <c r="H756" s="821" t="s">
        <v>4744</v>
      </c>
      <c r="I756" s="869"/>
      <c r="J756" s="792" t="str">
        <f>IF(ISBLANK(HLOOKUP(CaseName,CaseData,MATCH($G756,cases!$G$4:$G$2494,0),FALSE)),"",HLOOKUP(CaseName,CaseData,MATCH($G756,cases!$G$4:$G$2494,0),FALSE))</f>
        <v/>
      </c>
      <c r="K756" s="914">
        <v>1</v>
      </c>
      <c r="L756" s="928">
        <f>IF(ISBLANK(I756),IF(ISNUMBER(J756)=FALSE,K756/(1000*3600*24*365)*L663*L662,J756/(1000*3600*24*365)*L663*L662),I756/(1000*3600*24*365)*L663*L662)</f>
        <v>2830.0989345509893</v>
      </c>
      <c r="M756" s="821" t="s">
        <v>1233</v>
      </c>
      <c r="N756" s="860"/>
    </row>
    <row r="757" spans="1:14" ht="12.75" customHeight="1" x14ac:dyDescent="0.3">
      <c r="A757" s="860"/>
      <c r="B757" s="860" t="s">
        <v>2623</v>
      </c>
      <c r="C757" s="872"/>
      <c r="D757" s="872"/>
      <c r="E757" s="860"/>
      <c r="F757" s="860"/>
      <c r="G757" s="894" t="s">
        <v>3295</v>
      </c>
      <c r="H757" s="821" t="s">
        <v>4735</v>
      </c>
      <c r="I757" s="869"/>
      <c r="J757" s="792" t="str">
        <f>IF(ISBLANK(HLOOKUP(CaseName,CaseData,MATCH($G757,cases!$G$4:$G$2494,0),FALSE)),"",HLOOKUP(CaseName,CaseData,MATCH($G757,cases!$G$4:$G$2494,0),FALSE))</f>
        <v/>
      </c>
      <c r="K757" s="914">
        <f>(L759*L760)/(L759+L760)*L699</f>
        <v>2.7488326408426885E-8</v>
      </c>
      <c r="L757" s="794">
        <f>IF(ISBLANK(I757),IF(ISNUMBER(J757)=FALSE,K757,J757),I757)</f>
        <v>2.7488326408426885E-8</v>
      </c>
      <c r="M757" s="821"/>
      <c r="N757" s="860"/>
    </row>
    <row r="758" spans="1:14" ht="12.75" customHeight="1" x14ac:dyDescent="0.3">
      <c r="A758" s="860"/>
      <c r="B758" s="860" t="s">
        <v>2625</v>
      </c>
      <c r="C758" s="872"/>
      <c r="D758" s="872"/>
      <c r="E758" s="860"/>
      <c r="F758" s="860"/>
      <c r="G758" s="894" t="s">
        <v>3296</v>
      </c>
      <c r="H758" s="821" t="s">
        <v>4735</v>
      </c>
      <c r="I758" s="869"/>
      <c r="J758" s="792" t="str">
        <f>IF(ISBLANK(HLOOKUP(CaseName,CaseData,MATCH($G758,cases!$G$4:$G$2494,0),FALSE)),"",HLOOKUP(CaseName,CaseData,MATCH($G758,cases!$G$4:$G$2494,0),FALSE))</f>
        <v/>
      </c>
      <c r="K758" s="914">
        <f>(L759*L760/(L759+L760))/L711</f>
        <v>1.3726088155166722E-9</v>
      </c>
      <c r="L758" s="794">
        <f>IF(ISBLANK(I758),IF(ISNUMBER(J758)=FALSE,K758,J758),I758)</f>
        <v>1.3726088155166722E-9</v>
      </c>
      <c r="M758" s="821"/>
      <c r="N758" s="860"/>
    </row>
    <row r="759" spans="1:14" ht="12.75" customHeight="1" x14ac:dyDescent="0.3">
      <c r="A759" s="860"/>
      <c r="B759" s="821"/>
      <c r="C759" s="860" t="s">
        <v>1244</v>
      </c>
      <c r="D759" s="860"/>
      <c r="E759" s="860"/>
      <c r="F759" s="860"/>
      <c r="G759" s="860" t="s">
        <v>3297</v>
      </c>
      <c r="H759" s="913" t="s">
        <v>4734</v>
      </c>
      <c r="I759" s="869"/>
      <c r="J759" s="792" t="str">
        <f>IF(ISBLANK(HLOOKUP(CaseName,CaseData,MATCH($G759,cases!$G$4:$G$2494,0),FALSE)),"",HLOOKUP(CaseName,CaseData,MATCH($G759,cases!$G$4:$G$2494,0),FALSE))</f>
        <v/>
      </c>
      <c r="K759" s="914">
        <v>2.7779999999999999E-6</v>
      </c>
      <c r="L759" s="794">
        <f>IF(ISBLANK(I759),IF(ISNUMBER(J759)=FALSE,K759,J759),I759)</f>
        <v>2.7779999999999999E-6</v>
      </c>
      <c r="M759" s="860" t="s">
        <v>690</v>
      </c>
      <c r="N759" s="860"/>
    </row>
    <row r="760" spans="1:14" ht="12.75" customHeight="1" x14ac:dyDescent="0.3">
      <c r="A760" s="860"/>
      <c r="B760" s="821"/>
      <c r="C760" s="860" t="s">
        <v>1246</v>
      </c>
      <c r="D760" s="860"/>
      <c r="E760" s="860"/>
      <c r="F760" s="860"/>
      <c r="G760" s="860" t="s">
        <v>3298</v>
      </c>
      <c r="H760" s="913" t="s">
        <v>4734</v>
      </c>
      <c r="I760" s="869"/>
      <c r="J760" s="792" t="str">
        <f>IF(ISBLANK(HLOOKUP(CaseName,CaseData,MATCH($G760,cases!$G$4:$G$2494,0),FALSE)),"",HLOOKUP(CaseName,CaseData,MATCH($G760,cases!$G$4:$G$2494,0),FALSE))</f>
        <v/>
      </c>
      <c r="K760" s="914">
        <v>2.7779999999999998E-8</v>
      </c>
      <c r="L760" s="794">
        <f>IF(ISBLANK(I760),IF(ISNUMBER(J760)=FALSE,K760,J760),I760)</f>
        <v>2.7779999999999998E-8</v>
      </c>
      <c r="M760" s="860" t="s">
        <v>690</v>
      </c>
      <c r="N760" s="860"/>
    </row>
    <row r="761" spans="1:14" ht="12.75" customHeight="1" x14ac:dyDescent="0.3">
      <c r="A761" s="860"/>
      <c r="B761" s="860"/>
      <c r="C761" s="860"/>
      <c r="D761" s="860"/>
      <c r="E761" s="860"/>
      <c r="F761" s="860"/>
      <c r="G761" s="860"/>
      <c r="H761" s="860"/>
      <c r="I761" s="790"/>
      <c r="J761" s="792" t="str">
        <f>IF(ISBLANK(HLOOKUP(CaseName,CaseData,MATCH($G761,cases!$G$4:$G$2494,0),FALSE)),"",HLOOKUP(CaseName,CaseData,MATCH($G761,cases!$G$4:$G$2494,0),FALSE))</f>
        <v/>
      </c>
      <c r="K761" s="886"/>
      <c r="L761" s="886"/>
      <c r="M761" s="860"/>
      <c r="N761" s="860"/>
    </row>
    <row r="762" spans="1:14" ht="12.75" customHeight="1" x14ac:dyDescent="0.3">
      <c r="A762" s="821" t="s">
        <v>2629</v>
      </c>
      <c r="B762" s="860"/>
      <c r="C762" s="860"/>
      <c r="D762" s="860"/>
      <c r="E762" s="860"/>
      <c r="F762" s="860"/>
      <c r="G762" s="821" t="s">
        <v>3299</v>
      </c>
      <c r="H762" s="821" t="s">
        <v>4690</v>
      </c>
      <c r="I762" s="875"/>
      <c r="J762" s="792" t="str">
        <f>IF(ISBLANK(HLOOKUP(CaseName,CaseData,MATCH($G762,cases!$G$4:$G$2494,0),FALSE)),"",HLOOKUP(CaseName,CaseData,MATCH($G762,cases!$G$4:$G$2494,0),FALSE))</f>
        <v/>
      </c>
      <c r="K762" s="874">
        <f>(L736*L764/L714+L763)*L765/L669</f>
        <v>1.1255665341427853E-8</v>
      </c>
      <c r="L762" s="794">
        <f>IF(ISBLANK(I762),IF(ISNUMBER(J762)=FALSE,K762,J762),I762)</f>
        <v>1.1255665341427853E-8</v>
      </c>
      <c r="M762" s="860" t="s">
        <v>1038</v>
      </c>
      <c r="N762" s="860"/>
    </row>
    <row r="763" spans="1:14" ht="12.75" customHeight="1" x14ac:dyDescent="0.3">
      <c r="A763" s="860"/>
      <c r="B763" s="860"/>
      <c r="C763" s="872" t="s">
        <v>2631</v>
      </c>
      <c r="D763" s="860"/>
      <c r="E763" s="860"/>
      <c r="F763" s="860"/>
      <c r="G763" s="872" t="s">
        <v>3300</v>
      </c>
      <c r="H763" s="913" t="s">
        <v>4734</v>
      </c>
      <c r="I763" s="869"/>
      <c r="J763" s="792" t="str">
        <f>IF(ISBLANK(HLOOKUP(CaseName,CaseData,MATCH($G763,cases!$G$4:$G$2494,0),FALSE)),"",HLOOKUP(CaseName,CaseData,MATCH($G763,cases!$G$4:$G$2494,0),FALSE))</f>
        <v/>
      </c>
      <c r="K763" s="914">
        <f>EROSION.C</f>
        <v>9.5129375951293754E-13</v>
      </c>
      <c r="L763" s="794">
        <f>IF(ISBLANK(I763),IF(ISNUMBER(J763)=FALSE,K763,J763),I763)</f>
        <v>9.5129375951293754E-13</v>
      </c>
      <c r="M763" s="860" t="s">
        <v>690</v>
      </c>
      <c r="N763" s="860"/>
    </row>
    <row r="764" spans="1:14" ht="12.75" customHeight="1" x14ac:dyDescent="0.3">
      <c r="A764" s="860"/>
      <c r="B764" s="860"/>
      <c r="C764" s="821" t="s">
        <v>2633</v>
      </c>
      <c r="D764" s="860"/>
      <c r="E764" s="860"/>
      <c r="F764" s="860"/>
      <c r="G764" s="872" t="s">
        <v>3301</v>
      </c>
      <c r="H764" s="821" t="s">
        <v>291</v>
      </c>
      <c r="I764" s="869"/>
      <c r="J764" s="792" t="str">
        <f>IF(ISBLANK(HLOOKUP(CaseName,CaseData,MATCH($G764,cases!$G$4:$G$2494,0),FALSE)),"",HLOOKUP(CaseName,CaseData,MATCH($G764,cases!$G$4:$G$2494,0),FALSE))</f>
        <v/>
      </c>
      <c r="K764" s="914">
        <f>FRACrun.C</f>
        <v>0.25</v>
      </c>
      <c r="L764" s="794">
        <f>IF(ISBLANK(I764),IF(ISNUMBER(J764)=FALSE,K764,J764),I764)</f>
        <v>0.25</v>
      </c>
      <c r="M764" s="860" t="s">
        <v>292</v>
      </c>
      <c r="N764" s="860"/>
    </row>
    <row r="765" spans="1:14" ht="12.75" customHeight="1" x14ac:dyDescent="0.3">
      <c r="A765" s="821"/>
      <c r="B765" s="821"/>
      <c r="C765" s="860" t="s">
        <v>1185</v>
      </c>
      <c r="D765" s="860"/>
      <c r="E765" s="872"/>
      <c r="F765" s="872"/>
      <c r="G765" s="821" t="s">
        <v>3302</v>
      </c>
      <c r="H765" s="860" t="s">
        <v>291</v>
      </c>
      <c r="I765" s="875"/>
      <c r="J765" s="792" t="str">
        <f>IF(ISBLANK(HLOOKUP(CaseName,CaseData,MATCH($G765,cases!$G$4:$G$2494,0),FALSE)),"",HLOOKUP(CaseName,CaseData,MATCH($G765,cases!$G$4:$G$2494,0),FALSE))</f>
        <v/>
      </c>
      <c r="K765" s="874">
        <f>(EXP((-1/0.1)*0)*(1/0.1)*L669/(1-EXP((-1/0.1)*L669)))</f>
        <v>1.2707470412683992</v>
      </c>
      <c r="L765" s="794">
        <f>IF(ISBLANK(I765),IF(ISNUMBER(J765)=FALSE,K765,J765),I765)</f>
        <v>1.2707470412683992</v>
      </c>
      <c r="M765" s="821" t="s">
        <v>292</v>
      </c>
      <c r="N765" s="860" t="s">
        <v>1187</v>
      </c>
    </row>
    <row r="766" spans="1:14" ht="12.75" customHeight="1" x14ac:dyDescent="0.3">
      <c r="A766" s="860"/>
      <c r="B766" s="860"/>
      <c r="C766" s="860"/>
      <c r="D766" s="860"/>
      <c r="E766" s="860"/>
      <c r="F766" s="860"/>
      <c r="G766" s="860"/>
      <c r="H766" s="821"/>
      <c r="I766" s="862"/>
      <c r="J766" s="792"/>
      <c r="K766" s="863"/>
      <c r="L766" s="886"/>
      <c r="M766" s="860"/>
      <c r="N766" s="860"/>
    </row>
    <row r="767" spans="1:14" ht="12.75" customHeight="1" x14ac:dyDescent="0.3">
      <c r="A767" s="865" t="s">
        <v>1266</v>
      </c>
      <c r="B767" s="864"/>
      <c r="C767" s="864"/>
      <c r="D767" s="864"/>
      <c r="E767" s="864"/>
      <c r="F767" s="864"/>
      <c r="G767" s="865" t="s">
        <v>258</v>
      </c>
      <c r="H767" s="865" t="s">
        <v>274</v>
      </c>
      <c r="I767" s="864" t="s">
        <v>259</v>
      </c>
      <c r="J767" s="910" t="s">
        <v>2875</v>
      </c>
      <c r="K767" s="867" t="s">
        <v>260</v>
      </c>
      <c r="L767" s="867" t="s">
        <v>261</v>
      </c>
      <c r="M767" s="864"/>
      <c r="N767" s="865" t="s">
        <v>262</v>
      </c>
    </row>
    <row r="768" spans="1:14" ht="12.75" customHeight="1" x14ac:dyDescent="0.3">
      <c r="A768" s="821"/>
      <c r="B768" s="860"/>
      <c r="C768" s="860"/>
      <c r="D768" s="860"/>
      <c r="E768" s="860"/>
      <c r="F768" s="860"/>
      <c r="G768" s="860"/>
      <c r="H768" s="821"/>
      <c r="I768" s="862"/>
      <c r="J768" s="792"/>
      <c r="K768" s="915"/>
      <c r="L768" s="916"/>
      <c r="M768" s="860"/>
      <c r="N768" s="860"/>
    </row>
    <row r="769" spans="1:14" ht="12.75" customHeight="1" x14ac:dyDescent="0.3">
      <c r="A769" s="821" t="s">
        <v>1267</v>
      </c>
      <c r="B769" s="860"/>
      <c r="C769" s="860"/>
      <c r="D769" s="860"/>
      <c r="E769" s="860"/>
      <c r="F769" s="860"/>
      <c r="G769" s="821" t="s">
        <v>3303</v>
      </c>
      <c r="H769" s="821" t="s">
        <v>4690</v>
      </c>
      <c r="I769" s="875"/>
      <c r="J769" s="792" t="str">
        <f>IF(ISBLANK(HLOOKUP(CaseName,CaseData,MATCH($G769,cases!$G$4:$G$2494,0),FALSE)),"",HLOOKUP(CaseName,CaseData,MATCH($G769,cases!$G$4:$G$2494,0),FALSE))</f>
        <v/>
      </c>
      <c r="K769" s="874">
        <f>L774+L775</f>
        <v>2.4036631743353455E-7</v>
      </c>
      <c r="L769" s="794">
        <f t="shared" ref="L769:L786" si="49">IF(ISBLANK(I769),IF(ISNUMBER(J769)=FALSE,K769,J769),I769)</f>
        <v>2.4036631743353455E-7</v>
      </c>
      <c r="M769" s="860" t="s">
        <v>1038</v>
      </c>
      <c r="N769" s="860"/>
    </row>
    <row r="770" spans="1:14" ht="12.75" customHeight="1" x14ac:dyDescent="0.3">
      <c r="A770" s="821" t="s">
        <v>4794</v>
      </c>
      <c r="B770" s="860"/>
      <c r="C770" s="860"/>
      <c r="D770" s="860"/>
      <c r="E770" s="860"/>
      <c r="F770" s="860"/>
      <c r="G770" s="821" t="s">
        <v>3304</v>
      </c>
      <c r="H770" s="821" t="s">
        <v>4690</v>
      </c>
      <c r="I770" s="875"/>
      <c r="J770" s="792" t="str">
        <f>IF(ISBLANK(HLOOKUP(CaseName,CaseData,MATCH($G770,cases!$G$4:$G$2494,0),FALSE)),"",HLOOKUP(CaseName,CaseData,MATCH($G770,cases!$G$4:$G$2494,0),FALSE))</f>
        <v/>
      </c>
      <c r="K770" s="874">
        <f>L778</f>
        <v>2.1387065766441277E-7</v>
      </c>
      <c r="L770" s="794">
        <f t="shared" si="49"/>
        <v>2.1387065766441277E-7</v>
      </c>
      <c r="M770" s="860" t="s">
        <v>1038</v>
      </c>
      <c r="N770" s="860"/>
    </row>
    <row r="771" spans="1:14" ht="12.75" customHeight="1" x14ac:dyDescent="0.3">
      <c r="A771" s="821" t="s">
        <v>2638</v>
      </c>
      <c r="B771" s="860"/>
      <c r="C771" s="860"/>
      <c r="D771" s="860"/>
      <c r="E771" s="860"/>
      <c r="F771" s="860"/>
      <c r="G771" s="821" t="s">
        <v>3305</v>
      </c>
      <c r="H771" s="821" t="s">
        <v>4690</v>
      </c>
      <c r="I771" s="875"/>
      <c r="J771" s="792" t="str">
        <f>IF(ISBLANK(HLOOKUP(CaseName,CaseData,MATCH($G771,cases!$G$4:$G$2494,0),FALSE)),"",HLOOKUP(CaseName,CaseData,MATCH($G771,cases!$G$4:$G$2494,0),FALSE))</f>
        <v/>
      </c>
      <c r="K771" s="874">
        <f>L779</f>
        <v>2.1387065766441277E-7</v>
      </c>
      <c r="L771" s="794">
        <f t="shared" si="49"/>
        <v>2.1387065766441277E-7</v>
      </c>
      <c r="M771" s="860" t="s">
        <v>1038</v>
      </c>
      <c r="N771" s="860"/>
    </row>
    <row r="772" spans="1:14" ht="12.75" customHeight="1" x14ac:dyDescent="0.3">
      <c r="A772" s="821" t="s">
        <v>2640</v>
      </c>
      <c r="B772" s="860"/>
      <c r="C772" s="860"/>
      <c r="D772" s="860"/>
      <c r="E772" s="860"/>
      <c r="F772" s="860"/>
      <c r="G772" s="821" t="s">
        <v>3306</v>
      </c>
      <c r="H772" s="821" t="s">
        <v>4690</v>
      </c>
      <c r="I772" s="875"/>
      <c r="J772" s="792" t="str">
        <f>IF(ISBLANK(HLOOKUP(CaseName,CaseData,MATCH($G772,cases!$G$4:$G$2494,0),FALSE)),"",HLOOKUP(CaseName,CaseData,MATCH($G772,cases!$G$4:$G$2494,0),FALSE))</f>
        <v/>
      </c>
      <c r="K772" s="874">
        <f>L783+L755/L668</f>
        <v>2.3802113986132251E-8</v>
      </c>
      <c r="L772" s="794">
        <f t="shared" si="49"/>
        <v>2.3802113986132251E-8</v>
      </c>
      <c r="M772" s="860" t="s">
        <v>1038</v>
      </c>
      <c r="N772" s="860"/>
    </row>
    <row r="773" spans="1:14" ht="12.75" customHeight="1" x14ac:dyDescent="0.3">
      <c r="A773" s="821" t="s">
        <v>2642</v>
      </c>
      <c r="B773" s="860"/>
      <c r="C773" s="860"/>
      <c r="D773" s="860"/>
      <c r="E773" s="860"/>
      <c r="F773" s="860"/>
      <c r="G773" s="821" t="s">
        <v>3307</v>
      </c>
      <c r="H773" s="821" t="s">
        <v>4690</v>
      </c>
      <c r="I773" s="875"/>
      <c r="J773" s="792" t="str">
        <f>IF(ISBLANK(HLOOKUP(CaseName,CaseData,MATCH($G773,cases!$G$4:$G$2494,0),FALSE)),"",HLOOKUP(CaseName,CaseData,MATCH($G773,cases!$G$4:$G$2494,0),FALSE))</f>
        <v/>
      </c>
      <c r="K773" s="874">
        <f>L784+L785*L736/L714*L786/L669</f>
        <v>1.0707567717266271E-7</v>
      </c>
      <c r="L773" s="794">
        <f t="shared" si="49"/>
        <v>1.0707567717266271E-7</v>
      </c>
      <c r="M773" s="860" t="s">
        <v>1038</v>
      </c>
      <c r="N773" s="860"/>
    </row>
    <row r="774" spans="1:14" ht="12.75" customHeight="1" x14ac:dyDescent="0.3">
      <c r="A774" s="821"/>
      <c r="B774" s="821" t="s">
        <v>1278</v>
      </c>
      <c r="C774" s="872"/>
      <c r="D774" s="860"/>
      <c r="E774" s="860"/>
      <c r="F774" s="860"/>
      <c r="G774" s="872" t="s">
        <v>3308</v>
      </c>
      <c r="H774" s="821" t="s">
        <v>4690</v>
      </c>
      <c r="I774" s="869"/>
      <c r="J774" s="792" t="str">
        <f>IF(ISBLANK(HLOOKUP(CaseName,CaseData,MATCH($G774,cases!$G$4:$G$2494,0),FALSE)),"",HLOOKUP(CaseName,CaseData,MATCH($G774,cases!$G$4:$G$2494,0),FALSE))</f>
        <v/>
      </c>
      <c r="K774" s="874">
        <f>LN(2)/(60*365*24*3600)</f>
        <v>3.663258818281463E-10</v>
      </c>
      <c r="L774" s="794">
        <f t="shared" si="49"/>
        <v>3.663258818281463E-10</v>
      </c>
      <c r="M774" s="821" t="s">
        <v>1038</v>
      </c>
      <c r="N774" s="860"/>
    </row>
    <row r="775" spans="1:14" ht="12.75" customHeight="1" x14ac:dyDescent="0.3">
      <c r="A775" s="821"/>
      <c r="B775" s="821" t="s">
        <v>1280</v>
      </c>
      <c r="C775" s="860"/>
      <c r="D775" s="860"/>
      <c r="E775" s="860"/>
      <c r="F775" s="860"/>
      <c r="G775" s="821" t="s">
        <v>3309</v>
      </c>
      <c r="H775" s="821" t="s">
        <v>4690</v>
      </c>
      <c r="I775" s="869"/>
      <c r="J775" s="792" t="str">
        <f>IF(ISBLANK(HLOOKUP(CaseName,CaseData,MATCH($G775,cases!$G$4:$G$2494,0),FALSE)),"",HLOOKUP(CaseName,CaseData,MATCH($G775,cases!$G$4:$G$2494,0),FALSE))</f>
        <v/>
      </c>
      <c r="K775" s="874">
        <f>L692*kdegG.air*(L776/C.OHrad)*L777</f>
        <v>2.3999999155170639E-7</v>
      </c>
      <c r="L775" s="794">
        <f t="shared" si="49"/>
        <v>2.3999999155170639E-7</v>
      </c>
      <c r="M775" s="821" t="s">
        <v>1038</v>
      </c>
      <c r="N775" s="860"/>
    </row>
    <row r="776" spans="1:14" ht="12.75" customHeight="1" x14ac:dyDescent="0.3">
      <c r="A776" s="872"/>
      <c r="B776" s="872"/>
      <c r="C776" s="821" t="s">
        <v>3310</v>
      </c>
      <c r="D776" s="860"/>
      <c r="E776" s="860"/>
      <c r="F776" s="860"/>
      <c r="G776" s="821" t="s">
        <v>3311</v>
      </c>
      <c r="H776" s="821" t="s">
        <v>4757</v>
      </c>
      <c r="I776" s="869"/>
      <c r="J776" s="792" t="str">
        <f>IF(ISBLANK(HLOOKUP(CaseName,CaseData,MATCH($G776,cases!$G$4:$G$2494,0),FALSE)),"",HLOOKUP(CaseName,CaseData,MATCH($G776,cases!$G$4:$G$2494,0),FALSE))</f>
        <v/>
      </c>
      <c r="K776" s="874">
        <f>C.OHrad</f>
        <v>500000</v>
      </c>
      <c r="L776" s="794">
        <f t="shared" si="49"/>
        <v>500000</v>
      </c>
      <c r="M776" s="821" t="s">
        <v>1284</v>
      </c>
      <c r="N776" s="860"/>
    </row>
    <row r="777" spans="1:14" ht="12.75" customHeight="1" x14ac:dyDescent="0.3">
      <c r="A777" s="872"/>
      <c r="B777" s="872"/>
      <c r="C777" s="821" t="s">
        <v>2122</v>
      </c>
      <c r="D777" s="860"/>
      <c r="E777" s="860"/>
      <c r="F777" s="860"/>
      <c r="G777" s="821" t="s">
        <v>3312</v>
      </c>
      <c r="H777" s="821" t="s">
        <v>291</v>
      </c>
      <c r="I777" s="869"/>
      <c r="J777" s="792" t="str">
        <f>IF(ISBLANK(HLOOKUP(CaseName,CaseData,MATCH($G777,cases!$G$4:$G$2494,0),FALSE)),"",HLOOKUP(CaseName,CaseData,MATCH($G777,cases!$G$4:$G$2494,0),FALSE))</f>
        <v/>
      </c>
      <c r="K777" s="874">
        <f>EXP((Ea.OHrad/8.314)*(L696-298)/298^2)</f>
        <v>1</v>
      </c>
      <c r="L777" s="794">
        <f t="shared" si="49"/>
        <v>1</v>
      </c>
      <c r="M777" s="821" t="s">
        <v>292</v>
      </c>
      <c r="N777" s="860"/>
    </row>
    <row r="778" spans="1:14" ht="12.75" customHeight="1" x14ac:dyDescent="0.3">
      <c r="A778" s="821"/>
      <c r="B778" s="821" t="s">
        <v>4795</v>
      </c>
      <c r="C778" s="860"/>
      <c r="D778" s="860"/>
      <c r="E778" s="860"/>
      <c r="F778" s="860"/>
      <c r="G778" s="821" t="s">
        <v>3313</v>
      </c>
      <c r="H778" s="821" t="s">
        <v>4690</v>
      </c>
      <c r="I778" s="869"/>
      <c r="J778" s="792" t="str">
        <f>IF(ISBLANK(HLOOKUP(CaseName,CaseData,MATCH($G778,cases!$G$4:$G$2494,0),FALSE)),"",HLOOKUP(CaseName,CaseData,MATCH($G778,cases!$G$4:$G$2494,0),FALSE))</f>
        <v/>
      </c>
      <c r="K778" s="874">
        <f>kdeg.water*L782*(L780/BACT.test)*L699</f>
        <v>2.1387065766441277E-7</v>
      </c>
      <c r="L778" s="794">
        <f t="shared" si="49"/>
        <v>2.1387065766441277E-7</v>
      </c>
      <c r="M778" s="821" t="s">
        <v>1038</v>
      </c>
      <c r="N778" s="860"/>
    </row>
    <row r="779" spans="1:14" ht="12.75" customHeight="1" x14ac:dyDescent="0.3">
      <c r="A779" s="821"/>
      <c r="B779" s="821" t="s">
        <v>2650</v>
      </c>
      <c r="C779" s="860"/>
      <c r="D779" s="860"/>
      <c r="E779" s="860"/>
      <c r="F779" s="860"/>
      <c r="G779" s="821" t="s">
        <v>3314</v>
      </c>
      <c r="H779" s="821" t="s">
        <v>4690</v>
      </c>
      <c r="I779" s="869"/>
      <c r="J779" s="792" t="str">
        <f>IF(ISBLANK(HLOOKUP(CaseName,CaseData,MATCH($G779,cases!$G$4:$G$2494,0),FALSE)),"",HLOOKUP(CaseName,CaseData,MATCH($G779,cases!$G$4:$G$2494,0),FALSE))</f>
        <v/>
      </c>
      <c r="K779" s="874">
        <f>kdeg.water*L782*(L781/BACT.test)*L700</f>
        <v>2.1387065766441277E-7</v>
      </c>
      <c r="L779" s="794">
        <f t="shared" si="49"/>
        <v>2.1387065766441277E-7</v>
      </c>
      <c r="M779" s="821" t="s">
        <v>1038</v>
      </c>
      <c r="N779" s="860"/>
    </row>
    <row r="780" spans="1:14" ht="12.75" customHeight="1" x14ac:dyDescent="0.3">
      <c r="A780" s="821"/>
      <c r="B780" s="821"/>
      <c r="C780" s="821" t="s">
        <v>4796</v>
      </c>
      <c r="D780" s="860"/>
      <c r="E780" s="860"/>
      <c r="F780" s="860"/>
      <c r="G780" s="872" t="s">
        <v>3315</v>
      </c>
      <c r="H780" s="821" t="s">
        <v>1295</v>
      </c>
      <c r="I780" s="869"/>
      <c r="J780" s="792" t="str">
        <f>IF(ISBLANK(HLOOKUP(CaseName,CaseData,MATCH($G780,cases!$G$4:$G$2494,0),FALSE)),"",HLOOKUP(CaseName,CaseData,MATCH($G780,cases!$G$4:$G$2494,0),FALSE))</f>
        <v/>
      </c>
      <c r="K780" s="914">
        <v>40000</v>
      </c>
      <c r="L780" s="794">
        <f t="shared" si="49"/>
        <v>40000</v>
      </c>
      <c r="M780" s="821" t="s">
        <v>638</v>
      </c>
      <c r="N780" s="860"/>
    </row>
    <row r="781" spans="1:14" ht="12.75" customHeight="1" x14ac:dyDescent="0.3">
      <c r="A781" s="821"/>
      <c r="B781" s="821"/>
      <c r="C781" s="821" t="s">
        <v>3005</v>
      </c>
      <c r="D781" s="860"/>
      <c r="E781" s="860"/>
      <c r="F781" s="860"/>
      <c r="G781" s="872" t="s">
        <v>3316</v>
      </c>
      <c r="H781" s="821" t="s">
        <v>1295</v>
      </c>
      <c r="I781" s="869"/>
      <c r="J781" s="792" t="str">
        <f>IF(ISBLANK(HLOOKUP(CaseName,CaseData,MATCH($G781,cases!$G$4:$G$2494,0),FALSE)),"",HLOOKUP(CaseName,CaseData,MATCH($G781,cases!$G$4:$G$2494,0),FALSE))</f>
        <v/>
      </c>
      <c r="K781" s="914">
        <v>40000</v>
      </c>
      <c r="L781" s="794">
        <f t="shared" si="49"/>
        <v>40000</v>
      </c>
      <c r="M781" s="821" t="s">
        <v>638</v>
      </c>
      <c r="N781" s="860"/>
    </row>
    <row r="782" spans="1:14" ht="12.75" customHeight="1" x14ac:dyDescent="0.3">
      <c r="A782" s="872"/>
      <c r="B782" s="872"/>
      <c r="C782" s="821" t="s">
        <v>1301</v>
      </c>
      <c r="D782" s="860"/>
      <c r="E782" s="860"/>
      <c r="F782" s="860"/>
      <c r="G782" s="821" t="s">
        <v>3317</v>
      </c>
      <c r="H782" s="821" t="s">
        <v>291</v>
      </c>
      <c r="I782" s="869"/>
      <c r="J782" s="792" t="str">
        <f>IF(ISBLANK(HLOOKUP(CaseName,CaseData,MATCH($G782,cases!$G$4:$G$2494,0),FALSE)),"",HLOOKUP(CaseName,CaseData,MATCH($G782,cases!$G$4:$G$2494,0),FALSE))</f>
        <v/>
      </c>
      <c r="K782" s="874">
        <f>Q.10^((L696-298)/10)</f>
        <v>1</v>
      </c>
      <c r="L782" s="794">
        <f t="shared" si="49"/>
        <v>1</v>
      </c>
      <c r="M782" s="821" t="s">
        <v>292</v>
      </c>
      <c r="N782" s="860"/>
    </row>
    <row r="783" spans="1:14" ht="12.75" customHeight="1" x14ac:dyDescent="0.3">
      <c r="A783" s="821"/>
      <c r="B783" s="821" t="s">
        <v>2656</v>
      </c>
      <c r="C783" s="860"/>
      <c r="D783" s="860"/>
      <c r="E783" s="860"/>
      <c r="F783" s="860"/>
      <c r="G783" s="821" t="s">
        <v>3318</v>
      </c>
      <c r="H783" s="821" t="s">
        <v>4690</v>
      </c>
      <c r="I783" s="869"/>
      <c r="J783" s="792" t="str">
        <f>IF(ISBLANK(HLOOKUP(CaseName,CaseData,MATCH($G783,cases!$G$4:$G$2494,0),FALSE)),"",HLOOKUP(CaseName,CaseData,MATCH($G783,cases!$G$4:$G$2494,0),FALSE))</f>
        <v/>
      </c>
      <c r="K783" s="874">
        <f>L782*kdeg.sed</f>
        <v>2.3800000000000001E-8</v>
      </c>
      <c r="L783" s="794">
        <f t="shared" si="49"/>
        <v>2.3800000000000001E-8</v>
      </c>
      <c r="M783" s="821" t="s">
        <v>1038</v>
      </c>
      <c r="N783" s="860"/>
    </row>
    <row r="784" spans="1:14" ht="12.75" customHeight="1" x14ac:dyDescent="0.3">
      <c r="A784" s="821"/>
      <c r="B784" s="821" t="s">
        <v>2658</v>
      </c>
      <c r="C784" s="860"/>
      <c r="D784" s="860"/>
      <c r="E784" s="860"/>
      <c r="F784" s="860"/>
      <c r="G784" s="821" t="s">
        <v>3319</v>
      </c>
      <c r="H784" s="821" t="s">
        <v>4690</v>
      </c>
      <c r="I784" s="869"/>
      <c r="J784" s="792" t="str">
        <f>IF(ISBLANK(HLOOKUP(CaseName,CaseData,MATCH($G784,cases!$G$4:$G$2494,0),FALSE)),"",HLOOKUP(CaseName,CaseData,MATCH($G784,cases!$G$4:$G$2494,0),FALSE))</f>
        <v/>
      </c>
      <c r="K784" s="874">
        <f>L782*kdeg.soil</f>
        <v>1.0700000000000001E-7</v>
      </c>
      <c r="L784" s="794">
        <f t="shared" si="49"/>
        <v>1.0700000000000001E-7</v>
      </c>
      <c r="M784" s="821" t="s">
        <v>1038</v>
      </c>
      <c r="N784" s="860"/>
    </row>
    <row r="785" spans="1:16" ht="12.75" customHeight="1" x14ac:dyDescent="0.3">
      <c r="A785" s="860"/>
      <c r="B785" s="860"/>
      <c r="C785" s="821" t="s">
        <v>2660</v>
      </c>
      <c r="D785" s="860"/>
      <c r="E785" s="860"/>
      <c r="F785" s="860"/>
      <c r="G785" s="872" t="s">
        <v>3320</v>
      </c>
      <c r="H785" s="821" t="s">
        <v>291</v>
      </c>
      <c r="I785" s="869"/>
      <c r="J785" s="792" t="str">
        <f>IF(ISBLANK(HLOOKUP(CaseName,CaseData,MATCH($G785,cases!$G$4:$G$2494,0),FALSE)),"",HLOOKUP(CaseName,CaseData,MATCH($G785,cases!$G$4:$G$2494,0),FALSE))</f>
        <v/>
      </c>
      <c r="K785" s="914">
        <f>FRACinf.C</f>
        <v>0.25</v>
      </c>
      <c r="L785" s="794">
        <f t="shared" si="49"/>
        <v>0.25</v>
      </c>
      <c r="M785" s="860" t="s">
        <v>292</v>
      </c>
      <c r="N785" s="860"/>
    </row>
    <row r="786" spans="1:16" ht="12.75" customHeight="1" x14ac:dyDescent="0.3">
      <c r="A786" s="821"/>
      <c r="B786" s="821"/>
      <c r="C786" s="860" t="s">
        <v>1185</v>
      </c>
      <c r="D786" s="860"/>
      <c r="E786" s="872"/>
      <c r="F786" s="872"/>
      <c r="G786" s="821" t="s">
        <v>3321</v>
      </c>
      <c r="H786" s="860" t="s">
        <v>291</v>
      </c>
      <c r="I786" s="875"/>
      <c r="J786" s="792" t="str">
        <f>IF(ISBLANK(HLOOKUP(CaseName,CaseData,MATCH($G786,cases!$G$4:$G$2494,0),FALSE)),"",HLOOKUP(CaseName,CaseData,MATCH($G786,cases!$G$4:$G$2494,0),FALSE))</f>
        <v/>
      </c>
      <c r="K786" s="874">
        <f>(EXP((-1/0.1)*0.5)*(1/0.1)*L669/(1-EXP((-1/0.1)*L669)))</f>
        <v>8.5622262133111474E-3</v>
      </c>
      <c r="L786" s="794">
        <f t="shared" si="49"/>
        <v>8.5622262133111474E-3</v>
      </c>
      <c r="M786" s="821" t="s">
        <v>292</v>
      </c>
      <c r="N786" s="860" t="s">
        <v>1187</v>
      </c>
    </row>
    <row r="787" spans="1:16" ht="12.75" customHeight="1" x14ac:dyDescent="0.3">
      <c r="A787" s="895"/>
      <c r="B787" s="895"/>
      <c r="C787" s="895"/>
      <c r="D787" s="895"/>
      <c r="E787" s="895"/>
      <c r="F787" s="895"/>
      <c r="G787" s="895"/>
      <c r="H787" s="932"/>
      <c r="I787" s="896"/>
      <c r="J787" s="792" t="str">
        <f>IF(ISBLANK(HLOOKUP(CaseName,CaseData,MATCH($G787,cases!$G$4:$G$2494,0),FALSE)),"",HLOOKUP(CaseName,CaseData,MATCH($G787,cases!$G$4:$G$2494,0),FALSE))</f>
        <v/>
      </c>
      <c r="K787" s="897"/>
      <c r="L787" s="930"/>
      <c r="M787" s="895"/>
      <c r="N787" s="895"/>
    </row>
    <row r="788" spans="1:16" s="784" customFormat="1" ht="12.75" customHeight="1" x14ac:dyDescent="0.3">
      <c r="A788" s="785" t="s">
        <v>1325</v>
      </c>
      <c r="G788" s="785" t="s">
        <v>258</v>
      </c>
      <c r="H788" s="785" t="s">
        <v>274</v>
      </c>
      <c r="I788" s="784" t="s">
        <v>259</v>
      </c>
      <c r="J788" s="792"/>
      <c r="K788" s="786" t="s">
        <v>260</v>
      </c>
      <c r="L788" s="787" t="s">
        <v>261</v>
      </c>
      <c r="N788" s="785" t="s">
        <v>262</v>
      </c>
      <c r="O788" s="788" t="s">
        <v>1326</v>
      </c>
      <c r="P788" s="784" t="s">
        <v>1327</v>
      </c>
    </row>
    <row r="789" spans="1:16" s="352" customFormat="1" ht="12.75" customHeight="1" x14ac:dyDescent="0.3">
      <c r="A789" s="352" t="s">
        <v>3322</v>
      </c>
      <c r="G789" s="520"/>
      <c r="H789" s="520"/>
      <c r="J789" s="792" t="str">
        <f>IF(ISBLANK(HLOOKUP(CaseName,CaseData,MATCH($G789,cases!$G$4:$G$2494,0),FALSE)),"",HLOOKUP(CaseName,CaseData,MATCH($G789,cases!$G$4:$G$2494,0),FALSE))</f>
        <v/>
      </c>
      <c r="K789" s="522"/>
      <c r="L789" s="523"/>
      <c r="O789" s="356"/>
    </row>
    <row r="790" spans="1:16" ht="12.75" customHeight="1" x14ac:dyDescent="0.3">
      <c r="A790" s="797" t="s">
        <v>1329</v>
      </c>
      <c r="B790" s="797"/>
      <c r="C790" s="797"/>
      <c r="D790" s="797"/>
      <c r="E790" s="797"/>
      <c r="F790" s="797"/>
      <c r="G790" s="797" t="s">
        <v>3323</v>
      </c>
      <c r="H790" s="796" t="s">
        <v>335</v>
      </c>
      <c r="I790" s="900"/>
      <c r="J790" s="792" t="str">
        <f>IF(ISBLANK(HLOOKUP(CaseName,CaseData,MATCH($G790,cases!$G$4:$G$2494,0),FALSE)),"",HLOOKUP(CaseName,CaseData,MATCH($G790,cases!$G$4:$G$2494,0),FALSE))</f>
        <v/>
      </c>
      <c r="K790" s="918">
        <f>L791+L796</f>
        <v>2.1924663233747587E-5</v>
      </c>
      <c r="L790" s="794">
        <f t="shared" ref="L790:L805" si="50">IF(ISBLANK(I790),IF(ISNUMBER(J790)=FALSE,K790,J790),I790)</f>
        <v>2.1924663233747587E-5</v>
      </c>
      <c r="M790" s="796" t="s">
        <v>335</v>
      </c>
      <c r="N790" s="797"/>
      <c r="O790" s="799">
        <v>2</v>
      </c>
      <c r="P790" s="797" t="s">
        <v>1331</v>
      </c>
    </row>
    <row r="791" spans="1:16" ht="12.75" customHeight="1" x14ac:dyDescent="0.3">
      <c r="A791" s="797"/>
      <c r="B791" s="797" t="s">
        <v>1332</v>
      </c>
      <c r="C791" s="797"/>
      <c r="D791" s="797"/>
      <c r="E791" s="797"/>
      <c r="F791" s="797"/>
      <c r="G791" s="797" t="s">
        <v>3324</v>
      </c>
      <c r="H791" s="797" t="s">
        <v>335</v>
      </c>
      <c r="I791" s="900"/>
      <c r="J791" s="792" t="str">
        <f>IF(ISBLANK(HLOOKUP(CaseName,CaseData,MATCH($G791,cases!$G$4:$G$2494,0),FALSE)),"",HLOOKUP(CaseName,CaseData,MATCH($G791,cases!$G$4:$G$2494,0),FALSE))</f>
        <v/>
      </c>
      <c r="K791" s="798">
        <f>L795*(4*PI()*(RadNuc+RadS)*(L794+DiffS.aT))*L792</f>
        <v>4.9587830726255477E-6</v>
      </c>
      <c r="L791" s="794">
        <f t="shared" si="50"/>
        <v>4.9587830726255477E-6</v>
      </c>
      <c r="M791" s="797" t="s">
        <v>335</v>
      </c>
      <c r="N791" s="797"/>
      <c r="O791" s="799">
        <v>10</v>
      </c>
      <c r="P791" s="797" t="s">
        <v>908</v>
      </c>
    </row>
    <row r="792" spans="1:16" ht="12.75" customHeight="1" x14ac:dyDescent="0.3">
      <c r="A792" s="797"/>
      <c r="B792" s="797"/>
      <c r="C792" s="797" t="s">
        <v>706</v>
      </c>
      <c r="D792" s="797"/>
      <c r="E792" s="797"/>
      <c r="F792" s="797"/>
      <c r="G792" s="797" t="s">
        <v>3325</v>
      </c>
      <c r="H792" s="796" t="s">
        <v>708</v>
      </c>
      <c r="I792" s="900"/>
      <c r="J792" s="792" t="str">
        <f>IF(ISBLANK(HLOOKUP(CaseName,CaseData,MATCH($G792,cases!$G$4:$G$2494,0),FALSE)),"",HLOOKUP(CaseName,CaseData,MATCH($G792,cases!$G$4:$G$2494,0),FALSE))</f>
        <v/>
      </c>
      <c r="K792" s="798">
        <f>3.2*10^9</f>
        <v>3200000000</v>
      </c>
      <c r="L792" s="794">
        <f t="shared" si="50"/>
        <v>3200000000</v>
      </c>
      <c r="M792" s="796" t="s">
        <v>708</v>
      </c>
      <c r="N792" s="797"/>
      <c r="O792" s="848"/>
      <c r="P792" s="797" t="s">
        <v>709</v>
      </c>
    </row>
    <row r="793" spans="1:16" ht="12.75" customHeight="1" x14ac:dyDescent="0.3">
      <c r="A793" s="797"/>
      <c r="B793" s="797"/>
      <c r="C793" s="797" t="s">
        <v>1339</v>
      </c>
      <c r="D793" s="797"/>
      <c r="E793" s="797"/>
      <c r="F793" s="797"/>
      <c r="G793" s="796" t="s">
        <v>3326</v>
      </c>
      <c r="H793" s="796" t="s">
        <v>866</v>
      </c>
      <c r="I793" s="900"/>
      <c r="J793" s="792" t="str">
        <f>IF(ISBLANK(HLOOKUP(CaseName,CaseData,MATCH($G793,cases!$G$4:$G$2494,0),FALSE)),"",HLOOKUP(CaseName,CaseData,MATCH($G793,cases!$G$4:$G$2494,0),FALSE))</f>
        <v/>
      </c>
      <c r="K793" s="798">
        <f>((8*kboltz*L696)/((PI()*(4/3*PI()*(RadNuc)^3)*RhoNuc)))^0.5</f>
        <v>1.3870873730212456</v>
      </c>
      <c r="L793" s="794">
        <f t="shared" si="50"/>
        <v>1.3870873730212456</v>
      </c>
      <c r="M793" s="796" t="s">
        <v>866</v>
      </c>
      <c r="N793" s="797"/>
      <c r="O793" s="799"/>
      <c r="P793" s="797"/>
    </row>
    <row r="794" spans="1:16" ht="12.75" customHeight="1" x14ac:dyDescent="0.3">
      <c r="A794" s="797"/>
      <c r="B794" s="797"/>
      <c r="C794" s="797" t="s">
        <v>1337</v>
      </c>
      <c r="D794" s="797"/>
      <c r="E794" s="797"/>
      <c r="F794" s="797"/>
      <c r="G794" s="797" t="s">
        <v>3327</v>
      </c>
      <c r="H794" s="797" t="s">
        <v>900</v>
      </c>
      <c r="I794" s="900"/>
      <c r="J794" s="792" t="str">
        <f>IF(ISBLANK(HLOOKUP(CaseName,CaseData,MATCH($G794,cases!$G$4:$G$2494,0),FALSE)),"",HLOOKUP(CaseName,CaseData,MATCH($G794,cases!$G$4:$G$2494,0),FALSE))</f>
        <v/>
      </c>
      <c r="K794" s="798">
        <f>(kboltz*L696*(1+(66*10^-9/RadNuc)*(1.142+0.558*EXP(-0.999/(66*10^-9/RadNuc)))))/(6*PI()*DYNVISC.a*RadNuc)</f>
        <v>1.4112556779210446E-8</v>
      </c>
      <c r="L794" s="794">
        <f t="shared" si="50"/>
        <v>1.4112556779210446E-8</v>
      </c>
      <c r="M794" s="797" t="s">
        <v>900</v>
      </c>
      <c r="N794" s="797"/>
      <c r="O794" s="799"/>
      <c r="P794" s="797"/>
    </row>
    <row r="795" spans="1:16" ht="12.75" customHeight="1" x14ac:dyDescent="0.3">
      <c r="A795" s="797"/>
      <c r="B795" s="797"/>
      <c r="C795" s="797" t="s">
        <v>1334</v>
      </c>
      <c r="D795" s="797"/>
      <c r="E795" s="797"/>
      <c r="F795" s="797"/>
      <c r="G795" s="796" t="s">
        <v>3328</v>
      </c>
      <c r="H795" s="796" t="s">
        <v>291</v>
      </c>
      <c r="I795" s="900"/>
      <c r="J795" s="792" t="str">
        <f>IF(ISBLANK(HLOOKUP(CaseName,CaseData,MATCH($G795,cases!$G$4:$G$2494,0),FALSE)),"",HLOOKUP(CaseName,CaseData,MATCH($G795,cases!$G$4:$G$2494,0),FALSE))</f>
        <v/>
      </c>
      <c r="K795" s="798">
        <f>(1+(4*(DiffS.aT+L794))/((RadS+RadNuc)*(ThermvelS^2+L793^2)^0.5))^-1</f>
        <v>0.21844875511285605</v>
      </c>
      <c r="L795" s="794">
        <f t="shared" si="50"/>
        <v>0.21844875511285605</v>
      </c>
      <c r="M795" s="796" t="s">
        <v>291</v>
      </c>
      <c r="N795" s="797"/>
      <c r="O795" s="832" t="s">
        <v>1336</v>
      </c>
      <c r="P795" s="797"/>
    </row>
    <row r="796" spans="1:16" ht="12.75" customHeight="1" x14ac:dyDescent="0.3">
      <c r="A796" s="797" t="s">
        <v>1341</v>
      </c>
      <c r="B796" s="797"/>
      <c r="C796" s="797"/>
      <c r="D796" s="797"/>
      <c r="E796" s="797"/>
      <c r="F796" s="797"/>
      <c r="G796" s="797" t="s">
        <v>3329</v>
      </c>
      <c r="H796" s="797" t="s">
        <v>335</v>
      </c>
      <c r="I796" s="900"/>
      <c r="J796" s="792" t="str">
        <f>IF(ISBLANK(HLOOKUP(CaseName,CaseData,MATCH($G796,cases!$G$4:$G$2494,0),FALSE)),"",HLOOKUP(CaseName,CaseData,MATCH($G796,cases!$G$4:$G$2494,0),FALSE))</f>
        <v/>
      </c>
      <c r="K796" s="798">
        <f>L800*(4*PI()*(RadAcc+RadS)*(L799+DiffS.aT))*L797</f>
        <v>1.696588016112204E-5</v>
      </c>
      <c r="L796" s="794">
        <f t="shared" si="50"/>
        <v>1.696588016112204E-5</v>
      </c>
      <c r="M796" s="797" t="s">
        <v>335</v>
      </c>
      <c r="N796" s="797"/>
      <c r="O796" s="799"/>
      <c r="P796" s="797"/>
    </row>
    <row r="797" spans="1:16" ht="12.75" customHeight="1" x14ac:dyDescent="0.3">
      <c r="A797" s="797"/>
      <c r="B797" s="797"/>
      <c r="C797" s="797" t="s">
        <v>710</v>
      </c>
      <c r="D797" s="797"/>
      <c r="E797" s="797"/>
      <c r="F797" s="797"/>
      <c r="G797" s="797" t="s">
        <v>3330</v>
      </c>
      <c r="H797" s="796" t="s">
        <v>708</v>
      </c>
      <c r="I797" s="900"/>
      <c r="J797" s="792" t="str">
        <f>IF(ISBLANK(HLOOKUP(CaseName,CaseData,MATCH($G797,cases!$G$4:$G$2494,0),FALSE)),"",HLOOKUP(CaseName,CaseData,MATCH($G797,cases!$G$4:$G$2494,0),FALSE))</f>
        <v/>
      </c>
      <c r="K797" s="798">
        <f>2.9*10^9</f>
        <v>2900000000</v>
      </c>
      <c r="L797" s="794">
        <f t="shared" si="50"/>
        <v>2900000000</v>
      </c>
      <c r="M797" s="796" t="s">
        <v>708</v>
      </c>
      <c r="N797" s="797"/>
      <c r="O797" s="848"/>
      <c r="P797" s="797" t="s">
        <v>709</v>
      </c>
    </row>
    <row r="798" spans="1:16" ht="12.75" customHeight="1" x14ac:dyDescent="0.3">
      <c r="A798" s="797"/>
      <c r="B798" s="797"/>
      <c r="C798" s="797" t="s">
        <v>1343</v>
      </c>
      <c r="D798" s="797"/>
      <c r="E798" s="797"/>
      <c r="F798" s="797"/>
      <c r="G798" s="796" t="s">
        <v>3331</v>
      </c>
      <c r="H798" s="796" t="s">
        <v>866</v>
      </c>
      <c r="I798" s="900"/>
      <c r="J798" s="792" t="str">
        <f>IF(ISBLANK(HLOOKUP(CaseName,CaseData,MATCH($G798,cases!$G$4:$G$2494,0),FALSE)),"",HLOOKUP(CaseName,CaseData,MATCH($G798,cases!$G$4:$G$2494,0),FALSE))</f>
        <v/>
      </c>
      <c r="K798" s="798">
        <f>((8*kboltz*L696)/((PI()*(4/3*PI()*(RadAcc)^3)*RhoAcc)))^0.5</f>
        <v>8.0060538376411375E-2</v>
      </c>
      <c r="L798" s="794">
        <f t="shared" si="50"/>
        <v>8.0060538376411375E-2</v>
      </c>
      <c r="M798" s="796" t="s">
        <v>866</v>
      </c>
      <c r="N798" s="797"/>
      <c r="O798" s="799"/>
      <c r="P798" s="797"/>
    </row>
    <row r="799" spans="1:16" ht="12.75" customHeight="1" x14ac:dyDescent="0.3">
      <c r="A799" s="797"/>
      <c r="B799" s="797"/>
      <c r="C799" s="797" t="s">
        <v>1345</v>
      </c>
      <c r="D799" s="797"/>
      <c r="E799" s="797"/>
      <c r="F799" s="797"/>
      <c r="G799" s="797" t="s">
        <v>3332</v>
      </c>
      <c r="H799" s="797" t="s">
        <v>900</v>
      </c>
      <c r="I799" s="900"/>
      <c r="J799" s="792" t="str">
        <f>IF(ISBLANK(HLOOKUP(CaseName,CaseData,MATCH($G799,cases!$G$4:$G$2494,0),FALSE)),"",HLOOKUP(CaseName,CaseData,MATCH($G799,cases!$G$4:$G$2494,0),FALSE))</f>
        <v/>
      </c>
      <c r="K799" s="798">
        <f>(kboltz*L696*(1+(66*10^-9/RadAcc)*(1.142+0.558*EXP(-0.999/(66*10^-9/RadAcc)))))/(6*PI()*DYNVISC.a*RadAcc)</f>
        <v>5.3298523504357898E-10</v>
      </c>
      <c r="L799" s="794">
        <f t="shared" si="50"/>
        <v>5.3298523504357898E-10</v>
      </c>
      <c r="M799" s="797" t="s">
        <v>900</v>
      </c>
      <c r="N799" s="797"/>
      <c r="O799" s="799"/>
      <c r="P799" s="797"/>
    </row>
    <row r="800" spans="1:16" ht="12.75" customHeight="1" x14ac:dyDescent="0.3">
      <c r="A800" s="797"/>
      <c r="B800" s="797"/>
      <c r="C800" s="797" t="s">
        <v>1347</v>
      </c>
      <c r="D800" s="797"/>
      <c r="E800" s="797"/>
      <c r="F800" s="797"/>
      <c r="G800" s="796" t="s">
        <v>3333</v>
      </c>
      <c r="H800" s="796" t="s">
        <v>291</v>
      </c>
      <c r="I800" s="900"/>
      <c r="J800" s="792" t="str">
        <f>IF(ISBLANK(HLOOKUP(CaseName,CaseData,MATCH($G800,cases!$G$4:$G$2494,0),FALSE)),"",HLOOKUP(CaseName,CaseData,MATCH($G800,cases!$G$4:$G$2494,0),FALSE))</f>
        <v/>
      </c>
      <c r="K800" s="798">
        <f>(1+(4*(DiffS.aT+L799))/((RadS+RadAcc)*(L798^2+ThermvelS^2)^0.5))^-1</f>
        <v>0.4674704587665609</v>
      </c>
      <c r="L800" s="794">
        <f t="shared" si="50"/>
        <v>0.4674704587665609</v>
      </c>
      <c r="M800" s="796" t="s">
        <v>291</v>
      </c>
      <c r="N800" s="797"/>
      <c r="O800" s="799"/>
      <c r="P800" s="797"/>
    </row>
    <row r="801" spans="1:16" ht="12.75" customHeight="1" x14ac:dyDescent="0.3">
      <c r="A801" s="797" t="s">
        <v>1349</v>
      </c>
      <c r="B801" s="797"/>
      <c r="C801" s="797"/>
      <c r="D801" s="797"/>
      <c r="E801" s="797"/>
      <c r="F801" s="797"/>
      <c r="G801" s="796" t="s">
        <v>3334</v>
      </c>
      <c r="H801" s="796" t="s">
        <v>335</v>
      </c>
      <c r="I801" s="900"/>
      <c r="J801" s="792" t="str">
        <f>IF(ISBLANK(HLOOKUP(CaseName,CaseData,MATCH($G801,cases!$G$4:$G$2494,0),FALSE)),"",HLOOKUP(CaseName,CaseData,MATCH($G801,cases!$G$4:$G$2494,0),FALSE))</f>
        <v/>
      </c>
      <c r="K801" s="798">
        <f>L805*(4*PI()*(RadCP.a+RadS)*(L804+DiffS.aT))*L802</f>
        <v>4.4764613174394406E-8</v>
      </c>
      <c r="L801" s="794">
        <f t="shared" si="50"/>
        <v>4.4764613174394406E-8</v>
      </c>
      <c r="M801" s="797" t="s">
        <v>335</v>
      </c>
      <c r="N801" s="797"/>
      <c r="O801" s="799"/>
      <c r="P801" s="797"/>
    </row>
    <row r="802" spans="1:16" ht="12.75" customHeight="1" x14ac:dyDescent="0.3">
      <c r="A802" s="797"/>
      <c r="B802" s="797" t="s">
        <v>712</v>
      </c>
      <c r="C802" s="797"/>
      <c r="D802" s="797"/>
      <c r="E802" s="797"/>
      <c r="F802" s="797"/>
      <c r="G802" s="797" t="s">
        <v>3335</v>
      </c>
      <c r="H802" s="796" t="s">
        <v>708</v>
      </c>
      <c r="I802" s="900"/>
      <c r="J802" s="792" t="str">
        <f>IF(ISBLANK(HLOOKUP(CaseName,CaseData,MATCH($G802,cases!$G$4:$G$2494,0),FALSE)),"",HLOOKUP(CaseName,CaseData,MATCH($G802,cases!$G$4:$G$2494,0),FALSE))</f>
        <v/>
      </c>
      <c r="K802" s="798">
        <f>3*10^5</f>
        <v>300000</v>
      </c>
      <c r="L802" s="794">
        <f t="shared" si="50"/>
        <v>300000</v>
      </c>
      <c r="M802" s="796" t="s">
        <v>708</v>
      </c>
      <c r="N802" s="797"/>
      <c r="O802" s="848"/>
      <c r="P802" s="797" t="s">
        <v>709</v>
      </c>
    </row>
    <row r="803" spans="1:16" ht="12.75" customHeight="1" x14ac:dyDescent="0.3">
      <c r="A803" s="797"/>
      <c r="B803" s="797" t="s">
        <v>1351</v>
      </c>
      <c r="C803" s="797"/>
      <c r="D803" s="797"/>
      <c r="E803" s="797"/>
      <c r="F803" s="797"/>
      <c r="G803" s="796" t="s">
        <v>3336</v>
      </c>
      <c r="H803" s="796" t="s">
        <v>866</v>
      </c>
      <c r="I803" s="900"/>
      <c r="J803" s="792" t="str">
        <f>IF(ISBLANK(HLOOKUP(CaseName,CaseData,MATCH($G803,cases!$G$4:$G$2494,0),FALSE)),"",HLOOKUP(CaseName,CaseData,MATCH($G803,cases!$G$4:$G$2494,0),FALSE))</f>
        <v/>
      </c>
      <c r="K803" s="798">
        <f>((8*kboltz*L696)/((PI()*(4/3*PI()*(RadCP.a)^3)*RhoCP.a)))^0.5</f>
        <v>1.3097751077950901E-3</v>
      </c>
      <c r="L803" s="794">
        <f t="shared" si="50"/>
        <v>1.3097751077950901E-3</v>
      </c>
      <c r="M803" s="796" t="s">
        <v>866</v>
      </c>
      <c r="N803" s="797"/>
      <c r="O803" s="799"/>
      <c r="P803" s="797"/>
    </row>
    <row r="804" spans="1:16" ht="12.75" customHeight="1" x14ac:dyDescent="0.3">
      <c r="A804" s="797"/>
      <c r="B804" s="797" t="s">
        <v>1353</v>
      </c>
      <c r="C804" s="797"/>
      <c r="D804" s="797"/>
      <c r="E804" s="797"/>
      <c r="F804" s="797"/>
      <c r="G804" s="797" t="s">
        <v>3337</v>
      </c>
      <c r="H804" s="797" t="s">
        <v>900</v>
      </c>
      <c r="I804" s="900"/>
      <c r="J804" s="792" t="str">
        <f>IF(ISBLANK(HLOOKUP(CaseName,CaseData,MATCH($G804,cases!$G$4:$G$2494,0),FALSE)),"",HLOOKUP(CaseName,CaseData,MATCH($G804,cases!$G$4:$G$2494,0),FALSE))</f>
        <v/>
      </c>
      <c r="K804" s="798">
        <f>(kboltz*L696)/(6*PI()*DYNVISC.a*RadCP.a)</f>
        <v>1.3399150848328277E-11</v>
      </c>
      <c r="L804" s="794">
        <f t="shared" si="50"/>
        <v>1.3399150848328277E-11</v>
      </c>
      <c r="M804" s="797" t="s">
        <v>900</v>
      </c>
      <c r="N804" s="797"/>
      <c r="O804" s="799"/>
      <c r="P804" s="797"/>
    </row>
    <row r="805" spans="1:16" ht="12.75" customHeight="1" x14ac:dyDescent="0.3">
      <c r="A805" s="797"/>
      <c r="B805" s="797" t="s">
        <v>1355</v>
      </c>
      <c r="C805" s="797"/>
      <c r="D805" s="797"/>
      <c r="E805" s="797"/>
      <c r="F805" s="797"/>
      <c r="G805" s="796" t="s">
        <v>3338</v>
      </c>
      <c r="H805" s="796" t="s">
        <v>291</v>
      </c>
      <c r="I805" s="900"/>
      <c r="J805" s="792" t="str">
        <f>IF(ISBLANK(HLOOKUP(CaseName,CaseData,MATCH($G805,cases!$G$4:$G$2494,0),FALSE)),"",HLOOKUP(CaseName,CaseData,MATCH($G805,cases!$G$4:$G$2494,0),FALSE))</f>
        <v/>
      </c>
      <c r="K805" s="902">
        <f>(1+(4*(DiffS.aT+L804))/((RadS+RadCP.a)*(L803^2+ThermvelS^2)^0.5))^-1</f>
        <v>0.92372878645268031</v>
      </c>
      <c r="L805" s="794">
        <f t="shared" si="50"/>
        <v>0.92372878645268031</v>
      </c>
      <c r="M805" s="796" t="s">
        <v>291</v>
      </c>
      <c r="N805" s="797"/>
      <c r="O805" s="799"/>
      <c r="P805" s="797"/>
    </row>
    <row r="806" spans="1:16" s="352" customFormat="1" ht="12.75" customHeight="1" x14ac:dyDescent="0.3">
      <c r="A806" s="352" t="s">
        <v>3339</v>
      </c>
      <c r="G806" s="520"/>
      <c r="H806" s="520"/>
      <c r="J806" s="792" t="str">
        <f>IF(ISBLANK(HLOOKUP(CaseName,CaseData,MATCH($G806,cases!$G$4:$G$2494,0),FALSE)),"",HLOOKUP(CaseName,CaseData,MATCH($G806,cases!$G$4:$G$2494,0),FALSE))</f>
        <v/>
      </c>
      <c r="K806" s="522"/>
      <c r="L806" s="523"/>
      <c r="O806" s="356"/>
    </row>
    <row r="807" spans="1:16" ht="12.75" customHeight="1" x14ac:dyDescent="0.3">
      <c r="A807" s="797" t="s">
        <v>1380</v>
      </c>
      <c r="B807" s="797"/>
      <c r="C807" s="797"/>
      <c r="D807" s="797"/>
      <c r="E807" s="797"/>
      <c r="F807" s="797"/>
      <c r="G807" s="796" t="s">
        <v>3340</v>
      </c>
      <c r="H807" s="796" t="s">
        <v>335</v>
      </c>
      <c r="I807" s="900"/>
      <c r="J807" s="792" t="str">
        <f>IF(ISBLANK(HLOOKUP(CaseName,CaseData,MATCH($G807,cases!$G$4:$G$2494,0),FALSE)),"",HLOOKUP(CaseName,CaseData,MATCH($G807,cases!$G$4:$G$2494,0),FALSE))</f>
        <v/>
      </c>
      <c r="K807" s="918">
        <f>L809*L808*AtefSA.w2</f>
        <v>3.3087984420170817E-3</v>
      </c>
      <c r="L807" s="794">
        <f t="shared" ref="L807:L828" si="51">IF(ISBLANK(I807),IF(ISNUMBER(J807)=FALSE,K807,J807),I807)</f>
        <v>3.3087984420170817E-3</v>
      </c>
      <c r="M807" s="797" t="s">
        <v>335</v>
      </c>
      <c r="N807" s="797"/>
      <c r="O807" s="799"/>
      <c r="P807" s="797"/>
    </row>
    <row r="808" spans="1:16" ht="12.75" customHeight="1" x14ac:dyDescent="0.3">
      <c r="A808" s="797"/>
      <c r="B808" s="797" t="s">
        <v>1382</v>
      </c>
      <c r="C808" s="797"/>
      <c r="D808" s="797"/>
      <c r="E808" s="797"/>
      <c r="F808" s="797"/>
      <c r="G808" s="796" t="s">
        <v>3341</v>
      </c>
      <c r="H808" s="796" t="s">
        <v>708</v>
      </c>
      <c r="I808" s="900"/>
      <c r="J808" s="792" t="str">
        <f>IF(ISBLANK(HLOOKUP(CaseName,CaseData,MATCH($G808,cases!$G$4:$G$2494,0),FALSE)),"",HLOOKUP(CaseName,CaseData,MATCH($G808,cases!$G$4:$G$2494,0),FALSE))</f>
        <v/>
      </c>
      <c r="K808" s="798">
        <f>2*L709/(SingleVolNC.w*RhoNC.w)</f>
        <v>70735530263064.578</v>
      </c>
      <c r="L808" s="794">
        <f t="shared" si="51"/>
        <v>70735530263064.578</v>
      </c>
      <c r="M808" s="796" t="s">
        <v>708</v>
      </c>
      <c r="N808" s="797"/>
      <c r="O808" s="799"/>
      <c r="P808" s="492" t="s">
        <v>1384</v>
      </c>
    </row>
    <row r="809" spans="1:16" ht="12.75" customHeight="1" x14ac:dyDescent="0.3">
      <c r="A809" s="797"/>
      <c r="B809" s="797" t="s">
        <v>1385</v>
      </c>
      <c r="C809" s="797"/>
      <c r="D809" s="797"/>
      <c r="E809" s="797"/>
      <c r="F809" s="797"/>
      <c r="G809" s="796" t="s">
        <v>3342</v>
      </c>
      <c r="H809" s="796" t="s">
        <v>335</v>
      </c>
      <c r="I809" s="900"/>
      <c r="J809" s="792" t="str">
        <f>IF(ISBLANK(HLOOKUP(CaseName,CaseData,MATCH($G809,cases!$G$4:$G$2494,0),FALSE)),"",HLOOKUP(CaseName,CaseData,MATCH($G809,cases!$G$4:$G$2494,0),FALSE))</f>
        <v/>
      </c>
      <c r="K809" s="798">
        <f>L810+L817+L818</f>
        <v>4.677703594942599E-17</v>
      </c>
      <c r="L809" s="794">
        <f t="shared" si="51"/>
        <v>4.677703594942599E-17</v>
      </c>
      <c r="M809" s="797" t="s">
        <v>335</v>
      </c>
      <c r="N809" s="797"/>
      <c r="O809" s="799"/>
      <c r="P809" s="797"/>
    </row>
    <row r="810" spans="1:16" ht="12.75" customHeight="1" x14ac:dyDescent="0.3">
      <c r="A810" s="797"/>
      <c r="B810" s="797"/>
      <c r="C810" s="797" t="s">
        <v>1364</v>
      </c>
      <c r="D810" s="797"/>
      <c r="E810" s="797"/>
      <c r="F810" s="797"/>
      <c r="G810" s="796" t="s">
        <v>3343</v>
      </c>
      <c r="H810" s="796" t="s">
        <v>335</v>
      </c>
      <c r="I810" s="900"/>
      <c r="J810" s="792" t="str">
        <f>IF(ISBLANK(HLOOKUP(CaseName,CaseData,MATCH($G810,cases!$G$4:$G$2494,0),FALSE)),"",HLOOKUP(CaseName,CaseData,MATCH($G810,cases!$G$4:$G$2494,0),FALSE))</f>
        <v/>
      </c>
      <c r="K810" s="798">
        <f>(4/3)*L811*(RadS+RadNC.w)^3</f>
        <v>5.4613333333333359E-20</v>
      </c>
      <c r="L810" s="794">
        <f t="shared" si="51"/>
        <v>5.4613333333333359E-20</v>
      </c>
      <c r="M810" s="797" t="s">
        <v>335</v>
      </c>
      <c r="N810" s="797"/>
      <c r="O810" s="799"/>
      <c r="P810" s="797"/>
    </row>
    <row r="811" spans="1:16" ht="12.75" customHeight="1" x14ac:dyDescent="0.3">
      <c r="A811" s="797"/>
      <c r="B811" s="797"/>
      <c r="C811" s="797"/>
      <c r="D811" s="797" t="s">
        <v>1388</v>
      </c>
      <c r="E811" s="797"/>
      <c r="F811" s="797"/>
      <c r="G811" s="796" t="s">
        <v>3344</v>
      </c>
      <c r="H811" s="796" t="s">
        <v>335</v>
      </c>
      <c r="I811" s="900"/>
      <c r="J811" s="792" t="str">
        <f>IF(ISBLANK(HLOOKUP(CaseName,CaseData,MATCH($G811,cases!$G$4:$G$2494,0),FALSE)),"",HLOOKUP(CaseName,CaseData,MATCH($G811,cases!$G$4:$G$2494,0),FALSE))</f>
        <v/>
      </c>
      <c r="K811" s="798">
        <v>10</v>
      </c>
      <c r="L811" s="794">
        <f t="shared" si="51"/>
        <v>10</v>
      </c>
      <c r="M811" s="796" t="s">
        <v>335</v>
      </c>
      <c r="N811" s="797"/>
      <c r="O811" s="799"/>
      <c r="P811" s="492" t="s">
        <v>1368</v>
      </c>
    </row>
    <row r="812" spans="1:16" ht="12.75" customHeight="1" x14ac:dyDescent="0.3">
      <c r="A812" s="797" t="s">
        <v>1380</v>
      </c>
      <c r="B812" s="797"/>
      <c r="C812" s="797"/>
      <c r="D812" s="797"/>
      <c r="E812" s="797"/>
      <c r="F812" s="797"/>
      <c r="G812" s="796" t="s">
        <v>3345</v>
      </c>
      <c r="H812" s="796" t="s">
        <v>335</v>
      </c>
      <c r="I812" s="900"/>
      <c r="J812" s="792" t="str">
        <f>IF(ISBLANK(HLOOKUP(CaseName,CaseData,MATCH($G812,cases!$G$4:$G$2494,0),FALSE)),"",HLOOKUP(CaseName,CaseData,MATCH($G812,cases!$G$4:$G$2494,0),FALSE))</f>
        <v/>
      </c>
      <c r="K812" s="798">
        <f>L814*L813*AtefSA.w3</f>
        <v>3.3087984420170817E-3</v>
      </c>
      <c r="L812" s="794">
        <f t="shared" si="51"/>
        <v>3.3087984420170817E-3</v>
      </c>
      <c r="M812" s="797" t="s">
        <v>335</v>
      </c>
      <c r="N812" s="797"/>
      <c r="O812" s="799"/>
      <c r="P812" s="797"/>
    </row>
    <row r="813" spans="1:16" ht="12.75" customHeight="1" x14ac:dyDescent="0.3">
      <c r="A813" s="797"/>
      <c r="B813" s="797" t="s">
        <v>1382</v>
      </c>
      <c r="C813" s="797"/>
      <c r="D813" s="797"/>
      <c r="E813" s="797"/>
      <c r="F813" s="797"/>
      <c r="G813" s="796" t="s">
        <v>3346</v>
      </c>
      <c r="H813" s="796" t="s">
        <v>708</v>
      </c>
      <c r="I813" s="900"/>
      <c r="J813" s="792" t="str">
        <f>IF(ISBLANK(HLOOKUP(CaseName,CaseData,MATCH($G813,cases!$G$4:$G$2494,0),FALSE)),"",HLOOKUP(CaseName,CaseData,MATCH($G813,cases!$G$4:$G$2494,0),FALSE))</f>
        <v/>
      </c>
      <c r="K813" s="798">
        <f>2*L710/(SingleVolNC.w*RhoNC.w)</f>
        <v>70735530263064.578</v>
      </c>
      <c r="L813" s="794">
        <f t="shared" si="51"/>
        <v>70735530263064.578</v>
      </c>
      <c r="M813" s="796" t="s">
        <v>708</v>
      </c>
      <c r="N813" s="797"/>
      <c r="O813" s="799"/>
      <c r="P813" s="492" t="s">
        <v>1384</v>
      </c>
    </row>
    <row r="814" spans="1:16" ht="12.75" customHeight="1" x14ac:dyDescent="0.3">
      <c r="A814" s="797"/>
      <c r="B814" s="797" t="s">
        <v>1385</v>
      </c>
      <c r="C814" s="797"/>
      <c r="D814" s="797"/>
      <c r="E814" s="797"/>
      <c r="F814" s="797"/>
      <c r="G814" s="796" t="s">
        <v>3347</v>
      </c>
      <c r="H814" s="796" t="s">
        <v>335</v>
      </c>
      <c r="I814" s="900"/>
      <c r="J814" s="792" t="str">
        <f>IF(ISBLANK(HLOOKUP(CaseName,CaseData,MATCH($G814,cases!$G$4:$G$2494,0),FALSE)),"",HLOOKUP(CaseName,CaseData,MATCH($G814,cases!$G$4:$G$2494,0),FALSE))</f>
        <v/>
      </c>
      <c r="K814" s="798">
        <f>L815+L817+L818</f>
        <v>4.677703594942599E-17</v>
      </c>
      <c r="L814" s="794">
        <f t="shared" si="51"/>
        <v>4.677703594942599E-17</v>
      </c>
      <c r="M814" s="797" t="s">
        <v>335</v>
      </c>
      <c r="N814" s="797"/>
      <c r="O814" s="799"/>
      <c r="P814" s="797"/>
    </row>
    <row r="815" spans="1:16" ht="12.75" customHeight="1" x14ac:dyDescent="0.3">
      <c r="A815" s="797"/>
      <c r="B815" s="797"/>
      <c r="C815" s="797" t="s">
        <v>1364</v>
      </c>
      <c r="D815" s="797"/>
      <c r="E815" s="797"/>
      <c r="F815" s="797"/>
      <c r="G815" s="796" t="s">
        <v>3348</v>
      </c>
      <c r="H815" s="796" t="s">
        <v>335</v>
      </c>
      <c r="I815" s="900"/>
      <c r="J815" s="792" t="str">
        <f>IF(ISBLANK(HLOOKUP(CaseName,CaseData,MATCH($G815,cases!$G$4:$G$2494,0),FALSE)),"",HLOOKUP(CaseName,CaseData,MATCH($G815,cases!$G$4:$G$2494,0),FALSE))</f>
        <v/>
      </c>
      <c r="K815" s="798">
        <f>(4/3)*L816*(RadS+RadNC.w)^3</f>
        <v>5.4613333333333359E-20</v>
      </c>
      <c r="L815" s="794">
        <f t="shared" si="51"/>
        <v>5.4613333333333359E-20</v>
      </c>
      <c r="M815" s="797" t="s">
        <v>335</v>
      </c>
      <c r="N815" s="797"/>
      <c r="O815" s="799"/>
      <c r="P815" s="797"/>
    </row>
    <row r="816" spans="1:16" ht="12.75" customHeight="1" x14ac:dyDescent="0.3">
      <c r="A816" s="797"/>
      <c r="B816" s="797"/>
      <c r="C816" s="797"/>
      <c r="D816" s="797" t="s">
        <v>1388</v>
      </c>
      <c r="E816" s="797"/>
      <c r="F816" s="797"/>
      <c r="G816" s="796" t="s">
        <v>3349</v>
      </c>
      <c r="H816" s="796" t="s">
        <v>335</v>
      </c>
      <c r="I816" s="900"/>
      <c r="J816" s="792" t="str">
        <f>IF(ISBLANK(HLOOKUP(CaseName,CaseData,MATCH($G816,cases!$G$4:$G$2494,0),FALSE)),"",HLOOKUP(CaseName,CaseData,MATCH($G816,cases!$G$4:$G$2494,0),FALSE))</f>
        <v/>
      </c>
      <c r="K816" s="798">
        <v>10</v>
      </c>
      <c r="L816" s="794">
        <f t="shared" si="51"/>
        <v>10</v>
      </c>
      <c r="M816" s="796" t="s">
        <v>335</v>
      </c>
      <c r="N816" s="797"/>
      <c r="O816" s="799"/>
      <c r="P816" s="492" t="s">
        <v>1368</v>
      </c>
    </row>
    <row r="817" spans="1:16" ht="12.75" customHeight="1" x14ac:dyDescent="0.3">
      <c r="A817" s="797"/>
      <c r="B817" s="797"/>
      <c r="C817" s="797" t="s">
        <v>1390</v>
      </c>
      <c r="D817" s="797"/>
      <c r="E817" s="797"/>
      <c r="F817" s="797"/>
      <c r="G817" s="797" t="s">
        <v>3350</v>
      </c>
      <c r="H817" s="797" t="s">
        <v>335</v>
      </c>
      <c r="I817" s="900"/>
      <c r="J817" s="792" t="str">
        <f>IF(ISBLANK(HLOOKUP(CaseName,CaseData,MATCH($G817,cases!$G$4:$G$2494,0),FALSE)),"",HLOOKUP(CaseName,CaseData,MATCH($G817,cases!$G$4:$G$2494,0),FALSE))</f>
        <v/>
      </c>
      <c r="K817" s="798">
        <f>(2*kboltz*L696)/(3*DYNVISC.w)*(RadS+RadNC.w)^2/(RadS*RadNC.w)</f>
        <v>4.6718534333288989E-17</v>
      </c>
      <c r="L817" s="833">
        <f t="shared" si="51"/>
        <v>4.6718534333288989E-17</v>
      </c>
      <c r="M817" s="797" t="s">
        <v>335</v>
      </c>
      <c r="N817" s="797"/>
      <c r="O817" s="799"/>
      <c r="P817" s="797"/>
    </row>
    <row r="818" spans="1:16" ht="12.75" customHeight="1" x14ac:dyDescent="0.3">
      <c r="A818" s="797"/>
      <c r="B818" s="797"/>
      <c r="C818" s="797" t="s">
        <v>1392</v>
      </c>
      <c r="D818" s="797"/>
      <c r="E818" s="797"/>
      <c r="F818" s="797"/>
      <c r="G818" s="796" t="s">
        <v>3351</v>
      </c>
      <c r="H818" s="796" t="s">
        <v>335</v>
      </c>
      <c r="I818" s="900"/>
      <c r="J818" s="792" t="str">
        <f>IF(ISBLANK(HLOOKUP(CaseName,CaseData,MATCH($G818,cases!$G$4:$G$2494,0),FALSE)),"",HLOOKUP(CaseName,CaseData,MATCH($G818,cases!$G$4:$G$2494,0),FALSE))</f>
        <v/>
      </c>
      <c r="K818" s="798">
        <f>PI()*(RadS+RadNC.w)^2*ABS(SetVelS.w-SetVelNC.w)</f>
        <v>3.8882828036701237E-21</v>
      </c>
      <c r="L818" s="794">
        <f t="shared" si="51"/>
        <v>3.8882828036701237E-21</v>
      </c>
      <c r="M818" s="797" t="s">
        <v>335</v>
      </c>
      <c r="N818" s="797"/>
      <c r="O818" s="799"/>
      <c r="P818" s="797"/>
    </row>
    <row r="819" spans="1:16" ht="12.75" customHeight="1" x14ac:dyDescent="0.3">
      <c r="A819" s="797" t="s">
        <v>1412</v>
      </c>
      <c r="B819" s="797"/>
      <c r="C819" s="797"/>
      <c r="D819" s="797"/>
      <c r="E819" s="797"/>
      <c r="F819" s="797"/>
      <c r="G819" s="796" t="s">
        <v>3352</v>
      </c>
      <c r="H819" s="796" t="s">
        <v>335</v>
      </c>
      <c r="I819" s="900"/>
      <c r="J819" s="792" t="str">
        <f>IF(ISBLANK(HLOOKUP(CaseName,CaseData,MATCH($G819,cases!$G$4:$G$2494,0),FALSE)),"",HLOOKUP(CaseName,CaseData,MATCH($G819,cases!$G$4:$G$2494,0),FALSE))</f>
        <v/>
      </c>
      <c r="K819" s="798">
        <f>L820*L821*AtefSP.w2</f>
        <v>3.5852536448689996E-5</v>
      </c>
      <c r="L819" s="794">
        <f t="shared" si="51"/>
        <v>3.5852536448689996E-5</v>
      </c>
      <c r="M819" s="797" t="s">
        <v>335</v>
      </c>
      <c r="N819" s="797"/>
      <c r="O819" s="799"/>
      <c r="P819" s="797"/>
    </row>
    <row r="820" spans="1:16" ht="12.75" customHeight="1" x14ac:dyDescent="0.3">
      <c r="A820" s="797"/>
      <c r="B820" s="797" t="s">
        <v>1406</v>
      </c>
      <c r="C820" s="797"/>
      <c r="D820" s="797"/>
      <c r="E820" s="797"/>
      <c r="F820" s="797"/>
      <c r="G820" s="796" t="s">
        <v>3353</v>
      </c>
      <c r="H820" s="796" t="s">
        <v>708</v>
      </c>
      <c r="I820" s="900"/>
      <c r="J820" s="792" t="str">
        <f>IF(ISBLANK(HLOOKUP(CaseName,CaseData,MATCH($G820,cases!$G$4:$G$2494,0),FALSE)),"",HLOOKUP(CaseName,CaseData,MATCH($G820,cases!$G$4:$G$2494,0),FALSE))</f>
        <v/>
      </c>
      <c r="K820" s="798">
        <f>(L705)/(SingleVolSPM.w*RhoSPM.w)</f>
        <v>17683882565.766148</v>
      </c>
      <c r="L820" s="794">
        <f t="shared" si="51"/>
        <v>17683882565.766148</v>
      </c>
      <c r="M820" s="797" t="s">
        <v>708</v>
      </c>
      <c r="N820" s="797"/>
      <c r="O820" s="799"/>
      <c r="P820" s="797"/>
    </row>
    <row r="821" spans="1:16" ht="12.75" customHeight="1" x14ac:dyDescent="0.3">
      <c r="A821" s="797"/>
      <c r="B821" s="797" t="s">
        <v>1417</v>
      </c>
      <c r="C821" s="797"/>
      <c r="D821" s="797"/>
      <c r="E821" s="797"/>
      <c r="F821" s="797"/>
      <c r="G821" s="796" t="s">
        <v>3354</v>
      </c>
      <c r="H821" s="797" t="s">
        <v>335</v>
      </c>
      <c r="I821" s="900"/>
      <c r="J821" s="792" t="str">
        <f>IF(ISBLANK(HLOOKUP(CaseName,CaseData,MATCH($G821,cases!$G$4:$G$2494,0),FALSE)),"",HLOOKUP(CaseName,CaseData,MATCH($G821,cases!$G$4:$G$2494,0),FALSE))</f>
        <v/>
      </c>
      <c r="K821" s="798">
        <f>L827+L828+L822</f>
        <v>2.0274131721557661E-15</v>
      </c>
      <c r="L821" s="794">
        <f t="shared" si="51"/>
        <v>2.0274131721557661E-15</v>
      </c>
      <c r="M821" s="797" t="s">
        <v>335</v>
      </c>
      <c r="N821" s="797"/>
      <c r="O821" s="799"/>
      <c r="P821" s="797"/>
    </row>
    <row r="822" spans="1:16" ht="12.75" customHeight="1" x14ac:dyDescent="0.3">
      <c r="A822" s="797"/>
      <c r="B822" s="797"/>
      <c r="C822" s="797" t="s">
        <v>1402</v>
      </c>
      <c r="D822" s="797"/>
      <c r="E822" s="797"/>
      <c r="F822" s="797"/>
      <c r="G822" s="796" t="s">
        <v>3355</v>
      </c>
      <c r="H822" s="796" t="s">
        <v>335</v>
      </c>
      <c r="I822" s="900"/>
      <c r="J822" s="792" t="str">
        <f>IF(ISBLANK(HLOOKUP(CaseName,CaseData,MATCH($G822,cases!$G$4:$G$2494,0),FALSE)),"",HLOOKUP(CaseName,CaseData,MATCH($G822,cases!$G$4:$G$2494,0),FALSE))</f>
        <v/>
      </c>
      <c r="K822" s="798">
        <f>(4/3)*L811*(RadS+RadSPM.w)^3</f>
        <v>3.6361201333333332E-16</v>
      </c>
      <c r="L822" s="794">
        <f t="shared" si="51"/>
        <v>3.6361201333333332E-16</v>
      </c>
      <c r="M822" s="797" t="s">
        <v>335</v>
      </c>
      <c r="N822" s="797"/>
      <c r="O822" s="799"/>
      <c r="P822" s="797"/>
    </row>
    <row r="823" spans="1:16" ht="12.75" customHeight="1" x14ac:dyDescent="0.3">
      <c r="A823" s="797" t="s">
        <v>1412</v>
      </c>
      <c r="B823" s="797"/>
      <c r="C823" s="797"/>
      <c r="D823" s="797"/>
      <c r="E823" s="797"/>
      <c r="F823" s="797"/>
      <c r="G823" s="796" t="s">
        <v>3356</v>
      </c>
      <c r="H823" s="796" t="s">
        <v>335</v>
      </c>
      <c r="I823" s="900"/>
      <c r="J823" s="792" t="str">
        <f>IF(ISBLANK(HLOOKUP(CaseName,CaseData,MATCH($G823,cases!$G$4:$G$2494,0),FALSE)),"",HLOOKUP(CaseName,CaseData,MATCH($G823,cases!$G$4:$G$2494,0),FALSE))</f>
        <v/>
      </c>
      <c r="K823" s="798">
        <f>L824*L825*AtefSP.w3</f>
        <v>3.5852536448689996E-5</v>
      </c>
      <c r="L823" s="794">
        <f t="shared" si="51"/>
        <v>3.5852536448689996E-5</v>
      </c>
      <c r="M823" s="797" t="s">
        <v>335</v>
      </c>
      <c r="N823" s="797"/>
      <c r="O823" s="799"/>
      <c r="P823" s="797"/>
    </row>
    <row r="824" spans="1:16" ht="12.75" customHeight="1" x14ac:dyDescent="0.3">
      <c r="A824" s="797"/>
      <c r="B824" s="797" t="s">
        <v>1406</v>
      </c>
      <c r="C824" s="797"/>
      <c r="D824" s="797"/>
      <c r="E824" s="797"/>
      <c r="F824" s="797"/>
      <c r="G824" s="796" t="s">
        <v>3357</v>
      </c>
      <c r="H824" s="796" t="s">
        <v>708</v>
      </c>
      <c r="I824" s="900"/>
      <c r="J824" s="792" t="str">
        <f>IF(ISBLANK(HLOOKUP(CaseName,CaseData,MATCH($G824,cases!$G$4:$G$2494,0),FALSE)),"",HLOOKUP(CaseName,CaseData,MATCH($G824,cases!$G$4:$G$2494,0),FALSE))</f>
        <v/>
      </c>
      <c r="K824" s="798">
        <f>(L706)/(SingleVolSPM.w*RhoSPM.w)</f>
        <v>17683882565.766148</v>
      </c>
      <c r="L824" s="794">
        <f t="shared" si="51"/>
        <v>17683882565.766148</v>
      </c>
      <c r="M824" s="797" t="s">
        <v>708</v>
      </c>
      <c r="N824" s="797"/>
      <c r="O824" s="799"/>
      <c r="P824" s="797"/>
    </row>
    <row r="825" spans="1:16" ht="12.75" customHeight="1" x14ac:dyDescent="0.3">
      <c r="A825" s="797"/>
      <c r="B825" s="797" t="s">
        <v>1417</v>
      </c>
      <c r="C825" s="797"/>
      <c r="D825" s="797"/>
      <c r="E825" s="797"/>
      <c r="F825" s="797"/>
      <c r="G825" s="796" t="s">
        <v>3358</v>
      </c>
      <c r="H825" s="797" t="s">
        <v>335</v>
      </c>
      <c r="I825" s="900"/>
      <c r="J825" s="792" t="str">
        <f>IF(ISBLANK(HLOOKUP(CaseName,CaseData,MATCH($G825,cases!$G$4:$G$2494,0),FALSE)),"",HLOOKUP(CaseName,CaseData,MATCH($G825,cases!$G$4:$G$2494,0),FALSE))</f>
        <v/>
      </c>
      <c r="K825" s="798">
        <f>L827+L828+L826</f>
        <v>2.0274131721557661E-15</v>
      </c>
      <c r="L825" s="794">
        <f t="shared" si="51"/>
        <v>2.0274131721557661E-15</v>
      </c>
      <c r="M825" s="797" t="s">
        <v>335</v>
      </c>
      <c r="N825" s="797"/>
      <c r="O825" s="799"/>
      <c r="P825" s="797"/>
    </row>
    <row r="826" spans="1:16" ht="12.75" customHeight="1" x14ac:dyDescent="0.3">
      <c r="A826" s="797"/>
      <c r="B826" s="797"/>
      <c r="C826" s="797" t="s">
        <v>1402</v>
      </c>
      <c r="D826" s="797"/>
      <c r="E826" s="797"/>
      <c r="F826" s="797"/>
      <c r="G826" s="796" t="s">
        <v>3359</v>
      </c>
      <c r="H826" s="796" t="s">
        <v>335</v>
      </c>
      <c r="I826" s="900"/>
      <c r="J826" s="792" t="str">
        <f>IF(ISBLANK(HLOOKUP(CaseName,CaseData,MATCH($G826,cases!$G$4:$G$2494,0),FALSE)),"",HLOOKUP(CaseName,CaseData,MATCH($G826,cases!$G$4:$G$2494,0),FALSE))</f>
        <v/>
      </c>
      <c r="K826" s="798">
        <f>(4/3)*L816*(RadS+RadSPM.w)^3</f>
        <v>3.6361201333333332E-16</v>
      </c>
      <c r="L826" s="794">
        <f t="shared" si="51"/>
        <v>3.6361201333333332E-16</v>
      </c>
      <c r="M826" s="797" t="s">
        <v>335</v>
      </c>
      <c r="N826" s="797"/>
      <c r="O826" s="799"/>
      <c r="P826" s="797"/>
    </row>
    <row r="827" spans="1:16" ht="12.75" customHeight="1" x14ac:dyDescent="0.3">
      <c r="A827" s="797"/>
      <c r="B827" s="797"/>
      <c r="C827" s="797" t="s">
        <v>1420</v>
      </c>
      <c r="D827" s="797"/>
      <c r="E827" s="797"/>
      <c r="F827" s="797"/>
      <c r="G827" s="796" t="s">
        <v>3360</v>
      </c>
      <c r="H827" s="796" t="s">
        <v>335</v>
      </c>
      <c r="I827" s="900"/>
      <c r="J827" s="792" t="str">
        <f>IF(ISBLANK(HLOOKUP(CaseName,CaseData,MATCH($G827,cases!$G$4:$G$2494,0),FALSE)),"",HLOOKUP(CaseName,CaseData,MATCH($G827,cases!$G$4:$G$2494,0),FALSE))</f>
        <v/>
      </c>
      <c r="K827" s="798">
        <f>((2*kboltz*L696)/(3*DYNVISC.w))*(RadS+RadSPM.w)^2/(RadS*RadSPM.w)</f>
        <v>8.2670818928326475E-16</v>
      </c>
      <c r="L827" s="794">
        <f t="shared" si="51"/>
        <v>8.2670818928326475E-16</v>
      </c>
      <c r="M827" s="797" t="s">
        <v>335</v>
      </c>
      <c r="N827" s="797"/>
      <c r="O827" s="799"/>
      <c r="P827" s="797"/>
    </row>
    <row r="828" spans="1:16" ht="12.75" customHeight="1" x14ac:dyDescent="0.3">
      <c r="A828" s="797"/>
      <c r="B828" s="797"/>
      <c r="C828" s="797" t="s">
        <v>2187</v>
      </c>
      <c r="D828" s="797"/>
      <c r="E828" s="797"/>
      <c r="F828" s="797"/>
      <c r="G828" s="796" t="s">
        <v>3361</v>
      </c>
      <c r="H828" s="796" t="s">
        <v>335</v>
      </c>
      <c r="I828" s="900"/>
      <c r="J828" s="792" t="str">
        <f>IF(ISBLANK(HLOOKUP(CaseName,CaseData,MATCH($G828,cases!$G$4:$G$2494,0),FALSE)),"",HLOOKUP(CaseName,CaseData,MATCH($G828,cases!$G$4:$G$2494,0),FALSE))</f>
        <v/>
      </c>
      <c r="K828" s="902">
        <f>PI()*(RadS+RadSPM.w)^2*ABS(SetVelS.w-SetVelSPM.w)</f>
        <v>8.3709296953916809E-16</v>
      </c>
      <c r="L828" s="794">
        <f t="shared" si="51"/>
        <v>8.3709296953916809E-16</v>
      </c>
      <c r="M828" s="797" t="s">
        <v>335</v>
      </c>
      <c r="N828" s="797"/>
      <c r="O828" s="799"/>
      <c r="P828" s="797"/>
    </row>
    <row r="829" spans="1:16" ht="12.75" customHeight="1" x14ac:dyDescent="0.3">
      <c r="A829" s="352" t="s">
        <v>3362</v>
      </c>
      <c r="G829" s="779"/>
      <c r="I829" s="778"/>
      <c r="J829" s="792" t="str">
        <f>IF(ISBLANK(HLOOKUP(CaseName,CaseData,MATCH($G829,cases!$G$4:$G$2494,0),FALSE)),"",HLOOKUP(CaseName,CaseData,MATCH($G829,cases!$G$4:$G$2494,0),FALSE))</f>
        <v/>
      </c>
      <c r="K829" s="780"/>
      <c r="O829" s="782"/>
    </row>
    <row r="830" spans="1:16" ht="12.75" customHeight="1" x14ac:dyDescent="0.3">
      <c r="A830" s="797" t="s">
        <v>2704</v>
      </c>
      <c r="B830" s="797"/>
      <c r="C830" s="797"/>
      <c r="D830" s="797"/>
      <c r="E830" s="797"/>
      <c r="F830" s="797"/>
      <c r="G830" s="796" t="s">
        <v>3363</v>
      </c>
      <c r="H830" s="796" t="s">
        <v>335</v>
      </c>
      <c r="I830" s="900"/>
      <c r="J830" s="792" t="str">
        <f>IF(ISBLANK(HLOOKUP(CaseName,CaseData,MATCH($G830,cases!$G$4:$G$2494,0),FALSE)),"",HLOOKUP(CaseName,CaseData,MATCH($G830,cases!$G$4:$G$2494,0),FALSE))</f>
        <v/>
      </c>
      <c r="K830" s="918">
        <f>AtefSA.sd2*L831*(L832+L833)</f>
        <v>3.304935338924315E-3</v>
      </c>
      <c r="L830" s="794">
        <f t="shared" ref="L830:L847" si="52">IF(ISBLANK(I830),IF(ISNUMBER(J830)=FALSE,K830,J830),I830)</f>
        <v>3.304935338924315E-3</v>
      </c>
      <c r="M830" s="796" t="s">
        <v>335</v>
      </c>
      <c r="N830" s="797" t="s">
        <v>2706</v>
      </c>
      <c r="O830" s="799"/>
      <c r="P830" s="797"/>
    </row>
    <row r="831" spans="1:16" ht="12.75" customHeight="1" x14ac:dyDescent="0.3">
      <c r="A831" s="797"/>
      <c r="B831" s="797" t="s">
        <v>1436</v>
      </c>
      <c r="C831" s="797"/>
      <c r="D831" s="797"/>
      <c r="E831" s="797"/>
      <c r="F831" s="797"/>
      <c r="G831" s="796" t="s">
        <v>3364</v>
      </c>
      <c r="H831" s="796" t="s">
        <v>708</v>
      </c>
      <c r="I831" s="900"/>
      <c r="J831" s="792" t="str">
        <f>IF(ISBLANK(HLOOKUP(CaseName,CaseData,MATCH($G831,cases!$G$4:$G$2494,0),FALSE)),"",HLOOKUP(CaseName,CaseData,MATCH($G831,cases!$G$4:$G$2494,0),FALSE))</f>
        <v/>
      </c>
      <c r="K831" s="798">
        <f>L808</f>
        <v>70735530263064.578</v>
      </c>
      <c r="L831" s="794">
        <f t="shared" si="52"/>
        <v>70735530263064.578</v>
      </c>
      <c r="M831" s="796" t="s">
        <v>708</v>
      </c>
      <c r="N831" s="797" t="s">
        <v>2192</v>
      </c>
      <c r="O831" s="799"/>
      <c r="P831" s="492" t="s">
        <v>3055</v>
      </c>
    </row>
    <row r="832" spans="1:16" ht="12.75" customHeight="1" x14ac:dyDescent="0.3">
      <c r="A832" s="797"/>
      <c r="B832" s="797"/>
      <c r="C832" s="797" t="s">
        <v>1390</v>
      </c>
      <c r="D832" s="797"/>
      <c r="E832" s="797"/>
      <c r="F832" s="797"/>
      <c r="G832" s="797" t="s">
        <v>3365</v>
      </c>
      <c r="H832" s="797" t="s">
        <v>335</v>
      </c>
      <c r="I832" s="900"/>
      <c r="J832" s="792" t="str">
        <f>IF(ISBLANK(HLOOKUP(CaseName,CaseData,MATCH($G832,cases!$G$4:$G$2494,0),FALSE)),"",HLOOKUP(CaseName,CaseData,MATCH($G832,cases!$G$4:$G$2494,0),FALSE))</f>
        <v/>
      </c>
      <c r="K832" s="798">
        <f>((2*kboltz*L696)/(3*DYNVISC.w))*(RadS+RadNC.sd)^2/(RadS*RadNC.sd)</f>
        <v>4.6718534333288989E-17</v>
      </c>
      <c r="L832" s="833">
        <f t="shared" si="52"/>
        <v>4.6718534333288989E-17</v>
      </c>
      <c r="M832" s="797" t="s">
        <v>335</v>
      </c>
      <c r="N832" s="797"/>
      <c r="O832" s="799"/>
      <c r="P832" s="797"/>
    </row>
    <row r="833" spans="1:16" ht="12.75" customHeight="1" x14ac:dyDescent="0.3">
      <c r="A833" s="797"/>
      <c r="B833" s="797"/>
      <c r="C833" s="797" t="s">
        <v>1392</v>
      </c>
      <c r="D833" s="797"/>
      <c r="E833" s="797"/>
      <c r="F833" s="797"/>
      <c r="G833" s="796" t="s">
        <v>3366</v>
      </c>
      <c r="H833" s="796" t="s">
        <v>335</v>
      </c>
      <c r="I833" s="900"/>
      <c r="J833" s="792" t="str">
        <f>IF(ISBLANK(HLOOKUP(CaseName,CaseData,MATCH($G833,cases!$G$4:$G$2494,0),FALSE)),"",HLOOKUP(CaseName,CaseData,MATCH($G833,cases!$G$4:$G$2494,0),FALSE))</f>
        <v/>
      </c>
      <c r="K833" s="798">
        <f>PI()*(RadS+RadNC.sd)^2*ABS(SetVelS.w-SetVelNC.sd)</f>
        <v>3.8882828036701237E-21</v>
      </c>
      <c r="L833" s="794">
        <f t="shared" si="52"/>
        <v>3.8882828036701237E-21</v>
      </c>
      <c r="M833" s="797" t="s">
        <v>335</v>
      </c>
      <c r="N833" s="797"/>
      <c r="O833" s="799"/>
      <c r="P833" s="797"/>
    </row>
    <row r="834" spans="1:16" ht="12.75" customHeight="1" x14ac:dyDescent="0.3">
      <c r="A834" s="797" t="s">
        <v>2710</v>
      </c>
      <c r="B834" s="797"/>
      <c r="C834" s="797"/>
      <c r="D834" s="797"/>
      <c r="E834" s="797"/>
      <c r="F834" s="797"/>
      <c r="G834" s="796" t="s">
        <v>3367</v>
      </c>
      <c r="H834" s="796" t="s">
        <v>335</v>
      </c>
      <c r="I834" s="900"/>
      <c r="J834" s="792" t="str">
        <f>IF(ISBLANK(HLOOKUP(CaseName,CaseData,MATCH($G834,cases!$G$4:$G$2494,0),FALSE)),"",HLOOKUP(CaseName,CaseData,MATCH($G834,cases!$G$4:$G$2494,0),FALSE))</f>
        <v/>
      </c>
      <c r="K834" s="798">
        <f>L835*L837*L836*AtefSP.sd2</f>
        <v>1.1610181614956437E-2</v>
      </c>
      <c r="L834" s="794">
        <f t="shared" si="52"/>
        <v>1.1610181614956437E-2</v>
      </c>
      <c r="M834" s="796" t="s">
        <v>335</v>
      </c>
      <c r="N834" s="797" t="s">
        <v>2706</v>
      </c>
      <c r="O834" s="799"/>
      <c r="P834" s="797"/>
    </row>
    <row r="835" spans="1:16" ht="12.75" customHeight="1" x14ac:dyDescent="0.3">
      <c r="A835" s="797"/>
      <c r="B835" s="797" t="s">
        <v>1447</v>
      </c>
      <c r="C835" s="797"/>
      <c r="D835" s="797"/>
      <c r="E835" s="797"/>
      <c r="F835" s="797"/>
      <c r="G835" s="796" t="s">
        <v>3368</v>
      </c>
      <c r="H835" s="796" t="s">
        <v>1449</v>
      </c>
      <c r="I835" s="900"/>
      <c r="J835" s="792" t="str">
        <f>IF(ISBLANK(HLOOKUP(CaseName,CaseData,MATCH($G835,cases!$G$4:$G$2494,0),FALSE)),"",HLOOKUP(CaseName,CaseData,MATCH($G835,cases!$G$4:$G$2494,0),FALSE))</f>
        <v/>
      </c>
      <c r="K835" s="798">
        <f>(3/2)*((1-L841)/(2*RadFP.sd*L841))</f>
        <v>1464.8437499999995</v>
      </c>
      <c r="L835" s="794">
        <f t="shared" si="52"/>
        <v>1464.8437499999995</v>
      </c>
      <c r="M835" s="796" t="s">
        <v>1449</v>
      </c>
      <c r="N835" s="797"/>
      <c r="O835" s="799"/>
      <c r="P835" s="797"/>
    </row>
    <row r="836" spans="1:16" ht="12.75" customHeight="1" x14ac:dyDescent="0.3">
      <c r="A836" s="797"/>
      <c r="B836" s="797" t="s">
        <v>1450</v>
      </c>
      <c r="C836" s="797"/>
      <c r="D836" s="797"/>
      <c r="E836" s="797"/>
      <c r="F836" s="797"/>
      <c r="G836" s="797" t="s">
        <v>3369</v>
      </c>
      <c r="H836" s="796" t="s">
        <v>866</v>
      </c>
      <c r="I836" s="900"/>
      <c r="J836" s="792" t="str">
        <f>IF(ISBLANK(HLOOKUP(CaseName,CaseData,MATCH($G836,cases!$G$4:$G$2494,0),FALSE)),"",HLOOKUP(CaseName,CaseData,MATCH($G836,cases!$G$4:$G$2494,0),FALSE))</f>
        <v/>
      </c>
      <c r="K836" s="512">
        <f>9*10^-6</f>
        <v>9.0000000000000002E-6</v>
      </c>
      <c r="L836" s="794">
        <f t="shared" si="52"/>
        <v>9.0000000000000002E-6</v>
      </c>
      <c r="M836" s="796" t="s">
        <v>866</v>
      </c>
      <c r="N836" s="797"/>
      <c r="O836" s="799"/>
      <c r="P836" s="797" t="s">
        <v>1452</v>
      </c>
    </row>
    <row r="837" spans="1:16" ht="12.75" customHeight="1" x14ac:dyDescent="0.3">
      <c r="A837" s="797"/>
      <c r="B837" s="797" t="s">
        <v>1453</v>
      </c>
      <c r="C837" s="797"/>
      <c r="D837" s="797"/>
      <c r="E837" s="797"/>
      <c r="F837" s="797"/>
      <c r="G837" s="796" t="s">
        <v>3370</v>
      </c>
      <c r="H837" s="796" t="s">
        <v>291</v>
      </c>
      <c r="I837" s="900"/>
      <c r="J837" s="792" t="str">
        <f>IF(ISBLANK(HLOOKUP(CaseName,CaseData,MATCH($G837,cases!$G$4:$G$2494,0),FALSE)),"",HLOOKUP(CaseName,CaseData,MATCH($G837,cases!$G$4:$G$2494,0),FALSE))</f>
        <v/>
      </c>
      <c r="K837" s="798">
        <f>L838+L842+L843</f>
        <v>0.88065377583076998</v>
      </c>
      <c r="L837" s="794">
        <f t="shared" si="52"/>
        <v>0.88065377583076998</v>
      </c>
      <c r="M837" s="796" t="s">
        <v>291</v>
      </c>
      <c r="N837" s="797"/>
      <c r="O837" s="799"/>
      <c r="P837" s="797" t="s">
        <v>1452</v>
      </c>
    </row>
    <row r="838" spans="1:16" ht="12.75" customHeight="1" x14ac:dyDescent="0.3">
      <c r="A838" s="797"/>
      <c r="B838" s="797"/>
      <c r="C838" s="797" t="s">
        <v>1455</v>
      </c>
      <c r="D838" s="797"/>
      <c r="E838" s="797"/>
      <c r="F838" s="797"/>
      <c r="G838" s="796" t="s">
        <v>3371</v>
      </c>
      <c r="H838" s="796" t="s">
        <v>291</v>
      </c>
      <c r="I838" s="900"/>
      <c r="J838" s="792" t="str">
        <f>IF(ISBLANK(HLOOKUP(CaseName,CaseData,MATCH($G838,cases!$G$4:$G$2494,0),FALSE)),"",HLOOKUP(CaseName,CaseData,MATCH($G838,cases!$G$4:$G$2494,0),FALSE))</f>
        <v/>
      </c>
      <c r="K838" s="798">
        <f>2.4*L846^(1/3)*L845^(-0.081)*L846^(-0.715)*L844^(0.053)</f>
        <v>0.88059322938382423</v>
      </c>
      <c r="L838" s="794">
        <f t="shared" si="52"/>
        <v>0.88059322938382423</v>
      </c>
      <c r="M838" s="796" t="s">
        <v>291</v>
      </c>
      <c r="N838" s="797"/>
      <c r="O838" s="799"/>
      <c r="P838" s="797" t="s">
        <v>1452</v>
      </c>
    </row>
    <row r="839" spans="1:16" ht="12.75" customHeight="1" x14ac:dyDescent="0.3">
      <c r="A839" s="797"/>
      <c r="B839" s="797"/>
      <c r="C839" s="797"/>
      <c r="D839" s="797" t="s">
        <v>1457</v>
      </c>
      <c r="E839" s="797"/>
      <c r="F839" s="797"/>
      <c r="G839" s="797" t="s">
        <v>3372</v>
      </c>
      <c r="H839" s="796" t="s">
        <v>291</v>
      </c>
      <c r="I839" s="900"/>
      <c r="J839" s="792" t="str">
        <f>IF(ISBLANK(HLOOKUP(CaseName,CaseData,MATCH($G839,cases!$G$4:$G$2494,0),FALSE)),"",HLOOKUP(CaseName,CaseData,MATCH($G839,cases!$G$4:$G$2494,0),FALSE))</f>
        <v/>
      </c>
      <c r="K839" s="512">
        <f>(2*(1-L840^5))/(2-3*L840+3*L840^5-2*L840^6)</f>
        <v>5.0249997549306684</v>
      </c>
      <c r="L839" s="794">
        <f t="shared" si="52"/>
        <v>5.0249997549306684</v>
      </c>
      <c r="M839" s="796" t="s">
        <v>291</v>
      </c>
      <c r="N839" s="797"/>
      <c r="O839" s="799"/>
      <c r="P839" s="797" t="s">
        <v>1452</v>
      </c>
    </row>
    <row r="840" spans="1:16" ht="12.75" customHeight="1" x14ac:dyDescent="0.3">
      <c r="A840" s="797"/>
      <c r="B840" s="797"/>
      <c r="C840" s="797"/>
      <c r="D840" s="797"/>
      <c r="E840" s="797" t="s">
        <v>1459</v>
      </c>
      <c r="F840" s="797"/>
      <c r="G840" s="797" t="s">
        <v>3373</v>
      </c>
      <c r="H840" s="796" t="s">
        <v>291</v>
      </c>
      <c r="I840" s="900"/>
      <c r="J840" s="792" t="str">
        <f>IF(ISBLANK(HLOOKUP(CaseName,CaseData,MATCH($G840,cases!$G$4:$G$2494,0),FALSE)),"",HLOOKUP(CaseName,CaseData,MATCH($G840,cases!$G$4:$G$2494,0),FALSE))</f>
        <v/>
      </c>
      <c r="K840" s="512">
        <f>(1-L841)^(1/3)</f>
        <v>0.58480354764257325</v>
      </c>
      <c r="L840" s="794">
        <f t="shared" si="52"/>
        <v>0.58480354764257325</v>
      </c>
      <c r="M840" s="796" t="s">
        <v>291</v>
      </c>
      <c r="N840" s="797"/>
      <c r="O840" s="799"/>
      <c r="P840" s="797" t="s">
        <v>1452</v>
      </c>
    </row>
    <row r="841" spans="1:16" ht="12.75" customHeight="1" x14ac:dyDescent="0.3">
      <c r="A841" s="797"/>
      <c r="B841" s="797"/>
      <c r="C841" s="797"/>
      <c r="D841" s="797"/>
      <c r="E841" s="797"/>
      <c r="F841" s="797" t="s">
        <v>1461</v>
      </c>
      <c r="G841" s="797" t="s">
        <v>3374</v>
      </c>
      <c r="H841" s="796" t="s">
        <v>1463</v>
      </c>
      <c r="I841" s="900"/>
      <c r="J841" s="792" t="str">
        <f>IF(ISBLANK(HLOOKUP(CaseName,CaseData,MATCH($G841,cases!$G$4:$G$2494,0),FALSE)),"",HLOOKUP(CaseName,CaseData,MATCH($G841,cases!$G$4:$G$2494,0),FALSE))</f>
        <v/>
      </c>
      <c r="K841" s="798">
        <f>L676</f>
        <v>0.8</v>
      </c>
      <c r="L841" s="794">
        <f t="shared" si="52"/>
        <v>0.8</v>
      </c>
      <c r="M841" s="796" t="s">
        <v>1463</v>
      </c>
      <c r="N841" s="797" t="s">
        <v>1464</v>
      </c>
      <c r="O841" s="799"/>
      <c r="P841" s="797"/>
    </row>
    <row r="842" spans="1:16" ht="12.75" customHeight="1" x14ac:dyDescent="0.3">
      <c r="A842" s="797"/>
      <c r="B842" s="797"/>
      <c r="C842" s="797" t="s">
        <v>1465</v>
      </c>
      <c r="D842" s="797"/>
      <c r="E842" s="797"/>
      <c r="F842" s="797"/>
      <c r="G842" s="796" t="s">
        <v>3375</v>
      </c>
      <c r="H842" s="796" t="s">
        <v>291</v>
      </c>
      <c r="I842" s="900"/>
      <c r="J842" s="792" t="str">
        <f>IF(ISBLANK(HLOOKUP(CaseName,CaseData,MATCH($G842,cases!$G$4:$G$2494,0),FALSE)),"",HLOOKUP(CaseName,CaseData,MATCH($G842,cases!$G$4:$G$2494,0),FALSE))</f>
        <v/>
      </c>
      <c r="K842" s="798">
        <f>0.55*L845^1.55*L846^-0.125*L844^0.125</f>
        <v>1.4021372670172061E-7</v>
      </c>
      <c r="L842" s="794">
        <f t="shared" si="52"/>
        <v>1.4021372670172061E-7</v>
      </c>
      <c r="M842" s="796" t="s">
        <v>291</v>
      </c>
      <c r="N842" s="797"/>
      <c r="O842" s="799"/>
      <c r="P842" s="797" t="s">
        <v>1452</v>
      </c>
    </row>
    <row r="843" spans="1:16" ht="12.75" customHeight="1" x14ac:dyDescent="0.3">
      <c r="A843" s="797"/>
      <c r="B843" s="797"/>
      <c r="C843" s="797" t="s">
        <v>1467</v>
      </c>
      <c r="D843" s="797"/>
      <c r="E843" s="797"/>
      <c r="F843" s="797"/>
      <c r="G843" s="796" t="s">
        <v>3376</v>
      </c>
      <c r="H843" s="796" t="s">
        <v>291</v>
      </c>
      <c r="I843" s="900"/>
      <c r="J843" s="792" t="str">
        <f>IF(ISBLANK(HLOOKUP(CaseName,CaseData,MATCH($G843,cases!$G$4:$G$2494,0),FALSE)),"",HLOOKUP(CaseName,CaseData,MATCH($G843,cases!$G$4:$G$2494,0),FALSE))</f>
        <v/>
      </c>
      <c r="K843" s="798">
        <f>0.22*L845^-0.24*L847^1.11*L844^0.053</f>
        <v>6.0406233219019025E-5</v>
      </c>
      <c r="L843" s="794">
        <f t="shared" si="52"/>
        <v>6.0406233219019025E-5</v>
      </c>
      <c r="M843" s="796" t="s">
        <v>291</v>
      </c>
      <c r="N843" s="797"/>
      <c r="O843" s="799"/>
      <c r="P843" s="797" t="s">
        <v>1452</v>
      </c>
    </row>
    <row r="844" spans="1:16" ht="12.75" customHeight="1" x14ac:dyDescent="0.3">
      <c r="A844" s="797"/>
      <c r="B844" s="797"/>
      <c r="C844" s="797"/>
      <c r="D844" s="797" t="s">
        <v>1469</v>
      </c>
      <c r="E844" s="797"/>
      <c r="F844" s="797"/>
      <c r="G844" s="797" t="s">
        <v>3377</v>
      </c>
      <c r="H844" s="796" t="s">
        <v>291</v>
      </c>
      <c r="I844" s="900"/>
      <c r="J844" s="792" t="str">
        <f>IF(ISBLANK(HLOOKUP(CaseName,CaseData,MATCH($G844,cases!$G$4:$G$2494,0),FALSE)),"",HLOOKUP(CaseName,CaseData,MATCH($G844,cases!$G$4:$G$2494,0),FALSE))</f>
        <v/>
      </c>
      <c r="K844" s="512">
        <f>AHamakerSP.w/(kboltz*L696)</f>
        <v>1.6770638859141718</v>
      </c>
      <c r="L844" s="794">
        <f t="shared" si="52"/>
        <v>1.6770638859141718</v>
      </c>
      <c r="M844" s="796" t="s">
        <v>291</v>
      </c>
      <c r="N844" s="797"/>
      <c r="O844" s="799"/>
      <c r="P844" s="797" t="s">
        <v>1452</v>
      </c>
    </row>
    <row r="845" spans="1:16" ht="12.75" customHeight="1" x14ac:dyDescent="0.3">
      <c r="A845" s="797"/>
      <c r="B845" s="797"/>
      <c r="C845" s="797"/>
      <c r="D845" s="797" t="s">
        <v>1471</v>
      </c>
      <c r="E845" s="797"/>
      <c r="F845" s="797"/>
      <c r="G845" s="797" t="s">
        <v>3378</v>
      </c>
      <c r="H845" s="796" t="s">
        <v>1473</v>
      </c>
      <c r="I845" s="900"/>
      <c r="J845" s="792" t="str">
        <f>IF(ISBLANK(HLOOKUP(CaseName,CaseData,MATCH($G845,cases!$G$4:$G$2494,0),FALSE)),"",HLOOKUP(CaseName,CaseData,MATCH($G845,cases!$G$4:$G$2494,0),FALSE))</f>
        <v/>
      </c>
      <c r="K845" s="512">
        <f>RadS/RadFP.sd</f>
        <v>7.8125000000000002E-5</v>
      </c>
      <c r="L845" s="794">
        <f t="shared" si="52"/>
        <v>7.8125000000000002E-5</v>
      </c>
      <c r="M845" s="796" t="s">
        <v>1473</v>
      </c>
      <c r="N845" s="797"/>
      <c r="O845" s="799"/>
      <c r="P845" s="797" t="s">
        <v>1452</v>
      </c>
    </row>
    <row r="846" spans="1:16" ht="12.75" customHeight="1" x14ac:dyDescent="0.3">
      <c r="A846" s="797"/>
      <c r="B846" s="797"/>
      <c r="C846" s="797"/>
      <c r="D846" s="797" t="s">
        <v>1474</v>
      </c>
      <c r="E846" s="797"/>
      <c r="F846" s="797"/>
      <c r="G846" s="797" t="s">
        <v>3379</v>
      </c>
      <c r="H846" s="796" t="s">
        <v>291</v>
      </c>
      <c r="I846" s="900"/>
      <c r="J846" s="792" t="str">
        <f>IF(ISBLANK(HLOOKUP(CaseName,CaseData,MATCH($G846,cases!$G$4:$G$2494,0),FALSE)),"",HLOOKUP(CaseName,CaseData,MATCH($G846,cases!$G$4:$G$2494,0),FALSE))</f>
        <v/>
      </c>
      <c r="K846" s="512">
        <f>(L836*2*RadFP.sd)/DiffS.wC</f>
        <v>110.59187966851262</v>
      </c>
      <c r="L846" s="794">
        <f t="shared" si="52"/>
        <v>110.59187966851262</v>
      </c>
      <c r="M846" s="796" t="s">
        <v>291</v>
      </c>
      <c r="N846" s="797"/>
      <c r="O846" s="799"/>
      <c r="P846" s="797" t="s">
        <v>1452</v>
      </c>
    </row>
    <row r="847" spans="1:16" ht="12.75" customHeight="1" x14ac:dyDescent="0.3">
      <c r="A847" s="797"/>
      <c r="B847" s="797"/>
      <c r="C847" s="797"/>
      <c r="D847" s="797" t="s">
        <v>1476</v>
      </c>
      <c r="E847" s="797"/>
      <c r="F847" s="797"/>
      <c r="G847" s="796" t="s">
        <v>3380</v>
      </c>
      <c r="H847" s="796" t="s">
        <v>291</v>
      </c>
      <c r="I847" s="900"/>
      <c r="J847" s="792" t="str">
        <f>IF(ISBLANK(HLOOKUP(CaseName,CaseData,MATCH($G847,cases!$G$4:$G$2494,0),FALSE)),"",HLOOKUP(CaseName,CaseData,MATCH($G847,cases!$G$4:$G$2494,0),FALSE))</f>
        <v/>
      </c>
      <c r="K847" s="513">
        <f>(2*RadS^2*(ABS(RhoS-Rho.w))*9.81)/(9*DYNVISC.w*L836)</f>
        <v>7.8129962297626983E-5</v>
      </c>
      <c r="L847" s="794">
        <f t="shared" si="52"/>
        <v>7.8129962297626983E-5</v>
      </c>
      <c r="M847" s="796" t="s">
        <v>291</v>
      </c>
      <c r="N847" s="797"/>
      <c r="O847" s="799"/>
      <c r="P847" s="797" t="s">
        <v>1452</v>
      </c>
    </row>
    <row r="848" spans="1:16" ht="12.75" customHeight="1" x14ac:dyDescent="0.3">
      <c r="A848" s="352" t="s">
        <v>3381</v>
      </c>
      <c r="G848" s="779"/>
      <c r="I848" s="778"/>
      <c r="J848" s="792" t="str">
        <f>IF(ISBLANK(HLOOKUP(CaseName,CaseData,MATCH($G848,cases!$G$4:$G$2494,0),FALSE)),"",HLOOKUP(CaseName,CaseData,MATCH($G848,cases!$G$4:$G$2494,0),FALSE))</f>
        <v/>
      </c>
      <c r="K848" s="780"/>
      <c r="M848" s="779"/>
      <c r="O848" s="782"/>
    </row>
    <row r="849" spans="1:16" ht="12.75" customHeight="1" x14ac:dyDescent="0.3">
      <c r="A849" s="797" t="s">
        <v>2726</v>
      </c>
      <c r="B849" s="797"/>
      <c r="C849" s="797"/>
      <c r="D849" s="797"/>
      <c r="E849" s="797"/>
      <c r="F849" s="797"/>
      <c r="G849" s="796" t="s">
        <v>3382</v>
      </c>
      <c r="H849" s="796" t="s">
        <v>335</v>
      </c>
      <c r="I849" s="900"/>
      <c r="J849" s="792" t="str">
        <f>IF(ISBLANK(HLOOKUP(CaseName,CaseData,MATCH($G849,cases!$G$4:$G$2494,0),FALSE)),"",HLOOKUP(CaseName,CaseData,MATCH($G849,cases!$G$4:$G$2494,0),FALSE))</f>
        <v/>
      </c>
      <c r="K849" s="918">
        <f>AtefSA.s1*L850*(L852+L853)</f>
        <v>1.6524676694621581E-2</v>
      </c>
      <c r="L849" s="794">
        <f>IF(ISBLANK(I849),IF(ISNUMBER(J849)=FALSE,K849,J849),I849)</f>
        <v>1.6524676694621581E-2</v>
      </c>
      <c r="M849" s="796" t="s">
        <v>335</v>
      </c>
      <c r="N849" s="797"/>
      <c r="O849" s="799"/>
      <c r="P849" s="797"/>
    </row>
    <row r="850" spans="1:16" ht="12.75" customHeight="1" x14ac:dyDescent="0.3">
      <c r="A850" s="797"/>
      <c r="B850" s="797" t="s">
        <v>1485</v>
      </c>
      <c r="C850" s="797"/>
      <c r="D850" s="797"/>
      <c r="E850" s="797"/>
      <c r="F850" s="797"/>
      <c r="G850" s="796" t="s">
        <v>3383</v>
      </c>
      <c r="H850" s="796" t="s">
        <v>708</v>
      </c>
      <c r="I850" s="900"/>
      <c r="J850" s="792" t="str">
        <f>IF(ISBLANK(HLOOKUP(CaseName,CaseData,MATCH($G850,cases!$G$4:$G$2494,0),FALSE)),"",HLOOKUP(CaseName,CaseData,MATCH($G850,cases!$G$4:$G$2494,0),FALSE))</f>
        <v/>
      </c>
      <c r="K850" s="798">
        <f>(L851)/(SingleVolNC.s*RhoNC.s)</f>
        <v>3536776513153229.5</v>
      </c>
      <c r="L850" s="794">
        <f>IF(ISBLANK(I850),IF(ISNUMBER(J850)=FALSE,K850,J850),I850)</f>
        <v>3536776513153229.5</v>
      </c>
      <c r="M850" s="796" t="s">
        <v>708</v>
      </c>
      <c r="N850" s="797"/>
      <c r="O850" s="799"/>
      <c r="P850" s="797"/>
    </row>
    <row r="851" spans="1:16" ht="12.75" customHeight="1" x14ac:dyDescent="0.3">
      <c r="A851" s="797"/>
      <c r="B851" s="797" t="s">
        <v>727</v>
      </c>
      <c r="C851" s="797"/>
      <c r="D851" s="797"/>
      <c r="E851" s="797"/>
      <c r="F851" s="797"/>
      <c r="G851" s="796" t="s">
        <v>3384</v>
      </c>
      <c r="H851" s="796" t="s">
        <v>729</v>
      </c>
      <c r="I851" s="900"/>
      <c r="J851" s="792" t="str">
        <f>IF(ISBLANK(HLOOKUP(CaseName,CaseData,MATCH($G851,cases!$G$4:$G$2494,0),FALSE)),"",HLOOKUP(CaseName,CaseData,MATCH($G851,cases!$G$4:$G$2494,0),FALSE))</f>
        <v/>
      </c>
      <c r="K851" s="798">
        <v>100</v>
      </c>
      <c r="L851" s="794">
        <f>IF(ISBLANK(I851),IF(ISNUMBER(J851)=FALSE,K851/1000,J851/1000),I851/1000)</f>
        <v>0.1</v>
      </c>
      <c r="M851" s="796" t="s">
        <v>730</v>
      </c>
      <c r="N851" s="797" t="s">
        <v>731</v>
      </c>
      <c r="O851" s="799"/>
      <c r="P851" s="797"/>
    </row>
    <row r="852" spans="1:16" ht="12.75" customHeight="1" x14ac:dyDescent="0.3">
      <c r="A852" s="797"/>
      <c r="B852" s="797" t="s">
        <v>1390</v>
      </c>
      <c r="C852" s="797"/>
      <c r="D852" s="797"/>
      <c r="E852" s="797"/>
      <c r="F852" s="797"/>
      <c r="G852" s="796" t="s">
        <v>3385</v>
      </c>
      <c r="H852" s="796" t="s">
        <v>335</v>
      </c>
      <c r="I852" s="900"/>
      <c r="J852" s="792" t="str">
        <f>IF(ISBLANK(HLOOKUP(CaseName,CaseData,MATCH($G852,cases!$G$4:$G$2494,0),FALSE)),"",HLOOKUP(CaseName,CaseData,MATCH($G852,cases!$G$4:$G$2494,0),FALSE))</f>
        <v/>
      </c>
      <c r="K852" s="798">
        <f>((2*kboltz*L696)/(3*DYNVISC.w))*(RadS+RadNC.s)^2/(RadS*RadNC.s)</f>
        <v>4.6718534333288989E-17</v>
      </c>
      <c r="L852" s="794">
        <f t="shared" ref="L852:L867" si="53">IF(ISBLANK(I852),IF(ISNUMBER(J852)=FALSE,K852,J852),I852)</f>
        <v>4.6718534333288989E-17</v>
      </c>
      <c r="M852" s="797" t="s">
        <v>335</v>
      </c>
      <c r="N852" s="797"/>
      <c r="O852" s="799"/>
      <c r="P852" s="797"/>
    </row>
    <row r="853" spans="1:16" ht="12.75" customHeight="1" x14ac:dyDescent="0.3">
      <c r="A853" s="797"/>
      <c r="B853" s="797" t="s">
        <v>1392</v>
      </c>
      <c r="C853" s="797"/>
      <c r="D853" s="797"/>
      <c r="E853" s="797"/>
      <c r="F853" s="797"/>
      <c r="G853" s="796" t="s">
        <v>3386</v>
      </c>
      <c r="H853" s="796" t="s">
        <v>335</v>
      </c>
      <c r="I853" s="900"/>
      <c r="J853" s="792" t="str">
        <f>IF(ISBLANK(HLOOKUP(CaseName,CaseData,MATCH($G853,cases!$G$4:$G$2494,0),FALSE)),"",HLOOKUP(CaseName,CaseData,MATCH($G853,cases!$G$4:$G$2494,0),FALSE))</f>
        <v/>
      </c>
      <c r="K853" s="798">
        <f>PI()*(RadS+RadNC.s)^2*ABS(SetVelS.w-SetVelNC.s)</f>
        <v>3.8882828036701237E-21</v>
      </c>
      <c r="L853" s="794">
        <f t="shared" si="53"/>
        <v>3.8882828036701237E-21</v>
      </c>
      <c r="M853" s="797" t="s">
        <v>335</v>
      </c>
      <c r="N853" s="797"/>
      <c r="O853" s="799"/>
      <c r="P853" s="797"/>
    </row>
    <row r="854" spans="1:16" ht="12.75" customHeight="1" x14ac:dyDescent="0.3">
      <c r="A854" s="797" t="s">
        <v>2733</v>
      </c>
      <c r="B854" s="797"/>
      <c r="C854" s="797"/>
      <c r="D854" s="797"/>
      <c r="E854" s="797"/>
      <c r="F854" s="797"/>
      <c r="G854" s="796" t="s">
        <v>3387</v>
      </c>
      <c r="H854" s="796" t="s">
        <v>335</v>
      </c>
      <c r="I854" s="900"/>
      <c r="J854" s="792" t="str">
        <f>IF(ISBLANK(HLOOKUP(CaseName,CaseData,MATCH($G854,cases!$G$4:$G$2494,0),FALSE)),"",HLOOKUP(CaseName,CaseData,MATCH($G854,cases!$G$4:$G$2494,0),FALSE))</f>
        <v/>
      </c>
      <c r="K854" s="798">
        <f>L855*L856*L857*AtefSP.s1</f>
        <v>4.8783936058153874E-3</v>
      </c>
      <c r="L854" s="794">
        <f t="shared" si="53"/>
        <v>4.8783936058153874E-3</v>
      </c>
      <c r="M854" s="796" t="s">
        <v>335</v>
      </c>
      <c r="N854" s="797"/>
      <c r="O854" s="799"/>
      <c r="P854" s="797"/>
    </row>
    <row r="855" spans="1:16" ht="12.75" customHeight="1" x14ac:dyDescent="0.3">
      <c r="A855" s="797"/>
      <c r="B855" s="797" t="s">
        <v>1492</v>
      </c>
      <c r="C855" s="797"/>
      <c r="D855" s="797"/>
      <c r="E855" s="797"/>
      <c r="F855" s="797"/>
      <c r="G855" s="796" t="s">
        <v>3388</v>
      </c>
      <c r="H855" s="796" t="s">
        <v>1449</v>
      </c>
      <c r="I855" s="900"/>
      <c r="J855" s="792" t="str">
        <f>IF(ISBLANK(HLOOKUP(CaseName,CaseData,MATCH($G855,cases!$G$4:$G$2494,0),FALSE)),"",HLOOKUP(CaseName,CaseData,MATCH($G855,cases!$G$4:$G$2494,0),FALSE))</f>
        <v/>
      </c>
      <c r="K855" s="798">
        <f>(3/2)*(1-L861)/(2*RadFP.s*L861)</f>
        <v>8789.0625000000036</v>
      </c>
      <c r="L855" s="794">
        <f t="shared" si="53"/>
        <v>8789.0625000000036</v>
      </c>
      <c r="M855" s="796" t="s">
        <v>1449</v>
      </c>
      <c r="N855" s="797"/>
      <c r="O855" s="799"/>
      <c r="P855" s="797"/>
    </row>
    <row r="856" spans="1:16" ht="12.75" customHeight="1" x14ac:dyDescent="0.3">
      <c r="A856" s="797"/>
      <c r="B856" s="797" t="s">
        <v>1494</v>
      </c>
      <c r="C856" s="797"/>
      <c r="D856" s="797"/>
      <c r="E856" s="797"/>
      <c r="F856" s="797"/>
      <c r="G856" s="797" t="s">
        <v>3389</v>
      </c>
      <c r="H856" s="796" t="s">
        <v>866</v>
      </c>
      <c r="I856" s="900"/>
      <c r="J856" s="792" t="str">
        <f>IF(ISBLANK(HLOOKUP(CaseName,CaseData,MATCH($G856,cases!$G$4:$G$2494,0),FALSE)),"",HLOOKUP(CaseName,CaseData,MATCH($G856,cases!$G$4:$G$2494,0),FALSE))</f>
        <v/>
      </c>
      <c r="K856" s="512">
        <f>9*10^-6</f>
        <v>9.0000000000000002E-6</v>
      </c>
      <c r="L856" s="794">
        <f t="shared" si="53"/>
        <v>9.0000000000000002E-6</v>
      </c>
      <c r="M856" s="796" t="s">
        <v>866</v>
      </c>
      <c r="N856" s="797"/>
      <c r="O856" s="799"/>
      <c r="P856" s="797" t="s">
        <v>1452</v>
      </c>
    </row>
    <row r="857" spans="1:16" ht="12.75" customHeight="1" x14ac:dyDescent="0.3">
      <c r="A857" s="797"/>
      <c r="B857" s="797" t="s">
        <v>1453</v>
      </c>
      <c r="C857" s="797"/>
      <c r="D857" s="797"/>
      <c r="E857" s="797"/>
      <c r="F857" s="797"/>
      <c r="G857" s="796" t="s">
        <v>3390</v>
      </c>
      <c r="H857" s="796" t="s">
        <v>291</v>
      </c>
      <c r="I857" s="900"/>
      <c r="J857" s="792" t="str">
        <f>IF(ISBLANK(HLOOKUP(CaseName,CaseData,MATCH($G857,cases!$G$4:$G$2494,0),FALSE)),"",HLOOKUP(CaseName,CaseData,MATCH($G857,cases!$G$4:$G$2494,0),FALSE))</f>
        <v/>
      </c>
      <c r="K857" s="798">
        <f>L858+L862+L863</f>
        <v>0.61672531510554984</v>
      </c>
      <c r="L857" s="794">
        <f t="shared" si="53"/>
        <v>0.61672531510554984</v>
      </c>
      <c r="M857" s="796" t="s">
        <v>291</v>
      </c>
      <c r="N857" s="797"/>
      <c r="O857" s="799"/>
      <c r="P857" s="797" t="s">
        <v>1452</v>
      </c>
    </row>
    <row r="858" spans="1:16" ht="12.75" customHeight="1" x14ac:dyDescent="0.3">
      <c r="A858" s="797"/>
      <c r="B858" s="797"/>
      <c r="C858" s="797" t="s">
        <v>1455</v>
      </c>
      <c r="D858" s="797"/>
      <c r="E858" s="797"/>
      <c r="F858" s="797"/>
      <c r="G858" s="796" t="s">
        <v>3391</v>
      </c>
      <c r="H858" s="796" t="s">
        <v>291</v>
      </c>
      <c r="I858" s="900"/>
      <c r="J858" s="792" t="str">
        <f>IF(ISBLANK(HLOOKUP(CaseName,CaseData,MATCH($G858,cases!$G$4:$G$2494,0),FALSE)),"",HLOOKUP(CaseName,CaseData,MATCH($G858,cases!$G$4:$G$2494,0),FALSE))</f>
        <v/>
      </c>
      <c r="K858" s="798">
        <f>2.4*L859^(1/3)*L864^(-0.081)*L865^-0.715*L866^0.053</f>
        <v>0.61666476865860409</v>
      </c>
      <c r="L858" s="794">
        <f t="shared" si="53"/>
        <v>0.61666476865860409</v>
      </c>
      <c r="M858" s="796" t="s">
        <v>291</v>
      </c>
      <c r="N858" s="797"/>
      <c r="O858" s="799"/>
      <c r="P858" s="797" t="s">
        <v>1452</v>
      </c>
    </row>
    <row r="859" spans="1:16" ht="12.75" customHeight="1" x14ac:dyDescent="0.3">
      <c r="A859" s="797"/>
      <c r="B859" s="797"/>
      <c r="C859" s="797"/>
      <c r="D859" s="797" t="s">
        <v>1457</v>
      </c>
      <c r="E859" s="797"/>
      <c r="F859" s="797"/>
      <c r="G859" s="797" t="s">
        <v>3392</v>
      </c>
      <c r="H859" s="796" t="s">
        <v>291</v>
      </c>
      <c r="I859" s="900"/>
      <c r="J859" s="792" t="str">
        <f>IF(ISBLANK(HLOOKUP(CaseName,CaseData,MATCH($G859,cases!$G$4:$G$2494,0),FALSE)),"",HLOOKUP(CaseName,CaseData,MATCH($G859,cases!$G$4:$G$2494,0),FALSE))</f>
        <v/>
      </c>
      <c r="K859" s="512">
        <f>(2*(1-L860^5))/(2-3*L860+3*L860^5-2*L860^6)</f>
        <v>37.979096123930859</v>
      </c>
      <c r="L859" s="794">
        <f t="shared" si="53"/>
        <v>37.979096123930859</v>
      </c>
      <c r="M859" s="796" t="s">
        <v>291</v>
      </c>
      <c r="N859" s="797"/>
      <c r="O859" s="799"/>
      <c r="P859" s="797" t="s">
        <v>1452</v>
      </c>
    </row>
    <row r="860" spans="1:16" ht="12.75" customHeight="1" x14ac:dyDescent="0.3">
      <c r="A860" s="797"/>
      <c r="B860" s="797"/>
      <c r="C860" s="797"/>
      <c r="D860" s="797"/>
      <c r="E860" s="797" t="s">
        <v>1499</v>
      </c>
      <c r="F860" s="797"/>
      <c r="G860" s="797" t="s">
        <v>3393</v>
      </c>
      <c r="H860" s="796" t="s">
        <v>291</v>
      </c>
      <c r="I860" s="900"/>
      <c r="J860" s="792" t="str">
        <f>IF(ISBLANK(HLOOKUP(CaseName,CaseData,MATCH($G860,cases!$G$4:$G$2494,0),FALSE)),"",HLOOKUP(CaseName,CaseData,MATCH($G860,cases!$G$4:$G$2494,0),FALSE))</f>
        <v/>
      </c>
      <c r="K860" s="512">
        <f>(1-L861)^(1/3)</f>
        <v>0.84343266530174932</v>
      </c>
      <c r="L860" s="794">
        <f t="shared" si="53"/>
        <v>0.84343266530174932</v>
      </c>
      <c r="M860" s="796" t="s">
        <v>291</v>
      </c>
      <c r="N860" s="797"/>
      <c r="O860" s="799"/>
      <c r="P860" s="797" t="s">
        <v>1452</v>
      </c>
    </row>
    <row r="861" spans="1:16" ht="12.75" customHeight="1" x14ac:dyDescent="0.3">
      <c r="A861" s="797"/>
      <c r="B861" s="797"/>
      <c r="C861" s="797"/>
      <c r="D861" s="797"/>
      <c r="E861" s="797"/>
      <c r="F861" s="797" t="s">
        <v>1501</v>
      </c>
      <c r="G861" s="797" t="s">
        <v>3394</v>
      </c>
      <c r="H861" s="796" t="s">
        <v>1463</v>
      </c>
      <c r="I861" s="900"/>
      <c r="J861" s="792" t="str">
        <f>IF(ISBLANK(HLOOKUP(CaseName,CaseData,MATCH($G861,cases!$G$4:$G$2494,0),FALSE)),"",HLOOKUP(CaseName,CaseData,MATCH($G861,cases!$G$4:$G$2494,0),FALSE))</f>
        <v/>
      </c>
      <c r="K861" s="798">
        <f>1-L675</f>
        <v>0.39999999999999991</v>
      </c>
      <c r="L861" s="794">
        <f t="shared" si="53"/>
        <v>0.39999999999999991</v>
      </c>
      <c r="M861" s="796" t="s">
        <v>1463</v>
      </c>
      <c r="N861" s="797" t="s">
        <v>1519</v>
      </c>
      <c r="O861" s="799"/>
      <c r="P861" s="797"/>
    </row>
    <row r="862" spans="1:16" ht="12.75" customHeight="1" x14ac:dyDescent="0.3">
      <c r="A862" s="797"/>
      <c r="B862" s="797"/>
      <c r="C862" s="797" t="s">
        <v>1465</v>
      </c>
      <c r="D862" s="797"/>
      <c r="E862" s="797"/>
      <c r="F862" s="797"/>
      <c r="G862" s="796" t="s">
        <v>3395</v>
      </c>
      <c r="H862" s="796" t="s">
        <v>291</v>
      </c>
      <c r="I862" s="900"/>
      <c r="J862" s="792" t="str">
        <f>IF(ISBLANK(HLOOKUP(CaseName,CaseData,MATCH($G862,cases!$G$4:$G$2494,0),FALSE)),"",HLOOKUP(CaseName,CaseData,MATCH($G862,cases!$G$4:$G$2494,0),FALSE))</f>
        <v/>
      </c>
      <c r="K862" s="798">
        <f>0.55*L864^1.55*L865^-0.125*L866^0.125</f>
        <v>1.4021372670172061E-7</v>
      </c>
      <c r="L862" s="794">
        <f t="shared" si="53"/>
        <v>1.4021372670172061E-7</v>
      </c>
      <c r="M862" s="796" t="s">
        <v>291</v>
      </c>
      <c r="N862" s="797"/>
      <c r="O862" s="799"/>
      <c r="P862" s="797" t="s">
        <v>1452</v>
      </c>
    </row>
    <row r="863" spans="1:16" ht="12.75" customHeight="1" x14ac:dyDescent="0.3">
      <c r="A863" s="797"/>
      <c r="B863" s="797"/>
      <c r="C863" s="797" t="s">
        <v>1467</v>
      </c>
      <c r="D863" s="797"/>
      <c r="E863" s="797"/>
      <c r="F863" s="797"/>
      <c r="G863" s="796" t="s">
        <v>3396</v>
      </c>
      <c r="H863" s="796" t="s">
        <v>291</v>
      </c>
      <c r="I863" s="900"/>
      <c r="J863" s="792" t="str">
        <f>IF(ISBLANK(HLOOKUP(CaseName,CaseData,MATCH($G863,cases!$G$4:$G$2494,0),FALSE)),"",HLOOKUP(CaseName,CaseData,MATCH($G863,cases!$G$4:$G$2494,0),FALSE))</f>
        <v/>
      </c>
      <c r="K863" s="798">
        <f>0.22*L864^-0.24*L867^1.11*L866^0.053</f>
        <v>6.0406233219019025E-5</v>
      </c>
      <c r="L863" s="794">
        <f t="shared" si="53"/>
        <v>6.0406233219019025E-5</v>
      </c>
      <c r="M863" s="796" t="s">
        <v>291</v>
      </c>
      <c r="N863" s="797"/>
      <c r="O863" s="799"/>
      <c r="P863" s="797" t="s">
        <v>1452</v>
      </c>
    </row>
    <row r="864" spans="1:16" ht="12.75" customHeight="1" x14ac:dyDescent="0.3">
      <c r="A864" s="797"/>
      <c r="B864" s="797"/>
      <c r="C864" s="797"/>
      <c r="D864" s="797" t="s">
        <v>1471</v>
      </c>
      <c r="E864" s="797"/>
      <c r="F864" s="797"/>
      <c r="G864" s="797" t="s">
        <v>3397</v>
      </c>
      <c r="H864" s="796" t="s">
        <v>1473</v>
      </c>
      <c r="I864" s="900"/>
      <c r="J864" s="792" t="str">
        <f>IF(ISBLANK(HLOOKUP(CaseName,CaseData,MATCH($G864,cases!$G$4:$G$2494,0),FALSE)),"",HLOOKUP(CaseName,CaseData,MATCH($G864,cases!$G$4:$G$2494,0),FALSE))</f>
        <v/>
      </c>
      <c r="K864" s="512">
        <f>RadS/RadFP.s</f>
        <v>7.8125000000000002E-5</v>
      </c>
      <c r="L864" s="794">
        <f t="shared" si="53"/>
        <v>7.8125000000000002E-5</v>
      </c>
      <c r="M864" s="796" t="s">
        <v>1473</v>
      </c>
      <c r="N864" s="797"/>
      <c r="O864" s="799"/>
      <c r="P864" s="797" t="s">
        <v>1452</v>
      </c>
    </row>
    <row r="865" spans="1:16" ht="12.75" customHeight="1" x14ac:dyDescent="0.3">
      <c r="A865" s="797"/>
      <c r="B865" s="797"/>
      <c r="C865" s="797"/>
      <c r="D865" s="797" t="s">
        <v>1474</v>
      </c>
      <c r="E865" s="797"/>
      <c r="F865" s="797"/>
      <c r="G865" s="797" t="s">
        <v>3398</v>
      </c>
      <c r="H865" s="796" t="s">
        <v>291</v>
      </c>
      <c r="I865" s="900"/>
      <c r="J865" s="792" t="str">
        <f>IF(ISBLANK(HLOOKUP(CaseName,CaseData,MATCH($G865,cases!$G$4:$G$2494,0),FALSE)),"",HLOOKUP(CaseName,CaseData,MATCH($G865,cases!$G$4:$G$2494,0),FALSE))</f>
        <v/>
      </c>
      <c r="K865" s="512">
        <f>(L856*2*RadFP.s)/(DiffS.wC)</f>
        <v>110.59187966851262</v>
      </c>
      <c r="L865" s="794">
        <f t="shared" si="53"/>
        <v>110.59187966851262</v>
      </c>
      <c r="M865" s="796" t="s">
        <v>291</v>
      </c>
      <c r="N865" s="797"/>
      <c r="O865" s="799"/>
      <c r="P865" s="797" t="s">
        <v>1452</v>
      </c>
    </row>
    <row r="866" spans="1:16" ht="12.75" customHeight="1" x14ac:dyDescent="0.3">
      <c r="A866" s="797"/>
      <c r="B866" s="797"/>
      <c r="C866" s="797"/>
      <c r="D866" s="797" t="s">
        <v>1469</v>
      </c>
      <c r="E866" s="797"/>
      <c r="F866" s="797"/>
      <c r="G866" s="797" t="s">
        <v>3399</v>
      </c>
      <c r="H866" s="796" t="s">
        <v>291</v>
      </c>
      <c r="I866" s="900"/>
      <c r="J866" s="792" t="str">
        <f>IF(ISBLANK(HLOOKUP(CaseName,CaseData,MATCH($G866,cases!$G$4:$G$2494,0),FALSE)),"",HLOOKUP(CaseName,CaseData,MATCH($G866,cases!$G$4:$G$2494,0),FALSE))</f>
        <v/>
      </c>
      <c r="K866" s="512">
        <f>AHamakerSP.w/(kboltz*L696)</f>
        <v>1.6770638859141718</v>
      </c>
      <c r="L866" s="794">
        <f t="shared" si="53"/>
        <v>1.6770638859141718</v>
      </c>
      <c r="M866" s="796" t="s">
        <v>291</v>
      </c>
      <c r="N866" s="797"/>
      <c r="O866" s="799"/>
      <c r="P866" s="797" t="s">
        <v>1452</v>
      </c>
    </row>
    <row r="867" spans="1:16" ht="12.75" customHeight="1" x14ac:dyDescent="0.3">
      <c r="A867" s="797"/>
      <c r="B867" s="797"/>
      <c r="C867" s="797"/>
      <c r="D867" s="797" t="s">
        <v>1476</v>
      </c>
      <c r="E867" s="797"/>
      <c r="F867" s="797"/>
      <c r="G867" s="796" t="s">
        <v>3400</v>
      </c>
      <c r="H867" s="796" t="s">
        <v>291</v>
      </c>
      <c r="I867" s="900"/>
      <c r="J867" s="792" t="str">
        <f>IF(ISBLANK(HLOOKUP(CaseName,CaseData,MATCH($G867,cases!$G$4:$G$2494,0),FALSE)),"",HLOOKUP(CaseName,CaseData,MATCH($G867,cases!$G$4:$G$2494,0),FALSE))</f>
        <v/>
      </c>
      <c r="K867" s="513">
        <f>(2*RadS^2*(ABS(RhoS-Rho.w))*9.81)/(9*DYNVISC.w*L856)</f>
        <v>7.8129962297626983E-5</v>
      </c>
      <c r="L867" s="794">
        <f t="shared" si="53"/>
        <v>7.8129962297626983E-5</v>
      </c>
      <c r="M867" s="796" t="s">
        <v>291</v>
      </c>
      <c r="N867" s="797"/>
      <c r="O867" s="799"/>
      <c r="P867" s="797" t="s">
        <v>1452</v>
      </c>
    </row>
    <row r="868" spans="1:16" ht="12.75" customHeight="1" x14ac:dyDescent="0.3">
      <c r="G868" s="779"/>
      <c r="I868" s="778"/>
      <c r="J868" s="792"/>
      <c r="K868" s="780"/>
      <c r="O868" s="782"/>
    </row>
    <row r="869" spans="1:16" s="837" customFormat="1" ht="12.75" customHeight="1" x14ac:dyDescent="0.3">
      <c r="A869" s="836" t="s">
        <v>1541</v>
      </c>
      <c r="G869" s="836" t="s">
        <v>258</v>
      </c>
      <c r="H869" s="836" t="s">
        <v>274</v>
      </c>
      <c r="I869" s="837" t="s">
        <v>259</v>
      </c>
      <c r="J869" s="910" t="s">
        <v>2875</v>
      </c>
      <c r="K869" s="838" t="s">
        <v>260</v>
      </c>
      <c r="L869" s="839" t="s">
        <v>261</v>
      </c>
      <c r="N869" s="836" t="s">
        <v>262</v>
      </c>
      <c r="O869" s="840" t="s">
        <v>1326</v>
      </c>
      <c r="P869" s="837" t="s">
        <v>1327</v>
      </c>
    </row>
    <row r="870" spans="1:16" ht="12.75" customHeight="1" x14ac:dyDescent="0.3">
      <c r="A870" s="778" t="s">
        <v>3401</v>
      </c>
      <c r="G870" s="779"/>
      <c r="I870" s="778"/>
      <c r="J870" s="792"/>
      <c r="K870" s="780"/>
      <c r="O870" s="782"/>
    </row>
    <row r="871" spans="1:16" ht="12.75" customHeight="1" x14ac:dyDescent="0.3">
      <c r="A871" s="797"/>
      <c r="B871" s="797" t="s">
        <v>1543</v>
      </c>
      <c r="C871" s="797"/>
      <c r="D871" s="797"/>
      <c r="E871" s="797"/>
      <c r="F871" s="797"/>
      <c r="G871" s="796" t="s">
        <v>3402</v>
      </c>
      <c r="H871" s="796" t="s">
        <v>813</v>
      </c>
      <c r="I871" s="900"/>
      <c r="J871" s="792" t="str">
        <f>IF(ISBLANK(HLOOKUP(CaseName,CaseData,MATCH($G871,cases!$G$4:$G$2494,0),FALSE)),"",HLOOKUP(CaseName,CaseData,MATCH($G871,cases!$G$4:$G$2494,0),FALSE))</f>
        <v/>
      </c>
      <c r="K871" s="918">
        <f>((7*10^-4)*(60*6*10^4*L873)^0.25)/2</f>
        <v>4.3892472255471467E-4</v>
      </c>
      <c r="L871" s="794">
        <f t="shared" ref="L871:L877" si="54">IF(ISBLANK(I871),IF(ISNUMBER(J871)=FALSE,K871,J871),I871)</f>
        <v>4.3892472255471467E-4</v>
      </c>
      <c r="M871" s="796" t="s">
        <v>813</v>
      </c>
      <c r="N871" s="797"/>
      <c r="O871" s="799"/>
      <c r="P871" s="797" t="s">
        <v>1545</v>
      </c>
    </row>
    <row r="872" spans="1:16" ht="12.75" customHeight="1" x14ac:dyDescent="0.3">
      <c r="A872" s="797"/>
      <c r="B872" s="797" t="s">
        <v>1546</v>
      </c>
      <c r="C872" s="797"/>
      <c r="D872" s="797"/>
      <c r="E872" s="797"/>
      <c r="F872" s="797"/>
      <c r="G872" s="796" t="s">
        <v>3403</v>
      </c>
      <c r="H872" s="796" t="s">
        <v>291</v>
      </c>
      <c r="I872" s="900"/>
      <c r="J872" s="792" t="str">
        <f>IF(ISBLANK(HLOOKUP(CaseName,CaseData,MATCH($G872,cases!$G$4:$G$2494,0),FALSE)),"",HLOOKUP(CaseName,CaseData,MATCH($G872,cases!$G$4:$G$2494,0),FALSE))</f>
        <v/>
      </c>
      <c r="K872" s="798">
        <f>L731/(L731+L730)</f>
        <v>0.06</v>
      </c>
      <c r="L872" s="794">
        <f t="shared" si="54"/>
        <v>0.06</v>
      </c>
      <c r="M872" s="796" t="s">
        <v>291</v>
      </c>
      <c r="N872" s="797"/>
      <c r="O872" s="799"/>
      <c r="P872" s="797"/>
    </row>
    <row r="873" spans="1:16" ht="12.75" customHeight="1" x14ac:dyDescent="0.3">
      <c r="A873" s="797"/>
      <c r="B873" s="797" t="s">
        <v>1549</v>
      </c>
      <c r="C873" s="797"/>
      <c r="D873" s="797"/>
      <c r="E873" s="797"/>
      <c r="F873" s="797"/>
      <c r="G873" s="796" t="s">
        <v>3404</v>
      </c>
      <c r="H873" s="796" t="s">
        <v>866</v>
      </c>
      <c r="I873" s="900"/>
      <c r="J873" s="792" t="str">
        <f>IF(ISBLANK(HLOOKUP(CaseName,CaseData,MATCH($G873,cases!$G$4:$G$2494,0),FALSE)),"",HLOOKUP(CaseName,CaseData,MATCH($G873,cases!$G$4:$G$2494,0),FALSE))</f>
        <v/>
      </c>
      <c r="K873" s="798">
        <f>L736/L872</f>
        <v>6.8704549298156603E-7</v>
      </c>
      <c r="L873" s="794">
        <f t="shared" si="54"/>
        <v>6.8704549298156603E-7</v>
      </c>
      <c r="M873" s="796" t="s">
        <v>866</v>
      </c>
      <c r="N873" s="797"/>
      <c r="O873" s="799"/>
      <c r="P873" s="797"/>
    </row>
    <row r="874" spans="1:16" ht="12.75" customHeight="1" x14ac:dyDescent="0.3">
      <c r="A874" s="797"/>
      <c r="B874" s="797" t="s">
        <v>1553</v>
      </c>
      <c r="C874" s="797"/>
      <c r="D874" s="797"/>
      <c r="E874" s="797"/>
      <c r="F874" s="797"/>
      <c r="G874" s="796" t="s">
        <v>3405</v>
      </c>
      <c r="H874" s="796" t="s">
        <v>866</v>
      </c>
      <c r="I874" s="900"/>
      <c r="J874" s="792" t="str">
        <f>IF(ISBLANK(HLOOKUP(CaseName,CaseData,MATCH($G874,cases!$G$4:$G$2494,0),FALSE)),"",HLOOKUP(CaseName,CaseData,MATCH($G874,cases!$G$4:$G$2494,0),FALSE))</f>
        <v/>
      </c>
      <c r="K874" s="798">
        <f>((2*L871)^2*(Rho.w-Rho.a)*g*L875)/(18*DYNVISC.a)</f>
        <v>23.128908726669181</v>
      </c>
      <c r="L874" s="794">
        <f t="shared" si="54"/>
        <v>23.128908726669181</v>
      </c>
      <c r="M874" s="796" t="s">
        <v>866</v>
      </c>
      <c r="N874" s="797"/>
      <c r="O874" s="799"/>
      <c r="P874" s="797"/>
    </row>
    <row r="875" spans="1:16" ht="12.75" customHeight="1" x14ac:dyDescent="0.3">
      <c r="A875" s="797"/>
      <c r="B875" s="797" t="s">
        <v>1555</v>
      </c>
      <c r="C875" s="797"/>
      <c r="D875" s="797"/>
      <c r="E875" s="797"/>
      <c r="F875" s="797"/>
      <c r="G875" s="796" t="s">
        <v>3406</v>
      </c>
      <c r="H875" s="796" t="s">
        <v>291</v>
      </c>
      <c r="I875" s="900"/>
      <c r="J875" s="792" t="str">
        <f>IF(ISBLANK(HLOOKUP(CaseName,CaseData,MATCH($G875,cases!$G$4:$G$2494,0),FALSE)),"",HLOOKUP(CaseName,CaseData,MATCH($G875,cases!$G$4:$G$2494,0),FALSE))</f>
        <v/>
      </c>
      <c r="K875" s="798">
        <v>1</v>
      </c>
      <c r="L875" s="794">
        <f t="shared" si="54"/>
        <v>1</v>
      </c>
      <c r="M875" s="796" t="s">
        <v>291</v>
      </c>
      <c r="N875" s="797"/>
      <c r="O875" s="799"/>
      <c r="P875" s="797"/>
    </row>
    <row r="876" spans="1:16" ht="12.75" customHeight="1" x14ac:dyDescent="0.3">
      <c r="A876" s="797"/>
      <c r="B876" s="797" t="s">
        <v>1557</v>
      </c>
      <c r="C876" s="797"/>
      <c r="D876" s="797"/>
      <c r="E876" s="797"/>
      <c r="F876" s="797"/>
      <c r="G876" s="796" t="s">
        <v>3407</v>
      </c>
      <c r="H876" s="796" t="s">
        <v>291</v>
      </c>
      <c r="I876" s="900"/>
      <c r="J876" s="792" t="str">
        <f>IF(ISBLANK(HLOOKUP(CaseName,CaseData,MATCH($G876,cases!$G$4:$G$2494,0),FALSE)),"",HLOOKUP(CaseName,CaseData,MATCH($G876,cases!$G$4:$G$2494,0),FALSE))</f>
        <v/>
      </c>
      <c r="K876" s="798">
        <f>((1.2+(1/12)*LN(1+L877))/(1+LN(L877)))</f>
        <v>0.23159708950601954</v>
      </c>
      <c r="L876" s="794">
        <f t="shared" si="54"/>
        <v>0.23159708950601954</v>
      </c>
      <c r="M876" s="796" t="s">
        <v>291</v>
      </c>
      <c r="N876" s="797"/>
      <c r="O876" s="799"/>
      <c r="P876" s="797"/>
    </row>
    <row r="877" spans="1:16" ht="12.75" customHeight="1" x14ac:dyDescent="0.3">
      <c r="A877" s="797"/>
      <c r="B877" s="797" t="s">
        <v>1559</v>
      </c>
      <c r="C877" s="797"/>
      <c r="D877" s="797"/>
      <c r="E877" s="797"/>
      <c r="F877" s="797"/>
      <c r="G877" s="796" t="s">
        <v>3408</v>
      </c>
      <c r="H877" s="796" t="s">
        <v>291</v>
      </c>
      <c r="I877" s="900"/>
      <c r="J877" s="792" t="str">
        <f>IF(ISBLANK(HLOOKUP(CaseName,CaseData,MATCH($G877,cases!$G$4:$G$2494,0),FALSE)),"",HLOOKUP(CaseName,CaseData,MATCH($G877,cases!$G$4:$G$2494,0),FALSE))</f>
        <v/>
      </c>
      <c r="K877" s="902">
        <f>((2*L871)*L874*Rho.a)/(2*DYNVISC.a)</f>
        <v>687.07271056144043</v>
      </c>
      <c r="L877" s="794">
        <f t="shared" si="54"/>
        <v>687.07271056144043</v>
      </c>
      <c r="M877" s="796" t="s">
        <v>2273</v>
      </c>
      <c r="N877" s="797"/>
      <c r="O877" s="799"/>
      <c r="P877" s="797"/>
    </row>
    <row r="878" spans="1:16" ht="12.75" customHeight="1" x14ac:dyDescent="0.3">
      <c r="A878" s="778" t="s">
        <v>3409</v>
      </c>
      <c r="H878" s="778"/>
      <c r="I878" s="778"/>
      <c r="J878" s="792" t="str">
        <f>IF(ISBLANK(HLOOKUP(CaseName,CaseData,MATCH($G878,cases!$G$4:$G$2494,0),FALSE)),"",HLOOKUP(CaseName,CaseData,MATCH($G878,cases!$G$4:$G$2494,0),FALSE))</f>
        <v/>
      </c>
      <c r="K878" s="780"/>
      <c r="O878" s="782"/>
    </row>
    <row r="879" spans="1:16" ht="12.75" customHeight="1" x14ac:dyDescent="0.3">
      <c r="A879" s="797"/>
      <c r="B879" s="797" t="s">
        <v>1562</v>
      </c>
      <c r="C879" s="797"/>
      <c r="D879" s="797"/>
      <c r="E879" s="797"/>
      <c r="F879" s="797"/>
      <c r="G879" s="797" t="s">
        <v>3410</v>
      </c>
      <c r="H879" s="797" t="s">
        <v>813</v>
      </c>
      <c r="I879" s="900"/>
      <c r="J879" s="792" t="str">
        <f>IF(ISBLANK(HLOOKUP(CaseName,CaseData,MATCH($G879,cases!$G$4:$G$2494,0),FALSE)),"",HLOOKUP(CaseName,CaseData,MATCH($G879,cases!$G$4:$G$2494,0),FALSE))</f>
        <v/>
      </c>
      <c r="K879" s="918">
        <f>(L881/((4/3)*PI()))^(1/3)</f>
        <v>4.5513903748867723E-8</v>
      </c>
      <c r="L879" s="794">
        <f>IF(ISBLANK(I879),IF(ISNUMBER(J879)=FALSE,K879,J879),I879)</f>
        <v>4.5513903748867723E-8</v>
      </c>
      <c r="M879" s="797" t="s">
        <v>813</v>
      </c>
      <c r="N879" s="797"/>
      <c r="O879" s="799"/>
      <c r="P879" s="797"/>
    </row>
    <row r="880" spans="1:16" ht="12.75" customHeight="1" x14ac:dyDescent="0.3">
      <c r="A880" s="797"/>
      <c r="B880" s="797" t="s">
        <v>1564</v>
      </c>
      <c r="C880" s="797"/>
      <c r="D880" s="797"/>
      <c r="E880" s="797"/>
      <c r="F880" s="797"/>
      <c r="G880" s="797" t="s">
        <v>3411</v>
      </c>
      <c r="H880" s="797" t="s">
        <v>282</v>
      </c>
      <c r="I880" s="900"/>
      <c r="J880" s="792" t="str">
        <f>IF(ISBLANK(HLOOKUP(CaseName,CaseData,MATCH($G880,cases!$G$4:$G$2494,0),FALSE)),"",HLOOKUP(CaseName,CaseData,MATCH($G880,cases!$G$4:$G$2494,0),FALSE))</f>
        <v/>
      </c>
      <c r="K880" s="798">
        <f>(L882)/L881</f>
        <v>2019.7574509045692</v>
      </c>
      <c r="L880" s="794">
        <f>IF(ISBLANK(I880),IF(ISNUMBER(J880)=FALSE,K880,J880),I880)</f>
        <v>2019.7574509045692</v>
      </c>
      <c r="M880" s="797" t="s">
        <v>282</v>
      </c>
      <c r="N880" s="797"/>
      <c r="O880" s="799"/>
      <c r="P880" s="797"/>
    </row>
    <row r="881" spans="1:16" ht="12.75" customHeight="1" x14ac:dyDescent="0.3">
      <c r="A881" s="797"/>
      <c r="B881" s="797"/>
      <c r="C881" s="797" t="s">
        <v>1566</v>
      </c>
      <c r="D881" s="797"/>
      <c r="E881" s="797"/>
      <c r="F881" s="797"/>
      <c r="G881" s="797" t="s">
        <v>3412</v>
      </c>
      <c r="H881" s="797" t="s">
        <v>857</v>
      </c>
      <c r="I881" s="900"/>
      <c r="J881" s="792" t="str">
        <f>IF(ISBLANK(HLOOKUP(CaseName,CaseData,MATCH($G881,cases!$G$4:$G$2494,0),FALSE)),"",HLOOKUP(CaseName,CaseData,MATCH($G881,cases!$G$4:$G$2494,0),FALSE))</f>
        <v/>
      </c>
      <c r="K881" s="798">
        <f>((L792*(SingleVolS+(((4/3)*PI()*(RadNuc)^3))))+(L797*(SingleVolS+(((4/3)*PI()*(RadAcc)^3)))))/(L792+L797)</f>
        <v>3.9493067684749707E-22</v>
      </c>
      <c r="L881" s="794">
        <f>IF(ISBLANK(I881),IF(ISNUMBER(J881)=FALSE,K881,J881),I881)</f>
        <v>3.9493067684749707E-22</v>
      </c>
      <c r="M881" s="797" t="s">
        <v>857</v>
      </c>
      <c r="N881" s="797"/>
      <c r="O881" s="799"/>
      <c r="P881" s="797"/>
    </row>
    <row r="882" spans="1:16" ht="12.75" customHeight="1" x14ac:dyDescent="0.3">
      <c r="A882" s="797"/>
      <c r="B882" s="797"/>
      <c r="C882" s="797" t="s">
        <v>1568</v>
      </c>
      <c r="D882" s="797"/>
      <c r="E882" s="797"/>
      <c r="F882" s="797"/>
      <c r="G882" s="797" t="s">
        <v>3413</v>
      </c>
      <c r="H882" s="797" t="s">
        <v>888</v>
      </c>
      <c r="I882" s="900"/>
      <c r="J882" s="792" t="str">
        <f>IF(ISBLANK(HLOOKUP(CaseName,CaseData,MATCH($G882,cases!$G$4:$G$2494,0),FALSE)),"",HLOOKUP(CaseName,CaseData,MATCH($G882,cases!$G$4:$G$2494,0),FALSE))</f>
        <v/>
      </c>
      <c r="K882" s="798">
        <f>((L792*(RhoNuc*(4/3*PI()*(RadNuc)^3)+RhoS*SingleVolS))+(L797*(RhoAcc*(4/3*PI()*(RadAcc)^3)+RhoS*SingleVolS)))/(L792+L797)</f>
        <v>7.976641771535168E-19</v>
      </c>
      <c r="L882" s="794">
        <f>IF(ISBLANK(I882),IF(ISNUMBER(J882)=FALSE,K882,J882),I882)</f>
        <v>7.976641771535168E-19</v>
      </c>
      <c r="M882" s="797" t="s">
        <v>888</v>
      </c>
      <c r="N882" s="797"/>
      <c r="O882" s="799"/>
      <c r="P882" s="797"/>
    </row>
    <row r="883" spans="1:16" ht="12.75" customHeight="1" x14ac:dyDescent="0.3">
      <c r="A883" s="778" t="s">
        <v>3414</v>
      </c>
      <c r="H883" s="778"/>
      <c r="I883" s="778"/>
      <c r="J883" s="792" t="str">
        <f>IF(ISBLANK(HLOOKUP(CaseName,CaseData,MATCH($G883,cases!$G$4:$G$2494,0),FALSE)),"",HLOOKUP(CaseName,CaseData,MATCH($G883,cases!$G$4:$G$2494,0),FALSE))</f>
        <v/>
      </c>
      <c r="K883" s="919"/>
      <c r="O883" s="782"/>
    </row>
    <row r="884" spans="1:16" ht="12.75" customHeight="1" x14ac:dyDescent="0.3">
      <c r="A884" s="797" t="s">
        <v>1571</v>
      </c>
      <c r="B884" s="797"/>
      <c r="C884" s="797"/>
      <c r="D884" s="797"/>
      <c r="E884" s="797"/>
      <c r="F884" s="797"/>
      <c r="G884" s="796" t="s">
        <v>3415</v>
      </c>
      <c r="H884" s="796" t="s">
        <v>335</v>
      </c>
      <c r="I884" s="900"/>
      <c r="J884" s="792" t="str">
        <f>IF(ISBLANK(HLOOKUP(CaseName,CaseData,MATCH($G884,cases!$G$4:$G$2494,0),FALSE)),"",HLOOKUP(CaseName,CaseData,MATCH($G884,cases!$G$4:$G$2494,0),FALSE))</f>
        <v/>
      </c>
      <c r="K884" s="798">
        <f>(3/2)*(L892*L873)/(2*L871)</f>
        <v>1.6964369979482456E-6</v>
      </c>
      <c r="L884" s="794">
        <f t="shared" ref="L884:L915" si="55">IF(ISBLANK(I884),IF(ISNUMBER(J884)=FALSE,K884,J884),I884)</f>
        <v>1.6964369979482456E-6</v>
      </c>
      <c r="M884" s="796" t="s">
        <v>335</v>
      </c>
      <c r="N884" s="797"/>
      <c r="O884" s="799" t="s">
        <v>2280</v>
      </c>
      <c r="P884" s="797" t="s">
        <v>1573</v>
      </c>
    </row>
    <row r="885" spans="1:16" ht="12.75" customHeight="1" x14ac:dyDescent="0.3">
      <c r="A885" s="797"/>
      <c r="B885" s="797" t="s">
        <v>1574</v>
      </c>
      <c r="C885" s="797"/>
      <c r="D885" s="797"/>
      <c r="E885" s="797"/>
      <c r="F885" s="797"/>
      <c r="G885" s="796" t="s">
        <v>3416</v>
      </c>
      <c r="H885" s="796" t="s">
        <v>1576</v>
      </c>
      <c r="I885" s="900"/>
      <c r="J885" s="792" t="str">
        <f>IF(ISBLANK(HLOOKUP(CaseName,CaseData,MATCH($G885,cases!$G$4:$G$2494,0),FALSE)),"",HLOOKUP(CaseName,CaseData,MATCH($G885,cases!$G$4:$G$2494,0),FALSE))</f>
        <v/>
      </c>
      <c r="K885" s="798">
        <f>((RhoS-Rho.a)*(2*RadS)^2*CunninghamS)/(18*DYNVISC.a)</f>
        <v>6.075883051773531E-8</v>
      </c>
      <c r="L885" s="794">
        <f t="shared" si="55"/>
        <v>6.075883051773531E-8</v>
      </c>
      <c r="M885" s="796" t="s">
        <v>1576</v>
      </c>
      <c r="N885" s="797"/>
      <c r="O885" s="799"/>
      <c r="P885" s="797"/>
    </row>
    <row r="886" spans="1:16" ht="12.75" customHeight="1" x14ac:dyDescent="0.3">
      <c r="A886" s="797"/>
      <c r="B886" s="797" t="s">
        <v>1577</v>
      </c>
      <c r="C886" s="797"/>
      <c r="D886" s="797"/>
      <c r="E886" s="797"/>
      <c r="F886" s="797"/>
      <c r="G886" s="796" t="s">
        <v>3417</v>
      </c>
      <c r="H886" s="796" t="s">
        <v>291</v>
      </c>
      <c r="I886" s="900"/>
      <c r="J886" s="792" t="str">
        <f>IF(ISBLANK(HLOOKUP(CaseName,CaseData,MATCH($G886,cases!$G$4:$G$2494,0),FALSE)),"",HLOOKUP(CaseName,CaseData,MATCH($G886,cases!$G$4:$G$2494,0),FALSE))</f>
        <v/>
      </c>
      <c r="K886" s="798">
        <f>(2*L885*(L874-L887))/(2*L871)</f>
        <v>3.2016547188082811E-3</v>
      </c>
      <c r="L886" s="794">
        <f t="shared" si="55"/>
        <v>3.2016547188082811E-3</v>
      </c>
      <c r="M886" s="796" t="s">
        <v>291</v>
      </c>
      <c r="N886" s="797"/>
      <c r="O886" s="799" t="s">
        <v>1579</v>
      </c>
      <c r="P886" s="797"/>
    </row>
    <row r="887" spans="1:16" ht="12.75" customHeight="1" x14ac:dyDescent="0.3">
      <c r="A887" s="797"/>
      <c r="B887" s="797" t="s">
        <v>1580</v>
      </c>
      <c r="C887" s="797"/>
      <c r="D887" s="797"/>
      <c r="E887" s="797"/>
      <c r="F887" s="797"/>
      <c r="G887" s="796" t="s">
        <v>3418</v>
      </c>
      <c r="H887" s="796" t="s">
        <v>866</v>
      </c>
      <c r="I887" s="900"/>
      <c r="J887" s="792" t="str">
        <f>IF(ISBLANK(HLOOKUP(CaseName,CaseData,MATCH($G887,cases!$G$4:$G$2494,0),FALSE)),"",HLOOKUP(CaseName,CaseData,MATCH($G887,cases!$G$4:$G$2494,0),FALSE))</f>
        <v/>
      </c>
      <c r="K887" s="798">
        <f>((2*RadS)^2*(RhoS-Rho.a)*9.81*CunninghamS)/(18*DYNVISC.a)</f>
        <v>5.9604412737898326E-7</v>
      </c>
      <c r="L887" s="794">
        <f t="shared" si="55"/>
        <v>5.9604412737898326E-7</v>
      </c>
      <c r="M887" s="796" t="s">
        <v>866</v>
      </c>
      <c r="N887" s="797"/>
      <c r="O887" s="799"/>
      <c r="P887" s="797"/>
    </row>
    <row r="888" spans="1:16" ht="12.75" customHeight="1" x14ac:dyDescent="0.3">
      <c r="A888" s="797"/>
      <c r="B888" s="797" t="s">
        <v>1582</v>
      </c>
      <c r="C888" s="797"/>
      <c r="D888" s="797"/>
      <c r="E888" s="797"/>
      <c r="F888" s="797"/>
      <c r="G888" s="796" t="s">
        <v>3419</v>
      </c>
      <c r="H888" s="796" t="s">
        <v>291</v>
      </c>
      <c r="I888" s="900"/>
      <c r="J888" s="792" t="str">
        <f>IF(ISBLANK(HLOOKUP(CaseName,CaseData,MATCH($G888,cases!$G$4:$G$2494,0),FALSE)),"",HLOOKUP(CaseName,CaseData,MATCH($G888,cases!$G$4:$G$2494,0),FALSE))</f>
        <v/>
      </c>
      <c r="K888" s="798">
        <f>DYNVISC.a/(Rho.a*DiffS.aT)</f>
        <v>1046.9761387141273</v>
      </c>
      <c r="L888" s="794">
        <f t="shared" si="55"/>
        <v>1046.9761387141273</v>
      </c>
      <c r="M888" s="796" t="s">
        <v>291</v>
      </c>
      <c r="N888" s="797"/>
      <c r="O888" s="799"/>
      <c r="P888" s="797"/>
    </row>
    <row r="889" spans="1:16" ht="12.75" customHeight="1" x14ac:dyDescent="0.3">
      <c r="A889" s="797"/>
      <c r="B889" s="797"/>
      <c r="C889" s="797" t="s">
        <v>1584</v>
      </c>
      <c r="D889" s="797"/>
      <c r="E889" s="797"/>
      <c r="F889" s="797"/>
      <c r="G889" s="796" t="s">
        <v>3420</v>
      </c>
      <c r="H889" s="796" t="s">
        <v>291</v>
      </c>
      <c r="I889" s="900"/>
      <c r="J889" s="792" t="str">
        <f>IF(ISBLANK(HLOOKUP(CaseName,CaseData,MATCH($G889,cases!$G$4:$G$2494,0),FALSE)),"",HLOOKUP(CaseName,CaseData,MATCH($G889,cases!$G$4:$G$2494,0),FALSE))</f>
        <v/>
      </c>
      <c r="K889" s="798">
        <f>(4/(L877*L888))*(1+0.4*(L877^0.5*L888^(1/3))+0.16*(L877^0.5*L888^0.5))</f>
        <v>1.3521569926096873E-3</v>
      </c>
      <c r="L889" s="794">
        <f t="shared" si="55"/>
        <v>1.3521569926096873E-3</v>
      </c>
      <c r="M889" s="796" t="s">
        <v>291</v>
      </c>
      <c r="N889" s="797"/>
      <c r="O889" s="799"/>
      <c r="P889" s="797"/>
    </row>
    <row r="890" spans="1:16" ht="12.75" customHeight="1" x14ac:dyDescent="0.3">
      <c r="A890" s="797"/>
      <c r="B890" s="797"/>
      <c r="C890" s="797" t="s">
        <v>1586</v>
      </c>
      <c r="D890" s="797"/>
      <c r="E890" s="797"/>
      <c r="F890" s="797"/>
      <c r="G890" s="796" t="s">
        <v>3421</v>
      </c>
      <c r="H890" s="796" t="s">
        <v>291</v>
      </c>
      <c r="I890" s="900"/>
      <c r="J890" s="792" t="str">
        <f>IF(ISBLANK(HLOOKUP(CaseName,CaseData,MATCH($G890,cases!$G$4:$G$2494,0),FALSE)),"",HLOOKUP(CaseName,CaseData,MATCH($G890,cases!$G$4:$G$2494,0),FALSE))</f>
        <v/>
      </c>
      <c r="K890" s="798">
        <f>4*(RadS/L871)*((DYNVISC.a/DYNVISC.w)+(1+2*L877^0.5*(RadS/L871)))</f>
        <v>9.2886838815248128E-5</v>
      </c>
      <c r="L890" s="794">
        <f t="shared" si="55"/>
        <v>9.2886838815248128E-5</v>
      </c>
      <c r="M890" s="796" t="s">
        <v>291</v>
      </c>
      <c r="N890" s="797"/>
      <c r="O890" s="799"/>
      <c r="P890" s="797"/>
    </row>
    <row r="891" spans="1:16" ht="12.75" customHeight="1" x14ac:dyDescent="0.3">
      <c r="A891" s="797"/>
      <c r="B891" s="797"/>
      <c r="C891" s="797" t="s">
        <v>1588</v>
      </c>
      <c r="D891" s="797"/>
      <c r="E891" s="797"/>
      <c r="F891" s="797"/>
      <c r="G891" s="796" t="s">
        <v>3422</v>
      </c>
      <c r="H891" s="796" t="s">
        <v>291</v>
      </c>
      <c r="I891" s="900"/>
      <c r="J891" s="792" t="str">
        <f>IF(ISBLANK(HLOOKUP(CaseName,CaseData,MATCH($G891,cases!$G$4:$G$2494,0),FALSE)),"",HLOOKUP(CaseName,CaseData,MATCH($G891,cases!$G$4:$G$2494,0),FALSE))</f>
        <v/>
      </c>
      <c r="K891" s="798">
        <f>IF(L886&gt;L876,((L886-L876)/(L886-L876+2/3))^(3/2),0)</f>
        <v>0</v>
      </c>
      <c r="L891" s="794">
        <f t="shared" si="55"/>
        <v>0</v>
      </c>
      <c r="M891" s="796" t="s">
        <v>291</v>
      </c>
      <c r="N891" s="797"/>
      <c r="O891" s="799"/>
      <c r="P891" s="797"/>
    </row>
    <row r="892" spans="1:16" ht="12.75" customHeight="1" x14ac:dyDescent="0.3">
      <c r="A892" s="797"/>
      <c r="B892" s="797"/>
      <c r="C892" s="797" t="s">
        <v>1590</v>
      </c>
      <c r="D892" s="797"/>
      <c r="E892" s="797"/>
      <c r="F892" s="797"/>
      <c r="G892" s="796" t="s">
        <v>3423</v>
      </c>
      <c r="H892" s="796" t="s">
        <v>291</v>
      </c>
      <c r="I892" s="900"/>
      <c r="J892" s="792" t="str">
        <f>IF(ISBLANK(HLOOKUP(CaseName,CaseData,MATCH($G892,cases!$G$4:$G$2494,0),FALSE)),"",HLOOKUP(CaseName,CaseData,MATCH($G892,cases!$G$4:$G$2494,0),FALSE))</f>
        <v/>
      </c>
      <c r="K892" s="798">
        <f>L889+L890+L891</f>
        <v>1.4450438314249354E-3</v>
      </c>
      <c r="L892" s="794">
        <f t="shared" si="55"/>
        <v>1.4450438314249354E-3</v>
      </c>
      <c r="M892" s="796" t="s">
        <v>291</v>
      </c>
      <c r="N892" s="797"/>
      <c r="O892" s="799"/>
      <c r="P892" s="797"/>
    </row>
    <row r="893" spans="1:16" ht="12.75" customHeight="1" x14ac:dyDescent="0.3">
      <c r="A893" s="797" t="s">
        <v>1592</v>
      </c>
      <c r="B893" s="797"/>
      <c r="C893" s="797"/>
      <c r="D893" s="797"/>
      <c r="E893" s="797"/>
      <c r="F893" s="797"/>
      <c r="G893" s="796" t="s">
        <v>3424</v>
      </c>
      <c r="H893" s="796" t="s">
        <v>335</v>
      </c>
      <c r="I893" s="900"/>
      <c r="J893" s="792" t="str">
        <f>IF(ISBLANK(HLOOKUP(CaseName,CaseData,MATCH($G893,cases!$G$4:$G$2494,0),FALSE)),"",HLOOKUP(CaseName,CaseData,MATCH($G893,cases!$G$4:$G$2494,0),FALSE))</f>
        <v/>
      </c>
      <c r="K893" s="798">
        <f>((3/2)*(L903*L873)/(2*L871))</f>
        <v>8.146935238140783E-7</v>
      </c>
      <c r="L893" s="794">
        <f t="shared" si="55"/>
        <v>8.146935238140783E-7</v>
      </c>
      <c r="M893" s="796" t="s">
        <v>335</v>
      </c>
      <c r="N893" s="797"/>
      <c r="O893" s="799"/>
      <c r="P893" s="797"/>
    </row>
    <row r="894" spans="1:16" ht="12.75" customHeight="1" x14ac:dyDescent="0.3">
      <c r="A894" s="797"/>
      <c r="B894" s="797" t="s">
        <v>1594</v>
      </c>
      <c r="C894" s="797"/>
      <c r="D894" s="797"/>
      <c r="E894" s="797"/>
      <c r="F894" s="797"/>
      <c r="G894" s="796" t="s">
        <v>3425</v>
      </c>
      <c r="H894" s="796" t="s">
        <v>291</v>
      </c>
      <c r="I894" s="900"/>
      <c r="J894" s="792" t="str">
        <f>IF(ISBLANK(HLOOKUP(CaseName,CaseData,MATCH($G894,cases!$G$4:$G$2494,0),FALSE)),"",HLOOKUP(CaseName,CaseData,MATCH($G894,cases!$G$4:$G$2494,0),FALSE))</f>
        <v/>
      </c>
      <c r="K894" s="798">
        <f>1+(66*10^-9/L879)*(1.142+0.558*EXP(-0.999/(66*10^-9/L879)))</f>
        <v>3.0623169806934145</v>
      </c>
      <c r="L894" s="794">
        <f t="shared" si="55"/>
        <v>3.0623169806934145</v>
      </c>
      <c r="M894" s="796" t="s">
        <v>291</v>
      </c>
      <c r="N894" s="797"/>
      <c r="O894" s="799"/>
      <c r="P894" s="797"/>
    </row>
    <row r="895" spans="1:16" ht="12.75" customHeight="1" x14ac:dyDescent="0.3">
      <c r="A895" s="797"/>
      <c r="B895" s="797" t="s">
        <v>1596</v>
      </c>
      <c r="C895" s="797"/>
      <c r="D895" s="797"/>
      <c r="E895" s="797"/>
      <c r="F895" s="797"/>
      <c r="G895" s="796" t="s">
        <v>3426</v>
      </c>
      <c r="H895" s="796"/>
      <c r="I895" s="900"/>
      <c r="J895" s="792" t="str">
        <f>IF(ISBLANK(HLOOKUP(CaseName,CaseData,MATCH($G895,cases!$G$4:$G$2494,0),FALSE)),"",HLOOKUP(CaseName,CaseData,MATCH($G895,cases!$G$4:$G$2494,0),FALSE))</f>
        <v/>
      </c>
      <c r="K895" s="798">
        <f>(kboltz*L696*L894)/(6*PI()*DYNVISC.a*L879)</f>
        <v>8.1138288327237019E-10</v>
      </c>
      <c r="L895" s="794">
        <f t="shared" si="55"/>
        <v>8.1138288327237019E-10</v>
      </c>
      <c r="M895" s="796"/>
      <c r="N895" s="797"/>
      <c r="O895" s="799"/>
      <c r="P895" s="797"/>
    </row>
    <row r="896" spans="1:16" ht="12.75" customHeight="1" x14ac:dyDescent="0.3">
      <c r="A896" s="797"/>
      <c r="B896" s="797" t="s">
        <v>1574</v>
      </c>
      <c r="C896" s="797"/>
      <c r="D896" s="797"/>
      <c r="E896" s="797"/>
      <c r="F896" s="797"/>
      <c r="G896" s="796" t="s">
        <v>3427</v>
      </c>
      <c r="H896" s="796" t="s">
        <v>1576</v>
      </c>
      <c r="I896" s="900"/>
      <c r="J896" s="792" t="str">
        <f>IF(ISBLANK(HLOOKUP(CaseName,CaseData,MATCH($G896,cases!$G$4:$G$2494,0),FALSE)),"",HLOOKUP(CaseName,CaseData,MATCH($G896,cases!$G$4:$G$2494,0),FALSE))</f>
        <v/>
      </c>
      <c r="K896" s="798">
        <f>((L880-Rho.a)*(2*L879)^2*L894)/(18*DYNVISC.a)</f>
        <v>1.5721101191739341E-7</v>
      </c>
      <c r="L896" s="794">
        <f t="shared" si="55"/>
        <v>1.5721101191739341E-7</v>
      </c>
      <c r="M896" s="796" t="s">
        <v>1576</v>
      </c>
      <c r="N896" s="797"/>
      <c r="O896" s="799"/>
      <c r="P896" s="797"/>
    </row>
    <row r="897" spans="1:16" ht="12.75" customHeight="1" x14ac:dyDescent="0.3">
      <c r="A897" s="797"/>
      <c r="B897" s="797" t="s">
        <v>1599</v>
      </c>
      <c r="C897" s="797"/>
      <c r="D897" s="797"/>
      <c r="E897" s="797"/>
      <c r="F897" s="797"/>
      <c r="G897" s="796" t="s">
        <v>3428</v>
      </c>
      <c r="H897" s="796" t="s">
        <v>291</v>
      </c>
      <c r="I897" s="900"/>
      <c r="J897" s="792" t="str">
        <f>IF(ISBLANK(HLOOKUP(CaseName,CaseData,MATCH($G897,cases!$G$4:$G$2494,0),FALSE)),"",HLOOKUP(CaseName,CaseData,MATCH($G897,cases!$G$4:$G$2494,0),FALSE))</f>
        <v/>
      </c>
      <c r="K897" s="798">
        <f>(2*L896*(L874-L898))/(2*L871)</f>
        <v>8.2841515097257096E-3</v>
      </c>
      <c r="L897" s="794">
        <f t="shared" si="55"/>
        <v>8.2841515097257096E-3</v>
      </c>
      <c r="M897" s="796" t="s">
        <v>291</v>
      </c>
      <c r="N897" s="797"/>
      <c r="O897" s="799"/>
      <c r="P897" s="797"/>
    </row>
    <row r="898" spans="1:16" ht="12.75" customHeight="1" x14ac:dyDescent="0.3">
      <c r="A898" s="797"/>
      <c r="B898" s="797" t="s">
        <v>1580</v>
      </c>
      <c r="C898" s="797"/>
      <c r="D898" s="797"/>
      <c r="E898" s="797"/>
      <c r="F898" s="797"/>
      <c r="G898" s="796" t="s">
        <v>3429</v>
      </c>
      <c r="H898" s="796" t="s">
        <v>866</v>
      </c>
      <c r="I898" s="900"/>
      <c r="J898" s="792" t="str">
        <f>IF(ISBLANK(HLOOKUP(CaseName,CaseData,MATCH($G898,cases!$G$4:$G$2494,0),FALSE)),"",HLOOKUP(CaseName,CaseData,MATCH($G898,cases!$G$4:$G$2494,0),FALSE))</f>
        <v/>
      </c>
      <c r="K898" s="798">
        <f>((2*L879)^2*(L880-Rho.a)*9.81*L894)/(18*DYNVISC.a)</f>
        <v>1.5422400269096293E-6</v>
      </c>
      <c r="L898" s="794">
        <f t="shared" si="55"/>
        <v>1.5422400269096293E-6</v>
      </c>
      <c r="M898" s="796" t="s">
        <v>866</v>
      </c>
      <c r="N898" s="797"/>
      <c r="O898" s="799"/>
      <c r="P898" s="797"/>
    </row>
    <row r="899" spans="1:16" ht="12.75" customHeight="1" x14ac:dyDescent="0.3">
      <c r="A899" s="797"/>
      <c r="B899" s="797" t="s">
        <v>1582</v>
      </c>
      <c r="C899" s="797"/>
      <c r="D899" s="797"/>
      <c r="E899" s="797"/>
      <c r="F899" s="797"/>
      <c r="G899" s="796" t="s">
        <v>3430</v>
      </c>
      <c r="H899" s="796" t="s">
        <v>291</v>
      </c>
      <c r="I899" s="900"/>
      <c r="J899" s="792" t="str">
        <f>IF(ISBLANK(HLOOKUP(CaseName,CaseData,MATCH($G899,cases!$G$4:$G$2494,0),FALSE)),"",HLOOKUP(CaseName,CaseData,MATCH($G899,cases!$G$4:$G$2494,0),FALSE))</f>
        <v/>
      </c>
      <c r="K899" s="798">
        <f>DYNVISC.a/(Rho.a*L895)</f>
        <v>18210.280878111273</v>
      </c>
      <c r="L899" s="794">
        <f t="shared" si="55"/>
        <v>18210.280878111273</v>
      </c>
      <c r="M899" s="796" t="s">
        <v>291</v>
      </c>
      <c r="N899" s="797"/>
      <c r="O899" s="799"/>
      <c r="P899" s="797"/>
    </row>
    <row r="900" spans="1:16" ht="12.75" customHeight="1" x14ac:dyDescent="0.3">
      <c r="A900" s="797"/>
      <c r="B900" s="797"/>
      <c r="C900" s="797" t="s">
        <v>1584</v>
      </c>
      <c r="D900" s="797"/>
      <c r="E900" s="797"/>
      <c r="F900" s="797"/>
      <c r="G900" s="796" t="s">
        <v>3431</v>
      </c>
      <c r="H900" s="796" t="s">
        <v>291</v>
      </c>
      <c r="I900" s="900"/>
      <c r="J900" s="792" t="str">
        <f>IF(ISBLANK(HLOOKUP(CaseName,CaseData,MATCH($G900,cases!$G$4:$G$2494,0),FALSE)),"",HLOOKUP(CaseName,CaseData,MATCH($G900,cases!$G$4:$G$2494,0),FALSE))</f>
        <v/>
      </c>
      <c r="K900" s="798">
        <f>(4/(L877*L899))*(1+0.4*(L877^0.5*L899^(1/3))+0.16*(L877^0.5*L899^0.5))</f>
        <v>2.6944135017987098E-4</v>
      </c>
      <c r="L900" s="794">
        <f t="shared" si="55"/>
        <v>2.6944135017987098E-4</v>
      </c>
      <c r="M900" s="796" t="s">
        <v>291</v>
      </c>
      <c r="N900" s="797"/>
      <c r="O900" s="799"/>
      <c r="P900" s="797"/>
    </row>
    <row r="901" spans="1:16" ht="12.75" customHeight="1" x14ac:dyDescent="0.3">
      <c r="A901" s="797"/>
      <c r="B901" s="797"/>
      <c r="C901" s="797" t="s">
        <v>1586</v>
      </c>
      <c r="D901" s="797"/>
      <c r="E901" s="797"/>
      <c r="F901" s="797"/>
      <c r="G901" s="796" t="s">
        <v>3432</v>
      </c>
      <c r="H901" s="796" t="s">
        <v>291</v>
      </c>
      <c r="I901" s="900"/>
      <c r="J901" s="792" t="str">
        <f>IF(ISBLANK(HLOOKUP(CaseName,CaseData,MATCH($G901,cases!$G$4:$G$2494,0),FALSE)),"",HLOOKUP(CaseName,CaseData,MATCH($G901,cases!$G$4:$G$2494,0),FALSE))</f>
        <v/>
      </c>
      <c r="K901" s="798">
        <f>4*(L879/L871)*((DYNVISC.a/DYNVISC.w)+(1+2*L877^0.5*(L879/L871)))</f>
        <v>4.2452362023354448E-4</v>
      </c>
      <c r="L901" s="794">
        <f t="shared" si="55"/>
        <v>4.2452362023354448E-4</v>
      </c>
      <c r="M901" s="796" t="s">
        <v>291</v>
      </c>
      <c r="N901" s="797"/>
      <c r="O901" s="799"/>
      <c r="P901" s="797"/>
    </row>
    <row r="902" spans="1:16" ht="12.75" customHeight="1" x14ac:dyDescent="0.3">
      <c r="A902" s="797"/>
      <c r="B902" s="797"/>
      <c r="C902" s="797" t="s">
        <v>1588</v>
      </c>
      <c r="D902" s="797"/>
      <c r="E902" s="797"/>
      <c r="F902" s="797"/>
      <c r="G902" s="796" t="s">
        <v>3433</v>
      </c>
      <c r="H902" s="796" t="s">
        <v>291</v>
      </c>
      <c r="I902" s="900"/>
      <c r="J902" s="792" t="str">
        <f>IF(ISBLANK(HLOOKUP(CaseName,CaseData,MATCH($G902,cases!$G$4:$G$2494,0),FALSE)),"",HLOOKUP(CaseName,CaseData,MATCH($G902,cases!$G$4:$G$2494,0),FALSE))</f>
        <v/>
      </c>
      <c r="K902" s="798">
        <f>IF(L897&gt;L876,((L897-L876)/(L897-L876+2/3))^(3/2),0)</f>
        <v>0</v>
      </c>
      <c r="L902" s="794">
        <f t="shared" si="55"/>
        <v>0</v>
      </c>
      <c r="M902" s="796" t="s">
        <v>291</v>
      </c>
      <c r="N902" s="797"/>
      <c r="O902" s="799"/>
      <c r="P902" s="797"/>
    </row>
    <row r="903" spans="1:16" ht="12.75" customHeight="1" x14ac:dyDescent="0.3">
      <c r="A903" s="797"/>
      <c r="B903" s="797"/>
      <c r="C903" s="797" t="s">
        <v>1590</v>
      </c>
      <c r="D903" s="797"/>
      <c r="E903" s="797"/>
      <c r="F903" s="797"/>
      <c r="G903" s="796" t="s">
        <v>3434</v>
      </c>
      <c r="H903" s="796" t="s">
        <v>291</v>
      </c>
      <c r="I903" s="900"/>
      <c r="J903" s="792" t="str">
        <f>IF(ISBLANK(HLOOKUP(CaseName,CaseData,MATCH($G903,cases!$G$4:$G$2494,0),FALSE)),"",HLOOKUP(CaseName,CaseData,MATCH($G903,cases!$G$4:$G$2494,0),FALSE))</f>
        <v/>
      </c>
      <c r="K903" s="798">
        <f>L900+L901+L902</f>
        <v>6.9396497041341546E-4</v>
      </c>
      <c r="L903" s="794">
        <f t="shared" si="55"/>
        <v>6.9396497041341546E-4</v>
      </c>
      <c r="M903" s="796" t="s">
        <v>291</v>
      </c>
      <c r="N903" s="797"/>
      <c r="O903" s="799"/>
      <c r="P903" s="797"/>
    </row>
    <row r="904" spans="1:16" ht="12.75" customHeight="1" x14ac:dyDescent="0.3">
      <c r="A904" s="797" t="s">
        <v>1607</v>
      </c>
      <c r="B904" s="797"/>
      <c r="C904" s="797"/>
      <c r="D904" s="797"/>
      <c r="E904" s="797"/>
      <c r="F904" s="797"/>
      <c r="G904" s="796" t="s">
        <v>3435</v>
      </c>
      <c r="H904" s="796" t="s">
        <v>335</v>
      </c>
      <c r="I904" s="900"/>
      <c r="J904" s="792" t="str">
        <f>IF(ISBLANK(HLOOKUP(CaseName,CaseData,MATCH($G904,cases!$G$4:$G$2494,0),FALSE)),"",HLOOKUP(CaseName,CaseData,MATCH($G904,cases!$G$4:$G$2494,0),FALSE))</f>
        <v/>
      </c>
      <c r="K904" s="798">
        <f>((L730+L731)/L731*L736*L737)/L665</f>
        <v>1.374090985963132E-4</v>
      </c>
      <c r="L904" s="794">
        <f t="shared" si="55"/>
        <v>1.374090985963132E-4</v>
      </c>
      <c r="M904" s="797" t="s">
        <v>335</v>
      </c>
      <c r="N904" s="797" t="s">
        <v>1609</v>
      </c>
      <c r="O904" s="799"/>
      <c r="P904" s="797"/>
    </row>
    <row r="905" spans="1:16" ht="12.75" customHeight="1" x14ac:dyDescent="0.3">
      <c r="A905" s="797" t="s">
        <v>2784</v>
      </c>
      <c r="B905" s="797"/>
      <c r="C905" s="797"/>
      <c r="D905" s="797"/>
      <c r="E905" s="797"/>
      <c r="F905" s="797"/>
      <c r="G905" s="796" t="s">
        <v>3436</v>
      </c>
      <c r="H905" s="796" t="s">
        <v>335</v>
      </c>
      <c r="I905" s="900"/>
      <c r="J905" s="792" t="str">
        <f>IF(ISBLANK(HLOOKUP(CaseName,CaseData,MATCH($G905,cases!$G$4:$G$2494,0),FALSE)),"",HLOOKUP(CaseName,CaseData,MATCH($G905,cases!$G$4:$G$2494,0),FALSE))</f>
        <v/>
      </c>
      <c r="K905" s="798">
        <f>(L906*L664*L662)/(L656)</f>
        <v>4.8775657264778764E-7</v>
      </c>
      <c r="L905" s="794">
        <f t="shared" si="55"/>
        <v>4.8775657264778764E-7</v>
      </c>
      <c r="M905" s="796" t="s">
        <v>335</v>
      </c>
      <c r="N905" s="797"/>
      <c r="O905" s="799"/>
      <c r="P905" s="797"/>
    </row>
    <row r="906" spans="1:16" ht="12.75" customHeight="1" x14ac:dyDescent="0.3">
      <c r="A906" s="797"/>
      <c r="B906" s="797" t="s">
        <v>1612</v>
      </c>
      <c r="C906" s="797"/>
      <c r="D906" s="797"/>
      <c r="E906" s="797"/>
      <c r="F906" s="797"/>
      <c r="G906" s="796" t="s">
        <v>3437</v>
      </c>
      <c r="H906" s="796" t="s">
        <v>866</v>
      </c>
      <c r="I906" s="900"/>
      <c r="J906" s="792" t="str">
        <f>IF(ISBLANK(HLOOKUP(CaseName,CaseData,MATCH($G906,cases!$G$4:$G$2494,0),FALSE)),"",HLOOKUP(CaseName,CaseData,MATCH($G906,cases!$G$4:$G$2494,0),FALSE))</f>
        <v/>
      </c>
      <c r="K906" s="798">
        <f>1/(L907+L908)+L887</f>
        <v>1.6258547544027193E-3</v>
      </c>
      <c r="L906" s="794">
        <f t="shared" si="55"/>
        <v>1.6258547544027193E-3</v>
      </c>
      <c r="M906" s="796" t="s">
        <v>866</v>
      </c>
      <c r="N906" s="797"/>
      <c r="O906" s="799"/>
      <c r="P906" s="797"/>
    </row>
    <row r="907" spans="1:16" ht="12.75" customHeight="1" x14ac:dyDescent="0.3">
      <c r="A907" s="797"/>
      <c r="B907" s="797" t="s">
        <v>1614</v>
      </c>
      <c r="C907" s="797"/>
      <c r="D907" s="797"/>
      <c r="E907" s="797"/>
      <c r="F907" s="797"/>
      <c r="G907" s="796" t="s">
        <v>3438</v>
      </c>
      <c r="H907" s="796" t="s">
        <v>1616</v>
      </c>
      <c r="I907" s="900"/>
      <c r="J907" s="792" t="str">
        <f>IF(ISBLANK(HLOOKUP(CaseName,CaseData,MATCH($G907,cases!$G$4:$G$2494,0),FALSE)),"",HLOOKUP(CaseName,CaseData,MATCH($G907,cases!$G$4:$G$2494,0),FALSE))</f>
        <v/>
      </c>
      <c r="K907" s="798">
        <v>74</v>
      </c>
      <c r="L907" s="794">
        <f t="shared" si="55"/>
        <v>74</v>
      </c>
      <c r="M907" s="796" t="s">
        <v>1616</v>
      </c>
      <c r="N907" s="797"/>
      <c r="O907" s="799" t="s">
        <v>1617</v>
      </c>
      <c r="P907" s="797" t="s">
        <v>1618</v>
      </c>
    </row>
    <row r="908" spans="1:16" ht="12.75" customHeight="1" x14ac:dyDescent="0.3">
      <c r="A908" s="797"/>
      <c r="B908" s="797" t="s">
        <v>1619</v>
      </c>
      <c r="C908" s="797"/>
      <c r="D908" s="797"/>
      <c r="E908" s="797"/>
      <c r="F908" s="797"/>
      <c r="G908" s="796" t="s">
        <v>3439</v>
      </c>
      <c r="H908" s="796" t="s">
        <v>1616</v>
      </c>
      <c r="I908" s="900"/>
      <c r="J908" s="792" t="str">
        <f>IF(ISBLANK(HLOOKUP(CaseName,CaseData,MATCH($G908,cases!$G$4:$G$2494,0),FALSE)),"",HLOOKUP(CaseName,CaseData,MATCH($G908,cases!$G$4:$G$2494,0),FALSE))</f>
        <v/>
      </c>
      <c r="K908" s="798">
        <f>1/(L909*(L910+L911+L915))</f>
        <v>541.2866578580506</v>
      </c>
      <c r="L908" s="794">
        <f t="shared" si="55"/>
        <v>541.2866578580506</v>
      </c>
      <c r="M908" s="796" t="s">
        <v>1616</v>
      </c>
      <c r="N908" s="797"/>
      <c r="O908" s="799" t="s">
        <v>1621</v>
      </c>
      <c r="P908" s="797"/>
    </row>
    <row r="909" spans="1:16" ht="12.75" customHeight="1" x14ac:dyDescent="0.3">
      <c r="A909" s="797"/>
      <c r="B909" s="797"/>
      <c r="C909" s="797" t="s">
        <v>1622</v>
      </c>
      <c r="D909" s="797"/>
      <c r="E909" s="797"/>
      <c r="F909" s="797"/>
      <c r="G909" s="796" t="s">
        <v>3440</v>
      </c>
      <c r="H909" s="796" t="s">
        <v>866</v>
      </c>
      <c r="I909" s="900"/>
      <c r="J909" s="792" t="str">
        <f>IF(ISBLANK(HLOOKUP(CaseName,CaseData,MATCH($G909,cases!$G$4:$G$2494,0),FALSE)),"",HLOOKUP(CaseName,CaseData,MATCH($G909,cases!$G$4:$G$2494,0),FALSE))</f>
        <v/>
      </c>
      <c r="K909" s="798">
        <v>0.19</v>
      </c>
      <c r="L909" s="794">
        <f t="shared" si="55"/>
        <v>0.19</v>
      </c>
      <c r="M909" s="796" t="s">
        <v>866</v>
      </c>
      <c r="N909" s="797"/>
      <c r="O909" s="799" t="s">
        <v>1624</v>
      </c>
      <c r="P909" s="797" t="s">
        <v>1625</v>
      </c>
    </row>
    <row r="910" spans="1:16" ht="12.75" customHeight="1" x14ac:dyDescent="0.3">
      <c r="A910" s="797"/>
      <c r="B910" s="797"/>
      <c r="C910" s="797" t="s">
        <v>1584</v>
      </c>
      <c r="D910" s="797"/>
      <c r="E910" s="797"/>
      <c r="F910" s="797"/>
      <c r="G910" s="796" t="s">
        <v>3441</v>
      </c>
      <c r="H910" s="796" t="s">
        <v>291</v>
      </c>
      <c r="I910" s="900"/>
      <c r="J910" s="792" t="str">
        <f>IF(ISBLANK(HLOOKUP(CaseName,CaseData,MATCH($G910,cases!$G$4:$G$2494,0),FALSE)),"",HLOOKUP(CaseName,CaseData,MATCH($G910,cases!$G$4:$G$2494,0),FALSE))</f>
        <v/>
      </c>
      <c r="K910" s="798">
        <f>L888^(-2/3)</f>
        <v>9.698594699506043E-3</v>
      </c>
      <c r="L910" s="794">
        <f t="shared" si="55"/>
        <v>9.698594699506043E-3</v>
      </c>
      <c r="M910" s="796" t="s">
        <v>291</v>
      </c>
      <c r="N910" s="797"/>
      <c r="O910" s="799" t="s">
        <v>1621</v>
      </c>
      <c r="P910" s="797" t="s">
        <v>1627</v>
      </c>
    </row>
    <row r="911" spans="1:16" ht="12.75" customHeight="1" x14ac:dyDescent="0.3">
      <c r="A911" s="797"/>
      <c r="B911" s="797"/>
      <c r="C911" s="797" t="s">
        <v>1586</v>
      </c>
      <c r="D911" s="797"/>
      <c r="E911" s="797"/>
      <c r="F911" s="797"/>
      <c r="G911" s="796" t="s">
        <v>3442</v>
      </c>
      <c r="H911" s="796" t="s">
        <v>291</v>
      </c>
      <c r="I911" s="900"/>
      <c r="J911" s="792" t="str">
        <f>IF(ISBLANK(HLOOKUP(CaseName,CaseData,MATCH($G911,cases!$G$4:$G$2494,0),FALSE)),"",HLOOKUP(CaseName,CaseData,MATCH($G911,cases!$G$4:$G$2494,0),FALSE))</f>
        <v/>
      </c>
      <c r="K911" s="798">
        <f>0.3*(L914*(RadS/(RadS+L912))+(1-L914)*(RadS/(RadS+L913)))</f>
        <v>8.9368841993789489E-6</v>
      </c>
      <c r="L911" s="794">
        <f t="shared" si="55"/>
        <v>8.9368841993789489E-6</v>
      </c>
      <c r="M911" s="796" t="s">
        <v>291</v>
      </c>
      <c r="N911" s="797"/>
      <c r="O911" s="799" t="s">
        <v>1621</v>
      </c>
      <c r="P911" s="797" t="s">
        <v>1627</v>
      </c>
    </row>
    <row r="912" spans="1:16" ht="12.75" customHeight="1" x14ac:dyDescent="0.3">
      <c r="A912" s="797"/>
      <c r="B912" s="797"/>
      <c r="C912" s="797"/>
      <c r="D912" s="797" t="s">
        <v>1629</v>
      </c>
      <c r="E912" s="797"/>
      <c r="F912" s="797"/>
      <c r="G912" s="796" t="s">
        <v>3443</v>
      </c>
      <c r="H912" s="796" t="s">
        <v>813</v>
      </c>
      <c r="I912" s="900"/>
      <c r="J912" s="792" t="str">
        <f>IF(ISBLANK(HLOOKUP(CaseName,CaseData,MATCH($G912,cases!$G$4:$G$2494,0),FALSE)),"",HLOOKUP(CaseName,CaseData,MATCH($G912,cases!$G$4:$G$2494,0),FALSE))</f>
        <v/>
      </c>
      <c r="K912" s="798">
        <f>1*10^-5</f>
        <v>1.0000000000000001E-5</v>
      </c>
      <c r="L912" s="794">
        <f t="shared" si="55"/>
        <v>1.0000000000000001E-5</v>
      </c>
      <c r="M912" s="796" t="s">
        <v>813</v>
      </c>
      <c r="N912" s="797"/>
      <c r="O912" s="799" t="s">
        <v>1617</v>
      </c>
      <c r="P912" s="797" t="s">
        <v>1627</v>
      </c>
    </row>
    <row r="913" spans="1:16" ht="12.75" customHeight="1" x14ac:dyDescent="0.3">
      <c r="A913" s="797"/>
      <c r="B913" s="797"/>
      <c r="C913" s="797"/>
      <c r="D913" s="797" t="s">
        <v>1631</v>
      </c>
      <c r="E913" s="797"/>
      <c r="F913" s="797"/>
      <c r="G913" s="796" t="s">
        <v>3444</v>
      </c>
      <c r="H913" s="796" t="s">
        <v>813</v>
      </c>
      <c r="I913" s="900"/>
      <c r="J913" s="792" t="str">
        <f>IF(ISBLANK(HLOOKUP(CaseName,CaseData,MATCH($G913,cases!$G$4:$G$2494,0),FALSE)),"",HLOOKUP(CaseName,CaseData,MATCH($G913,cases!$G$4:$G$2494,0),FALSE))</f>
        <v/>
      </c>
      <c r="K913" s="798">
        <f>0.0005</f>
        <v>5.0000000000000001E-4</v>
      </c>
      <c r="L913" s="794">
        <f t="shared" si="55"/>
        <v>5.0000000000000001E-4</v>
      </c>
      <c r="M913" s="796" t="s">
        <v>813</v>
      </c>
      <c r="N913" s="797"/>
      <c r="O913" s="799" t="s">
        <v>1617</v>
      </c>
      <c r="P913" s="797" t="s">
        <v>1627</v>
      </c>
    </row>
    <row r="914" spans="1:16" ht="12.75" customHeight="1" x14ac:dyDescent="0.3">
      <c r="A914" s="797"/>
      <c r="B914" s="797"/>
      <c r="C914" s="797"/>
      <c r="D914" s="797" t="s">
        <v>1633</v>
      </c>
      <c r="E914" s="797"/>
      <c r="F914" s="797"/>
      <c r="G914" s="796" t="s">
        <v>3445</v>
      </c>
      <c r="H914" s="796" t="s">
        <v>291</v>
      </c>
      <c r="I914" s="900"/>
      <c r="J914" s="792" t="str">
        <f>IF(ISBLANK(HLOOKUP(CaseName,CaseData,MATCH($G914,cases!$G$4:$G$2494,0),FALSE)),"",HLOOKUP(CaseName,CaseData,MATCH($G914,cases!$G$4:$G$2494,0),FALSE))</f>
        <v/>
      </c>
      <c r="K914" s="798">
        <v>0.01</v>
      </c>
      <c r="L914" s="794">
        <f t="shared" si="55"/>
        <v>0.01</v>
      </c>
      <c r="M914" s="796" t="s">
        <v>291</v>
      </c>
      <c r="N914" s="797"/>
      <c r="O914" s="799" t="s">
        <v>1617</v>
      </c>
      <c r="P914" s="797" t="s">
        <v>1635</v>
      </c>
    </row>
    <row r="915" spans="1:16" ht="12.75" customHeight="1" x14ac:dyDescent="0.3">
      <c r="A915" s="797"/>
      <c r="B915" s="797"/>
      <c r="C915" s="797" t="s">
        <v>1588</v>
      </c>
      <c r="D915" s="797"/>
      <c r="E915" s="797"/>
      <c r="F915" s="797"/>
      <c r="G915" s="796" t="s">
        <v>3446</v>
      </c>
      <c r="H915" s="796" t="s">
        <v>291</v>
      </c>
      <c r="I915" s="900"/>
      <c r="J915" s="792" t="str">
        <f>IF(ISBLANK(HLOOKUP(CaseName,CaseData,MATCH($G915,cases!$G$4:$G$2494,0),FALSE)),"",HLOOKUP(CaseName,CaseData,MATCH($G915,cases!$G$4:$G$2494,0),FALSE))</f>
        <v/>
      </c>
      <c r="K915" s="798">
        <f>(L886/(L886+0.8))^2</f>
        <v>1.5889118301008864E-5</v>
      </c>
      <c r="L915" s="794">
        <f t="shared" si="55"/>
        <v>1.5889118301008864E-5</v>
      </c>
      <c r="M915" s="796" t="s">
        <v>291</v>
      </c>
      <c r="N915" s="797"/>
      <c r="O915" s="799" t="s">
        <v>1621</v>
      </c>
      <c r="P915" s="797" t="s">
        <v>1627</v>
      </c>
    </row>
    <row r="916" spans="1:16" ht="12.75" customHeight="1" x14ac:dyDescent="0.3">
      <c r="A916" s="797" t="s">
        <v>2796</v>
      </c>
      <c r="B916" s="797"/>
      <c r="C916" s="797"/>
      <c r="D916" s="797"/>
      <c r="E916" s="797"/>
      <c r="F916" s="797"/>
      <c r="G916" s="796" t="s">
        <v>3447</v>
      </c>
      <c r="H916" s="796" t="s">
        <v>335</v>
      </c>
      <c r="I916" s="900"/>
      <c r="J916" s="792" t="str">
        <f>IF(ISBLANK(HLOOKUP(CaseName,CaseData,MATCH($G916,cases!$G$4:$G$2494,0),FALSE)),"",HLOOKUP(CaseName,CaseData,MATCH($G916,cases!$G$4:$G$2494,0),FALSE))</f>
        <v/>
      </c>
      <c r="K916" s="798">
        <f>(L917*L664*L662)/(L656)</f>
        <v>8.9133054629889677E-8</v>
      </c>
      <c r="L916" s="794">
        <f t="shared" ref="L916:L947" si="56">IF(ISBLANK(I916),IF(ISNUMBER(J916)=FALSE,K916,J916),I916)</f>
        <v>8.9133054629889677E-8</v>
      </c>
      <c r="M916" s="796" t="s">
        <v>335</v>
      </c>
      <c r="N916" s="797"/>
      <c r="O916" s="799"/>
      <c r="P916" s="797"/>
    </row>
    <row r="917" spans="1:16" ht="12.75" customHeight="1" x14ac:dyDescent="0.3">
      <c r="A917" s="797"/>
      <c r="B917" s="797" t="s">
        <v>1612</v>
      </c>
      <c r="C917" s="797"/>
      <c r="D917" s="797"/>
      <c r="E917" s="797"/>
      <c r="F917" s="797"/>
      <c r="G917" s="796" t="s">
        <v>3448</v>
      </c>
      <c r="H917" s="796" t="s">
        <v>866</v>
      </c>
      <c r="I917" s="900"/>
      <c r="J917" s="792" t="str">
        <f>IF(ISBLANK(HLOOKUP(CaseName,CaseData,MATCH($G917,cases!$G$4:$G$2494,0),FALSE)),"",HLOOKUP(CaseName,CaseData,MATCH($G917,cases!$G$4:$G$2494,0),FALSE))</f>
        <v/>
      </c>
      <c r="K917" s="798">
        <f>1/(L907+L918)+L898</f>
        <v>2.9711009296657753E-4</v>
      </c>
      <c r="L917" s="794">
        <f t="shared" si="56"/>
        <v>2.9711009296657753E-4</v>
      </c>
      <c r="M917" s="796" t="s">
        <v>866</v>
      </c>
      <c r="N917" s="797"/>
      <c r="O917" s="799"/>
      <c r="P917" s="797"/>
    </row>
    <row r="918" spans="1:16" ht="12.75" customHeight="1" x14ac:dyDescent="0.3">
      <c r="A918" s="797"/>
      <c r="B918" s="797" t="s">
        <v>1619</v>
      </c>
      <c r="C918" s="797"/>
      <c r="D918" s="797"/>
      <c r="E918" s="797"/>
      <c r="F918" s="797"/>
      <c r="G918" s="796" t="s">
        <v>3449</v>
      </c>
      <c r="H918" s="796" t="s">
        <v>1616</v>
      </c>
      <c r="I918" s="900"/>
      <c r="J918" s="792" t="str">
        <f>IF(ISBLANK(HLOOKUP(CaseName,CaseData,MATCH($G918,cases!$G$4:$G$2494,0),FALSE)),"",HLOOKUP(CaseName,CaseData,MATCH($G918,cases!$G$4:$G$2494,0),FALSE))</f>
        <v/>
      </c>
      <c r="K918" s="798">
        <f>1/(L909*(L919+L920+L921))</f>
        <v>3309.3178745731957</v>
      </c>
      <c r="L918" s="794">
        <f t="shared" si="56"/>
        <v>3309.3178745731957</v>
      </c>
      <c r="M918" s="796" t="s">
        <v>1616</v>
      </c>
      <c r="N918" s="797"/>
      <c r="O918" s="799"/>
      <c r="P918" s="797"/>
    </row>
    <row r="919" spans="1:16" ht="12.75" customHeight="1" x14ac:dyDescent="0.3">
      <c r="A919" s="797"/>
      <c r="B919" s="797"/>
      <c r="C919" s="797" t="s">
        <v>1584</v>
      </c>
      <c r="D919" s="797"/>
      <c r="E919" s="797"/>
      <c r="F919" s="797"/>
      <c r="G919" s="796" t="s">
        <v>3450</v>
      </c>
      <c r="H919" s="796" t="s">
        <v>291</v>
      </c>
      <c r="I919" s="900"/>
      <c r="J919" s="792" t="str">
        <f>IF(ISBLANK(HLOOKUP(CaseName,CaseData,MATCH($G919,cases!$G$4:$G$2494,0),FALSE)),"",HLOOKUP(CaseName,CaseData,MATCH($G919,cases!$G$4:$G$2494,0),FALSE))</f>
        <v/>
      </c>
      <c r="K919" s="798">
        <f>L899^(-2/3)</f>
        <v>1.4447373605718451E-3</v>
      </c>
      <c r="L919" s="794">
        <f t="shared" si="56"/>
        <v>1.4447373605718451E-3</v>
      </c>
      <c r="M919" s="796" t="s">
        <v>291</v>
      </c>
      <c r="N919" s="797"/>
      <c r="O919" s="799"/>
      <c r="P919" s="797" t="s">
        <v>1627</v>
      </c>
    </row>
    <row r="920" spans="1:16" ht="12.75" customHeight="1" x14ac:dyDescent="0.3">
      <c r="A920" s="797"/>
      <c r="B920" s="797"/>
      <c r="C920" s="797" t="s">
        <v>1586</v>
      </c>
      <c r="D920" s="797"/>
      <c r="E920" s="797"/>
      <c r="F920" s="797"/>
      <c r="G920" s="796" t="s">
        <v>3451</v>
      </c>
      <c r="H920" s="796" t="s">
        <v>291</v>
      </c>
      <c r="I920" s="900"/>
      <c r="J920" s="792" t="str">
        <f>IF(ISBLANK(HLOOKUP(CaseName,CaseData,MATCH($G920,cases!$G$4:$G$2494,0),FALSE)),"",HLOOKUP(CaseName,CaseData,MATCH($G920,cases!$G$4:$G$2494,0),FALSE))</f>
        <v/>
      </c>
      <c r="K920" s="798">
        <f>0.3*(L914*(L879/(L879+L912))+(1-L914)*(L879/(L879+L913)))</f>
        <v>4.062510531885534E-5</v>
      </c>
      <c r="L920" s="794">
        <f t="shared" si="56"/>
        <v>4.062510531885534E-5</v>
      </c>
      <c r="M920" s="796" t="s">
        <v>291</v>
      </c>
      <c r="N920" s="797"/>
      <c r="O920" s="799"/>
      <c r="P920" s="797" t="s">
        <v>1627</v>
      </c>
    </row>
    <row r="921" spans="1:16" ht="12.75" customHeight="1" x14ac:dyDescent="0.3">
      <c r="A921" s="797"/>
      <c r="B921" s="797"/>
      <c r="C921" s="797" t="s">
        <v>1588</v>
      </c>
      <c r="D921" s="797"/>
      <c r="E921" s="797"/>
      <c r="F921" s="797"/>
      <c r="G921" s="796" t="s">
        <v>3452</v>
      </c>
      <c r="H921" s="796" t="s">
        <v>291</v>
      </c>
      <c r="I921" s="900"/>
      <c r="J921" s="792" t="str">
        <f>IF(ISBLANK(HLOOKUP(CaseName,CaseData,MATCH($G921,cases!$G$4:$G$2494,0),FALSE)),"",HLOOKUP(CaseName,CaseData,MATCH($G921,cases!$G$4:$G$2494,0),FALSE))</f>
        <v/>
      </c>
      <c r="K921" s="798">
        <f>(L897/(L897+0.8))^2</f>
        <v>1.0504319902767291E-4</v>
      </c>
      <c r="L921" s="794">
        <f t="shared" si="56"/>
        <v>1.0504319902767291E-4</v>
      </c>
      <c r="M921" s="796" t="s">
        <v>291</v>
      </c>
      <c r="N921" s="797"/>
      <c r="O921" s="799"/>
      <c r="P921" s="797" t="s">
        <v>1627</v>
      </c>
    </row>
    <row r="922" spans="1:16" ht="12.75" customHeight="1" x14ac:dyDescent="0.3">
      <c r="A922" s="797" t="s">
        <v>2803</v>
      </c>
      <c r="B922" s="797"/>
      <c r="C922" s="797"/>
      <c r="D922" s="797"/>
      <c r="E922" s="797"/>
      <c r="F922" s="797"/>
      <c r="G922" s="796" t="s">
        <v>3453</v>
      </c>
      <c r="H922" s="796" t="s">
        <v>335</v>
      </c>
      <c r="I922" s="900"/>
      <c r="J922" s="792" t="str">
        <f>IF(ISBLANK(HLOOKUP(CaseName,CaseData,MATCH($G922,cases!$G$4:$G$2494,0),FALSE)),"",HLOOKUP(CaseName,CaseData,MATCH($G922,cases!$G$4:$G$2494,0),FALSE))</f>
        <v/>
      </c>
      <c r="K922" s="798">
        <f>(L735*L664*L662)/(L656)</f>
        <v>3.0000009000002699E-7</v>
      </c>
      <c r="L922" s="794">
        <f t="shared" si="56"/>
        <v>3.0000009000002699E-7</v>
      </c>
      <c r="M922" s="796" t="s">
        <v>335</v>
      </c>
      <c r="N922" s="797" t="s">
        <v>2353</v>
      </c>
      <c r="O922" s="799"/>
      <c r="P922" s="797"/>
    </row>
    <row r="923" spans="1:16" ht="12.75" customHeight="1" x14ac:dyDescent="0.3">
      <c r="A923" s="797" t="s">
        <v>2805</v>
      </c>
      <c r="B923" s="797"/>
      <c r="C923" s="797"/>
      <c r="D923" s="797"/>
      <c r="E923" s="797"/>
      <c r="F923" s="797"/>
      <c r="G923" s="796" t="s">
        <v>3454</v>
      </c>
      <c r="H923" s="796" t="s">
        <v>335</v>
      </c>
      <c r="I923" s="900"/>
      <c r="J923" s="792" t="str">
        <f>IF(ISBLANK(HLOOKUP(CaseName,CaseData,MATCH($G923,cases!$G$4:$G$2494,0),FALSE)),"",HLOOKUP(CaseName,CaseData,MATCH($G923,cases!$G$4:$G$2494,0),FALSE))</f>
        <v/>
      </c>
      <c r="K923" s="798">
        <f>(L924*L663*L662)/(L656)</f>
        <v>2.2932442254001529E-6</v>
      </c>
      <c r="L923" s="794">
        <f t="shared" si="56"/>
        <v>2.2932442254001529E-6</v>
      </c>
      <c r="M923" s="796" t="s">
        <v>335</v>
      </c>
      <c r="N923" s="797"/>
      <c r="O923" s="799"/>
      <c r="P923" s="797"/>
    </row>
    <row r="924" spans="1:16" ht="12.75" customHeight="1" x14ac:dyDescent="0.3">
      <c r="A924" s="797"/>
      <c r="B924" s="797" t="s">
        <v>1612</v>
      </c>
      <c r="C924" s="797"/>
      <c r="D924" s="797"/>
      <c r="E924" s="797"/>
      <c r="F924" s="797"/>
      <c r="G924" s="796" t="s">
        <v>3455</v>
      </c>
      <c r="H924" s="796" t="s">
        <v>866</v>
      </c>
      <c r="I924" s="900"/>
      <c r="J924" s="792" t="str">
        <f>IF(ISBLANK(HLOOKUP(CaseName,CaseData,MATCH($G924,cases!$G$4:$G$2494,0),FALSE)),"",HLOOKUP(CaseName,CaseData,MATCH($G924,cases!$G$4:$G$2494,0),FALSE))</f>
        <v/>
      </c>
      <c r="K924" s="798">
        <f>1/(L925+L926)+L887</f>
        <v>3.2760621963241216E-3</v>
      </c>
      <c r="L924" s="794">
        <f t="shared" si="56"/>
        <v>3.2760621963241216E-3</v>
      </c>
      <c r="M924" s="796" t="s">
        <v>866</v>
      </c>
      <c r="N924" s="797"/>
      <c r="O924" s="799"/>
      <c r="P924" s="797"/>
    </row>
    <row r="925" spans="1:16" ht="12.75" customHeight="1" x14ac:dyDescent="0.3">
      <c r="A925" s="797"/>
      <c r="B925" s="797"/>
      <c r="C925" s="797" t="s">
        <v>1708</v>
      </c>
      <c r="D925" s="797"/>
      <c r="E925" s="797"/>
      <c r="F925" s="797"/>
      <c r="G925" s="797" t="s">
        <v>3456</v>
      </c>
      <c r="H925" s="796" t="s">
        <v>1616</v>
      </c>
      <c r="I925" s="900"/>
      <c r="J925" s="792" t="str">
        <f>IF(ISBLANK(HLOOKUP(CaseName,CaseData,MATCH($G925,cases!$G$4:$G$2494,0),FALSE)),"",HLOOKUP(CaseName,CaseData,MATCH($G925,cases!$G$4:$G$2494,0),FALSE))</f>
        <v/>
      </c>
      <c r="K925" s="798">
        <v>135</v>
      </c>
      <c r="L925" s="794">
        <f t="shared" si="56"/>
        <v>135</v>
      </c>
      <c r="M925" s="796" t="s">
        <v>1616</v>
      </c>
      <c r="N925" s="797"/>
      <c r="O925" s="799"/>
      <c r="P925" s="797" t="s">
        <v>1618</v>
      </c>
    </row>
    <row r="926" spans="1:16" ht="12.75" customHeight="1" x14ac:dyDescent="0.3">
      <c r="A926" s="797"/>
      <c r="B926" s="797"/>
      <c r="C926" s="797" t="s">
        <v>2809</v>
      </c>
      <c r="D926" s="797"/>
      <c r="E926" s="797"/>
      <c r="F926" s="797"/>
      <c r="G926" s="796" t="s">
        <v>3457</v>
      </c>
      <c r="H926" s="796" t="s">
        <v>1616</v>
      </c>
      <c r="I926" s="900"/>
      <c r="J926" s="792" t="str">
        <f>IF(ISBLANK(HLOOKUP(CaseName,CaseData,MATCH($G926,cases!$G$4:$G$2494,0),FALSE)),"",HLOOKUP(CaseName,CaseData,MATCH($G926,cases!$G$4:$G$2494,0),FALSE))</f>
        <v/>
      </c>
      <c r="K926" s="798">
        <f>1/(L927*(L928+L929))</f>
        <v>170.30005609410262</v>
      </c>
      <c r="L926" s="794">
        <f t="shared" si="56"/>
        <v>170.30005609410262</v>
      </c>
      <c r="M926" s="796" t="s">
        <v>1616</v>
      </c>
      <c r="N926" s="797"/>
      <c r="O926" s="799"/>
      <c r="P926" s="797"/>
    </row>
    <row r="927" spans="1:16" ht="12.75" customHeight="1" x14ac:dyDescent="0.3">
      <c r="A927" s="797"/>
      <c r="B927" s="797"/>
      <c r="C927" s="797" t="s">
        <v>1696</v>
      </c>
      <c r="D927" s="797"/>
      <c r="E927" s="797"/>
      <c r="F927" s="797"/>
      <c r="G927" s="796" t="s">
        <v>3458</v>
      </c>
      <c r="H927" s="796" t="s">
        <v>866</v>
      </c>
      <c r="I927" s="900"/>
      <c r="J927" s="792" t="str">
        <f>IF(ISBLANK(HLOOKUP(CaseName,CaseData,MATCH($G927,cases!$G$4:$G$2494,0),FALSE)),"",HLOOKUP(CaseName,CaseData,MATCH($G927,cases!$G$4:$G$2494,0),FALSE))</f>
        <v/>
      </c>
      <c r="K927" s="798">
        <v>0.19</v>
      </c>
      <c r="L927" s="794">
        <f t="shared" si="56"/>
        <v>0.19</v>
      </c>
      <c r="M927" s="796" t="s">
        <v>866</v>
      </c>
      <c r="N927" s="797"/>
      <c r="O927" s="799" t="s">
        <v>1624</v>
      </c>
      <c r="P927" s="797" t="s">
        <v>1625</v>
      </c>
    </row>
    <row r="928" spans="1:16" ht="12.75" customHeight="1" x14ac:dyDescent="0.3">
      <c r="A928" s="797"/>
      <c r="B928" s="797"/>
      <c r="C928" s="797"/>
      <c r="D928" s="797" t="s">
        <v>1584</v>
      </c>
      <c r="E928" s="797"/>
      <c r="F928" s="797"/>
      <c r="G928" s="796" t="s">
        <v>3459</v>
      </c>
      <c r="H928" s="796" t="s">
        <v>291</v>
      </c>
      <c r="I928" s="900"/>
      <c r="J928" s="792" t="str">
        <f>IF(ISBLANK(HLOOKUP(CaseName,CaseData,MATCH($G928,cases!$G$4:$G$2494,0),FALSE)),"",HLOOKUP(CaseName,CaseData,MATCH($G928,cases!$G$4:$G$2494,0),FALSE))</f>
        <v/>
      </c>
      <c r="K928" s="798">
        <f>L888^-(1/2)</f>
        <v>3.0905203529871896E-2</v>
      </c>
      <c r="L928" s="794">
        <f t="shared" si="56"/>
        <v>3.0905203529871896E-2</v>
      </c>
      <c r="M928" s="796" t="s">
        <v>291</v>
      </c>
      <c r="N928" s="797"/>
      <c r="O928" s="799"/>
      <c r="P928" s="797"/>
    </row>
    <row r="929" spans="1:18" ht="12.75" customHeight="1" x14ac:dyDescent="0.3">
      <c r="A929" s="797"/>
      <c r="B929" s="797"/>
      <c r="C929" s="797"/>
      <c r="D929" s="797" t="s">
        <v>1588</v>
      </c>
      <c r="E929" s="797"/>
      <c r="F929" s="797"/>
      <c r="G929" s="796" t="s">
        <v>3460</v>
      </c>
      <c r="H929" s="796" t="s">
        <v>291</v>
      </c>
      <c r="I929" s="900"/>
      <c r="J929" s="792" t="str">
        <f>IF(ISBLANK(HLOOKUP(CaseName,CaseData,MATCH($G929,cases!$G$4:$G$2494,0),FALSE)),"",HLOOKUP(CaseName,CaseData,MATCH($G929,cases!$G$4:$G$2494,0),FALSE))</f>
        <v/>
      </c>
      <c r="K929" s="798">
        <f>10^(-3/L886)</f>
        <v>0</v>
      </c>
      <c r="L929" s="794">
        <f t="shared" si="56"/>
        <v>0</v>
      </c>
      <c r="M929" s="796" t="s">
        <v>291</v>
      </c>
      <c r="N929" s="797"/>
      <c r="O929" s="799"/>
      <c r="P929" s="797"/>
    </row>
    <row r="930" spans="1:18" ht="12.75" customHeight="1" x14ac:dyDescent="0.3">
      <c r="A930" s="797" t="s">
        <v>2814</v>
      </c>
      <c r="B930" s="797"/>
      <c r="C930" s="797"/>
      <c r="D930" s="797"/>
      <c r="E930" s="797"/>
      <c r="F930" s="797"/>
      <c r="G930" s="797" t="s">
        <v>3461</v>
      </c>
      <c r="H930" s="796" t="s">
        <v>335</v>
      </c>
      <c r="I930" s="900"/>
      <c r="J930" s="792" t="str">
        <f>IF(ISBLANK(HLOOKUP(CaseName,CaseData,MATCH($G930,cases!$G$4:$G$2494,0),FALSE)),"",HLOOKUP(CaseName,CaseData,MATCH($G930,cases!$G$4:$G$2494,0),FALSE))</f>
        <v/>
      </c>
      <c r="K930" s="798">
        <f>L931*L663*L662/L656</f>
        <v>8.2924761578139136E-7</v>
      </c>
      <c r="L930" s="794">
        <f t="shared" si="56"/>
        <v>8.2924761578139136E-7</v>
      </c>
      <c r="M930" s="796" t="s">
        <v>335</v>
      </c>
      <c r="N930" s="797"/>
      <c r="O930" s="799"/>
      <c r="P930" s="797"/>
    </row>
    <row r="931" spans="1:18" ht="12.75" customHeight="1" x14ac:dyDescent="0.3">
      <c r="A931" s="797"/>
      <c r="B931" s="797" t="s">
        <v>1612</v>
      </c>
      <c r="C931" s="797"/>
      <c r="D931" s="797"/>
      <c r="E931" s="797"/>
      <c r="F931" s="797"/>
      <c r="G931" s="796" t="s">
        <v>3462</v>
      </c>
      <c r="H931" s="796" t="s">
        <v>866</v>
      </c>
      <c r="I931" s="900"/>
      <c r="J931" s="792" t="str">
        <f>IF(ISBLANK(HLOOKUP(CaseName,CaseData,MATCH($G931,cases!$G$4:$G$2494,0),FALSE)),"",HLOOKUP(CaseName,CaseData,MATCH($G931,cases!$G$4:$G$2494,0),FALSE))</f>
        <v/>
      </c>
      <c r="K931" s="798">
        <f>1/(L925+L932)+L898</f>
        <v>1.1846390957244381E-3</v>
      </c>
      <c r="L931" s="794">
        <f t="shared" si="56"/>
        <v>1.1846390957244381E-3</v>
      </c>
      <c r="M931" s="796" t="s">
        <v>866</v>
      </c>
      <c r="N931" s="797"/>
      <c r="O931" s="799"/>
      <c r="P931" s="797"/>
    </row>
    <row r="932" spans="1:18" ht="12.75" customHeight="1" x14ac:dyDescent="0.3">
      <c r="A932" s="797"/>
      <c r="B932" s="797"/>
      <c r="C932" s="797" t="s">
        <v>1694</v>
      </c>
      <c r="D932" s="797"/>
      <c r="E932" s="797"/>
      <c r="F932" s="797"/>
      <c r="G932" s="796" t="s">
        <v>3463</v>
      </c>
      <c r="H932" s="796" t="s">
        <v>1616</v>
      </c>
      <c r="I932" s="900"/>
      <c r="J932" s="792" t="str">
        <f>IF(ISBLANK(HLOOKUP(CaseName,CaseData,MATCH($G932,cases!$G$4:$G$2494,0),FALSE)),"",HLOOKUP(CaseName,CaseData,MATCH($G932,cases!$G$4:$G$2494,0),FALSE))</f>
        <v/>
      </c>
      <c r="K932" s="798">
        <f>1/(L927*(L933+L934))</f>
        <v>710.23933538004496</v>
      </c>
      <c r="L932" s="794">
        <f t="shared" si="56"/>
        <v>710.23933538004496</v>
      </c>
      <c r="M932" s="796" t="s">
        <v>1616</v>
      </c>
      <c r="N932" s="797"/>
      <c r="O932" s="797"/>
      <c r="P932" s="799"/>
    </row>
    <row r="933" spans="1:18" ht="12.75" customHeight="1" x14ac:dyDescent="0.3">
      <c r="A933" s="797"/>
      <c r="B933" s="797"/>
      <c r="C933" s="797"/>
      <c r="D933" s="797" t="s">
        <v>1584</v>
      </c>
      <c r="E933" s="797"/>
      <c r="F933" s="797"/>
      <c r="G933" s="796" t="s">
        <v>3464</v>
      </c>
      <c r="H933" s="796" t="s">
        <v>291</v>
      </c>
      <c r="I933" s="900"/>
      <c r="J933" s="792" t="str">
        <f>IF(ISBLANK(HLOOKUP(CaseName,CaseData,MATCH($G933,cases!$G$4:$G$2494,0),FALSE)),"",HLOOKUP(CaseName,CaseData,MATCH($G933,cases!$G$4:$G$2494,0),FALSE))</f>
        <v/>
      </c>
      <c r="K933" s="798">
        <f>L899^-(1/2)</f>
        <v>7.4104004559541288E-3</v>
      </c>
      <c r="L933" s="794">
        <f t="shared" si="56"/>
        <v>7.4104004559541288E-3</v>
      </c>
      <c r="M933" s="796" t="s">
        <v>291</v>
      </c>
      <c r="N933" s="797"/>
      <c r="O933" s="797"/>
      <c r="P933" s="799"/>
    </row>
    <row r="934" spans="1:18" ht="12.75" customHeight="1" x14ac:dyDescent="0.3">
      <c r="A934" s="797"/>
      <c r="B934" s="797"/>
      <c r="C934" s="797"/>
      <c r="D934" s="797" t="s">
        <v>1588</v>
      </c>
      <c r="E934" s="797"/>
      <c r="F934" s="797"/>
      <c r="G934" s="796" t="s">
        <v>3465</v>
      </c>
      <c r="H934" s="796" t="s">
        <v>291</v>
      </c>
      <c r="I934" s="900"/>
      <c r="J934" s="792" t="str">
        <f>IF(ISBLANK(HLOOKUP(CaseName,CaseData,MATCH($G934,cases!$G$4:$G$2494,0),FALSE)),"",HLOOKUP(CaseName,CaseData,MATCH($G934,cases!$G$4:$G$2494,0),FALSE))</f>
        <v/>
      </c>
      <c r="K934" s="798">
        <f>10^(-3/L897)</f>
        <v>0</v>
      </c>
      <c r="L934" s="794">
        <f t="shared" si="56"/>
        <v>0</v>
      </c>
      <c r="M934" s="796" t="s">
        <v>291</v>
      </c>
      <c r="N934" s="797"/>
      <c r="O934" s="797"/>
      <c r="P934" s="799"/>
    </row>
    <row r="935" spans="1:18" ht="12.75" customHeight="1" x14ac:dyDescent="0.3">
      <c r="A935" s="797" t="s">
        <v>2820</v>
      </c>
      <c r="B935" s="797"/>
      <c r="C935" s="797"/>
      <c r="D935" s="797"/>
      <c r="E935" s="797"/>
      <c r="F935" s="797"/>
      <c r="G935" s="797" t="s">
        <v>3466</v>
      </c>
      <c r="H935" s="796" t="s">
        <v>335</v>
      </c>
      <c r="I935" s="900"/>
      <c r="J935" s="792" t="str">
        <f>IF(ISBLANK(HLOOKUP(CaseName,CaseData,MATCH($G935,cases!$G$4:$G$2494,0),FALSE)),"",HLOOKUP(CaseName,CaseData,MATCH($G935,cases!$G$4:$G$2494,0),FALSE))</f>
        <v/>
      </c>
      <c r="K935" s="798">
        <f>(L735*L663*L662)/L656</f>
        <v>7.0000021000006299E-7</v>
      </c>
      <c r="L935" s="794">
        <f t="shared" si="56"/>
        <v>7.0000021000006299E-7</v>
      </c>
      <c r="M935" s="796" t="s">
        <v>335</v>
      </c>
      <c r="N935" s="797"/>
      <c r="O935" s="799"/>
      <c r="P935" s="797"/>
    </row>
    <row r="936" spans="1:18" ht="12.75" customHeight="1" x14ac:dyDescent="0.3">
      <c r="A936" s="797" t="s">
        <v>2822</v>
      </c>
      <c r="B936" s="797"/>
      <c r="C936" s="797"/>
      <c r="D936" s="797"/>
      <c r="E936" s="797"/>
      <c r="F936" s="797"/>
      <c r="G936" s="796" t="s">
        <v>3467</v>
      </c>
      <c r="H936" s="796" t="s">
        <v>335</v>
      </c>
      <c r="I936" s="900"/>
      <c r="J936" s="792" t="str">
        <f>IF(ISBLANK(HLOOKUP(CaseName,CaseData,MATCH($G936,cases!$G$4:$G$2494,0),FALSE)),"",HLOOKUP(CaseName,CaseData,MATCH($G936,cases!$G$4:$G$2494,0),FALSE))</f>
        <v/>
      </c>
      <c r="K936" s="798">
        <f>(L736*L664*L662)/(L657)</f>
        <v>4.1222741945716548E-5</v>
      </c>
      <c r="L936" s="794">
        <f t="shared" si="56"/>
        <v>4.1222741945716548E-5</v>
      </c>
      <c r="M936" s="796" t="s">
        <v>335</v>
      </c>
      <c r="N936" s="797"/>
      <c r="O936" s="799"/>
      <c r="P936" s="797"/>
    </row>
    <row r="937" spans="1:18" ht="12.75" customHeight="1" x14ac:dyDescent="0.3">
      <c r="A937" s="797" t="s">
        <v>2824</v>
      </c>
      <c r="B937" s="797"/>
      <c r="C937" s="797"/>
      <c r="D937" s="797"/>
      <c r="E937" s="797"/>
      <c r="F937" s="797"/>
      <c r="G937" s="796" t="s">
        <v>3468</v>
      </c>
      <c r="H937" s="796" t="s">
        <v>335</v>
      </c>
      <c r="I937" s="900"/>
      <c r="J937" s="792" t="str">
        <f>IF(ISBLANK(HLOOKUP(CaseName,CaseData,MATCH($G937,cases!$G$4:$G$2494,0),FALSE)),"",HLOOKUP(CaseName,CaseData,MATCH($G937,cases!$G$4:$G$2494,0),FALSE))</f>
        <v/>
      </c>
      <c r="K937" s="798">
        <f>(L736*L664*L662)/(L657)</f>
        <v>4.1222741945716548E-5</v>
      </c>
      <c r="L937" s="794">
        <f t="shared" si="56"/>
        <v>4.1222741945716548E-5</v>
      </c>
      <c r="M937" s="796" t="s">
        <v>335</v>
      </c>
      <c r="N937" s="797"/>
      <c r="O937" s="799"/>
      <c r="P937" s="797"/>
    </row>
    <row r="938" spans="1:18" ht="12.75" customHeight="1" x14ac:dyDescent="0.3">
      <c r="A938" s="797" t="s">
        <v>2826</v>
      </c>
      <c r="B938" s="797"/>
      <c r="C938" s="797"/>
      <c r="D938" s="797"/>
      <c r="E938" s="797"/>
      <c r="F938" s="797"/>
      <c r="G938" s="796" t="s">
        <v>3469</v>
      </c>
      <c r="H938" s="796" t="s">
        <v>335</v>
      </c>
      <c r="I938" s="900"/>
      <c r="J938" s="792" t="str">
        <f>IF(ISBLANK(HLOOKUP(CaseName,CaseData,MATCH($G938,cases!$G$4:$G$2494,0),FALSE)),"",HLOOKUP(CaseName,CaseData,MATCH($G938,cases!$G$4:$G$2494,0),FALSE))</f>
        <v/>
      </c>
      <c r="K938" s="798">
        <f>(L736*L664*L662)/(L657)</f>
        <v>4.1222741945716548E-5</v>
      </c>
      <c r="L938" s="794">
        <f t="shared" si="56"/>
        <v>4.1222741945716548E-5</v>
      </c>
      <c r="M938" s="796" t="s">
        <v>335</v>
      </c>
      <c r="N938" s="797"/>
      <c r="O938" s="799"/>
      <c r="P938" s="797"/>
    </row>
    <row r="939" spans="1:18" ht="12.75" customHeight="1" x14ac:dyDescent="0.3">
      <c r="A939" s="797" t="s">
        <v>2828</v>
      </c>
      <c r="B939" s="797"/>
      <c r="C939" s="797"/>
      <c r="D939" s="797"/>
      <c r="E939" s="797"/>
      <c r="F939" s="797"/>
      <c r="G939" s="796" t="s">
        <v>3470</v>
      </c>
      <c r="H939" s="796" t="s">
        <v>335</v>
      </c>
      <c r="I939" s="900"/>
      <c r="J939" s="792" t="str">
        <f>IF(ISBLANK(HLOOKUP(CaseName,CaseData,MATCH($G939,cases!$G$4:$G$2494,0),FALSE)),"",HLOOKUP(CaseName,CaseData,MATCH($G939,cases!$G$4:$G$2494,0),FALSE))</f>
        <v/>
      </c>
      <c r="K939" s="798">
        <f>(L736*L663*L662)/(L657)</f>
        <v>9.6186397873338595E-5</v>
      </c>
      <c r="L939" s="794">
        <f t="shared" si="56"/>
        <v>9.6186397873338595E-5</v>
      </c>
      <c r="M939" s="796" t="s">
        <v>335</v>
      </c>
      <c r="N939" s="797"/>
      <c r="O939" s="799"/>
      <c r="P939" s="797"/>
    </row>
    <row r="940" spans="1:18" ht="12.75" customHeight="1" x14ac:dyDescent="0.3">
      <c r="A940" s="797" t="s">
        <v>2830</v>
      </c>
      <c r="B940" s="797"/>
      <c r="C940" s="797"/>
      <c r="D940" s="797"/>
      <c r="E940" s="797"/>
      <c r="F940" s="797"/>
      <c r="G940" s="796" t="s">
        <v>3471</v>
      </c>
      <c r="H940" s="796" t="s">
        <v>335</v>
      </c>
      <c r="I940" s="900"/>
      <c r="J940" s="792" t="str">
        <f>IF(ISBLANK(HLOOKUP(CaseName,CaseData,MATCH($G940,cases!$G$4:$G$2494,0),FALSE)),"",HLOOKUP(CaseName,CaseData,MATCH($G940,cases!$G$4:$G$2494,0),FALSE))</f>
        <v/>
      </c>
      <c r="K940" s="798">
        <f>(L736*L663*L662)/(L657)</f>
        <v>9.6186397873338595E-5</v>
      </c>
      <c r="L940" s="794">
        <f t="shared" si="56"/>
        <v>9.6186397873338595E-5</v>
      </c>
      <c r="M940" s="796" t="s">
        <v>335</v>
      </c>
      <c r="N940" s="797"/>
      <c r="O940" s="799"/>
      <c r="P940" s="797"/>
    </row>
    <row r="941" spans="1:18" ht="12.75" customHeight="1" x14ac:dyDescent="0.3">
      <c r="A941" s="797" t="s">
        <v>2832</v>
      </c>
      <c r="B941" s="797"/>
      <c r="C941" s="797"/>
      <c r="D941" s="797"/>
      <c r="E941" s="797"/>
      <c r="F941" s="797"/>
      <c r="G941" s="796" t="s">
        <v>3472</v>
      </c>
      <c r="H941" s="796" t="s">
        <v>335</v>
      </c>
      <c r="I941" s="900"/>
      <c r="J941" s="792" t="str">
        <f>IF(ISBLANK(HLOOKUP(CaseName,CaseData,MATCH($G941,cases!$G$4:$G$2494,0),FALSE)),"",HLOOKUP(CaseName,CaseData,MATCH($G941,cases!$G$4:$G$2494,0),FALSE))</f>
        <v/>
      </c>
      <c r="K941" s="798">
        <f>(L736*L663*L662)/(L657)</f>
        <v>9.6186397873338595E-5</v>
      </c>
      <c r="L941" s="794">
        <f t="shared" si="56"/>
        <v>9.6186397873338595E-5</v>
      </c>
      <c r="M941" s="796" t="s">
        <v>335</v>
      </c>
      <c r="N941" s="797"/>
      <c r="O941" s="799"/>
      <c r="P941" s="907"/>
      <c r="R941" s="824"/>
    </row>
    <row r="942" spans="1:18" ht="12.75" customHeight="1" x14ac:dyDescent="0.3">
      <c r="A942" s="797" t="s">
        <v>2834</v>
      </c>
      <c r="B942" s="797"/>
      <c r="C942" s="797"/>
      <c r="D942" s="797"/>
      <c r="E942" s="797"/>
      <c r="F942" s="797"/>
      <c r="G942" s="796" t="s">
        <v>3473</v>
      </c>
      <c r="H942" s="796" t="s">
        <v>335</v>
      </c>
      <c r="I942" s="900"/>
      <c r="J942" s="792" t="str">
        <f>IF(ISBLANK(HLOOKUP(CaseName,CaseData,MATCH($G942,cases!$G$4:$G$2494,0),FALSE)),"",HLOOKUP(CaseName,CaseData,MATCH($G942,cases!$G$4:$G$2494,0),FALSE))</f>
        <v/>
      </c>
      <c r="K942" s="798">
        <f>IF((SetVelS.w*L663*L662)/(L658)&gt;0,(SetVelS.w*L663*L662)/(L658)+L685,L685)</f>
        <v>2.2725146482339286E-7</v>
      </c>
      <c r="L942" s="794">
        <f t="shared" si="56"/>
        <v>2.2725146482339286E-7</v>
      </c>
      <c r="M942" s="796" t="s">
        <v>335</v>
      </c>
      <c r="N942" s="797" t="s">
        <v>2836</v>
      </c>
      <c r="O942" s="799"/>
      <c r="P942" s="907"/>
      <c r="R942" s="824"/>
    </row>
    <row r="943" spans="1:18" ht="12.75" customHeight="1" x14ac:dyDescent="0.3">
      <c r="A943" s="797" t="s">
        <v>2837</v>
      </c>
      <c r="B943" s="797"/>
      <c r="C943" s="797"/>
      <c r="D943" s="797"/>
      <c r="E943" s="797"/>
      <c r="F943" s="797"/>
      <c r="G943" s="796" t="s">
        <v>3474</v>
      </c>
      <c r="H943" s="796" t="s">
        <v>335</v>
      </c>
      <c r="I943" s="900"/>
      <c r="J943" s="792" t="str">
        <f>IF(ISBLANK(HLOOKUP(CaseName,CaseData,MATCH($G943,cases!$G$4:$G$2494,0),FALSE)),"",HLOOKUP(CaseName,CaseData,MATCH($G943,cases!$G$4:$G$2494,0),FALSE))</f>
        <v/>
      </c>
      <c r="K943" s="798">
        <f>IF((SetVelA.w*L663*L662)/(L658)&gt;0,(SetVelA.w*L663*L662)/(L658)+L685,L685)</f>
        <v>2.2773535342539239E-7</v>
      </c>
      <c r="L943" s="794">
        <f t="shared" si="56"/>
        <v>2.2773535342539239E-7</v>
      </c>
      <c r="M943" s="796" t="s">
        <v>335</v>
      </c>
      <c r="N943" s="797" t="s">
        <v>2836</v>
      </c>
      <c r="O943" s="799"/>
      <c r="P943" s="907"/>
      <c r="R943" s="824"/>
    </row>
    <row r="944" spans="1:18" ht="12.75" customHeight="1" x14ac:dyDescent="0.3">
      <c r="A944" s="797" t="s">
        <v>2839</v>
      </c>
      <c r="B944" s="797"/>
      <c r="C944" s="797"/>
      <c r="D944" s="797"/>
      <c r="E944" s="797"/>
      <c r="F944" s="797"/>
      <c r="G944" s="796" t="s">
        <v>3475</v>
      </c>
      <c r="H944" s="796" t="s">
        <v>335</v>
      </c>
      <c r="I944" s="900"/>
      <c r="J944" s="792" t="str">
        <f>IF(ISBLANK(HLOOKUP(CaseName,CaseData,MATCH($G944,cases!$G$4:$G$2494,0),FALSE)),"",HLOOKUP(CaseName,CaseData,MATCH($G944,cases!$G$4:$G$2494,0),FALSE))</f>
        <v/>
      </c>
      <c r="K944" s="798">
        <f>IF((SetVelP.w*L663*L662)/L658&gt;0,(SetVelP.w*L663*L662)/L658+L685,L685)</f>
        <v>5.2134864455162475E-7</v>
      </c>
      <c r="L944" s="794">
        <f t="shared" si="56"/>
        <v>5.2134864455162475E-7</v>
      </c>
      <c r="M944" s="796" t="s">
        <v>335</v>
      </c>
      <c r="N944" s="797" t="s">
        <v>2836</v>
      </c>
      <c r="O944" s="799"/>
      <c r="P944" s="907"/>
      <c r="R944" s="824"/>
    </row>
    <row r="945" spans="1:19" ht="12.75" customHeight="1" x14ac:dyDescent="0.3">
      <c r="A945" s="797" t="s">
        <v>2841</v>
      </c>
      <c r="B945" s="797"/>
      <c r="C945" s="797"/>
      <c r="D945" s="797"/>
      <c r="E945" s="797"/>
      <c r="F945" s="797"/>
      <c r="G945" s="796" t="s">
        <v>3476</v>
      </c>
      <c r="H945" s="796" t="s">
        <v>335</v>
      </c>
      <c r="I945" s="900"/>
      <c r="J945" s="792" t="str">
        <f>IF(ISBLANK(HLOOKUP(CaseName,CaseData,MATCH($G945,cases!$G$4:$G$2494,0),FALSE)),"",HLOOKUP(CaseName,CaseData,MATCH($G945,cases!$G$4:$G$2494,0),FALSE))</f>
        <v/>
      </c>
      <c r="K945" s="798">
        <f>IF((SetVelS.w*L663*L662)/(L659)&gt;0,(SetVelS.w*L663*L662)/(L659),0)</f>
        <v>2.3438988689288094E-13</v>
      </c>
      <c r="L945" s="794">
        <f t="shared" si="56"/>
        <v>2.3438988689288094E-13</v>
      </c>
      <c r="M945" s="796" t="s">
        <v>335</v>
      </c>
      <c r="N945" s="797"/>
      <c r="O945" s="799"/>
      <c r="P945" s="907"/>
      <c r="R945" s="824"/>
    </row>
    <row r="946" spans="1:19" ht="12.75" customHeight="1" x14ac:dyDescent="0.3">
      <c r="A946" s="797" t="s">
        <v>2843</v>
      </c>
      <c r="B946" s="797"/>
      <c r="C946" s="797"/>
      <c r="D946" s="797"/>
      <c r="E946" s="797"/>
      <c r="F946" s="797"/>
      <c r="G946" s="796" t="s">
        <v>3477</v>
      </c>
      <c r="H946" s="796" t="s">
        <v>335</v>
      </c>
      <c r="I946" s="900"/>
      <c r="J946" s="792" t="str">
        <f>IF(ISBLANK(HLOOKUP(CaseName,CaseData,MATCH($G946,cases!$G$4:$G$2494,0),FALSE)),"",HLOOKUP(CaseName,CaseData,MATCH($G946,cases!$G$4:$G$2494,0),FALSE))</f>
        <v/>
      </c>
      <c r="K946" s="798">
        <f>IF((SetVelA.w*L663*L662)/(L659)&gt;0,(SetVelA.w*L663*L662)/(L659),0)</f>
        <v>1.6364009953543896E-11</v>
      </c>
      <c r="L946" s="794">
        <f t="shared" si="56"/>
        <v>1.6364009953543896E-11</v>
      </c>
      <c r="M946" s="796" t="s">
        <v>335</v>
      </c>
      <c r="N946" s="797"/>
      <c r="O946" s="799"/>
      <c r="P946" s="907"/>
      <c r="R946" s="824"/>
    </row>
    <row r="947" spans="1:19" ht="12.75" customHeight="1" x14ac:dyDescent="0.3">
      <c r="A947" s="797" t="s">
        <v>2845</v>
      </c>
      <c r="B947" s="797"/>
      <c r="C947" s="797"/>
      <c r="D947" s="797"/>
      <c r="E947" s="797"/>
      <c r="F947" s="797"/>
      <c r="G947" s="796" t="s">
        <v>3478</v>
      </c>
      <c r="H947" s="796" t="s">
        <v>335</v>
      </c>
      <c r="I947" s="900"/>
      <c r="J947" s="792" t="str">
        <f>IF(ISBLANK(HLOOKUP(CaseName,CaseData,MATCH($G947,cases!$G$4:$G$2494,0),FALSE)),"",HLOOKUP(CaseName,CaseData,MATCH($G947,cases!$G$4:$G$2494,0),FALSE))</f>
        <v/>
      </c>
      <c r="K947" s="798">
        <f>IF((SetVelP.w*L663*L662)/L659&gt;0,(SetVelP.w*L663*L662)/L659,0)</f>
        <v>9.8034737141612897E-9</v>
      </c>
      <c r="L947" s="794">
        <f t="shared" si="56"/>
        <v>9.8034737141612897E-9</v>
      </c>
      <c r="M947" s="796" t="s">
        <v>335</v>
      </c>
      <c r="N947" s="797"/>
      <c r="O947" s="799"/>
      <c r="P947" s="907"/>
      <c r="R947" s="824"/>
    </row>
    <row r="948" spans="1:19" ht="12.75" customHeight="1" x14ac:dyDescent="0.3">
      <c r="A948" s="797" t="s">
        <v>2847</v>
      </c>
      <c r="B948" s="797"/>
      <c r="C948" s="797"/>
      <c r="D948" s="797"/>
      <c r="E948" s="797"/>
      <c r="F948" s="797"/>
      <c r="G948" s="796" t="s">
        <v>3479</v>
      </c>
      <c r="H948" s="796" t="s">
        <v>335</v>
      </c>
      <c r="I948" s="900"/>
      <c r="J948" s="792" t="str">
        <f>IF(ISBLANK(HLOOKUP(CaseName,CaseData,MATCH($G948,cases!$G$4:$G$2494,0),FALSE)),"",HLOOKUP(CaseName,CaseData,MATCH($G948,cases!$G$4:$G$2494,0),FALSE))</f>
        <v/>
      </c>
      <c r="K948" s="798">
        <f>$L$752/$L$668</f>
        <v>9.6429477422628121E-9</v>
      </c>
      <c r="L948" s="794">
        <f t="shared" ref="L948:L953" si="57">IF(ISBLANK(I948),IF(ISNUMBER(J948)=FALSE,K948,J948),I948)</f>
        <v>9.6429477422628121E-9</v>
      </c>
      <c r="M948" s="796" t="s">
        <v>335</v>
      </c>
      <c r="N948" s="797" t="s">
        <v>1786</v>
      </c>
      <c r="O948" s="799"/>
      <c r="P948" s="797"/>
    </row>
    <row r="949" spans="1:19" ht="12.75" customHeight="1" x14ac:dyDescent="0.3">
      <c r="A949" s="797" t="s">
        <v>2849</v>
      </c>
      <c r="B949" s="797"/>
      <c r="C949" s="797"/>
      <c r="D949" s="797"/>
      <c r="E949" s="797"/>
      <c r="F949" s="797"/>
      <c r="G949" s="796" t="s">
        <v>3480</v>
      </c>
      <c r="H949" s="796" t="s">
        <v>335</v>
      </c>
      <c r="I949" s="900"/>
      <c r="J949" s="792" t="str">
        <f>IF(ISBLANK(HLOOKUP(CaseName,CaseData,MATCH($G949,cases!$G$4:$G$2494,0),FALSE)),"",HLOOKUP(CaseName,CaseData,MATCH($G949,cases!$G$4:$G$2494,0),FALSE))</f>
        <v/>
      </c>
      <c r="K949" s="798">
        <f>$L$752/$L$668</f>
        <v>9.6429477422628121E-9</v>
      </c>
      <c r="L949" s="794">
        <f t="shared" si="57"/>
        <v>9.6429477422628121E-9</v>
      </c>
      <c r="M949" s="796" t="s">
        <v>335</v>
      </c>
      <c r="N949" s="797" t="s">
        <v>1786</v>
      </c>
      <c r="O949" s="799"/>
      <c r="P949" s="797"/>
    </row>
    <row r="950" spans="1:19" ht="12.75" customHeight="1" x14ac:dyDescent="0.3">
      <c r="A950" s="797" t="s">
        <v>2851</v>
      </c>
      <c r="B950" s="797"/>
      <c r="C950" s="797"/>
      <c r="D950" s="797"/>
      <c r="E950" s="797"/>
      <c r="F950" s="797"/>
      <c r="G950" s="796" t="s">
        <v>3481</v>
      </c>
      <c r="H950" s="796" t="s">
        <v>335</v>
      </c>
      <c r="I950" s="900"/>
      <c r="J950" s="792" t="str">
        <f>IF(ISBLANK(HLOOKUP(CaseName,CaseData,MATCH($G950,cases!$G$4:$G$2494,0),FALSE)),"",HLOOKUP(CaseName,CaseData,MATCH($G950,cases!$G$4:$G$2494,0),FALSE))</f>
        <v/>
      </c>
      <c r="K950" s="798">
        <f>$L$752/$L$668</f>
        <v>9.6429477422628121E-9</v>
      </c>
      <c r="L950" s="794">
        <f t="shared" si="57"/>
        <v>9.6429477422628121E-9</v>
      </c>
      <c r="M950" s="796" t="s">
        <v>335</v>
      </c>
      <c r="N950" s="797" t="s">
        <v>1786</v>
      </c>
      <c r="O950" s="799"/>
      <c r="P950" s="797"/>
    </row>
    <row r="951" spans="1:19" ht="12.75" customHeight="1" x14ac:dyDescent="0.3">
      <c r="A951" s="797" t="s">
        <v>1803</v>
      </c>
      <c r="B951" s="797"/>
      <c r="C951" s="797"/>
      <c r="D951" s="797"/>
      <c r="E951" s="797"/>
      <c r="F951" s="797"/>
      <c r="G951" s="796" t="s">
        <v>3482</v>
      </c>
      <c r="H951" s="796" t="s">
        <v>335</v>
      </c>
      <c r="I951" s="900"/>
      <c r="J951" s="792" t="str">
        <f>IF(ISBLANK(HLOOKUP(CaseName,CaseData,MATCH($G951,cases!$G$4:$G$2494,0),FALSE)),"",HLOOKUP(CaseName,CaseData,MATCH($G951,cases!$G$4:$G$2494,0),FALSE))</f>
        <v/>
      </c>
      <c r="K951" s="798">
        <f>((L764*L736*L765+L763)/L669)</f>
        <v>2.6193733410212437E-7</v>
      </c>
      <c r="L951" s="794">
        <f t="shared" si="57"/>
        <v>2.6193733410212437E-7</v>
      </c>
      <c r="M951" s="796" t="s">
        <v>335</v>
      </c>
      <c r="N951" s="797" t="s">
        <v>1805</v>
      </c>
      <c r="O951" s="802"/>
      <c r="P951" s="797"/>
    </row>
    <row r="952" spans="1:19" ht="12.75" customHeight="1" x14ac:dyDescent="0.3">
      <c r="A952" s="797" t="s">
        <v>1810</v>
      </c>
      <c r="B952" s="797"/>
      <c r="C952" s="797"/>
      <c r="D952" s="797"/>
      <c r="E952" s="797"/>
      <c r="F952" s="797"/>
      <c r="G952" s="796" t="s">
        <v>3483</v>
      </c>
      <c r="H952" s="796" t="s">
        <v>335</v>
      </c>
      <c r="I952" s="900"/>
      <c r="J952" s="792" t="str">
        <f>IF(ISBLANK(HLOOKUP(CaseName,CaseData,MATCH($G952,cases!$G$4:$G$2494,0),FALSE)),"",HLOOKUP(CaseName,CaseData,MATCH($G952,cases!$G$4:$G$2494,0),FALSE))</f>
        <v/>
      </c>
      <c r="K952" s="798">
        <f>((L764*L736*L765+L763)/L669)</f>
        <v>2.6193733410212437E-7</v>
      </c>
      <c r="L952" s="794">
        <f t="shared" si="57"/>
        <v>2.6193733410212437E-7</v>
      </c>
      <c r="M952" s="796" t="s">
        <v>335</v>
      </c>
      <c r="N952" s="797" t="s">
        <v>1805</v>
      </c>
      <c r="O952" s="799"/>
      <c r="P952" s="797"/>
    </row>
    <row r="953" spans="1:19" ht="12.75" customHeight="1" x14ac:dyDescent="0.3">
      <c r="A953" s="797" t="s">
        <v>1816</v>
      </c>
      <c r="B953" s="797"/>
      <c r="C953" s="797"/>
      <c r="D953" s="797"/>
      <c r="E953" s="797"/>
      <c r="F953" s="797"/>
      <c r="G953" s="796" t="s">
        <v>3484</v>
      </c>
      <c r="H953" s="796" t="s">
        <v>335</v>
      </c>
      <c r="I953" s="900"/>
      <c r="J953" s="792" t="str">
        <f>IF(ISBLANK(HLOOKUP(CaseName,CaseData,MATCH($G953,cases!$G$4:$G$2494,0),FALSE)),"",HLOOKUP(CaseName,CaseData,MATCH($G953,cases!$G$4:$G$2494,0),FALSE))</f>
        <v/>
      </c>
      <c r="K953" s="902">
        <f>(L763)/L669</f>
        <v>1.9025875190258751E-11</v>
      </c>
      <c r="L953" s="794">
        <f t="shared" si="57"/>
        <v>1.9025875190258751E-11</v>
      </c>
      <c r="M953" s="796" t="s">
        <v>335</v>
      </c>
      <c r="N953" s="797" t="s">
        <v>1818</v>
      </c>
      <c r="O953" s="799"/>
      <c r="P953" s="797"/>
    </row>
    <row r="954" spans="1:19" ht="12.75" customHeight="1" x14ac:dyDescent="0.3">
      <c r="A954" s="779" t="s">
        <v>3485</v>
      </c>
      <c r="G954" s="779"/>
      <c r="I954" s="778"/>
      <c r="J954" s="933"/>
      <c r="K954" s="780"/>
      <c r="L954" s="825"/>
      <c r="N954" s="779"/>
      <c r="O954" s="782"/>
    </row>
    <row r="955" spans="1:19" ht="12.75" customHeight="1" x14ac:dyDescent="0.3">
      <c r="A955" s="796" t="s">
        <v>1267</v>
      </c>
      <c r="B955" s="797"/>
      <c r="C955" s="797"/>
      <c r="D955" s="797"/>
      <c r="E955" s="797"/>
      <c r="F955" s="797"/>
      <c r="G955" s="796" t="s">
        <v>3486</v>
      </c>
      <c r="H955" s="796" t="s">
        <v>4690</v>
      </c>
      <c r="I955" s="920"/>
      <c r="J955" s="792" t="str">
        <f>IF(ISBLANK(HLOOKUP(CaseName,CaseData,MATCH($G955,cases!$G$4:$G$2494,0),FALSE)),"",HLOOKUP(CaseName,CaseData,MATCH($G955,cases!$G$4:$G$2494,0),FALSE))</f>
        <v/>
      </c>
      <c r="K955" s="918">
        <f>L774+kdegS.a</f>
        <v>3.663258818281463E-10</v>
      </c>
      <c r="L955" s="794">
        <f t="shared" ref="L955:L971" si="58">IF(ISBLANK(I955),IF(ISNUMBER(J955)=FALSE,K955,J955),I955)</f>
        <v>3.663258818281463E-10</v>
      </c>
      <c r="M955" s="797" t="s">
        <v>1038</v>
      </c>
      <c r="N955" s="796"/>
      <c r="O955" s="799"/>
      <c r="P955" s="797"/>
      <c r="Q955" s="918"/>
      <c r="S955" s="603"/>
    </row>
    <row r="956" spans="1:19" ht="12.75" customHeight="1" x14ac:dyDescent="0.3">
      <c r="A956" s="796" t="s">
        <v>1267</v>
      </c>
      <c r="B956" s="797"/>
      <c r="C956" s="797"/>
      <c r="D956" s="797"/>
      <c r="E956" s="797"/>
      <c r="F956" s="797"/>
      <c r="G956" s="796" t="s">
        <v>3487</v>
      </c>
      <c r="H956" s="796" t="s">
        <v>4690</v>
      </c>
      <c r="I956" s="920"/>
      <c r="J956" s="792" t="str">
        <f>IF(ISBLANK(HLOOKUP(CaseName,CaseData,MATCH($G956,cases!$G$4:$G$2494,0),FALSE)),"",HLOOKUP(CaseName,CaseData,MATCH($G956,cases!$G$4:$G$2494,0),FALSE))</f>
        <v/>
      </c>
      <c r="K956" s="798">
        <f>L774+kdegA.a</f>
        <v>3.663258818281463E-10</v>
      </c>
      <c r="L956" s="794">
        <f t="shared" si="58"/>
        <v>3.663258818281463E-10</v>
      </c>
      <c r="M956" s="797" t="s">
        <v>1038</v>
      </c>
      <c r="N956" s="796"/>
      <c r="O956" s="799"/>
      <c r="P956" s="797"/>
      <c r="Q956" s="798"/>
      <c r="S956" s="603"/>
    </row>
    <row r="957" spans="1:19" ht="12.75" customHeight="1" x14ac:dyDescent="0.3">
      <c r="A957" s="796" t="s">
        <v>1267</v>
      </c>
      <c r="B957" s="797"/>
      <c r="C957" s="797"/>
      <c r="D957" s="797"/>
      <c r="E957" s="797"/>
      <c r="F957" s="797"/>
      <c r="G957" s="796" t="s">
        <v>3488</v>
      </c>
      <c r="H957" s="796" t="s">
        <v>4690</v>
      </c>
      <c r="I957" s="920"/>
      <c r="J957" s="792" t="str">
        <f>IF(ISBLANK(HLOOKUP(CaseName,CaseData,MATCH($G957,cases!$G$4:$G$2494,0),FALSE)),"",HLOOKUP(CaseName,CaseData,MATCH($G957,cases!$G$4:$G$2494,0),FALSE))</f>
        <v/>
      </c>
      <c r="K957" s="798">
        <f>L774+kdegP.a</f>
        <v>3.663258818281463E-10</v>
      </c>
      <c r="L957" s="794">
        <f t="shared" si="58"/>
        <v>3.663258818281463E-10</v>
      </c>
      <c r="M957" s="797" t="s">
        <v>1038</v>
      </c>
      <c r="N957" s="796"/>
      <c r="O957" s="799"/>
      <c r="P957" s="797"/>
      <c r="Q957" s="798"/>
      <c r="S957" s="603"/>
    </row>
    <row r="958" spans="1:19" ht="12.75" customHeight="1" x14ac:dyDescent="0.3">
      <c r="A958" s="796" t="s">
        <v>1268</v>
      </c>
      <c r="B958" s="797"/>
      <c r="C958" s="797"/>
      <c r="D958" s="797"/>
      <c r="E958" s="797"/>
      <c r="F958" s="797"/>
      <c r="G958" s="796" t="s">
        <v>3489</v>
      </c>
      <c r="H958" s="796" t="s">
        <v>4690</v>
      </c>
      <c r="I958" s="920"/>
      <c r="J958" s="792" t="str">
        <f>IF(ISBLANK(HLOOKUP(CaseName,CaseData,MATCH($G958,cases!$G$4:$G$2494,0),FALSE)),"",HLOOKUP(CaseName,CaseData,MATCH($G958,cases!$G$4:$G$2494,0),FALSE))</f>
        <v/>
      </c>
      <c r="K958" s="798">
        <f>kdegS.w2</f>
        <v>0</v>
      </c>
      <c r="L958" s="794">
        <f t="shared" si="58"/>
        <v>0</v>
      </c>
      <c r="M958" s="797" t="s">
        <v>1828</v>
      </c>
      <c r="N958" s="796"/>
      <c r="O958" s="799"/>
      <c r="P958" s="797"/>
      <c r="Q958" s="798"/>
      <c r="S958" s="603"/>
    </row>
    <row r="959" spans="1:19" ht="12.75" customHeight="1" x14ac:dyDescent="0.3">
      <c r="A959" s="796" t="s">
        <v>1268</v>
      </c>
      <c r="B959" s="797"/>
      <c r="C959" s="797"/>
      <c r="D959" s="797"/>
      <c r="E959" s="797"/>
      <c r="F959" s="797"/>
      <c r="G959" s="796" t="s">
        <v>3490</v>
      </c>
      <c r="H959" s="796" t="s">
        <v>4690</v>
      </c>
      <c r="I959" s="920"/>
      <c r="J959" s="792" t="str">
        <f>IF(ISBLANK(HLOOKUP(CaseName,CaseData,MATCH($G959,cases!$G$4:$G$2494,0),FALSE)),"",HLOOKUP(CaseName,CaseData,MATCH($G959,cases!$G$4:$G$2494,0),FALSE))</f>
        <v/>
      </c>
      <c r="K959" s="798">
        <f>kdegA.w2</f>
        <v>0</v>
      </c>
      <c r="L959" s="794">
        <f t="shared" si="58"/>
        <v>0</v>
      </c>
      <c r="M959" s="797" t="s">
        <v>1828</v>
      </c>
      <c r="N959" s="796"/>
      <c r="O959" s="799"/>
      <c r="P959" s="797"/>
      <c r="Q959" s="798"/>
      <c r="S959" s="603"/>
    </row>
    <row r="960" spans="1:19" ht="12.75" customHeight="1" x14ac:dyDescent="0.3">
      <c r="A960" s="796" t="s">
        <v>1268</v>
      </c>
      <c r="B960" s="797"/>
      <c r="C960" s="797"/>
      <c r="D960" s="797"/>
      <c r="E960" s="797"/>
      <c r="F960" s="797"/>
      <c r="G960" s="796" t="s">
        <v>3491</v>
      </c>
      <c r="H960" s="796" t="s">
        <v>4690</v>
      </c>
      <c r="I960" s="920"/>
      <c r="J960" s="792" t="str">
        <f>IF(ISBLANK(HLOOKUP(CaseName,CaseData,MATCH($G960,cases!$G$4:$G$2494,0),FALSE)),"",HLOOKUP(CaseName,CaseData,MATCH($G960,cases!$G$4:$G$2494,0),FALSE))</f>
        <v/>
      </c>
      <c r="K960" s="798">
        <f>kdegP.w2</f>
        <v>0</v>
      </c>
      <c r="L960" s="794">
        <f t="shared" si="58"/>
        <v>0</v>
      </c>
      <c r="M960" s="797" t="s">
        <v>1828</v>
      </c>
      <c r="N960" s="796"/>
      <c r="O960" s="799"/>
      <c r="P960" s="797"/>
      <c r="Q960" s="798"/>
      <c r="S960" s="603"/>
    </row>
    <row r="961" spans="1:19" ht="12.75" customHeight="1" x14ac:dyDescent="0.3">
      <c r="A961" s="796" t="s">
        <v>1269</v>
      </c>
      <c r="B961" s="797"/>
      <c r="C961" s="797"/>
      <c r="D961" s="797"/>
      <c r="E961" s="797"/>
      <c r="F961" s="797"/>
      <c r="G961" s="796" t="s">
        <v>3492</v>
      </c>
      <c r="H961" s="796" t="s">
        <v>4690</v>
      </c>
      <c r="I961" s="920"/>
      <c r="J961" s="792" t="str">
        <f>IF(ISBLANK(HLOOKUP(CaseName,CaseData,MATCH($G961,cases!$G$4:$G$2494,0),FALSE)),"",HLOOKUP(CaseName,CaseData,MATCH($G961,cases!$G$4:$G$2494,0),FALSE))</f>
        <v/>
      </c>
      <c r="K961" s="798">
        <f>kdegS.w3</f>
        <v>0</v>
      </c>
      <c r="L961" s="794">
        <f t="shared" si="58"/>
        <v>0</v>
      </c>
      <c r="M961" s="797" t="s">
        <v>1828</v>
      </c>
      <c r="N961" s="796"/>
      <c r="O961" s="799"/>
      <c r="P961" s="797"/>
      <c r="Q961" s="798"/>
      <c r="S961" s="603"/>
    </row>
    <row r="962" spans="1:19" ht="12.75" customHeight="1" x14ac:dyDescent="0.3">
      <c r="A962" s="796" t="s">
        <v>1269</v>
      </c>
      <c r="B962" s="797"/>
      <c r="C962" s="797"/>
      <c r="D962" s="797"/>
      <c r="E962" s="797"/>
      <c r="F962" s="797"/>
      <c r="G962" s="796" t="s">
        <v>3493</v>
      </c>
      <c r="H962" s="796" t="s">
        <v>4690</v>
      </c>
      <c r="I962" s="920"/>
      <c r="J962" s="792" t="str">
        <f>IF(ISBLANK(HLOOKUP(CaseName,CaseData,MATCH($G962,cases!$G$4:$G$2494,0),FALSE)),"",HLOOKUP(CaseName,CaseData,MATCH($G962,cases!$G$4:$G$2494,0),FALSE))</f>
        <v/>
      </c>
      <c r="K962" s="798">
        <f>kdegA.w3</f>
        <v>0</v>
      </c>
      <c r="L962" s="794">
        <f t="shared" si="58"/>
        <v>0</v>
      </c>
      <c r="M962" s="797" t="s">
        <v>1828</v>
      </c>
      <c r="N962" s="796"/>
      <c r="O962" s="799"/>
      <c r="P962" s="797"/>
      <c r="Q962" s="798"/>
      <c r="S962" s="603"/>
    </row>
    <row r="963" spans="1:19" ht="12.75" customHeight="1" x14ac:dyDescent="0.3">
      <c r="A963" s="796" t="s">
        <v>1269</v>
      </c>
      <c r="B963" s="797"/>
      <c r="C963" s="797"/>
      <c r="D963" s="797"/>
      <c r="E963" s="797"/>
      <c r="F963" s="797"/>
      <c r="G963" s="796" t="s">
        <v>3494</v>
      </c>
      <c r="H963" s="796" t="s">
        <v>4690</v>
      </c>
      <c r="I963" s="920"/>
      <c r="J963" s="792" t="str">
        <f>IF(ISBLANK(HLOOKUP(CaseName,CaseData,MATCH($G963,cases!$G$4:$G$2494,0),FALSE)),"",HLOOKUP(CaseName,CaseData,MATCH($G963,cases!$G$4:$G$2494,0),FALSE))</f>
        <v/>
      </c>
      <c r="K963" s="798">
        <f>kdegP.w3</f>
        <v>0</v>
      </c>
      <c r="L963" s="794">
        <f t="shared" si="58"/>
        <v>0</v>
      </c>
      <c r="M963" s="797" t="s">
        <v>1828</v>
      </c>
      <c r="N963" s="796"/>
      <c r="O963" s="799"/>
      <c r="P963" s="797"/>
      <c r="Q963" s="798"/>
      <c r="S963" s="603"/>
    </row>
    <row r="964" spans="1:19" ht="12.75" customHeight="1" x14ac:dyDescent="0.3">
      <c r="A964" s="796" t="s">
        <v>1271</v>
      </c>
      <c r="B964" s="797"/>
      <c r="C964" s="797"/>
      <c r="D964" s="797"/>
      <c r="E964" s="797"/>
      <c r="F964" s="797"/>
      <c r="G964" s="796" t="s">
        <v>3495</v>
      </c>
      <c r="H964" s="796" t="s">
        <v>4690</v>
      </c>
      <c r="I964" s="920"/>
      <c r="J964" s="792" t="str">
        <f>IF(ISBLANK(HLOOKUP(CaseName,CaseData,MATCH($G964,cases!$G$4:$G$2494,0),FALSE)),"",HLOOKUP(CaseName,CaseData,MATCH($G964,cases!$G$4:$G$2494,0),FALSE))</f>
        <v/>
      </c>
      <c r="K964" s="798">
        <f>L971+kdegS.sd2</f>
        <v>1.2683916793505895E-12</v>
      </c>
      <c r="L964" s="794">
        <f t="shared" si="58"/>
        <v>1.2683916793505895E-12</v>
      </c>
      <c r="M964" s="797" t="s">
        <v>1828</v>
      </c>
      <c r="N964" s="796"/>
      <c r="O964" s="799"/>
      <c r="P964" s="603"/>
      <c r="Q964" s="798"/>
      <c r="S964" s="603"/>
    </row>
    <row r="965" spans="1:19" ht="12.75" customHeight="1" x14ac:dyDescent="0.3">
      <c r="A965" s="796" t="s">
        <v>1271</v>
      </c>
      <c r="B965" s="797"/>
      <c r="C965" s="797"/>
      <c r="D965" s="797"/>
      <c r="E965" s="797"/>
      <c r="F965" s="797"/>
      <c r="G965" s="796" t="s">
        <v>3496</v>
      </c>
      <c r="H965" s="796" t="s">
        <v>4690</v>
      </c>
      <c r="I965" s="920"/>
      <c r="J965" s="792" t="str">
        <f>IF(ISBLANK(HLOOKUP(CaseName,CaseData,MATCH($G965,cases!$G$4:$G$2494,0),FALSE)),"",HLOOKUP(CaseName,CaseData,MATCH($G965,cases!$G$4:$G$2494,0),FALSE))</f>
        <v/>
      </c>
      <c r="K965" s="798">
        <f>L971+kdegA.sd2</f>
        <v>1.2683916793505895E-12</v>
      </c>
      <c r="L965" s="794">
        <f t="shared" si="58"/>
        <v>1.2683916793505895E-12</v>
      </c>
      <c r="M965" s="797" t="s">
        <v>1828</v>
      </c>
      <c r="N965" s="796"/>
      <c r="O965" s="799"/>
      <c r="P965" s="603"/>
      <c r="Q965" s="798"/>
      <c r="S965" s="603"/>
    </row>
    <row r="966" spans="1:19" ht="12.75" customHeight="1" x14ac:dyDescent="0.3">
      <c r="A966" s="796" t="s">
        <v>1271</v>
      </c>
      <c r="B966" s="797"/>
      <c r="C966" s="797"/>
      <c r="D966" s="797"/>
      <c r="E966" s="797"/>
      <c r="F966" s="797"/>
      <c r="G966" s="796" t="s">
        <v>3497</v>
      </c>
      <c r="H966" s="796" t="s">
        <v>4690</v>
      </c>
      <c r="I966" s="920"/>
      <c r="J966" s="792" t="str">
        <f>IF(ISBLANK(HLOOKUP(CaseName,CaseData,MATCH($G966,cases!$G$4:$G$2494,0),FALSE)),"",HLOOKUP(CaseName,CaseData,MATCH($G966,cases!$G$4:$G$2494,0),FALSE))</f>
        <v/>
      </c>
      <c r="K966" s="798">
        <f>L971+kdegP.sd2</f>
        <v>1.2683916793505895E-12</v>
      </c>
      <c r="L966" s="794">
        <f t="shared" si="58"/>
        <v>1.2683916793505895E-12</v>
      </c>
      <c r="M966" s="797" t="s">
        <v>1828</v>
      </c>
      <c r="N966" s="796"/>
      <c r="O966" s="799"/>
      <c r="P966" s="603"/>
      <c r="Q966" s="798"/>
      <c r="S966" s="603"/>
    </row>
    <row r="967" spans="1:19" ht="12.75" customHeight="1" x14ac:dyDescent="0.3">
      <c r="A967" s="796" t="s">
        <v>1275</v>
      </c>
      <c r="B967" s="797"/>
      <c r="C967" s="797"/>
      <c r="D967" s="797"/>
      <c r="E967" s="797"/>
      <c r="F967" s="797"/>
      <c r="G967" s="796" t="s">
        <v>3498</v>
      </c>
      <c r="H967" s="796" t="s">
        <v>4690</v>
      </c>
      <c r="I967" s="920"/>
      <c r="J967" s="792" t="str">
        <f>IF(ISBLANK(HLOOKUP(CaseName,CaseData,MATCH($G967,cases!$G$4:$G$2494,0),FALSE)),"",HLOOKUP(CaseName,CaseData,MATCH($G967,cases!$G$4:$G$2494,0),FALSE))</f>
        <v/>
      </c>
      <c r="K967" s="798">
        <f>L970+kdegS.s1</f>
        <v>1.7647916789232132E-9</v>
      </c>
      <c r="L967" s="794">
        <f t="shared" si="58"/>
        <v>1.7647916789232132E-9</v>
      </c>
      <c r="M967" s="797" t="s">
        <v>1828</v>
      </c>
      <c r="N967" s="796"/>
      <c r="O967" s="799"/>
      <c r="P967" s="603"/>
      <c r="Q967" s="798"/>
      <c r="S967" s="603"/>
    </row>
    <row r="968" spans="1:19" ht="12.75" customHeight="1" x14ac:dyDescent="0.3">
      <c r="A968" s="796" t="s">
        <v>1275</v>
      </c>
      <c r="B968" s="797"/>
      <c r="C968" s="797"/>
      <c r="D968" s="797"/>
      <c r="E968" s="797"/>
      <c r="F968" s="797"/>
      <c r="G968" s="796" t="s">
        <v>3499</v>
      </c>
      <c r="H968" s="796" t="s">
        <v>4690</v>
      </c>
      <c r="I968" s="920"/>
      <c r="J968" s="792" t="str">
        <f>IF(ISBLANK(HLOOKUP(CaseName,CaseData,MATCH($G968,cases!$G$4:$G$2494,0),FALSE)),"",HLOOKUP(CaseName,CaseData,MATCH($G968,cases!$G$4:$G$2494,0),FALSE))</f>
        <v/>
      </c>
      <c r="K968" s="798">
        <f>L970+kdegA.s1</f>
        <v>1.7647916789232132E-9</v>
      </c>
      <c r="L968" s="794">
        <f t="shared" si="58"/>
        <v>1.7647916789232132E-9</v>
      </c>
      <c r="M968" s="797" t="s">
        <v>1828</v>
      </c>
      <c r="N968" s="796"/>
      <c r="O968" s="799"/>
      <c r="P968" s="603"/>
      <c r="Q968" s="798"/>
      <c r="S968" s="603"/>
    </row>
    <row r="969" spans="1:19" ht="12.75" customHeight="1" x14ac:dyDescent="0.3">
      <c r="A969" s="796" t="s">
        <v>1275</v>
      </c>
      <c r="B969" s="797"/>
      <c r="C969" s="797"/>
      <c r="D969" s="797"/>
      <c r="E969" s="797"/>
      <c r="F969" s="797"/>
      <c r="G969" s="796" t="s">
        <v>3500</v>
      </c>
      <c r="H969" s="796" t="s">
        <v>4690</v>
      </c>
      <c r="I969" s="920"/>
      <c r="J969" s="792" t="str">
        <f>IF(ISBLANK(HLOOKUP(CaseName,CaseData,MATCH($G969,cases!$G$4:$G$2494,0),FALSE)),"",HLOOKUP(CaseName,CaseData,MATCH($G969,cases!$G$4:$G$2494,0),FALSE))</f>
        <v/>
      </c>
      <c r="K969" s="798">
        <f>kdegP.s1</f>
        <v>0</v>
      </c>
      <c r="L969" s="794">
        <f t="shared" si="58"/>
        <v>0</v>
      </c>
      <c r="M969" s="797" t="s">
        <v>1828</v>
      </c>
      <c r="N969" s="796"/>
      <c r="O969" s="799"/>
      <c r="P969" s="797"/>
      <c r="Q969" s="798"/>
      <c r="S969" s="603"/>
    </row>
    <row r="970" spans="1:19" ht="12.75" customHeight="1" x14ac:dyDescent="0.3">
      <c r="A970" s="797"/>
      <c r="B970" s="797" t="s">
        <v>1855</v>
      </c>
      <c r="C970" s="797"/>
      <c r="D970" s="797"/>
      <c r="E970" s="797"/>
      <c r="F970" s="797"/>
      <c r="G970" s="796" t="s">
        <v>3501</v>
      </c>
      <c r="H970" s="796" t="s">
        <v>335</v>
      </c>
      <c r="I970" s="900"/>
      <c r="J970" s="792" t="str">
        <f>IF(ISBLANK(HLOOKUP(CaseName,CaseData,MATCH($G970,cases!$G$4:$G$2494,0),FALSE)),"",HLOOKUP(CaseName,CaseData,MATCH($G970,cases!$G$4:$G$2494,0),FALSE))</f>
        <v/>
      </c>
      <c r="K970" s="798">
        <f>(L785*L736*L786)/L669</f>
        <v>1.7647916789232132E-9</v>
      </c>
      <c r="L970" s="794">
        <f t="shared" si="58"/>
        <v>1.7647916789232132E-9</v>
      </c>
      <c r="M970" s="797" t="s">
        <v>1828</v>
      </c>
      <c r="N970" s="797" t="s">
        <v>1857</v>
      </c>
      <c r="O970" s="799"/>
      <c r="P970" s="797"/>
    </row>
    <row r="971" spans="1:19" s="826" customFormat="1" ht="12.75" customHeight="1" x14ac:dyDescent="0.3">
      <c r="A971" s="852"/>
      <c r="B971" s="852" t="s">
        <v>1862</v>
      </c>
      <c r="C971" s="852"/>
      <c r="D971" s="852"/>
      <c r="E971" s="852"/>
      <c r="F971" s="852"/>
      <c r="G971" s="853" t="s">
        <v>3502</v>
      </c>
      <c r="H971" s="853" t="s">
        <v>335</v>
      </c>
      <c r="I971" s="908"/>
      <c r="J971" s="934" t="str">
        <f>IF(ISBLANK(HLOOKUP(CaseName,CaseData,MATCH($G971,cases!$G$4:$G$2494,0),FALSE)),"",HLOOKUP(CaseName,CaseData,MATCH($G971,cases!$G$4:$G$2494,0),FALSE))</f>
        <v/>
      </c>
      <c r="K971" s="902">
        <f>L755/L669</f>
        <v>1.2683916793505895E-12</v>
      </c>
      <c r="L971" s="850">
        <f t="shared" si="58"/>
        <v>1.2683916793505895E-12</v>
      </c>
      <c r="M971" s="852" t="s">
        <v>1828</v>
      </c>
      <c r="N971" s="852" t="s">
        <v>1864</v>
      </c>
      <c r="O971" s="854"/>
      <c r="P971" s="852"/>
    </row>
  </sheetData>
  <customSheetViews>
    <customSheetView guid="{E10D53E1-7CBD-11D4-9F98-0000E22085C7}" scale="92" fitToPage="1" showRuler="0" topLeftCell="O48">
      <selection activeCell="N48" sqref="N48"/>
      <pageMargins left="0" right="0" top="0" bottom="0" header="0" footer="0"/>
      <printOptions gridLines="1"/>
      <pageSetup paperSize="9" scale="52" orientation="portrait" horizontalDpi="4294967292" verticalDpi="4294967292" r:id="rId1"/>
      <headerFooter alignWithMargins="0">
        <oddHeader>&amp;L&amp;D, &amp;T&amp;C&amp;P&amp;R&amp;F</oddHeader>
      </headerFooter>
    </customSheetView>
    <customSheetView guid="{E10D53ED-7CBD-11D4-9F98-0000E22085C7}" scale="92" showPageBreaks="1" showRuler="0">
      <selection activeCell="H9" sqref="H9"/>
      <pageMargins left="0" right="0" top="0" bottom="0" header="0" footer="0"/>
      <pageSetup paperSize="9" scale="52" orientation="portrait" horizontalDpi="4294967292" verticalDpi="4294967292" r:id="rId2"/>
      <headerFooter alignWithMargins="0">
        <oddHeader>&amp;L&amp;D, &amp;T&amp;C&amp;P&amp;R&amp;F</oddHeader>
      </headerFooter>
    </customSheetView>
    <customSheetView guid="{E10D53F2-7CBD-11D4-9F98-0000E22085C7}" scale="51" showPageBreaks="1" showRuler="0" topLeftCell="AN7">
      <selection activeCell="AM7" sqref="AM7"/>
      <pageMargins left="0" right="0" top="0" bottom="0" header="0" footer="0"/>
      <pageSetup paperSize="9" scale="59" orientation="portrait" horizontalDpi="4294967292" verticalDpi="4294967292" r:id="rId3"/>
      <headerFooter alignWithMargins="0">
        <oddHeader>&amp;L&amp;D, &amp;T&amp;C&amp;P&amp;R&amp;F</oddHeader>
      </headerFooter>
    </customSheetView>
    <customSheetView guid="{E10D53F7-7CBD-11D4-9F98-0000E22085C7}" scale="92" fitToPage="1" showRuler="0" topLeftCell="O1">
      <selection activeCell="N2" sqref="N2"/>
      <pageMargins left="0" right="0" top="0" bottom="0" header="0" footer="0"/>
      <pageSetup paperSize="9" scale="52" orientation="portrait" horizontalDpi="4294967292" verticalDpi="4294967292" r:id="rId4"/>
      <headerFooter alignWithMargins="0">
        <oddHeader>&amp;L&amp;D, &amp;T&amp;C&amp;P&amp;R&amp;F</oddHeader>
      </headerFooter>
    </customSheetView>
    <customSheetView guid="{E10D53FC-7CBD-11D4-9F98-0000E22085C7}" scale="92" showPageBreaks="1" showRuler="0" topLeftCell="AA1">
      <selection activeCell="Z2" sqref="Z2"/>
      <pageMargins left="0" right="0" top="0" bottom="0" header="0" footer="0"/>
      <pageSetup paperSize="9" scale="52" orientation="portrait" horizontalDpi="4294967292" verticalDpi="4294967292" r:id="rId5"/>
      <headerFooter alignWithMargins="0">
        <oddHeader>&amp;L&amp;D, &amp;T&amp;C&amp;P&amp;R&amp;F</oddHeader>
      </headerFooter>
    </customSheetView>
    <customSheetView guid="{E10D5408-7CBD-11D4-9F98-0000E22085C7}" scale="84" showPageBreaks="1" showRuler="0" topLeftCell="AF1">
      <selection activeCell="AE2" sqref="AE2"/>
      <pageMargins left="0" right="0" top="0" bottom="0" header="0" footer="0"/>
      <pageSetup paperSize="9" scale="63" orientation="portrait" horizontalDpi="4294967292" verticalDpi="4294967292" r:id="rId6"/>
      <headerFooter alignWithMargins="0">
        <oddHeader>&amp;L&amp;D, &amp;T&amp;C&amp;P&amp;R&amp;F</oddHeader>
      </headerFooter>
    </customSheetView>
  </customSheetViews>
  <phoneticPr fontId="6" type="noConversion"/>
  <conditionalFormatting sqref="K48:K52">
    <cfRule type="cellIs" dxfId="40" priority="32" operator="equal">
      <formula>0</formula>
    </cfRule>
  </conditionalFormatting>
  <conditionalFormatting sqref="K78:K85">
    <cfRule type="cellIs" dxfId="39" priority="27" operator="equal">
      <formula>0</formula>
    </cfRule>
  </conditionalFormatting>
  <conditionalFormatting sqref="K88:K103">
    <cfRule type="cellIs" dxfId="38" priority="26" operator="equal">
      <formula>0</formula>
    </cfRule>
  </conditionalFormatting>
  <conditionalFormatting sqref="K400:K407 K410:K425">
    <cfRule type="cellIs" dxfId="37" priority="18" operator="equal">
      <formula>0</formula>
    </cfRule>
  </conditionalFormatting>
  <conditionalFormatting sqref="K427:K438">
    <cfRule type="cellIs" dxfId="36" priority="15" operator="equal">
      <formula>0</formula>
    </cfRule>
  </conditionalFormatting>
  <conditionalFormatting sqref="K447:K464">
    <cfRule type="cellIs" dxfId="35" priority="13" operator="equal">
      <formula>0</formula>
    </cfRule>
  </conditionalFormatting>
  <pageMargins left="0.98425196850393704" right="0.98425196850393704" top="0.98425196850393704" bottom="0.98425196850393704" header="0.51181102362204722" footer="0.51181102362204722"/>
  <pageSetup paperSize="9" scale="52" orientation="landscape" horizontalDpi="4294967292" verticalDpi="4294967292" r:id="rId7"/>
  <headerFooter alignWithMargins="0"/>
  <legacyDrawing r:id="rId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syncVertical="1" syncRef="C9" transitionEvaluation="1" transitionEntry="1" codeName="Sheet7"/>
  <dimension ref="B1:IV346"/>
  <sheetViews>
    <sheetView zoomScaleNormal="100" workbookViewId="0">
      <pane xSplit="2" ySplit="8" topLeftCell="C9" activePane="bottomRight" state="frozen"/>
      <selection pane="topRight" activeCell="C1" sqref="C1"/>
      <selection pane="bottomLeft" activeCell="A9" sqref="A9"/>
      <selection pane="bottomRight"/>
    </sheetView>
  </sheetViews>
  <sheetFormatPr defaultColWidth="9.109375" defaultRowHeight="12.75" customHeight="1" x14ac:dyDescent="0.3"/>
  <cols>
    <col min="1" max="1" width="2.109375" customWidth="1" collapsed="1"/>
    <col min="2" max="2" width="23.109375" customWidth="1" collapsed="1"/>
    <col min="3" max="10" width="9.109375" customWidth="1" collapsed="1"/>
    <col min="11" max="14" width="9.109375" style="168" customWidth="1" collapsed="1"/>
    <col min="15" max="53" width="9.109375" customWidth="1" collapsed="1"/>
    <col min="54" max="57" width="9.109375" style="168" customWidth="1" collapsed="1"/>
    <col min="58" max="158" width="9.109375" customWidth="1" collapsed="1"/>
    <col min="159" max="159" width="9.109375" collapsed="1"/>
    <col min="160" max="160" width="9.33203125" bestFit="1" customWidth="1" collapsed="1"/>
    <col min="161" max="251" width="9.109375" collapsed="1"/>
    <col min="257" max="16384" width="9.109375" collapsed="1"/>
  </cols>
  <sheetData>
    <row r="1" spans="2:160" ht="12.75" customHeight="1" x14ac:dyDescent="0.3">
      <c r="B1" s="97" t="s">
        <v>3503</v>
      </c>
    </row>
    <row r="2" spans="2:160" ht="12.75" customHeight="1" x14ac:dyDescent="0.3">
      <c r="B2" s="97"/>
    </row>
    <row r="3" spans="2:160" ht="12.75" customHeight="1" x14ac:dyDescent="0.3">
      <c r="B3" s="169"/>
      <c r="C3" s="170"/>
      <c r="D3" s="179" t="s">
        <v>3504</v>
      </c>
      <c r="E3" s="179" t="s">
        <v>3505</v>
      </c>
      <c r="F3" s="179" t="s">
        <v>3506</v>
      </c>
      <c r="G3" s="179" t="s">
        <v>3507</v>
      </c>
      <c r="H3" s="179" t="s">
        <v>3508</v>
      </c>
      <c r="I3" s="179" t="s">
        <v>3509</v>
      </c>
      <c r="J3" s="179" t="s">
        <v>3510</v>
      </c>
      <c r="K3" s="179" t="s">
        <v>3511</v>
      </c>
      <c r="L3" s="179" t="s">
        <v>3512</v>
      </c>
      <c r="M3" s="179" t="s">
        <v>3513</v>
      </c>
      <c r="N3" s="179" t="s">
        <v>3514</v>
      </c>
      <c r="O3" s="179" t="s">
        <v>3515</v>
      </c>
      <c r="P3" s="179" t="s">
        <v>3516</v>
      </c>
      <c r="Q3" s="179" t="s">
        <v>3517</v>
      </c>
      <c r="R3" s="179" t="s">
        <v>3518</v>
      </c>
      <c r="S3" s="179" t="s">
        <v>3519</v>
      </c>
      <c r="T3" s="179" t="s">
        <v>3520</v>
      </c>
      <c r="U3" s="179" t="s">
        <v>3521</v>
      </c>
      <c r="V3" s="179" t="s">
        <v>3522</v>
      </c>
      <c r="W3" s="179" t="s">
        <v>3523</v>
      </c>
      <c r="X3" s="179" t="s">
        <v>3524</v>
      </c>
      <c r="Y3" s="179" t="s">
        <v>3525</v>
      </c>
      <c r="Z3" s="179" t="s">
        <v>3526</v>
      </c>
      <c r="AA3" s="179" t="s">
        <v>3527</v>
      </c>
      <c r="AB3" s="179" t="s">
        <v>3528</v>
      </c>
      <c r="AC3" s="179" t="s">
        <v>3529</v>
      </c>
      <c r="AD3" s="179" t="s">
        <v>3530</v>
      </c>
      <c r="AE3" s="179" t="s">
        <v>3531</v>
      </c>
      <c r="AF3" s="179" t="s">
        <v>3532</v>
      </c>
      <c r="AG3" s="179" t="s">
        <v>3533</v>
      </c>
      <c r="AH3" s="179" t="s">
        <v>3534</v>
      </c>
      <c r="AI3" s="179" t="s">
        <v>3535</v>
      </c>
      <c r="AJ3" s="179" t="s">
        <v>3536</v>
      </c>
      <c r="AK3" s="179" t="s">
        <v>3537</v>
      </c>
      <c r="AL3" s="179" t="s">
        <v>3538</v>
      </c>
      <c r="AM3" s="179" t="s">
        <v>3539</v>
      </c>
      <c r="AN3" s="179" t="s">
        <v>3540</v>
      </c>
      <c r="AO3" s="179" t="s">
        <v>3541</v>
      </c>
      <c r="AP3" s="179" t="s">
        <v>3542</v>
      </c>
      <c r="AQ3" s="179" t="s">
        <v>3543</v>
      </c>
      <c r="AR3" s="179" t="s">
        <v>3544</v>
      </c>
      <c r="AS3" s="179" t="s">
        <v>3545</v>
      </c>
      <c r="AT3" s="179" t="s">
        <v>3546</v>
      </c>
      <c r="AU3" s="179" t="s">
        <v>3547</v>
      </c>
      <c r="AV3" s="179" t="s">
        <v>3548</v>
      </c>
      <c r="AW3" s="179" t="s">
        <v>3549</v>
      </c>
      <c r="AX3" s="179" t="s">
        <v>3550</v>
      </c>
      <c r="AY3" s="179" t="s">
        <v>3551</v>
      </c>
      <c r="AZ3" s="179" t="s">
        <v>3552</v>
      </c>
      <c r="BA3" s="179" t="s">
        <v>3553</v>
      </c>
      <c r="BB3" s="179" t="s">
        <v>3554</v>
      </c>
      <c r="BC3" s="179" t="s">
        <v>3555</v>
      </c>
      <c r="BD3" s="179" t="s">
        <v>3556</v>
      </c>
      <c r="BE3" s="179" t="s">
        <v>3557</v>
      </c>
      <c r="BF3" s="179" t="s">
        <v>3558</v>
      </c>
      <c r="BG3" s="179" t="s">
        <v>3559</v>
      </c>
      <c r="BH3" s="179" t="s">
        <v>3560</v>
      </c>
      <c r="BI3" s="179" t="s">
        <v>3561</v>
      </c>
      <c r="BJ3" s="179" t="s">
        <v>3562</v>
      </c>
      <c r="BK3" s="179" t="s">
        <v>3563</v>
      </c>
      <c r="BL3" s="179" t="s">
        <v>3564</v>
      </c>
      <c r="BM3" s="179" t="s">
        <v>3565</v>
      </c>
      <c r="BN3" s="179" t="s">
        <v>3566</v>
      </c>
      <c r="BO3" s="179" t="s">
        <v>3567</v>
      </c>
      <c r="BP3" s="179" t="s">
        <v>3568</v>
      </c>
      <c r="BQ3" s="179" t="s">
        <v>3569</v>
      </c>
      <c r="BR3" s="179" t="s">
        <v>3570</v>
      </c>
      <c r="BS3" s="179" t="s">
        <v>3571</v>
      </c>
      <c r="BT3" s="179" t="s">
        <v>3572</v>
      </c>
      <c r="BU3" s="179" t="s">
        <v>3573</v>
      </c>
      <c r="BV3" s="179" t="s">
        <v>3574</v>
      </c>
      <c r="BW3" s="179" t="s">
        <v>3575</v>
      </c>
      <c r="BX3" s="179" t="s">
        <v>3576</v>
      </c>
      <c r="BY3" s="179" t="s">
        <v>3577</v>
      </c>
      <c r="BZ3" s="179" t="s">
        <v>3578</v>
      </c>
      <c r="CA3" s="179" t="s">
        <v>3579</v>
      </c>
      <c r="CB3" s="179" t="s">
        <v>3580</v>
      </c>
      <c r="CC3" s="179" t="s">
        <v>3581</v>
      </c>
      <c r="CD3" s="179" t="s">
        <v>3582</v>
      </c>
      <c r="CE3" s="179" t="s">
        <v>3583</v>
      </c>
      <c r="CF3" s="179" t="s">
        <v>3584</v>
      </c>
      <c r="CG3" s="179" t="s">
        <v>3585</v>
      </c>
      <c r="CH3" s="179" t="s">
        <v>3586</v>
      </c>
      <c r="CI3" s="179" t="s">
        <v>3587</v>
      </c>
      <c r="CJ3" s="179" t="s">
        <v>3588</v>
      </c>
      <c r="CK3" s="179" t="s">
        <v>3589</v>
      </c>
      <c r="CL3" s="179" t="s">
        <v>3590</v>
      </c>
      <c r="CM3" s="179" t="s">
        <v>3591</v>
      </c>
      <c r="CN3" s="179" t="s">
        <v>3592</v>
      </c>
      <c r="CO3" s="179" t="s">
        <v>3593</v>
      </c>
      <c r="CP3" s="179" t="s">
        <v>3594</v>
      </c>
      <c r="CQ3" s="179" t="s">
        <v>3595</v>
      </c>
      <c r="CR3" s="179" t="s">
        <v>3596</v>
      </c>
      <c r="CS3" s="179" t="s">
        <v>3597</v>
      </c>
      <c r="CT3" s="179" t="s">
        <v>3598</v>
      </c>
      <c r="CU3" s="179" t="s">
        <v>3599</v>
      </c>
      <c r="CV3" s="179" t="s">
        <v>3600</v>
      </c>
      <c r="CW3" s="179" t="s">
        <v>3601</v>
      </c>
      <c r="CX3" s="179" t="s">
        <v>3602</v>
      </c>
      <c r="CY3" s="179" t="s">
        <v>3603</v>
      </c>
      <c r="CZ3" s="179" t="s">
        <v>3604</v>
      </c>
      <c r="DA3" s="179" t="s">
        <v>3605</v>
      </c>
      <c r="DB3" s="179" t="s">
        <v>3606</v>
      </c>
      <c r="DC3" s="179" t="s">
        <v>3607</v>
      </c>
      <c r="DD3" s="179" t="s">
        <v>3608</v>
      </c>
      <c r="DE3" s="179" t="s">
        <v>3609</v>
      </c>
      <c r="DF3" s="179" t="s">
        <v>3610</v>
      </c>
      <c r="DG3" s="179" t="s">
        <v>3611</v>
      </c>
      <c r="DH3" s="179" t="s">
        <v>3612</v>
      </c>
      <c r="DI3" s="179" t="s">
        <v>3613</v>
      </c>
      <c r="DJ3" s="179" t="s">
        <v>3614</v>
      </c>
      <c r="DK3" s="179" t="s">
        <v>3615</v>
      </c>
      <c r="DL3" s="179" t="s">
        <v>3616</v>
      </c>
      <c r="DM3" s="179" t="s">
        <v>3617</v>
      </c>
      <c r="DN3" s="179" t="s">
        <v>3618</v>
      </c>
      <c r="DO3" s="179" t="s">
        <v>3619</v>
      </c>
      <c r="DP3" s="179" t="s">
        <v>3620</v>
      </c>
      <c r="DQ3" s="179" t="s">
        <v>3621</v>
      </c>
      <c r="DR3" s="179" t="s">
        <v>3622</v>
      </c>
      <c r="DS3" s="179" t="s">
        <v>3623</v>
      </c>
      <c r="DT3" s="179" t="s">
        <v>3624</v>
      </c>
      <c r="DU3" s="179" t="s">
        <v>3625</v>
      </c>
      <c r="DV3" s="179" t="s">
        <v>3626</v>
      </c>
      <c r="DW3" s="179" t="s">
        <v>3627</v>
      </c>
      <c r="DX3" s="179" t="s">
        <v>3628</v>
      </c>
      <c r="DY3" s="179" t="s">
        <v>3629</v>
      </c>
      <c r="DZ3" s="179" t="s">
        <v>3630</v>
      </c>
      <c r="EA3" s="179" t="s">
        <v>3631</v>
      </c>
      <c r="EB3" s="179" t="s">
        <v>3632</v>
      </c>
      <c r="EC3" s="179" t="s">
        <v>3633</v>
      </c>
      <c r="ED3" s="179" t="s">
        <v>3634</v>
      </c>
      <c r="EE3" s="179" t="s">
        <v>3635</v>
      </c>
      <c r="EF3" s="179" t="s">
        <v>3636</v>
      </c>
      <c r="EG3" s="179" t="s">
        <v>3637</v>
      </c>
      <c r="EH3" s="179" t="s">
        <v>3638</v>
      </c>
      <c r="EI3" s="179" t="s">
        <v>3639</v>
      </c>
      <c r="EJ3" s="179" t="s">
        <v>3640</v>
      </c>
      <c r="EK3" s="179" t="s">
        <v>3641</v>
      </c>
      <c r="EL3" s="179" t="s">
        <v>3642</v>
      </c>
      <c r="EM3" s="179" t="s">
        <v>3643</v>
      </c>
      <c r="EN3" s="179" t="s">
        <v>3644</v>
      </c>
      <c r="EO3" s="179" t="s">
        <v>3645</v>
      </c>
      <c r="EP3" s="179" t="s">
        <v>3646</v>
      </c>
      <c r="EQ3" s="179" t="s">
        <v>3647</v>
      </c>
      <c r="ER3" s="179" t="s">
        <v>3648</v>
      </c>
      <c r="ES3" s="179" t="s">
        <v>3649</v>
      </c>
      <c r="ET3" s="179" t="s">
        <v>3650</v>
      </c>
      <c r="EU3" s="179" t="s">
        <v>3651</v>
      </c>
      <c r="EV3" s="179" t="s">
        <v>3652</v>
      </c>
      <c r="EW3" s="179" t="s">
        <v>3653</v>
      </c>
      <c r="EX3" s="179" t="s">
        <v>3654</v>
      </c>
      <c r="EY3" s="179" t="s">
        <v>3655</v>
      </c>
      <c r="EZ3" s="179" t="s">
        <v>3656</v>
      </c>
      <c r="FA3" s="179" t="s">
        <v>3657</v>
      </c>
      <c r="FB3" s="186" t="s">
        <v>3658</v>
      </c>
    </row>
    <row r="4" spans="2:160" ht="12.75" customHeight="1" x14ac:dyDescent="0.3">
      <c r="B4" s="171" t="s">
        <v>3659</v>
      </c>
      <c r="C4" s="106" t="s">
        <v>3660</v>
      </c>
      <c r="D4" s="172">
        <f>VOLUME.aR</f>
        <v>229569931129000</v>
      </c>
      <c r="E4" s="172">
        <f>VOLUME.aR</f>
        <v>229569931129000</v>
      </c>
      <c r="F4" s="172">
        <f>VOLUME.aR</f>
        <v>229569931129000</v>
      </c>
      <c r="G4" s="172">
        <f>VOLUME.aR</f>
        <v>229569931129000</v>
      </c>
      <c r="H4" s="172">
        <f>VOLUME.cwR</f>
        <v>68870979.338699996</v>
      </c>
      <c r="I4" s="172">
        <f>VOLUME.cwR</f>
        <v>68870979.338699996</v>
      </c>
      <c r="J4" s="172">
        <f>VOLUME.cwR</f>
        <v>68870979.338699996</v>
      </c>
      <c r="K4" s="172">
        <f>VOLUME.w0R</f>
        <v>57142500000</v>
      </c>
      <c r="L4" s="172">
        <f>VOLUME.w0R</f>
        <v>57142500000</v>
      </c>
      <c r="M4" s="172">
        <f>VOLUME.w0R</f>
        <v>57142500000</v>
      </c>
      <c r="N4" s="172">
        <f>VOLUME.w0R</f>
        <v>57142500000</v>
      </c>
      <c r="O4" s="172">
        <f>VOLUME.w1R</f>
        <v>18857025000</v>
      </c>
      <c r="P4" s="172">
        <f>VOLUME.w1R</f>
        <v>18857025000</v>
      </c>
      <c r="Q4" s="172">
        <f>VOLUME.w1R</f>
        <v>18857025000</v>
      </c>
      <c r="R4" s="172">
        <f>VOLUME.w1R</f>
        <v>18857025000</v>
      </c>
      <c r="S4" s="172">
        <f>VOLUME.w2R</f>
        <v>10000000000.000011</v>
      </c>
      <c r="T4" s="172">
        <f>VOLUME.w2R</f>
        <v>10000000000.000011</v>
      </c>
      <c r="U4" s="172">
        <f>VOLUME.w2R</f>
        <v>10000000000.000011</v>
      </c>
      <c r="V4" s="172">
        <f>VOLUME.w2R</f>
        <v>10000000000.000011</v>
      </c>
      <c r="W4" s="172">
        <f>VOLUME.sd0R</f>
        <v>17142750</v>
      </c>
      <c r="X4" s="172">
        <f>VOLUME.sd0R</f>
        <v>17142750</v>
      </c>
      <c r="Y4" s="172">
        <f>VOLUME.sd0R</f>
        <v>17142750</v>
      </c>
      <c r="Z4" s="172">
        <f>VOLUME.sd0R</f>
        <v>17142750</v>
      </c>
      <c r="AA4" s="172">
        <f>VOLUME.sd1R</f>
        <v>188570250</v>
      </c>
      <c r="AB4" s="172">
        <f>VOLUME.sd1R</f>
        <v>188570250</v>
      </c>
      <c r="AC4" s="172">
        <f>VOLUME.sd1R</f>
        <v>188570250</v>
      </c>
      <c r="AD4" s="172">
        <f>VOLUME.sd1R</f>
        <v>188570250</v>
      </c>
      <c r="AE4" s="172">
        <f>VOLUME.sd2R</f>
        <v>30000000.00000003</v>
      </c>
      <c r="AF4" s="172">
        <f>VOLUME.sd2R</f>
        <v>30000000.00000003</v>
      </c>
      <c r="AG4" s="172">
        <f>VOLUME.sd2R</f>
        <v>30000000.00000003</v>
      </c>
      <c r="AH4" s="172">
        <f>VOLUME.sd2R</f>
        <v>30000000.00000003</v>
      </c>
      <c r="AI4" s="172">
        <f>VOLUME.s1R</f>
        <v>3085695000.0000005</v>
      </c>
      <c r="AJ4" s="172">
        <f>VOLUME.s1R</f>
        <v>3085695000.0000005</v>
      </c>
      <c r="AK4" s="172">
        <f>VOLUME.s1R</f>
        <v>3085695000.0000005</v>
      </c>
      <c r="AL4" s="172">
        <f>VOLUME.s1R</f>
        <v>3085695000.0000005</v>
      </c>
      <c r="AM4" s="172">
        <f>VOLUME.s2R</f>
        <v>27428400000</v>
      </c>
      <c r="AN4" s="172">
        <f>VOLUME.s2R</f>
        <v>27428400000</v>
      </c>
      <c r="AO4" s="172">
        <f>VOLUME.s2R</f>
        <v>27428400000</v>
      </c>
      <c r="AP4" s="172">
        <f>VOLUME.s2R</f>
        <v>27428400000</v>
      </c>
      <c r="AQ4" s="172">
        <f>VOLUME.s3R</f>
        <v>1142850000</v>
      </c>
      <c r="AR4" s="172">
        <f>VOLUME.s3R</f>
        <v>1142850000</v>
      </c>
      <c r="AS4" s="172">
        <f>VOLUME.s3R</f>
        <v>1142850000</v>
      </c>
      <c r="AT4" s="172">
        <f>VOLUME.s3R</f>
        <v>1142850000</v>
      </c>
      <c r="AU4" s="172">
        <f>VOLUME.aC</f>
        <v>7199247840225000</v>
      </c>
      <c r="AV4" s="172">
        <f>VOLUME.aC</f>
        <v>7199247840225000</v>
      </c>
      <c r="AW4" s="172">
        <f>VOLUME.aC</f>
        <v>7199247840225000</v>
      </c>
      <c r="AX4" s="172">
        <f>VOLUME.aC</f>
        <v>7199247840225000</v>
      </c>
      <c r="AY4" s="172">
        <f>VOLUME.cwC</f>
        <v>2159774352.0675001</v>
      </c>
      <c r="AZ4" s="172">
        <f>VOLUME.cwC</f>
        <v>2159774352.0675001</v>
      </c>
      <c r="BA4" s="172">
        <f>VOLUME.cwC</f>
        <v>2159774352.0675001</v>
      </c>
      <c r="BB4" s="172">
        <f>VOLUME.w0C</f>
        <v>871460000000</v>
      </c>
      <c r="BC4" s="172">
        <f>VOLUME.w0C</f>
        <v>871460000000</v>
      </c>
      <c r="BD4" s="172">
        <f>VOLUME.w0C</f>
        <v>871460000000</v>
      </c>
      <c r="BE4" s="172">
        <f>VOLUME.w0C</f>
        <v>871460000000</v>
      </c>
      <c r="BF4" s="172">
        <f>VOLUME.w1C</f>
        <v>287581800000</v>
      </c>
      <c r="BG4" s="172">
        <f>VOLUME.w1C</f>
        <v>287581800000</v>
      </c>
      <c r="BH4" s="172">
        <f>VOLUME.w1C</f>
        <v>287581800000</v>
      </c>
      <c r="BI4" s="172">
        <f>VOLUME.w1C</f>
        <v>287581800000</v>
      </c>
      <c r="BJ4" s="172">
        <f>VOLUME.w2C</f>
        <v>742682000000000</v>
      </c>
      <c r="BK4" s="172">
        <f>VOLUME.w2C</f>
        <v>742682000000000</v>
      </c>
      <c r="BL4" s="172">
        <f>VOLUME.w2C</f>
        <v>742682000000000</v>
      </c>
      <c r="BM4" s="172">
        <f>VOLUME.w2C</f>
        <v>742682000000000</v>
      </c>
      <c r="BN4" s="172">
        <f>VOLUME.sd0C</f>
        <v>261438000</v>
      </c>
      <c r="BO4" s="172">
        <f>VOLUME.sd0C</f>
        <v>261438000</v>
      </c>
      <c r="BP4" s="172">
        <f>VOLUME.sd0C</f>
        <v>261438000</v>
      </c>
      <c r="BQ4" s="172">
        <f>VOLUME.sd0C</f>
        <v>261438000</v>
      </c>
      <c r="BR4" s="172">
        <f>VOLUME.sd1C</f>
        <v>2875818000</v>
      </c>
      <c r="BS4" s="172">
        <f>VOLUME.sd1C</f>
        <v>2875818000</v>
      </c>
      <c r="BT4" s="172">
        <f>VOLUME.sd1C</f>
        <v>2875818000</v>
      </c>
      <c r="BU4" s="172">
        <f>VOLUME.sd1C</f>
        <v>2875818000</v>
      </c>
      <c r="BV4" s="172">
        <f>VOLUME.sd2C</f>
        <v>111402300000</v>
      </c>
      <c r="BW4" s="172">
        <f>VOLUME.sd2C</f>
        <v>111402300000</v>
      </c>
      <c r="BX4" s="172">
        <f>VOLUME.sd2C</f>
        <v>111402300000</v>
      </c>
      <c r="BY4" s="172">
        <f>VOLUME.sd2C</f>
        <v>111402300000</v>
      </c>
      <c r="BZ4" s="172">
        <f>VOLUME.s1C</f>
        <v>47058840000.000015</v>
      </c>
      <c r="CA4" s="172">
        <f>VOLUME.s1C</f>
        <v>47058840000.000015</v>
      </c>
      <c r="CB4" s="172">
        <f>VOLUME.s1C</f>
        <v>47058840000.000015</v>
      </c>
      <c r="CC4" s="172">
        <f>VOLUME.s1C</f>
        <v>47058840000.000015</v>
      </c>
      <c r="CD4" s="172">
        <f>VOLUME.s2C</f>
        <v>418300800000.00006</v>
      </c>
      <c r="CE4" s="172">
        <f>VOLUME.s2C</f>
        <v>418300800000.00006</v>
      </c>
      <c r="CF4" s="172">
        <f>VOLUME.s2C</f>
        <v>418300800000.00006</v>
      </c>
      <c r="CG4" s="172">
        <f>VOLUME.s2C</f>
        <v>418300800000.00006</v>
      </c>
      <c r="CH4" s="172">
        <f>VOLUME.s3C</f>
        <v>17429200000</v>
      </c>
      <c r="CI4" s="172">
        <f>VOLUME.s3C</f>
        <v>17429200000</v>
      </c>
      <c r="CJ4" s="172">
        <f>VOLUME.s3C</f>
        <v>17429200000</v>
      </c>
      <c r="CK4" s="172">
        <f>VOLUME.s3C</f>
        <v>17429200000</v>
      </c>
      <c r="CL4" s="172">
        <f>VOLUME.aM</f>
        <v>7.7571156728646E+16</v>
      </c>
      <c r="CM4" s="172">
        <f>VOLUME.aM</f>
        <v>7.7571156728646E+16</v>
      </c>
      <c r="CN4" s="172">
        <f>VOLUME.aM</f>
        <v>7.7571156728646E+16</v>
      </c>
      <c r="CO4" s="172">
        <f>VOLUME.aM</f>
        <v>7.7571156728646E+16</v>
      </c>
      <c r="CP4" s="172">
        <f>VOLUME.cwM</f>
        <v>23271347018.5938</v>
      </c>
      <c r="CQ4" s="172">
        <f>VOLUME.cwM</f>
        <v>23271347018.5938</v>
      </c>
      <c r="CR4" s="172">
        <f>VOLUME.cwM</f>
        <v>23271347018.5938</v>
      </c>
      <c r="CS4" s="172">
        <f>VOLUME.w2M</f>
        <v>3878559000000000</v>
      </c>
      <c r="CT4" s="172">
        <f>VOLUME.w2M</f>
        <v>3878559000000000</v>
      </c>
      <c r="CU4" s="172">
        <f>VOLUME.w2M</f>
        <v>3878559000000000</v>
      </c>
      <c r="CV4" s="172">
        <f>VOLUME.w2M</f>
        <v>3878559000000000</v>
      </c>
      <c r="CW4" s="172">
        <f>VOLUME.w3M</f>
        <v>1.1635677E+17</v>
      </c>
      <c r="CX4" s="172">
        <f>VOLUME.w3M</f>
        <v>1.1635677E+17</v>
      </c>
      <c r="CY4" s="172">
        <f>VOLUME.w3M</f>
        <v>1.1635677E+17</v>
      </c>
      <c r="CZ4" s="172">
        <f>VOLUME.w3M</f>
        <v>1.1635677E+17</v>
      </c>
      <c r="DA4" s="172">
        <f>VOLUME.sdM</f>
        <v>1163567700000</v>
      </c>
      <c r="DB4" s="172">
        <f>VOLUME.sdM</f>
        <v>1163567700000</v>
      </c>
      <c r="DC4" s="172">
        <f>VOLUME.sdM</f>
        <v>1163567700000</v>
      </c>
      <c r="DD4" s="172">
        <f>VOLUME.sdM</f>
        <v>1163567700000</v>
      </c>
      <c r="DE4" s="172">
        <f>VOLUME.sM</f>
        <v>1939279500000</v>
      </c>
      <c r="DF4" s="172">
        <f>VOLUME.sM</f>
        <v>1939279500000</v>
      </c>
      <c r="DG4" s="172">
        <f>VOLUME.sM</f>
        <v>1939279500000</v>
      </c>
      <c r="DH4" s="172">
        <f>VOLUME.sM</f>
        <v>1939279500000</v>
      </c>
      <c r="DI4" s="172">
        <f>VOLUME.aA</f>
        <v>4.249998725E+16</v>
      </c>
      <c r="DJ4" s="172">
        <f>VOLUME.aA</f>
        <v>4.249998725E+16</v>
      </c>
      <c r="DK4" s="172">
        <f>VOLUME.aA</f>
        <v>4.249998725E+16</v>
      </c>
      <c r="DL4" s="172">
        <f>VOLUME.aA</f>
        <v>4.249998725E+16</v>
      </c>
      <c r="DM4" s="172">
        <f>VOLUME.cwA</f>
        <v>12749996175</v>
      </c>
      <c r="DN4" s="172">
        <f>VOLUME.cwA</f>
        <v>12749996175</v>
      </c>
      <c r="DO4" s="172">
        <f>VOLUME.cwA</f>
        <v>12749996175</v>
      </c>
      <c r="DP4" s="172">
        <f>VOLUME.w2A</f>
        <v>2550000000000000</v>
      </c>
      <c r="DQ4" s="172">
        <f>VOLUME.w2A</f>
        <v>2550000000000000</v>
      </c>
      <c r="DR4" s="172">
        <f>VOLUME.w2A</f>
        <v>2550000000000000</v>
      </c>
      <c r="DS4" s="172">
        <f>VOLUME.w2A</f>
        <v>2550000000000000</v>
      </c>
      <c r="DT4" s="172">
        <f>VOLUME.w3A</f>
        <v>7.65E+16</v>
      </c>
      <c r="DU4" s="172">
        <f>VOLUME.w3A</f>
        <v>7.65E+16</v>
      </c>
      <c r="DV4" s="172">
        <f>VOLUME.w3A</f>
        <v>7.65E+16</v>
      </c>
      <c r="DW4" s="172">
        <f>VOLUME.w3A</f>
        <v>7.65E+16</v>
      </c>
      <c r="DX4" s="172">
        <f>VOLUME.sdA</f>
        <v>765000000000</v>
      </c>
      <c r="DY4" s="172">
        <f>VOLUME.sdA</f>
        <v>765000000000</v>
      </c>
      <c r="DZ4" s="172">
        <f>VOLUME.sdA</f>
        <v>765000000000</v>
      </c>
      <c r="EA4" s="172">
        <f>VOLUME.sdA</f>
        <v>765000000000</v>
      </c>
      <c r="EB4" s="172">
        <f>VOLUME.sA</f>
        <v>850000000000</v>
      </c>
      <c r="EC4" s="172">
        <f>VOLUME.sA</f>
        <v>850000000000</v>
      </c>
      <c r="ED4" s="172">
        <f>VOLUME.sA</f>
        <v>850000000000</v>
      </c>
      <c r="EE4" s="172">
        <f>VOLUME.sA</f>
        <v>850000000000</v>
      </c>
      <c r="EF4" s="172">
        <f>VOLUME.aT</f>
        <v>1.2749996175E+17</v>
      </c>
      <c r="EG4" s="172">
        <f>VOLUME.aT</f>
        <v>1.2749996175E+17</v>
      </c>
      <c r="EH4" s="172">
        <f>VOLUME.aT</f>
        <v>1.2749996175E+17</v>
      </c>
      <c r="EI4" s="172">
        <f>VOLUME.aT</f>
        <v>1.2749996175E+17</v>
      </c>
      <c r="EJ4" s="172">
        <f>VOLUME.cwT</f>
        <v>38249988525</v>
      </c>
      <c r="EK4" s="172">
        <f>VOLUME.cwT</f>
        <v>38249988525</v>
      </c>
      <c r="EL4" s="172">
        <f>VOLUME.cwT</f>
        <v>38249988525</v>
      </c>
      <c r="EM4" s="172">
        <f>VOLUME.w2T</f>
        <v>8924999999999999</v>
      </c>
      <c r="EN4" s="172">
        <f>VOLUME.w2T</f>
        <v>8924999999999999</v>
      </c>
      <c r="EO4" s="172">
        <f>VOLUME.w2T</f>
        <v>8924999999999999</v>
      </c>
      <c r="EP4" s="172">
        <f>VOLUME.w2T</f>
        <v>8924999999999999</v>
      </c>
      <c r="EQ4" s="172">
        <f>VOLUME.w3T</f>
        <v>2.6774999999999997E+17</v>
      </c>
      <c r="ER4" s="172">
        <f>VOLUME.w3T</f>
        <v>2.6774999999999997E+17</v>
      </c>
      <c r="ES4" s="172">
        <f>VOLUME.w3T</f>
        <v>2.6774999999999997E+17</v>
      </c>
      <c r="ET4" s="172">
        <f>VOLUME.w3T</f>
        <v>2.6774999999999997E+17</v>
      </c>
      <c r="EU4" s="172">
        <f>VOLUME.sdT</f>
        <v>2677500000000</v>
      </c>
      <c r="EV4" s="172">
        <f>VOLUME.sdT</f>
        <v>2677500000000</v>
      </c>
      <c r="EW4" s="172">
        <f>VOLUME.sdT</f>
        <v>2677500000000</v>
      </c>
      <c r="EX4" s="172">
        <f>VOLUME.sdT</f>
        <v>2677500000000</v>
      </c>
      <c r="EY4" s="177">
        <f>VOLUME.sT</f>
        <v>1912500000000.0005</v>
      </c>
      <c r="EZ4" s="177">
        <f>VOLUME.sT</f>
        <v>1912500000000.0005</v>
      </c>
      <c r="FA4" s="177">
        <f>VOLUME.sT</f>
        <v>1912500000000.0005</v>
      </c>
      <c r="FB4" s="184">
        <f>VOLUME.sT</f>
        <v>1912500000000.0005</v>
      </c>
    </row>
    <row r="5" spans="2:160" ht="12.75" customHeight="1" x14ac:dyDescent="0.3">
      <c r="B5" s="173" t="s">
        <v>3661</v>
      </c>
      <c r="C5" s="107" t="s">
        <v>3662</v>
      </c>
      <c r="D5" s="174">
        <f>E.aRG</f>
        <v>0</v>
      </c>
      <c r="E5" s="174">
        <f>E.aRS</f>
        <v>2.1571287063785434</v>
      </c>
      <c r="F5" s="297">
        <v>0</v>
      </c>
      <c r="G5" s="297">
        <v>0</v>
      </c>
      <c r="H5" s="297">
        <v>0</v>
      </c>
      <c r="I5" s="297">
        <v>0</v>
      </c>
      <c r="J5" s="297">
        <v>0</v>
      </c>
      <c r="K5" s="174">
        <f>E.w0RD</f>
        <v>0</v>
      </c>
      <c r="L5" s="174">
        <f>E.w0RS</f>
        <v>0</v>
      </c>
      <c r="M5" s="297">
        <v>0</v>
      </c>
      <c r="N5" s="297">
        <v>0</v>
      </c>
      <c r="O5" s="174">
        <f>E.w1RD</f>
        <v>0</v>
      </c>
      <c r="P5" s="174">
        <f>E.w1RS</f>
        <v>2.1571287063785434</v>
      </c>
      <c r="Q5" s="297">
        <v>0</v>
      </c>
      <c r="R5" s="297">
        <v>0</v>
      </c>
      <c r="S5" s="174">
        <f>E.w2RD</f>
        <v>0</v>
      </c>
      <c r="T5" s="174">
        <f>E.w2RS</f>
        <v>0</v>
      </c>
      <c r="U5" s="297">
        <v>0</v>
      </c>
      <c r="V5" s="297">
        <v>0</v>
      </c>
      <c r="W5" s="297">
        <v>0</v>
      </c>
      <c r="X5" s="297">
        <v>0</v>
      </c>
      <c r="Y5" s="297">
        <v>0</v>
      </c>
      <c r="Z5" s="297">
        <v>0</v>
      </c>
      <c r="AA5" s="297">
        <v>0</v>
      </c>
      <c r="AB5" s="297">
        <v>0</v>
      </c>
      <c r="AC5" s="297">
        <v>0</v>
      </c>
      <c r="AD5" s="297">
        <v>0</v>
      </c>
      <c r="AE5" s="297">
        <v>0</v>
      </c>
      <c r="AF5" s="297">
        <v>0</v>
      </c>
      <c r="AG5" s="297">
        <v>0</v>
      </c>
      <c r="AH5" s="297">
        <v>0</v>
      </c>
      <c r="AI5" s="174">
        <f>E.s1RD</f>
        <v>0</v>
      </c>
      <c r="AJ5" s="174">
        <f>E.s1RS</f>
        <v>0</v>
      </c>
      <c r="AK5" s="297">
        <v>0</v>
      </c>
      <c r="AL5" s="297">
        <v>0</v>
      </c>
      <c r="AM5" s="174">
        <f>E.s2RD</f>
        <v>0</v>
      </c>
      <c r="AN5" s="174">
        <f>E.s2RS</f>
        <v>2.1571287063785434</v>
      </c>
      <c r="AO5" s="297">
        <v>0</v>
      </c>
      <c r="AP5" s="297">
        <v>0</v>
      </c>
      <c r="AQ5" s="174">
        <f>E.s3RD</f>
        <v>0</v>
      </c>
      <c r="AR5" s="174">
        <f>E.s3RS</f>
        <v>0</v>
      </c>
      <c r="AS5" s="297">
        <v>0</v>
      </c>
      <c r="AT5" s="297">
        <v>0</v>
      </c>
      <c r="AU5" s="174">
        <f>E.aCG</f>
        <v>0</v>
      </c>
      <c r="AV5" s="174">
        <f>E.aCS</f>
        <v>0</v>
      </c>
      <c r="AW5" s="297">
        <v>0</v>
      </c>
      <c r="AX5" s="297">
        <v>0</v>
      </c>
      <c r="AY5" s="297">
        <v>0</v>
      </c>
      <c r="AZ5" s="297">
        <v>0</v>
      </c>
      <c r="BA5" s="297">
        <v>0</v>
      </c>
      <c r="BB5" s="174">
        <f>E.w0CD</f>
        <v>0</v>
      </c>
      <c r="BC5" s="174">
        <f>E.w0CS</f>
        <v>0</v>
      </c>
      <c r="BD5" s="297">
        <v>0</v>
      </c>
      <c r="BE5" s="297">
        <v>0</v>
      </c>
      <c r="BF5" s="174">
        <f>E.w1CD</f>
        <v>0</v>
      </c>
      <c r="BG5" s="174">
        <f>E.w1CS</f>
        <v>0</v>
      </c>
      <c r="BH5" s="297">
        <v>0</v>
      </c>
      <c r="BI5" s="297">
        <v>0</v>
      </c>
      <c r="BJ5" s="174">
        <f>E.w2CD</f>
        <v>0</v>
      </c>
      <c r="BK5" s="174">
        <f>E.w2CS</f>
        <v>0</v>
      </c>
      <c r="BL5" s="297">
        <v>0</v>
      </c>
      <c r="BM5" s="297">
        <v>0</v>
      </c>
      <c r="BN5" s="297">
        <v>0</v>
      </c>
      <c r="BO5" s="297">
        <v>0</v>
      </c>
      <c r="BP5" s="297">
        <v>0</v>
      </c>
      <c r="BQ5" s="297">
        <v>0</v>
      </c>
      <c r="BR5" s="297">
        <v>0</v>
      </c>
      <c r="BS5" s="297">
        <v>0</v>
      </c>
      <c r="BT5" s="297">
        <v>0</v>
      </c>
      <c r="BU5" s="297">
        <v>0</v>
      </c>
      <c r="BV5" s="297">
        <v>0</v>
      </c>
      <c r="BW5" s="297">
        <v>0</v>
      </c>
      <c r="BX5" s="297">
        <v>0</v>
      </c>
      <c r="BY5" s="297">
        <v>0</v>
      </c>
      <c r="BZ5" s="174">
        <f>E.s1CD</f>
        <v>0</v>
      </c>
      <c r="CA5" s="174">
        <f>E.s1CS</f>
        <v>0</v>
      </c>
      <c r="CB5" s="297">
        <v>0</v>
      </c>
      <c r="CC5" s="297">
        <v>0</v>
      </c>
      <c r="CD5" s="174">
        <f>E.s2CD</f>
        <v>0</v>
      </c>
      <c r="CE5" s="174">
        <f>E.s2CS</f>
        <v>0</v>
      </c>
      <c r="CF5" s="297">
        <v>0</v>
      </c>
      <c r="CG5" s="297">
        <v>0</v>
      </c>
      <c r="CH5" s="174">
        <f>E.s3CD</f>
        <v>0</v>
      </c>
      <c r="CI5" s="174">
        <f>E.s3CS</f>
        <v>0</v>
      </c>
      <c r="CJ5" s="297">
        <v>0</v>
      </c>
      <c r="CK5" s="297">
        <v>0</v>
      </c>
      <c r="CL5" s="174">
        <f>E.aMG</f>
        <v>0</v>
      </c>
      <c r="CM5" s="174">
        <f>E.aMS</f>
        <v>0</v>
      </c>
      <c r="CN5" s="297">
        <v>0</v>
      </c>
      <c r="CO5" s="297">
        <v>0</v>
      </c>
      <c r="CP5" s="297">
        <v>0</v>
      </c>
      <c r="CQ5" s="297">
        <v>0</v>
      </c>
      <c r="CR5" s="297">
        <v>0</v>
      </c>
      <c r="CS5" s="174">
        <f>E.w2MD</f>
        <v>0</v>
      </c>
      <c r="CT5" s="174">
        <f>E.w2MS</f>
        <v>0</v>
      </c>
      <c r="CU5" s="297">
        <v>0</v>
      </c>
      <c r="CV5" s="297">
        <v>0</v>
      </c>
      <c r="CW5" s="297">
        <v>0</v>
      </c>
      <c r="CX5" s="297">
        <v>0</v>
      </c>
      <c r="CY5" s="297">
        <v>0</v>
      </c>
      <c r="CZ5" s="297">
        <v>0</v>
      </c>
      <c r="DA5" s="298">
        <v>0</v>
      </c>
      <c r="DB5" s="298">
        <v>0</v>
      </c>
      <c r="DC5" s="298">
        <v>0</v>
      </c>
      <c r="DD5" s="298">
        <v>0</v>
      </c>
      <c r="DE5" s="174">
        <f>E.sMD</f>
        <v>0</v>
      </c>
      <c r="DF5" s="174">
        <f>E.sMS</f>
        <v>0</v>
      </c>
      <c r="DG5" s="297">
        <v>0</v>
      </c>
      <c r="DH5" s="297">
        <v>0</v>
      </c>
      <c r="DI5" s="174">
        <f>E.aAG</f>
        <v>0</v>
      </c>
      <c r="DJ5" s="174">
        <f>E.aAS</f>
        <v>0</v>
      </c>
      <c r="DK5" s="297">
        <v>0</v>
      </c>
      <c r="DL5" s="297">
        <v>0</v>
      </c>
      <c r="DM5" s="297">
        <v>0</v>
      </c>
      <c r="DN5" s="297">
        <v>0</v>
      </c>
      <c r="DO5" s="297">
        <v>0</v>
      </c>
      <c r="DP5" s="174">
        <f>E.w2AD</f>
        <v>0</v>
      </c>
      <c r="DQ5" s="174">
        <f>E.w2AS</f>
        <v>0</v>
      </c>
      <c r="DR5" s="297">
        <v>0</v>
      </c>
      <c r="DS5" s="297">
        <v>0</v>
      </c>
      <c r="DT5" s="297">
        <v>0</v>
      </c>
      <c r="DU5" s="297">
        <v>0</v>
      </c>
      <c r="DV5" s="297">
        <v>0</v>
      </c>
      <c r="DW5" s="297">
        <v>0</v>
      </c>
      <c r="DX5" s="298">
        <v>0</v>
      </c>
      <c r="DY5" s="298">
        <v>0</v>
      </c>
      <c r="DZ5" s="298">
        <v>0</v>
      </c>
      <c r="EA5" s="298">
        <v>0</v>
      </c>
      <c r="EB5" s="174">
        <f>E.sAD</f>
        <v>0</v>
      </c>
      <c r="EC5" s="174">
        <f>E.sAS</f>
        <v>0</v>
      </c>
      <c r="ED5" s="297">
        <v>0</v>
      </c>
      <c r="EE5" s="297">
        <v>0</v>
      </c>
      <c r="EF5" s="174">
        <f>E.aTG</f>
        <v>0</v>
      </c>
      <c r="EG5" s="174">
        <f>E.aTS</f>
        <v>0</v>
      </c>
      <c r="EH5" s="297">
        <v>0</v>
      </c>
      <c r="EI5" s="297">
        <v>0</v>
      </c>
      <c r="EJ5" s="297">
        <v>0</v>
      </c>
      <c r="EK5" s="297">
        <v>0</v>
      </c>
      <c r="EL5" s="297">
        <v>0</v>
      </c>
      <c r="EM5" s="174">
        <f>E.w2TD</f>
        <v>0</v>
      </c>
      <c r="EN5" s="174">
        <f>E.w2TS</f>
        <v>0</v>
      </c>
      <c r="EO5" s="297">
        <v>0</v>
      </c>
      <c r="EP5" s="297">
        <v>0</v>
      </c>
      <c r="EQ5" s="297">
        <v>0</v>
      </c>
      <c r="ER5" s="297">
        <v>0</v>
      </c>
      <c r="ES5" s="297">
        <v>0</v>
      </c>
      <c r="ET5" s="297">
        <v>0</v>
      </c>
      <c r="EU5" s="298">
        <v>0</v>
      </c>
      <c r="EV5" s="298">
        <v>0</v>
      </c>
      <c r="EW5" s="298">
        <v>0</v>
      </c>
      <c r="EX5" s="298">
        <v>0</v>
      </c>
      <c r="EY5" s="174">
        <f>E.sTD</f>
        <v>0</v>
      </c>
      <c r="EZ5" s="174">
        <f>E.sTS</f>
        <v>0</v>
      </c>
      <c r="FA5" s="297">
        <v>0</v>
      </c>
      <c r="FB5" s="343">
        <v>0</v>
      </c>
    </row>
    <row r="6" spans="2:160" ht="12.75" customHeight="1" x14ac:dyDescent="0.3">
      <c r="B6" s="165"/>
      <c r="D6" s="168"/>
      <c r="E6" s="168"/>
      <c r="F6" s="168"/>
      <c r="G6" s="168"/>
      <c r="H6" s="168"/>
      <c r="I6" s="168"/>
      <c r="J6" s="168"/>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8"/>
      <c r="BF6" s="168"/>
      <c r="BG6" s="168"/>
      <c r="BH6" s="168"/>
      <c r="BI6" s="168"/>
      <c r="BJ6" s="168"/>
      <c r="BK6" s="168"/>
      <c r="BL6" s="168"/>
      <c r="BM6" s="168"/>
      <c r="BN6" s="168"/>
      <c r="BO6" s="168"/>
      <c r="BP6" s="168"/>
      <c r="BQ6" s="168"/>
      <c r="BR6" s="168"/>
      <c r="BS6" s="168"/>
      <c r="BT6" s="168"/>
      <c r="BU6" s="168"/>
      <c r="BV6" s="168"/>
      <c r="BW6" s="168"/>
      <c r="BX6" s="168"/>
      <c r="BY6" s="168"/>
      <c r="BZ6" s="168"/>
      <c r="CA6" s="168"/>
      <c r="CB6" s="168"/>
      <c r="CC6" s="168"/>
      <c r="CD6" s="168"/>
      <c r="CE6" s="168"/>
      <c r="CF6" s="168"/>
      <c r="CG6" s="168"/>
      <c r="CH6" s="168"/>
      <c r="CI6" s="168"/>
      <c r="CJ6" s="168"/>
      <c r="CK6" s="168"/>
      <c r="CL6" s="168"/>
      <c r="CM6" s="168"/>
      <c r="CN6" s="168"/>
      <c r="CO6" s="168"/>
      <c r="CP6" s="168"/>
      <c r="CQ6" s="168"/>
      <c r="CR6" s="168"/>
      <c r="CS6" s="168"/>
      <c r="CT6" s="168"/>
      <c r="CU6" s="168"/>
      <c r="CV6" s="168"/>
      <c r="CW6" s="168"/>
      <c r="CX6" s="168"/>
      <c r="CY6" s="168"/>
      <c r="CZ6" s="168"/>
      <c r="DA6" s="168"/>
      <c r="DB6" s="168"/>
      <c r="DC6" s="168"/>
      <c r="DD6" s="168"/>
      <c r="DE6" s="168"/>
      <c r="DF6" s="168"/>
      <c r="DG6" s="168"/>
      <c r="DH6" s="168"/>
      <c r="DI6" s="168"/>
      <c r="DJ6" s="168"/>
      <c r="DK6" s="168"/>
      <c r="DL6" s="168"/>
      <c r="DM6" s="168"/>
      <c r="DN6" s="168"/>
      <c r="DO6" s="168"/>
      <c r="DP6" s="168"/>
      <c r="DQ6" s="168"/>
      <c r="DR6" s="168"/>
      <c r="DS6" s="168"/>
      <c r="DT6" s="168"/>
      <c r="DU6" s="168"/>
      <c r="DV6" s="168"/>
      <c r="DW6" s="168"/>
      <c r="DX6" s="168"/>
      <c r="DY6" s="168"/>
      <c r="DZ6" s="168"/>
      <c r="EA6" s="168"/>
      <c r="EB6" s="168"/>
      <c r="EC6" s="168"/>
      <c r="ED6" s="168"/>
      <c r="EE6" s="168"/>
      <c r="EF6" s="168"/>
      <c r="EG6" s="168"/>
      <c r="EH6" s="168"/>
      <c r="EI6" s="168"/>
      <c r="EJ6" s="168"/>
      <c r="EK6" s="168"/>
      <c r="EL6" s="168"/>
      <c r="EM6" s="168"/>
      <c r="EN6" s="168"/>
      <c r="EO6" s="168"/>
      <c r="EP6" s="168"/>
      <c r="EQ6" s="168"/>
      <c r="ER6" s="168"/>
      <c r="ES6" s="168"/>
      <c r="ET6" s="168"/>
    </row>
    <row r="7" spans="2:160" ht="12.75" customHeight="1" x14ac:dyDescent="0.3">
      <c r="B7" s="175"/>
      <c r="D7" s="176"/>
      <c r="E7" s="176"/>
      <c r="F7" s="176"/>
      <c r="G7" s="176"/>
      <c r="H7" s="176"/>
      <c r="I7" s="176"/>
      <c r="J7" s="176"/>
      <c r="K7" s="176"/>
      <c r="L7" s="176"/>
      <c r="M7" s="176"/>
      <c r="N7" s="176"/>
      <c r="O7" s="176"/>
      <c r="P7" s="176"/>
      <c r="Q7" s="176"/>
      <c r="R7" s="176"/>
      <c r="S7" s="176"/>
      <c r="T7" s="176"/>
      <c r="U7" s="176"/>
      <c r="V7" s="176"/>
      <c r="W7" s="176"/>
      <c r="X7" s="176"/>
      <c r="Y7" s="176"/>
      <c r="Z7" s="176"/>
      <c r="AA7" s="176"/>
      <c r="AB7" s="176"/>
      <c r="AC7" s="176"/>
      <c r="AD7" s="176"/>
      <c r="AE7" s="176"/>
      <c r="AF7" s="176"/>
      <c r="AG7" s="176"/>
      <c r="AH7" s="176"/>
      <c r="AI7" s="176"/>
      <c r="AJ7" s="176"/>
      <c r="AK7" s="176"/>
      <c r="AL7" s="176"/>
      <c r="AM7" s="176"/>
      <c r="AN7" s="176"/>
      <c r="AO7" s="176"/>
      <c r="AP7" s="176"/>
      <c r="AQ7" s="176"/>
      <c r="AR7" s="176"/>
      <c r="AS7" s="176"/>
      <c r="AT7" s="176"/>
      <c r="AU7" s="176"/>
      <c r="AV7" s="176"/>
      <c r="AW7" s="176"/>
      <c r="AX7" s="176"/>
      <c r="AY7" s="176"/>
      <c r="AZ7" s="176"/>
      <c r="BA7" s="176"/>
      <c r="BB7" s="176"/>
      <c r="BC7" s="176"/>
      <c r="BD7" s="176"/>
      <c r="BE7" s="176"/>
      <c r="BF7" s="176"/>
      <c r="BG7" s="176"/>
      <c r="BH7" s="176"/>
      <c r="BI7" s="176"/>
      <c r="BJ7" s="176"/>
      <c r="BK7" s="176"/>
      <c r="BL7" s="176"/>
      <c r="BM7" s="176"/>
      <c r="BN7" s="176"/>
      <c r="BO7" s="176"/>
      <c r="BP7" s="176"/>
      <c r="BQ7" s="176"/>
      <c r="BR7" s="176"/>
      <c r="BS7" s="176"/>
      <c r="BT7" s="176"/>
      <c r="BU7" s="176"/>
      <c r="BV7" s="176"/>
      <c r="BW7" s="176"/>
      <c r="BX7" s="176"/>
      <c r="BY7" s="176"/>
      <c r="BZ7" s="176"/>
      <c r="CA7" s="176"/>
      <c r="CB7" s="176"/>
      <c r="CC7" s="176"/>
      <c r="CD7" s="176"/>
      <c r="CE7" s="176"/>
      <c r="CF7" s="176"/>
      <c r="CG7" s="176"/>
      <c r="CH7" s="176"/>
      <c r="CI7" s="176"/>
      <c r="CJ7" s="176"/>
      <c r="CK7" s="176"/>
      <c r="CL7" s="176"/>
      <c r="CM7" s="176"/>
      <c r="CN7" s="176"/>
      <c r="CO7" s="176"/>
      <c r="CP7" s="176"/>
      <c r="CQ7" s="176"/>
      <c r="CR7" s="176"/>
      <c r="CS7" s="176"/>
      <c r="CT7" s="176"/>
      <c r="CU7" s="176"/>
      <c r="CV7" s="176"/>
      <c r="CW7" s="176"/>
      <c r="CX7" s="176"/>
      <c r="CY7" s="176"/>
      <c r="CZ7" s="176"/>
      <c r="DA7" s="176"/>
      <c r="DB7" s="176"/>
      <c r="DC7" s="176"/>
      <c r="DD7" s="176"/>
      <c r="DE7" s="176"/>
      <c r="DF7" s="176"/>
      <c r="DG7" s="176"/>
      <c r="DH7" s="176"/>
      <c r="DI7" s="176"/>
      <c r="DJ7" s="176"/>
      <c r="DK7" s="176"/>
      <c r="DL7" s="176"/>
      <c r="DM7" s="176"/>
      <c r="DN7" s="176"/>
      <c r="DO7" s="176"/>
      <c r="DP7" s="176"/>
      <c r="DQ7" s="176"/>
      <c r="DR7" s="176"/>
      <c r="DS7" s="176"/>
      <c r="DT7" s="176"/>
      <c r="DU7" s="176"/>
      <c r="DV7" s="176"/>
      <c r="DW7" s="176"/>
      <c r="DX7" s="177"/>
      <c r="DY7" s="177"/>
      <c r="DZ7" s="177"/>
      <c r="EA7" s="177"/>
      <c r="EB7" s="176"/>
      <c r="EC7" s="176"/>
      <c r="ED7" s="176"/>
      <c r="EE7" s="176"/>
      <c r="EF7" s="176"/>
      <c r="EG7" s="176"/>
      <c r="EH7" s="176"/>
      <c r="EI7" s="176"/>
      <c r="EJ7" s="176"/>
      <c r="EK7" s="176"/>
      <c r="EL7" s="176"/>
      <c r="EM7" s="176"/>
      <c r="EN7" s="176"/>
      <c r="EO7" s="176"/>
      <c r="EP7" s="176"/>
      <c r="EQ7" s="176"/>
      <c r="ER7" s="176"/>
      <c r="ES7" s="176"/>
      <c r="ET7" s="176"/>
    </row>
    <row r="8" spans="2:160" ht="12.75" customHeight="1" x14ac:dyDescent="0.3">
      <c r="B8" s="178" t="s">
        <v>3663</v>
      </c>
      <c r="C8" s="332" t="s">
        <v>586</v>
      </c>
      <c r="D8" s="333" t="s">
        <v>3664</v>
      </c>
      <c r="E8" s="333" t="s">
        <v>3665</v>
      </c>
      <c r="F8" s="333" t="s">
        <v>3666</v>
      </c>
      <c r="G8" s="333" t="s">
        <v>3667</v>
      </c>
      <c r="H8" s="333" t="s">
        <v>3668</v>
      </c>
      <c r="I8" s="333" t="s">
        <v>3669</v>
      </c>
      <c r="J8" s="333" t="s">
        <v>3670</v>
      </c>
      <c r="K8" s="333" t="s">
        <v>3671</v>
      </c>
      <c r="L8" s="333" t="s">
        <v>3672</v>
      </c>
      <c r="M8" s="333" t="s">
        <v>3673</v>
      </c>
      <c r="N8" s="333" t="s">
        <v>3674</v>
      </c>
      <c r="O8" s="333" t="s">
        <v>3675</v>
      </c>
      <c r="P8" s="333" t="s">
        <v>3676</v>
      </c>
      <c r="Q8" s="333" t="s">
        <v>3677</v>
      </c>
      <c r="R8" s="333" t="s">
        <v>3678</v>
      </c>
      <c r="S8" s="333" t="s">
        <v>3679</v>
      </c>
      <c r="T8" s="333" t="s">
        <v>3680</v>
      </c>
      <c r="U8" s="333" t="s">
        <v>3681</v>
      </c>
      <c r="V8" s="333" t="s">
        <v>3682</v>
      </c>
      <c r="W8" s="333" t="s">
        <v>3683</v>
      </c>
      <c r="X8" s="333" t="s">
        <v>3684</v>
      </c>
      <c r="Y8" s="333" t="s">
        <v>3685</v>
      </c>
      <c r="Z8" s="333" t="s">
        <v>3686</v>
      </c>
      <c r="AA8" s="333" t="s">
        <v>3687</v>
      </c>
      <c r="AB8" s="333" t="s">
        <v>3688</v>
      </c>
      <c r="AC8" s="333" t="s">
        <v>3689</v>
      </c>
      <c r="AD8" s="333" t="s">
        <v>3690</v>
      </c>
      <c r="AE8" s="333" t="s">
        <v>3691</v>
      </c>
      <c r="AF8" s="333" t="s">
        <v>3692</v>
      </c>
      <c r="AG8" s="333" t="s">
        <v>3693</v>
      </c>
      <c r="AH8" s="333" t="s">
        <v>3694</v>
      </c>
      <c r="AI8" s="333" t="s">
        <v>3695</v>
      </c>
      <c r="AJ8" s="333" t="s">
        <v>3696</v>
      </c>
      <c r="AK8" s="333" t="s">
        <v>3697</v>
      </c>
      <c r="AL8" s="333" t="s">
        <v>3698</v>
      </c>
      <c r="AM8" s="333" t="s">
        <v>3699</v>
      </c>
      <c r="AN8" s="333" t="s">
        <v>3700</v>
      </c>
      <c r="AO8" s="333" t="s">
        <v>3701</v>
      </c>
      <c r="AP8" s="333" t="s">
        <v>3702</v>
      </c>
      <c r="AQ8" s="333" t="s">
        <v>3703</v>
      </c>
      <c r="AR8" s="333" t="s">
        <v>3704</v>
      </c>
      <c r="AS8" s="333" t="s">
        <v>3705</v>
      </c>
      <c r="AT8" s="333" t="s">
        <v>3706</v>
      </c>
      <c r="AU8" s="333" t="s">
        <v>3707</v>
      </c>
      <c r="AV8" s="333" t="s">
        <v>3708</v>
      </c>
      <c r="AW8" s="333" t="s">
        <v>3709</v>
      </c>
      <c r="AX8" s="333" t="s">
        <v>3710</v>
      </c>
      <c r="AY8" s="333" t="s">
        <v>3711</v>
      </c>
      <c r="AZ8" s="333" t="s">
        <v>3712</v>
      </c>
      <c r="BA8" s="333" t="s">
        <v>3713</v>
      </c>
      <c r="BB8" s="333" t="s">
        <v>3714</v>
      </c>
      <c r="BC8" s="333" t="s">
        <v>3715</v>
      </c>
      <c r="BD8" s="333" t="s">
        <v>3716</v>
      </c>
      <c r="BE8" s="333" t="s">
        <v>3717</v>
      </c>
      <c r="BF8" s="333" t="s">
        <v>3718</v>
      </c>
      <c r="BG8" s="333" t="s">
        <v>3719</v>
      </c>
      <c r="BH8" s="333" t="s">
        <v>3720</v>
      </c>
      <c r="BI8" s="333" t="s">
        <v>3721</v>
      </c>
      <c r="BJ8" s="333" t="s">
        <v>3722</v>
      </c>
      <c r="BK8" s="333" t="s">
        <v>3723</v>
      </c>
      <c r="BL8" s="333" t="s">
        <v>3724</v>
      </c>
      <c r="BM8" s="333" t="s">
        <v>3725</v>
      </c>
      <c r="BN8" s="333" t="s">
        <v>3726</v>
      </c>
      <c r="BO8" s="333" t="s">
        <v>3727</v>
      </c>
      <c r="BP8" s="333" t="s">
        <v>3728</v>
      </c>
      <c r="BQ8" s="333" t="s">
        <v>3729</v>
      </c>
      <c r="BR8" s="333" t="s">
        <v>3730</v>
      </c>
      <c r="BS8" s="333" t="s">
        <v>3731</v>
      </c>
      <c r="BT8" s="333" t="s">
        <v>3732</v>
      </c>
      <c r="BU8" s="333" t="s">
        <v>3733</v>
      </c>
      <c r="BV8" s="333" t="s">
        <v>3734</v>
      </c>
      <c r="BW8" s="333" t="s">
        <v>3735</v>
      </c>
      <c r="BX8" s="333" t="s">
        <v>3736</v>
      </c>
      <c r="BY8" s="333" t="s">
        <v>3737</v>
      </c>
      <c r="BZ8" s="333" t="s">
        <v>3738</v>
      </c>
      <c r="CA8" s="333" t="s">
        <v>3739</v>
      </c>
      <c r="CB8" s="333" t="s">
        <v>3740</v>
      </c>
      <c r="CC8" s="333" t="s">
        <v>3741</v>
      </c>
      <c r="CD8" s="333" t="s">
        <v>3742</v>
      </c>
      <c r="CE8" s="333" t="s">
        <v>3743</v>
      </c>
      <c r="CF8" s="333" t="s">
        <v>3744</v>
      </c>
      <c r="CG8" s="333" t="s">
        <v>3745</v>
      </c>
      <c r="CH8" s="333" t="s">
        <v>3746</v>
      </c>
      <c r="CI8" s="333" t="s">
        <v>3747</v>
      </c>
      <c r="CJ8" s="333" t="s">
        <v>3748</v>
      </c>
      <c r="CK8" s="333" t="s">
        <v>3749</v>
      </c>
      <c r="CL8" s="333" t="s">
        <v>3750</v>
      </c>
      <c r="CM8" s="333" t="s">
        <v>3751</v>
      </c>
      <c r="CN8" s="333" t="s">
        <v>3752</v>
      </c>
      <c r="CO8" s="333" t="s">
        <v>3753</v>
      </c>
      <c r="CP8" s="333" t="s">
        <v>3754</v>
      </c>
      <c r="CQ8" s="333" t="s">
        <v>3755</v>
      </c>
      <c r="CR8" s="333" t="s">
        <v>3756</v>
      </c>
      <c r="CS8" s="333" t="s">
        <v>3757</v>
      </c>
      <c r="CT8" s="333" t="s">
        <v>3758</v>
      </c>
      <c r="CU8" s="333" t="s">
        <v>3759</v>
      </c>
      <c r="CV8" s="333" t="s">
        <v>3760</v>
      </c>
      <c r="CW8" s="333" t="s">
        <v>3761</v>
      </c>
      <c r="CX8" s="333" t="s">
        <v>3762</v>
      </c>
      <c r="CY8" s="333" t="s">
        <v>3763</v>
      </c>
      <c r="CZ8" s="333" t="s">
        <v>3764</v>
      </c>
      <c r="DA8" s="333" t="s">
        <v>3765</v>
      </c>
      <c r="DB8" s="333" t="s">
        <v>3766</v>
      </c>
      <c r="DC8" s="333" t="s">
        <v>3767</v>
      </c>
      <c r="DD8" s="333" t="s">
        <v>3768</v>
      </c>
      <c r="DE8" s="333" t="s">
        <v>3769</v>
      </c>
      <c r="DF8" s="333" t="s">
        <v>3770</v>
      </c>
      <c r="DG8" s="333" t="s">
        <v>3771</v>
      </c>
      <c r="DH8" s="333" t="s">
        <v>3772</v>
      </c>
      <c r="DI8" s="333" t="s">
        <v>3773</v>
      </c>
      <c r="DJ8" s="333" t="s">
        <v>3774</v>
      </c>
      <c r="DK8" s="333" t="s">
        <v>3775</v>
      </c>
      <c r="DL8" s="333" t="s">
        <v>3776</v>
      </c>
      <c r="DM8" s="333" t="s">
        <v>3777</v>
      </c>
      <c r="DN8" s="333" t="s">
        <v>3778</v>
      </c>
      <c r="DO8" s="333" t="s">
        <v>3779</v>
      </c>
      <c r="DP8" s="333" t="s">
        <v>3780</v>
      </c>
      <c r="DQ8" s="333" t="s">
        <v>3781</v>
      </c>
      <c r="DR8" s="333" t="s">
        <v>3782</v>
      </c>
      <c r="DS8" s="333" t="s">
        <v>3783</v>
      </c>
      <c r="DT8" s="333" t="s">
        <v>3784</v>
      </c>
      <c r="DU8" s="333" t="s">
        <v>3785</v>
      </c>
      <c r="DV8" s="333" t="s">
        <v>3786</v>
      </c>
      <c r="DW8" s="333" t="s">
        <v>3787</v>
      </c>
      <c r="DX8" s="333" t="s">
        <v>3788</v>
      </c>
      <c r="DY8" s="333" t="s">
        <v>3789</v>
      </c>
      <c r="DZ8" s="333" t="s">
        <v>3790</v>
      </c>
      <c r="EA8" s="333" t="s">
        <v>3791</v>
      </c>
      <c r="EB8" s="333" t="s">
        <v>3792</v>
      </c>
      <c r="EC8" s="333" t="s">
        <v>3793</v>
      </c>
      <c r="ED8" s="333" t="s">
        <v>3794</v>
      </c>
      <c r="EE8" s="333" t="s">
        <v>3795</v>
      </c>
      <c r="EF8" s="333" t="s">
        <v>3796</v>
      </c>
      <c r="EG8" s="333" t="s">
        <v>3797</v>
      </c>
      <c r="EH8" s="333" t="s">
        <v>3798</v>
      </c>
      <c r="EI8" s="333" t="s">
        <v>3799</v>
      </c>
      <c r="EJ8" s="333" t="s">
        <v>3800</v>
      </c>
      <c r="EK8" s="333" t="s">
        <v>3801</v>
      </c>
      <c r="EL8" s="333" t="s">
        <v>3802</v>
      </c>
      <c r="EM8" s="333" t="s">
        <v>3803</v>
      </c>
      <c r="EN8" s="333" t="s">
        <v>3804</v>
      </c>
      <c r="EO8" s="333" t="s">
        <v>3805</v>
      </c>
      <c r="EP8" s="333" t="s">
        <v>3806</v>
      </c>
      <c r="EQ8" s="333" t="s">
        <v>3807</v>
      </c>
      <c r="ER8" s="333" t="s">
        <v>3808</v>
      </c>
      <c r="ES8" s="333" t="s">
        <v>3809</v>
      </c>
      <c r="ET8" s="333" t="s">
        <v>3810</v>
      </c>
      <c r="EU8" s="333" t="s">
        <v>3811</v>
      </c>
      <c r="EV8" s="333" t="s">
        <v>3812</v>
      </c>
      <c r="EW8" s="333" t="s">
        <v>3813</v>
      </c>
      <c r="EX8" s="333" t="s">
        <v>3814</v>
      </c>
      <c r="EY8" s="333" t="s">
        <v>3815</v>
      </c>
      <c r="EZ8" s="333" t="s">
        <v>3816</v>
      </c>
      <c r="FA8" s="333" t="s">
        <v>3817</v>
      </c>
      <c r="FB8" s="186" t="s">
        <v>3818</v>
      </c>
    </row>
    <row r="9" spans="2:160" ht="12.75" customHeight="1" x14ac:dyDescent="0.3">
      <c r="B9" s="180" t="s">
        <v>3819</v>
      </c>
      <c r="C9" s="334"/>
      <c r="D9" s="301">
        <f>-k.aRG-SUM(D10:D163)</f>
        <v>-9.6397339640211116E-6</v>
      </c>
      <c r="E9" s="300">
        <v>0</v>
      </c>
      <c r="F9" s="300">
        <v>0</v>
      </c>
      <c r="G9" s="305">
        <v>0</v>
      </c>
      <c r="H9" s="300">
        <v>0</v>
      </c>
      <c r="I9" s="300">
        <v>0</v>
      </c>
      <c r="J9" s="300">
        <v>0</v>
      </c>
      <c r="K9" s="172">
        <f>k.w0RD.aRG</f>
        <v>5.123442414531955E-8</v>
      </c>
      <c r="L9" s="172">
        <v>0</v>
      </c>
      <c r="M9" s="172">
        <v>0</v>
      </c>
      <c r="N9" s="172">
        <v>0</v>
      </c>
      <c r="O9" s="335">
        <f>k.w1RD.aRG</f>
        <v>1.7059111232725971E-6</v>
      </c>
      <c r="P9" s="335">
        <v>0</v>
      </c>
      <c r="Q9" s="335">
        <v>0</v>
      </c>
      <c r="R9" s="335">
        <v>0</v>
      </c>
      <c r="S9" s="172">
        <f>k.w2RD.aRG</f>
        <v>5.1216692794123988E-7</v>
      </c>
      <c r="T9" s="172">
        <v>0</v>
      </c>
      <c r="U9" s="172">
        <v>0</v>
      </c>
      <c r="V9" s="172">
        <v>0</v>
      </c>
      <c r="W9" s="172">
        <v>0</v>
      </c>
      <c r="X9" s="172">
        <v>0</v>
      </c>
      <c r="Y9" s="172">
        <v>0</v>
      </c>
      <c r="Z9" s="172">
        <v>0</v>
      </c>
      <c r="AA9" s="336">
        <v>0</v>
      </c>
      <c r="AB9" s="336">
        <v>0</v>
      </c>
      <c r="AC9" s="336">
        <v>0</v>
      </c>
      <c r="AD9" s="336">
        <v>0</v>
      </c>
      <c r="AE9" s="336">
        <v>0</v>
      </c>
      <c r="AF9" s="336">
        <v>0</v>
      </c>
      <c r="AG9" s="336">
        <v>0</v>
      </c>
      <c r="AH9" s="336">
        <v>0</v>
      </c>
      <c r="AI9" s="172">
        <f>k.s1RD.aRG</f>
        <v>1.103232338463208E-7</v>
      </c>
      <c r="AJ9" s="172">
        <v>0</v>
      </c>
      <c r="AK9" s="172">
        <v>0</v>
      </c>
      <c r="AL9" s="172">
        <v>0</v>
      </c>
      <c r="AM9" s="172">
        <f>k.s2RD.aRG</f>
        <v>5.0203054661890868E-8</v>
      </c>
      <c r="AN9" s="172">
        <v>0</v>
      </c>
      <c r="AO9" s="172">
        <v>0</v>
      </c>
      <c r="AP9" s="172">
        <v>0</v>
      </c>
      <c r="AQ9" s="172">
        <f>k.s3RD.aRG</f>
        <v>1.103232338463208E-7</v>
      </c>
      <c r="AR9" s="172">
        <v>0</v>
      </c>
      <c r="AS9" s="172">
        <v>0</v>
      </c>
      <c r="AT9" s="172">
        <v>0</v>
      </c>
      <c r="AU9" s="172">
        <f>k.aC.aR</f>
        <v>3.0038992516460084E-7</v>
      </c>
      <c r="AV9" s="172">
        <v>0</v>
      </c>
      <c r="AW9" s="172">
        <v>0</v>
      </c>
      <c r="AX9" s="172">
        <v>0</v>
      </c>
      <c r="AY9" s="172">
        <v>0</v>
      </c>
      <c r="AZ9" s="172">
        <v>0</v>
      </c>
      <c r="BA9" s="172">
        <v>0</v>
      </c>
      <c r="BB9" s="337">
        <v>0</v>
      </c>
      <c r="BC9" s="337">
        <v>0</v>
      </c>
      <c r="BD9" s="337">
        <v>0</v>
      </c>
      <c r="BE9" s="337">
        <v>0</v>
      </c>
      <c r="BF9" s="336">
        <v>0</v>
      </c>
      <c r="BG9" s="336">
        <v>0</v>
      </c>
      <c r="BH9" s="336">
        <v>0</v>
      </c>
      <c r="BI9" s="336">
        <v>0</v>
      </c>
      <c r="BJ9" s="336">
        <v>0</v>
      </c>
      <c r="BK9" s="336">
        <v>0</v>
      </c>
      <c r="BL9" s="336">
        <v>0</v>
      </c>
      <c r="BM9" s="336">
        <v>0</v>
      </c>
      <c r="BN9" s="336">
        <v>0</v>
      </c>
      <c r="BO9" s="336">
        <v>0</v>
      </c>
      <c r="BP9" s="336">
        <v>0</v>
      </c>
      <c r="BQ9" s="336">
        <v>0</v>
      </c>
      <c r="BR9" s="336">
        <v>0</v>
      </c>
      <c r="BS9" s="336">
        <v>0</v>
      </c>
      <c r="BT9" s="336">
        <v>0</v>
      </c>
      <c r="BU9" s="336">
        <v>0</v>
      </c>
      <c r="BV9" s="336">
        <v>0</v>
      </c>
      <c r="BW9" s="336">
        <v>0</v>
      </c>
      <c r="BX9" s="336">
        <v>0</v>
      </c>
      <c r="BY9" s="336">
        <v>0</v>
      </c>
      <c r="BZ9" s="336">
        <v>0</v>
      </c>
      <c r="CA9" s="336">
        <v>0</v>
      </c>
      <c r="CB9" s="336">
        <v>0</v>
      </c>
      <c r="CC9" s="336">
        <v>0</v>
      </c>
      <c r="CD9" s="336">
        <v>0</v>
      </c>
      <c r="CE9" s="336">
        <v>0</v>
      </c>
      <c r="CF9" s="336">
        <v>0</v>
      </c>
      <c r="CG9" s="336">
        <v>0</v>
      </c>
      <c r="CH9" s="336">
        <v>0</v>
      </c>
      <c r="CI9" s="336">
        <v>0</v>
      </c>
      <c r="CJ9" s="336">
        <v>0</v>
      </c>
      <c r="CK9" s="336">
        <v>0</v>
      </c>
      <c r="CL9" s="336">
        <v>0</v>
      </c>
      <c r="CM9" s="336">
        <v>0</v>
      </c>
      <c r="CN9" s="336">
        <v>0</v>
      </c>
      <c r="CO9" s="336">
        <v>0</v>
      </c>
      <c r="CP9" s="336">
        <v>0</v>
      </c>
      <c r="CQ9" s="336">
        <v>0</v>
      </c>
      <c r="CR9" s="336">
        <v>0</v>
      </c>
      <c r="CS9" s="336">
        <v>0</v>
      </c>
      <c r="CT9" s="336">
        <v>0</v>
      </c>
      <c r="CU9" s="336">
        <v>0</v>
      </c>
      <c r="CV9" s="336">
        <v>0</v>
      </c>
      <c r="CW9" s="336">
        <v>0</v>
      </c>
      <c r="CX9" s="336">
        <v>0</v>
      </c>
      <c r="CY9" s="336">
        <v>0</v>
      </c>
      <c r="CZ9" s="336">
        <v>0</v>
      </c>
      <c r="DA9" s="336">
        <v>0</v>
      </c>
      <c r="DB9" s="336">
        <v>0</v>
      </c>
      <c r="DC9" s="336">
        <v>0</v>
      </c>
      <c r="DD9" s="336">
        <v>0</v>
      </c>
      <c r="DE9" s="336">
        <v>0</v>
      </c>
      <c r="DF9" s="336">
        <v>0</v>
      </c>
      <c r="DG9" s="336">
        <v>0</v>
      </c>
      <c r="DH9" s="336">
        <v>0</v>
      </c>
      <c r="DI9" s="336">
        <v>0</v>
      </c>
      <c r="DJ9" s="336">
        <v>0</v>
      </c>
      <c r="DK9" s="336">
        <v>0</v>
      </c>
      <c r="DL9" s="336">
        <v>0</v>
      </c>
      <c r="DM9" s="336">
        <v>0</v>
      </c>
      <c r="DN9" s="336">
        <v>0</v>
      </c>
      <c r="DO9" s="336">
        <v>0</v>
      </c>
      <c r="DP9" s="336">
        <v>0</v>
      </c>
      <c r="DQ9" s="336">
        <v>0</v>
      </c>
      <c r="DR9" s="336">
        <v>0</v>
      </c>
      <c r="DS9" s="336">
        <v>0</v>
      </c>
      <c r="DT9" s="336">
        <v>0</v>
      </c>
      <c r="DU9" s="336">
        <v>0</v>
      </c>
      <c r="DV9" s="336">
        <v>0</v>
      </c>
      <c r="DW9" s="336">
        <v>0</v>
      </c>
      <c r="DX9" s="336">
        <v>0</v>
      </c>
      <c r="DY9" s="336">
        <v>0</v>
      </c>
      <c r="DZ9" s="336">
        <v>0</v>
      </c>
      <c r="EA9" s="336">
        <v>0</v>
      </c>
      <c r="EB9" s="336">
        <v>0</v>
      </c>
      <c r="EC9" s="336">
        <v>0</v>
      </c>
      <c r="ED9" s="336">
        <v>0</v>
      </c>
      <c r="EE9" s="336">
        <v>0</v>
      </c>
      <c r="EF9" s="336">
        <v>0</v>
      </c>
      <c r="EG9" s="336">
        <v>0</v>
      </c>
      <c r="EH9" s="336">
        <v>0</v>
      </c>
      <c r="EI9" s="336">
        <v>0</v>
      </c>
      <c r="EJ9" s="336">
        <v>0</v>
      </c>
      <c r="EK9" s="336">
        <v>0</v>
      </c>
      <c r="EL9" s="336">
        <v>0</v>
      </c>
      <c r="EM9" s="336">
        <v>0</v>
      </c>
      <c r="EN9" s="336">
        <v>0</v>
      </c>
      <c r="EO9" s="336">
        <v>0</v>
      </c>
      <c r="EP9" s="336">
        <v>0</v>
      </c>
      <c r="EQ9" s="336">
        <v>0</v>
      </c>
      <c r="ER9" s="336">
        <v>0</v>
      </c>
      <c r="ES9" s="336">
        <v>0</v>
      </c>
      <c r="ET9" s="336">
        <v>0</v>
      </c>
      <c r="EU9" s="336">
        <v>0</v>
      </c>
      <c r="EV9" s="336">
        <v>0</v>
      </c>
      <c r="EW9" s="336">
        <v>0</v>
      </c>
      <c r="EX9" s="336">
        <v>0</v>
      </c>
      <c r="EY9" s="336">
        <v>0</v>
      </c>
      <c r="EZ9" s="336">
        <v>0</v>
      </c>
      <c r="FA9" s="336">
        <v>0</v>
      </c>
      <c r="FB9" s="338">
        <v>0</v>
      </c>
    </row>
    <row r="10" spans="2:160" ht="12.75" customHeight="1" x14ac:dyDescent="0.3">
      <c r="B10" s="180" t="s">
        <v>3820</v>
      </c>
      <c r="C10" s="339"/>
      <c r="D10" s="177">
        <v>0</v>
      </c>
      <c r="E10" s="181">
        <f>-SUM(E9,E11:E163)-k.aRS</f>
        <v>-3.3031579660512247E-5</v>
      </c>
      <c r="F10" s="176">
        <v>0</v>
      </c>
      <c r="G10" s="306">
        <v>0</v>
      </c>
      <c r="H10" s="176">
        <v>0</v>
      </c>
      <c r="I10" s="176">
        <v>0</v>
      </c>
      <c r="J10" s="176">
        <v>0</v>
      </c>
      <c r="K10" s="177">
        <v>0</v>
      </c>
      <c r="L10" s="177">
        <v>0</v>
      </c>
      <c r="M10" s="177">
        <v>0</v>
      </c>
      <c r="N10" s="177">
        <v>0</v>
      </c>
      <c r="O10" s="279">
        <v>0</v>
      </c>
      <c r="P10" s="177">
        <v>0</v>
      </c>
      <c r="Q10" s="177">
        <v>0</v>
      </c>
      <c r="R10" s="176">
        <v>0</v>
      </c>
      <c r="S10" s="177">
        <v>0</v>
      </c>
      <c r="T10" s="177">
        <v>0</v>
      </c>
      <c r="U10" s="177">
        <v>0</v>
      </c>
      <c r="V10" s="176">
        <v>0</v>
      </c>
      <c r="W10" s="177">
        <v>0</v>
      </c>
      <c r="X10" s="177">
        <v>0</v>
      </c>
      <c r="Y10" s="177">
        <v>0</v>
      </c>
      <c r="Z10" s="177">
        <v>0</v>
      </c>
      <c r="AA10" s="182">
        <v>0</v>
      </c>
      <c r="AB10" s="182">
        <v>0</v>
      </c>
      <c r="AC10" s="182">
        <v>0</v>
      </c>
      <c r="AD10" s="182">
        <v>0</v>
      </c>
      <c r="AE10" s="182">
        <v>0</v>
      </c>
      <c r="AF10" s="182">
        <v>0</v>
      </c>
      <c r="AG10" s="182">
        <v>0</v>
      </c>
      <c r="AH10" s="182">
        <v>0</v>
      </c>
      <c r="AI10" s="177">
        <v>0</v>
      </c>
      <c r="AJ10" s="177">
        <v>0</v>
      </c>
      <c r="AK10" s="177">
        <v>0</v>
      </c>
      <c r="AL10" s="176">
        <v>0</v>
      </c>
      <c r="AM10" s="177">
        <v>0</v>
      </c>
      <c r="AN10" s="177">
        <v>0</v>
      </c>
      <c r="AO10" s="177">
        <v>0</v>
      </c>
      <c r="AP10" s="176">
        <v>0</v>
      </c>
      <c r="AQ10" s="177">
        <v>0</v>
      </c>
      <c r="AR10" s="177">
        <v>0</v>
      </c>
      <c r="AS10" s="177">
        <v>0</v>
      </c>
      <c r="AT10" s="176">
        <v>0</v>
      </c>
      <c r="AU10" s="177">
        <v>0</v>
      </c>
      <c r="AV10" s="177">
        <f>k.aC.aR</f>
        <v>3.0038992516460084E-7</v>
      </c>
      <c r="AW10" s="177">
        <v>0</v>
      </c>
      <c r="AX10" s="176">
        <v>0</v>
      </c>
      <c r="AY10" s="177">
        <v>0</v>
      </c>
      <c r="AZ10" s="177">
        <v>0</v>
      </c>
      <c r="BA10" s="177">
        <v>0</v>
      </c>
      <c r="BB10" s="168">
        <v>0</v>
      </c>
      <c r="BC10" s="168">
        <v>0</v>
      </c>
      <c r="BD10" s="168">
        <v>0</v>
      </c>
      <c r="BE10" s="168">
        <v>0</v>
      </c>
      <c r="BF10" s="182">
        <v>0</v>
      </c>
      <c r="BG10" s="182">
        <v>0</v>
      </c>
      <c r="BH10" s="182">
        <v>0</v>
      </c>
      <c r="BI10" s="182">
        <v>0</v>
      </c>
      <c r="BJ10" s="182">
        <v>0</v>
      </c>
      <c r="BK10" s="182">
        <v>0</v>
      </c>
      <c r="BL10" s="182">
        <v>0</v>
      </c>
      <c r="BM10" s="182">
        <v>0</v>
      </c>
      <c r="BN10" s="182">
        <v>0</v>
      </c>
      <c r="BO10" s="182">
        <v>0</v>
      </c>
      <c r="BP10" s="182">
        <v>0</v>
      </c>
      <c r="BQ10" s="182">
        <v>0</v>
      </c>
      <c r="BR10" s="182">
        <v>0</v>
      </c>
      <c r="BS10" s="182">
        <v>0</v>
      </c>
      <c r="BT10" s="182">
        <v>0</v>
      </c>
      <c r="BU10" s="182">
        <v>0</v>
      </c>
      <c r="BV10" s="182">
        <v>0</v>
      </c>
      <c r="BW10" s="182">
        <v>0</v>
      </c>
      <c r="BX10" s="182">
        <v>0</v>
      </c>
      <c r="BY10" s="182">
        <v>0</v>
      </c>
      <c r="BZ10" s="182">
        <v>0</v>
      </c>
      <c r="CA10" s="182">
        <v>0</v>
      </c>
      <c r="CB10" s="182">
        <v>0</v>
      </c>
      <c r="CC10" s="182">
        <v>0</v>
      </c>
      <c r="CD10" s="182">
        <v>0</v>
      </c>
      <c r="CE10" s="182">
        <v>0</v>
      </c>
      <c r="CF10" s="182">
        <v>0</v>
      </c>
      <c r="CG10" s="182">
        <v>0</v>
      </c>
      <c r="CH10" s="182">
        <v>0</v>
      </c>
      <c r="CI10" s="182">
        <v>0</v>
      </c>
      <c r="CJ10" s="182">
        <v>0</v>
      </c>
      <c r="CK10" s="182">
        <v>0</v>
      </c>
      <c r="CL10" s="182">
        <v>0</v>
      </c>
      <c r="CM10" s="182">
        <v>0</v>
      </c>
      <c r="CN10" s="182">
        <v>0</v>
      </c>
      <c r="CO10" s="182">
        <v>0</v>
      </c>
      <c r="CP10" s="182">
        <v>0</v>
      </c>
      <c r="CQ10" s="182">
        <v>0</v>
      </c>
      <c r="CR10" s="182">
        <v>0</v>
      </c>
      <c r="CS10" s="182">
        <v>0</v>
      </c>
      <c r="CT10" s="182">
        <v>0</v>
      </c>
      <c r="CU10" s="182">
        <v>0</v>
      </c>
      <c r="CV10" s="182">
        <v>0</v>
      </c>
      <c r="CW10" s="182">
        <v>0</v>
      </c>
      <c r="CX10" s="182">
        <v>0</v>
      </c>
      <c r="CY10" s="182">
        <v>0</v>
      </c>
      <c r="CZ10" s="182">
        <v>0</v>
      </c>
      <c r="DA10" s="182">
        <v>0</v>
      </c>
      <c r="DB10" s="182">
        <v>0</v>
      </c>
      <c r="DC10" s="182">
        <v>0</v>
      </c>
      <c r="DD10" s="182">
        <v>0</v>
      </c>
      <c r="DE10" s="182">
        <v>0</v>
      </c>
      <c r="DF10" s="182">
        <v>0</v>
      </c>
      <c r="DG10" s="182">
        <v>0</v>
      </c>
      <c r="DH10" s="182">
        <v>0</v>
      </c>
      <c r="DI10" s="182">
        <v>0</v>
      </c>
      <c r="DJ10" s="182">
        <v>0</v>
      </c>
      <c r="DK10" s="182">
        <v>0</v>
      </c>
      <c r="DL10" s="182">
        <v>0</v>
      </c>
      <c r="DM10" s="182">
        <v>0</v>
      </c>
      <c r="DN10" s="182">
        <v>0</v>
      </c>
      <c r="DO10" s="182">
        <v>0</v>
      </c>
      <c r="DP10" s="182">
        <v>0</v>
      </c>
      <c r="DQ10" s="182">
        <v>0</v>
      </c>
      <c r="DR10" s="182">
        <v>0</v>
      </c>
      <c r="DS10" s="182">
        <v>0</v>
      </c>
      <c r="DT10" s="182">
        <v>0</v>
      </c>
      <c r="DU10" s="182">
        <v>0</v>
      </c>
      <c r="DV10" s="182">
        <v>0</v>
      </c>
      <c r="DW10" s="182">
        <v>0</v>
      </c>
      <c r="DX10" s="182">
        <v>0</v>
      </c>
      <c r="DY10" s="182">
        <v>0</v>
      </c>
      <c r="DZ10" s="182">
        <v>0</v>
      </c>
      <c r="EA10" s="182">
        <v>0</v>
      </c>
      <c r="EB10" s="182">
        <v>0</v>
      </c>
      <c r="EC10" s="182">
        <v>0</v>
      </c>
      <c r="ED10" s="182">
        <v>0</v>
      </c>
      <c r="EE10" s="182">
        <v>0</v>
      </c>
      <c r="EF10" s="182">
        <v>0</v>
      </c>
      <c r="EG10" s="182">
        <v>0</v>
      </c>
      <c r="EH10" s="182">
        <v>0</v>
      </c>
      <c r="EI10" s="182">
        <v>0</v>
      </c>
      <c r="EJ10" s="182">
        <v>0</v>
      </c>
      <c r="EK10" s="182">
        <v>0</v>
      </c>
      <c r="EL10" s="182">
        <v>0</v>
      </c>
      <c r="EM10" s="182">
        <v>0</v>
      </c>
      <c r="EN10" s="182">
        <v>0</v>
      </c>
      <c r="EO10" s="182">
        <v>0</v>
      </c>
      <c r="EP10" s="182">
        <v>0</v>
      </c>
      <c r="EQ10" s="182">
        <v>0</v>
      </c>
      <c r="ER10" s="182">
        <v>0</v>
      </c>
      <c r="ES10" s="182">
        <v>0</v>
      </c>
      <c r="ET10" s="182">
        <v>0</v>
      </c>
      <c r="EU10" s="182">
        <v>0</v>
      </c>
      <c r="EV10" s="182">
        <v>0</v>
      </c>
      <c r="EW10" s="182">
        <v>0</v>
      </c>
      <c r="EX10" s="182">
        <v>0</v>
      </c>
      <c r="EY10" s="182">
        <v>0</v>
      </c>
      <c r="EZ10" s="182">
        <v>0</v>
      </c>
      <c r="FA10" s="182">
        <v>0</v>
      </c>
      <c r="FB10" s="183">
        <v>0</v>
      </c>
      <c r="FC10" s="29"/>
      <c r="FD10" s="29"/>
    </row>
    <row r="11" spans="2:160" ht="12.75" customHeight="1" x14ac:dyDescent="0.3">
      <c r="B11" s="180" t="s">
        <v>3821</v>
      </c>
      <c r="C11" s="339"/>
      <c r="D11" s="177">
        <v>0</v>
      </c>
      <c r="E11" s="177">
        <f>k.aRS.aRA</f>
        <v>2.145456072269009E-5</v>
      </c>
      <c r="F11" s="181">
        <f>-SUM(F$9:F10,F12:F$163)-k.aRA</f>
        <v>-9.9010293560620798E-6</v>
      </c>
      <c r="G11" s="306">
        <v>0</v>
      </c>
      <c r="H11" s="176">
        <v>0</v>
      </c>
      <c r="I11" s="176">
        <v>0</v>
      </c>
      <c r="J11" s="176">
        <v>0</v>
      </c>
      <c r="K11" s="177">
        <v>0</v>
      </c>
      <c r="L11" s="177">
        <v>0</v>
      </c>
      <c r="M11" s="177">
        <v>0</v>
      </c>
      <c r="N11" s="177">
        <v>0</v>
      </c>
      <c r="O11" s="279">
        <v>0</v>
      </c>
      <c r="P11" s="177">
        <v>0</v>
      </c>
      <c r="Q11" s="177">
        <v>0</v>
      </c>
      <c r="R11" s="176">
        <v>0</v>
      </c>
      <c r="S11" s="177">
        <v>0</v>
      </c>
      <c r="T11" s="177">
        <v>0</v>
      </c>
      <c r="U11" s="177">
        <v>0</v>
      </c>
      <c r="V11" s="176">
        <v>0</v>
      </c>
      <c r="W11" s="177">
        <v>0</v>
      </c>
      <c r="X11" s="177">
        <v>0</v>
      </c>
      <c r="Y11" s="177">
        <v>0</v>
      </c>
      <c r="Z11" s="177">
        <v>0</v>
      </c>
      <c r="AA11" s="182">
        <v>0</v>
      </c>
      <c r="AB11" s="182">
        <v>0</v>
      </c>
      <c r="AC11" s="182">
        <v>0</v>
      </c>
      <c r="AD11" s="182">
        <v>0</v>
      </c>
      <c r="AE11" s="182">
        <v>0</v>
      </c>
      <c r="AF11" s="182">
        <v>0</v>
      </c>
      <c r="AG11" s="182">
        <v>0</v>
      </c>
      <c r="AH11" s="182">
        <v>0</v>
      </c>
      <c r="AI11" s="177">
        <v>0</v>
      </c>
      <c r="AJ11" s="177">
        <v>0</v>
      </c>
      <c r="AK11" s="177">
        <v>0</v>
      </c>
      <c r="AL11" s="176">
        <v>0</v>
      </c>
      <c r="AM11" s="177">
        <v>0</v>
      </c>
      <c r="AN11" s="177">
        <v>0</v>
      </c>
      <c r="AO11" s="177">
        <v>0</v>
      </c>
      <c r="AP11" s="176">
        <v>0</v>
      </c>
      <c r="AQ11" s="177">
        <v>0</v>
      </c>
      <c r="AR11" s="177">
        <v>0</v>
      </c>
      <c r="AS11" s="177">
        <v>0</v>
      </c>
      <c r="AT11" s="176">
        <v>0</v>
      </c>
      <c r="AU11" s="177">
        <v>0</v>
      </c>
      <c r="AV11" s="177">
        <v>0</v>
      </c>
      <c r="AW11" s="177">
        <f>k.aC.aR</f>
        <v>3.0038992516460084E-7</v>
      </c>
      <c r="AX11" s="176">
        <v>0</v>
      </c>
      <c r="AY11" s="177">
        <v>0</v>
      </c>
      <c r="AZ11" s="177">
        <v>0</v>
      </c>
      <c r="BA11" s="177">
        <v>0</v>
      </c>
      <c r="BB11" s="168">
        <v>0</v>
      </c>
      <c r="BC11" s="168">
        <v>0</v>
      </c>
      <c r="BD11" s="168">
        <v>0</v>
      </c>
      <c r="BE11" s="168">
        <v>0</v>
      </c>
      <c r="BF11" s="182">
        <v>0</v>
      </c>
      <c r="BG11" s="182">
        <v>0</v>
      </c>
      <c r="BH11" s="182">
        <v>0</v>
      </c>
      <c r="BI11" s="182">
        <v>0</v>
      </c>
      <c r="BJ11" s="182">
        <v>0</v>
      </c>
      <c r="BK11" s="182">
        <v>0</v>
      </c>
      <c r="BL11" s="182">
        <v>0</v>
      </c>
      <c r="BM11" s="182">
        <v>0</v>
      </c>
      <c r="BN11" s="182">
        <v>0</v>
      </c>
      <c r="BO11" s="182">
        <v>0</v>
      </c>
      <c r="BP11" s="182">
        <v>0</v>
      </c>
      <c r="BQ11" s="182">
        <v>0</v>
      </c>
      <c r="BR11" s="182">
        <v>0</v>
      </c>
      <c r="BS11" s="182">
        <v>0</v>
      </c>
      <c r="BT11" s="182">
        <v>0</v>
      </c>
      <c r="BU11" s="182">
        <v>0</v>
      </c>
      <c r="BV11" s="182">
        <v>0</v>
      </c>
      <c r="BW11" s="182">
        <v>0</v>
      </c>
      <c r="BX11" s="182">
        <v>0</v>
      </c>
      <c r="BY11" s="182">
        <v>0</v>
      </c>
      <c r="BZ11" s="182">
        <v>0</v>
      </c>
      <c r="CA11" s="182">
        <v>0</v>
      </c>
      <c r="CB11" s="182">
        <v>0</v>
      </c>
      <c r="CC11" s="182">
        <v>0</v>
      </c>
      <c r="CD11" s="182">
        <v>0</v>
      </c>
      <c r="CE11" s="182">
        <v>0</v>
      </c>
      <c r="CF11" s="182">
        <v>0</v>
      </c>
      <c r="CG11" s="182">
        <v>0</v>
      </c>
      <c r="CH11" s="182">
        <v>0</v>
      </c>
      <c r="CI11" s="182">
        <v>0</v>
      </c>
      <c r="CJ11" s="182">
        <v>0</v>
      </c>
      <c r="CK11" s="182">
        <v>0</v>
      </c>
      <c r="CL11" s="182">
        <v>0</v>
      </c>
      <c r="CM11" s="182">
        <v>0</v>
      </c>
      <c r="CN11" s="182">
        <v>0</v>
      </c>
      <c r="CO11" s="182">
        <v>0</v>
      </c>
      <c r="CP11" s="182">
        <v>0</v>
      </c>
      <c r="CQ11" s="182">
        <v>0</v>
      </c>
      <c r="CR11" s="182">
        <v>0</v>
      </c>
      <c r="CS11" s="182">
        <v>0</v>
      </c>
      <c r="CT11" s="182">
        <v>0</v>
      </c>
      <c r="CU11" s="182">
        <v>0</v>
      </c>
      <c r="CV11" s="182">
        <v>0</v>
      </c>
      <c r="CW11" s="182">
        <v>0</v>
      </c>
      <c r="CX11" s="182">
        <v>0</v>
      </c>
      <c r="CY11" s="182">
        <v>0</v>
      </c>
      <c r="CZ11" s="182">
        <v>0</v>
      </c>
      <c r="DA11" s="182">
        <v>0</v>
      </c>
      <c r="DB11" s="182">
        <v>0</v>
      </c>
      <c r="DC11" s="182">
        <v>0</v>
      </c>
      <c r="DD11" s="182">
        <v>0</v>
      </c>
      <c r="DE11" s="182">
        <v>0</v>
      </c>
      <c r="DF11" s="182">
        <v>0</v>
      </c>
      <c r="DG11" s="182">
        <v>0</v>
      </c>
      <c r="DH11" s="182">
        <v>0</v>
      </c>
      <c r="DI11" s="182">
        <v>0</v>
      </c>
      <c r="DJ11" s="182">
        <v>0</v>
      </c>
      <c r="DK11" s="182">
        <v>0</v>
      </c>
      <c r="DL11" s="182">
        <v>0</v>
      </c>
      <c r="DM11" s="182">
        <v>0</v>
      </c>
      <c r="DN11" s="182">
        <v>0</v>
      </c>
      <c r="DO11" s="182">
        <v>0</v>
      </c>
      <c r="DP11" s="182">
        <v>0</v>
      </c>
      <c r="DQ11" s="182">
        <v>0</v>
      </c>
      <c r="DR11" s="182">
        <v>0</v>
      </c>
      <c r="DS11" s="182">
        <v>0</v>
      </c>
      <c r="DT11" s="182">
        <v>0</v>
      </c>
      <c r="DU11" s="182">
        <v>0</v>
      </c>
      <c r="DV11" s="182">
        <v>0</v>
      </c>
      <c r="DW11" s="182">
        <v>0</v>
      </c>
      <c r="DX11" s="182">
        <v>0</v>
      </c>
      <c r="DY11" s="182">
        <v>0</v>
      </c>
      <c r="DZ11" s="182">
        <v>0</v>
      </c>
      <c r="EA11" s="182">
        <v>0</v>
      </c>
      <c r="EB11" s="182">
        <v>0</v>
      </c>
      <c r="EC11" s="182">
        <v>0</v>
      </c>
      <c r="ED11" s="182">
        <v>0</v>
      </c>
      <c r="EE11" s="182">
        <v>0</v>
      </c>
      <c r="EF11" s="182">
        <v>0</v>
      </c>
      <c r="EG11" s="182">
        <v>0</v>
      </c>
      <c r="EH11" s="182">
        <v>0</v>
      </c>
      <c r="EI11" s="182">
        <v>0</v>
      </c>
      <c r="EJ11" s="182">
        <v>0</v>
      </c>
      <c r="EK11" s="182">
        <v>0</v>
      </c>
      <c r="EL11" s="182">
        <v>0</v>
      </c>
      <c r="EM11" s="182">
        <v>0</v>
      </c>
      <c r="EN11" s="182">
        <v>0</v>
      </c>
      <c r="EO11" s="182">
        <v>0</v>
      </c>
      <c r="EP11" s="182">
        <v>0</v>
      </c>
      <c r="EQ11" s="182">
        <v>0</v>
      </c>
      <c r="ER11" s="182">
        <v>0</v>
      </c>
      <c r="ES11" s="182">
        <v>0</v>
      </c>
      <c r="ET11" s="182">
        <v>0</v>
      </c>
      <c r="EU11" s="182">
        <v>0</v>
      </c>
      <c r="EV11" s="182">
        <v>0</v>
      </c>
      <c r="EW11" s="182">
        <v>0</v>
      </c>
      <c r="EX11" s="182">
        <v>0</v>
      </c>
      <c r="EY11" s="182">
        <v>0</v>
      </c>
      <c r="EZ11" s="182">
        <v>0</v>
      </c>
      <c r="FA11" s="182">
        <v>0</v>
      </c>
      <c r="FB11" s="183">
        <v>0</v>
      </c>
      <c r="FC11" s="29"/>
      <c r="FD11" s="29"/>
    </row>
    <row r="12" spans="2:160" ht="12.75" customHeight="1" x14ac:dyDescent="0.3">
      <c r="B12" s="180" t="s">
        <v>3822</v>
      </c>
      <c r="C12" s="339"/>
      <c r="D12" s="303">
        <v>0</v>
      </c>
      <c r="E12" s="304">
        <f>k.aRS.aRP</f>
        <v>4.2954716111240836E-8</v>
      </c>
      <c r="F12" s="304">
        <v>0</v>
      </c>
      <c r="G12" s="373">
        <f>-SUM(G$9:G11,G13:G$163)-k.aRP</f>
        <v>-8.4410023994315093E-5</v>
      </c>
      <c r="H12" s="309">
        <v>0</v>
      </c>
      <c r="I12" s="309">
        <v>0</v>
      </c>
      <c r="J12" s="309">
        <v>0</v>
      </c>
      <c r="K12" s="177">
        <v>0</v>
      </c>
      <c r="L12" s="177">
        <v>0</v>
      </c>
      <c r="M12" s="177">
        <v>0</v>
      </c>
      <c r="N12" s="177">
        <v>0</v>
      </c>
      <c r="O12" s="279">
        <v>0</v>
      </c>
      <c r="P12" s="177">
        <v>0</v>
      </c>
      <c r="Q12" s="177">
        <v>0</v>
      </c>
      <c r="R12" s="177">
        <v>0</v>
      </c>
      <c r="S12" s="177">
        <v>0</v>
      </c>
      <c r="T12" s="177">
        <v>0</v>
      </c>
      <c r="U12" s="177">
        <v>0</v>
      </c>
      <c r="V12" s="177">
        <v>0</v>
      </c>
      <c r="W12" s="177">
        <v>0</v>
      </c>
      <c r="X12" s="177">
        <v>0</v>
      </c>
      <c r="Y12" s="177">
        <v>0</v>
      </c>
      <c r="Z12" s="177">
        <v>0</v>
      </c>
      <c r="AA12" s="182">
        <v>0</v>
      </c>
      <c r="AB12" s="182">
        <v>0</v>
      </c>
      <c r="AC12" s="182">
        <v>0</v>
      </c>
      <c r="AD12" s="182">
        <v>0</v>
      </c>
      <c r="AE12" s="182">
        <v>0</v>
      </c>
      <c r="AF12" s="182">
        <v>0</v>
      </c>
      <c r="AG12" s="182">
        <v>0</v>
      </c>
      <c r="AH12" s="182">
        <v>0</v>
      </c>
      <c r="AI12" s="177">
        <v>0</v>
      </c>
      <c r="AJ12" s="177">
        <v>0</v>
      </c>
      <c r="AK12" s="177">
        <v>0</v>
      </c>
      <c r="AL12" s="177">
        <v>0</v>
      </c>
      <c r="AM12" s="177">
        <v>0</v>
      </c>
      <c r="AN12" s="177">
        <v>0</v>
      </c>
      <c r="AO12" s="177">
        <v>0</v>
      </c>
      <c r="AP12" s="177">
        <v>0</v>
      </c>
      <c r="AQ12" s="177">
        <v>0</v>
      </c>
      <c r="AR12" s="177">
        <v>0</v>
      </c>
      <c r="AS12" s="177">
        <v>0</v>
      </c>
      <c r="AT12" s="177">
        <v>0</v>
      </c>
      <c r="AU12" s="177">
        <v>0</v>
      </c>
      <c r="AV12" s="177">
        <v>0</v>
      </c>
      <c r="AW12" s="177">
        <v>0</v>
      </c>
      <c r="AX12" s="177">
        <f>k.aC.aR</f>
        <v>3.0038992516460084E-7</v>
      </c>
      <c r="AY12" s="177">
        <v>0</v>
      </c>
      <c r="AZ12" s="177">
        <v>0</v>
      </c>
      <c r="BA12" s="177">
        <v>0</v>
      </c>
      <c r="BB12" s="168">
        <v>0</v>
      </c>
      <c r="BC12" s="168">
        <v>0</v>
      </c>
      <c r="BD12" s="168">
        <v>0</v>
      </c>
      <c r="BE12" s="168">
        <v>0</v>
      </c>
      <c r="BF12" s="182">
        <v>0</v>
      </c>
      <c r="BG12" s="182">
        <v>0</v>
      </c>
      <c r="BH12" s="182">
        <v>0</v>
      </c>
      <c r="BI12" s="182">
        <v>0</v>
      </c>
      <c r="BJ12" s="182">
        <v>0</v>
      </c>
      <c r="BK12" s="182">
        <v>0</v>
      </c>
      <c r="BL12" s="182">
        <v>0</v>
      </c>
      <c r="BM12" s="182">
        <v>0</v>
      </c>
      <c r="BN12" s="182">
        <v>0</v>
      </c>
      <c r="BO12" s="182">
        <v>0</v>
      </c>
      <c r="BP12" s="182">
        <v>0</v>
      </c>
      <c r="BQ12" s="182">
        <v>0</v>
      </c>
      <c r="BR12" s="182">
        <v>0</v>
      </c>
      <c r="BS12" s="182">
        <v>0</v>
      </c>
      <c r="BT12" s="182">
        <v>0</v>
      </c>
      <c r="BU12" s="182">
        <v>0</v>
      </c>
      <c r="BV12" s="182">
        <v>0</v>
      </c>
      <c r="BW12" s="182">
        <v>0</v>
      </c>
      <c r="BX12" s="182">
        <v>0</v>
      </c>
      <c r="BY12" s="182">
        <v>0</v>
      </c>
      <c r="BZ12" s="182">
        <v>0</v>
      </c>
      <c r="CA12" s="182">
        <v>0</v>
      </c>
      <c r="CB12" s="182">
        <v>0</v>
      </c>
      <c r="CC12" s="182">
        <v>0</v>
      </c>
      <c r="CD12" s="182">
        <v>0</v>
      </c>
      <c r="CE12" s="182">
        <v>0</v>
      </c>
      <c r="CF12" s="182">
        <v>0</v>
      </c>
      <c r="CG12" s="182">
        <v>0</v>
      </c>
      <c r="CH12" s="182">
        <v>0</v>
      </c>
      <c r="CI12" s="182">
        <v>0</v>
      </c>
      <c r="CJ12" s="182">
        <v>0</v>
      </c>
      <c r="CK12" s="182">
        <v>0</v>
      </c>
      <c r="CL12" s="182">
        <v>0</v>
      </c>
      <c r="CM12" s="182">
        <v>0</v>
      </c>
      <c r="CN12" s="182">
        <v>0</v>
      </c>
      <c r="CO12" s="182">
        <v>0</v>
      </c>
      <c r="CP12" s="182">
        <v>0</v>
      </c>
      <c r="CQ12" s="182">
        <v>0</v>
      </c>
      <c r="CR12" s="182">
        <v>0</v>
      </c>
      <c r="CS12" s="182">
        <v>0</v>
      </c>
      <c r="CT12" s="182">
        <v>0</v>
      </c>
      <c r="CU12" s="182">
        <v>0</v>
      </c>
      <c r="CV12" s="182">
        <v>0</v>
      </c>
      <c r="CW12" s="182">
        <v>0</v>
      </c>
      <c r="CX12" s="182">
        <v>0</v>
      </c>
      <c r="CY12" s="182">
        <v>0</v>
      </c>
      <c r="CZ12" s="182">
        <v>0</v>
      </c>
      <c r="DA12" s="182">
        <v>0</v>
      </c>
      <c r="DB12" s="182">
        <v>0</v>
      </c>
      <c r="DC12" s="182">
        <v>0</v>
      </c>
      <c r="DD12" s="182">
        <v>0</v>
      </c>
      <c r="DE12" s="182">
        <v>0</v>
      </c>
      <c r="DF12" s="182">
        <v>0</v>
      </c>
      <c r="DG12" s="182">
        <v>0</v>
      </c>
      <c r="DH12" s="182">
        <v>0</v>
      </c>
      <c r="DI12" s="182">
        <v>0</v>
      </c>
      <c r="DJ12" s="182">
        <v>0</v>
      </c>
      <c r="DK12" s="182">
        <v>0</v>
      </c>
      <c r="DL12" s="182">
        <v>0</v>
      </c>
      <c r="DM12" s="182">
        <v>0</v>
      </c>
      <c r="DN12" s="182">
        <v>0</v>
      </c>
      <c r="DO12" s="182">
        <v>0</v>
      </c>
      <c r="DP12" s="182">
        <v>0</v>
      </c>
      <c r="DQ12" s="182">
        <v>0</v>
      </c>
      <c r="DR12" s="182">
        <v>0</v>
      </c>
      <c r="DS12" s="182">
        <v>0</v>
      </c>
      <c r="DT12" s="182">
        <v>0</v>
      </c>
      <c r="DU12" s="182">
        <v>0</v>
      </c>
      <c r="DV12" s="182">
        <v>0</v>
      </c>
      <c r="DW12" s="182">
        <v>0</v>
      </c>
      <c r="DX12" s="182">
        <v>0</v>
      </c>
      <c r="DY12" s="182">
        <v>0</v>
      </c>
      <c r="DZ12" s="182">
        <v>0</v>
      </c>
      <c r="EA12" s="182">
        <v>0</v>
      </c>
      <c r="EB12" s="182">
        <v>0</v>
      </c>
      <c r="EC12" s="182">
        <v>0</v>
      </c>
      <c r="ED12" s="182">
        <v>0</v>
      </c>
      <c r="EE12" s="182">
        <v>0</v>
      </c>
      <c r="EF12" s="182">
        <v>0</v>
      </c>
      <c r="EG12" s="182">
        <v>0</v>
      </c>
      <c r="EH12" s="182">
        <v>0</v>
      </c>
      <c r="EI12" s="182">
        <v>0</v>
      </c>
      <c r="EJ12" s="182">
        <v>0</v>
      </c>
      <c r="EK12" s="182">
        <v>0</v>
      </c>
      <c r="EL12" s="182">
        <v>0</v>
      </c>
      <c r="EM12" s="182">
        <v>0</v>
      </c>
      <c r="EN12" s="182">
        <v>0</v>
      </c>
      <c r="EO12" s="182">
        <v>0</v>
      </c>
      <c r="EP12" s="182">
        <v>0</v>
      </c>
      <c r="EQ12" s="182">
        <v>0</v>
      </c>
      <c r="ER12" s="182">
        <v>0</v>
      </c>
      <c r="ES12" s="182">
        <v>0</v>
      </c>
      <c r="ET12" s="182">
        <v>0</v>
      </c>
      <c r="EU12" s="182">
        <v>0</v>
      </c>
      <c r="EV12" s="182">
        <v>0</v>
      </c>
      <c r="EW12" s="182">
        <v>0</v>
      </c>
      <c r="EX12" s="182">
        <v>0</v>
      </c>
      <c r="EY12" s="182">
        <v>0</v>
      </c>
      <c r="EZ12" s="182">
        <v>0</v>
      </c>
      <c r="FA12" s="182">
        <v>0</v>
      </c>
      <c r="FB12" s="183">
        <v>0</v>
      </c>
      <c r="FC12" s="29"/>
      <c r="FD12" s="29"/>
    </row>
    <row r="13" spans="2:160" ht="12.75" customHeight="1" x14ac:dyDescent="0.3">
      <c r="B13" s="180" t="s">
        <v>3823</v>
      </c>
      <c r="C13" s="278"/>
      <c r="D13" s="177">
        <v>0</v>
      </c>
      <c r="E13" s="177">
        <f>k.aRS.cwRS</f>
        <v>4.5122011807961336E-7</v>
      </c>
      <c r="F13" s="177">
        <v>0</v>
      </c>
      <c r="G13" s="306">
        <v>0</v>
      </c>
      <c r="H13" s="373">
        <f>-SUM(H$9:H12,H14:H$163)</f>
        <v>-7.3989536825645093E-5</v>
      </c>
      <c r="I13" s="176">
        <v>0</v>
      </c>
      <c r="J13" s="306">
        <v>0</v>
      </c>
      <c r="K13" s="177">
        <v>0</v>
      </c>
      <c r="L13" s="177">
        <v>0</v>
      </c>
      <c r="M13" s="177">
        <v>0</v>
      </c>
      <c r="N13" s="177">
        <v>0</v>
      </c>
      <c r="O13" s="279">
        <v>0</v>
      </c>
      <c r="P13" s="279">
        <v>0</v>
      </c>
      <c r="Q13" s="279">
        <v>0</v>
      </c>
      <c r="R13" s="279">
        <v>0</v>
      </c>
      <c r="S13" s="177">
        <v>0</v>
      </c>
      <c r="T13" s="177">
        <v>0</v>
      </c>
      <c r="U13" s="177">
        <v>0</v>
      </c>
      <c r="V13" s="177">
        <v>0</v>
      </c>
      <c r="W13" s="177">
        <v>0</v>
      </c>
      <c r="X13" s="177">
        <v>0</v>
      </c>
      <c r="Y13" s="177">
        <v>0</v>
      </c>
      <c r="Z13" s="177">
        <v>0</v>
      </c>
      <c r="AA13" s="182">
        <v>0</v>
      </c>
      <c r="AB13" s="182">
        <v>0</v>
      </c>
      <c r="AC13" s="182">
        <v>0</v>
      </c>
      <c r="AD13" s="182">
        <v>0</v>
      </c>
      <c r="AE13" s="182">
        <v>0</v>
      </c>
      <c r="AF13" s="182">
        <v>0</v>
      </c>
      <c r="AG13" s="182">
        <v>0</v>
      </c>
      <c r="AH13" s="182">
        <v>0</v>
      </c>
      <c r="AI13" s="177">
        <v>0</v>
      </c>
      <c r="AJ13" s="177">
        <v>0</v>
      </c>
      <c r="AK13" s="177">
        <v>0</v>
      </c>
      <c r="AL13" s="177">
        <v>0</v>
      </c>
      <c r="AM13" s="177">
        <v>0</v>
      </c>
      <c r="AN13" s="177">
        <v>0</v>
      </c>
      <c r="AO13" s="177">
        <v>0</v>
      </c>
      <c r="AP13" s="177">
        <v>0</v>
      </c>
      <c r="AQ13" s="177">
        <v>0</v>
      </c>
      <c r="AR13" s="177">
        <v>0</v>
      </c>
      <c r="AS13" s="177">
        <v>0</v>
      </c>
      <c r="AT13" s="177">
        <v>0</v>
      </c>
      <c r="AU13" s="177">
        <v>0</v>
      </c>
      <c r="AV13" s="177">
        <v>0</v>
      </c>
      <c r="AW13" s="177">
        <v>0</v>
      </c>
      <c r="AX13" s="177">
        <v>0</v>
      </c>
      <c r="AY13" s="177">
        <v>0</v>
      </c>
      <c r="AZ13" s="177">
        <v>0</v>
      </c>
      <c r="BA13" s="177">
        <v>0</v>
      </c>
      <c r="BB13" s="168">
        <v>0</v>
      </c>
      <c r="BC13" s="168">
        <v>0</v>
      </c>
      <c r="BD13" s="168">
        <v>0</v>
      </c>
      <c r="BE13" s="168">
        <v>0</v>
      </c>
      <c r="BF13" s="182">
        <v>0</v>
      </c>
      <c r="BG13" s="182">
        <v>0</v>
      </c>
      <c r="BH13" s="182">
        <v>0</v>
      </c>
      <c r="BI13" s="182">
        <v>0</v>
      </c>
      <c r="BJ13" s="182">
        <v>0</v>
      </c>
      <c r="BK13" s="182">
        <v>0</v>
      </c>
      <c r="BL13" s="182">
        <v>0</v>
      </c>
      <c r="BM13" s="182">
        <v>0</v>
      </c>
      <c r="BN13" s="182">
        <v>0</v>
      </c>
      <c r="BO13" s="182">
        <v>0</v>
      </c>
      <c r="BP13" s="182">
        <v>0</v>
      </c>
      <c r="BQ13" s="182">
        <v>0</v>
      </c>
      <c r="BR13" s="182">
        <v>0</v>
      </c>
      <c r="BS13" s="182">
        <v>0</v>
      </c>
      <c r="BT13" s="182">
        <v>0</v>
      </c>
      <c r="BU13" s="182">
        <v>0</v>
      </c>
      <c r="BV13" s="182">
        <v>0</v>
      </c>
      <c r="BW13" s="182">
        <v>0</v>
      </c>
      <c r="BX13" s="182">
        <v>0</v>
      </c>
      <c r="BY13" s="182">
        <v>0</v>
      </c>
      <c r="BZ13" s="182">
        <v>0</v>
      </c>
      <c r="CA13" s="182">
        <v>0</v>
      </c>
      <c r="CB13" s="182">
        <v>0</v>
      </c>
      <c r="CC13" s="182">
        <v>0</v>
      </c>
      <c r="CD13" s="182">
        <v>0</v>
      </c>
      <c r="CE13" s="182">
        <v>0</v>
      </c>
      <c r="CF13" s="182">
        <v>0</v>
      </c>
      <c r="CG13" s="182">
        <v>0</v>
      </c>
      <c r="CH13" s="182">
        <v>0</v>
      </c>
      <c r="CI13" s="182">
        <v>0</v>
      </c>
      <c r="CJ13" s="182">
        <v>0</v>
      </c>
      <c r="CK13" s="182">
        <v>0</v>
      </c>
      <c r="CL13" s="182">
        <v>0</v>
      </c>
      <c r="CM13" s="182">
        <v>0</v>
      </c>
      <c r="CN13" s="182">
        <v>0</v>
      </c>
      <c r="CO13" s="182">
        <v>0</v>
      </c>
      <c r="CP13" s="182">
        <v>0</v>
      </c>
      <c r="CQ13" s="182">
        <v>0</v>
      </c>
      <c r="CR13" s="182">
        <v>0</v>
      </c>
      <c r="CS13" s="182">
        <v>0</v>
      </c>
      <c r="CT13" s="182">
        <v>0</v>
      </c>
      <c r="CU13" s="182">
        <v>0</v>
      </c>
      <c r="CV13" s="182">
        <v>0</v>
      </c>
      <c r="CW13" s="182">
        <v>0</v>
      </c>
      <c r="CX13" s="182">
        <v>0</v>
      </c>
      <c r="CY13" s="182">
        <v>0</v>
      </c>
      <c r="CZ13" s="182">
        <v>0</v>
      </c>
      <c r="DA13" s="182">
        <v>0</v>
      </c>
      <c r="DB13" s="182">
        <v>0</v>
      </c>
      <c r="DC13" s="182">
        <v>0</v>
      </c>
      <c r="DD13" s="182">
        <v>0</v>
      </c>
      <c r="DE13" s="182">
        <v>0</v>
      </c>
      <c r="DF13" s="182">
        <v>0</v>
      </c>
      <c r="DG13" s="182">
        <v>0</v>
      </c>
      <c r="DH13" s="182">
        <v>0</v>
      </c>
      <c r="DI13" s="182">
        <v>0</v>
      </c>
      <c r="DJ13" s="182">
        <v>0</v>
      </c>
      <c r="DK13" s="182">
        <v>0</v>
      </c>
      <c r="DL13" s="182">
        <v>0</v>
      </c>
      <c r="DM13" s="182">
        <v>0</v>
      </c>
      <c r="DN13" s="182">
        <v>0</v>
      </c>
      <c r="DO13" s="182">
        <v>0</v>
      </c>
      <c r="DP13" s="182">
        <v>0</v>
      </c>
      <c r="DQ13" s="182">
        <v>0</v>
      </c>
      <c r="DR13" s="182">
        <v>0</v>
      </c>
      <c r="DS13" s="182">
        <v>0</v>
      </c>
      <c r="DT13" s="182">
        <v>0</v>
      </c>
      <c r="DU13" s="182">
        <v>0</v>
      </c>
      <c r="DV13" s="182">
        <v>0</v>
      </c>
      <c r="DW13" s="182">
        <v>0</v>
      </c>
      <c r="DX13" s="182">
        <v>0</v>
      </c>
      <c r="DY13" s="182">
        <v>0</v>
      </c>
      <c r="DZ13" s="182">
        <v>0</v>
      </c>
      <c r="EA13" s="182">
        <v>0</v>
      </c>
      <c r="EB13" s="182">
        <v>0</v>
      </c>
      <c r="EC13" s="182">
        <v>0</v>
      </c>
      <c r="ED13" s="182">
        <v>0</v>
      </c>
      <c r="EE13" s="182">
        <v>0</v>
      </c>
      <c r="EF13" s="182">
        <v>0</v>
      </c>
      <c r="EG13" s="182">
        <v>0</v>
      </c>
      <c r="EH13" s="182">
        <v>0</v>
      </c>
      <c r="EI13" s="182">
        <v>0</v>
      </c>
      <c r="EJ13" s="182">
        <v>0</v>
      </c>
      <c r="EK13" s="182">
        <v>0</v>
      </c>
      <c r="EL13" s="182">
        <v>0</v>
      </c>
      <c r="EM13" s="182">
        <v>0</v>
      </c>
      <c r="EN13" s="182">
        <v>0</v>
      </c>
      <c r="EO13" s="182">
        <v>0</v>
      </c>
      <c r="EP13" s="182">
        <v>0</v>
      </c>
      <c r="EQ13" s="182">
        <v>0</v>
      </c>
      <c r="ER13" s="182">
        <v>0</v>
      </c>
      <c r="ES13" s="182">
        <v>0</v>
      </c>
      <c r="ET13" s="182">
        <v>0</v>
      </c>
      <c r="EU13" s="182">
        <v>0</v>
      </c>
      <c r="EV13" s="182">
        <v>0</v>
      </c>
      <c r="EW13" s="182">
        <v>0</v>
      </c>
      <c r="EX13" s="182">
        <v>0</v>
      </c>
      <c r="EY13" s="182">
        <v>0</v>
      </c>
      <c r="EZ13" s="182">
        <v>0</v>
      </c>
      <c r="FA13" s="182">
        <v>0</v>
      </c>
      <c r="FB13" s="183">
        <v>0</v>
      </c>
      <c r="FC13" s="29"/>
      <c r="FD13" s="29"/>
    </row>
    <row r="14" spans="2:160" ht="12.75" customHeight="1" x14ac:dyDescent="0.3">
      <c r="B14" s="180" t="s">
        <v>3824</v>
      </c>
      <c r="C14" s="278"/>
      <c r="D14" s="177">
        <v>0</v>
      </c>
      <c r="E14" s="177">
        <v>0</v>
      </c>
      <c r="F14" s="177">
        <f>k.aRA.cwRA</f>
        <v>1.7485826124729893E-7</v>
      </c>
      <c r="G14" s="306">
        <v>0</v>
      </c>
      <c r="H14" s="176">
        <v>0</v>
      </c>
      <c r="I14" s="373">
        <f>-SUM(I$9:I13,I15:I$163)</f>
        <v>-7.3989536825645093E-5</v>
      </c>
      <c r="J14" s="306">
        <v>0</v>
      </c>
      <c r="K14" s="177">
        <v>0</v>
      </c>
      <c r="L14" s="177">
        <v>0</v>
      </c>
      <c r="M14" s="177">
        <v>0</v>
      </c>
      <c r="N14" s="177">
        <v>0</v>
      </c>
      <c r="O14" s="279">
        <v>0</v>
      </c>
      <c r="P14" s="279">
        <v>0</v>
      </c>
      <c r="Q14" s="279">
        <v>0</v>
      </c>
      <c r="R14" s="279">
        <v>0</v>
      </c>
      <c r="S14" s="177">
        <v>0</v>
      </c>
      <c r="T14" s="177">
        <v>0</v>
      </c>
      <c r="U14" s="177">
        <v>0</v>
      </c>
      <c r="V14" s="177">
        <v>0</v>
      </c>
      <c r="W14" s="177">
        <v>0</v>
      </c>
      <c r="X14" s="177">
        <v>0</v>
      </c>
      <c r="Y14" s="177">
        <v>0</v>
      </c>
      <c r="Z14" s="177">
        <v>0</v>
      </c>
      <c r="AA14" s="182">
        <v>0</v>
      </c>
      <c r="AB14" s="182">
        <v>0</v>
      </c>
      <c r="AC14" s="182">
        <v>0</v>
      </c>
      <c r="AD14" s="182">
        <v>0</v>
      </c>
      <c r="AE14" s="182">
        <v>0</v>
      </c>
      <c r="AF14" s="182">
        <v>0</v>
      </c>
      <c r="AG14" s="182">
        <v>0</v>
      </c>
      <c r="AH14" s="182">
        <v>0</v>
      </c>
      <c r="AI14" s="177">
        <v>0</v>
      </c>
      <c r="AJ14" s="177">
        <v>0</v>
      </c>
      <c r="AK14" s="177">
        <v>0</v>
      </c>
      <c r="AL14" s="177">
        <v>0</v>
      </c>
      <c r="AM14" s="177">
        <v>0</v>
      </c>
      <c r="AN14" s="177">
        <v>0</v>
      </c>
      <c r="AO14" s="177">
        <v>0</v>
      </c>
      <c r="AP14" s="177">
        <v>0</v>
      </c>
      <c r="AQ14" s="177">
        <v>0</v>
      </c>
      <c r="AR14" s="177">
        <v>0</v>
      </c>
      <c r="AS14" s="177">
        <v>0</v>
      </c>
      <c r="AT14" s="177">
        <v>0</v>
      </c>
      <c r="AU14" s="177">
        <v>0</v>
      </c>
      <c r="AV14" s="177">
        <v>0</v>
      </c>
      <c r="AW14" s="177">
        <v>0</v>
      </c>
      <c r="AX14" s="177">
        <v>0</v>
      </c>
      <c r="AY14" s="177">
        <v>0</v>
      </c>
      <c r="AZ14" s="177">
        <v>0</v>
      </c>
      <c r="BA14" s="177">
        <v>0</v>
      </c>
      <c r="BB14" s="168">
        <v>0</v>
      </c>
      <c r="BC14" s="168">
        <v>0</v>
      </c>
      <c r="BD14" s="168">
        <v>0</v>
      </c>
      <c r="BE14" s="168">
        <v>0</v>
      </c>
      <c r="BF14" s="182">
        <v>0</v>
      </c>
      <c r="BG14" s="182">
        <v>0</v>
      </c>
      <c r="BH14" s="182">
        <v>0</v>
      </c>
      <c r="BI14" s="182">
        <v>0</v>
      </c>
      <c r="BJ14" s="182">
        <v>0</v>
      </c>
      <c r="BK14" s="182">
        <v>0</v>
      </c>
      <c r="BL14" s="182">
        <v>0</v>
      </c>
      <c r="BM14" s="182">
        <v>0</v>
      </c>
      <c r="BN14" s="182">
        <v>0</v>
      </c>
      <c r="BO14" s="182">
        <v>0</v>
      </c>
      <c r="BP14" s="182">
        <v>0</v>
      </c>
      <c r="BQ14" s="182">
        <v>0</v>
      </c>
      <c r="BR14" s="182">
        <v>0</v>
      </c>
      <c r="BS14" s="182">
        <v>0</v>
      </c>
      <c r="BT14" s="182">
        <v>0</v>
      </c>
      <c r="BU14" s="182">
        <v>0</v>
      </c>
      <c r="BV14" s="182">
        <v>0</v>
      </c>
      <c r="BW14" s="182">
        <v>0</v>
      </c>
      <c r="BX14" s="182">
        <v>0</v>
      </c>
      <c r="BY14" s="182">
        <v>0</v>
      </c>
      <c r="BZ14" s="182">
        <v>0</v>
      </c>
      <c r="CA14" s="182">
        <v>0</v>
      </c>
      <c r="CB14" s="182">
        <v>0</v>
      </c>
      <c r="CC14" s="182">
        <v>0</v>
      </c>
      <c r="CD14" s="182">
        <v>0</v>
      </c>
      <c r="CE14" s="182">
        <v>0</v>
      </c>
      <c r="CF14" s="182">
        <v>0</v>
      </c>
      <c r="CG14" s="182">
        <v>0</v>
      </c>
      <c r="CH14" s="182">
        <v>0</v>
      </c>
      <c r="CI14" s="182">
        <v>0</v>
      </c>
      <c r="CJ14" s="182">
        <v>0</v>
      </c>
      <c r="CK14" s="182">
        <v>0</v>
      </c>
      <c r="CL14" s="182">
        <v>0</v>
      </c>
      <c r="CM14" s="182">
        <v>0</v>
      </c>
      <c r="CN14" s="182">
        <v>0</v>
      </c>
      <c r="CO14" s="182">
        <v>0</v>
      </c>
      <c r="CP14" s="182">
        <v>0</v>
      </c>
      <c r="CQ14" s="182">
        <v>0</v>
      </c>
      <c r="CR14" s="182">
        <v>0</v>
      </c>
      <c r="CS14" s="182">
        <v>0</v>
      </c>
      <c r="CT14" s="182">
        <v>0</v>
      </c>
      <c r="CU14" s="182">
        <v>0</v>
      </c>
      <c r="CV14" s="182">
        <v>0</v>
      </c>
      <c r="CW14" s="182">
        <v>0</v>
      </c>
      <c r="CX14" s="182">
        <v>0</v>
      </c>
      <c r="CY14" s="182">
        <v>0</v>
      </c>
      <c r="CZ14" s="182">
        <v>0</v>
      </c>
      <c r="DA14" s="182">
        <v>0</v>
      </c>
      <c r="DB14" s="182">
        <v>0</v>
      </c>
      <c r="DC14" s="182">
        <v>0</v>
      </c>
      <c r="DD14" s="182">
        <v>0</v>
      </c>
      <c r="DE14" s="182">
        <v>0</v>
      </c>
      <c r="DF14" s="182">
        <v>0</v>
      </c>
      <c r="DG14" s="182">
        <v>0</v>
      </c>
      <c r="DH14" s="182">
        <v>0</v>
      </c>
      <c r="DI14" s="182">
        <v>0</v>
      </c>
      <c r="DJ14" s="182">
        <v>0</v>
      </c>
      <c r="DK14" s="182">
        <v>0</v>
      </c>
      <c r="DL14" s="182">
        <v>0</v>
      </c>
      <c r="DM14" s="182">
        <v>0</v>
      </c>
      <c r="DN14" s="182">
        <v>0</v>
      </c>
      <c r="DO14" s="182">
        <v>0</v>
      </c>
      <c r="DP14" s="182">
        <v>0</v>
      </c>
      <c r="DQ14" s="182">
        <v>0</v>
      </c>
      <c r="DR14" s="182">
        <v>0</v>
      </c>
      <c r="DS14" s="182">
        <v>0</v>
      </c>
      <c r="DT14" s="182">
        <v>0</v>
      </c>
      <c r="DU14" s="182">
        <v>0</v>
      </c>
      <c r="DV14" s="182">
        <v>0</v>
      </c>
      <c r="DW14" s="182">
        <v>0</v>
      </c>
      <c r="DX14" s="182">
        <v>0</v>
      </c>
      <c r="DY14" s="182">
        <v>0</v>
      </c>
      <c r="DZ14" s="182">
        <v>0</v>
      </c>
      <c r="EA14" s="182">
        <v>0</v>
      </c>
      <c r="EB14" s="182">
        <v>0</v>
      </c>
      <c r="EC14" s="182">
        <v>0</v>
      </c>
      <c r="ED14" s="182">
        <v>0</v>
      </c>
      <c r="EE14" s="182">
        <v>0</v>
      </c>
      <c r="EF14" s="182">
        <v>0</v>
      </c>
      <c r="EG14" s="182">
        <v>0</v>
      </c>
      <c r="EH14" s="182">
        <v>0</v>
      </c>
      <c r="EI14" s="182">
        <v>0</v>
      </c>
      <c r="EJ14" s="182">
        <v>0</v>
      </c>
      <c r="EK14" s="182">
        <v>0</v>
      </c>
      <c r="EL14" s="182">
        <v>0</v>
      </c>
      <c r="EM14" s="182">
        <v>0</v>
      </c>
      <c r="EN14" s="182">
        <v>0</v>
      </c>
      <c r="EO14" s="182">
        <v>0</v>
      </c>
      <c r="EP14" s="182">
        <v>0</v>
      </c>
      <c r="EQ14" s="182">
        <v>0</v>
      </c>
      <c r="ER14" s="182">
        <v>0</v>
      </c>
      <c r="ES14" s="182">
        <v>0</v>
      </c>
      <c r="ET14" s="182">
        <v>0</v>
      </c>
      <c r="EU14" s="182">
        <v>0</v>
      </c>
      <c r="EV14" s="182">
        <v>0</v>
      </c>
      <c r="EW14" s="182">
        <v>0</v>
      </c>
      <c r="EX14" s="182">
        <v>0</v>
      </c>
      <c r="EY14" s="182">
        <v>0</v>
      </c>
      <c r="EZ14" s="182">
        <v>0</v>
      </c>
      <c r="FA14" s="182">
        <v>0</v>
      </c>
      <c r="FB14" s="183">
        <v>0</v>
      </c>
      <c r="FC14" s="29"/>
      <c r="FD14" s="29"/>
    </row>
    <row r="15" spans="2:160" ht="12.75" customHeight="1" x14ac:dyDescent="0.3">
      <c r="B15" s="180" t="s">
        <v>3825</v>
      </c>
      <c r="C15" s="278"/>
      <c r="D15" s="177">
        <v>0</v>
      </c>
      <c r="E15" s="177">
        <v>0</v>
      </c>
      <c r="F15" s="177">
        <v>0</v>
      </c>
      <c r="G15" s="306">
        <f>k.aRP.cwRP</f>
        <v>7.3989514628784031E-5</v>
      </c>
      <c r="H15" s="309">
        <v>0</v>
      </c>
      <c r="I15" s="309">
        <v>0</v>
      </c>
      <c r="J15" s="373">
        <f>-SUM(J$9:J14,J16:J$163)</f>
        <v>-7.3989536825645093E-5</v>
      </c>
      <c r="K15" s="177">
        <v>0</v>
      </c>
      <c r="L15" s="177">
        <v>0</v>
      </c>
      <c r="M15" s="177">
        <v>0</v>
      </c>
      <c r="N15" s="177">
        <v>0</v>
      </c>
      <c r="O15" s="279">
        <v>0</v>
      </c>
      <c r="P15" s="279">
        <v>0</v>
      </c>
      <c r="Q15" s="279">
        <v>0</v>
      </c>
      <c r="R15" s="279">
        <v>0</v>
      </c>
      <c r="S15" s="177">
        <v>0</v>
      </c>
      <c r="T15" s="177">
        <v>0</v>
      </c>
      <c r="U15" s="177">
        <v>0</v>
      </c>
      <c r="V15" s="177">
        <v>0</v>
      </c>
      <c r="W15" s="177">
        <v>0</v>
      </c>
      <c r="X15" s="177">
        <v>0</v>
      </c>
      <c r="Y15" s="177">
        <v>0</v>
      </c>
      <c r="Z15" s="177">
        <v>0</v>
      </c>
      <c r="AA15" s="182">
        <v>0</v>
      </c>
      <c r="AB15" s="182">
        <v>0</v>
      </c>
      <c r="AC15" s="182">
        <v>0</v>
      </c>
      <c r="AD15" s="182">
        <v>0</v>
      </c>
      <c r="AE15" s="182">
        <v>0</v>
      </c>
      <c r="AF15" s="182">
        <v>0</v>
      </c>
      <c r="AG15" s="182">
        <v>0</v>
      </c>
      <c r="AH15" s="182">
        <v>0</v>
      </c>
      <c r="AI15" s="177">
        <v>0</v>
      </c>
      <c r="AJ15" s="177">
        <v>0</v>
      </c>
      <c r="AK15" s="177">
        <v>0</v>
      </c>
      <c r="AL15" s="177">
        <v>0</v>
      </c>
      <c r="AM15" s="177">
        <v>0</v>
      </c>
      <c r="AN15" s="177">
        <v>0</v>
      </c>
      <c r="AO15" s="177">
        <v>0</v>
      </c>
      <c r="AP15" s="177">
        <v>0</v>
      </c>
      <c r="AQ15" s="177">
        <v>0</v>
      </c>
      <c r="AR15" s="177">
        <v>0</v>
      </c>
      <c r="AS15" s="177">
        <v>0</v>
      </c>
      <c r="AT15" s="177">
        <v>0</v>
      </c>
      <c r="AU15" s="177">
        <v>0</v>
      </c>
      <c r="AV15" s="177">
        <v>0</v>
      </c>
      <c r="AW15" s="177">
        <v>0</v>
      </c>
      <c r="AX15" s="177">
        <v>0</v>
      </c>
      <c r="AY15" s="177">
        <v>0</v>
      </c>
      <c r="AZ15" s="177">
        <v>0</v>
      </c>
      <c r="BA15" s="177">
        <v>0</v>
      </c>
      <c r="BB15" s="168">
        <v>0</v>
      </c>
      <c r="BC15" s="168">
        <v>0</v>
      </c>
      <c r="BD15" s="168">
        <v>0</v>
      </c>
      <c r="BE15" s="168">
        <v>0</v>
      </c>
      <c r="BF15" s="182">
        <v>0</v>
      </c>
      <c r="BG15" s="182">
        <v>0</v>
      </c>
      <c r="BH15" s="182">
        <v>0</v>
      </c>
      <c r="BI15" s="182">
        <v>0</v>
      </c>
      <c r="BJ15" s="182">
        <v>0</v>
      </c>
      <c r="BK15" s="182">
        <v>0</v>
      </c>
      <c r="BL15" s="182">
        <v>0</v>
      </c>
      <c r="BM15" s="182">
        <v>0</v>
      </c>
      <c r="BN15" s="182">
        <v>0</v>
      </c>
      <c r="BO15" s="182">
        <v>0</v>
      </c>
      <c r="BP15" s="182">
        <v>0</v>
      </c>
      <c r="BQ15" s="182">
        <v>0</v>
      </c>
      <c r="BR15" s="182">
        <v>0</v>
      </c>
      <c r="BS15" s="182">
        <v>0</v>
      </c>
      <c r="BT15" s="182">
        <v>0</v>
      </c>
      <c r="BU15" s="182">
        <v>0</v>
      </c>
      <c r="BV15" s="182">
        <v>0</v>
      </c>
      <c r="BW15" s="182">
        <v>0</v>
      </c>
      <c r="BX15" s="182">
        <v>0</v>
      </c>
      <c r="BY15" s="182">
        <v>0</v>
      </c>
      <c r="BZ15" s="182">
        <v>0</v>
      </c>
      <c r="CA15" s="182">
        <v>0</v>
      </c>
      <c r="CB15" s="182">
        <v>0</v>
      </c>
      <c r="CC15" s="182">
        <v>0</v>
      </c>
      <c r="CD15" s="182">
        <v>0</v>
      </c>
      <c r="CE15" s="182">
        <v>0</v>
      </c>
      <c r="CF15" s="182">
        <v>0</v>
      </c>
      <c r="CG15" s="182">
        <v>0</v>
      </c>
      <c r="CH15" s="182">
        <v>0</v>
      </c>
      <c r="CI15" s="182">
        <v>0</v>
      </c>
      <c r="CJ15" s="182">
        <v>0</v>
      </c>
      <c r="CK15" s="182">
        <v>0</v>
      </c>
      <c r="CL15" s="182">
        <v>0</v>
      </c>
      <c r="CM15" s="182">
        <v>0</v>
      </c>
      <c r="CN15" s="182">
        <v>0</v>
      </c>
      <c r="CO15" s="182">
        <v>0</v>
      </c>
      <c r="CP15" s="182">
        <v>0</v>
      </c>
      <c r="CQ15" s="182">
        <v>0</v>
      </c>
      <c r="CR15" s="182">
        <v>0</v>
      </c>
      <c r="CS15" s="182">
        <v>0</v>
      </c>
      <c r="CT15" s="182">
        <v>0</v>
      </c>
      <c r="CU15" s="182">
        <v>0</v>
      </c>
      <c r="CV15" s="182">
        <v>0</v>
      </c>
      <c r="CW15" s="182">
        <v>0</v>
      </c>
      <c r="CX15" s="182">
        <v>0</v>
      </c>
      <c r="CY15" s="182">
        <v>0</v>
      </c>
      <c r="CZ15" s="182">
        <v>0</v>
      </c>
      <c r="DA15" s="182">
        <v>0</v>
      </c>
      <c r="DB15" s="182">
        <v>0</v>
      </c>
      <c r="DC15" s="182">
        <v>0</v>
      </c>
      <c r="DD15" s="182">
        <v>0</v>
      </c>
      <c r="DE15" s="182">
        <v>0</v>
      </c>
      <c r="DF15" s="182">
        <v>0</v>
      </c>
      <c r="DG15" s="182">
        <v>0</v>
      </c>
      <c r="DH15" s="182">
        <v>0</v>
      </c>
      <c r="DI15" s="182">
        <v>0</v>
      </c>
      <c r="DJ15" s="182">
        <v>0</v>
      </c>
      <c r="DK15" s="182">
        <v>0</v>
      </c>
      <c r="DL15" s="182">
        <v>0</v>
      </c>
      <c r="DM15" s="182">
        <v>0</v>
      </c>
      <c r="DN15" s="182">
        <v>0</v>
      </c>
      <c r="DO15" s="182">
        <v>0</v>
      </c>
      <c r="DP15" s="182">
        <v>0</v>
      </c>
      <c r="DQ15" s="182">
        <v>0</v>
      </c>
      <c r="DR15" s="182">
        <v>0</v>
      </c>
      <c r="DS15" s="182">
        <v>0</v>
      </c>
      <c r="DT15" s="182">
        <v>0</v>
      </c>
      <c r="DU15" s="182">
        <v>0</v>
      </c>
      <c r="DV15" s="182">
        <v>0</v>
      </c>
      <c r="DW15" s="182">
        <v>0</v>
      </c>
      <c r="DX15" s="182">
        <v>0</v>
      </c>
      <c r="DY15" s="182">
        <v>0</v>
      </c>
      <c r="DZ15" s="182">
        <v>0</v>
      </c>
      <c r="EA15" s="182">
        <v>0</v>
      </c>
      <c r="EB15" s="182">
        <v>0</v>
      </c>
      <c r="EC15" s="182">
        <v>0</v>
      </c>
      <c r="ED15" s="182">
        <v>0</v>
      </c>
      <c r="EE15" s="182">
        <v>0</v>
      </c>
      <c r="EF15" s="182">
        <v>0</v>
      </c>
      <c r="EG15" s="182">
        <v>0</v>
      </c>
      <c r="EH15" s="182">
        <v>0</v>
      </c>
      <c r="EI15" s="182">
        <v>0</v>
      </c>
      <c r="EJ15" s="182">
        <v>0</v>
      </c>
      <c r="EK15" s="182">
        <v>0</v>
      </c>
      <c r="EL15" s="182">
        <v>0</v>
      </c>
      <c r="EM15" s="182">
        <v>0</v>
      </c>
      <c r="EN15" s="182">
        <v>0</v>
      </c>
      <c r="EO15" s="182">
        <v>0</v>
      </c>
      <c r="EP15" s="182">
        <v>0</v>
      </c>
      <c r="EQ15" s="182">
        <v>0</v>
      </c>
      <c r="ER15" s="182">
        <v>0</v>
      </c>
      <c r="ES15" s="182">
        <v>0</v>
      </c>
      <c r="ET15" s="182">
        <v>0</v>
      </c>
      <c r="EU15" s="182">
        <v>0</v>
      </c>
      <c r="EV15" s="182">
        <v>0</v>
      </c>
      <c r="EW15" s="182">
        <v>0</v>
      </c>
      <c r="EX15" s="182">
        <v>0</v>
      </c>
      <c r="EY15" s="182">
        <v>0</v>
      </c>
      <c r="EZ15" s="182">
        <v>0</v>
      </c>
      <c r="FA15" s="182">
        <v>0</v>
      </c>
      <c r="FB15" s="183">
        <v>0</v>
      </c>
      <c r="FC15" s="29"/>
      <c r="FD15" s="29"/>
    </row>
    <row r="16" spans="2:160" ht="12.75" customHeight="1" x14ac:dyDescent="0.3">
      <c r="B16" s="180" t="s">
        <v>3826</v>
      </c>
      <c r="C16" s="278"/>
      <c r="D16" s="177">
        <f>k.aRG.w0RD</f>
        <v>1.425790919893887E-10</v>
      </c>
      <c r="E16" s="177">
        <v>0</v>
      </c>
      <c r="F16" s="177">
        <v>0</v>
      </c>
      <c r="G16" s="176">
        <v>0</v>
      </c>
      <c r="H16" s="177">
        <v>0</v>
      </c>
      <c r="I16" s="177">
        <v>0</v>
      </c>
      <c r="J16" s="177">
        <v>0</v>
      </c>
      <c r="K16" s="310">
        <f>-k.w0RD-SUM(K9:K15,K17:K163)</f>
        <v>-1.405962316417675E-7</v>
      </c>
      <c r="L16" s="311">
        <f>kdis.w0S.w0D</f>
        <v>0</v>
      </c>
      <c r="M16" s="311">
        <f>kdis.w0A.w0D</f>
        <v>0</v>
      </c>
      <c r="N16" s="307">
        <f>kdis.w0P.w0D</f>
        <v>0</v>
      </c>
      <c r="O16" s="279">
        <f>k.w1R.w0R</f>
        <v>0</v>
      </c>
      <c r="P16" s="279">
        <v>0</v>
      </c>
      <c r="Q16" s="279">
        <v>0</v>
      </c>
      <c r="R16" s="279">
        <v>0</v>
      </c>
      <c r="S16" s="29">
        <v>0</v>
      </c>
      <c r="T16" s="29">
        <v>0</v>
      </c>
      <c r="U16" s="29">
        <v>0</v>
      </c>
      <c r="V16" s="29">
        <v>0</v>
      </c>
      <c r="W16" s="176">
        <f>k.sd0RD.w0RD</f>
        <v>0</v>
      </c>
      <c r="X16" s="29">
        <v>0</v>
      </c>
      <c r="Y16" s="29">
        <v>0</v>
      </c>
      <c r="Z16" s="29">
        <v>0</v>
      </c>
      <c r="AA16" s="182">
        <v>0</v>
      </c>
      <c r="AB16" s="182">
        <v>0</v>
      </c>
      <c r="AC16" s="182">
        <v>0</v>
      </c>
      <c r="AD16" s="182">
        <v>0</v>
      </c>
      <c r="AE16" s="182">
        <v>0</v>
      </c>
      <c r="AF16" s="182">
        <v>0</v>
      </c>
      <c r="AG16" s="182">
        <v>0</v>
      </c>
      <c r="AH16" s="182">
        <v>0</v>
      </c>
      <c r="AI16" s="279">
        <f>k.s1R.w0RD</f>
        <v>5.0633546548533271E-10</v>
      </c>
      <c r="AJ16" s="279">
        <v>0</v>
      </c>
      <c r="AK16" s="279">
        <v>0</v>
      </c>
      <c r="AL16" s="279">
        <v>0</v>
      </c>
      <c r="AM16" s="279">
        <f>k.s2R.w0RD</f>
        <v>2.304100973546819E-10</v>
      </c>
      <c r="AN16" s="279">
        <v>0</v>
      </c>
      <c r="AO16" s="279">
        <v>0</v>
      </c>
      <c r="AP16" s="279">
        <v>0</v>
      </c>
      <c r="AQ16" s="279">
        <f>k.s3R.w0RD</f>
        <v>5.0633546548533271E-10</v>
      </c>
      <c r="AR16" s="279">
        <v>0</v>
      </c>
      <c r="AS16" s="279">
        <v>0</v>
      </c>
      <c r="AT16" s="279">
        <v>0</v>
      </c>
      <c r="AU16" s="182">
        <v>0</v>
      </c>
      <c r="AV16" s="182">
        <v>0</v>
      </c>
      <c r="AW16" s="182">
        <v>0</v>
      </c>
      <c r="AX16" s="182">
        <v>0</v>
      </c>
      <c r="AY16" s="182">
        <v>0</v>
      </c>
      <c r="AZ16" s="182">
        <v>0</v>
      </c>
      <c r="BA16" s="182">
        <v>0</v>
      </c>
      <c r="BB16" s="168">
        <v>0</v>
      </c>
      <c r="BC16" s="168">
        <v>0</v>
      </c>
      <c r="BD16" s="168">
        <v>0</v>
      </c>
      <c r="BE16" s="168">
        <v>0</v>
      </c>
      <c r="BF16" s="182">
        <v>0</v>
      </c>
      <c r="BG16" s="182">
        <v>0</v>
      </c>
      <c r="BH16" s="182">
        <v>0</v>
      </c>
      <c r="BI16" s="182">
        <v>0</v>
      </c>
      <c r="BJ16" s="182">
        <v>0</v>
      </c>
      <c r="BK16" s="182">
        <v>0</v>
      </c>
      <c r="BL16" s="182">
        <v>0</v>
      </c>
      <c r="BM16" s="182">
        <v>0</v>
      </c>
      <c r="BN16" s="182">
        <v>0</v>
      </c>
      <c r="BO16" s="182">
        <v>0</v>
      </c>
      <c r="BP16" s="182">
        <v>0</v>
      </c>
      <c r="BQ16" s="182">
        <v>0</v>
      </c>
      <c r="BR16" s="182">
        <v>0</v>
      </c>
      <c r="BS16" s="182">
        <v>0</v>
      </c>
      <c r="BT16" s="182">
        <v>0</v>
      </c>
      <c r="BU16" s="182">
        <v>0</v>
      </c>
      <c r="BV16" s="182">
        <v>0</v>
      </c>
      <c r="BW16" s="182">
        <v>0</v>
      </c>
      <c r="BX16" s="182">
        <v>0</v>
      </c>
      <c r="BY16" s="182">
        <v>0</v>
      </c>
      <c r="BZ16" s="182">
        <v>0</v>
      </c>
      <c r="CA16" s="182">
        <v>0</v>
      </c>
      <c r="CB16" s="182">
        <v>0</v>
      </c>
      <c r="CC16" s="182">
        <v>0</v>
      </c>
      <c r="CD16" s="182">
        <v>0</v>
      </c>
      <c r="CE16" s="182">
        <v>0</v>
      </c>
      <c r="CF16" s="182">
        <v>0</v>
      </c>
      <c r="CG16" s="182">
        <v>0</v>
      </c>
      <c r="CH16" s="182">
        <v>0</v>
      </c>
      <c r="CI16" s="182">
        <v>0</v>
      </c>
      <c r="CJ16" s="182">
        <v>0</v>
      </c>
      <c r="CK16" s="182">
        <v>0</v>
      </c>
      <c r="CL16" s="182">
        <v>0</v>
      </c>
      <c r="CM16" s="182">
        <v>0</v>
      </c>
      <c r="CN16" s="182">
        <v>0</v>
      </c>
      <c r="CO16" s="182">
        <v>0</v>
      </c>
      <c r="CP16" s="182">
        <v>0</v>
      </c>
      <c r="CQ16" s="182">
        <v>0</v>
      </c>
      <c r="CR16" s="182">
        <v>0</v>
      </c>
      <c r="CS16" s="182">
        <v>0</v>
      </c>
      <c r="CT16" s="182">
        <v>0</v>
      </c>
      <c r="CU16" s="182">
        <v>0</v>
      </c>
      <c r="CV16" s="182">
        <v>0</v>
      </c>
      <c r="CW16" s="182">
        <v>0</v>
      </c>
      <c r="CX16" s="182">
        <v>0</v>
      </c>
      <c r="CY16" s="182">
        <v>0</v>
      </c>
      <c r="CZ16" s="182">
        <v>0</v>
      </c>
      <c r="DA16" s="182">
        <v>0</v>
      </c>
      <c r="DB16" s="182">
        <v>0</v>
      </c>
      <c r="DC16" s="182">
        <v>0</v>
      </c>
      <c r="DD16" s="182">
        <v>0</v>
      </c>
      <c r="DE16" s="182">
        <v>0</v>
      </c>
      <c r="DF16" s="182">
        <v>0</v>
      </c>
      <c r="DG16" s="182">
        <v>0</v>
      </c>
      <c r="DH16" s="182">
        <v>0</v>
      </c>
      <c r="DI16" s="182">
        <v>0</v>
      </c>
      <c r="DJ16" s="182">
        <v>0</v>
      </c>
      <c r="DK16" s="182">
        <v>0</v>
      </c>
      <c r="DL16" s="182">
        <v>0</v>
      </c>
      <c r="DM16" s="182">
        <v>0</v>
      </c>
      <c r="DN16" s="182">
        <v>0</v>
      </c>
      <c r="DO16" s="182">
        <v>0</v>
      </c>
      <c r="DP16" s="182">
        <v>0</v>
      </c>
      <c r="DQ16" s="182">
        <v>0</v>
      </c>
      <c r="DR16" s="182">
        <v>0</v>
      </c>
      <c r="DS16" s="182">
        <v>0</v>
      </c>
      <c r="DT16" s="182">
        <v>0</v>
      </c>
      <c r="DU16" s="182">
        <v>0</v>
      </c>
      <c r="DV16" s="182">
        <v>0</v>
      </c>
      <c r="DW16" s="182">
        <v>0</v>
      </c>
      <c r="DX16" s="182">
        <v>0</v>
      </c>
      <c r="DY16" s="182">
        <v>0</v>
      </c>
      <c r="DZ16" s="182">
        <v>0</v>
      </c>
      <c r="EA16" s="182">
        <v>0</v>
      </c>
      <c r="EB16" s="182">
        <v>0</v>
      </c>
      <c r="EC16" s="182">
        <v>0</v>
      </c>
      <c r="ED16" s="182">
        <v>0</v>
      </c>
      <c r="EE16" s="182">
        <v>0</v>
      </c>
      <c r="EF16" s="182">
        <v>0</v>
      </c>
      <c r="EG16" s="182">
        <v>0</v>
      </c>
      <c r="EH16" s="182">
        <v>0</v>
      </c>
      <c r="EI16" s="182">
        <v>0</v>
      </c>
      <c r="EJ16" s="182">
        <v>0</v>
      </c>
      <c r="EK16" s="182">
        <v>0</v>
      </c>
      <c r="EL16" s="182">
        <v>0</v>
      </c>
      <c r="EM16" s="182">
        <v>0</v>
      </c>
      <c r="EN16" s="182">
        <v>0</v>
      </c>
      <c r="EO16" s="182">
        <v>0</v>
      </c>
      <c r="EP16" s="182">
        <v>0</v>
      </c>
      <c r="EQ16" s="182">
        <v>0</v>
      </c>
      <c r="ER16" s="182">
        <v>0</v>
      </c>
      <c r="ES16" s="182">
        <v>0</v>
      </c>
      <c r="ET16" s="182">
        <v>0</v>
      </c>
      <c r="EU16" s="182">
        <v>0</v>
      </c>
      <c r="EV16" s="182">
        <v>0</v>
      </c>
      <c r="EW16" s="182">
        <v>0</v>
      </c>
      <c r="EX16" s="182">
        <v>0</v>
      </c>
      <c r="EY16" s="182">
        <v>0</v>
      </c>
      <c r="EZ16" s="182">
        <v>0</v>
      </c>
      <c r="FA16" s="182">
        <v>0</v>
      </c>
      <c r="FB16" s="183">
        <v>0</v>
      </c>
      <c r="FC16" s="29"/>
      <c r="FD16" s="29"/>
    </row>
    <row r="17" spans="2:160" ht="12.75" customHeight="1" x14ac:dyDescent="0.3">
      <c r="B17" s="180" t="s">
        <v>3827</v>
      </c>
      <c r="C17" s="278"/>
      <c r="D17" s="177">
        <v>0</v>
      </c>
      <c r="E17" s="177">
        <f>k.aRS.w0RS</f>
        <v>1.0032526446876755E-8</v>
      </c>
      <c r="F17" s="177">
        <v>0</v>
      </c>
      <c r="G17" s="176">
        <v>0</v>
      </c>
      <c r="H17" s="177">
        <f>k.cwRS.w0RS</f>
        <v>1.8416810158380553E-7</v>
      </c>
      <c r="I17" s="177">
        <v>0</v>
      </c>
      <c r="J17" s="177">
        <v>0</v>
      </c>
      <c r="K17" s="312">
        <v>0</v>
      </c>
      <c r="L17" s="181">
        <f>-SUM(L$9:L16,L18:L$163)-k.w0RS</f>
        <v>-1.5835461221436572E-4</v>
      </c>
      <c r="M17" s="176">
        <v>0</v>
      </c>
      <c r="N17" s="306">
        <v>0</v>
      </c>
      <c r="O17" s="279">
        <v>0</v>
      </c>
      <c r="P17" s="738">
        <f>k.w1R.w0R</f>
        <v>0</v>
      </c>
      <c r="Q17" s="279">
        <v>0</v>
      </c>
      <c r="R17" s="279">
        <v>0</v>
      </c>
      <c r="S17" s="29">
        <v>0</v>
      </c>
      <c r="T17" s="29">
        <v>0</v>
      </c>
      <c r="U17" s="29">
        <v>0</v>
      </c>
      <c r="V17" s="29">
        <v>0</v>
      </c>
      <c r="W17" s="29">
        <v>0</v>
      </c>
      <c r="X17" s="176">
        <f>k.sd0RS.w0RS</f>
        <v>0</v>
      </c>
      <c r="Y17" s="29">
        <v>0</v>
      </c>
      <c r="Z17" s="29">
        <v>0</v>
      </c>
      <c r="AA17" s="182">
        <v>0</v>
      </c>
      <c r="AB17" s="182">
        <v>0</v>
      </c>
      <c r="AC17" s="182">
        <v>0</v>
      </c>
      <c r="AD17" s="182">
        <v>0</v>
      </c>
      <c r="AE17" s="182">
        <v>0</v>
      </c>
      <c r="AF17" s="182">
        <v>0</v>
      </c>
      <c r="AG17" s="182">
        <v>0</v>
      </c>
      <c r="AH17" s="182">
        <v>0</v>
      </c>
      <c r="AI17" s="279">
        <v>0</v>
      </c>
      <c r="AJ17" s="177">
        <f>k.s1RS.w0RS</f>
        <v>1.1754330089525718E-8</v>
      </c>
      <c r="AK17" s="177">
        <v>0</v>
      </c>
      <c r="AL17" s="176">
        <v>0</v>
      </c>
      <c r="AM17" s="279">
        <v>0</v>
      </c>
      <c r="AN17" s="177">
        <f>k.s2RS.w0RS</f>
        <v>5.3485325628168728E-9</v>
      </c>
      <c r="AO17" s="177">
        <v>0</v>
      </c>
      <c r="AP17" s="176">
        <v>0</v>
      </c>
      <c r="AQ17" s="279">
        <v>0</v>
      </c>
      <c r="AR17" s="177">
        <f>k.s3RS.w0RS</f>
        <v>1.1754330089525718E-8</v>
      </c>
      <c r="AS17" s="177">
        <v>0</v>
      </c>
      <c r="AT17" s="176">
        <v>0</v>
      </c>
      <c r="AU17" s="182">
        <v>0</v>
      </c>
      <c r="AV17" s="182">
        <v>0</v>
      </c>
      <c r="AW17" s="182">
        <v>0</v>
      </c>
      <c r="AX17" s="182">
        <v>0</v>
      </c>
      <c r="AY17" s="182">
        <v>0</v>
      </c>
      <c r="AZ17" s="182">
        <v>0</v>
      </c>
      <c r="BA17" s="182">
        <v>0</v>
      </c>
      <c r="BB17" s="168">
        <v>0</v>
      </c>
      <c r="BC17" s="168">
        <v>0</v>
      </c>
      <c r="BD17" s="168">
        <v>0</v>
      </c>
      <c r="BE17" s="168">
        <v>0</v>
      </c>
      <c r="BF17" s="182">
        <v>0</v>
      </c>
      <c r="BG17" s="182">
        <v>0</v>
      </c>
      <c r="BH17" s="182">
        <v>0</v>
      </c>
      <c r="BI17" s="182">
        <v>0</v>
      </c>
      <c r="BJ17" s="182">
        <v>0</v>
      </c>
      <c r="BK17" s="182">
        <v>0</v>
      </c>
      <c r="BL17" s="182">
        <v>0</v>
      </c>
      <c r="BM17" s="182">
        <v>0</v>
      </c>
      <c r="BN17" s="182">
        <v>0</v>
      </c>
      <c r="BO17" s="182">
        <v>0</v>
      </c>
      <c r="BP17" s="182">
        <v>0</v>
      </c>
      <c r="BQ17" s="182">
        <v>0</v>
      </c>
      <c r="BR17" s="182">
        <v>0</v>
      </c>
      <c r="BS17" s="182">
        <v>0</v>
      </c>
      <c r="BT17" s="182">
        <v>0</v>
      </c>
      <c r="BU17" s="182">
        <v>0</v>
      </c>
      <c r="BV17" s="182">
        <v>0</v>
      </c>
      <c r="BW17" s="182">
        <v>0</v>
      </c>
      <c r="BX17" s="182">
        <v>0</v>
      </c>
      <c r="BY17" s="182">
        <v>0</v>
      </c>
      <c r="BZ17" s="182">
        <v>0</v>
      </c>
      <c r="CA17" s="182">
        <v>0</v>
      </c>
      <c r="CB17" s="182">
        <v>0</v>
      </c>
      <c r="CC17" s="182">
        <v>0</v>
      </c>
      <c r="CD17" s="182">
        <v>0</v>
      </c>
      <c r="CE17" s="182">
        <v>0</v>
      </c>
      <c r="CF17" s="182">
        <v>0</v>
      </c>
      <c r="CG17" s="182">
        <v>0</v>
      </c>
      <c r="CH17" s="182">
        <v>0</v>
      </c>
      <c r="CI17" s="182">
        <v>0</v>
      </c>
      <c r="CJ17" s="182">
        <v>0</v>
      </c>
      <c r="CK17" s="182">
        <v>0</v>
      </c>
      <c r="CL17" s="182">
        <v>0</v>
      </c>
      <c r="CM17" s="182">
        <v>0</v>
      </c>
      <c r="CN17" s="182">
        <v>0</v>
      </c>
      <c r="CO17" s="182">
        <v>0</v>
      </c>
      <c r="CP17" s="182">
        <v>0</v>
      </c>
      <c r="CQ17" s="182">
        <v>0</v>
      </c>
      <c r="CR17" s="182">
        <v>0</v>
      </c>
      <c r="CS17" s="182">
        <v>0</v>
      </c>
      <c r="CT17" s="182">
        <v>0</v>
      </c>
      <c r="CU17" s="182">
        <v>0</v>
      </c>
      <c r="CV17" s="182">
        <v>0</v>
      </c>
      <c r="CW17" s="182">
        <v>0</v>
      </c>
      <c r="CX17" s="182">
        <v>0</v>
      </c>
      <c r="CY17" s="182">
        <v>0</v>
      </c>
      <c r="CZ17" s="182">
        <v>0</v>
      </c>
      <c r="DA17" s="182">
        <v>0</v>
      </c>
      <c r="DB17" s="182">
        <v>0</v>
      </c>
      <c r="DC17" s="182">
        <v>0</v>
      </c>
      <c r="DD17" s="182">
        <v>0</v>
      </c>
      <c r="DE17" s="182">
        <v>0</v>
      </c>
      <c r="DF17" s="182">
        <v>0</v>
      </c>
      <c r="DG17" s="182">
        <v>0</v>
      </c>
      <c r="DH17" s="182">
        <v>0</v>
      </c>
      <c r="DI17" s="182">
        <v>0</v>
      </c>
      <c r="DJ17" s="182">
        <v>0</v>
      </c>
      <c r="DK17" s="182">
        <v>0</v>
      </c>
      <c r="DL17" s="182">
        <v>0</v>
      </c>
      <c r="DM17" s="182">
        <v>0</v>
      </c>
      <c r="DN17" s="182">
        <v>0</v>
      </c>
      <c r="DO17" s="182">
        <v>0</v>
      </c>
      <c r="DP17" s="182">
        <v>0</v>
      </c>
      <c r="DQ17" s="182">
        <v>0</v>
      </c>
      <c r="DR17" s="182">
        <v>0</v>
      </c>
      <c r="DS17" s="182">
        <v>0</v>
      </c>
      <c r="DT17" s="182">
        <v>0</v>
      </c>
      <c r="DU17" s="182">
        <v>0</v>
      </c>
      <c r="DV17" s="182">
        <v>0</v>
      </c>
      <c r="DW17" s="182">
        <v>0</v>
      </c>
      <c r="DX17" s="182">
        <v>0</v>
      </c>
      <c r="DY17" s="182">
        <v>0</v>
      </c>
      <c r="DZ17" s="182">
        <v>0</v>
      </c>
      <c r="EA17" s="182">
        <v>0</v>
      </c>
      <c r="EB17" s="182">
        <v>0</v>
      </c>
      <c r="EC17" s="182">
        <v>0</v>
      </c>
      <c r="ED17" s="182">
        <v>0</v>
      </c>
      <c r="EE17" s="182">
        <v>0</v>
      </c>
      <c r="EF17" s="182">
        <v>0</v>
      </c>
      <c r="EG17" s="182">
        <v>0</v>
      </c>
      <c r="EH17" s="182">
        <v>0</v>
      </c>
      <c r="EI17" s="182">
        <v>0</v>
      </c>
      <c r="EJ17" s="182">
        <v>0</v>
      </c>
      <c r="EK17" s="182">
        <v>0</v>
      </c>
      <c r="EL17" s="182">
        <v>0</v>
      </c>
      <c r="EM17" s="182">
        <v>0</v>
      </c>
      <c r="EN17" s="182">
        <v>0</v>
      </c>
      <c r="EO17" s="182">
        <v>0</v>
      </c>
      <c r="EP17" s="182">
        <v>0</v>
      </c>
      <c r="EQ17" s="182">
        <v>0</v>
      </c>
      <c r="ER17" s="182">
        <v>0</v>
      </c>
      <c r="ES17" s="182">
        <v>0</v>
      </c>
      <c r="ET17" s="182">
        <v>0</v>
      </c>
      <c r="EU17" s="182">
        <v>0</v>
      </c>
      <c r="EV17" s="182">
        <v>0</v>
      </c>
      <c r="EW17" s="182">
        <v>0</v>
      </c>
      <c r="EX17" s="182">
        <v>0</v>
      </c>
      <c r="EY17" s="182">
        <v>0</v>
      </c>
      <c r="EZ17" s="182">
        <v>0</v>
      </c>
      <c r="FA17" s="182">
        <v>0</v>
      </c>
      <c r="FB17" s="183">
        <v>0</v>
      </c>
      <c r="FC17" s="29"/>
      <c r="FD17" s="29"/>
    </row>
    <row r="18" spans="2:160" ht="12.75" customHeight="1" x14ac:dyDescent="0.3">
      <c r="B18" s="180" t="s">
        <v>3828</v>
      </c>
      <c r="C18" s="278"/>
      <c r="D18" s="177">
        <v>0</v>
      </c>
      <c r="E18" s="177">
        <v>0</v>
      </c>
      <c r="F18" s="177">
        <f>k.aRA.w0RA</f>
        <v>3.1113484188777306E-9</v>
      </c>
      <c r="G18" s="176">
        <v>0</v>
      </c>
      <c r="H18" s="177">
        <v>0</v>
      </c>
      <c r="I18" s="177">
        <f>k.cwRA.w0RA</f>
        <v>1.8416810158380553E-7</v>
      </c>
      <c r="J18" s="177">
        <v>0</v>
      </c>
      <c r="K18" s="312">
        <v>0</v>
      </c>
      <c r="L18" s="176">
        <f>k.w0RS.w0RA</f>
        <v>1.5805793080239788E-4</v>
      </c>
      <c r="M18" s="181">
        <f>-SUM(M$9:M17,M19:M$163)-k.w0RA</f>
        <v>-2.8881805725789193E-9</v>
      </c>
      <c r="N18" s="306">
        <v>0</v>
      </c>
      <c r="O18" s="279">
        <v>0</v>
      </c>
      <c r="P18" s="279">
        <v>0</v>
      </c>
      <c r="Q18" s="279">
        <f>k.w1R.w0R</f>
        <v>0</v>
      </c>
      <c r="R18" s="279">
        <v>0</v>
      </c>
      <c r="S18" s="29">
        <v>0</v>
      </c>
      <c r="T18" s="29">
        <v>0</v>
      </c>
      <c r="U18" s="29">
        <v>0</v>
      </c>
      <c r="V18" s="29">
        <v>0</v>
      </c>
      <c r="W18" s="29">
        <v>0</v>
      </c>
      <c r="X18" s="29">
        <v>0</v>
      </c>
      <c r="Y18" s="176">
        <f>k.sd0RA.w0RA</f>
        <v>0</v>
      </c>
      <c r="Z18" s="29">
        <v>0</v>
      </c>
      <c r="AA18" s="182">
        <v>0</v>
      </c>
      <c r="AB18" s="182">
        <v>0</v>
      </c>
      <c r="AC18" s="182">
        <v>0</v>
      </c>
      <c r="AD18" s="182">
        <v>0</v>
      </c>
      <c r="AE18" s="182">
        <v>0</v>
      </c>
      <c r="AF18" s="182">
        <v>0</v>
      </c>
      <c r="AG18" s="182">
        <v>0</v>
      </c>
      <c r="AH18" s="182">
        <v>0</v>
      </c>
      <c r="AI18" s="279">
        <v>0</v>
      </c>
      <c r="AJ18" s="177">
        <v>0</v>
      </c>
      <c r="AK18" s="177">
        <f>k.s1RA.w0RA</f>
        <v>1.1754330089525718E-8</v>
      </c>
      <c r="AL18" s="176">
        <v>0</v>
      </c>
      <c r="AM18" s="279">
        <v>0</v>
      </c>
      <c r="AN18" s="177">
        <v>0</v>
      </c>
      <c r="AO18" s="177">
        <f>k.s2RA.w0RA</f>
        <v>5.3485325628168728E-9</v>
      </c>
      <c r="AP18" s="176">
        <v>0</v>
      </c>
      <c r="AQ18" s="279">
        <v>0</v>
      </c>
      <c r="AR18" s="177">
        <v>0</v>
      </c>
      <c r="AS18" s="177">
        <f>k.s3RA.w0RA</f>
        <v>1.1754330089525718E-8</v>
      </c>
      <c r="AT18" s="176">
        <v>0</v>
      </c>
      <c r="AU18" s="182">
        <v>0</v>
      </c>
      <c r="AV18" s="182">
        <v>0</v>
      </c>
      <c r="AW18" s="182">
        <v>0</v>
      </c>
      <c r="AX18" s="182">
        <v>0</v>
      </c>
      <c r="AY18" s="182">
        <v>0</v>
      </c>
      <c r="AZ18" s="182">
        <v>0</v>
      </c>
      <c r="BA18" s="182">
        <v>0</v>
      </c>
      <c r="BB18" s="168">
        <v>0</v>
      </c>
      <c r="BC18" s="168">
        <v>0</v>
      </c>
      <c r="BD18" s="168">
        <v>0</v>
      </c>
      <c r="BE18" s="168">
        <v>0</v>
      </c>
      <c r="BF18" s="182">
        <v>0</v>
      </c>
      <c r="BG18" s="182">
        <v>0</v>
      </c>
      <c r="BH18" s="182">
        <v>0</v>
      </c>
      <c r="BI18" s="182">
        <v>0</v>
      </c>
      <c r="BJ18" s="182">
        <v>0</v>
      </c>
      <c r="BK18" s="182">
        <v>0</v>
      </c>
      <c r="BL18" s="182">
        <v>0</v>
      </c>
      <c r="BM18" s="182">
        <v>0</v>
      </c>
      <c r="BN18" s="182">
        <v>0</v>
      </c>
      <c r="BO18" s="182">
        <v>0</v>
      </c>
      <c r="BP18" s="182">
        <v>0</v>
      </c>
      <c r="BQ18" s="182">
        <v>0</v>
      </c>
      <c r="BR18" s="182">
        <v>0</v>
      </c>
      <c r="BS18" s="182">
        <v>0</v>
      </c>
      <c r="BT18" s="182">
        <v>0</v>
      </c>
      <c r="BU18" s="182">
        <v>0</v>
      </c>
      <c r="BV18" s="182">
        <v>0</v>
      </c>
      <c r="BW18" s="182">
        <v>0</v>
      </c>
      <c r="BX18" s="182">
        <v>0</v>
      </c>
      <c r="BY18" s="182">
        <v>0</v>
      </c>
      <c r="BZ18" s="182">
        <v>0</v>
      </c>
      <c r="CA18" s="182">
        <v>0</v>
      </c>
      <c r="CB18" s="182">
        <v>0</v>
      </c>
      <c r="CC18" s="182">
        <v>0</v>
      </c>
      <c r="CD18" s="182">
        <v>0</v>
      </c>
      <c r="CE18" s="182">
        <v>0</v>
      </c>
      <c r="CF18" s="182">
        <v>0</v>
      </c>
      <c r="CG18" s="182">
        <v>0</v>
      </c>
      <c r="CH18" s="182">
        <v>0</v>
      </c>
      <c r="CI18" s="182">
        <v>0</v>
      </c>
      <c r="CJ18" s="182">
        <v>0</v>
      </c>
      <c r="CK18" s="182">
        <v>0</v>
      </c>
      <c r="CL18" s="182">
        <v>0</v>
      </c>
      <c r="CM18" s="182">
        <v>0</v>
      </c>
      <c r="CN18" s="182">
        <v>0</v>
      </c>
      <c r="CO18" s="182">
        <v>0</v>
      </c>
      <c r="CP18" s="182">
        <v>0</v>
      </c>
      <c r="CQ18" s="182">
        <v>0</v>
      </c>
      <c r="CR18" s="182">
        <v>0</v>
      </c>
      <c r="CS18" s="182">
        <v>0</v>
      </c>
      <c r="CT18" s="182">
        <v>0</v>
      </c>
      <c r="CU18" s="182">
        <v>0</v>
      </c>
      <c r="CV18" s="182">
        <v>0</v>
      </c>
      <c r="CW18" s="182">
        <v>0</v>
      </c>
      <c r="CX18" s="182">
        <v>0</v>
      </c>
      <c r="CY18" s="182">
        <v>0</v>
      </c>
      <c r="CZ18" s="182">
        <v>0</v>
      </c>
      <c r="DA18" s="182">
        <v>0</v>
      </c>
      <c r="DB18" s="182">
        <v>0</v>
      </c>
      <c r="DC18" s="182">
        <v>0</v>
      </c>
      <c r="DD18" s="182">
        <v>0</v>
      </c>
      <c r="DE18" s="182">
        <v>0</v>
      </c>
      <c r="DF18" s="182">
        <v>0</v>
      </c>
      <c r="DG18" s="182">
        <v>0</v>
      </c>
      <c r="DH18" s="182">
        <v>0</v>
      </c>
      <c r="DI18" s="182">
        <v>0</v>
      </c>
      <c r="DJ18" s="182">
        <v>0</v>
      </c>
      <c r="DK18" s="182">
        <v>0</v>
      </c>
      <c r="DL18" s="182">
        <v>0</v>
      </c>
      <c r="DM18" s="182">
        <v>0</v>
      </c>
      <c r="DN18" s="182">
        <v>0</v>
      </c>
      <c r="DO18" s="182">
        <v>0</v>
      </c>
      <c r="DP18" s="182">
        <v>0</v>
      </c>
      <c r="DQ18" s="182">
        <v>0</v>
      </c>
      <c r="DR18" s="182">
        <v>0</v>
      </c>
      <c r="DS18" s="182">
        <v>0</v>
      </c>
      <c r="DT18" s="182">
        <v>0</v>
      </c>
      <c r="DU18" s="182">
        <v>0</v>
      </c>
      <c r="DV18" s="182">
        <v>0</v>
      </c>
      <c r="DW18" s="182">
        <v>0</v>
      </c>
      <c r="DX18" s="182">
        <v>0</v>
      </c>
      <c r="DY18" s="182">
        <v>0</v>
      </c>
      <c r="DZ18" s="182">
        <v>0</v>
      </c>
      <c r="EA18" s="182">
        <v>0</v>
      </c>
      <c r="EB18" s="182">
        <v>0</v>
      </c>
      <c r="EC18" s="182">
        <v>0</v>
      </c>
      <c r="ED18" s="182">
        <v>0</v>
      </c>
      <c r="EE18" s="182">
        <v>0</v>
      </c>
      <c r="EF18" s="182">
        <v>0</v>
      </c>
      <c r="EG18" s="182">
        <v>0</v>
      </c>
      <c r="EH18" s="182">
        <v>0</v>
      </c>
      <c r="EI18" s="182">
        <v>0</v>
      </c>
      <c r="EJ18" s="182">
        <v>0</v>
      </c>
      <c r="EK18" s="182">
        <v>0</v>
      </c>
      <c r="EL18" s="182">
        <v>0</v>
      </c>
      <c r="EM18" s="182">
        <v>0</v>
      </c>
      <c r="EN18" s="182">
        <v>0</v>
      </c>
      <c r="EO18" s="182">
        <v>0</v>
      </c>
      <c r="EP18" s="182">
        <v>0</v>
      </c>
      <c r="EQ18" s="182">
        <v>0</v>
      </c>
      <c r="ER18" s="182">
        <v>0</v>
      </c>
      <c r="ES18" s="182">
        <v>0</v>
      </c>
      <c r="ET18" s="182">
        <v>0</v>
      </c>
      <c r="EU18" s="182">
        <v>0</v>
      </c>
      <c r="EV18" s="182">
        <v>0</v>
      </c>
      <c r="EW18" s="182">
        <v>0</v>
      </c>
      <c r="EX18" s="182">
        <v>0</v>
      </c>
      <c r="EY18" s="182">
        <v>0</v>
      </c>
      <c r="EZ18" s="182">
        <v>0</v>
      </c>
      <c r="FA18" s="182">
        <v>0</v>
      </c>
      <c r="FB18" s="183">
        <v>0</v>
      </c>
      <c r="FC18" s="29"/>
      <c r="FD18" s="29"/>
    </row>
    <row r="19" spans="2:160" ht="12.75" customHeight="1" x14ac:dyDescent="0.3">
      <c r="B19" s="180" t="s">
        <v>3829</v>
      </c>
      <c r="C19" s="278"/>
      <c r="D19" s="177">
        <v>0</v>
      </c>
      <c r="E19" s="177">
        <v>0</v>
      </c>
      <c r="F19" s="177">
        <v>0</v>
      </c>
      <c r="G19" s="176">
        <f>k.aRP.w0RP</f>
        <v>2.4891108220915248E-9</v>
      </c>
      <c r="H19" s="177">
        <v>0</v>
      </c>
      <c r="I19" s="177">
        <v>0</v>
      </c>
      <c r="J19" s="177">
        <f>k.cwRP.w0RP</f>
        <v>1.8416810158380553E-7</v>
      </c>
      <c r="K19" s="308">
        <v>0</v>
      </c>
      <c r="L19" s="309">
        <f>k.w0RS.w0RP</f>
        <v>2.9427711999727858E-7</v>
      </c>
      <c r="M19" s="309">
        <v>0</v>
      </c>
      <c r="N19" s="181">
        <f>-SUM(N$9:N18,N20:N$163)-k.w0RP</f>
        <v>-2.9650147169881126E-7</v>
      </c>
      <c r="O19" s="279">
        <v>0</v>
      </c>
      <c r="P19" s="279">
        <v>0</v>
      </c>
      <c r="Q19" s="279">
        <v>0</v>
      </c>
      <c r="R19" s="279">
        <f>k.w1R.w0R</f>
        <v>0</v>
      </c>
      <c r="S19" s="29">
        <v>0</v>
      </c>
      <c r="T19" s="29">
        <v>0</v>
      </c>
      <c r="U19" s="29">
        <v>0</v>
      </c>
      <c r="V19" s="29">
        <v>0</v>
      </c>
      <c r="W19" s="29">
        <v>0</v>
      </c>
      <c r="X19" s="29">
        <v>0</v>
      </c>
      <c r="Y19" s="29">
        <v>0</v>
      </c>
      <c r="Z19" s="176">
        <f>k.sd0RP.w0RP</f>
        <v>0</v>
      </c>
      <c r="AA19" s="182">
        <v>0</v>
      </c>
      <c r="AB19" s="182">
        <v>0</v>
      </c>
      <c r="AC19" s="182">
        <v>0</v>
      </c>
      <c r="AD19" s="182">
        <v>0</v>
      </c>
      <c r="AE19" s="182">
        <v>0</v>
      </c>
      <c r="AF19" s="182">
        <v>0</v>
      </c>
      <c r="AG19" s="182">
        <v>0</v>
      </c>
      <c r="AH19" s="182">
        <v>0</v>
      </c>
      <c r="AI19" s="279">
        <v>0</v>
      </c>
      <c r="AJ19" s="177">
        <v>0</v>
      </c>
      <c r="AK19" s="177">
        <v>0</v>
      </c>
      <c r="AL19" s="176">
        <f>k.s1RP.w0RP</f>
        <v>1.5854895991882292E-12</v>
      </c>
      <c r="AM19" s="279">
        <v>0</v>
      </c>
      <c r="AN19" s="177">
        <v>0</v>
      </c>
      <c r="AO19" s="177">
        <v>0</v>
      </c>
      <c r="AP19" s="176">
        <f>k.s2RP.w0RP</f>
        <v>3.9637239979705729E-13</v>
      </c>
      <c r="AQ19" s="279">
        <v>0</v>
      </c>
      <c r="AR19" s="177">
        <v>0</v>
      </c>
      <c r="AS19" s="177">
        <v>0</v>
      </c>
      <c r="AT19" s="176">
        <f>k.s3RP.w0RP</f>
        <v>1.5854895991882292E-12</v>
      </c>
      <c r="AU19" s="182">
        <v>0</v>
      </c>
      <c r="AV19" s="182">
        <v>0</v>
      </c>
      <c r="AW19" s="182">
        <v>0</v>
      </c>
      <c r="AX19" s="182">
        <v>0</v>
      </c>
      <c r="AY19" s="182">
        <v>0</v>
      </c>
      <c r="AZ19" s="182">
        <v>0</v>
      </c>
      <c r="BA19" s="182">
        <v>0</v>
      </c>
      <c r="BB19" s="168">
        <v>0</v>
      </c>
      <c r="BC19" s="168">
        <v>0</v>
      </c>
      <c r="BD19" s="168">
        <v>0</v>
      </c>
      <c r="BE19" s="168">
        <v>0</v>
      </c>
      <c r="BF19" s="182">
        <v>0</v>
      </c>
      <c r="BG19" s="182">
        <v>0</v>
      </c>
      <c r="BH19" s="182">
        <v>0</v>
      </c>
      <c r="BI19" s="182">
        <v>0</v>
      </c>
      <c r="BJ19" s="182">
        <v>0</v>
      </c>
      <c r="BK19" s="182">
        <v>0</v>
      </c>
      <c r="BL19" s="182">
        <v>0</v>
      </c>
      <c r="BM19" s="182">
        <v>0</v>
      </c>
      <c r="BN19" s="182">
        <v>0</v>
      </c>
      <c r="BO19" s="182">
        <v>0</v>
      </c>
      <c r="BP19" s="182">
        <v>0</v>
      </c>
      <c r="BQ19" s="182">
        <v>0</v>
      </c>
      <c r="BR19" s="182">
        <v>0</v>
      </c>
      <c r="BS19" s="182">
        <v>0</v>
      </c>
      <c r="BT19" s="182">
        <v>0</v>
      </c>
      <c r="BU19" s="182">
        <v>0</v>
      </c>
      <c r="BV19" s="182">
        <v>0</v>
      </c>
      <c r="BW19" s="182">
        <v>0</v>
      </c>
      <c r="BX19" s="182">
        <v>0</v>
      </c>
      <c r="BY19" s="182">
        <v>0</v>
      </c>
      <c r="BZ19" s="182">
        <v>0</v>
      </c>
      <c r="CA19" s="182">
        <v>0</v>
      </c>
      <c r="CB19" s="182">
        <v>0</v>
      </c>
      <c r="CC19" s="182">
        <v>0</v>
      </c>
      <c r="CD19" s="182">
        <v>0</v>
      </c>
      <c r="CE19" s="182">
        <v>0</v>
      </c>
      <c r="CF19" s="182">
        <v>0</v>
      </c>
      <c r="CG19" s="182">
        <v>0</v>
      </c>
      <c r="CH19" s="182">
        <v>0</v>
      </c>
      <c r="CI19" s="182">
        <v>0</v>
      </c>
      <c r="CJ19" s="182">
        <v>0</v>
      </c>
      <c r="CK19" s="182">
        <v>0</v>
      </c>
      <c r="CL19" s="182">
        <v>0</v>
      </c>
      <c r="CM19" s="182">
        <v>0</v>
      </c>
      <c r="CN19" s="182">
        <v>0</v>
      </c>
      <c r="CO19" s="182">
        <v>0</v>
      </c>
      <c r="CP19" s="182">
        <v>0</v>
      </c>
      <c r="CQ19" s="182">
        <v>0</v>
      </c>
      <c r="CR19" s="182">
        <v>0</v>
      </c>
      <c r="CS19" s="182">
        <v>0</v>
      </c>
      <c r="CT19" s="182">
        <v>0</v>
      </c>
      <c r="CU19" s="182">
        <v>0</v>
      </c>
      <c r="CV19" s="182">
        <v>0</v>
      </c>
      <c r="CW19" s="182">
        <v>0</v>
      </c>
      <c r="CX19" s="182">
        <v>0</v>
      </c>
      <c r="CY19" s="182">
        <v>0</v>
      </c>
      <c r="CZ19" s="182">
        <v>0</v>
      </c>
      <c r="DA19" s="182">
        <v>0</v>
      </c>
      <c r="DB19" s="182">
        <v>0</v>
      </c>
      <c r="DC19" s="182">
        <v>0</v>
      </c>
      <c r="DD19" s="182">
        <v>0</v>
      </c>
      <c r="DE19" s="182">
        <v>0</v>
      </c>
      <c r="DF19" s="182">
        <v>0</v>
      </c>
      <c r="DG19" s="182">
        <v>0</v>
      </c>
      <c r="DH19" s="182">
        <v>0</v>
      </c>
      <c r="DI19" s="182">
        <v>0</v>
      </c>
      <c r="DJ19" s="182">
        <v>0</v>
      </c>
      <c r="DK19" s="182">
        <v>0</v>
      </c>
      <c r="DL19" s="182">
        <v>0</v>
      </c>
      <c r="DM19" s="182">
        <v>0</v>
      </c>
      <c r="DN19" s="182">
        <v>0</v>
      </c>
      <c r="DO19" s="182">
        <v>0</v>
      </c>
      <c r="DP19" s="182">
        <v>0</v>
      </c>
      <c r="DQ19" s="182">
        <v>0</v>
      </c>
      <c r="DR19" s="182">
        <v>0</v>
      </c>
      <c r="DS19" s="182">
        <v>0</v>
      </c>
      <c r="DT19" s="182">
        <v>0</v>
      </c>
      <c r="DU19" s="182">
        <v>0</v>
      </c>
      <c r="DV19" s="182">
        <v>0</v>
      </c>
      <c r="DW19" s="182">
        <v>0</v>
      </c>
      <c r="DX19" s="182">
        <v>0</v>
      </c>
      <c r="DY19" s="182">
        <v>0</v>
      </c>
      <c r="DZ19" s="182">
        <v>0</v>
      </c>
      <c r="EA19" s="182">
        <v>0</v>
      </c>
      <c r="EB19" s="182">
        <v>0</v>
      </c>
      <c r="EC19" s="182">
        <v>0</v>
      </c>
      <c r="ED19" s="182">
        <v>0</v>
      </c>
      <c r="EE19" s="182">
        <v>0</v>
      </c>
      <c r="EF19" s="182">
        <v>0</v>
      </c>
      <c r="EG19" s="182">
        <v>0</v>
      </c>
      <c r="EH19" s="182">
        <v>0</v>
      </c>
      <c r="EI19" s="182">
        <v>0</v>
      </c>
      <c r="EJ19" s="182">
        <v>0</v>
      </c>
      <c r="EK19" s="182">
        <v>0</v>
      </c>
      <c r="EL19" s="182">
        <v>0</v>
      </c>
      <c r="EM19" s="182">
        <v>0</v>
      </c>
      <c r="EN19" s="182">
        <v>0</v>
      </c>
      <c r="EO19" s="182">
        <v>0</v>
      </c>
      <c r="EP19" s="182">
        <v>0</v>
      </c>
      <c r="EQ19" s="182">
        <v>0</v>
      </c>
      <c r="ER19" s="182">
        <v>0</v>
      </c>
      <c r="ES19" s="182">
        <v>0</v>
      </c>
      <c r="ET19" s="182">
        <v>0</v>
      </c>
      <c r="EU19" s="182">
        <v>0</v>
      </c>
      <c r="EV19" s="182">
        <v>0</v>
      </c>
      <c r="EW19" s="182">
        <v>0</v>
      </c>
      <c r="EX19" s="182">
        <v>0</v>
      </c>
      <c r="EY19" s="182">
        <v>0</v>
      </c>
      <c r="EZ19" s="182">
        <v>0</v>
      </c>
      <c r="FA19" s="182">
        <v>0</v>
      </c>
      <c r="FB19" s="183">
        <v>0</v>
      </c>
      <c r="FC19" s="29"/>
      <c r="FD19" s="29"/>
    </row>
    <row r="20" spans="2:160" ht="12.75" customHeight="1" x14ac:dyDescent="0.3">
      <c r="B20" s="180" t="s">
        <v>3830</v>
      </c>
      <c r="C20" s="278"/>
      <c r="D20" s="279">
        <f>k.aRG.w1RD</f>
        <v>1.5683700118832757E-9</v>
      </c>
      <c r="E20" s="177">
        <v>0</v>
      </c>
      <c r="F20" s="177">
        <v>0</v>
      </c>
      <c r="G20" s="176">
        <v>0</v>
      </c>
      <c r="H20" s="279">
        <v>0</v>
      </c>
      <c r="I20" s="279">
        <v>0</v>
      </c>
      <c r="J20" s="279">
        <v>0</v>
      </c>
      <c r="K20" s="279">
        <f>k.w0R.w1R</f>
        <v>2.3972602739726025E-9</v>
      </c>
      <c r="L20" s="279">
        <v>0</v>
      </c>
      <c r="M20" s="279">
        <v>0</v>
      </c>
      <c r="N20" s="279">
        <v>0</v>
      </c>
      <c r="O20" s="313">
        <f>-k.w1RD-SUM(O9:O19,O21:O163)</f>
        <v>-1.8879573259027767E-6</v>
      </c>
      <c r="P20" s="314">
        <f>kdis.w1S.w1D</f>
        <v>0</v>
      </c>
      <c r="Q20" s="314">
        <f>kdis.w1A.w1D</f>
        <v>0</v>
      </c>
      <c r="R20" s="315">
        <f>kdis.w1P.w1D</f>
        <v>0</v>
      </c>
      <c r="S20" s="280">
        <v>0</v>
      </c>
      <c r="T20" s="280">
        <v>0</v>
      </c>
      <c r="U20" s="280">
        <v>0</v>
      </c>
      <c r="V20" s="280">
        <v>0</v>
      </c>
      <c r="W20" s="280">
        <v>0</v>
      </c>
      <c r="X20" s="280">
        <v>0</v>
      </c>
      <c r="Y20" s="280">
        <v>0</v>
      </c>
      <c r="Z20" s="280">
        <v>0</v>
      </c>
      <c r="AA20" s="279">
        <f>k.sd1RD.w1RD</f>
        <v>7.2268678089181498E-8</v>
      </c>
      <c r="AB20" s="279">
        <v>0</v>
      </c>
      <c r="AC20" s="279">
        <v>0</v>
      </c>
      <c r="AD20" s="279">
        <v>0</v>
      </c>
      <c r="AE20" s="280">
        <v>0</v>
      </c>
      <c r="AF20" s="280">
        <v>0</v>
      </c>
      <c r="AG20" s="280">
        <v>0</v>
      </c>
      <c r="AH20" s="280">
        <v>0</v>
      </c>
      <c r="AI20" s="279">
        <f>k.s1RD.w1RD</f>
        <v>5.5696901203386607E-9</v>
      </c>
      <c r="AJ20" s="279">
        <v>0</v>
      </c>
      <c r="AK20" s="279">
        <v>0</v>
      </c>
      <c r="AL20" s="279">
        <v>0</v>
      </c>
      <c r="AM20" s="279">
        <f>k.s2RD.w1RD</f>
        <v>2.5345110709015009E-9</v>
      </c>
      <c r="AN20" s="279">
        <v>0</v>
      </c>
      <c r="AO20" s="279">
        <v>0</v>
      </c>
      <c r="AP20" s="279">
        <v>0</v>
      </c>
      <c r="AQ20" s="279">
        <f>k.s3RD.w1RD</f>
        <v>5.5696901203386607E-9</v>
      </c>
      <c r="AR20" s="279">
        <v>0</v>
      </c>
      <c r="AS20" s="279">
        <v>0</v>
      </c>
      <c r="AT20" s="279">
        <v>0</v>
      </c>
      <c r="AU20" s="280">
        <v>0</v>
      </c>
      <c r="AV20" s="280">
        <v>0</v>
      </c>
      <c r="AW20" s="280">
        <v>0</v>
      </c>
      <c r="AX20" s="280">
        <v>0</v>
      </c>
      <c r="AY20" s="280">
        <v>0</v>
      </c>
      <c r="AZ20" s="280">
        <v>0</v>
      </c>
      <c r="BA20" s="280">
        <v>0</v>
      </c>
      <c r="BB20" s="279">
        <v>0</v>
      </c>
      <c r="BC20" s="279">
        <v>0</v>
      </c>
      <c r="BD20" s="279">
        <v>0</v>
      </c>
      <c r="BE20" s="279">
        <v>0</v>
      </c>
      <c r="BF20" s="279">
        <f>k.w1C.w1R</f>
        <v>0</v>
      </c>
      <c r="BG20" s="279">
        <v>0</v>
      </c>
      <c r="BH20" s="279">
        <v>0</v>
      </c>
      <c r="BI20" s="279">
        <v>0</v>
      </c>
      <c r="BJ20" s="182">
        <v>0</v>
      </c>
      <c r="BK20" s="182">
        <v>0</v>
      </c>
      <c r="BL20" s="182">
        <v>0</v>
      </c>
      <c r="BM20" s="182">
        <v>0</v>
      </c>
      <c r="BN20" s="182">
        <v>0</v>
      </c>
      <c r="BO20" s="182">
        <v>0</v>
      </c>
      <c r="BP20" s="182">
        <v>0</v>
      </c>
      <c r="BQ20" s="182">
        <v>0</v>
      </c>
      <c r="BR20" s="182">
        <v>0</v>
      </c>
      <c r="BS20" s="182">
        <v>0</v>
      </c>
      <c r="BT20" s="182">
        <v>0</v>
      </c>
      <c r="BU20" s="182">
        <v>0</v>
      </c>
      <c r="BV20" s="182">
        <v>0</v>
      </c>
      <c r="BW20" s="182">
        <v>0</v>
      </c>
      <c r="BX20" s="182">
        <v>0</v>
      </c>
      <c r="BY20" s="182">
        <v>0</v>
      </c>
      <c r="BZ20" s="182">
        <v>0</v>
      </c>
      <c r="CA20" s="182">
        <v>0</v>
      </c>
      <c r="CB20" s="182">
        <v>0</v>
      </c>
      <c r="CC20" s="182">
        <v>0</v>
      </c>
      <c r="CD20" s="182">
        <v>0</v>
      </c>
      <c r="CE20" s="182">
        <v>0</v>
      </c>
      <c r="CF20" s="182">
        <v>0</v>
      </c>
      <c r="CG20" s="182">
        <v>0</v>
      </c>
      <c r="CH20" s="182">
        <v>0</v>
      </c>
      <c r="CI20" s="182">
        <v>0</v>
      </c>
      <c r="CJ20" s="182">
        <v>0</v>
      </c>
      <c r="CK20" s="182">
        <v>0</v>
      </c>
      <c r="CL20" s="182">
        <v>0</v>
      </c>
      <c r="CM20" s="182">
        <v>0</v>
      </c>
      <c r="CN20" s="182">
        <v>0</v>
      </c>
      <c r="CO20" s="182">
        <v>0</v>
      </c>
      <c r="CP20" s="182">
        <v>0</v>
      </c>
      <c r="CQ20" s="182">
        <v>0</v>
      </c>
      <c r="CR20" s="182">
        <v>0</v>
      </c>
      <c r="CS20" s="182">
        <v>0</v>
      </c>
      <c r="CT20" s="182">
        <v>0</v>
      </c>
      <c r="CU20" s="182">
        <v>0</v>
      </c>
      <c r="CV20" s="182">
        <v>0</v>
      </c>
      <c r="CW20" s="182">
        <v>0</v>
      </c>
      <c r="CX20" s="182">
        <v>0</v>
      </c>
      <c r="CY20" s="182">
        <v>0</v>
      </c>
      <c r="CZ20" s="182">
        <v>0</v>
      </c>
      <c r="DA20" s="182">
        <v>0</v>
      </c>
      <c r="DB20" s="182">
        <v>0</v>
      </c>
      <c r="DC20" s="182">
        <v>0</v>
      </c>
      <c r="DD20" s="182">
        <v>0</v>
      </c>
      <c r="DE20" s="182">
        <v>0</v>
      </c>
      <c r="DF20" s="182">
        <v>0</v>
      </c>
      <c r="DG20" s="182">
        <v>0</v>
      </c>
      <c r="DH20" s="182">
        <v>0</v>
      </c>
      <c r="DI20" s="182">
        <v>0</v>
      </c>
      <c r="DJ20" s="182">
        <v>0</v>
      </c>
      <c r="DK20" s="182">
        <v>0</v>
      </c>
      <c r="DL20" s="182">
        <v>0</v>
      </c>
      <c r="DM20" s="182">
        <v>0</v>
      </c>
      <c r="DN20" s="182">
        <v>0</v>
      </c>
      <c r="DO20" s="182">
        <v>0</v>
      </c>
      <c r="DP20" s="182">
        <v>0</v>
      </c>
      <c r="DQ20" s="182">
        <v>0</v>
      </c>
      <c r="DR20" s="182">
        <v>0</v>
      </c>
      <c r="DS20" s="182">
        <v>0</v>
      </c>
      <c r="DT20" s="182">
        <v>0</v>
      </c>
      <c r="DU20" s="182">
        <v>0</v>
      </c>
      <c r="DV20" s="182">
        <v>0</v>
      </c>
      <c r="DW20" s="182">
        <v>0</v>
      </c>
      <c r="DX20" s="182">
        <v>0</v>
      </c>
      <c r="DY20" s="182">
        <v>0</v>
      </c>
      <c r="DZ20" s="182">
        <v>0</v>
      </c>
      <c r="EA20" s="182">
        <v>0</v>
      </c>
      <c r="EB20" s="182">
        <v>0</v>
      </c>
      <c r="EC20" s="182">
        <v>0</v>
      </c>
      <c r="ED20" s="182">
        <v>0</v>
      </c>
      <c r="EE20" s="182">
        <v>0</v>
      </c>
      <c r="EF20" s="182">
        <v>0</v>
      </c>
      <c r="EG20" s="182">
        <v>0</v>
      </c>
      <c r="EH20" s="182">
        <v>0</v>
      </c>
      <c r="EI20" s="182">
        <v>0</v>
      </c>
      <c r="EJ20" s="182">
        <v>0</v>
      </c>
      <c r="EK20" s="182">
        <v>0</v>
      </c>
      <c r="EL20" s="182">
        <v>0</v>
      </c>
      <c r="EM20" s="182">
        <v>0</v>
      </c>
      <c r="EN20" s="182">
        <v>0</v>
      </c>
      <c r="EO20" s="182">
        <v>0</v>
      </c>
      <c r="EP20" s="182">
        <v>0</v>
      </c>
      <c r="EQ20" s="182">
        <v>0</v>
      </c>
      <c r="ER20" s="182">
        <v>0</v>
      </c>
      <c r="ES20" s="182">
        <v>0</v>
      </c>
      <c r="ET20" s="182">
        <v>0</v>
      </c>
      <c r="EU20" s="182">
        <v>0</v>
      </c>
      <c r="EV20" s="182">
        <v>0</v>
      </c>
      <c r="EW20" s="182">
        <v>0</v>
      </c>
      <c r="EX20" s="182">
        <v>0</v>
      </c>
      <c r="EY20" s="182">
        <v>0</v>
      </c>
      <c r="EZ20" s="182">
        <v>0</v>
      </c>
      <c r="FA20" s="182">
        <v>0</v>
      </c>
      <c r="FB20" s="183">
        <v>0</v>
      </c>
      <c r="FC20" s="29"/>
      <c r="FD20" s="29"/>
    </row>
    <row r="21" spans="2:160" ht="12.75" customHeight="1" x14ac:dyDescent="0.3">
      <c r="B21" s="180" t="s">
        <v>3831</v>
      </c>
      <c r="C21" s="278"/>
      <c r="D21" s="279">
        <v>0</v>
      </c>
      <c r="E21" s="177">
        <f>k.aRS.w1RS</f>
        <v>1.1035779091564432E-7</v>
      </c>
      <c r="F21" s="177">
        <v>0</v>
      </c>
      <c r="G21" s="176">
        <v>0</v>
      </c>
      <c r="H21" s="279">
        <f>k.cwRS.w1RS</f>
        <v>2.0258491174218609E-6</v>
      </c>
      <c r="I21" s="279">
        <v>0</v>
      </c>
      <c r="J21" s="279">
        <v>0</v>
      </c>
      <c r="K21" s="279">
        <v>0</v>
      </c>
      <c r="L21" s="279">
        <f>k.w0R.w1R</f>
        <v>2.3972602739726025E-9</v>
      </c>
      <c r="M21" s="279">
        <v>0</v>
      </c>
      <c r="N21" s="279">
        <v>0</v>
      </c>
      <c r="O21" s="316">
        <v>0</v>
      </c>
      <c r="P21" s="181">
        <f>-k.w1RS-SUM(P$9:P20,P22:P$163)</f>
        <v>-1.8796867333941585E-4</v>
      </c>
      <c r="Q21" s="280">
        <v>0</v>
      </c>
      <c r="R21" s="317">
        <v>0</v>
      </c>
      <c r="S21" s="280">
        <v>0</v>
      </c>
      <c r="T21" s="280">
        <v>0</v>
      </c>
      <c r="U21" s="280">
        <v>0</v>
      </c>
      <c r="V21" s="280">
        <v>0</v>
      </c>
      <c r="W21" s="280">
        <v>0</v>
      </c>
      <c r="X21" s="280">
        <v>0</v>
      </c>
      <c r="Y21" s="280">
        <v>0</v>
      </c>
      <c r="Z21" s="280">
        <v>0</v>
      </c>
      <c r="AA21" s="279">
        <v>0</v>
      </c>
      <c r="AB21" s="177">
        <f>k.sd1RS.w1RS</f>
        <v>2.6515050905292422E-8</v>
      </c>
      <c r="AC21" s="177">
        <v>0</v>
      </c>
      <c r="AD21" s="176">
        <v>0</v>
      </c>
      <c r="AE21" s="280">
        <v>0</v>
      </c>
      <c r="AF21" s="280">
        <v>0</v>
      </c>
      <c r="AG21" s="280">
        <v>0</v>
      </c>
      <c r="AH21" s="280">
        <v>0</v>
      </c>
      <c r="AI21" s="279">
        <v>0</v>
      </c>
      <c r="AJ21" s="177">
        <f>k.s1RS.w1RS</f>
        <v>1.292976309847829E-7</v>
      </c>
      <c r="AK21" s="177">
        <v>0</v>
      </c>
      <c r="AL21" s="176">
        <v>0</v>
      </c>
      <c r="AM21" s="279">
        <v>0</v>
      </c>
      <c r="AN21" s="177">
        <f>k.s2RS.w1RS</f>
        <v>5.8833858190985604E-8</v>
      </c>
      <c r="AO21" s="177">
        <v>0</v>
      </c>
      <c r="AP21" s="176">
        <v>0</v>
      </c>
      <c r="AQ21" s="279">
        <v>0</v>
      </c>
      <c r="AR21" s="177">
        <f>k.s3RS.w1RS</f>
        <v>1.292976309847829E-7</v>
      </c>
      <c r="AS21" s="177">
        <v>0</v>
      </c>
      <c r="AT21" s="176">
        <v>0</v>
      </c>
      <c r="AU21" s="280">
        <v>0</v>
      </c>
      <c r="AV21" s="280">
        <v>0</v>
      </c>
      <c r="AW21" s="280">
        <v>0</v>
      </c>
      <c r="AX21" s="280">
        <v>0</v>
      </c>
      <c r="AY21" s="280">
        <v>0</v>
      </c>
      <c r="AZ21" s="280">
        <v>0</v>
      </c>
      <c r="BA21" s="280">
        <v>0</v>
      </c>
      <c r="BB21" s="279">
        <v>0</v>
      </c>
      <c r="BC21" s="279">
        <v>0</v>
      </c>
      <c r="BD21" s="279">
        <v>0</v>
      </c>
      <c r="BE21" s="279">
        <v>0</v>
      </c>
      <c r="BF21" s="279">
        <v>0</v>
      </c>
      <c r="BG21" s="279">
        <f>k.w1C.w1R</f>
        <v>0</v>
      </c>
      <c r="BH21" s="279">
        <v>0</v>
      </c>
      <c r="BI21" s="279">
        <v>0</v>
      </c>
      <c r="BJ21" s="182">
        <v>0</v>
      </c>
      <c r="BK21" s="182">
        <v>0</v>
      </c>
      <c r="BL21" s="182">
        <v>0</v>
      </c>
      <c r="BM21" s="182">
        <v>0</v>
      </c>
      <c r="BN21" s="182">
        <v>0</v>
      </c>
      <c r="BO21" s="182">
        <v>0</v>
      </c>
      <c r="BP21" s="182">
        <v>0</v>
      </c>
      <c r="BQ21" s="182">
        <v>0</v>
      </c>
      <c r="BR21" s="182">
        <v>0</v>
      </c>
      <c r="BS21" s="182">
        <v>0</v>
      </c>
      <c r="BT21" s="182">
        <v>0</v>
      </c>
      <c r="BU21" s="182">
        <v>0</v>
      </c>
      <c r="BV21" s="182">
        <v>0</v>
      </c>
      <c r="BW21" s="182">
        <v>0</v>
      </c>
      <c r="BX21" s="182">
        <v>0</v>
      </c>
      <c r="BY21" s="182">
        <v>0</v>
      </c>
      <c r="BZ21" s="182">
        <v>0</v>
      </c>
      <c r="CA21" s="182">
        <v>0</v>
      </c>
      <c r="CB21" s="182">
        <v>0</v>
      </c>
      <c r="CC21" s="182">
        <v>0</v>
      </c>
      <c r="CD21" s="182">
        <v>0</v>
      </c>
      <c r="CE21" s="182">
        <v>0</v>
      </c>
      <c r="CF21" s="182">
        <v>0</v>
      </c>
      <c r="CG21" s="182">
        <v>0</v>
      </c>
      <c r="CH21" s="182">
        <v>0</v>
      </c>
      <c r="CI21" s="182">
        <v>0</v>
      </c>
      <c r="CJ21" s="182">
        <v>0</v>
      </c>
      <c r="CK21" s="182">
        <v>0</v>
      </c>
      <c r="CL21" s="182">
        <v>0</v>
      </c>
      <c r="CM21" s="182">
        <v>0</v>
      </c>
      <c r="CN21" s="182">
        <v>0</v>
      </c>
      <c r="CO21" s="182">
        <v>0</v>
      </c>
      <c r="CP21" s="182">
        <v>0</v>
      </c>
      <c r="CQ21" s="182">
        <v>0</v>
      </c>
      <c r="CR21" s="182">
        <v>0</v>
      </c>
      <c r="CS21" s="182">
        <v>0</v>
      </c>
      <c r="CT21" s="182">
        <v>0</v>
      </c>
      <c r="CU21" s="182">
        <v>0</v>
      </c>
      <c r="CV21" s="182">
        <v>0</v>
      </c>
      <c r="CW21" s="182">
        <v>0</v>
      </c>
      <c r="CX21" s="182">
        <v>0</v>
      </c>
      <c r="CY21" s="182">
        <v>0</v>
      </c>
      <c r="CZ21" s="182">
        <v>0</v>
      </c>
      <c r="DA21" s="182">
        <v>0</v>
      </c>
      <c r="DB21" s="182">
        <v>0</v>
      </c>
      <c r="DC21" s="182">
        <v>0</v>
      </c>
      <c r="DD21" s="182">
        <v>0</v>
      </c>
      <c r="DE21" s="182">
        <v>0</v>
      </c>
      <c r="DF21" s="182">
        <v>0</v>
      </c>
      <c r="DG21" s="182">
        <v>0</v>
      </c>
      <c r="DH21" s="182">
        <v>0</v>
      </c>
      <c r="DI21" s="182">
        <v>0</v>
      </c>
      <c r="DJ21" s="182">
        <v>0</v>
      </c>
      <c r="DK21" s="182">
        <v>0</v>
      </c>
      <c r="DL21" s="182">
        <v>0</v>
      </c>
      <c r="DM21" s="182">
        <v>0</v>
      </c>
      <c r="DN21" s="182">
        <v>0</v>
      </c>
      <c r="DO21" s="182">
        <v>0</v>
      </c>
      <c r="DP21" s="182">
        <v>0</v>
      </c>
      <c r="DQ21" s="182">
        <v>0</v>
      </c>
      <c r="DR21" s="182">
        <v>0</v>
      </c>
      <c r="DS21" s="182">
        <v>0</v>
      </c>
      <c r="DT21" s="182">
        <v>0</v>
      </c>
      <c r="DU21" s="182">
        <v>0</v>
      </c>
      <c r="DV21" s="182">
        <v>0</v>
      </c>
      <c r="DW21" s="182">
        <v>0</v>
      </c>
      <c r="DX21" s="182">
        <v>0</v>
      </c>
      <c r="DY21" s="182">
        <v>0</v>
      </c>
      <c r="DZ21" s="182">
        <v>0</v>
      </c>
      <c r="EA21" s="182">
        <v>0</v>
      </c>
      <c r="EB21" s="182">
        <v>0</v>
      </c>
      <c r="EC21" s="182">
        <v>0</v>
      </c>
      <c r="ED21" s="182">
        <v>0</v>
      </c>
      <c r="EE21" s="182">
        <v>0</v>
      </c>
      <c r="EF21" s="182">
        <v>0</v>
      </c>
      <c r="EG21" s="182">
        <v>0</v>
      </c>
      <c r="EH21" s="182">
        <v>0</v>
      </c>
      <c r="EI21" s="182">
        <v>0</v>
      </c>
      <c r="EJ21" s="182">
        <v>0</v>
      </c>
      <c r="EK21" s="182">
        <v>0</v>
      </c>
      <c r="EL21" s="182">
        <v>0</v>
      </c>
      <c r="EM21" s="182">
        <v>0</v>
      </c>
      <c r="EN21" s="182">
        <v>0</v>
      </c>
      <c r="EO21" s="182">
        <v>0</v>
      </c>
      <c r="EP21" s="182">
        <v>0</v>
      </c>
      <c r="EQ21" s="182">
        <v>0</v>
      </c>
      <c r="ER21" s="182">
        <v>0</v>
      </c>
      <c r="ES21" s="182">
        <v>0</v>
      </c>
      <c r="ET21" s="182">
        <v>0</v>
      </c>
      <c r="EU21" s="182">
        <v>0</v>
      </c>
      <c r="EV21" s="182">
        <v>0</v>
      </c>
      <c r="EW21" s="182">
        <v>0</v>
      </c>
      <c r="EX21" s="182">
        <v>0</v>
      </c>
      <c r="EY21" s="182">
        <v>0</v>
      </c>
      <c r="EZ21" s="182">
        <v>0</v>
      </c>
      <c r="FA21" s="182">
        <v>0</v>
      </c>
      <c r="FB21" s="183">
        <v>0</v>
      </c>
      <c r="FC21" s="29"/>
      <c r="FD21" s="29"/>
    </row>
    <row r="22" spans="2:160" ht="12.75" customHeight="1" x14ac:dyDescent="0.3">
      <c r="B22" s="180" t="s">
        <v>3832</v>
      </c>
      <c r="C22" s="278"/>
      <c r="D22" s="279">
        <v>0</v>
      </c>
      <c r="E22" s="177">
        <v>0</v>
      </c>
      <c r="F22" s="177">
        <f>k.aRA.w1RA</f>
        <v>3.422483260765504E-8</v>
      </c>
      <c r="G22" s="176">
        <v>0</v>
      </c>
      <c r="H22" s="279">
        <v>0</v>
      </c>
      <c r="I22" s="279">
        <f>k.cwRA.w1RA</f>
        <v>2.0258491174218609E-6</v>
      </c>
      <c r="J22" s="279">
        <v>0</v>
      </c>
      <c r="K22" s="279">
        <v>0</v>
      </c>
      <c r="L22" s="279">
        <v>0</v>
      </c>
      <c r="M22" s="279">
        <f>k.w0R.w1R</f>
        <v>2.3972602739726025E-9</v>
      </c>
      <c r="N22" s="279">
        <v>0</v>
      </c>
      <c r="O22" s="316">
        <v>0</v>
      </c>
      <c r="P22" s="280">
        <f>k.w1RS.w1RA</f>
        <v>1.5997016683331745E-4</v>
      </c>
      <c r="Q22" s="181">
        <f>-k.w1RA-SUM(Q$9:Q21,Q23:Q$163)</f>
        <v>-8.9008260679986392E-8</v>
      </c>
      <c r="R22" s="317">
        <v>0</v>
      </c>
      <c r="S22" s="280">
        <v>0</v>
      </c>
      <c r="T22" s="280">
        <v>0</v>
      </c>
      <c r="U22" s="280">
        <v>0</v>
      </c>
      <c r="V22" s="280">
        <v>0</v>
      </c>
      <c r="W22" s="280">
        <v>0</v>
      </c>
      <c r="X22" s="280">
        <v>0</v>
      </c>
      <c r="Y22" s="280">
        <v>0</v>
      </c>
      <c r="Z22" s="280">
        <v>0</v>
      </c>
      <c r="AA22" s="279">
        <v>0</v>
      </c>
      <c r="AB22" s="177">
        <v>0</v>
      </c>
      <c r="AC22" s="177">
        <f>k.sd1RA.w1RA</f>
        <v>2.6515050905292422E-8</v>
      </c>
      <c r="AD22" s="176">
        <v>0</v>
      </c>
      <c r="AE22" s="280">
        <v>0</v>
      </c>
      <c r="AF22" s="280">
        <v>0</v>
      </c>
      <c r="AG22" s="280">
        <v>0</v>
      </c>
      <c r="AH22" s="280">
        <v>0</v>
      </c>
      <c r="AI22" s="279">
        <v>0</v>
      </c>
      <c r="AJ22" s="177">
        <v>0</v>
      </c>
      <c r="AK22" s="177">
        <f>k.s1RA.w1RA</f>
        <v>1.292976309847829E-7</v>
      </c>
      <c r="AL22" s="176">
        <v>0</v>
      </c>
      <c r="AM22" s="279">
        <v>0</v>
      </c>
      <c r="AN22" s="177">
        <v>0</v>
      </c>
      <c r="AO22" s="177">
        <f>k.s2RA.w1RA</f>
        <v>5.8833858190985604E-8</v>
      </c>
      <c r="AP22" s="176">
        <v>0</v>
      </c>
      <c r="AQ22" s="279">
        <v>0</v>
      </c>
      <c r="AR22" s="177">
        <v>0</v>
      </c>
      <c r="AS22" s="177">
        <f>k.s3RA.w1RA</f>
        <v>1.292976309847829E-7</v>
      </c>
      <c r="AT22" s="176">
        <v>0</v>
      </c>
      <c r="AU22" s="280">
        <v>0</v>
      </c>
      <c r="AV22" s="280">
        <v>0</v>
      </c>
      <c r="AW22" s="280">
        <v>0</v>
      </c>
      <c r="AX22" s="280">
        <v>0</v>
      </c>
      <c r="AY22" s="280">
        <v>0</v>
      </c>
      <c r="AZ22" s="280">
        <v>0</v>
      </c>
      <c r="BA22" s="280">
        <v>0</v>
      </c>
      <c r="BB22" s="279">
        <v>0</v>
      </c>
      <c r="BC22" s="279">
        <v>0</v>
      </c>
      <c r="BD22" s="279">
        <v>0</v>
      </c>
      <c r="BE22" s="279">
        <v>0</v>
      </c>
      <c r="BF22" s="279">
        <v>0</v>
      </c>
      <c r="BG22" s="279">
        <v>0</v>
      </c>
      <c r="BH22" s="738">
        <f>k.w1C.w1R</f>
        <v>0</v>
      </c>
      <c r="BI22" s="279">
        <v>0</v>
      </c>
      <c r="BJ22" s="182">
        <v>0</v>
      </c>
      <c r="BK22" s="182">
        <v>0</v>
      </c>
      <c r="BL22" s="182">
        <v>0</v>
      </c>
      <c r="BM22" s="182">
        <v>0</v>
      </c>
      <c r="BN22" s="182">
        <v>0</v>
      </c>
      <c r="BO22" s="182">
        <v>0</v>
      </c>
      <c r="BP22" s="182">
        <v>0</v>
      </c>
      <c r="BQ22" s="182">
        <v>0</v>
      </c>
      <c r="BR22" s="182">
        <v>0</v>
      </c>
      <c r="BS22" s="182">
        <v>0</v>
      </c>
      <c r="BT22" s="182">
        <v>0</v>
      </c>
      <c r="BU22" s="182">
        <v>0</v>
      </c>
      <c r="BV22" s="182">
        <v>0</v>
      </c>
      <c r="BW22" s="182">
        <v>0</v>
      </c>
      <c r="BX22" s="182">
        <v>0</v>
      </c>
      <c r="BY22" s="182">
        <v>0</v>
      </c>
      <c r="BZ22" s="182">
        <v>0</v>
      </c>
      <c r="CA22" s="182">
        <v>0</v>
      </c>
      <c r="CB22" s="182">
        <v>0</v>
      </c>
      <c r="CC22" s="182">
        <v>0</v>
      </c>
      <c r="CD22" s="182">
        <v>0</v>
      </c>
      <c r="CE22" s="182">
        <v>0</v>
      </c>
      <c r="CF22" s="182">
        <v>0</v>
      </c>
      <c r="CG22" s="182">
        <v>0</v>
      </c>
      <c r="CH22" s="182">
        <v>0</v>
      </c>
      <c r="CI22" s="182">
        <v>0</v>
      </c>
      <c r="CJ22" s="182">
        <v>0</v>
      </c>
      <c r="CK22" s="182">
        <v>0</v>
      </c>
      <c r="CL22" s="182">
        <v>0</v>
      </c>
      <c r="CM22" s="182">
        <v>0</v>
      </c>
      <c r="CN22" s="182">
        <v>0</v>
      </c>
      <c r="CO22" s="182">
        <v>0</v>
      </c>
      <c r="CP22" s="182">
        <v>0</v>
      </c>
      <c r="CQ22" s="182">
        <v>0</v>
      </c>
      <c r="CR22" s="182">
        <v>0</v>
      </c>
      <c r="CS22" s="182">
        <v>0</v>
      </c>
      <c r="CT22" s="182">
        <v>0</v>
      </c>
      <c r="CU22" s="182">
        <v>0</v>
      </c>
      <c r="CV22" s="182">
        <v>0</v>
      </c>
      <c r="CW22" s="182">
        <v>0</v>
      </c>
      <c r="CX22" s="182">
        <v>0</v>
      </c>
      <c r="CY22" s="182">
        <v>0</v>
      </c>
      <c r="CZ22" s="182">
        <v>0</v>
      </c>
      <c r="DA22" s="182">
        <v>0</v>
      </c>
      <c r="DB22" s="182">
        <v>0</v>
      </c>
      <c r="DC22" s="182">
        <v>0</v>
      </c>
      <c r="DD22" s="182">
        <v>0</v>
      </c>
      <c r="DE22" s="182">
        <v>0</v>
      </c>
      <c r="DF22" s="182">
        <v>0</v>
      </c>
      <c r="DG22" s="182">
        <v>0</v>
      </c>
      <c r="DH22" s="182">
        <v>0</v>
      </c>
      <c r="DI22" s="182">
        <v>0</v>
      </c>
      <c r="DJ22" s="182">
        <v>0</v>
      </c>
      <c r="DK22" s="182">
        <v>0</v>
      </c>
      <c r="DL22" s="182">
        <v>0</v>
      </c>
      <c r="DM22" s="182">
        <v>0</v>
      </c>
      <c r="DN22" s="182">
        <v>0</v>
      </c>
      <c r="DO22" s="182">
        <v>0</v>
      </c>
      <c r="DP22" s="182">
        <v>0</v>
      </c>
      <c r="DQ22" s="182">
        <v>0</v>
      </c>
      <c r="DR22" s="182">
        <v>0</v>
      </c>
      <c r="DS22" s="182">
        <v>0</v>
      </c>
      <c r="DT22" s="182">
        <v>0</v>
      </c>
      <c r="DU22" s="182">
        <v>0</v>
      </c>
      <c r="DV22" s="182">
        <v>0</v>
      </c>
      <c r="DW22" s="182">
        <v>0</v>
      </c>
      <c r="DX22" s="182">
        <v>0</v>
      </c>
      <c r="DY22" s="182">
        <v>0</v>
      </c>
      <c r="DZ22" s="182">
        <v>0</v>
      </c>
      <c r="EA22" s="182">
        <v>0</v>
      </c>
      <c r="EB22" s="182">
        <v>0</v>
      </c>
      <c r="EC22" s="182">
        <v>0</v>
      </c>
      <c r="ED22" s="182">
        <v>0</v>
      </c>
      <c r="EE22" s="182">
        <v>0</v>
      </c>
      <c r="EF22" s="182">
        <v>0</v>
      </c>
      <c r="EG22" s="182">
        <v>0</v>
      </c>
      <c r="EH22" s="182">
        <v>0</v>
      </c>
      <c r="EI22" s="182">
        <v>0</v>
      </c>
      <c r="EJ22" s="182">
        <v>0</v>
      </c>
      <c r="EK22" s="182">
        <v>0</v>
      </c>
      <c r="EL22" s="182">
        <v>0</v>
      </c>
      <c r="EM22" s="182">
        <v>0</v>
      </c>
      <c r="EN22" s="182">
        <v>0</v>
      </c>
      <c r="EO22" s="182">
        <v>0</v>
      </c>
      <c r="EP22" s="182">
        <v>0</v>
      </c>
      <c r="EQ22" s="182">
        <v>0</v>
      </c>
      <c r="ER22" s="182">
        <v>0</v>
      </c>
      <c r="ES22" s="182">
        <v>0</v>
      </c>
      <c r="ET22" s="182">
        <v>0</v>
      </c>
      <c r="EU22" s="182">
        <v>0</v>
      </c>
      <c r="EV22" s="182">
        <v>0</v>
      </c>
      <c r="EW22" s="182">
        <v>0</v>
      </c>
      <c r="EX22" s="182">
        <v>0</v>
      </c>
      <c r="EY22" s="182">
        <v>0</v>
      </c>
      <c r="EZ22" s="182">
        <v>0</v>
      </c>
      <c r="FA22" s="182">
        <v>0</v>
      </c>
      <c r="FB22" s="183">
        <v>0</v>
      </c>
      <c r="FC22" s="29"/>
      <c r="FD22" s="29"/>
    </row>
    <row r="23" spans="2:160" ht="12.75" customHeight="1" x14ac:dyDescent="0.3">
      <c r="B23" s="180" t="s">
        <v>3833</v>
      </c>
      <c r="C23" s="278"/>
      <c r="D23" s="279">
        <v>0</v>
      </c>
      <c r="E23" s="177">
        <v>0</v>
      </c>
      <c r="F23" s="177">
        <v>0</v>
      </c>
      <c r="G23" s="176">
        <f>k.aRP.w1RP</f>
        <v>2.7380219043006776E-8</v>
      </c>
      <c r="H23" s="279">
        <v>0</v>
      </c>
      <c r="I23" s="279">
        <v>0</v>
      </c>
      <c r="J23" s="279">
        <f>k.cwRP.w1RP</f>
        <v>2.0258491174218609E-6</v>
      </c>
      <c r="K23" s="279">
        <v>0</v>
      </c>
      <c r="L23" s="279">
        <v>0</v>
      </c>
      <c r="M23" s="279">
        <v>0</v>
      </c>
      <c r="N23" s="279">
        <f>k.w0R.w1R</f>
        <v>2.3972602739726025E-9</v>
      </c>
      <c r="O23" s="318">
        <v>0</v>
      </c>
      <c r="P23" s="319">
        <f>k.w1RS.w1RP</f>
        <v>2.7925627865485082E-5</v>
      </c>
      <c r="Q23" s="319">
        <v>0</v>
      </c>
      <c r="R23" s="181">
        <f>-k.w1RP-SUM(R$9:R22,R24:R$163)</f>
        <v>-9.8761179648877309E-6</v>
      </c>
      <c r="S23" s="280">
        <v>0</v>
      </c>
      <c r="T23" s="280">
        <v>0</v>
      </c>
      <c r="U23" s="280">
        <v>0</v>
      </c>
      <c r="V23" s="280">
        <v>0</v>
      </c>
      <c r="W23" s="280">
        <v>0</v>
      </c>
      <c r="X23" s="280">
        <v>0</v>
      </c>
      <c r="Y23" s="280">
        <v>0</v>
      </c>
      <c r="Z23" s="280">
        <v>0</v>
      </c>
      <c r="AA23" s="279">
        <v>0</v>
      </c>
      <c r="AB23" s="177">
        <v>0</v>
      </c>
      <c r="AC23" s="177">
        <v>0</v>
      </c>
      <c r="AD23" s="176">
        <f>k.sd1RP.w1RP</f>
        <v>2.6515050905292422E-8</v>
      </c>
      <c r="AE23" s="280">
        <v>0</v>
      </c>
      <c r="AF23" s="280">
        <v>0</v>
      </c>
      <c r="AG23" s="280">
        <v>0</v>
      </c>
      <c r="AH23" s="280">
        <v>0</v>
      </c>
      <c r="AI23" s="279">
        <v>0</v>
      </c>
      <c r="AJ23" s="177">
        <v>0</v>
      </c>
      <c r="AK23" s="177">
        <v>0</v>
      </c>
      <c r="AL23" s="176">
        <f>k.s1RP.w1RP</f>
        <v>1.7440385591070524E-11</v>
      </c>
      <c r="AM23" s="279">
        <v>0</v>
      </c>
      <c r="AN23" s="177">
        <v>0</v>
      </c>
      <c r="AO23" s="177">
        <v>0</v>
      </c>
      <c r="AP23" s="176">
        <f>k.s2RP.w1RP</f>
        <v>4.3600963977676309E-12</v>
      </c>
      <c r="AQ23" s="279">
        <v>0</v>
      </c>
      <c r="AR23" s="177">
        <v>0</v>
      </c>
      <c r="AS23" s="177">
        <v>0</v>
      </c>
      <c r="AT23" s="176">
        <f>k.s3RP.w1RP</f>
        <v>1.7440385591070524E-11</v>
      </c>
      <c r="AU23" s="280">
        <v>0</v>
      </c>
      <c r="AV23" s="280">
        <v>0</v>
      </c>
      <c r="AW23" s="280">
        <v>0</v>
      </c>
      <c r="AX23" s="280">
        <v>0</v>
      </c>
      <c r="AY23" s="280">
        <v>0</v>
      </c>
      <c r="AZ23" s="280">
        <v>0</v>
      </c>
      <c r="BA23" s="280">
        <v>0</v>
      </c>
      <c r="BB23" s="279">
        <v>0</v>
      </c>
      <c r="BC23" s="279">
        <v>0</v>
      </c>
      <c r="BD23" s="279">
        <v>0</v>
      </c>
      <c r="BE23" s="279">
        <v>0</v>
      </c>
      <c r="BF23" s="279">
        <v>0</v>
      </c>
      <c r="BG23" s="279">
        <v>0</v>
      </c>
      <c r="BH23" s="279">
        <v>0</v>
      </c>
      <c r="BI23" s="738">
        <f>k.w1C.w1R</f>
        <v>0</v>
      </c>
      <c r="BJ23" s="182">
        <v>0</v>
      </c>
      <c r="BK23" s="182">
        <v>0</v>
      </c>
      <c r="BL23" s="182">
        <v>0</v>
      </c>
      <c r="BM23" s="182">
        <v>0</v>
      </c>
      <c r="BN23" s="182">
        <v>0</v>
      </c>
      <c r="BO23" s="182">
        <v>0</v>
      </c>
      <c r="BP23" s="182">
        <v>0</v>
      </c>
      <c r="BQ23" s="182">
        <v>0</v>
      </c>
      <c r="BR23" s="182">
        <v>0</v>
      </c>
      <c r="BS23" s="182">
        <v>0</v>
      </c>
      <c r="BT23" s="182">
        <v>0</v>
      </c>
      <c r="BU23" s="182">
        <v>0</v>
      </c>
      <c r="BV23" s="182">
        <v>0</v>
      </c>
      <c r="BW23" s="182">
        <v>0</v>
      </c>
      <c r="BX23" s="182">
        <v>0</v>
      </c>
      <c r="BY23" s="182">
        <v>0</v>
      </c>
      <c r="BZ23" s="182">
        <v>0</v>
      </c>
      <c r="CA23" s="182">
        <v>0</v>
      </c>
      <c r="CB23" s="182">
        <v>0</v>
      </c>
      <c r="CC23" s="182">
        <v>0</v>
      </c>
      <c r="CD23" s="182">
        <v>0</v>
      </c>
      <c r="CE23" s="182">
        <v>0</v>
      </c>
      <c r="CF23" s="182">
        <v>0</v>
      </c>
      <c r="CG23" s="182">
        <v>0</v>
      </c>
      <c r="CH23" s="182">
        <v>0</v>
      </c>
      <c r="CI23" s="182">
        <v>0</v>
      </c>
      <c r="CJ23" s="182">
        <v>0</v>
      </c>
      <c r="CK23" s="182">
        <v>0</v>
      </c>
      <c r="CL23" s="182">
        <v>0</v>
      </c>
      <c r="CM23" s="182">
        <v>0</v>
      </c>
      <c r="CN23" s="182">
        <v>0</v>
      </c>
      <c r="CO23" s="182">
        <v>0</v>
      </c>
      <c r="CP23" s="182">
        <v>0</v>
      </c>
      <c r="CQ23" s="182">
        <v>0</v>
      </c>
      <c r="CR23" s="182">
        <v>0</v>
      </c>
      <c r="CS23" s="182">
        <v>0</v>
      </c>
      <c r="CT23" s="182">
        <v>0</v>
      </c>
      <c r="CU23" s="182">
        <v>0</v>
      </c>
      <c r="CV23" s="182">
        <v>0</v>
      </c>
      <c r="CW23" s="182">
        <v>0</v>
      </c>
      <c r="CX23" s="182">
        <v>0</v>
      </c>
      <c r="CY23" s="182">
        <v>0</v>
      </c>
      <c r="CZ23" s="182">
        <v>0</v>
      </c>
      <c r="DA23" s="182">
        <v>0</v>
      </c>
      <c r="DB23" s="182">
        <v>0</v>
      </c>
      <c r="DC23" s="182">
        <v>0</v>
      </c>
      <c r="DD23" s="182">
        <v>0</v>
      </c>
      <c r="DE23" s="182">
        <v>0</v>
      </c>
      <c r="DF23" s="182">
        <v>0</v>
      </c>
      <c r="DG23" s="182">
        <v>0</v>
      </c>
      <c r="DH23" s="182">
        <v>0</v>
      </c>
      <c r="DI23" s="182">
        <v>0</v>
      </c>
      <c r="DJ23" s="182">
        <v>0</v>
      </c>
      <c r="DK23" s="182">
        <v>0</v>
      </c>
      <c r="DL23" s="182">
        <v>0</v>
      </c>
      <c r="DM23" s="182">
        <v>0</v>
      </c>
      <c r="DN23" s="182">
        <v>0</v>
      </c>
      <c r="DO23" s="182">
        <v>0</v>
      </c>
      <c r="DP23" s="182">
        <v>0</v>
      </c>
      <c r="DQ23" s="182">
        <v>0</v>
      </c>
      <c r="DR23" s="182">
        <v>0</v>
      </c>
      <c r="DS23" s="182">
        <v>0</v>
      </c>
      <c r="DT23" s="182">
        <v>0</v>
      </c>
      <c r="DU23" s="182">
        <v>0</v>
      </c>
      <c r="DV23" s="182">
        <v>0</v>
      </c>
      <c r="DW23" s="182">
        <v>0</v>
      </c>
      <c r="DX23" s="182">
        <v>0</v>
      </c>
      <c r="DY23" s="182">
        <v>0</v>
      </c>
      <c r="DZ23" s="182">
        <v>0</v>
      </c>
      <c r="EA23" s="182">
        <v>0</v>
      </c>
      <c r="EB23" s="182">
        <v>0</v>
      </c>
      <c r="EC23" s="182">
        <v>0</v>
      </c>
      <c r="ED23" s="182">
        <v>0</v>
      </c>
      <c r="EE23" s="182">
        <v>0</v>
      </c>
      <c r="EF23" s="182">
        <v>0</v>
      </c>
      <c r="EG23" s="182">
        <v>0</v>
      </c>
      <c r="EH23" s="182">
        <v>0</v>
      </c>
      <c r="EI23" s="182">
        <v>0</v>
      </c>
      <c r="EJ23" s="182">
        <v>0</v>
      </c>
      <c r="EK23" s="182">
        <v>0</v>
      </c>
      <c r="EL23" s="182">
        <v>0</v>
      </c>
      <c r="EM23" s="182">
        <v>0</v>
      </c>
      <c r="EN23" s="182">
        <v>0</v>
      </c>
      <c r="EO23" s="182">
        <v>0</v>
      </c>
      <c r="EP23" s="182">
        <v>0</v>
      </c>
      <c r="EQ23" s="182">
        <v>0</v>
      </c>
      <c r="ER23" s="182">
        <v>0</v>
      </c>
      <c r="ES23" s="182">
        <v>0</v>
      </c>
      <c r="ET23" s="182">
        <v>0</v>
      </c>
      <c r="EU23" s="182">
        <v>0</v>
      </c>
      <c r="EV23" s="182">
        <v>0</v>
      </c>
      <c r="EW23" s="182">
        <v>0</v>
      </c>
      <c r="EX23" s="182">
        <v>0</v>
      </c>
      <c r="EY23" s="182">
        <v>0</v>
      </c>
      <c r="EZ23" s="182">
        <v>0</v>
      </c>
      <c r="FA23" s="182">
        <v>0</v>
      </c>
      <c r="FB23" s="183">
        <v>0</v>
      </c>
      <c r="FC23" s="29"/>
      <c r="FD23" s="29"/>
    </row>
    <row r="24" spans="2:160" ht="12.75" customHeight="1" x14ac:dyDescent="0.3">
      <c r="B24" s="180" t="s">
        <v>3834</v>
      </c>
      <c r="C24" s="278"/>
      <c r="D24" s="177">
        <f>k.aRG.w2RD</f>
        <v>2.4951497044999583E-10</v>
      </c>
      <c r="E24" s="177">
        <v>0</v>
      </c>
      <c r="F24" s="177">
        <v>0</v>
      </c>
      <c r="G24" s="176">
        <v>0</v>
      </c>
      <c r="H24" s="177">
        <v>0</v>
      </c>
      <c r="I24" s="177">
        <v>0</v>
      </c>
      <c r="J24" s="177">
        <v>0</v>
      </c>
      <c r="K24" s="177">
        <f>k.w0R.w2R</f>
        <v>0</v>
      </c>
      <c r="L24" s="177">
        <v>0</v>
      </c>
      <c r="M24" s="177">
        <v>0</v>
      </c>
      <c r="N24" s="177">
        <v>0</v>
      </c>
      <c r="O24" s="279">
        <f>k.w1R.w2R</f>
        <v>7.26442507264425E-8</v>
      </c>
      <c r="P24" s="279">
        <v>0</v>
      </c>
      <c r="Q24" s="279">
        <v>0</v>
      </c>
      <c r="R24" s="279">
        <v>0</v>
      </c>
      <c r="S24" s="310">
        <f>-k.w2RD-SUM(S9:S23,S25:S163)</f>
        <v>-1.9734062655794211E-6</v>
      </c>
      <c r="T24" s="311">
        <f>kdis.w2S.w2D</f>
        <v>0</v>
      </c>
      <c r="U24" s="311">
        <f>kdis.w2A.w2D</f>
        <v>0</v>
      </c>
      <c r="V24" s="307">
        <f>kdis.w2P.w2D</f>
        <v>0</v>
      </c>
      <c r="W24" s="176">
        <v>0</v>
      </c>
      <c r="X24" s="176">
        <v>0</v>
      </c>
      <c r="Y24" s="176">
        <v>0</v>
      </c>
      <c r="Z24" s="176">
        <v>0</v>
      </c>
      <c r="AA24" s="182">
        <v>0</v>
      </c>
      <c r="AB24" s="182">
        <v>0</v>
      </c>
      <c r="AC24" s="182">
        <v>0</v>
      </c>
      <c r="AD24" s="182">
        <v>0</v>
      </c>
      <c r="AE24" s="177">
        <f>k.sd2RD.w2RD</f>
        <v>5.4642806996194794E-8</v>
      </c>
      <c r="AF24" s="177">
        <v>0</v>
      </c>
      <c r="AG24" s="177">
        <v>0</v>
      </c>
      <c r="AH24" s="177">
        <v>0</v>
      </c>
      <c r="AI24" s="182">
        <v>0</v>
      </c>
      <c r="AJ24" s="182">
        <v>0</v>
      </c>
      <c r="AK24" s="182">
        <v>0</v>
      </c>
      <c r="AL24" s="182">
        <v>0</v>
      </c>
      <c r="AM24" s="182">
        <v>0</v>
      </c>
      <c r="AN24" s="182">
        <v>0</v>
      </c>
      <c r="AO24" s="182">
        <v>0</v>
      </c>
      <c r="AP24" s="182">
        <v>0</v>
      </c>
      <c r="AQ24" s="182">
        <v>0</v>
      </c>
      <c r="AR24" s="182">
        <v>0</v>
      </c>
      <c r="AS24" s="182">
        <v>0</v>
      </c>
      <c r="AT24" s="182">
        <v>0</v>
      </c>
      <c r="AU24" s="182">
        <v>0</v>
      </c>
      <c r="AV24" s="182">
        <v>0</v>
      </c>
      <c r="AW24" s="182">
        <v>0</v>
      </c>
      <c r="AX24" s="182">
        <v>0</v>
      </c>
      <c r="AY24" s="182">
        <v>0</v>
      </c>
      <c r="AZ24" s="182">
        <v>0</v>
      </c>
      <c r="BA24" s="182">
        <v>0</v>
      </c>
      <c r="BB24" s="168">
        <v>0</v>
      </c>
      <c r="BC24" s="168">
        <v>0</v>
      </c>
      <c r="BD24" s="168">
        <v>0</v>
      </c>
      <c r="BE24" s="168">
        <v>0</v>
      </c>
      <c r="BF24" s="182">
        <v>0</v>
      </c>
      <c r="BG24" s="182">
        <v>0</v>
      </c>
      <c r="BH24" s="182">
        <v>0</v>
      </c>
      <c r="BI24" s="182">
        <v>0</v>
      </c>
      <c r="BJ24" s="177">
        <f>k.w2C.w2R</f>
        <v>1.660022737657995E-11</v>
      </c>
      <c r="BK24" s="177">
        <v>0</v>
      </c>
      <c r="BL24" s="177">
        <v>0</v>
      </c>
      <c r="BM24" s="177">
        <v>0</v>
      </c>
      <c r="BN24" s="177">
        <v>0</v>
      </c>
      <c r="BO24" s="177">
        <v>0</v>
      </c>
      <c r="BP24" s="177">
        <v>0</v>
      </c>
      <c r="BQ24" s="177">
        <v>0</v>
      </c>
      <c r="BR24" s="182">
        <v>0</v>
      </c>
      <c r="BS24" s="182">
        <v>0</v>
      </c>
      <c r="BT24" s="182">
        <v>0</v>
      </c>
      <c r="BU24" s="182">
        <v>0</v>
      </c>
      <c r="BV24" s="182">
        <v>0</v>
      </c>
      <c r="BW24" s="182">
        <v>0</v>
      </c>
      <c r="BX24" s="182">
        <v>0</v>
      </c>
      <c r="BY24" s="182">
        <v>0</v>
      </c>
      <c r="BZ24" s="182">
        <v>0</v>
      </c>
      <c r="CA24" s="182">
        <v>0</v>
      </c>
      <c r="CB24" s="182">
        <v>0</v>
      </c>
      <c r="CC24" s="182">
        <v>0</v>
      </c>
      <c r="CD24" s="182">
        <v>0</v>
      </c>
      <c r="CE24" s="182">
        <v>0</v>
      </c>
      <c r="CF24" s="182">
        <v>0</v>
      </c>
      <c r="CG24" s="182">
        <v>0</v>
      </c>
      <c r="CH24" s="182">
        <v>0</v>
      </c>
      <c r="CI24" s="182">
        <v>0</v>
      </c>
      <c r="CJ24" s="182">
        <v>0</v>
      </c>
      <c r="CK24" s="182">
        <v>0</v>
      </c>
      <c r="CL24" s="182">
        <v>0</v>
      </c>
      <c r="CM24" s="182">
        <v>0</v>
      </c>
      <c r="CN24" s="182">
        <v>0</v>
      </c>
      <c r="CO24" s="182">
        <v>0</v>
      </c>
      <c r="CP24" s="182">
        <v>0</v>
      </c>
      <c r="CQ24" s="182">
        <v>0</v>
      </c>
      <c r="CR24" s="182">
        <v>0</v>
      </c>
      <c r="CS24" s="182">
        <v>0</v>
      </c>
      <c r="CT24" s="182">
        <v>0</v>
      </c>
      <c r="CU24" s="182">
        <v>0</v>
      </c>
      <c r="CV24" s="182">
        <v>0</v>
      </c>
      <c r="CW24" s="182">
        <v>0</v>
      </c>
      <c r="CX24" s="182">
        <v>0</v>
      </c>
      <c r="CY24" s="182">
        <v>0</v>
      </c>
      <c r="CZ24" s="182">
        <v>0</v>
      </c>
      <c r="DA24" s="182">
        <v>0</v>
      </c>
      <c r="DB24" s="182">
        <v>0</v>
      </c>
      <c r="DC24" s="182">
        <v>0</v>
      </c>
      <c r="DD24" s="182">
        <v>0</v>
      </c>
      <c r="DE24" s="182">
        <v>0</v>
      </c>
      <c r="DF24" s="182">
        <v>0</v>
      </c>
      <c r="DG24" s="182">
        <v>0</v>
      </c>
      <c r="DH24" s="182">
        <v>0</v>
      </c>
      <c r="DI24" s="182">
        <v>0</v>
      </c>
      <c r="DJ24" s="182">
        <v>0</v>
      </c>
      <c r="DK24" s="182">
        <v>0</v>
      </c>
      <c r="DL24" s="182">
        <v>0</v>
      </c>
      <c r="DM24" s="182">
        <v>0</v>
      </c>
      <c r="DN24" s="182">
        <v>0</v>
      </c>
      <c r="DO24" s="182">
        <v>0</v>
      </c>
      <c r="DP24" s="182">
        <v>0</v>
      </c>
      <c r="DQ24" s="182">
        <v>0</v>
      </c>
      <c r="DR24" s="182">
        <v>0</v>
      </c>
      <c r="DS24" s="182">
        <v>0</v>
      </c>
      <c r="DT24" s="182">
        <v>0</v>
      </c>
      <c r="DU24" s="182">
        <v>0</v>
      </c>
      <c r="DV24" s="182">
        <v>0</v>
      </c>
      <c r="DW24" s="182">
        <v>0</v>
      </c>
      <c r="DX24" s="182">
        <v>0</v>
      </c>
      <c r="DY24" s="182">
        <v>0</v>
      </c>
      <c r="DZ24" s="182">
        <v>0</v>
      </c>
      <c r="EA24" s="182">
        <v>0</v>
      </c>
      <c r="EB24" s="182">
        <v>0</v>
      </c>
      <c r="EC24" s="182">
        <v>0</v>
      </c>
      <c r="ED24" s="182">
        <v>0</v>
      </c>
      <c r="EE24" s="182">
        <v>0</v>
      </c>
      <c r="EF24" s="182">
        <v>0</v>
      </c>
      <c r="EG24" s="182">
        <v>0</v>
      </c>
      <c r="EH24" s="182">
        <v>0</v>
      </c>
      <c r="EI24" s="182">
        <v>0</v>
      </c>
      <c r="EJ24" s="182">
        <v>0</v>
      </c>
      <c r="EK24" s="182">
        <v>0</v>
      </c>
      <c r="EL24" s="182">
        <v>0</v>
      </c>
      <c r="EM24" s="182">
        <v>0</v>
      </c>
      <c r="EN24" s="182">
        <v>0</v>
      </c>
      <c r="EO24" s="182">
        <v>0</v>
      </c>
      <c r="EP24" s="182">
        <v>0</v>
      </c>
      <c r="EQ24" s="182">
        <v>0</v>
      </c>
      <c r="ER24" s="182">
        <v>0</v>
      </c>
      <c r="ES24" s="182">
        <v>0</v>
      </c>
      <c r="ET24" s="182">
        <v>0</v>
      </c>
      <c r="EU24" s="182">
        <v>0</v>
      </c>
      <c r="EV24" s="182">
        <v>0</v>
      </c>
      <c r="EW24" s="182">
        <v>0</v>
      </c>
      <c r="EX24" s="182">
        <v>0</v>
      </c>
      <c r="EY24" s="182">
        <v>0</v>
      </c>
      <c r="EZ24" s="182">
        <v>0</v>
      </c>
      <c r="FA24" s="182">
        <v>0</v>
      </c>
      <c r="FB24" s="183">
        <v>0</v>
      </c>
      <c r="FC24" s="29"/>
      <c r="FD24" s="29"/>
    </row>
    <row r="25" spans="2:160" ht="12.75" customHeight="1" x14ac:dyDescent="0.3">
      <c r="B25" s="180" t="s">
        <v>3835</v>
      </c>
      <c r="C25" s="278"/>
      <c r="D25" s="177">
        <v>0</v>
      </c>
      <c r="E25" s="177">
        <f>k.aRS.w2RS</f>
        <v>1.4093170620238035E-8</v>
      </c>
      <c r="F25" s="177">
        <v>0</v>
      </c>
      <c r="G25" s="176">
        <v>0</v>
      </c>
      <c r="H25" s="177">
        <f>k.cwRS.w2RS</f>
        <v>3.2229619212286083E-7</v>
      </c>
      <c r="I25" s="177">
        <v>0</v>
      </c>
      <c r="J25" s="177">
        <v>0</v>
      </c>
      <c r="K25" s="177">
        <v>0</v>
      </c>
      <c r="L25" s="177">
        <f>k.w0R.w2R</f>
        <v>0</v>
      </c>
      <c r="M25" s="177">
        <v>0</v>
      </c>
      <c r="N25" s="177">
        <v>0</v>
      </c>
      <c r="O25" s="279">
        <v>0</v>
      </c>
      <c r="P25" s="279">
        <f>k.w1R.w2R</f>
        <v>7.26442507264425E-8</v>
      </c>
      <c r="Q25" s="177">
        <v>0</v>
      </c>
      <c r="R25" s="176">
        <v>0</v>
      </c>
      <c r="S25" s="312">
        <v>0</v>
      </c>
      <c r="T25" s="181">
        <f>-k.w2RS-SUM(T$9:T24,T26:T$163)</f>
        <v>-1.6189024061134319E-3</v>
      </c>
      <c r="U25" s="176">
        <v>0</v>
      </c>
      <c r="V25" s="306">
        <v>0</v>
      </c>
      <c r="W25" s="176">
        <v>0</v>
      </c>
      <c r="X25" s="176">
        <v>0</v>
      </c>
      <c r="Y25" s="176">
        <v>0</v>
      </c>
      <c r="Z25" s="176">
        <v>0</v>
      </c>
      <c r="AA25" s="182">
        <v>0</v>
      </c>
      <c r="AB25" s="182">
        <v>0</v>
      </c>
      <c r="AC25" s="182">
        <v>0</v>
      </c>
      <c r="AD25" s="182">
        <v>0</v>
      </c>
      <c r="AE25" s="177">
        <v>0</v>
      </c>
      <c r="AF25" s="177">
        <f>k.sd2RS.w2RS</f>
        <v>8.8891798123057166E-9</v>
      </c>
      <c r="AG25" s="177">
        <v>0</v>
      </c>
      <c r="AH25" s="176">
        <v>0</v>
      </c>
      <c r="AI25" s="182">
        <v>0</v>
      </c>
      <c r="AJ25" s="182">
        <v>0</v>
      </c>
      <c r="AK25" s="182">
        <v>0</v>
      </c>
      <c r="AL25" s="182">
        <v>0</v>
      </c>
      <c r="AM25" s="182">
        <v>0</v>
      </c>
      <c r="AN25" s="182">
        <v>0</v>
      </c>
      <c r="AO25" s="182">
        <v>0</v>
      </c>
      <c r="AP25" s="182">
        <v>0</v>
      </c>
      <c r="AQ25" s="182">
        <v>0</v>
      </c>
      <c r="AR25" s="182">
        <v>0</v>
      </c>
      <c r="AS25" s="182">
        <v>0</v>
      </c>
      <c r="AT25" s="182">
        <v>0</v>
      </c>
      <c r="AU25" s="182">
        <v>0</v>
      </c>
      <c r="AV25" s="182">
        <v>0</v>
      </c>
      <c r="AW25" s="182">
        <v>0</v>
      </c>
      <c r="AX25" s="182">
        <v>0</v>
      </c>
      <c r="AY25" s="182">
        <v>0</v>
      </c>
      <c r="AZ25" s="182">
        <v>0</v>
      </c>
      <c r="BA25" s="182">
        <v>0</v>
      </c>
      <c r="BB25" s="168">
        <v>0</v>
      </c>
      <c r="BC25" s="168">
        <v>0</v>
      </c>
      <c r="BD25" s="168">
        <v>0</v>
      </c>
      <c r="BE25" s="168">
        <v>0</v>
      </c>
      <c r="BF25" s="182">
        <v>0</v>
      </c>
      <c r="BG25" s="182">
        <v>0</v>
      </c>
      <c r="BH25" s="182">
        <v>0</v>
      </c>
      <c r="BI25" s="182">
        <v>0</v>
      </c>
      <c r="BJ25" s="177">
        <v>0</v>
      </c>
      <c r="BK25" s="177">
        <f>k.w2C.w2R</f>
        <v>1.660022737657995E-11</v>
      </c>
      <c r="BL25" s="177">
        <v>0</v>
      </c>
      <c r="BM25" s="176">
        <v>0</v>
      </c>
      <c r="BN25" s="176">
        <v>0</v>
      </c>
      <c r="BO25" s="176">
        <v>0</v>
      </c>
      <c r="BP25" s="176">
        <v>0</v>
      </c>
      <c r="BQ25" s="176">
        <v>0</v>
      </c>
      <c r="BR25" s="182">
        <v>0</v>
      </c>
      <c r="BS25" s="182">
        <v>0</v>
      </c>
      <c r="BT25" s="182">
        <v>0</v>
      </c>
      <c r="BU25" s="182">
        <v>0</v>
      </c>
      <c r="BV25" s="182">
        <v>0</v>
      </c>
      <c r="BW25" s="182">
        <v>0</v>
      </c>
      <c r="BX25" s="182">
        <v>0</v>
      </c>
      <c r="BY25" s="182">
        <v>0</v>
      </c>
      <c r="BZ25" s="182">
        <v>0</v>
      </c>
      <c r="CA25" s="182">
        <v>0</v>
      </c>
      <c r="CB25" s="182">
        <v>0</v>
      </c>
      <c r="CC25" s="182">
        <v>0</v>
      </c>
      <c r="CD25" s="182">
        <v>0</v>
      </c>
      <c r="CE25" s="182">
        <v>0</v>
      </c>
      <c r="CF25" s="182">
        <v>0</v>
      </c>
      <c r="CG25" s="182">
        <v>0</v>
      </c>
      <c r="CH25" s="182">
        <v>0</v>
      </c>
      <c r="CI25" s="182">
        <v>0</v>
      </c>
      <c r="CJ25" s="182">
        <v>0</v>
      </c>
      <c r="CK25" s="182">
        <v>0</v>
      </c>
      <c r="CL25" s="182">
        <v>0</v>
      </c>
      <c r="CM25" s="182">
        <v>0</v>
      </c>
      <c r="CN25" s="182">
        <v>0</v>
      </c>
      <c r="CO25" s="182">
        <v>0</v>
      </c>
      <c r="CP25" s="182">
        <v>0</v>
      </c>
      <c r="CQ25" s="182">
        <v>0</v>
      </c>
      <c r="CR25" s="182">
        <v>0</v>
      </c>
      <c r="CS25" s="182">
        <v>0</v>
      </c>
      <c r="CT25" s="182">
        <v>0</v>
      </c>
      <c r="CU25" s="182">
        <v>0</v>
      </c>
      <c r="CV25" s="182">
        <v>0</v>
      </c>
      <c r="CW25" s="182">
        <v>0</v>
      </c>
      <c r="CX25" s="182">
        <v>0</v>
      </c>
      <c r="CY25" s="182">
        <v>0</v>
      </c>
      <c r="CZ25" s="182">
        <v>0</v>
      </c>
      <c r="DA25" s="182">
        <v>0</v>
      </c>
      <c r="DB25" s="182">
        <v>0</v>
      </c>
      <c r="DC25" s="182">
        <v>0</v>
      </c>
      <c r="DD25" s="182">
        <v>0</v>
      </c>
      <c r="DE25" s="182">
        <v>0</v>
      </c>
      <c r="DF25" s="182">
        <v>0</v>
      </c>
      <c r="DG25" s="182">
        <v>0</v>
      </c>
      <c r="DH25" s="182">
        <v>0</v>
      </c>
      <c r="DI25" s="182">
        <v>0</v>
      </c>
      <c r="DJ25" s="182">
        <v>0</v>
      </c>
      <c r="DK25" s="182">
        <v>0</v>
      </c>
      <c r="DL25" s="182">
        <v>0</v>
      </c>
      <c r="DM25" s="182">
        <v>0</v>
      </c>
      <c r="DN25" s="182">
        <v>0</v>
      </c>
      <c r="DO25" s="182">
        <v>0</v>
      </c>
      <c r="DP25" s="182">
        <v>0</v>
      </c>
      <c r="DQ25" s="182">
        <v>0</v>
      </c>
      <c r="DR25" s="182">
        <v>0</v>
      </c>
      <c r="DS25" s="182">
        <v>0</v>
      </c>
      <c r="DT25" s="182">
        <v>0</v>
      </c>
      <c r="DU25" s="182">
        <v>0</v>
      </c>
      <c r="DV25" s="182">
        <v>0</v>
      </c>
      <c r="DW25" s="182">
        <v>0</v>
      </c>
      <c r="DX25" s="182">
        <v>0</v>
      </c>
      <c r="DY25" s="182">
        <v>0</v>
      </c>
      <c r="DZ25" s="182">
        <v>0</v>
      </c>
      <c r="EA25" s="182">
        <v>0</v>
      </c>
      <c r="EB25" s="182">
        <v>0</v>
      </c>
      <c r="EC25" s="182">
        <v>0</v>
      </c>
      <c r="ED25" s="182">
        <v>0</v>
      </c>
      <c r="EE25" s="182">
        <v>0</v>
      </c>
      <c r="EF25" s="182">
        <v>0</v>
      </c>
      <c r="EG25" s="182">
        <v>0</v>
      </c>
      <c r="EH25" s="182">
        <v>0</v>
      </c>
      <c r="EI25" s="182">
        <v>0</v>
      </c>
      <c r="EJ25" s="182">
        <v>0</v>
      </c>
      <c r="EK25" s="182">
        <v>0</v>
      </c>
      <c r="EL25" s="182">
        <v>0</v>
      </c>
      <c r="EM25" s="182">
        <v>0</v>
      </c>
      <c r="EN25" s="182">
        <v>0</v>
      </c>
      <c r="EO25" s="182">
        <v>0</v>
      </c>
      <c r="EP25" s="182">
        <v>0</v>
      </c>
      <c r="EQ25" s="182">
        <v>0</v>
      </c>
      <c r="ER25" s="182">
        <v>0</v>
      </c>
      <c r="ES25" s="182">
        <v>0</v>
      </c>
      <c r="ET25" s="182">
        <v>0</v>
      </c>
      <c r="EU25" s="182">
        <v>0</v>
      </c>
      <c r="EV25" s="182">
        <v>0</v>
      </c>
      <c r="EW25" s="182">
        <v>0</v>
      </c>
      <c r="EX25" s="182">
        <v>0</v>
      </c>
      <c r="EY25" s="182">
        <v>0</v>
      </c>
      <c r="EZ25" s="182">
        <v>0</v>
      </c>
      <c r="FA25" s="182">
        <v>0</v>
      </c>
      <c r="FB25" s="183">
        <v>0</v>
      </c>
      <c r="FC25" s="29"/>
      <c r="FD25" s="29"/>
    </row>
    <row r="26" spans="2:160" ht="12.75" customHeight="1" x14ac:dyDescent="0.3">
      <c r="B26" s="180" t="s">
        <v>3836</v>
      </c>
      <c r="C26" s="278"/>
      <c r="D26" s="177">
        <v>0</v>
      </c>
      <c r="E26" s="177">
        <v>0</v>
      </c>
      <c r="F26" s="177">
        <f>k.aRA.w2RA</f>
        <v>5.0593688720911604E-9</v>
      </c>
      <c r="G26" s="176">
        <v>0</v>
      </c>
      <c r="H26" s="177">
        <v>0</v>
      </c>
      <c r="I26" s="177">
        <f>k.cwRA.w2RA</f>
        <v>3.2229619212286083E-7</v>
      </c>
      <c r="J26" s="177">
        <v>0</v>
      </c>
      <c r="K26" s="177">
        <v>0</v>
      </c>
      <c r="L26" s="177">
        <v>0</v>
      </c>
      <c r="M26" s="177">
        <f>k.w0R.w2R</f>
        <v>0</v>
      </c>
      <c r="N26" s="177">
        <v>0</v>
      </c>
      <c r="O26" s="279">
        <v>0</v>
      </c>
      <c r="P26" s="177">
        <v>0</v>
      </c>
      <c r="Q26" s="279">
        <f>k.w1R.w2R</f>
        <v>7.26442507264425E-8</v>
      </c>
      <c r="R26" s="176">
        <v>0</v>
      </c>
      <c r="S26" s="312">
        <v>0</v>
      </c>
      <c r="T26" s="176">
        <f>k.w2RS.w2RA</f>
        <v>1.5823177044157236E-3</v>
      </c>
      <c r="U26" s="373">
        <f>-k.w2RA-SUM(U$9:U25,U27:U$163)</f>
        <v>-1.3747636550408559E-6</v>
      </c>
      <c r="V26" s="306">
        <v>0</v>
      </c>
      <c r="W26" s="176">
        <v>0</v>
      </c>
      <c r="X26" s="176">
        <v>0</v>
      </c>
      <c r="Y26" s="176">
        <v>0</v>
      </c>
      <c r="Z26" s="176">
        <v>0</v>
      </c>
      <c r="AA26" s="182">
        <v>0</v>
      </c>
      <c r="AB26" s="182">
        <v>0</v>
      </c>
      <c r="AC26" s="182">
        <v>0</v>
      </c>
      <c r="AD26" s="182">
        <v>0</v>
      </c>
      <c r="AE26" s="177">
        <v>0</v>
      </c>
      <c r="AF26" s="177">
        <v>0</v>
      </c>
      <c r="AG26" s="177">
        <f>k.sd2RA.w2RA</f>
        <v>8.8891798123057166E-9</v>
      </c>
      <c r="AH26" s="176">
        <v>0</v>
      </c>
      <c r="AI26" s="182">
        <v>0</v>
      </c>
      <c r="AJ26" s="182">
        <v>0</v>
      </c>
      <c r="AK26" s="182">
        <v>0</v>
      </c>
      <c r="AL26" s="182">
        <v>0</v>
      </c>
      <c r="AM26" s="182">
        <v>0</v>
      </c>
      <c r="AN26" s="182">
        <v>0</v>
      </c>
      <c r="AO26" s="182">
        <v>0</v>
      </c>
      <c r="AP26" s="182">
        <v>0</v>
      </c>
      <c r="AQ26" s="182">
        <v>0</v>
      </c>
      <c r="AR26" s="182">
        <v>0</v>
      </c>
      <c r="AS26" s="182">
        <v>0</v>
      </c>
      <c r="AT26" s="182">
        <v>0</v>
      </c>
      <c r="AU26" s="182">
        <v>0</v>
      </c>
      <c r="AV26" s="182">
        <v>0</v>
      </c>
      <c r="AW26" s="182">
        <v>0</v>
      </c>
      <c r="AX26" s="182">
        <v>0</v>
      </c>
      <c r="AY26" s="182">
        <v>0</v>
      </c>
      <c r="AZ26" s="182">
        <v>0</v>
      </c>
      <c r="BA26" s="182">
        <v>0</v>
      </c>
      <c r="BB26" s="168">
        <v>0</v>
      </c>
      <c r="BC26" s="168">
        <v>0</v>
      </c>
      <c r="BD26" s="168">
        <v>0</v>
      </c>
      <c r="BE26" s="168">
        <v>0</v>
      </c>
      <c r="BF26" s="182">
        <v>0</v>
      </c>
      <c r="BG26" s="182">
        <v>0</v>
      </c>
      <c r="BH26" s="182">
        <v>0</v>
      </c>
      <c r="BI26" s="182">
        <v>0</v>
      </c>
      <c r="BJ26" s="177">
        <v>0</v>
      </c>
      <c r="BK26" s="177">
        <v>0</v>
      </c>
      <c r="BL26" s="177">
        <f>k.w2C.w2R</f>
        <v>1.660022737657995E-11</v>
      </c>
      <c r="BM26" s="176">
        <v>0</v>
      </c>
      <c r="BN26" s="176">
        <v>0</v>
      </c>
      <c r="BO26" s="176">
        <v>0</v>
      </c>
      <c r="BP26" s="176">
        <v>0</v>
      </c>
      <c r="BQ26" s="176">
        <v>0</v>
      </c>
      <c r="BR26" s="182">
        <v>0</v>
      </c>
      <c r="BS26" s="182">
        <v>0</v>
      </c>
      <c r="BT26" s="182">
        <v>0</v>
      </c>
      <c r="BU26" s="182">
        <v>0</v>
      </c>
      <c r="BV26" s="182">
        <v>0</v>
      </c>
      <c r="BW26" s="182">
        <v>0</v>
      </c>
      <c r="BX26" s="182">
        <v>0</v>
      </c>
      <c r="BY26" s="182">
        <v>0</v>
      </c>
      <c r="BZ26" s="182">
        <v>0</v>
      </c>
      <c r="CA26" s="182">
        <v>0</v>
      </c>
      <c r="CB26" s="182">
        <v>0</v>
      </c>
      <c r="CC26" s="182">
        <v>0</v>
      </c>
      <c r="CD26" s="182">
        <v>0</v>
      </c>
      <c r="CE26" s="182">
        <v>0</v>
      </c>
      <c r="CF26" s="182">
        <v>0</v>
      </c>
      <c r="CG26" s="182">
        <v>0</v>
      </c>
      <c r="CH26" s="182">
        <v>0</v>
      </c>
      <c r="CI26" s="182">
        <v>0</v>
      </c>
      <c r="CJ26" s="182">
        <v>0</v>
      </c>
      <c r="CK26" s="182">
        <v>0</v>
      </c>
      <c r="CL26" s="182">
        <v>0</v>
      </c>
      <c r="CM26" s="182">
        <v>0</v>
      </c>
      <c r="CN26" s="182">
        <v>0</v>
      </c>
      <c r="CO26" s="182">
        <v>0</v>
      </c>
      <c r="CP26" s="182">
        <v>0</v>
      </c>
      <c r="CQ26" s="182">
        <v>0</v>
      </c>
      <c r="CR26" s="182">
        <v>0</v>
      </c>
      <c r="CS26" s="182">
        <v>0</v>
      </c>
      <c r="CT26" s="182">
        <v>0</v>
      </c>
      <c r="CU26" s="182">
        <v>0</v>
      </c>
      <c r="CV26" s="182">
        <v>0</v>
      </c>
      <c r="CW26" s="182">
        <v>0</v>
      </c>
      <c r="CX26" s="182">
        <v>0</v>
      </c>
      <c r="CY26" s="182">
        <v>0</v>
      </c>
      <c r="CZ26" s="182">
        <v>0</v>
      </c>
      <c r="DA26" s="182">
        <v>0</v>
      </c>
      <c r="DB26" s="182">
        <v>0</v>
      </c>
      <c r="DC26" s="182">
        <v>0</v>
      </c>
      <c r="DD26" s="182">
        <v>0</v>
      </c>
      <c r="DE26" s="182">
        <v>0</v>
      </c>
      <c r="DF26" s="182">
        <v>0</v>
      </c>
      <c r="DG26" s="182">
        <v>0</v>
      </c>
      <c r="DH26" s="182">
        <v>0</v>
      </c>
      <c r="DI26" s="182">
        <v>0</v>
      </c>
      <c r="DJ26" s="182">
        <v>0</v>
      </c>
      <c r="DK26" s="182">
        <v>0</v>
      </c>
      <c r="DL26" s="182">
        <v>0</v>
      </c>
      <c r="DM26" s="182">
        <v>0</v>
      </c>
      <c r="DN26" s="182">
        <v>0</v>
      </c>
      <c r="DO26" s="182">
        <v>0</v>
      </c>
      <c r="DP26" s="182">
        <v>0</v>
      </c>
      <c r="DQ26" s="182">
        <v>0</v>
      </c>
      <c r="DR26" s="182">
        <v>0</v>
      </c>
      <c r="DS26" s="182">
        <v>0</v>
      </c>
      <c r="DT26" s="182">
        <v>0</v>
      </c>
      <c r="DU26" s="182">
        <v>0</v>
      </c>
      <c r="DV26" s="182">
        <v>0</v>
      </c>
      <c r="DW26" s="182">
        <v>0</v>
      </c>
      <c r="DX26" s="182">
        <v>0</v>
      </c>
      <c r="DY26" s="182">
        <v>0</v>
      </c>
      <c r="DZ26" s="182">
        <v>0</v>
      </c>
      <c r="EA26" s="182">
        <v>0</v>
      </c>
      <c r="EB26" s="182">
        <v>0</v>
      </c>
      <c r="EC26" s="182">
        <v>0</v>
      </c>
      <c r="ED26" s="182">
        <v>0</v>
      </c>
      <c r="EE26" s="182">
        <v>0</v>
      </c>
      <c r="EF26" s="182">
        <v>0</v>
      </c>
      <c r="EG26" s="182">
        <v>0</v>
      </c>
      <c r="EH26" s="182">
        <v>0</v>
      </c>
      <c r="EI26" s="182">
        <v>0</v>
      </c>
      <c r="EJ26" s="182">
        <v>0</v>
      </c>
      <c r="EK26" s="182">
        <v>0</v>
      </c>
      <c r="EL26" s="182">
        <v>0</v>
      </c>
      <c r="EM26" s="182">
        <v>0</v>
      </c>
      <c r="EN26" s="182">
        <v>0</v>
      </c>
      <c r="EO26" s="182">
        <v>0</v>
      </c>
      <c r="EP26" s="182">
        <v>0</v>
      </c>
      <c r="EQ26" s="182">
        <v>0</v>
      </c>
      <c r="ER26" s="182">
        <v>0</v>
      </c>
      <c r="ES26" s="182">
        <v>0</v>
      </c>
      <c r="ET26" s="182">
        <v>0</v>
      </c>
      <c r="EU26" s="182">
        <v>0</v>
      </c>
      <c r="EV26" s="182">
        <v>0</v>
      </c>
      <c r="EW26" s="182">
        <v>0</v>
      </c>
      <c r="EX26" s="182">
        <v>0</v>
      </c>
      <c r="EY26" s="182">
        <v>0</v>
      </c>
      <c r="EZ26" s="182">
        <v>0</v>
      </c>
      <c r="FA26" s="182">
        <v>0</v>
      </c>
      <c r="FB26" s="183">
        <v>0</v>
      </c>
      <c r="FC26" s="29"/>
      <c r="FD26" s="29"/>
    </row>
    <row r="27" spans="2:160" ht="12.75" customHeight="1" x14ac:dyDescent="0.3">
      <c r="B27" s="180" t="s">
        <v>3837</v>
      </c>
      <c r="C27" s="278"/>
      <c r="D27" s="177">
        <v>0</v>
      </c>
      <c r="E27" s="177">
        <v>0</v>
      </c>
      <c r="F27" s="177">
        <v>0</v>
      </c>
      <c r="G27" s="176">
        <f>k.aRP.w2RP</f>
        <v>4.3559711634799455E-9</v>
      </c>
      <c r="H27" s="177">
        <v>0</v>
      </c>
      <c r="I27" s="177">
        <v>0</v>
      </c>
      <c r="J27" s="177">
        <f>k.cwRP.w2RP</f>
        <v>3.2229619212286083E-7</v>
      </c>
      <c r="K27" s="177">
        <v>0</v>
      </c>
      <c r="L27" s="177">
        <v>0</v>
      </c>
      <c r="M27" s="177">
        <v>0</v>
      </c>
      <c r="N27" s="177">
        <f>k.w0R.w2R</f>
        <v>0</v>
      </c>
      <c r="O27" s="279">
        <v>0</v>
      </c>
      <c r="P27" s="177">
        <v>0</v>
      </c>
      <c r="Q27" s="177">
        <v>0</v>
      </c>
      <c r="R27" s="279">
        <f>k.w1R.w2R</f>
        <v>7.26442507264425E-8</v>
      </c>
      <c r="S27" s="308">
        <v>0</v>
      </c>
      <c r="T27" s="309">
        <f>k.w2RS.w2RP</f>
        <v>3.5214776928687474E-5</v>
      </c>
      <c r="U27" s="309">
        <v>0</v>
      </c>
      <c r="V27" s="373">
        <f>-k.w2RP-SUM(V$9:V26,V28:V$163)</f>
        <v>-4.3108965663031795E-6</v>
      </c>
      <c r="W27" s="176">
        <v>0</v>
      </c>
      <c r="X27" s="176">
        <v>0</v>
      </c>
      <c r="Y27" s="176">
        <v>0</v>
      </c>
      <c r="Z27" s="176">
        <v>0</v>
      </c>
      <c r="AA27" s="182">
        <v>0</v>
      </c>
      <c r="AB27" s="182">
        <v>0</v>
      </c>
      <c r="AC27" s="182">
        <v>0</v>
      </c>
      <c r="AD27" s="182">
        <v>0</v>
      </c>
      <c r="AE27" s="177">
        <v>0</v>
      </c>
      <c r="AF27" s="177">
        <v>0</v>
      </c>
      <c r="AG27" s="177">
        <v>0</v>
      </c>
      <c r="AH27" s="176">
        <f>k.sd2RP.w2RP</f>
        <v>8.8891798123057166E-9</v>
      </c>
      <c r="AI27" s="182">
        <v>0</v>
      </c>
      <c r="AJ27" s="182">
        <v>0</v>
      </c>
      <c r="AK27" s="182">
        <v>0</v>
      </c>
      <c r="AL27" s="182">
        <v>0</v>
      </c>
      <c r="AM27" s="182">
        <v>0</v>
      </c>
      <c r="AN27" s="182">
        <v>0</v>
      </c>
      <c r="AO27" s="182">
        <v>0</v>
      </c>
      <c r="AP27" s="182">
        <v>0</v>
      </c>
      <c r="AQ27" s="182">
        <v>0</v>
      </c>
      <c r="AR27" s="182">
        <v>0</v>
      </c>
      <c r="AS27" s="182">
        <v>0</v>
      </c>
      <c r="AT27" s="182">
        <v>0</v>
      </c>
      <c r="AU27" s="182">
        <v>0</v>
      </c>
      <c r="AV27" s="182">
        <v>0</v>
      </c>
      <c r="AW27" s="182">
        <v>0</v>
      </c>
      <c r="AX27" s="182">
        <v>0</v>
      </c>
      <c r="AY27" s="182">
        <v>0</v>
      </c>
      <c r="AZ27" s="182">
        <v>0</v>
      </c>
      <c r="BA27" s="182">
        <v>0</v>
      </c>
      <c r="BB27" s="168">
        <v>0</v>
      </c>
      <c r="BC27" s="168">
        <v>0</v>
      </c>
      <c r="BD27" s="168">
        <v>0</v>
      </c>
      <c r="BE27" s="168">
        <v>0</v>
      </c>
      <c r="BF27" s="182">
        <v>0</v>
      </c>
      <c r="BG27" s="182">
        <v>0</v>
      </c>
      <c r="BH27" s="182">
        <v>0</v>
      </c>
      <c r="BI27" s="182">
        <v>0</v>
      </c>
      <c r="BJ27" s="177">
        <v>0</v>
      </c>
      <c r="BK27" s="177">
        <v>0</v>
      </c>
      <c r="BL27" s="177">
        <v>0</v>
      </c>
      <c r="BM27" s="177">
        <f>k.w2C.w2R</f>
        <v>1.660022737657995E-11</v>
      </c>
      <c r="BN27" s="176">
        <v>0</v>
      </c>
      <c r="BO27" s="176">
        <v>0</v>
      </c>
      <c r="BP27" s="176">
        <v>0</v>
      </c>
      <c r="BQ27" s="176">
        <v>0</v>
      </c>
      <c r="BR27" s="182">
        <v>0</v>
      </c>
      <c r="BS27" s="182">
        <v>0</v>
      </c>
      <c r="BT27" s="182">
        <v>0</v>
      </c>
      <c r="BU27" s="182">
        <v>0</v>
      </c>
      <c r="BV27" s="182">
        <v>0</v>
      </c>
      <c r="BW27" s="182">
        <v>0</v>
      </c>
      <c r="BX27" s="182">
        <v>0</v>
      </c>
      <c r="BY27" s="182">
        <v>0</v>
      </c>
      <c r="BZ27" s="182">
        <v>0</v>
      </c>
      <c r="CA27" s="182">
        <v>0</v>
      </c>
      <c r="CB27" s="182">
        <v>0</v>
      </c>
      <c r="CC27" s="182">
        <v>0</v>
      </c>
      <c r="CD27" s="182">
        <v>0</v>
      </c>
      <c r="CE27" s="182">
        <v>0</v>
      </c>
      <c r="CF27" s="182">
        <v>0</v>
      </c>
      <c r="CG27" s="182">
        <v>0</v>
      </c>
      <c r="CH27" s="182">
        <v>0</v>
      </c>
      <c r="CI27" s="182">
        <v>0</v>
      </c>
      <c r="CJ27" s="182">
        <v>0</v>
      </c>
      <c r="CK27" s="182">
        <v>0</v>
      </c>
      <c r="CL27" s="182">
        <v>0</v>
      </c>
      <c r="CM27" s="182">
        <v>0</v>
      </c>
      <c r="CN27" s="182">
        <v>0</v>
      </c>
      <c r="CO27" s="182">
        <v>0</v>
      </c>
      <c r="CP27" s="182">
        <v>0</v>
      </c>
      <c r="CQ27" s="182">
        <v>0</v>
      </c>
      <c r="CR27" s="182">
        <v>0</v>
      </c>
      <c r="CS27" s="182">
        <v>0</v>
      </c>
      <c r="CT27" s="182">
        <v>0</v>
      </c>
      <c r="CU27" s="182">
        <v>0</v>
      </c>
      <c r="CV27" s="182">
        <v>0</v>
      </c>
      <c r="CW27" s="182">
        <v>0</v>
      </c>
      <c r="CX27" s="182">
        <v>0</v>
      </c>
      <c r="CY27" s="182">
        <v>0</v>
      </c>
      <c r="CZ27" s="182">
        <v>0</v>
      </c>
      <c r="DA27" s="182">
        <v>0</v>
      </c>
      <c r="DB27" s="182">
        <v>0</v>
      </c>
      <c r="DC27" s="182">
        <v>0</v>
      </c>
      <c r="DD27" s="182">
        <v>0</v>
      </c>
      <c r="DE27" s="182">
        <v>0</v>
      </c>
      <c r="DF27" s="182">
        <v>0</v>
      </c>
      <c r="DG27" s="182">
        <v>0</v>
      </c>
      <c r="DH27" s="182">
        <v>0</v>
      </c>
      <c r="DI27" s="182">
        <v>0</v>
      </c>
      <c r="DJ27" s="182">
        <v>0</v>
      </c>
      <c r="DK27" s="182">
        <v>0</v>
      </c>
      <c r="DL27" s="182">
        <v>0</v>
      </c>
      <c r="DM27" s="182">
        <v>0</v>
      </c>
      <c r="DN27" s="182">
        <v>0</v>
      </c>
      <c r="DO27" s="182">
        <v>0</v>
      </c>
      <c r="DP27" s="182">
        <v>0</v>
      </c>
      <c r="DQ27" s="182">
        <v>0</v>
      </c>
      <c r="DR27" s="182">
        <v>0</v>
      </c>
      <c r="DS27" s="182">
        <v>0</v>
      </c>
      <c r="DT27" s="182">
        <v>0</v>
      </c>
      <c r="DU27" s="182">
        <v>0</v>
      </c>
      <c r="DV27" s="182">
        <v>0</v>
      </c>
      <c r="DW27" s="182">
        <v>0</v>
      </c>
      <c r="DX27" s="182">
        <v>0</v>
      </c>
      <c r="DY27" s="182">
        <v>0</v>
      </c>
      <c r="DZ27" s="182">
        <v>0</v>
      </c>
      <c r="EA27" s="182">
        <v>0</v>
      </c>
      <c r="EB27" s="182">
        <v>0</v>
      </c>
      <c r="EC27" s="182">
        <v>0</v>
      </c>
      <c r="ED27" s="182">
        <v>0</v>
      </c>
      <c r="EE27" s="182">
        <v>0</v>
      </c>
      <c r="EF27" s="182">
        <v>0</v>
      </c>
      <c r="EG27" s="182">
        <v>0</v>
      </c>
      <c r="EH27" s="182">
        <v>0</v>
      </c>
      <c r="EI27" s="182">
        <v>0</v>
      </c>
      <c r="EJ27" s="182">
        <v>0</v>
      </c>
      <c r="EK27" s="182">
        <v>0</v>
      </c>
      <c r="EL27" s="182">
        <v>0</v>
      </c>
      <c r="EM27" s="182">
        <v>0</v>
      </c>
      <c r="EN27" s="182">
        <v>0</v>
      </c>
      <c r="EO27" s="182">
        <v>0</v>
      </c>
      <c r="EP27" s="182">
        <v>0</v>
      </c>
      <c r="EQ27" s="182">
        <v>0</v>
      </c>
      <c r="ER27" s="182">
        <v>0</v>
      </c>
      <c r="ES27" s="182">
        <v>0</v>
      </c>
      <c r="ET27" s="182">
        <v>0</v>
      </c>
      <c r="EU27" s="182">
        <v>0</v>
      </c>
      <c r="EV27" s="182">
        <v>0</v>
      </c>
      <c r="EW27" s="182">
        <v>0</v>
      </c>
      <c r="EX27" s="182">
        <v>0</v>
      </c>
      <c r="EY27" s="182">
        <v>0</v>
      </c>
      <c r="EZ27" s="182">
        <v>0</v>
      </c>
      <c r="FA27" s="182">
        <v>0</v>
      </c>
      <c r="FB27" s="183">
        <v>0</v>
      </c>
      <c r="FC27" s="29"/>
      <c r="FD27" s="29"/>
    </row>
    <row r="28" spans="2:160" ht="12.75" customHeight="1" x14ac:dyDescent="0.3">
      <c r="B28" s="180" t="s">
        <v>3838</v>
      </c>
      <c r="C28" s="278"/>
      <c r="D28" s="177">
        <v>0</v>
      </c>
      <c r="E28" s="177">
        <v>0</v>
      </c>
      <c r="F28" s="177">
        <v>0</v>
      </c>
      <c r="G28" s="177">
        <v>0</v>
      </c>
      <c r="H28" s="177">
        <v>0</v>
      </c>
      <c r="I28" s="177">
        <v>0</v>
      </c>
      <c r="J28" s="177">
        <v>0</v>
      </c>
      <c r="K28" s="177">
        <f>k.w0RD.sd0RD</f>
        <v>7.5999494488120689E-11</v>
      </c>
      <c r="L28" s="177">
        <v>0</v>
      </c>
      <c r="M28" s="177">
        <v>0</v>
      </c>
      <c r="N28" s="177">
        <v>0</v>
      </c>
      <c r="O28" s="279">
        <v>0</v>
      </c>
      <c r="P28" s="279">
        <v>0</v>
      </c>
      <c r="Q28" s="279">
        <v>0</v>
      </c>
      <c r="R28" s="279">
        <v>0</v>
      </c>
      <c r="S28" s="176">
        <v>0</v>
      </c>
      <c r="T28" s="176">
        <v>0</v>
      </c>
      <c r="U28" s="176">
        <v>0</v>
      </c>
      <c r="V28" s="176">
        <v>0</v>
      </c>
      <c r="W28" s="181">
        <f>-k.sd0RD-SUM(W$9:W27,W29:W$163)</f>
        <v>-1.2561171773023444E-8</v>
      </c>
      <c r="X28" s="311">
        <f>kdis.sd0S.sd0D</f>
        <v>0</v>
      </c>
      <c r="Y28" s="311">
        <f>kdis.sd0A.sd0D</f>
        <v>0</v>
      </c>
      <c r="Z28" s="307">
        <f>kdis.sd0P.sd0D</f>
        <v>0</v>
      </c>
      <c r="AA28" s="182">
        <v>0</v>
      </c>
      <c r="AB28" s="182">
        <v>0</v>
      </c>
      <c r="AC28" s="182">
        <v>0</v>
      </c>
      <c r="AD28" s="182">
        <v>0</v>
      </c>
      <c r="AE28" s="177">
        <v>0</v>
      </c>
      <c r="AF28" s="177">
        <v>0</v>
      </c>
      <c r="AG28" s="177">
        <v>0</v>
      </c>
      <c r="AH28" s="177">
        <v>0</v>
      </c>
      <c r="AI28" s="182">
        <v>0</v>
      </c>
      <c r="AJ28" s="182">
        <v>0</v>
      </c>
      <c r="AK28" s="182">
        <v>0</v>
      </c>
      <c r="AL28" s="182">
        <v>0</v>
      </c>
      <c r="AM28" s="182">
        <v>0</v>
      </c>
      <c r="AN28" s="182">
        <v>0</v>
      </c>
      <c r="AO28" s="182">
        <v>0</v>
      </c>
      <c r="AP28" s="182">
        <v>0</v>
      </c>
      <c r="AQ28" s="182">
        <v>0</v>
      </c>
      <c r="AR28" s="182">
        <v>0</v>
      </c>
      <c r="AS28" s="182">
        <v>0</v>
      </c>
      <c r="AT28" s="182">
        <v>0</v>
      </c>
      <c r="AU28" s="182">
        <v>0</v>
      </c>
      <c r="AV28" s="182">
        <v>0</v>
      </c>
      <c r="AW28" s="182">
        <v>0</v>
      </c>
      <c r="AX28" s="182">
        <v>0</v>
      </c>
      <c r="AY28" s="182">
        <v>0</v>
      </c>
      <c r="AZ28" s="182">
        <v>0</v>
      </c>
      <c r="BA28" s="182">
        <v>0</v>
      </c>
      <c r="BB28" s="168">
        <v>0</v>
      </c>
      <c r="BC28" s="168">
        <v>0</v>
      </c>
      <c r="BD28" s="168">
        <v>0</v>
      </c>
      <c r="BE28" s="168">
        <v>0</v>
      </c>
      <c r="BF28" s="182">
        <v>0</v>
      </c>
      <c r="BG28" s="182">
        <v>0</v>
      </c>
      <c r="BH28" s="182">
        <v>0</v>
      </c>
      <c r="BI28" s="182">
        <v>0</v>
      </c>
      <c r="BJ28" s="177">
        <v>0</v>
      </c>
      <c r="BK28" s="177">
        <v>0</v>
      </c>
      <c r="BL28" s="177">
        <v>0</v>
      </c>
      <c r="BM28" s="177">
        <v>0</v>
      </c>
      <c r="BN28" s="177">
        <v>0</v>
      </c>
      <c r="BO28" s="177">
        <v>0</v>
      </c>
      <c r="BP28" s="177">
        <v>0</v>
      </c>
      <c r="BQ28" s="177">
        <v>0</v>
      </c>
      <c r="BR28" s="182">
        <v>0</v>
      </c>
      <c r="BS28" s="182">
        <v>0</v>
      </c>
      <c r="BT28" s="182">
        <v>0</v>
      </c>
      <c r="BU28" s="182">
        <v>0</v>
      </c>
      <c r="BV28" s="182">
        <v>0</v>
      </c>
      <c r="BW28" s="182">
        <v>0</v>
      </c>
      <c r="BX28" s="182">
        <v>0</v>
      </c>
      <c r="BY28" s="182">
        <v>0</v>
      </c>
      <c r="BZ28" s="182">
        <v>0</v>
      </c>
      <c r="CA28" s="182">
        <v>0</v>
      </c>
      <c r="CB28" s="182">
        <v>0</v>
      </c>
      <c r="CC28" s="182">
        <v>0</v>
      </c>
      <c r="CD28" s="182">
        <v>0</v>
      </c>
      <c r="CE28" s="182">
        <v>0</v>
      </c>
      <c r="CF28" s="182">
        <v>0</v>
      </c>
      <c r="CG28" s="182">
        <v>0</v>
      </c>
      <c r="CH28" s="182">
        <v>0</v>
      </c>
      <c r="CI28" s="182">
        <v>0</v>
      </c>
      <c r="CJ28" s="182">
        <v>0</v>
      </c>
      <c r="CK28" s="182">
        <v>0</v>
      </c>
      <c r="CL28" s="182">
        <v>0</v>
      </c>
      <c r="CM28" s="182">
        <v>0</v>
      </c>
      <c r="CN28" s="182">
        <v>0</v>
      </c>
      <c r="CO28" s="182">
        <v>0</v>
      </c>
      <c r="CP28" s="182">
        <v>0</v>
      </c>
      <c r="CQ28" s="182">
        <v>0</v>
      </c>
      <c r="CR28" s="182">
        <v>0</v>
      </c>
      <c r="CS28" s="182">
        <v>0</v>
      </c>
      <c r="CT28" s="182">
        <v>0</v>
      </c>
      <c r="CU28" s="182">
        <v>0</v>
      </c>
      <c r="CV28" s="182">
        <v>0</v>
      </c>
      <c r="CW28" s="182">
        <v>0</v>
      </c>
      <c r="CX28" s="182">
        <v>0</v>
      </c>
      <c r="CY28" s="182">
        <v>0</v>
      </c>
      <c r="CZ28" s="182">
        <v>0</v>
      </c>
      <c r="DA28" s="182">
        <v>0</v>
      </c>
      <c r="DB28" s="182">
        <v>0</v>
      </c>
      <c r="DC28" s="182">
        <v>0</v>
      </c>
      <c r="DD28" s="182">
        <v>0</v>
      </c>
      <c r="DE28" s="182">
        <v>0</v>
      </c>
      <c r="DF28" s="182">
        <v>0</v>
      </c>
      <c r="DG28" s="182">
        <v>0</v>
      </c>
      <c r="DH28" s="182">
        <v>0</v>
      </c>
      <c r="DI28" s="182">
        <v>0</v>
      </c>
      <c r="DJ28" s="182">
        <v>0</v>
      </c>
      <c r="DK28" s="182">
        <v>0</v>
      </c>
      <c r="DL28" s="182">
        <v>0</v>
      </c>
      <c r="DM28" s="182">
        <v>0</v>
      </c>
      <c r="DN28" s="182">
        <v>0</v>
      </c>
      <c r="DO28" s="182">
        <v>0</v>
      </c>
      <c r="DP28" s="182">
        <v>0</v>
      </c>
      <c r="DQ28" s="182">
        <v>0</v>
      </c>
      <c r="DR28" s="182">
        <v>0</v>
      </c>
      <c r="DS28" s="182">
        <v>0</v>
      </c>
      <c r="DT28" s="182">
        <v>0</v>
      </c>
      <c r="DU28" s="182">
        <v>0</v>
      </c>
      <c r="DV28" s="182">
        <v>0</v>
      </c>
      <c r="DW28" s="182">
        <v>0</v>
      </c>
      <c r="DX28" s="182">
        <v>0</v>
      </c>
      <c r="DY28" s="182">
        <v>0</v>
      </c>
      <c r="DZ28" s="182">
        <v>0</v>
      </c>
      <c r="EA28" s="182">
        <v>0</v>
      </c>
      <c r="EB28" s="182">
        <v>0</v>
      </c>
      <c r="EC28" s="182">
        <v>0</v>
      </c>
      <c r="ED28" s="182">
        <v>0</v>
      </c>
      <c r="EE28" s="182">
        <v>0</v>
      </c>
      <c r="EF28" s="182">
        <v>0</v>
      </c>
      <c r="EG28" s="182">
        <v>0</v>
      </c>
      <c r="EH28" s="182">
        <v>0</v>
      </c>
      <c r="EI28" s="182">
        <v>0</v>
      </c>
      <c r="EJ28" s="182">
        <v>0</v>
      </c>
      <c r="EK28" s="182">
        <v>0</v>
      </c>
      <c r="EL28" s="182">
        <v>0</v>
      </c>
      <c r="EM28" s="182">
        <v>0</v>
      </c>
      <c r="EN28" s="182">
        <v>0</v>
      </c>
      <c r="EO28" s="182">
        <v>0</v>
      </c>
      <c r="EP28" s="182">
        <v>0</v>
      </c>
      <c r="EQ28" s="182">
        <v>0</v>
      </c>
      <c r="ER28" s="182">
        <v>0</v>
      </c>
      <c r="ES28" s="182">
        <v>0</v>
      </c>
      <c r="ET28" s="182">
        <v>0</v>
      </c>
      <c r="EU28" s="182">
        <v>0</v>
      </c>
      <c r="EV28" s="182">
        <v>0</v>
      </c>
      <c r="EW28" s="182">
        <v>0</v>
      </c>
      <c r="EX28" s="182">
        <v>0</v>
      </c>
      <c r="EY28" s="182">
        <v>0</v>
      </c>
      <c r="EZ28" s="182">
        <v>0</v>
      </c>
      <c r="FA28" s="182">
        <v>0</v>
      </c>
      <c r="FB28" s="183">
        <v>0</v>
      </c>
      <c r="FC28" s="29"/>
      <c r="FD28" s="29"/>
    </row>
    <row r="29" spans="2:160" ht="12.75" customHeight="1" x14ac:dyDescent="0.3">
      <c r="B29" s="180" t="s">
        <v>3839</v>
      </c>
      <c r="C29" s="278"/>
      <c r="D29" s="177">
        <v>0</v>
      </c>
      <c r="E29" s="177">
        <v>0</v>
      </c>
      <c r="F29" s="177">
        <v>0</v>
      </c>
      <c r="G29" s="177">
        <v>0</v>
      </c>
      <c r="H29" s="177">
        <v>0</v>
      </c>
      <c r="I29" s="177">
        <v>0</v>
      </c>
      <c r="J29" s="177">
        <v>0</v>
      </c>
      <c r="K29" s="177">
        <v>0</v>
      </c>
      <c r="L29" s="177">
        <f>k.w0RS.sd0RS</f>
        <v>7.0316966067864289E-12</v>
      </c>
      <c r="M29" s="177">
        <v>0</v>
      </c>
      <c r="N29" s="177">
        <v>0</v>
      </c>
      <c r="O29" s="279">
        <v>0</v>
      </c>
      <c r="P29" s="279">
        <v>0</v>
      </c>
      <c r="Q29" s="279">
        <v>0</v>
      </c>
      <c r="R29" s="279">
        <v>0</v>
      </c>
      <c r="S29" s="176">
        <v>0</v>
      </c>
      <c r="T29" s="176">
        <v>0</v>
      </c>
      <c r="U29" s="176">
        <v>0</v>
      </c>
      <c r="V29" s="176">
        <v>0</v>
      </c>
      <c r="W29" s="312">
        <v>0</v>
      </c>
      <c r="X29" s="181">
        <f>-k.sd0RS-SUM(X$9:X28,X30:X$163)</f>
        <v>-5.4121656495419797E-4</v>
      </c>
      <c r="Y29" s="176">
        <v>0</v>
      </c>
      <c r="Z29" s="306">
        <v>0</v>
      </c>
      <c r="AA29" s="182">
        <v>0</v>
      </c>
      <c r="AB29" s="182">
        <v>0</v>
      </c>
      <c r="AC29" s="182">
        <v>0</v>
      </c>
      <c r="AD29" s="182">
        <v>0</v>
      </c>
      <c r="AE29" s="177">
        <v>0</v>
      </c>
      <c r="AF29" s="177">
        <v>0</v>
      </c>
      <c r="AG29" s="177">
        <v>0</v>
      </c>
      <c r="AH29" s="177">
        <v>0</v>
      </c>
      <c r="AI29" s="182">
        <v>0</v>
      </c>
      <c r="AJ29" s="182">
        <v>0</v>
      </c>
      <c r="AK29" s="182">
        <v>0</v>
      </c>
      <c r="AL29" s="182">
        <v>0</v>
      </c>
      <c r="AM29" s="182">
        <v>0</v>
      </c>
      <c r="AN29" s="182">
        <v>0</v>
      </c>
      <c r="AO29" s="182">
        <v>0</v>
      </c>
      <c r="AP29" s="182">
        <v>0</v>
      </c>
      <c r="AQ29" s="182">
        <v>0</v>
      </c>
      <c r="AR29" s="182">
        <v>0</v>
      </c>
      <c r="AS29" s="182">
        <v>0</v>
      </c>
      <c r="AT29" s="182">
        <v>0</v>
      </c>
      <c r="AU29" s="182">
        <v>0</v>
      </c>
      <c r="AV29" s="182">
        <v>0</v>
      </c>
      <c r="AW29" s="182">
        <v>0</v>
      </c>
      <c r="AX29" s="182">
        <v>0</v>
      </c>
      <c r="AY29" s="182">
        <v>0</v>
      </c>
      <c r="AZ29" s="182">
        <v>0</v>
      </c>
      <c r="BA29" s="182">
        <v>0</v>
      </c>
      <c r="BB29" s="168">
        <v>0</v>
      </c>
      <c r="BC29" s="168">
        <v>0</v>
      </c>
      <c r="BD29" s="168">
        <v>0</v>
      </c>
      <c r="BE29" s="168">
        <v>0</v>
      </c>
      <c r="BF29" s="182">
        <v>0</v>
      </c>
      <c r="BG29" s="182">
        <v>0</v>
      </c>
      <c r="BH29" s="182">
        <v>0</v>
      </c>
      <c r="BI29" s="182">
        <v>0</v>
      </c>
      <c r="BJ29" s="177">
        <v>0</v>
      </c>
      <c r="BK29" s="177">
        <v>0</v>
      </c>
      <c r="BL29" s="177">
        <v>0</v>
      </c>
      <c r="BM29" s="177">
        <v>0</v>
      </c>
      <c r="BN29" s="177">
        <v>0</v>
      </c>
      <c r="BO29" s="177">
        <v>0</v>
      </c>
      <c r="BP29" s="177">
        <v>0</v>
      </c>
      <c r="BQ29" s="177">
        <v>0</v>
      </c>
      <c r="BR29" s="182">
        <v>0</v>
      </c>
      <c r="BS29" s="182">
        <v>0</v>
      </c>
      <c r="BT29" s="182">
        <v>0</v>
      </c>
      <c r="BU29" s="182">
        <v>0</v>
      </c>
      <c r="BV29" s="182">
        <v>0</v>
      </c>
      <c r="BW29" s="182">
        <v>0</v>
      </c>
      <c r="BX29" s="182">
        <v>0</v>
      </c>
      <c r="BY29" s="182">
        <v>0</v>
      </c>
      <c r="BZ29" s="182">
        <v>0</v>
      </c>
      <c r="CA29" s="182">
        <v>0</v>
      </c>
      <c r="CB29" s="182">
        <v>0</v>
      </c>
      <c r="CC29" s="182">
        <v>0</v>
      </c>
      <c r="CD29" s="182">
        <v>0</v>
      </c>
      <c r="CE29" s="182">
        <v>0</v>
      </c>
      <c r="CF29" s="182">
        <v>0</v>
      </c>
      <c r="CG29" s="182">
        <v>0</v>
      </c>
      <c r="CH29" s="182">
        <v>0</v>
      </c>
      <c r="CI29" s="182">
        <v>0</v>
      </c>
      <c r="CJ29" s="182">
        <v>0</v>
      </c>
      <c r="CK29" s="182">
        <v>0</v>
      </c>
      <c r="CL29" s="182">
        <v>0</v>
      </c>
      <c r="CM29" s="182">
        <v>0</v>
      </c>
      <c r="CN29" s="182">
        <v>0</v>
      </c>
      <c r="CO29" s="182">
        <v>0</v>
      </c>
      <c r="CP29" s="182">
        <v>0</v>
      </c>
      <c r="CQ29" s="182">
        <v>0</v>
      </c>
      <c r="CR29" s="182">
        <v>0</v>
      </c>
      <c r="CS29" s="182">
        <v>0</v>
      </c>
      <c r="CT29" s="182">
        <v>0</v>
      </c>
      <c r="CU29" s="182">
        <v>0</v>
      </c>
      <c r="CV29" s="182">
        <v>0</v>
      </c>
      <c r="CW29" s="182">
        <v>0</v>
      </c>
      <c r="CX29" s="182">
        <v>0</v>
      </c>
      <c r="CY29" s="182">
        <v>0</v>
      </c>
      <c r="CZ29" s="182">
        <v>0</v>
      </c>
      <c r="DA29" s="182">
        <v>0</v>
      </c>
      <c r="DB29" s="182">
        <v>0</v>
      </c>
      <c r="DC29" s="182">
        <v>0</v>
      </c>
      <c r="DD29" s="182">
        <v>0</v>
      </c>
      <c r="DE29" s="182">
        <v>0</v>
      </c>
      <c r="DF29" s="182">
        <v>0</v>
      </c>
      <c r="DG29" s="182">
        <v>0</v>
      </c>
      <c r="DH29" s="182">
        <v>0</v>
      </c>
      <c r="DI29" s="182">
        <v>0</v>
      </c>
      <c r="DJ29" s="182">
        <v>0</v>
      </c>
      <c r="DK29" s="182">
        <v>0</v>
      </c>
      <c r="DL29" s="182">
        <v>0</v>
      </c>
      <c r="DM29" s="182">
        <v>0</v>
      </c>
      <c r="DN29" s="182">
        <v>0</v>
      </c>
      <c r="DO29" s="182">
        <v>0</v>
      </c>
      <c r="DP29" s="182">
        <v>0</v>
      </c>
      <c r="DQ29" s="182">
        <v>0</v>
      </c>
      <c r="DR29" s="182">
        <v>0</v>
      </c>
      <c r="DS29" s="182">
        <v>0</v>
      </c>
      <c r="DT29" s="182">
        <v>0</v>
      </c>
      <c r="DU29" s="182">
        <v>0</v>
      </c>
      <c r="DV29" s="182">
        <v>0</v>
      </c>
      <c r="DW29" s="182">
        <v>0</v>
      </c>
      <c r="DX29" s="182">
        <v>0</v>
      </c>
      <c r="DY29" s="182">
        <v>0</v>
      </c>
      <c r="DZ29" s="182">
        <v>0</v>
      </c>
      <c r="EA29" s="182">
        <v>0</v>
      </c>
      <c r="EB29" s="182">
        <v>0</v>
      </c>
      <c r="EC29" s="182">
        <v>0</v>
      </c>
      <c r="ED29" s="182">
        <v>0</v>
      </c>
      <c r="EE29" s="182">
        <v>0</v>
      </c>
      <c r="EF29" s="182">
        <v>0</v>
      </c>
      <c r="EG29" s="182">
        <v>0</v>
      </c>
      <c r="EH29" s="182">
        <v>0</v>
      </c>
      <c r="EI29" s="182">
        <v>0</v>
      </c>
      <c r="EJ29" s="182">
        <v>0</v>
      </c>
      <c r="EK29" s="182">
        <v>0</v>
      </c>
      <c r="EL29" s="182">
        <v>0</v>
      </c>
      <c r="EM29" s="182">
        <v>0</v>
      </c>
      <c r="EN29" s="182">
        <v>0</v>
      </c>
      <c r="EO29" s="182">
        <v>0</v>
      </c>
      <c r="EP29" s="182">
        <v>0</v>
      </c>
      <c r="EQ29" s="182">
        <v>0</v>
      </c>
      <c r="ER29" s="182">
        <v>0</v>
      </c>
      <c r="ES29" s="182">
        <v>0</v>
      </c>
      <c r="ET29" s="182">
        <v>0</v>
      </c>
      <c r="EU29" s="182">
        <v>0</v>
      </c>
      <c r="EV29" s="182">
        <v>0</v>
      </c>
      <c r="EW29" s="182">
        <v>0</v>
      </c>
      <c r="EX29" s="182">
        <v>0</v>
      </c>
      <c r="EY29" s="182">
        <v>0</v>
      </c>
      <c r="EZ29" s="182">
        <v>0</v>
      </c>
      <c r="FA29" s="182">
        <v>0</v>
      </c>
      <c r="FB29" s="183">
        <v>0</v>
      </c>
      <c r="FC29" s="29"/>
      <c r="FD29" s="29"/>
    </row>
    <row r="30" spans="2:160" ht="12.75" customHeight="1" x14ac:dyDescent="0.3">
      <c r="B30" s="180" t="s">
        <v>3840</v>
      </c>
      <c r="C30" s="278"/>
      <c r="D30" s="177">
        <v>0</v>
      </c>
      <c r="E30" s="177">
        <v>0</v>
      </c>
      <c r="F30" s="177">
        <v>0</v>
      </c>
      <c r="G30" s="177">
        <v>0</v>
      </c>
      <c r="H30" s="177">
        <v>0</v>
      </c>
      <c r="I30" s="177">
        <v>0</v>
      </c>
      <c r="J30" s="177">
        <v>0</v>
      </c>
      <c r="K30" s="177">
        <v>0</v>
      </c>
      <c r="L30" s="177">
        <v>0</v>
      </c>
      <c r="M30" s="177">
        <f>k.w0RA.sd0RA</f>
        <v>4.9092029860631688E-10</v>
      </c>
      <c r="N30" s="177">
        <v>0</v>
      </c>
      <c r="O30" s="279">
        <v>0</v>
      </c>
      <c r="P30" s="279">
        <v>0</v>
      </c>
      <c r="Q30" s="279">
        <v>0</v>
      </c>
      <c r="R30" s="279">
        <v>0</v>
      </c>
      <c r="S30" s="176">
        <v>0</v>
      </c>
      <c r="T30" s="176">
        <v>0</v>
      </c>
      <c r="U30" s="176">
        <v>0</v>
      </c>
      <c r="V30" s="176">
        <v>0</v>
      </c>
      <c r="W30" s="312">
        <v>0</v>
      </c>
      <c r="X30" s="176">
        <f>k.sd0RS.sd0RA</f>
        <v>3.1607723057386811E-4</v>
      </c>
      <c r="Y30" s="181">
        <f>-k.sd0RA-SUM(Y$9:Y29,Y31:Y$163)</f>
        <v>-2.8953682563842399E-9</v>
      </c>
      <c r="Z30" s="306">
        <v>0</v>
      </c>
      <c r="AA30" s="182">
        <v>0</v>
      </c>
      <c r="AB30" s="182">
        <v>0</v>
      </c>
      <c r="AC30" s="182">
        <v>0</v>
      </c>
      <c r="AD30" s="182">
        <v>0</v>
      </c>
      <c r="AE30" s="177">
        <v>0</v>
      </c>
      <c r="AF30" s="177">
        <v>0</v>
      </c>
      <c r="AG30" s="177">
        <v>0</v>
      </c>
      <c r="AH30" s="177">
        <v>0</v>
      </c>
      <c r="AI30" s="182">
        <v>0</v>
      </c>
      <c r="AJ30" s="182">
        <v>0</v>
      </c>
      <c r="AK30" s="182">
        <v>0</v>
      </c>
      <c r="AL30" s="182">
        <v>0</v>
      </c>
      <c r="AM30" s="182">
        <v>0</v>
      </c>
      <c r="AN30" s="182">
        <v>0</v>
      </c>
      <c r="AO30" s="182">
        <v>0</v>
      </c>
      <c r="AP30" s="182">
        <v>0</v>
      </c>
      <c r="AQ30" s="182">
        <v>0</v>
      </c>
      <c r="AR30" s="182">
        <v>0</v>
      </c>
      <c r="AS30" s="182">
        <v>0</v>
      </c>
      <c r="AT30" s="182">
        <v>0</v>
      </c>
      <c r="AU30" s="182">
        <v>0</v>
      </c>
      <c r="AV30" s="182">
        <v>0</v>
      </c>
      <c r="AW30" s="182">
        <v>0</v>
      </c>
      <c r="AX30" s="182">
        <v>0</v>
      </c>
      <c r="AY30" s="182">
        <v>0</v>
      </c>
      <c r="AZ30" s="182">
        <v>0</v>
      </c>
      <c r="BA30" s="182">
        <v>0</v>
      </c>
      <c r="BB30" s="168">
        <v>0</v>
      </c>
      <c r="BC30" s="168">
        <v>0</v>
      </c>
      <c r="BD30" s="168">
        <v>0</v>
      </c>
      <c r="BE30" s="168">
        <v>0</v>
      </c>
      <c r="BF30" s="182">
        <v>0</v>
      </c>
      <c r="BG30" s="182">
        <v>0</v>
      </c>
      <c r="BH30" s="182">
        <v>0</v>
      </c>
      <c r="BI30" s="182">
        <v>0</v>
      </c>
      <c r="BJ30" s="177">
        <v>0</v>
      </c>
      <c r="BK30" s="177">
        <v>0</v>
      </c>
      <c r="BL30" s="177">
        <v>0</v>
      </c>
      <c r="BM30" s="177">
        <v>0</v>
      </c>
      <c r="BN30" s="177">
        <v>0</v>
      </c>
      <c r="BO30" s="177">
        <v>0</v>
      </c>
      <c r="BP30" s="177">
        <v>0</v>
      </c>
      <c r="BQ30" s="177">
        <v>0</v>
      </c>
      <c r="BR30" s="182">
        <v>0</v>
      </c>
      <c r="BS30" s="182">
        <v>0</v>
      </c>
      <c r="BT30" s="182">
        <v>0</v>
      </c>
      <c r="BU30" s="182">
        <v>0</v>
      </c>
      <c r="BV30" s="182">
        <v>0</v>
      </c>
      <c r="BW30" s="182">
        <v>0</v>
      </c>
      <c r="BX30" s="182">
        <v>0</v>
      </c>
      <c r="BY30" s="182">
        <v>0</v>
      </c>
      <c r="BZ30" s="182">
        <v>0</v>
      </c>
      <c r="CA30" s="182">
        <v>0</v>
      </c>
      <c r="CB30" s="182">
        <v>0</v>
      </c>
      <c r="CC30" s="182">
        <v>0</v>
      </c>
      <c r="CD30" s="182">
        <v>0</v>
      </c>
      <c r="CE30" s="182">
        <v>0</v>
      </c>
      <c r="CF30" s="182">
        <v>0</v>
      </c>
      <c r="CG30" s="182">
        <v>0</v>
      </c>
      <c r="CH30" s="182">
        <v>0</v>
      </c>
      <c r="CI30" s="182">
        <v>0</v>
      </c>
      <c r="CJ30" s="182">
        <v>0</v>
      </c>
      <c r="CK30" s="182">
        <v>0</v>
      </c>
      <c r="CL30" s="182">
        <v>0</v>
      </c>
      <c r="CM30" s="182">
        <v>0</v>
      </c>
      <c r="CN30" s="182">
        <v>0</v>
      </c>
      <c r="CO30" s="182">
        <v>0</v>
      </c>
      <c r="CP30" s="182">
        <v>0</v>
      </c>
      <c r="CQ30" s="182">
        <v>0</v>
      </c>
      <c r="CR30" s="182">
        <v>0</v>
      </c>
      <c r="CS30" s="182">
        <v>0</v>
      </c>
      <c r="CT30" s="182">
        <v>0</v>
      </c>
      <c r="CU30" s="182">
        <v>0</v>
      </c>
      <c r="CV30" s="182">
        <v>0</v>
      </c>
      <c r="CW30" s="182">
        <v>0</v>
      </c>
      <c r="CX30" s="182">
        <v>0</v>
      </c>
      <c r="CY30" s="182">
        <v>0</v>
      </c>
      <c r="CZ30" s="182">
        <v>0</v>
      </c>
      <c r="DA30" s="182">
        <v>0</v>
      </c>
      <c r="DB30" s="182">
        <v>0</v>
      </c>
      <c r="DC30" s="182">
        <v>0</v>
      </c>
      <c r="DD30" s="182">
        <v>0</v>
      </c>
      <c r="DE30" s="182">
        <v>0</v>
      </c>
      <c r="DF30" s="182">
        <v>0</v>
      </c>
      <c r="DG30" s="182">
        <v>0</v>
      </c>
      <c r="DH30" s="182">
        <v>0</v>
      </c>
      <c r="DI30" s="182">
        <v>0</v>
      </c>
      <c r="DJ30" s="182">
        <v>0</v>
      </c>
      <c r="DK30" s="182">
        <v>0</v>
      </c>
      <c r="DL30" s="182">
        <v>0</v>
      </c>
      <c r="DM30" s="182">
        <v>0</v>
      </c>
      <c r="DN30" s="182">
        <v>0</v>
      </c>
      <c r="DO30" s="182">
        <v>0</v>
      </c>
      <c r="DP30" s="182">
        <v>0</v>
      </c>
      <c r="DQ30" s="182">
        <v>0</v>
      </c>
      <c r="DR30" s="182">
        <v>0</v>
      </c>
      <c r="DS30" s="182">
        <v>0</v>
      </c>
      <c r="DT30" s="182">
        <v>0</v>
      </c>
      <c r="DU30" s="182">
        <v>0</v>
      </c>
      <c r="DV30" s="182">
        <v>0</v>
      </c>
      <c r="DW30" s="182">
        <v>0</v>
      </c>
      <c r="DX30" s="182">
        <v>0</v>
      </c>
      <c r="DY30" s="182">
        <v>0</v>
      </c>
      <c r="DZ30" s="182">
        <v>0</v>
      </c>
      <c r="EA30" s="182">
        <v>0</v>
      </c>
      <c r="EB30" s="182">
        <v>0</v>
      </c>
      <c r="EC30" s="182">
        <v>0</v>
      </c>
      <c r="ED30" s="182">
        <v>0</v>
      </c>
      <c r="EE30" s="182">
        <v>0</v>
      </c>
      <c r="EF30" s="182">
        <v>0</v>
      </c>
      <c r="EG30" s="182">
        <v>0</v>
      </c>
      <c r="EH30" s="182">
        <v>0</v>
      </c>
      <c r="EI30" s="182">
        <v>0</v>
      </c>
      <c r="EJ30" s="182">
        <v>0</v>
      </c>
      <c r="EK30" s="182">
        <v>0</v>
      </c>
      <c r="EL30" s="182">
        <v>0</v>
      </c>
      <c r="EM30" s="182">
        <v>0</v>
      </c>
      <c r="EN30" s="182">
        <v>0</v>
      </c>
      <c r="EO30" s="182">
        <v>0</v>
      </c>
      <c r="EP30" s="182">
        <v>0</v>
      </c>
      <c r="EQ30" s="182">
        <v>0</v>
      </c>
      <c r="ER30" s="182">
        <v>0</v>
      </c>
      <c r="ES30" s="182">
        <v>0</v>
      </c>
      <c r="ET30" s="182">
        <v>0</v>
      </c>
      <c r="EU30" s="182">
        <v>0</v>
      </c>
      <c r="EV30" s="182">
        <v>0</v>
      </c>
      <c r="EW30" s="182">
        <v>0</v>
      </c>
      <c r="EX30" s="182">
        <v>0</v>
      </c>
      <c r="EY30" s="182">
        <v>0</v>
      </c>
      <c r="EZ30" s="182">
        <v>0</v>
      </c>
      <c r="FA30" s="182">
        <v>0</v>
      </c>
      <c r="FB30" s="183">
        <v>0</v>
      </c>
      <c r="FC30" s="29"/>
      <c r="FD30" s="29"/>
    </row>
    <row r="31" spans="2:160" ht="12.75" customHeight="1" x14ac:dyDescent="0.3">
      <c r="B31" s="180" t="s">
        <v>3841</v>
      </c>
      <c r="C31" s="278"/>
      <c r="D31" s="177">
        <v>0</v>
      </c>
      <c r="E31" s="177">
        <v>0</v>
      </c>
      <c r="F31" s="177">
        <v>0</v>
      </c>
      <c r="G31" s="177">
        <v>0</v>
      </c>
      <c r="H31" s="177">
        <v>0</v>
      </c>
      <c r="I31" s="177">
        <v>0</v>
      </c>
      <c r="J31" s="177">
        <v>0</v>
      </c>
      <c r="K31" s="177">
        <v>0</v>
      </c>
      <c r="L31" s="177">
        <v>0</v>
      </c>
      <c r="M31" s="177">
        <v>0</v>
      </c>
      <c r="N31" s="177">
        <f>k.w0RP.sd0RP</f>
        <v>2.9410421142483869E-7</v>
      </c>
      <c r="O31" s="279">
        <v>0</v>
      </c>
      <c r="P31" s="279">
        <v>0</v>
      </c>
      <c r="Q31" s="279">
        <v>0</v>
      </c>
      <c r="R31" s="279">
        <v>0</v>
      </c>
      <c r="S31" s="176">
        <v>0</v>
      </c>
      <c r="T31" s="176">
        <v>0</v>
      </c>
      <c r="U31" s="176">
        <v>0</v>
      </c>
      <c r="V31" s="176">
        <v>0</v>
      </c>
      <c r="W31" s="308">
        <v>0</v>
      </c>
      <c r="X31" s="309">
        <f>k.sd0RS.sd0RP</f>
        <v>2.2513643901207357E-4</v>
      </c>
      <c r="Y31" s="309">
        <v>0</v>
      </c>
      <c r="Z31" s="181">
        <f>-k.sd0RP-SUM(Z$9:Z30,Z32:Z$163)</f>
        <v>-2.8953682563842399E-9</v>
      </c>
      <c r="AA31" s="182">
        <v>0</v>
      </c>
      <c r="AB31" s="182">
        <v>0</v>
      </c>
      <c r="AC31" s="182">
        <v>0</v>
      </c>
      <c r="AD31" s="182">
        <v>0</v>
      </c>
      <c r="AE31" s="177">
        <v>0</v>
      </c>
      <c r="AF31" s="177">
        <v>0</v>
      </c>
      <c r="AG31" s="177">
        <v>0</v>
      </c>
      <c r="AH31" s="177">
        <v>0</v>
      </c>
      <c r="AI31" s="182">
        <v>0</v>
      </c>
      <c r="AJ31" s="182">
        <v>0</v>
      </c>
      <c r="AK31" s="182">
        <v>0</v>
      </c>
      <c r="AL31" s="182">
        <v>0</v>
      </c>
      <c r="AM31" s="182">
        <v>0</v>
      </c>
      <c r="AN31" s="182">
        <v>0</v>
      </c>
      <c r="AO31" s="182">
        <v>0</v>
      </c>
      <c r="AP31" s="182">
        <v>0</v>
      </c>
      <c r="AQ31" s="182">
        <v>0</v>
      </c>
      <c r="AR31" s="182">
        <v>0</v>
      </c>
      <c r="AS31" s="182">
        <v>0</v>
      </c>
      <c r="AT31" s="182">
        <v>0</v>
      </c>
      <c r="AU31" s="182">
        <v>0</v>
      </c>
      <c r="AV31" s="182">
        <v>0</v>
      </c>
      <c r="AW31" s="182">
        <v>0</v>
      </c>
      <c r="AX31" s="182">
        <v>0</v>
      </c>
      <c r="AY31" s="182">
        <v>0</v>
      </c>
      <c r="AZ31" s="182">
        <v>0</v>
      </c>
      <c r="BA31" s="182">
        <v>0</v>
      </c>
      <c r="BB31" s="168">
        <v>0</v>
      </c>
      <c r="BC31" s="168">
        <v>0</v>
      </c>
      <c r="BD31" s="168">
        <v>0</v>
      </c>
      <c r="BE31" s="168">
        <v>0</v>
      </c>
      <c r="BF31" s="182">
        <v>0</v>
      </c>
      <c r="BG31" s="182">
        <v>0</v>
      </c>
      <c r="BH31" s="182">
        <v>0</v>
      </c>
      <c r="BI31" s="182">
        <v>0</v>
      </c>
      <c r="BJ31" s="177">
        <v>0</v>
      </c>
      <c r="BK31" s="177">
        <v>0</v>
      </c>
      <c r="BL31" s="177">
        <v>0</v>
      </c>
      <c r="BM31" s="177">
        <v>0</v>
      </c>
      <c r="BN31" s="177">
        <v>0</v>
      </c>
      <c r="BO31" s="177">
        <v>0</v>
      </c>
      <c r="BP31" s="177">
        <v>0</v>
      </c>
      <c r="BQ31" s="177">
        <v>0</v>
      </c>
      <c r="BR31" s="182">
        <v>0</v>
      </c>
      <c r="BS31" s="182">
        <v>0</v>
      </c>
      <c r="BT31" s="182">
        <v>0</v>
      </c>
      <c r="BU31" s="182">
        <v>0</v>
      </c>
      <c r="BV31" s="182">
        <v>0</v>
      </c>
      <c r="BW31" s="182">
        <v>0</v>
      </c>
      <c r="BX31" s="182">
        <v>0</v>
      </c>
      <c r="BY31" s="182">
        <v>0</v>
      </c>
      <c r="BZ31" s="182">
        <v>0</v>
      </c>
      <c r="CA31" s="182">
        <v>0</v>
      </c>
      <c r="CB31" s="182">
        <v>0</v>
      </c>
      <c r="CC31" s="182">
        <v>0</v>
      </c>
      <c r="CD31" s="182">
        <v>0</v>
      </c>
      <c r="CE31" s="182">
        <v>0</v>
      </c>
      <c r="CF31" s="182">
        <v>0</v>
      </c>
      <c r="CG31" s="182">
        <v>0</v>
      </c>
      <c r="CH31" s="182">
        <v>0</v>
      </c>
      <c r="CI31" s="182">
        <v>0</v>
      </c>
      <c r="CJ31" s="182">
        <v>0</v>
      </c>
      <c r="CK31" s="182">
        <v>0</v>
      </c>
      <c r="CL31" s="182">
        <v>0</v>
      </c>
      <c r="CM31" s="182">
        <v>0</v>
      </c>
      <c r="CN31" s="182">
        <v>0</v>
      </c>
      <c r="CO31" s="182">
        <v>0</v>
      </c>
      <c r="CP31" s="182">
        <v>0</v>
      </c>
      <c r="CQ31" s="182">
        <v>0</v>
      </c>
      <c r="CR31" s="182">
        <v>0</v>
      </c>
      <c r="CS31" s="182">
        <v>0</v>
      </c>
      <c r="CT31" s="182">
        <v>0</v>
      </c>
      <c r="CU31" s="182">
        <v>0</v>
      </c>
      <c r="CV31" s="182">
        <v>0</v>
      </c>
      <c r="CW31" s="182">
        <v>0</v>
      </c>
      <c r="CX31" s="182">
        <v>0</v>
      </c>
      <c r="CY31" s="182">
        <v>0</v>
      </c>
      <c r="CZ31" s="182">
        <v>0</v>
      </c>
      <c r="DA31" s="182">
        <v>0</v>
      </c>
      <c r="DB31" s="182">
        <v>0</v>
      </c>
      <c r="DC31" s="182">
        <v>0</v>
      </c>
      <c r="DD31" s="182">
        <v>0</v>
      </c>
      <c r="DE31" s="182">
        <v>0</v>
      </c>
      <c r="DF31" s="182">
        <v>0</v>
      </c>
      <c r="DG31" s="182">
        <v>0</v>
      </c>
      <c r="DH31" s="182">
        <v>0</v>
      </c>
      <c r="DI31" s="182">
        <v>0</v>
      </c>
      <c r="DJ31" s="182">
        <v>0</v>
      </c>
      <c r="DK31" s="182">
        <v>0</v>
      </c>
      <c r="DL31" s="182">
        <v>0</v>
      </c>
      <c r="DM31" s="182">
        <v>0</v>
      </c>
      <c r="DN31" s="182">
        <v>0</v>
      </c>
      <c r="DO31" s="182">
        <v>0</v>
      </c>
      <c r="DP31" s="182">
        <v>0</v>
      </c>
      <c r="DQ31" s="182">
        <v>0</v>
      </c>
      <c r="DR31" s="182">
        <v>0</v>
      </c>
      <c r="DS31" s="182">
        <v>0</v>
      </c>
      <c r="DT31" s="182">
        <v>0</v>
      </c>
      <c r="DU31" s="182">
        <v>0</v>
      </c>
      <c r="DV31" s="182">
        <v>0</v>
      </c>
      <c r="DW31" s="182">
        <v>0</v>
      </c>
      <c r="DX31" s="182">
        <v>0</v>
      </c>
      <c r="DY31" s="182">
        <v>0</v>
      </c>
      <c r="DZ31" s="182">
        <v>0</v>
      </c>
      <c r="EA31" s="182">
        <v>0</v>
      </c>
      <c r="EB31" s="182">
        <v>0</v>
      </c>
      <c r="EC31" s="182">
        <v>0</v>
      </c>
      <c r="ED31" s="182">
        <v>0</v>
      </c>
      <c r="EE31" s="182">
        <v>0</v>
      </c>
      <c r="EF31" s="182">
        <v>0</v>
      </c>
      <c r="EG31" s="182">
        <v>0</v>
      </c>
      <c r="EH31" s="182">
        <v>0</v>
      </c>
      <c r="EI31" s="182">
        <v>0</v>
      </c>
      <c r="EJ31" s="182">
        <v>0</v>
      </c>
      <c r="EK31" s="182">
        <v>0</v>
      </c>
      <c r="EL31" s="182">
        <v>0</v>
      </c>
      <c r="EM31" s="182">
        <v>0</v>
      </c>
      <c r="EN31" s="182">
        <v>0</v>
      </c>
      <c r="EO31" s="182">
        <v>0</v>
      </c>
      <c r="EP31" s="182">
        <v>0</v>
      </c>
      <c r="EQ31" s="182">
        <v>0</v>
      </c>
      <c r="ER31" s="182">
        <v>0</v>
      </c>
      <c r="ES31" s="182">
        <v>0</v>
      </c>
      <c r="ET31" s="182">
        <v>0</v>
      </c>
      <c r="EU31" s="182">
        <v>0</v>
      </c>
      <c r="EV31" s="182">
        <v>0</v>
      </c>
      <c r="EW31" s="182">
        <v>0</v>
      </c>
      <c r="EX31" s="182">
        <v>0</v>
      </c>
      <c r="EY31" s="182">
        <v>0</v>
      </c>
      <c r="EZ31" s="182">
        <v>0</v>
      </c>
      <c r="FA31" s="182">
        <v>0</v>
      </c>
      <c r="FB31" s="183">
        <v>0</v>
      </c>
      <c r="FC31" s="29"/>
      <c r="FD31" s="29"/>
    </row>
    <row r="32" spans="2:160" ht="12.75" customHeight="1" x14ac:dyDescent="0.3">
      <c r="B32" s="180" t="s">
        <v>3842</v>
      </c>
      <c r="C32" s="278"/>
      <c r="D32" s="182">
        <v>0</v>
      </c>
      <c r="E32" s="182">
        <v>0</v>
      </c>
      <c r="F32" s="182">
        <v>0</v>
      </c>
      <c r="G32" s="182">
        <v>0</v>
      </c>
      <c r="H32" s="182">
        <v>0</v>
      </c>
      <c r="I32" s="182">
        <v>0</v>
      </c>
      <c r="J32" s="182">
        <v>0</v>
      </c>
      <c r="K32" s="168">
        <v>0</v>
      </c>
      <c r="L32" s="168">
        <v>0</v>
      </c>
      <c r="M32" s="168">
        <v>0</v>
      </c>
      <c r="N32" s="168">
        <v>0</v>
      </c>
      <c r="O32" s="279">
        <f>k.w1RD.sd1RD</f>
        <v>2.2610223962915065E-8</v>
      </c>
      <c r="P32" s="279">
        <v>0</v>
      </c>
      <c r="Q32" s="279">
        <v>0</v>
      </c>
      <c r="R32" s="279">
        <v>0</v>
      </c>
      <c r="S32" s="182">
        <v>0</v>
      </c>
      <c r="T32" s="182">
        <v>0</v>
      </c>
      <c r="U32" s="182">
        <v>0</v>
      </c>
      <c r="V32" s="182">
        <v>0</v>
      </c>
      <c r="W32" s="182">
        <v>0</v>
      </c>
      <c r="X32" s="182">
        <v>0</v>
      </c>
      <c r="Y32" s="182">
        <v>0</v>
      </c>
      <c r="Z32" s="182">
        <v>0</v>
      </c>
      <c r="AA32" s="310">
        <f>-k.sd1RD-SUM(AA9:AA31,AA$33:AA163)</f>
        <v>-8.4829849862204943E-8</v>
      </c>
      <c r="AB32" s="311">
        <f>kdis.sd1S.sd1D</f>
        <v>0</v>
      </c>
      <c r="AC32" s="311">
        <f>kdis.sd1A.sd1D</f>
        <v>0</v>
      </c>
      <c r="AD32" s="307">
        <f>kdis.sd1P.sd1D</f>
        <v>0</v>
      </c>
      <c r="AE32" s="182">
        <v>0</v>
      </c>
      <c r="AF32" s="182">
        <v>0</v>
      </c>
      <c r="AG32" s="182">
        <v>0</v>
      </c>
      <c r="AH32" s="182">
        <v>0</v>
      </c>
      <c r="AI32" s="182">
        <v>0</v>
      </c>
      <c r="AJ32" s="182">
        <v>0</v>
      </c>
      <c r="AK32" s="182">
        <v>0</v>
      </c>
      <c r="AL32" s="182">
        <v>0</v>
      </c>
      <c r="AM32" s="182">
        <v>0</v>
      </c>
      <c r="AN32" s="182">
        <v>0</v>
      </c>
      <c r="AO32" s="182">
        <v>0</v>
      </c>
      <c r="AP32" s="182">
        <v>0</v>
      </c>
      <c r="AQ32" s="182">
        <v>0</v>
      </c>
      <c r="AR32" s="182">
        <v>0</v>
      </c>
      <c r="AS32" s="182">
        <v>0</v>
      </c>
      <c r="AT32" s="182">
        <v>0</v>
      </c>
      <c r="AU32" s="182">
        <v>0</v>
      </c>
      <c r="AV32" s="182">
        <v>0</v>
      </c>
      <c r="AW32" s="182">
        <v>0</v>
      </c>
      <c r="AX32" s="182">
        <v>0</v>
      </c>
      <c r="AY32" s="182">
        <v>0</v>
      </c>
      <c r="AZ32" s="182">
        <v>0</v>
      </c>
      <c r="BA32" s="182">
        <v>0</v>
      </c>
      <c r="BB32" s="168">
        <v>0</v>
      </c>
      <c r="BC32" s="168">
        <v>0</v>
      </c>
      <c r="BD32" s="168">
        <v>0</v>
      </c>
      <c r="BE32" s="168">
        <v>0</v>
      </c>
      <c r="BF32" s="182">
        <v>0</v>
      </c>
      <c r="BG32" s="182">
        <v>0</v>
      </c>
      <c r="BH32" s="182">
        <v>0</v>
      </c>
      <c r="BI32" s="182">
        <v>0</v>
      </c>
      <c r="BJ32" s="182">
        <v>0</v>
      </c>
      <c r="BK32" s="182">
        <v>0</v>
      </c>
      <c r="BL32" s="182">
        <v>0</v>
      </c>
      <c r="BM32" s="182">
        <v>0</v>
      </c>
      <c r="BN32" s="182">
        <v>0</v>
      </c>
      <c r="BO32" s="182">
        <v>0</v>
      </c>
      <c r="BP32" s="182">
        <v>0</v>
      </c>
      <c r="BQ32" s="182">
        <v>0</v>
      </c>
      <c r="BR32" s="182">
        <v>0</v>
      </c>
      <c r="BS32" s="182">
        <v>0</v>
      </c>
      <c r="BT32" s="182">
        <v>0</v>
      </c>
      <c r="BU32" s="182">
        <v>0</v>
      </c>
      <c r="BV32" s="182">
        <v>0</v>
      </c>
      <c r="BW32" s="182">
        <v>0</v>
      </c>
      <c r="BX32" s="182">
        <v>0</v>
      </c>
      <c r="BY32" s="182">
        <v>0</v>
      </c>
      <c r="BZ32" s="182">
        <v>0</v>
      </c>
      <c r="CA32" s="182">
        <v>0</v>
      </c>
      <c r="CB32" s="182">
        <v>0</v>
      </c>
      <c r="CC32" s="182">
        <v>0</v>
      </c>
      <c r="CD32" s="182">
        <v>0</v>
      </c>
      <c r="CE32" s="182">
        <v>0</v>
      </c>
      <c r="CF32" s="182">
        <v>0</v>
      </c>
      <c r="CG32" s="182">
        <v>0</v>
      </c>
      <c r="CH32" s="182">
        <v>0</v>
      </c>
      <c r="CI32" s="182">
        <v>0</v>
      </c>
      <c r="CJ32" s="182">
        <v>0</v>
      </c>
      <c r="CK32" s="182">
        <v>0</v>
      </c>
      <c r="CL32" s="182">
        <v>0</v>
      </c>
      <c r="CM32" s="182">
        <v>0</v>
      </c>
      <c r="CN32" s="182">
        <v>0</v>
      </c>
      <c r="CO32" s="182">
        <v>0</v>
      </c>
      <c r="CP32" s="182">
        <v>0</v>
      </c>
      <c r="CQ32" s="182">
        <v>0</v>
      </c>
      <c r="CR32" s="182">
        <v>0</v>
      </c>
      <c r="CS32" s="182">
        <v>0</v>
      </c>
      <c r="CT32" s="182">
        <v>0</v>
      </c>
      <c r="CU32" s="182">
        <v>0</v>
      </c>
      <c r="CV32" s="182">
        <v>0</v>
      </c>
      <c r="CW32" s="182">
        <v>0</v>
      </c>
      <c r="CX32" s="182">
        <v>0</v>
      </c>
      <c r="CY32" s="182">
        <v>0</v>
      </c>
      <c r="CZ32" s="182">
        <v>0</v>
      </c>
      <c r="DA32" s="182">
        <v>0</v>
      </c>
      <c r="DB32" s="182">
        <v>0</v>
      </c>
      <c r="DC32" s="182">
        <v>0</v>
      </c>
      <c r="DD32" s="182">
        <v>0</v>
      </c>
      <c r="DE32" s="182">
        <v>0</v>
      </c>
      <c r="DF32" s="182">
        <v>0</v>
      </c>
      <c r="DG32" s="182">
        <v>0</v>
      </c>
      <c r="DH32" s="182">
        <v>0</v>
      </c>
      <c r="DI32" s="182">
        <v>0</v>
      </c>
      <c r="DJ32" s="182">
        <v>0</v>
      </c>
      <c r="DK32" s="182">
        <v>0</v>
      </c>
      <c r="DL32" s="182">
        <v>0</v>
      </c>
      <c r="DM32" s="182">
        <v>0</v>
      </c>
      <c r="DN32" s="182">
        <v>0</v>
      </c>
      <c r="DO32" s="182">
        <v>0</v>
      </c>
      <c r="DP32" s="182">
        <v>0</v>
      </c>
      <c r="DQ32" s="182">
        <v>0</v>
      </c>
      <c r="DR32" s="182">
        <v>0</v>
      </c>
      <c r="DS32" s="182">
        <v>0</v>
      </c>
      <c r="DT32" s="182">
        <v>0</v>
      </c>
      <c r="DU32" s="182">
        <v>0</v>
      </c>
      <c r="DV32" s="182">
        <v>0</v>
      </c>
      <c r="DW32" s="182">
        <v>0</v>
      </c>
      <c r="DX32" s="182">
        <v>0</v>
      </c>
      <c r="DY32" s="182">
        <v>0</v>
      </c>
      <c r="DZ32" s="182">
        <v>0</v>
      </c>
      <c r="EA32" s="182">
        <v>0</v>
      </c>
      <c r="EB32" s="182">
        <v>0</v>
      </c>
      <c r="EC32" s="182">
        <v>0</v>
      </c>
      <c r="ED32" s="182">
        <v>0</v>
      </c>
      <c r="EE32" s="182">
        <v>0</v>
      </c>
      <c r="EF32" s="182">
        <v>0</v>
      </c>
      <c r="EG32" s="182">
        <v>0</v>
      </c>
      <c r="EH32" s="182">
        <v>0</v>
      </c>
      <c r="EI32" s="182">
        <v>0</v>
      </c>
      <c r="EJ32" s="182">
        <v>0</v>
      </c>
      <c r="EK32" s="182">
        <v>0</v>
      </c>
      <c r="EL32" s="182">
        <v>0</v>
      </c>
      <c r="EM32" s="182">
        <v>0</v>
      </c>
      <c r="EN32" s="182">
        <v>0</v>
      </c>
      <c r="EO32" s="182">
        <v>0</v>
      </c>
      <c r="EP32" s="182">
        <v>0</v>
      </c>
      <c r="EQ32" s="182">
        <v>0</v>
      </c>
      <c r="ER32" s="182">
        <v>0</v>
      </c>
      <c r="ES32" s="182">
        <v>0</v>
      </c>
      <c r="ET32" s="182">
        <v>0</v>
      </c>
      <c r="EU32" s="182">
        <v>0</v>
      </c>
      <c r="EV32" s="182">
        <v>0</v>
      </c>
      <c r="EW32" s="182">
        <v>0</v>
      </c>
      <c r="EX32" s="182">
        <v>0</v>
      </c>
      <c r="EY32" s="182">
        <v>0</v>
      </c>
      <c r="EZ32" s="182">
        <v>0</v>
      </c>
      <c r="FA32" s="182">
        <v>0</v>
      </c>
      <c r="FB32" s="183">
        <v>0</v>
      </c>
      <c r="FC32" s="29"/>
      <c r="FD32" s="29"/>
    </row>
    <row r="33" spans="2:160" ht="12.75" customHeight="1" x14ac:dyDescent="0.3">
      <c r="B33" s="180" t="s">
        <v>3843</v>
      </c>
      <c r="C33" s="278"/>
      <c r="D33" s="182">
        <v>0</v>
      </c>
      <c r="E33" s="182">
        <v>0</v>
      </c>
      <c r="F33" s="182">
        <v>0</v>
      </c>
      <c r="G33" s="182">
        <v>0</v>
      </c>
      <c r="H33" s="182">
        <v>0</v>
      </c>
      <c r="I33" s="182">
        <v>0</v>
      </c>
      <c r="J33" s="182">
        <v>0</v>
      </c>
      <c r="K33" s="168">
        <v>0</v>
      </c>
      <c r="L33" s="168">
        <v>0</v>
      </c>
      <c r="M33" s="168">
        <v>0</v>
      </c>
      <c r="N33" s="168">
        <v>0</v>
      </c>
      <c r="O33" s="279">
        <v>0</v>
      </c>
      <c r="P33" s="177">
        <f>k.w1RS.sd1RS</f>
        <v>2.3438988689288094E-10</v>
      </c>
      <c r="Q33" s="177">
        <v>0</v>
      </c>
      <c r="R33" s="176">
        <v>0</v>
      </c>
      <c r="S33" s="182">
        <v>0</v>
      </c>
      <c r="T33" s="182">
        <v>0</v>
      </c>
      <c r="U33" s="182">
        <v>0</v>
      </c>
      <c r="V33" s="182">
        <v>0</v>
      </c>
      <c r="W33" s="182">
        <v>0</v>
      </c>
      <c r="X33" s="182">
        <v>0</v>
      </c>
      <c r="Y33" s="182">
        <v>0</v>
      </c>
      <c r="Z33" s="182">
        <v>0</v>
      </c>
      <c r="AA33" s="312">
        <v>0</v>
      </c>
      <c r="AB33" s="181">
        <f>-k.sd1RS-SUM(AB$9:AB32,AB34:AB$163)</f>
        <v>-5.412430800051033E-4</v>
      </c>
      <c r="AC33" s="176">
        <v>0</v>
      </c>
      <c r="AD33" s="306">
        <v>0</v>
      </c>
      <c r="AE33" s="182">
        <v>0</v>
      </c>
      <c r="AF33" s="182">
        <v>0</v>
      </c>
      <c r="AG33" s="182">
        <v>0</v>
      </c>
      <c r="AH33" s="182">
        <v>0</v>
      </c>
      <c r="AI33" s="182">
        <v>0</v>
      </c>
      <c r="AJ33" s="182">
        <v>0</v>
      </c>
      <c r="AK33" s="182">
        <v>0</v>
      </c>
      <c r="AL33" s="182">
        <v>0</v>
      </c>
      <c r="AM33" s="182">
        <v>0</v>
      </c>
      <c r="AN33" s="182">
        <v>0</v>
      </c>
      <c r="AO33" s="182">
        <v>0</v>
      </c>
      <c r="AP33" s="182">
        <v>0</v>
      </c>
      <c r="AQ33" s="182">
        <v>0</v>
      </c>
      <c r="AR33" s="182">
        <v>0</v>
      </c>
      <c r="AS33" s="182">
        <v>0</v>
      </c>
      <c r="AT33" s="182">
        <v>0</v>
      </c>
      <c r="AU33" s="182">
        <v>0</v>
      </c>
      <c r="AV33" s="182">
        <v>0</v>
      </c>
      <c r="AW33" s="182">
        <v>0</v>
      </c>
      <c r="AX33" s="182">
        <v>0</v>
      </c>
      <c r="AY33" s="182">
        <v>0</v>
      </c>
      <c r="AZ33" s="182">
        <v>0</v>
      </c>
      <c r="BA33" s="182">
        <v>0</v>
      </c>
      <c r="BB33" s="168">
        <v>0</v>
      </c>
      <c r="BC33" s="168">
        <v>0</v>
      </c>
      <c r="BD33" s="168">
        <v>0</v>
      </c>
      <c r="BE33" s="168">
        <v>0</v>
      </c>
      <c r="BF33" s="182">
        <v>0</v>
      </c>
      <c r="BG33" s="182">
        <v>0</v>
      </c>
      <c r="BH33" s="182">
        <v>0</v>
      </c>
      <c r="BI33" s="182">
        <v>0</v>
      </c>
      <c r="BJ33" s="182">
        <v>0</v>
      </c>
      <c r="BK33" s="182">
        <v>0</v>
      </c>
      <c r="BL33" s="182">
        <v>0</v>
      </c>
      <c r="BM33" s="182">
        <v>0</v>
      </c>
      <c r="BN33" s="182">
        <v>0</v>
      </c>
      <c r="BO33" s="182">
        <v>0</v>
      </c>
      <c r="BP33" s="182">
        <v>0</v>
      </c>
      <c r="BQ33" s="182">
        <v>0</v>
      </c>
      <c r="BR33" s="182">
        <v>0</v>
      </c>
      <c r="BS33" s="182">
        <v>0</v>
      </c>
      <c r="BT33" s="182">
        <v>0</v>
      </c>
      <c r="BU33" s="182">
        <v>0</v>
      </c>
      <c r="BV33" s="182">
        <v>0</v>
      </c>
      <c r="BW33" s="182">
        <v>0</v>
      </c>
      <c r="BX33" s="182">
        <v>0</v>
      </c>
      <c r="BY33" s="182">
        <v>0</v>
      </c>
      <c r="BZ33" s="182">
        <v>0</v>
      </c>
      <c r="CA33" s="182">
        <v>0</v>
      </c>
      <c r="CB33" s="182">
        <v>0</v>
      </c>
      <c r="CC33" s="182">
        <v>0</v>
      </c>
      <c r="CD33" s="182">
        <v>0</v>
      </c>
      <c r="CE33" s="182">
        <v>0</v>
      </c>
      <c r="CF33" s="182">
        <v>0</v>
      </c>
      <c r="CG33" s="182">
        <v>0</v>
      </c>
      <c r="CH33" s="182">
        <v>0</v>
      </c>
      <c r="CI33" s="182">
        <v>0</v>
      </c>
      <c r="CJ33" s="182">
        <v>0</v>
      </c>
      <c r="CK33" s="182">
        <v>0</v>
      </c>
      <c r="CL33" s="182">
        <v>0</v>
      </c>
      <c r="CM33" s="182">
        <v>0</v>
      </c>
      <c r="CN33" s="182">
        <v>0</v>
      </c>
      <c r="CO33" s="182">
        <v>0</v>
      </c>
      <c r="CP33" s="182">
        <v>0</v>
      </c>
      <c r="CQ33" s="182">
        <v>0</v>
      </c>
      <c r="CR33" s="182">
        <v>0</v>
      </c>
      <c r="CS33" s="182">
        <v>0</v>
      </c>
      <c r="CT33" s="182">
        <v>0</v>
      </c>
      <c r="CU33" s="182">
        <v>0</v>
      </c>
      <c r="CV33" s="182">
        <v>0</v>
      </c>
      <c r="CW33" s="182">
        <v>0</v>
      </c>
      <c r="CX33" s="182">
        <v>0</v>
      </c>
      <c r="CY33" s="182">
        <v>0</v>
      </c>
      <c r="CZ33" s="182">
        <v>0</v>
      </c>
      <c r="DA33" s="182">
        <v>0</v>
      </c>
      <c r="DB33" s="182">
        <v>0</v>
      </c>
      <c r="DC33" s="182">
        <v>0</v>
      </c>
      <c r="DD33" s="182">
        <v>0</v>
      </c>
      <c r="DE33" s="182">
        <v>0</v>
      </c>
      <c r="DF33" s="182">
        <v>0</v>
      </c>
      <c r="DG33" s="182">
        <v>0</v>
      </c>
      <c r="DH33" s="182">
        <v>0</v>
      </c>
      <c r="DI33" s="182">
        <v>0</v>
      </c>
      <c r="DJ33" s="182">
        <v>0</v>
      </c>
      <c r="DK33" s="182">
        <v>0</v>
      </c>
      <c r="DL33" s="182">
        <v>0</v>
      </c>
      <c r="DM33" s="182">
        <v>0</v>
      </c>
      <c r="DN33" s="182">
        <v>0</v>
      </c>
      <c r="DO33" s="182">
        <v>0</v>
      </c>
      <c r="DP33" s="182">
        <v>0</v>
      </c>
      <c r="DQ33" s="182">
        <v>0</v>
      </c>
      <c r="DR33" s="182">
        <v>0</v>
      </c>
      <c r="DS33" s="182">
        <v>0</v>
      </c>
      <c r="DT33" s="182">
        <v>0</v>
      </c>
      <c r="DU33" s="182">
        <v>0</v>
      </c>
      <c r="DV33" s="182">
        <v>0</v>
      </c>
      <c r="DW33" s="182">
        <v>0</v>
      </c>
      <c r="DX33" s="182">
        <v>0</v>
      </c>
      <c r="DY33" s="182">
        <v>0</v>
      </c>
      <c r="DZ33" s="182">
        <v>0</v>
      </c>
      <c r="EA33" s="182">
        <v>0</v>
      </c>
      <c r="EB33" s="182">
        <v>0</v>
      </c>
      <c r="EC33" s="182">
        <v>0</v>
      </c>
      <c r="ED33" s="182">
        <v>0</v>
      </c>
      <c r="EE33" s="182">
        <v>0</v>
      </c>
      <c r="EF33" s="182">
        <v>0</v>
      </c>
      <c r="EG33" s="182">
        <v>0</v>
      </c>
      <c r="EH33" s="182">
        <v>0</v>
      </c>
      <c r="EI33" s="182">
        <v>0</v>
      </c>
      <c r="EJ33" s="182">
        <v>0</v>
      </c>
      <c r="EK33" s="182">
        <v>0</v>
      </c>
      <c r="EL33" s="182">
        <v>0</v>
      </c>
      <c r="EM33" s="182">
        <v>0</v>
      </c>
      <c r="EN33" s="182">
        <v>0</v>
      </c>
      <c r="EO33" s="182">
        <v>0</v>
      </c>
      <c r="EP33" s="182">
        <v>0</v>
      </c>
      <c r="EQ33" s="182">
        <v>0</v>
      </c>
      <c r="ER33" s="182">
        <v>0</v>
      </c>
      <c r="ES33" s="182">
        <v>0</v>
      </c>
      <c r="ET33" s="182">
        <v>0</v>
      </c>
      <c r="EU33" s="182">
        <v>0</v>
      </c>
      <c r="EV33" s="182">
        <v>0</v>
      </c>
      <c r="EW33" s="182">
        <v>0</v>
      </c>
      <c r="EX33" s="182">
        <v>0</v>
      </c>
      <c r="EY33" s="182">
        <v>0</v>
      </c>
      <c r="EZ33" s="182">
        <v>0</v>
      </c>
      <c r="FA33" s="182">
        <v>0</v>
      </c>
      <c r="FB33" s="183">
        <v>0</v>
      </c>
      <c r="FC33" s="29"/>
      <c r="FD33" s="29"/>
    </row>
    <row r="34" spans="2:160" ht="12.75" customHeight="1" x14ac:dyDescent="0.3">
      <c r="B34" s="180" t="s">
        <v>3844</v>
      </c>
      <c r="C34" s="278"/>
      <c r="D34" s="182">
        <v>0</v>
      </c>
      <c r="E34" s="182">
        <v>0</v>
      </c>
      <c r="F34" s="182">
        <v>0</v>
      </c>
      <c r="G34" s="182">
        <v>0</v>
      </c>
      <c r="H34" s="182">
        <v>0</v>
      </c>
      <c r="I34" s="182">
        <v>0</v>
      </c>
      <c r="J34" s="182">
        <v>0</v>
      </c>
      <c r="K34" s="168">
        <v>0</v>
      </c>
      <c r="L34" s="168">
        <v>0</v>
      </c>
      <c r="M34" s="168">
        <v>0</v>
      </c>
      <c r="N34" s="168">
        <v>0</v>
      </c>
      <c r="O34" s="279">
        <v>0</v>
      </c>
      <c r="P34" s="177">
        <v>0</v>
      </c>
      <c r="Q34" s="177">
        <f>k.w1RA.sd1RA</f>
        <v>1.6364009953543896E-8</v>
      </c>
      <c r="R34" s="176">
        <v>0</v>
      </c>
      <c r="S34" s="182">
        <v>0</v>
      </c>
      <c r="T34" s="182">
        <v>0</v>
      </c>
      <c r="U34" s="182">
        <v>0</v>
      </c>
      <c r="V34" s="182">
        <v>0</v>
      </c>
      <c r="W34" s="182">
        <v>0</v>
      </c>
      <c r="X34" s="182">
        <v>0</v>
      </c>
      <c r="Y34" s="182">
        <v>0</v>
      </c>
      <c r="Z34" s="182">
        <v>0</v>
      </c>
      <c r="AA34" s="312">
        <v>0</v>
      </c>
      <c r="AB34" s="176">
        <f>k.sd1RS.sd1RA</f>
        <v>3.1607723057386811E-4</v>
      </c>
      <c r="AC34" s="181">
        <f>-k.sd1RA-SUM(AC$9:AC33,AC35:AC$163)</f>
        <v>-2.9410419161676661E-8</v>
      </c>
      <c r="AD34" s="306">
        <v>0</v>
      </c>
      <c r="AE34" s="182">
        <v>0</v>
      </c>
      <c r="AF34" s="182">
        <v>0</v>
      </c>
      <c r="AG34" s="182">
        <v>0</v>
      </c>
      <c r="AH34" s="182">
        <v>0</v>
      </c>
      <c r="AI34" s="182">
        <v>0</v>
      </c>
      <c r="AJ34" s="182">
        <v>0</v>
      </c>
      <c r="AK34" s="182">
        <v>0</v>
      </c>
      <c r="AL34" s="182">
        <v>0</v>
      </c>
      <c r="AM34" s="182">
        <v>0</v>
      </c>
      <c r="AN34" s="182">
        <v>0</v>
      </c>
      <c r="AO34" s="182">
        <v>0</v>
      </c>
      <c r="AP34" s="182">
        <v>0</v>
      </c>
      <c r="AQ34" s="182">
        <v>0</v>
      </c>
      <c r="AR34" s="182">
        <v>0</v>
      </c>
      <c r="AS34" s="182">
        <v>0</v>
      </c>
      <c r="AT34" s="182">
        <v>0</v>
      </c>
      <c r="AU34" s="182">
        <v>0</v>
      </c>
      <c r="AV34" s="182">
        <v>0</v>
      </c>
      <c r="AW34" s="182">
        <v>0</v>
      </c>
      <c r="AX34" s="182">
        <v>0</v>
      </c>
      <c r="AY34" s="182">
        <v>0</v>
      </c>
      <c r="AZ34" s="182">
        <v>0</v>
      </c>
      <c r="BA34" s="182">
        <v>0</v>
      </c>
      <c r="BB34" s="168">
        <v>0</v>
      </c>
      <c r="BC34" s="168">
        <v>0</v>
      </c>
      <c r="BD34" s="168">
        <v>0</v>
      </c>
      <c r="BE34" s="168">
        <v>0</v>
      </c>
      <c r="BF34" s="182">
        <v>0</v>
      </c>
      <c r="BG34" s="182">
        <v>0</v>
      </c>
      <c r="BH34" s="182">
        <v>0</v>
      </c>
      <c r="BI34" s="182">
        <v>0</v>
      </c>
      <c r="BJ34" s="182">
        <v>0</v>
      </c>
      <c r="BK34" s="182">
        <v>0</v>
      </c>
      <c r="BL34" s="182">
        <v>0</v>
      </c>
      <c r="BM34" s="182">
        <v>0</v>
      </c>
      <c r="BN34" s="182">
        <v>0</v>
      </c>
      <c r="BO34" s="182">
        <v>0</v>
      </c>
      <c r="BP34" s="182">
        <v>0</v>
      </c>
      <c r="BQ34" s="182">
        <v>0</v>
      </c>
      <c r="BR34" s="182">
        <v>0</v>
      </c>
      <c r="BS34" s="182">
        <v>0</v>
      </c>
      <c r="BT34" s="182">
        <v>0</v>
      </c>
      <c r="BU34" s="182">
        <v>0</v>
      </c>
      <c r="BV34" s="182">
        <v>0</v>
      </c>
      <c r="BW34" s="182">
        <v>0</v>
      </c>
      <c r="BX34" s="182">
        <v>0</v>
      </c>
      <c r="BY34" s="182">
        <v>0</v>
      </c>
      <c r="BZ34" s="182">
        <v>0</v>
      </c>
      <c r="CA34" s="182">
        <v>0</v>
      </c>
      <c r="CB34" s="182">
        <v>0</v>
      </c>
      <c r="CC34" s="182">
        <v>0</v>
      </c>
      <c r="CD34" s="182">
        <v>0</v>
      </c>
      <c r="CE34" s="182">
        <v>0</v>
      </c>
      <c r="CF34" s="182">
        <v>0</v>
      </c>
      <c r="CG34" s="182">
        <v>0</v>
      </c>
      <c r="CH34" s="182">
        <v>0</v>
      </c>
      <c r="CI34" s="182">
        <v>0</v>
      </c>
      <c r="CJ34" s="182">
        <v>0</v>
      </c>
      <c r="CK34" s="182">
        <v>0</v>
      </c>
      <c r="CL34" s="182">
        <v>0</v>
      </c>
      <c r="CM34" s="182">
        <v>0</v>
      </c>
      <c r="CN34" s="182">
        <v>0</v>
      </c>
      <c r="CO34" s="182">
        <v>0</v>
      </c>
      <c r="CP34" s="182">
        <v>0</v>
      </c>
      <c r="CQ34" s="182">
        <v>0</v>
      </c>
      <c r="CR34" s="182">
        <v>0</v>
      </c>
      <c r="CS34" s="182">
        <v>0</v>
      </c>
      <c r="CT34" s="182">
        <v>0</v>
      </c>
      <c r="CU34" s="182">
        <v>0</v>
      </c>
      <c r="CV34" s="182">
        <v>0</v>
      </c>
      <c r="CW34" s="182">
        <v>0</v>
      </c>
      <c r="CX34" s="182">
        <v>0</v>
      </c>
      <c r="CY34" s="182">
        <v>0</v>
      </c>
      <c r="CZ34" s="182">
        <v>0</v>
      </c>
      <c r="DA34" s="182">
        <v>0</v>
      </c>
      <c r="DB34" s="182">
        <v>0</v>
      </c>
      <c r="DC34" s="182">
        <v>0</v>
      </c>
      <c r="DD34" s="182">
        <v>0</v>
      </c>
      <c r="DE34" s="182">
        <v>0</v>
      </c>
      <c r="DF34" s="182">
        <v>0</v>
      </c>
      <c r="DG34" s="182">
        <v>0</v>
      </c>
      <c r="DH34" s="182">
        <v>0</v>
      </c>
      <c r="DI34" s="182">
        <v>0</v>
      </c>
      <c r="DJ34" s="182">
        <v>0</v>
      </c>
      <c r="DK34" s="182">
        <v>0</v>
      </c>
      <c r="DL34" s="182">
        <v>0</v>
      </c>
      <c r="DM34" s="182">
        <v>0</v>
      </c>
      <c r="DN34" s="182">
        <v>0</v>
      </c>
      <c r="DO34" s="182">
        <v>0</v>
      </c>
      <c r="DP34" s="182">
        <v>0</v>
      </c>
      <c r="DQ34" s="182">
        <v>0</v>
      </c>
      <c r="DR34" s="182">
        <v>0</v>
      </c>
      <c r="DS34" s="182">
        <v>0</v>
      </c>
      <c r="DT34" s="182">
        <v>0</v>
      </c>
      <c r="DU34" s="182">
        <v>0</v>
      </c>
      <c r="DV34" s="182">
        <v>0</v>
      </c>
      <c r="DW34" s="182">
        <v>0</v>
      </c>
      <c r="DX34" s="182">
        <v>0</v>
      </c>
      <c r="DY34" s="182">
        <v>0</v>
      </c>
      <c r="DZ34" s="182">
        <v>0</v>
      </c>
      <c r="EA34" s="182">
        <v>0</v>
      </c>
      <c r="EB34" s="182">
        <v>0</v>
      </c>
      <c r="EC34" s="182">
        <v>0</v>
      </c>
      <c r="ED34" s="182">
        <v>0</v>
      </c>
      <c r="EE34" s="182">
        <v>0</v>
      </c>
      <c r="EF34" s="182">
        <v>0</v>
      </c>
      <c r="EG34" s="182">
        <v>0</v>
      </c>
      <c r="EH34" s="182">
        <v>0</v>
      </c>
      <c r="EI34" s="182">
        <v>0</v>
      </c>
      <c r="EJ34" s="182">
        <v>0</v>
      </c>
      <c r="EK34" s="182">
        <v>0</v>
      </c>
      <c r="EL34" s="182">
        <v>0</v>
      </c>
      <c r="EM34" s="182">
        <v>0</v>
      </c>
      <c r="EN34" s="182">
        <v>0</v>
      </c>
      <c r="EO34" s="182">
        <v>0</v>
      </c>
      <c r="EP34" s="182">
        <v>0</v>
      </c>
      <c r="EQ34" s="182">
        <v>0</v>
      </c>
      <c r="ER34" s="182">
        <v>0</v>
      </c>
      <c r="ES34" s="182">
        <v>0</v>
      </c>
      <c r="ET34" s="182">
        <v>0</v>
      </c>
      <c r="EU34" s="182">
        <v>0</v>
      </c>
      <c r="EV34" s="182">
        <v>0</v>
      </c>
      <c r="EW34" s="182">
        <v>0</v>
      </c>
      <c r="EX34" s="182">
        <v>0</v>
      </c>
      <c r="EY34" s="182">
        <v>0</v>
      </c>
      <c r="EZ34" s="182">
        <v>0</v>
      </c>
      <c r="FA34" s="182">
        <v>0</v>
      </c>
      <c r="FB34" s="183">
        <v>0</v>
      </c>
      <c r="FC34" s="29"/>
      <c r="FD34" s="29"/>
    </row>
    <row r="35" spans="2:160" ht="12.75" customHeight="1" x14ac:dyDescent="0.3">
      <c r="B35" s="180" t="s">
        <v>3845</v>
      </c>
      <c r="C35" s="278"/>
      <c r="D35" s="182">
        <v>0</v>
      </c>
      <c r="E35" s="182">
        <v>0</v>
      </c>
      <c r="F35" s="182">
        <v>0</v>
      </c>
      <c r="G35" s="182">
        <v>0</v>
      </c>
      <c r="H35" s="182">
        <v>0</v>
      </c>
      <c r="I35" s="182">
        <v>0</v>
      </c>
      <c r="J35" s="182">
        <v>0</v>
      </c>
      <c r="K35" s="168">
        <v>0</v>
      </c>
      <c r="L35" s="168">
        <v>0</v>
      </c>
      <c r="M35" s="168">
        <v>0</v>
      </c>
      <c r="N35" s="168">
        <v>0</v>
      </c>
      <c r="O35" s="279">
        <v>0</v>
      </c>
      <c r="P35" s="177">
        <v>0</v>
      </c>
      <c r="Q35" s="177">
        <v>0</v>
      </c>
      <c r="R35" s="176">
        <f>k.w1RP.sd1RP</f>
        <v>9.803473714161289E-6</v>
      </c>
      <c r="S35" s="182">
        <v>0</v>
      </c>
      <c r="T35" s="182">
        <v>0</v>
      </c>
      <c r="U35" s="182">
        <v>0</v>
      </c>
      <c r="V35" s="182">
        <v>0</v>
      </c>
      <c r="W35" s="182">
        <v>0</v>
      </c>
      <c r="X35" s="182">
        <v>0</v>
      </c>
      <c r="Y35" s="182">
        <v>0</v>
      </c>
      <c r="Z35" s="182">
        <v>0</v>
      </c>
      <c r="AA35" s="308">
        <v>0</v>
      </c>
      <c r="AB35" s="309">
        <f>k.sd1RS.sd1RP</f>
        <v>2.2513643901207357E-4</v>
      </c>
      <c r="AC35" s="309">
        <v>0</v>
      </c>
      <c r="AD35" s="181">
        <f>-k.sd1RP-SUM(AD$9:AD34,AD36:AD$163)</f>
        <v>-2.9410419161676661E-8</v>
      </c>
      <c r="AE35" s="182">
        <v>0</v>
      </c>
      <c r="AF35" s="182">
        <v>0</v>
      </c>
      <c r="AG35" s="182">
        <v>0</v>
      </c>
      <c r="AH35" s="182">
        <v>0</v>
      </c>
      <c r="AI35" s="182">
        <v>0</v>
      </c>
      <c r="AJ35" s="182">
        <v>0</v>
      </c>
      <c r="AK35" s="182">
        <v>0</v>
      </c>
      <c r="AL35" s="182">
        <v>0</v>
      </c>
      <c r="AM35" s="182">
        <v>0</v>
      </c>
      <c r="AN35" s="182">
        <v>0</v>
      </c>
      <c r="AO35" s="182">
        <v>0</v>
      </c>
      <c r="AP35" s="182">
        <v>0</v>
      </c>
      <c r="AQ35" s="182">
        <v>0</v>
      </c>
      <c r="AR35" s="182">
        <v>0</v>
      </c>
      <c r="AS35" s="182">
        <v>0</v>
      </c>
      <c r="AT35" s="182">
        <v>0</v>
      </c>
      <c r="AU35" s="182">
        <v>0</v>
      </c>
      <c r="AV35" s="182">
        <v>0</v>
      </c>
      <c r="AW35" s="182">
        <v>0</v>
      </c>
      <c r="AX35" s="182">
        <v>0</v>
      </c>
      <c r="AY35" s="182">
        <v>0</v>
      </c>
      <c r="AZ35" s="182">
        <v>0</v>
      </c>
      <c r="BA35" s="182">
        <v>0</v>
      </c>
      <c r="BB35" s="168">
        <v>0</v>
      </c>
      <c r="BC35" s="168">
        <v>0</v>
      </c>
      <c r="BD35" s="168">
        <v>0</v>
      </c>
      <c r="BE35" s="168">
        <v>0</v>
      </c>
      <c r="BF35" s="182">
        <v>0</v>
      </c>
      <c r="BG35" s="182">
        <v>0</v>
      </c>
      <c r="BH35" s="182">
        <v>0</v>
      </c>
      <c r="BI35" s="182">
        <v>0</v>
      </c>
      <c r="BJ35" s="182">
        <v>0</v>
      </c>
      <c r="BK35" s="182">
        <v>0</v>
      </c>
      <c r="BL35" s="182">
        <v>0</v>
      </c>
      <c r="BM35" s="182">
        <v>0</v>
      </c>
      <c r="BN35" s="182">
        <v>0</v>
      </c>
      <c r="BO35" s="182">
        <v>0</v>
      </c>
      <c r="BP35" s="182">
        <v>0</v>
      </c>
      <c r="BQ35" s="182">
        <v>0</v>
      </c>
      <c r="BR35" s="182">
        <v>0</v>
      </c>
      <c r="BS35" s="182">
        <v>0</v>
      </c>
      <c r="BT35" s="182">
        <v>0</v>
      </c>
      <c r="BU35" s="182">
        <v>0</v>
      </c>
      <c r="BV35" s="182">
        <v>0</v>
      </c>
      <c r="BW35" s="182">
        <v>0</v>
      </c>
      <c r="BX35" s="182">
        <v>0</v>
      </c>
      <c r="BY35" s="182">
        <v>0</v>
      </c>
      <c r="BZ35" s="182">
        <v>0</v>
      </c>
      <c r="CA35" s="182">
        <v>0</v>
      </c>
      <c r="CB35" s="182">
        <v>0</v>
      </c>
      <c r="CC35" s="182">
        <v>0</v>
      </c>
      <c r="CD35" s="182">
        <v>0</v>
      </c>
      <c r="CE35" s="182">
        <v>0</v>
      </c>
      <c r="CF35" s="182">
        <v>0</v>
      </c>
      <c r="CG35" s="182">
        <v>0</v>
      </c>
      <c r="CH35" s="182">
        <v>0</v>
      </c>
      <c r="CI35" s="182">
        <v>0</v>
      </c>
      <c r="CJ35" s="182">
        <v>0</v>
      </c>
      <c r="CK35" s="182">
        <v>0</v>
      </c>
      <c r="CL35" s="182">
        <v>0</v>
      </c>
      <c r="CM35" s="182">
        <v>0</v>
      </c>
      <c r="CN35" s="182">
        <v>0</v>
      </c>
      <c r="CO35" s="182">
        <v>0</v>
      </c>
      <c r="CP35" s="182">
        <v>0</v>
      </c>
      <c r="CQ35" s="182">
        <v>0</v>
      </c>
      <c r="CR35" s="182">
        <v>0</v>
      </c>
      <c r="CS35" s="182">
        <v>0</v>
      </c>
      <c r="CT35" s="182">
        <v>0</v>
      </c>
      <c r="CU35" s="182">
        <v>0</v>
      </c>
      <c r="CV35" s="182">
        <v>0</v>
      </c>
      <c r="CW35" s="182">
        <v>0</v>
      </c>
      <c r="CX35" s="182">
        <v>0</v>
      </c>
      <c r="CY35" s="182">
        <v>0</v>
      </c>
      <c r="CZ35" s="182">
        <v>0</v>
      </c>
      <c r="DA35" s="182">
        <v>0</v>
      </c>
      <c r="DB35" s="182">
        <v>0</v>
      </c>
      <c r="DC35" s="182">
        <v>0</v>
      </c>
      <c r="DD35" s="182">
        <v>0</v>
      </c>
      <c r="DE35" s="182">
        <v>0</v>
      </c>
      <c r="DF35" s="182">
        <v>0</v>
      </c>
      <c r="DG35" s="182">
        <v>0</v>
      </c>
      <c r="DH35" s="182">
        <v>0</v>
      </c>
      <c r="DI35" s="182">
        <v>0</v>
      </c>
      <c r="DJ35" s="182">
        <v>0</v>
      </c>
      <c r="DK35" s="182">
        <v>0</v>
      </c>
      <c r="DL35" s="182">
        <v>0</v>
      </c>
      <c r="DM35" s="182">
        <v>0</v>
      </c>
      <c r="DN35" s="182">
        <v>0</v>
      </c>
      <c r="DO35" s="182">
        <v>0</v>
      </c>
      <c r="DP35" s="182">
        <v>0</v>
      </c>
      <c r="DQ35" s="182">
        <v>0</v>
      </c>
      <c r="DR35" s="182">
        <v>0</v>
      </c>
      <c r="DS35" s="182">
        <v>0</v>
      </c>
      <c r="DT35" s="182">
        <v>0</v>
      </c>
      <c r="DU35" s="182">
        <v>0</v>
      </c>
      <c r="DV35" s="182">
        <v>0</v>
      </c>
      <c r="DW35" s="182">
        <v>0</v>
      </c>
      <c r="DX35" s="182">
        <v>0</v>
      </c>
      <c r="DY35" s="182">
        <v>0</v>
      </c>
      <c r="DZ35" s="182">
        <v>0</v>
      </c>
      <c r="EA35" s="182">
        <v>0</v>
      </c>
      <c r="EB35" s="182">
        <v>0</v>
      </c>
      <c r="EC35" s="182">
        <v>0</v>
      </c>
      <c r="ED35" s="182">
        <v>0</v>
      </c>
      <c r="EE35" s="182">
        <v>0</v>
      </c>
      <c r="EF35" s="182">
        <v>0</v>
      </c>
      <c r="EG35" s="182">
        <v>0</v>
      </c>
      <c r="EH35" s="182">
        <v>0</v>
      </c>
      <c r="EI35" s="182">
        <v>0</v>
      </c>
      <c r="EJ35" s="182">
        <v>0</v>
      </c>
      <c r="EK35" s="182">
        <v>0</v>
      </c>
      <c r="EL35" s="182">
        <v>0</v>
      </c>
      <c r="EM35" s="182">
        <v>0</v>
      </c>
      <c r="EN35" s="182">
        <v>0</v>
      </c>
      <c r="EO35" s="182">
        <v>0</v>
      </c>
      <c r="EP35" s="182">
        <v>0</v>
      </c>
      <c r="EQ35" s="182">
        <v>0</v>
      </c>
      <c r="ER35" s="182">
        <v>0</v>
      </c>
      <c r="ES35" s="182">
        <v>0</v>
      </c>
      <c r="ET35" s="182">
        <v>0</v>
      </c>
      <c r="EU35" s="182">
        <v>0</v>
      </c>
      <c r="EV35" s="182">
        <v>0</v>
      </c>
      <c r="EW35" s="182">
        <v>0</v>
      </c>
      <c r="EX35" s="182">
        <v>0</v>
      </c>
      <c r="EY35" s="182">
        <v>0</v>
      </c>
      <c r="EZ35" s="182">
        <v>0</v>
      </c>
      <c r="FA35" s="182">
        <v>0</v>
      </c>
      <c r="FB35" s="183">
        <v>0</v>
      </c>
      <c r="FC35" s="29"/>
      <c r="FD35" s="29"/>
    </row>
    <row r="36" spans="2:160" ht="12.75" customHeight="1" x14ac:dyDescent="0.3">
      <c r="B36" s="180" t="s">
        <v>3846</v>
      </c>
      <c r="C36" s="278"/>
      <c r="D36" s="182">
        <v>0</v>
      </c>
      <c r="E36" s="182">
        <v>0</v>
      </c>
      <c r="F36" s="182">
        <v>0</v>
      </c>
      <c r="G36" s="182">
        <v>0</v>
      </c>
      <c r="H36" s="182">
        <v>0</v>
      </c>
      <c r="I36" s="182">
        <v>0</v>
      </c>
      <c r="J36" s="182">
        <v>0</v>
      </c>
      <c r="K36" s="168">
        <v>0</v>
      </c>
      <c r="L36" s="168">
        <v>0</v>
      </c>
      <c r="M36" s="168">
        <v>0</v>
      </c>
      <c r="N36" s="168">
        <v>0</v>
      </c>
      <c r="O36" s="182">
        <v>0</v>
      </c>
      <c r="P36" s="182">
        <v>0</v>
      </c>
      <c r="Q36" s="182">
        <v>0</v>
      </c>
      <c r="R36" s="182">
        <v>0</v>
      </c>
      <c r="S36" s="177">
        <f>k.w2RD.sd2RD</f>
        <v>4.5264084842868786E-9</v>
      </c>
      <c r="T36" s="177">
        <v>0</v>
      </c>
      <c r="U36" s="177">
        <v>0</v>
      </c>
      <c r="V36" s="177">
        <v>0</v>
      </c>
      <c r="W36" s="177">
        <v>0</v>
      </c>
      <c r="X36" s="177">
        <v>0</v>
      </c>
      <c r="Y36" s="177">
        <v>0</v>
      </c>
      <c r="Z36" s="177">
        <v>0</v>
      </c>
      <c r="AA36" s="182">
        <v>0</v>
      </c>
      <c r="AB36" s="182">
        <v>0</v>
      </c>
      <c r="AC36" s="182">
        <v>0</v>
      </c>
      <c r="AD36" s="182">
        <v>0</v>
      </c>
      <c r="AE36" s="310">
        <f>-k.sd2RD-SUM(AE9:AE35,AE37:AE163)</f>
        <v>-6.5222903754420502E-8</v>
      </c>
      <c r="AF36" s="311">
        <f>kdis.sd2S.sd2D</f>
        <v>0</v>
      </c>
      <c r="AG36" s="311">
        <f>kdis.sd2A.sd2D</f>
        <v>0</v>
      </c>
      <c r="AH36" s="307">
        <f>kdis.sd2P.sd2D</f>
        <v>0</v>
      </c>
      <c r="AI36" s="182">
        <v>0</v>
      </c>
      <c r="AJ36" s="182">
        <v>0</v>
      </c>
      <c r="AK36" s="182">
        <v>0</v>
      </c>
      <c r="AL36" s="182">
        <v>0</v>
      </c>
      <c r="AM36" s="182">
        <v>0</v>
      </c>
      <c r="AN36" s="182">
        <v>0</v>
      </c>
      <c r="AO36" s="182">
        <v>0</v>
      </c>
      <c r="AP36" s="182">
        <v>0</v>
      </c>
      <c r="AQ36" s="182">
        <v>0</v>
      </c>
      <c r="AR36" s="182">
        <v>0</v>
      </c>
      <c r="AS36" s="182">
        <v>0</v>
      </c>
      <c r="AT36" s="182">
        <v>0</v>
      </c>
      <c r="AU36" s="182">
        <v>0</v>
      </c>
      <c r="AV36" s="182">
        <v>0</v>
      </c>
      <c r="AW36" s="182">
        <v>0</v>
      </c>
      <c r="AX36" s="182">
        <v>0</v>
      </c>
      <c r="AY36" s="182">
        <v>0</v>
      </c>
      <c r="AZ36" s="182">
        <v>0</v>
      </c>
      <c r="BA36" s="182">
        <v>0</v>
      </c>
      <c r="BB36" s="168">
        <v>0</v>
      </c>
      <c r="BC36" s="168">
        <v>0</v>
      </c>
      <c r="BD36" s="168">
        <v>0</v>
      </c>
      <c r="BE36" s="168">
        <v>0</v>
      </c>
      <c r="BF36" s="182">
        <v>0</v>
      </c>
      <c r="BG36" s="182">
        <v>0</v>
      </c>
      <c r="BH36" s="182">
        <v>0</v>
      </c>
      <c r="BI36" s="182">
        <v>0</v>
      </c>
      <c r="BJ36" s="182">
        <v>0</v>
      </c>
      <c r="BK36" s="182">
        <v>0</v>
      </c>
      <c r="BL36" s="182">
        <v>0</v>
      </c>
      <c r="BM36" s="182">
        <v>0</v>
      </c>
      <c r="BN36" s="182">
        <v>0</v>
      </c>
      <c r="BO36" s="182">
        <v>0</v>
      </c>
      <c r="BP36" s="182">
        <v>0</v>
      </c>
      <c r="BQ36" s="182">
        <v>0</v>
      </c>
      <c r="BR36" s="182">
        <v>0</v>
      </c>
      <c r="BS36" s="182">
        <v>0</v>
      </c>
      <c r="BT36" s="182">
        <v>0</v>
      </c>
      <c r="BU36" s="182">
        <v>0</v>
      </c>
      <c r="BV36" s="182">
        <v>0</v>
      </c>
      <c r="BW36" s="182">
        <v>0</v>
      </c>
      <c r="BX36" s="182">
        <v>0</v>
      </c>
      <c r="BY36" s="182">
        <v>0</v>
      </c>
      <c r="BZ36" s="182">
        <v>0</v>
      </c>
      <c r="CA36" s="182">
        <v>0</v>
      </c>
      <c r="CB36" s="182">
        <v>0</v>
      </c>
      <c r="CC36" s="182">
        <v>0</v>
      </c>
      <c r="CD36" s="182">
        <v>0</v>
      </c>
      <c r="CE36" s="182">
        <v>0</v>
      </c>
      <c r="CF36" s="182">
        <v>0</v>
      </c>
      <c r="CG36" s="182">
        <v>0</v>
      </c>
      <c r="CH36" s="182">
        <v>0</v>
      </c>
      <c r="CI36" s="182">
        <v>0</v>
      </c>
      <c r="CJ36" s="182">
        <v>0</v>
      </c>
      <c r="CK36" s="182">
        <v>0</v>
      </c>
      <c r="CL36" s="182">
        <v>0</v>
      </c>
      <c r="CM36" s="182">
        <v>0</v>
      </c>
      <c r="CN36" s="182">
        <v>0</v>
      </c>
      <c r="CO36" s="182">
        <v>0</v>
      </c>
      <c r="CP36" s="182">
        <v>0</v>
      </c>
      <c r="CQ36" s="182">
        <v>0</v>
      </c>
      <c r="CR36" s="182">
        <v>0</v>
      </c>
      <c r="CS36" s="182">
        <v>0</v>
      </c>
      <c r="CT36" s="182">
        <v>0</v>
      </c>
      <c r="CU36" s="182">
        <v>0</v>
      </c>
      <c r="CV36" s="182">
        <v>0</v>
      </c>
      <c r="CW36" s="182">
        <v>0</v>
      </c>
      <c r="CX36" s="182">
        <v>0</v>
      </c>
      <c r="CY36" s="182">
        <v>0</v>
      </c>
      <c r="CZ36" s="182">
        <v>0</v>
      </c>
      <c r="DA36" s="182">
        <v>0</v>
      </c>
      <c r="DB36" s="182">
        <v>0</v>
      </c>
      <c r="DC36" s="182">
        <v>0</v>
      </c>
      <c r="DD36" s="182">
        <v>0</v>
      </c>
      <c r="DE36" s="182">
        <v>0</v>
      </c>
      <c r="DF36" s="182">
        <v>0</v>
      </c>
      <c r="DG36" s="182">
        <v>0</v>
      </c>
      <c r="DH36" s="182">
        <v>0</v>
      </c>
      <c r="DI36" s="182">
        <v>0</v>
      </c>
      <c r="DJ36" s="182">
        <v>0</v>
      </c>
      <c r="DK36" s="182">
        <v>0</v>
      </c>
      <c r="DL36" s="182">
        <v>0</v>
      </c>
      <c r="DM36" s="182">
        <v>0</v>
      </c>
      <c r="DN36" s="182">
        <v>0</v>
      </c>
      <c r="DO36" s="182">
        <v>0</v>
      </c>
      <c r="DP36" s="182">
        <v>0</v>
      </c>
      <c r="DQ36" s="182">
        <v>0</v>
      </c>
      <c r="DR36" s="182">
        <v>0</v>
      </c>
      <c r="DS36" s="182">
        <v>0</v>
      </c>
      <c r="DT36" s="182">
        <v>0</v>
      </c>
      <c r="DU36" s="182">
        <v>0</v>
      </c>
      <c r="DV36" s="182">
        <v>0</v>
      </c>
      <c r="DW36" s="182">
        <v>0</v>
      </c>
      <c r="DX36" s="182">
        <v>0</v>
      </c>
      <c r="DY36" s="182">
        <v>0</v>
      </c>
      <c r="DZ36" s="182">
        <v>0</v>
      </c>
      <c r="EA36" s="182">
        <v>0</v>
      </c>
      <c r="EB36" s="182">
        <v>0</v>
      </c>
      <c r="EC36" s="182">
        <v>0</v>
      </c>
      <c r="ED36" s="182">
        <v>0</v>
      </c>
      <c r="EE36" s="182">
        <v>0</v>
      </c>
      <c r="EF36" s="182">
        <v>0</v>
      </c>
      <c r="EG36" s="182">
        <v>0</v>
      </c>
      <c r="EH36" s="182">
        <v>0</v>
      </c>
      <c r="EI36" s="182">
        <v>0</v>
      </c>
      <c r="EJ36" s="182">
        <v>0</v>
      </c>
      <c r="EK36" s="182">
        <v>0</v>
      </c>
      <c r="EL36" s="182">
        <v>0</v>
      </c>
      <c r="EM36" s="182">
        <v>0</v>
      </c>
      <c r="EN36" s="182">
        <v>0</v>
      </c>
      <c r="EO36" s="182">
        <v>0</v>
      </c>
      <c r="EP36" s="182">
        <v>0</v>
      </c>
      <c r="EQ36" s="182">
        <v>0</v>
      </c>
      <c r="ER36" s="182">
        <v>0</v>
      </c>
      <c r="ES36" s="182">
        <v>0</v>
      </c>
      <c r="ET36" s="182">
        <v>0</v>
      </c>
      <c r="EU36" s="182">
        <v>0</v>
      </c>
      <c r="EV36" s="182">
        <v>0</v>
      </c>
      <c r="EW36" s="182">
        <v>0</v>
      </c>
      <c r="EX36" s="182">
        <v>0</v>
      </c>
      <c r="EY36" s="182">
        <v>0</v>
      </c>
      <c r="EZ36" s="182">
        <v>0</v>
      </c>
      <c r="FA36" s="182">
        <v>0</v>
      </c>
      <c r="FB36" s="183">
        <v>0</v>
      </c>
      <c r="FC36" s="29"/>
      <c r="FD36" s="29"/>
    </row>
    <row r="37" spans="2:160" ht="12.75" customHeight="1" x14ac:dyDescent="0.3">
      <c r="B37" s="180" t="s">
        <v>3847</v>
      </c>
      <c r="C37" s="278"/>
      <c r="D37" s="182">
        <v>0</v>
      </c>
      <c r="E37" s="182">
        <v>0</v>
      </c>
      <c r="F37" s="182">
        <v>0</v>
      </c>
      <c r="G37" s="182">
        <v>0</v>
      </c>
      <c r="H37" s="182">
        <v>0</v>
      </c>
      <c r="I37" s="182">
        <v>0</v>
      </c>
      <c r="J37" s="182">
        <v>0</v>
      </c>
      <c r="K37" s="168">
        <v>0</v>
      </c>
      <c r="L37" s="168">
        <v>0</v>
      </c>
      <c r="M37" s="168">
        <v>0</v>
      </c>
      <c r="N37" s="168">
        <v>0</v>
      </c>
      <c r="O37" s="182">
        <v>0</v>
      </c>
      <c r="P37" s="182">
        <v>0</v>
      </c>
      <c r="Q37" s="182">
        <v>0</v>
      </c>
      <c r="R37" s="182">
        <v>0</v>
      </c>
      <c r="S37" s="177">
        <v>0</v>
      </c>
      <c r="T37" s="177">
        <f>k.w2RS.sd2RS</f>
        <v>7.0316966067864291E-11</v>
      </c>
      <c r="U37" s="177">
        <v>0</v>
      </c>
      <c r="V37" s="176">
        <v>0</v>
      </c>
      <c r="W37" s="177">
        <v>0</v>
      </c>
      <c r="X37" s="177">
        <v>0</v>
      </c>
      <c r="Y37" s="177">
        <v>0</v>
      </c>
      <c r="Z37" s="177">
        <v>0</v>
      </c>
      <c r="AA37" s="182">
        <v>0</v>
      </c>
      <c r="AB37" s="182">
        <v>0</v>
      </c>
      <c r="AC37" s="182">
        <v>0</v>
      </c>
      <c r="AD37" s="182">
        <v>0</v>
      </c>
      <c r="AE37" s="312">
        <v>0</v>
      </c>
      <c r="AF37" s="181">
        <f>-k.sd2RS-SUM(AF$9:AF36,AF38:AF$163)</f>
        <v>-5.4121464993324708E-3</v>
      </c>
      <c r="AG37" s="176">
        <v>0</v>
      </c>
      <c r="AH37" s="306">
        <v>0</v>
      </c>
      <c r="AI37" s="182">
        <v>0</v>
      </c>
      <c r="AJ37" s="182">
        <v>0</v>
      </c>
      <c r="AK37" s="182">
        <v>0</v>
      </c>
      <c r="AL37" s="182">
        <v>0</v>
      </c>
      <c r="AM37" s="182">
        <v>0</v>
      </c>
      <c r="AN37" s="182">
        <v>0</v>
      </c>
      <c r="AO37" s="182">
        <v>0</v>
      </c>
      <c r="AP37" s="182">
        <v>0</v>
      </c>
      <c r="AQ37" s="182">
        <v>0</v>
      </c>
      <c r="AR37" s="182">
        <v>0</v>
      </c>
      <c r="AS37" s="182">
        <v>0</v>
      </c>
      <c r="AT37" s="182">
        <v>0</v>
      </c>
      <c r="AU37" s="182">
        <v>0</v>
      </c>
      <c r="AV37" s="182">
        <v>0</v>
      </c>
      <c r="AW37" s="182">
        <v>0</v>
      </c>
      <c r="AX37" s="182">
        <v>0</v>
      </c>
      <c r="AY37" s="182">
        <v>0</v>
      </c>
      <c r="AZ37" s="182">
        <v>0</v>
      </c>
      <c r="BA37" s="182">
        <v>0</v>
      </c>
      <c r="BB37" s="168">
        <v>0</v>
      </c>
      <c r="BC37" s="168">
        <v>0</v>
      </c>
      <c r="BD37" s="168">
        <v>0</v>
      </c>
      <c r="BE37" s="168">
        <v>0</v>
      </c>
      <c r="BF37" s="182">
        <v>0</v>
      </c>
      <c r="BG37" s="182">
        <v>0</v>
      </c>
      <c r="BH37" s="182">
        <v>0</v>
      </c>
      <c r="BI37" s="182">
        <v>0</v>
      </c>
      <c r="BJ37" s="182">
        <v>0</v>
      </c>
      <c r="BK37" s="182">
        <v>0</v>
      </c>
      <c r="BL37" s="182">
        <v>0</v>
      </c>
      <c r="BM37" s="182">
        <v>0</v>
      </c>
      <c r="BN37" s="182">
        <v>0</v>
      </c>
      <c r="BO37" s="182">
        <v>0</v>
      </c>
      <c r="BP37" s="182">
        <v>0</v>
      </c>
      <c r="BQ37" s="182">
        <v>0</v>
      </c>
      <c r="BR37" s="182">
        <v>0</v>
      </c>
      <c r="BS37" s="182">
        <v>0</v>
      </c>
      <c r="BT37" s="182">
        <v>0</v>
      </c>
      <c r="BU37" s="182">
        <v>0</v>
      </c>
      <c r="BV37" s="182">
        <v>0</v>
      </c>
      <c r="BW37" s="182">
        <v>0</v>
      </c>
      <c r="BX37" s="182">
        <v>0</v>
      </c>
      <c r="BY37" s="182">
        <v>0</v>
      </c>
      <c r="BZ37" s="182">
        <v>0</v>
      </c>
      <c r="CA37" s="182">
        <v>0</v>
      </c>
      <c r="CB37" s="182">
        <v>0</v>
      </c>
      <c r="CC37" s="182">
        <v>0</v>
      </c>
      <c r="CD37" s="182">
        <v>0</v>
      </c>
      <c r="CE37" s="182">
        <v>0</v>
      </c>
      <c r="CF37" s="182">
        <v>0</v>
      </c>
      <c r="CG37" s="182">
        <v>0</v>
      </c>
      <c r="CH37" s="182">
        <v>0</v>
      </c>
      <c r="CI37" s="182">
        <v>0</v>
      </c>
      <c r="CJ37" s="182">
        <v>0</v>
      </c>
      <c r="CK37" s="182">
        <v>0</v>
      </c>
      <c r="CL37" s="182">
        <v>0</v>
      </c>
      <c r="CM37" s="182">
        <v>0</v>
      </c>
      <c r="CN37" s="182">
        <v>0</v>
      </c>
      <c r="CO37" s="182">
        <v>0</v>
      </c>
      <c r="CP37" s="182">
        <v>0</v>
      </c>
      <c r="CQ37" s="182">
        <v>0</v>
      </c>
      <c r="CR37" s="182">
        <v>0</v>
      </c>
      <c r="CS37" s="182">
        <v>0</v>
      </c>
      <c r="CT37" s="182">
        <v>0</v>
      </c>
      <c r="CU37" s="182">
        <v>0</v>
      </c>
      <c r="CV37" s="182">
        <v>0</v>
      </c>
      <c r="CW37" s="182">
        <v>0</v>
      </c>
      <c r="CX37" s="182">
        <v>0</v>
      </c>
      <c r="CY37" s="182">
        <v>0</v>
      </c>
      <c r="CZ37" s="182">
        <v>0</v>
      </c>
      <c r="DA37" s="182">
        <v>0</v>
      </c>
      <c r="DB37" s="182">
        <v>0</v>
      </c>
      <c r="DC37" s="182">
        <v>0</v>
      </c>
      <c r="DD37" s="182">
        <v>0</v>
      </c>
      <c r="DE37" s="182">
        <v>0</v>
      </c>
      <c r="DF37" s="182">
        <v>0</v>
      </c>
      <c r="DG37" s="182">
        <v>0</v>
      </c>
      <c r="DH37" s="182">
        <v>0</v>
      </c>
      <c r="DI37" s="182">
        <v>0</v>
      </c>
      <c r="DJ37" s="182">
        <v>0</v>
      </c>
      <c r="DK37" s="182">
        <v>0</v>
      </c>
      <c r="DL37" s="182">
        <v>0</v>
      </c>
      <c r="DM37" s="182">
        <v>0</v>
      </c>
      <c r="DN37" s="182">
        <v>0</v>
      </c>
      <c r="DO37" s="182">
        <v>0</v>
      </c>
      <c r="DP37" s="182">
        <v>0</v>
      </c>
      <c r="DQ37" s="182">
        <v>0</v>
      </c>
      <c r="DR37" s="182">
        <v>0</v>
      </c>
      <c r="DS37" s="182">
        <v>0</v>
      </c>
      <c r="DT37" s="182">
        <v>0</v>
      </c>
      <c r="DU37" s="182">
        <v>0</v>
      </c>
      <c r="DV37" s="182">
        <v>0</v>
      </c>
      <c r="DW37" s="182">
        <v>0</v>
      </c>
      <c r="DX37" s="182">
        <v>0</v>
      </c>
      <c r="DY37" s="182">
        <v>0</v>
      </c>
      <c r="DZ37" s="182">
        <v>0</v>
      </c>
      <c r="EA37" s="182">
        <v>0</v>
      </c>
      <c r="EB37" s="182">
        <v>0</v>
      </c>
      <c r="EC37" s="182">
        <v>0</v>
      </c>
      <c r="ED37" s="182">
        <v>0</v>
      </c>
      <c r="EE37" s="182">
        <v>0</v>
      </c>
      <c r="EF37" s="182">
        <v>0</v>
      </c>
      <c r="EG37" s="182">
        <v>0</v>
      </c>
      <c r="EH37" s="182">
        <v>0</v>
      </c>
      <c r="EI37" s="182">
        <v>0</v>
      </c>
      <c r="EJ37" s="182">
        <v>0</v>
      </c>
      <c r="EK37" s="182">
        <v>0</v>
      </c>
      <c r="EL37" s="182">
        <v>0</v>
      </c>
      <c r="EM37" s="182">
        <v>0</v>
      </c>
      <c r="EN37" s="182">
        <v>0</v>
      </c>
      <c r="EO37" s="182">
        <v>0</v>
      </c>
      <c r="EP37" s="182">
        <v>0</v>
      </c>
      <c r="EQ37" s="182">
        <v>0</v>
      </c>
      <c r="ER37" s="182">
        <v>0</v>
      </c>
      <c r="ES37" s="182">
        <v>0</v>
      </c>
      <c r="ET37" s="182">
        <v>0</v>
      </c>
      <c r="EU37" s="182">
        <v>0</v>
      </c>
      <c r="EV37" s="182">
        <v>0</v>
      </c>
      <c r="EW37" s="182">
        <v>0</v>
      </c>
      <c r="EX37" s="182">
        <v>0</v>
      </c>
      <c r="EY37" s="182">
        <v>0</v>
      </c>
      <c r="EZ37" s="182">
        <v>0</v>
      </c>
      <c r="FA37" s="182">
        <v>0</v>
      </c>
      <c r="FB37" s="183">
        <v>0</v>
      </c>
      <c r="FC37" s="29"/>
      <c r="FD37" s="29"/>
    </row>
    <row r="38" spans="2:160" ht="12.75" customHeight="1" x14ac:dyDescent="0.3">
      <c r="B38" s="180" t="s">
        <v>3848</v>
      </c>
      <c r="C38" s="278"/>
      <c r="D38" s="182">
        <v>0</v>
      </c>
      <c r="E38" s="182">
        <v>0</v>
      </c>
      <c r="F38" s="182">
        <v>0</v>
      </c>
      <c r="G38" s="182">
        <v>0</v>
      </c>
      <c r="H38" s="182">
        <v>0</v>
      </c>
      <c r="I38" s="182">
        <v>0</v>
      </c>
      <c r="J38" s="182">
        <v>0</v>
      </c>
      <c r="K38" s="168">
        <v>0</v>
      </c>
      <c r="L38" s="168">
        <v>0</v>
      </c>
      <c r="M38" s="168">
        <v>0</v>
      </c>
      <c r="N38" s="168">
        <v>0</v>
      </c>
      <c r="O38" s="182">
        <v>0</v>
      </c>
      <c r="P38" s="182">
        <v>0</v>
      </c>
      <c r="Q38" s="182">
        <v>0</v>
      </c>
      <c r="R38" s="182">
        <v>0</v>
      </c>
      <c r="S38" s="177">
        <v>0</v>
      </c>
      <c r="T38" s="177">
        <v>0</v>
      </c>
      <c r="U38" s="177">
        <f>k.w2RA.sd2RA</f>
        <v>4.9092029860631694E-9</v>
      </c>
      <c r="V38" s="176">
        <v>0</v>
      </c>
      <c r="W38" s="177">
        <v>0</v>
      </c>
      <c r="X38" s="177">
        <v>0</v>
      </c>
      <c r="Y38" s="177">
        <v>0</v>
      </c>
      <c r="Z38" s="177">
        <v>0</v>
      </c>
      <c r="AA38" s="182">
        <v>0</v>
      </c>
      <c r="AB38" s="182">
        <v>0</v>
      </c>
      <c r="AC38" s="182">
        <v>0</v>
      </c>
      <c r="AD38" s="182">
        <v>0</v>
      </c>
      <c r="AE38" s="312">
        <v>0</v>
      </c>
      <c r="AF38" s="176">
        <f>k.sd2RS.sd2RA</f>
        <v>3.1607723057386805E-3</v>
      </c>
      <c r="AG38" s="181">
        <f>-k.sd2RA-SUM(AG$9:AG37,AG39:AG$163)</f>
        <v>-9.8034730538922202E-9</v>
      </c>
      <c r="AH38" s="306">
        <v>0</v>
      </c>
      <c r="AI38" s="182">
        <v>0</v>
      </c>
      <c r="AJ38" s="182">
        <v>0</v>
      </c>
      <c r="AK38" s="182">
        <v>0</v>
      </c>
      <c r="AL38" s="182">
        <v>0</v>
      </c>
      <c r="AM38" s="182">
        <v>0</v>
      </c>
      <c r="AN38" s="182">
        <v>0</v>
      </c>
      <c r="AO38" s="182">
        <v>0</v>
      </c>
      <c r="AP38" s="182">
        <v>0</v>
      </c>
      <c r="AQ38" s="182">
        <v>0</v>
      </c>
      <c r="AR38" s="182">
        <v>0</v>
      </c>
      <c r="AS38" s="182">
        <v>0</v>
      </c>
      <c r="AT38" s="182">
        <v>0</v>
      </c>
      <c r="AU38" s="182">
        <v>0</v>
      </c>
      <c r="AV38" s="182">
        <v>0</v>
      </c>
      <c r="AW38" s="182">
        <v>0</v>
      </c>
      <c r="AX38" s="182">
        <v>0</v>
      </c>
      <c r="AY38" s="182">
        <v>0</v>
      </c>
      <c r="AZ38" s="182">
        <v>0</v>
      </c>
      <c r="BA38" s="182">
        <v>0</v>
      </c>
      <c r="BB38" s="168">
        <v>0</v>
      </c>
      <c r="BC38" s="168">
        <v>0</v>
      </c>
      <c r="BD38" s="168">
        <v>0</v>
      </c>
      <c r="BE38" s="168">
        <v>0</v>
      </c>
      <c r="BF38" s="182">
        <v>0</v>
      </c>
      <c r="BG38" s="182">
        <v>0</v>
      </c>
      <c r="BH38" s="182">
        <v>0</v>
      </c>
      <c r="BI38" s="182">
        <v>0</v>
      </c>
      <c r="BJ38" s="182">
        <v>0</v>
      </c>
      <c r="BK38" s="182">
        <v>0</v>
      </c>
      <c r="BL38" s="182">
        <v>0</v>
      </c>
      <c r="BM38" s="182">
        <v>0</v>
      </c>
      <c r="BN38" s="182">
        <v>0</v>
      </c>
      <c r="BO38" s="182">
        <v>0</v>
      </c>
      <c r="BP38" s="182">
        <v>0</v>
      </c>
      <c r="BQ38" s="182">
        <v>0</v>
      </c>
      <c r="BR38" s="182">
        <v>0</v>
      </c>
      <c r="BS38" s="182">
        <v>0</v>
      </c>
      <c r="BT38" s="182">
        <v>0</v>
      </c>
      <c r="BU38" s="182">
        <v>0</v>
      </c>
      <c r="BV38" s="182">
        <v>0</v>
      </c>
      <c r="BW38" s="182">
        <v>0</v>
      </c>
      <c r="BX38" s="182">
        <v>0</v>
      </c>
      <c r="BY38" s="182">
        <v>0</v>
      </c>
      <c r="BZ38" s="182">
        <v>0</v>
      </c>
      <c r="CA38" s="182">
        <v>0</v>
      </c>
      <c r="CB38" s="182">
        <v>0</v>
      </c>
      <c r="CC38" s="182">
        <v>0</v>
      </c>
      <c r="CD38" s="182">
        <v>0</v>
      </c>
      <c r="CE38" s="182">
        <v>0</v>
      </c>
      <c r="CF38" s="182">
        <v>0</v>
      </c>
      <c r="CG38" s="182">
        <v>0</v>
      </c>
      <c r="CH38" s="182">
        <v>0</v>
      </c>
      <c r="CI38" s="182">
        <v>0</v>
      </c>
      <c r="CJ38" s="182">
        <v>0</v>
      </c>
      <c r="CK38" s="182">
        <v>0</v>
      </c>
      <c r="CL38" s="182">
        <v>0</v>
      </c>
      <c r="CM38" s="182">
        <v>0</v>
      </c>
      <c r="CN38" s="182">
        <v>0</v>
      </c>
      <c r="CO38" s="182">
        <v>0</v>
      </c>
      <c r="CP38" s="182">
        <v>0</v>
      </c>
      <c r="CQ38" s="182">
        <v>0</v>
      </c>
      <c r="CR38" s="182">
        <v>0</v>
      </c>
      <c r="CS38" s="182">
        <v>0</v>
      </c>
      <c r="CT38" s="182">
        <v>0</v>
      </c>
      <c r="CU38" s="182">
        <v>0</v>
      </c>
      <c r="CV38" s="182">
        <v>0</v>
      </c>
      <c r="CW38" s="182">
        <v>0</v>
      </c>
      <c r="CX38" s="182">
        <v>0</v>
      </c>
      <c r="CY38" s="182">
        <v>0</v>
      </c>
      <c r="CZ38" s="182">
        <v>0</v>
      </c>
      <c r="DA38" s="182">
        <v>0</v>
      </c>
      <c r="DB38" s="182">
        <v>0</v>
      </c>
      <c r="DC38" s="182">
        <v>0</v>
      </c>
      <c r="DD38" s="182">
        <v>0</v>
      </c>
      <c r="DE38" s="182">
        <v>0</v>
      </c>
      <c r="DF38" s="182">
        <v>0</v>
      </c>
      <c r="DG38" s="182">
        <v>0</v>
      </c>
      <c r="DH38" s="182">
        <v>0</v>
      </c>
      <c r="DI38" s="182">
        <v>0</v>
      </c>
      <c r="DJ38" s="182">
        <v>0</v>
      </c>
      <c r="DK38" s="182">
        <v>0</v>
      </c>
      <c r="DL38" s="182">
        <v>0</v>
      </c>
      <c r="DM38" s="182">
        <v>0</v>
      </c>
      <c r="DN38" s="182">
        <v>0</v>
      </c>
      <c r="DO38" s="182">
        <v>0</v>
      </c>
      <c r="DP38" s="182">
        <v>0</v>
      </c>
      <c r="DQ38" s="182">
        <v>0</v>
      </c>
      <c r="DR38" s="182">
        <v>0</v>
      </c>
      <c r="DS38" s="182">
        <v>0</v>
      </c>
      <c r="DT38" s="182">
        <v>0</v>
      </c>
      <c r="DU38" s="182">
        <v>0</v>
      </c>
      <c r="DV38" s="182">
        <v>0</v>
      </c>
      <c r="DW38" s="182">
        <v>0</v>
      </c>
      <c r="DX38" s="182">
        <v>0</v>
      </c>
      <c r="DY38" s="182">
        <v>0</v>
      </c>
      <c r="DZ38" s="182">
        <v>0</v>
      </c>
      <c r="EA38" s="182">
        <v>0</v>
      </c>
      <c r="EB38" s="182">
        <v>0</v>
      </c>
      <c r="EC38" s="182">
        <v>0</v>
      </c>
      <c r="ED38" s="182">
        <v>0</v>
      </c>
      <c r="EE38" s="182">
        <v>0</v>
      </c>
      <c r="EF38" s="182">
        <v>0</v>
      </c>
      <c r="EG38" s="182">
        <v>0</v>
      </c>
      <c r="EH38" s="182">
        <v>0</v>
      </c>
      <c r="EI38" s="182">
        <v>0</v>
      </c>
      <c r="EJ38" s="182">
        <v>0</v>
      </c>
      <c r="EK38" s="182">
        <v>0</v>
      </c>
      <c r="EL38" s="182">
        <v>0</v>
      </c>
      <c r="EM38" s="182">
        <v>0</v>
      </c>
      <c r="EN38" s="182">
        <v>0</v>
      </c>
      <c r="EO38" s="182">
        <v>0</v>
      </c>
      <c r="EP38" s="182">
        <v>0</v>
      </c>
      <c r="EQ38" s="182">
        <v>0</v>
      </c>
      <c r="ER38" s="182">
        <v>0</v>
      </c>
      <c r="ES38" s="182">
        <v>0</v>
      </c>
      <c r="ET38" s="182">
        <v>0</v>
      </c>
      <c r="EU38" s="182">
        <v>0</v>
      </c>
      <c r="EV38" s="182">
        <v>0</v>
      </c>
      <c r="EW38" s="182">
        <v>0</v>
      </c>
      <c r="EX38" s="182">
        <v>0</v>
      </c>
      <c r="EY38" s="182">
        <v>0</v>
      </c>
      <c r="EZ38" s="182">
        <v>0</v>
      </c>
      <c r="FA38" s="182">
        <v>0</v>
      </c>
      <c r="FB38" s="183">
        <v>0</v>
      </c>
      <c r="FC38" s="29"/>
      <c r="FD38" s="29"/>
    </row>
    <row r="39" spans="2:160" ht="12.75" customHeight="1" x14ac:dyDescent="0.3">
      <c r="B39" s="180" t="s">
        <v>3849</v>
      </c>
      <c r="C39" s="278"/>
      <c r="D39" s="182">
        <v>0</v>
      </c>
      <c r="E39" s="182">
        <v>0</v>
      </c>
      <c r="F39" s="182">
        <v>0</v>
      </c>
      <c r="G39" s="182">
        <v>0</v>
      </c>
      <c r="H39" s="182">
        <v>0</v>
      </c>
      <c r="I39" s="182">
        <v>0</v>
      </c>
      <c r="J39" s="182">
        <v>0</v>
      </c>
      <c r="K39" s="168">
        <v>0</v>
      </c>
      <c r="L39" s="168">
        <v>0</v>
      </c>
      <c r="M39" s="168">
        <v>0</v>
      </c>
      <c r="N39" s="168">
        <v>0</v>
      </c>
      <c r="O39" s="182">
        <v>0</v>
      </c>
      <c r="P39" s="182">
        <v>0</v>
      </c>
      <c r="Q39" s="182">
        <v>0</v>
      </c>
      <c r="R39" s="182">
        <v>0</v>
      </c>
      <c r="S39" s="177">
        <v>0</v>
      </c>
      <c r="T39" s="177">
        <v>0</v>
      </c>
      <c r="U39" s="177">
        <v>0</v>
      </c>
      <c r="V39" s="176">
        <f>k.w2RP.sd2RP</f>
        <v>2.9410421142483869E-6</v>
      </c>
      <c r="W39" s="177">
        <v>0</v>
      </c>
      <c r="X39" s="177">
        <v>0</v>
      </c>
      <c r="Y39" s="177">
        <v>0</v>
      </c>
      <c r="Z39" s="177">
        <v>0</v>
      </c>
      <c r="AA39" s="182">
        <v>0</v>
      </c>
      <c r="AB39" s="182">
        <v>0</v>
      </c>
      <c r="AC39" s="182">
        <v>0</v>
      </c>
      <c r="AD39" s="182">
        <v>0</v>
      </c>
      <c r="AE39" s="308">
        <v>0</v>
      </c>
      <c r="AF39" s="309">
        <f>k.sd2RS.sd2RP</f>
        <v>2.2513643901207357E-3</v>
      </c>
      <c r="AG39" s="309">
        <v>0</v>
      </c>
      <c r="AH39" s="181">
        <f>-k.sd2RP-SUM(AH$9:AH38,AH40:AH$163)</f>
        <v>-9.8034730538922202E-9</v>
      </c>
      <c r="AI39" s="182">
        <v>0</v>
      </c>
      <c r="AJ39" s="182">
        <v>0</v>
      </c>
      <c r="AK39" s="182">
        <v>0</v>
      </c>
      <c r="AL39" s="182">
        <v>0</v>
      </c>
      <c r="AM39" s="182">
        <v>0</v>
      </c>
      <c r="AN39" s="182">
        <v>0</v>
      </c>
      <c r="AO39" s="182">
        <v>0</v>
      </c>
      <c r="AP39" s="182">
        <v>0</v>
      </c>
      <c r="AQ39" s="182">
        <v>0</v>
      </c>
      <c r="AR39" s="182">
        <v>0</v>
      </c>
      <c r="AS39" s="182">
        <v>0</v>
      </c>
      <c r="AT39" s="182">
        <v>0</v>
      </c>
      <c r="AU39" s="182">
        <v>0</v>
      </c>
      <c r="AV39" s="182">
        <v>0</v>
      </c>
      <c r="AW39" s="182">
        <v>0</v>
      </c>
      <c r="AX39" s="182">
        <v>0</v>
      </c>
      <c r="AY39" s="182">
        <v>0</v>
      </c>
      <c r="AZ39" s="182">
        <v>0</v>
      </c>
      <c r="BA39" s="182">
        <v>0</v>
      </c>
      <c r="BB39" s="168">
        <v>0</v>
      </c>
      <c r="BC39" s="168">
        <v>0</v>
      </c>
      <c r="BD39" s="168">
        <v>0</v>
      </c>
      <c r="BE39" s="168">
        <v>0</v>
      </c>
      <c r="BF39" s="182">
        <v>0</v>
      </c>
      <c r="BG39" s="182">
        <v>0</v>
      </c>
      <c r="BH39" s="182">
        <v>0</v>
      </c>
      <c r="BI39" s="182">
        <v>0</v>
      </c>
      <c r="BJ39" s="182">
        <v>0</v>
      </c>
      <c r="BK39" s="182">
        <v>0</v>
      </c>
      <c r="BL39" s="182">
        <v>0</v>
      </c>
      <c r="BM39" s="182">
        <v>0</v>
      </c>
      <c r="BN39" s="182">
        <v>0</v>
      </c>
      <c r="BO39" s="182">
        <v>0</v>
      </c>
      <c r="BP39" s="182">
        <v>0</v>
      </c>
      <c r="BQ39" s="182">
        <v>0</v>
      </c>
      <c r="BR39" s="182">
        <v>0</v>
      </c>
      <c r="BS39" s="182">
        <v>0</v>
      </c>
      <c r="BT39" s="182">
        <v>0</v>
      </c>
      <c r="BU39" s="182">
        <v>0</v>
      </c>
      <c r="BV39" s="182">
        <v>0</v>
      </c>
      <c r="BW39" s="182">
        <v>0</v>
      </c>
      <c r="BX39" s="182">
        <v>0</v>
      </c>
      <c r="BY39" s="182">
        <v>0</v>
      </c>
      <c r="BZ39" s="182">
        <v>0</v>
      </c>
      <c r="CA39" s="182">
        <v>0</v>
      </c>
      <c r="CB39" s="182">
        <v>0</v>
      </c>
      <c r="CC39" s="182">
        <v>0</v>
      </c>
      <c r="CD39" s="182">
        <v>0</v>
      </c>
      <c r="CE39" s="182">
        <v>0</v>
      </c>
      <c r="CF39" s="182">
        <v>0</v>
      </c>
      <c r="CG39" s="182">
        <v>0</v>
      </c>
      <c r="CH39" s="182">
        <v>0</v>
      </c>
      <c r="CI39" s="182">
        <v>0</v>
      </c>
      <c r="CJ39" s="182">
        <v>0</v>
      </c>
      <c r="CK39" s="182">
        <v>0</v>
      </c>
      <c r="CL39" s="182">
        <v>0</v>
      </c>
      <c r="CM39" s="182">
        <v>0</v>
      </c>
      <c r="CN39" s="182">
        <v>0</v>
      </c>
      <c r="CO39" s="182">
        <v>0</v>
      </c>
      <c r="CP39" s="182">
        <v>0</v>
      </c>
      <c r="CQ39" s="182">
        <v>0</v>
      </c>
      <c r="CR39" s="182">
        <v>0</v>
      </c>
      <c r="CS39" s="182">
        <v>0</v>
      </c>
      <c r="CT39" s="182">
        <v>0</v>
      </c>
      <c r="CU39" s="182">
        <v>0</v>
      </c>
      <c r="CV39" s="182">
        <v>0</v>
      </c>
      <c r="CW39" s="182">
        <v>0</v>
      </c>
      <c r="CX39" s="182">
        <v>0</v>
      </c>
      <c r="CY39" s="182">
        <v>0</v>
      </c>
      <c r="CZ39" s="182">
        <v>0</v>
      </c>
      <c r="DA39" s="182">
        <v>0</v>
      </c>
      <c r="DB39" s="182">
        <v>0</v>
      </c>
      <c r="DC39" s="182">
        <v>0</v>
      </c>
      <c r="DD39" s="182">
        <v>0</v>
      </c>
      <c r="DE39" s="182">
        <v>0</v>
      </c>
      <c r="DF39" s="182">
        <v>0</v>
      </c>
      <c r="DG39" s="182">
        <v>0</v>
      </c>
      <c r="DH39" s="182">
        <v>0</v>
      </c>
      <c r="DI39" s="182">
        <v>0</v>
      </c>
      <c r="DJ39" s="182">
        <v>0</v>
      </c>
      <c r="DK39" s="182">
        <v>0</v>
      </c>
      <c r="DL39" s="182">
        <v>0</v>
      </c>
      <c r="DM39" s="182">
        <v>0</v>
      </c>
      <c r="DN39" s="182">
        <v>0</v>
      </c>
      <c r="DO39" s="182">
        <v>0</v>
      </c>
      <c r="DP39" s="182">
        <v>0</v>
      </c>
      <c r="DQ39" s="182">
        <v>0</v>
      </c>
      <c r="DR39" s="182">
        <v>0</v>
      </c>
      <c r="DS39" s="182">
        <v>0</v>
      </c>
      <c r="DT39" s="182">
        <v>0</v>
      </c>
      <c r="DU39" s="182">
        <v>0</v>
      </c>
      <c r="DV39" s="182">
        <v>0</v>
      </c>
      <c r="DW39" s="182">
        <v>0</v>
      </c>
      <c r="DX39" s="182">
        <v>0</v>
      </c>
      <c r="DY39" s="182">
        <v>0</v>
      </c>
      <c r="DZ39" s="182">
        <v>0</v>
      </c>
      <c r="EA39" s="182">
        <v>0</v>
      </c>
      <c r="EB39" s="182">
        <v>0</v>
      </c>
      <c r="EC39" s="182">
        <v>0</v>
      </c>
      <c r="ED39" s="182">
        <v>0</v>
      </c>
      <c r="EE39" s="182">
        <v>0</v>
      </c>
      <c r="EF39" s="182">
        <v>0</v>
      </c>
      <c r="EG39" s="182">
        <v>0</v>
      </c>
      <c r="EH39" s="182">
        <v>0</v>
      </c>
      <c r="EI39" s="182">
        <v>0</v>
      </c>
      <c r="EJ39" s="182">
        <v>0</v>
      </c>
      <c r="EK39" s="182">
        <v>0</v>
      </c>
      <c r="EL39" s="182">
        <v>0</v>
      </c>
      <c r="EM39" s="182">
        <v>0</v>
      </c>
      <c r="EN39" s="182">
        <v>0</v>
      </c>
      <c r="EO39" s="182">
        <v>0</v>
      </c>
      <c r="EP39" s="182">
        <v>0</v>
      </c>
      <c r="EQ39" s="182">
        <v>0</v>
      </c>
      <c r="ER39" s="182">
        <v>0</v>
      </c>
      <c r="ES39" s="182">
        <v>0</v>
      </c>
      <c r="ET39" s="182">
        <v>0</v>
      </c>
      <c r="EU39" s="182">
        <v>0</v>
      </c>
      <c r="EV39" s="182">
        <v>0</v>
      </c>
      <c r="EW39" s="182">
        <v>0</v>
      </c>
      <c r="EX39" s="182">
        <v>0</v>
      </c>
      <c r="EY39" s="182">
        <v>0</v>
      </c>
      <c r="EZ39" s="182">
        <v>0</v>
      </c>
      <c r="FA39" s="182">
        <v>0</v>
      </c>
      <c r="FB39" s="183">
        <v>0</v>
      </c>
      <c r="FC39" s="29"/>
      <c r="FD39" s="29"/>
    </row>
    <row r="40" spans="2:160" ht="12.75" customHeight="1" x14ac:dyDescent="0.3">
      <c r="B40" s="180" t="s">
        <v>3850</v>
      </c>
      <c r="C40" s="278"/>
      <c r="D40" s="177">
        <f>k.aRG.s1RD</f>
        <v>3.691053427152108E-10</v>
      </c>
      <c r="E40" s="177">
        <v>0</v>
      </c>
      <c r="F40" s="177">
        <v>0</v>
      </c>
      <c r="G40" s="176">
        <v>0</v>
      </c>
      <c r="H40" s="177">
        <v>0</v>
      </c>
      <c r="I40" s="177">
        <v>0</v>
      </c>
      <c r="J40" s="177">
        <v>0</v>
      </c>
      <c r="K40" s="168">
        <v>0</v>
      </c>
      <c r="L40" s="168">
        <v>0</v>
      </c>
      <c r="M40" s="168">
        <v>0</v>
      </c>
      <c r="N40" s="168">
        <v>0</v>
      </c>
      <c r="O40" s="182">
        <v>0</v>
      </c>
      <c r="P40" s="182">
        <v>0</v>
      </c>
      <c r="Q40" s="182">
        <v>0</v>
      </c>
      <c r="R40" s="182">
        <v>0</v>
      </c>
      <c r="S40" s="182">
        <v>0</v>
      </c>
      <c r="T40" s="182">
        <v>0</v>
      </c>
      <c r="U40" s="182">
        <v>0</v>
      </c>
      <c r="V40" s="182">
        <v>0</v>
      </c>
      <c r="W40" s="182">
        <v>0</v>
      </c>
      <c r="X40" s="182">
        <v>0</v>
      </c>
      <c r="Y40" s="182">
        <v>0</v>
      </c>
      <c r="Z40" s="182">
        <v>0</v>
      </c>
      <c r="AA40" s="182">
        <v>0</v>
      </c>
      <c r="AB40" s="182">
        <v>0</v>
      </c>
      <c r="AC40" s="182">
        <v>0</v>
      </c>
      <c r="AD40" s="182">
        <v>0</v>
      </c>
      <c r="AE40" s="182">
        <v>0</v>
      </c>
      <c r="AF40" s="182">
        <v>0</v>
      </c>
      <c r="AG40" s="182">
        <v>0</v>
      </c>
      <c r="AH40" s="182">
        <v>0</v>
      </c>
      <c r="AI40" s="310">
        <f>-k.s1RD-SUM(AI9:AI39,AI41:AI163)</f>
        <v>-1.5989553967171847E-7</v>
      </c>
      <c r="AJ40" s="311">
        <f>kdis.s1S.s1D</f>
        <v>0</v>
      </c>
      <c r="AK40" s="311">
        <f>kdis.s1A.s1D</f>
        <v>0</v>
      </c>
      <c r="AL40" s="307">
        <f>kdis.s1P.s1D</f>
        <v>0</v>
      </c>
      <c r="AM40" s="182">
        <v>0</v>
      </c>
      <c r="AN40" s="182">
        <v>0</v>
      </c>
      <c r="AO40" s="182">
        <v>0</v>
      </c>
      <c r="AP40" s="182">
        <v>0</v>
      </c>
      <c r="AQ40" s="182">
        <v>0</v>
      </c>
      <c r="AR40" s="182">
        <v>0</v>
      </c>
      <c r="AS40" s="182">
        <v>0</v>
      </c>
      <c r="AT40" s="182">
        <v>0</v>
      </c>
      <c r="AU40" s="182">
        <v>0</v>
      </c>
      <c r="AV40" s="182">
        <v>0</v>
      </c>
      <c r="AW40" s="182">
        <v>0</v>
      </c>
      <c r="AX40" s="182">
        <v>0</v>
      </c>
      <c r="AY40" s="182">
        <v>0</v>
      </c>
      <c r="AZ40" s="182">
        <v>0</v>
      </c>
      <c r="BA40" s="182">
        <v>0</v>
      </c>
      <c r="BB40" s="168">
        <v>0</v>
      </c>
      <c r="BC40" s="168">
        <v>0</v>
      </c>
      <c r="BD40" s="168">
        <v>0</v>
      </c>
      <c r="BE40" s="168">
        <v>0</v>
      </c>
      <c r="BF40" s="182">
        <v>0</v>
      </c>
      <c r="BG40" s="182">
        <v>0</v>
      </c>
      <c r="BH40" s="182">
        <v>0</v>
      </c>
      <c r="BI40" s="182">
        <v>0</v>
      </c>
      <c r="BJ40" s="182">
        <v>0</v>
      </c>
      <c r="BK40" s="182">
        <v>0</v>
      </c>
      <c r="BL40" s="182">
        <v>0</v>
      </c>
      <c r="BM40" s="182">
        <v>0</v>
      </c>
      <c r="BN40" s="182">
        <v>0</v>
      </c>
      <c r="BO40" s="182">
        <v>0</v>
      </c>
      <c r="BP40" s="182">
        <v>0</v>
      </c>
      <c r="BQ40" s="182">
        <v>0</v>
      </c>
      <c r="BR40" s="182">
        <v>0</v>
      </c>
      <c r="BS40" s="182">
        <v>0</v>
      </c>
      <c r="BT40" s="182">
        <v>0</v>
      </c>
      <c r="BU40" s="182">
        <v>0</v>
      </c>
      <c r="BV40" s="182">
        <v>0</v>
      </c>
      <c r="BW40" s="182">
        <v>0</v>
      </c>
      <c r="BX40" s="182">
        <v>0</v>
      </c>
      <c r="BY40" s="182">
        <v>0</v>
      </c>
      <c r="BZ40" s="182">
        <v>0</v>
      </c>
      <c r="CA40" s="182">
        <v>0</v>
      </c>
      <c r="CB40" s="182">
        <v>0</v>
      </c>
      <c r="CC40" s="182">
        <v>0</v>
      </c>
      <c r="CD40" s="182">
        <v>0</v>
      </c>
      <c r="CE40" s="182">
        <v>0</v>
      </c>
      <c r="CF40" s="182">
        <v>0</v>
      </c>
      <c r="CG40" s="182">
        <v>0</v>
      </c>
      <c r="CH40" s="182">
        <v>0</v>
      </c>
      <c r="CI40" s="182">
        <v>0</v>
      </c>
      <c r="CJ40" s="182">
        <v>0</v>
      </c>
      <c r="CK40" s="182">
        <v>0</v>
      </c>
      <c r="CL40" s="182">
        <v>0</v>
      </c>
      <c r="CM40" s="182">
        <v>0</v>
      </c>
      <c r="CN40" s="182">
        <v>0</v>
      </c>
      <c r="CO40" s="182">
        <v>0</v>
      </c>
      <c r="CP40" s="182">
        <v>0</v>
      </c>
      <c r="CQ40" s="182">
        <v>0</v>
      </c>
      <c r="CR40" s="182">
        <v>0</v>
      </c>
      <c r="CS40" s="182">
        <v>0</v>
      </c>
      <c r="CT40" s="182">
        <v>0</v>
      </c>
      <c r="CU40" s="182">
        <v>0</v>
      </c>
      <c r="CV40" s="182">
        <v>0</v>
      </c>
      <c r="CW40" s="182">
        <v>0</v>
      </c>
      <c r="CX40" s="182">
        <v>0</v>
      </c>
      <c r="CY40" s="182">
        <v>0</v>
      </c>
      <c r="CZ40" s="182">
        <v>0</v>
      </c>
      <c r="DA40" s="182">
        <v>0</v>
      </c>
      <c r="DB40" s="182">
        <v>0</v>
      </c>
      <c r="DC40" s="182">
        <v>0</v>
      </c>
      <c r="DD40" s="182">
        <v>0</v>
      </c>
      <c r="DE40" s="182">
        <v>0</v>
      </c>
      <c r="DF40" s="182">
        <v>0</v>
      </c>
      <c r="DG40" s="182">
        <v>0</v>
      </c>
      <c r="DH40" s="182">
        <v>0</v>
      </c>
      <c r="DI40" s="182">
        <v>0</v>
      </c>
      <c r="DJ40" s="182">
        <v>0</v>
      </c>
      <c r="DK40" s="182">
        <v>0</v>
      </c>
      <c r="DL40" s="182">
        <v>0</v>
      </c>
      <c r="DM40" s="182">
        <v>0</v>
      </c>
      <c r="DN40" s="182">
        <v>0</v>
      </c>
      <c r="DO40" s="182">
        <v>0</v>
      </c>
      <c r="DP40" s="182">
        <v>0</v>
      </c>
      <c r="DQ40" s="182">
        <v>0</v>
      </c>
      <c r="DR40" s="182">
        <v>0</v>
      </c>
      <c r="DS40" s="182">
        <v>0</v>
      </c>
      <c r="DT40" s="182">
        <v>0</v>
      </c>
      <c r="DU40" s="182">
        <v>0</v>
      </c>
      <c r="DV40" s="182">
        <v>0</v>
      </c>
      <c r="DW40" s="182">
        <v>0</v>
      </c>
      <c r="DX40" s="182">
        <v>0</v>
      </c>
      <c r="DY40" s="182">
        <v>0</v>
      </c>
      <c r="DZ40" s="182">
        <v>0</v>
      </c>
      <c r="EA40" s="182">
        <v>0</v>
      </c>
      <c r="EB40" s="182">
        <v>0</v>
      </c>
      <c r="EC40" s="182">
        <v>0</v>
      </c>
      <c r="ED40" s="182">
        <v>0</v>
      </c>
      <c r="EE40" s="182">
        <v>0</v>
      </c>
      <c r="EF40" s="182">
        <v>0</v>
      </c>
      <c r="EG40" s="182">
        <v>0</v>
      </c>
      <c r="EH40" s="182">
        <v>0</v>
      </c>
      <c r="EI40" s="182">
        <v>0</v>
      </c>
      <c r="EJ40" s="182">
        <v>0</v>
      </c>
      <c r="EK40" s="182">
        <v>0</v>
      </c>
      <c r="EL40" s="182">
        <v>0</v>
      </c>
      <c r="EM40" s="182">
        <v>0</v>
      </c>
      <c r="EN40" s="182">
        <v>0</v>
      </c>
      <c r="EO40" s="182">
        <v>0</v>
      </c>
      <c r="EP40" s="182">
        <v>0</v>
      </c>
      <c r="EQ40" s="182">
        <v>0</v>
      </c>
      <c r="ER40" s="182">
        <v>0</v>
      </c>
      <c r="ES40" s="182">
        <v>0</v>
      </c>
      <c r="ET40" s="182">
        <v>0</v>
      </c>
      <c r="EU40" s="182">
        <v>0</v>
      </c>
      <c r="EV40" s="182">
        <v>0</v>
      </c>
      <c r="EW40" s="182">
        <v>0</v>
      </c>
      <c r="EX40" s="182">
        <v>0</v>
      </c>
      <c r="EY40" s="182">
        <v>0</v>
      </c>
      <c r="EZ40" s="182">
        <v>0</v>
      </c>
      <c r="FA40" s="182">
        <v>0</v>
      </c>
      <c r="FB40" s="183">
        <v>0</v>
      </c>
      <c r="FC40" s="29"/>
      <c r="FD40" s="29"/>
    </row>
    <row r="41" spans="2:160" ht="12.75" customHeight="1" x14ac:dyDescent="0.3">
      <c r="B41" s="180" t="s">
        <v>3851</v>
      </c>
      <c r="C41" s="278"/>
      <c r="D41" s="177">
        <v>0</v>
      </c>
      <c r="E41" s="177">
        <f>k.aRS.s1RS</f>
        <v>4.2527826652757428E-7</v>
      </c>
      <c r="F41" s="177">
        <v>0</v>
      </c>
      <c r="G41" s="176">
        <v>0</v>
      </c>
      <c r="H41" s="177">
        <f>k.cwRS.s1RS</f>
        <v>1.9890154971051001E-5</v>
      </c>
      <c r="I41" s="177">
        <v>0</v>
      </c>
      <c r="J41" s="177">
        <v>0</v>
      </c>
      <c r="K41" s="168">
        <v>0</v>
      </c>
      <c r="L41" s="168">
        <v>0</v>
      </c>
      <c r="M41" s="168">
        <v>0</v>
      </c>
      <c r="N41" s="168">
        <v>0</v>
      </c>
      <c r="O41" s="182">
        <v>0</v>
      </c>
      <c r="P41" s="182">
        <v>0</v>
      </c>
      <c r="Q41" s="182">
        <v>0</v>
      </c>
      <c r="R41" s="182">
        <v>0</v>
      </c>
      <c r="S41" s="182">
        <v>0</v>
      </c>
      <c r="T41" s="182">
        <v>0</v>
      </c>
      <c r="U41" s="182">
        <v>0</v>
      </c>
      <c r="V41" s="182">
        <v>0</v>
      </c>
      <c r="W41" s="182">
        <v>0</v>
      </c>
      <c r="X41" s="182">
        <v>0</v>
      </c>
      <c r="Y41" s="182">
        <v>0</v>
      </c>
      <c r="Z41" s="182">
        <v>0</v>
      </c>
      <c r="AA41" s="182">
        <v>0</v>
      </c>
      <c r="AB41" s="182">
        <v>0</v>
      </c>
      <c r="AC41" s="182">
        <v>0</v>
      </c>
      <c r="AD41" s="182">
        <v>0</v>
      </c>
      <c r="AE41" s="182">
        <v>0</v>
      </c>
      <c r="AF41" s="182">
        <v>0</v>
      </c>
      <c r="AG41" s="182">
        <v>0</v>
      </c>
      <c r="AH41" s="182">
        <v>0</v>
      </c>
      <c r="AI41" s="312">
        <v>0</v>
      </c>
      <c r="AJ41" s="373">
        <f>-k.s1RS-SUM(AJ$9:AJ40,AJ42:AJ$163)</f>
        <v>-2.0693943443037738E-2</v>
      </c>
      <c r="AK41" s="176">
        <v>0</v>
      </c>
      <c r="AL41" s="306">
        <v>0</v>
      </c>
      <c r="AM41" s="182">
        <v>0</v>
      </c>
      <c r="AN41" s="182">
        <v>0</v>
      </c>
      <c r="AO41" s="182">
        <v>0</v>
      </c>
      <c r="AP41" s="182">
        <v>0</v>
      </c>
      <c r="AQ41" s="182">
        <v>0</v>
      </c>
      <c r="AR41" s="182">
        <v>0</v>
      </c>
      <c r="AS41" s="182">
        <v>0</v>
      </c>
      <c r="AT41" s="182">
        <v>0</v>
      </c>
      <c r="AU41" s="182">
        <v>0</v>
      </c>
      <c r="AV41" s="182">
        <v>0</v>
      </c>
      <c r="AW41" s="182">
        <v>0</v>
      </c>
      <c r="AX41" s="182">
        <v>0</v>
      </c>
      <c r="AY41" s="182">
        <v>0</v>
      </c>
      <c r="AZ41" s="182">
        <v>0</v>
      </c>
      <c r="BA41" s="182">
        <v>0</v>
      </c>
      <c r="BB41" s="168">
        <v>0</v>
      </c>
      <c r="BC41" s="168">
        <v>0</v>
      </c>
      <c r="BD41" s="168">
        <v>0</v>
      </c>
      <c r="BE41" s="168">
        <v>0</v>
      </c>
      <c r="BF41" s="182">
        <v>0</v>
      </c>
      <c r="BG41" s="182">
        <v>0</v>
      </c>
      <c r="BH41" s="182">
        <v>0</v>
      </c>
      <c r="BI41" s="182">
        <v>0</v>
      </c>
      <c r="BJ41" s="182">
        <v>0</v>
      </c>
      <c r="BK41" s="182">
        <v>0</v>
      </c>
      <c r="BL41" s="182">
        <v>0</v>
      </c>
      <c r="BM41" s="182">
        <v>0</v>
      </c>
      <c r="BN41" s="182">
        <v>0</v>
      </c>
      <c r="BO41" s="182">
        <v>0</v>
      </c>
      <c r="BP41" s="182">
        <v>0</v>
      </c>
      <c r="BQ41" s="182">
        <v>0</v>
      </c>
      <c r="BR41" s="182">
        <v>0</v>
      </c>
      <c r="BS41" s="182">
        <v>0</v>
      </c>
      <c r="BT41" s="182">
        <v>0</v>
      </c>
      <c r="BU41" s="182">
        <v>0</v>
      </c>
      <c r="BV41" s="182">
        <v>0</v>
      </c>
      <c r="BW41" s="182">
        <v>0</v>
      </c>
      <c r="BX41" s="182">
        <v>0</v>
      </c>
      <c r="BY41" s="182">
        <v>0</v>
      </c>
      <c r="BZ41" s="182">
        <v>0</v>
      </c>
      <c r="CA41" s="182">
        <v>0</v>
      </c>
      <c r="CB41" s="182">
        <v>0</v>
      </c>
      <c r="CC41" s="182">
        <v>0</v>
      </c>
      <c r="CD41" s="182">
        <v>0</v>
      </c>
      <c r="CE41" s="182">
        <v>0</v>
      </c>
      <c r="CF41" s="182">
        <v>0</v>
      </c>
      <c r="CG41" s="182">
        <v>0</v>
      </c>
      <c r="CH41" s="182">
        <v>0</v>
      </c>
      <c r="CI41" s="182">
        <v>0</v>
      </c>
      <c r="CJ41" s="182">
        <v>0</v>
      </c>
      <c r="CK41" s="182">
        <v>0</v>
      </c>
      <c r="CL41" s="182">
        <v>0</v>
      </c>
      <c r="CM41" s="182">
        <v>0</v>
      </c>
      <c r="CN41" s="182">
        <v>0</v>
      </c>
      <c r="CO41" s="182">
        <v>0</v>
      </c>
      <c r="CP41" s="182">
        <v>0</v>
      </c>
      <c r="CQ41" s="182">
        <v>0</v>
      </c>
      <c r="CR41" s="182">
        <v>0</v>
      </c>
      <c r="CS41" s="182">
        <v>0</v>
      </c>
      <c r="CT41" s="182">
        <v>0</v>
      </c>
      <c r="CU41" s="182">
        <v>0</v>
      </c>
      <c r="CV41" s="182">
        <v>0</v>
      </c>
      <c r="CW41" s="182">
        <v>0</v>
      </c>
      <c r="CX41" s="182">
        <v>0</v>
      </c>
      <c r="CY41" s="182">
        <v>0</v>
      </c>
      <c r="CZ41" s="182">
        <v>0</v>
      </c>
      <c r="DA41" s="182">
        <v>0</v>
      </c>
      <c r="DB41" s="182">
        <v>0</v>
      </c>
      <c r="DC41" s="182">
        <v>0</v>
      </c>
      <c r="DD41" s="182">
        <v>0</v>
      </c>
      <c r="DE41" s="182">
        <v>0</v>
      </c>
      <c r="DF41" s="182">
        <v>0</v>
      </c>
      <c r="DG41" s="182">
        <v>0</v>
      </c>
      <c r="DH41" s="182">
        <v>0</v>
      </c>
      <c r="DI41" s="182">
        <v>0</v>
      </c>
      <c r="DJ41" s="182">
        <v>0</v>
      </c>
      <c r="DK41" s="182">
        <v>0</v>
      </c>
      <c r="DL41" s="182">
        <v>0</v>
      </c>
      <c r="DM41" s="182">
        <v>0</v>
      </c>
      <c r="DN41" s="182">
        <v>0</v>
      </c>
      <c r="DO41" s="182">
        <v>0</v>
      </c>
      <c r="DP41" s="182">
        <v>0</v>
      </c>
      <c r="DQ41" s="182">
        <v>0</v>
      </c>
      <c r="DR41" s="182">
        <v>0</v>
      </c>
      <c r="DS41" s="182">
        <v>0</v>
      </c>
      <c r="DT41" s="182">
        <v>0</v>
      </c>
      <c r="DU41" s="182">
        <v>0</v>
      </c>
      <c r="DV41" s="182">
        <v>0</v>
      </c>
      <c r="DW41" s="182">
        <v>0</v>
      </c>
      <c r="DX41" s="182">
        <v>0</v>
      </c>
      <c r="DY41" s="182">
        <v>0</v>
      </c>
      <c r="DZ41" s="182">
        <v>0</v>
      </c>
      <c r="EA41" s="182">
        <v>0</v>
      </c>
      <c r="EB41" s="182">
        <v>0</v>
      </c>
      <c r="EC41" s="182">
        <v>0</v>
      </c>
      <c r="ED41" s="182">
        <v>0</v>
      </c>
      <c r="EE41" s="182">
        <v>0</v>
      </c>
      <c r="EF41" s="182">
        <v>0</v>
      </c>
      <c r="EG41" s="182">
        <v>0</v>
      </c>
      <c r="EH41" s="182">
        <v>0</v>
      </c>
      <c r="EI41" s="182">
        <v>0</v>
      </c>
      <c r="EJ41" s="182">
        <v>0</v>
      </c>
      <c r="EK41" s="182">
        <v>0</v>
      </c>
      <c r="EL41" s="182">
        <v>0</v>
      </c>
      <c r="EM41" s="182">
        <v>0</v>
      </c>
      <c r="EN41" s="182">
        <v>0</v>
      </c>
      <c r="EO41" s="182">
        <v>0</v>
      </c>
      <c r="EP41" s="182">
        <v>0</v>
      </c>
      <c r="EQ41" s="182">
        <v>0</v>
      </c>
      <c r="ER41" s="182">
        <v>0</v>
      </c>
      <c r="ES41" s="182">
        <v>0</v>
      </c>
      <c r="ET41" s="182">
        <v>0</v>
      </c>
      <c r="EU41" s="182">
        <v>0</v>
      </c>
      <c r="EV41" s="182">
        <v>0</v>
      </c>
      <c r="EW41" s="182">
        <v>0</v>
      </c>
      <c r="EX41" s="182">
        <v>0</v>
      </c>
      <c r="EY41" s="182">
        <v>0</v>
      </c>
      <c r="EZ41" s="182">
        <v>0</v>
      </c>
      <c r="FA41" s="182">
        <v>0</v>
      </c>
      <c r="FB41" s="183">
        <v>0</v>
      </c>
      <c r="FC41" s="29"/>
      <c r="FD41" s="29"/>
    </row>
    <row r="42" spans="2:160" ht="12.75" customHeight="1" x14ac:dyDescent="0.3">
      <c r="B42" s="180" t="s">
        <v>3852</v>
      </c>
      <c r="C42" s="278"/>
      <c r="D42" s="177">
        <v>0</v>
      </c>
      <c r="E42" s="177">
        <v>0</v>
      </c>
      <c r="F42" s="177">
        <f>k.aRA.s1RA</f>
        <v>7.3280360241238941E-8</v>
      </c>
      <c r="G42" s="176">
        <v>0</v>
      </c>
      <c r="H42" s="177">
        <v>0</v>
      </c>
      <c r="I42" s="177">
        <f>k.cwRA.s1RA</f>
        <v>1.9890154971051001E-5</v>
      </c>
      <c r="J42" s="177">
        <v>0</v>
      </c>
      <c r="K42" s="168">
        <v>0</v>
      </c>
      <c r="L42" s="168">
        <v>0</v>
      </c>
      <c r="M42" s="168">
        <v>0</v>
      </c>
      <c r="N42" s="168">
        <v>0</v>
      </c>
      <c r="O42" s="182">
        <v>0</v>
      </c>
      <c r="P42" s="182">
        <v>0</v>
      </c>
      <c r="Q42" s="182">
        <v>0</v>
      </c>
      <c r="R42" s="182">
        <v>0</v>
      </c>
      <c r="S42" s="182">
        <v>0</v>
      </c>
      <c r="T42" s="182">
        <v>0</v>
      </c>
      <c r="U42" s="182">
        <v>0</v>
      </c>
      <c r="V42" s="182">
        <v>0</v>
      </c>
      <c r="W42" s="182">
        <v>0</v>
      </c>
      <c r="X42" s="182">
        <v>0</v>
      </c>
      <c r="Y42" s="182">
        <v>0</v>
      </c>
      <c r="Z42" s="182">
        <v>0</v>
      </c>
      <c r="AA42" s="182">
        <v>0</v>
      </c>
      <c r="AB42" s="182">
        <v>0</v>
      </c>
      <c r="AC42" s="182">
        <v>0</v>
      </c>
      <c r="AD42" s="182">
        <v>0</v>
      </c>
      <c r="AE42" s="182">
        <v>0</v>
      </c>
      <c r="AF42" s="182">
        <v>0</v>
      </c>
      <c r="AG42" s="182">
        <v>0</v>
      </c>
      <c r="AH42" s="182">
        <v>0</v>
      </c>
      <c r="AI42" s="312">
        <v>0</v>
      </c>
      <c r="AJ42" s="176">
        <f>k.s1RS.s1RA</f>
        <v>1.5803861528693407E-2</v>
      </c>
      <c r="AK42" s="181">
        <f>-k.s1RA-SUM(AK$9:AK41,AK43:AK$163)</f>
        <v>-1.4200223351680572E-7</v>
      </c>
      <c r="AL42" s="306">
        <v>0</v>
      </c>
      <c r="AM42" s="182">
        <v>0</v>
      </c>
      <c r="AN42" s="182">
        <v>0</v>
      </c>
      <c r="AO42" s="182">
        <v>0</v>
      </c>
      <c r="AP42" s="182">
        <v>0</v>
      </c>
      <c r="AQ42" s="182">
        <v>0</v>
      </c>
      <c r="AR42" s="182">
        <v>0</v>
      </c>
      <c r="AS42" s="182">
        <v>0</v>
      </c>
      <c r="AT42" s="182">
        <v>0</v>
      </c>
      <c r="AU42" s="182">
        <v>0</v>
      </c>
      <c r="AV42" s="182">
        <v>0</v>
      </c>
      <c r="AW42" s="182">
        <v>0</v>
      </c>
      <c r="AX42" s="182">
        <v>0</v>
      </c>
      <c r="AY42" s="182">
        <v>0</v>
      </c>
      <c r="AZ42" s="182">
        <v>0</v>
      </c>
      <c r="BA42" s="182">
        <v>0</v>
      </c>
      <c r="BB42" s="168">
        <v>0</v>
      </c>
      <c r="BC42" s="168">
        <v>0</v>
      </c>
      <c r="BD42" s="168">
        <v>0</v>
      </c>
      <c r="BE42" s="168">
        <v>0</v>
      </c>
      <c r="BF42" s="182">
        <v>0</v>
      </c>
      <c r="BG42" s="182">
        <v>0</v>
      </c>
      <c r="BH42" s="182">
        <v>0</v>
      </c>
      <c r="BI42" s="182">
        <v>0</v>
      </c>
      <c r="BJ42" s="182">
        <v>0</v>
      </c>
      <c r="BK42" s="182">
        <v>0</v>
      </c>
      <c r="BL42" s="182">
        <v>0</v>
      </c>
      <c r="BM42" s="182">
        <v>0</v>
      </c>
      <c r="BN42" s="182">
        <v>0</v>
      </c>
      <c r="BO42" s="182">
        <v>0</v>
      </c>
      <c r="BP42" s="182">
        <v>0</v>
      </c>
      <c r="BQ42" s="182">
        <v>0</v>
      </c>
      <c r="BR42" s="182">
        <v>0</v>
      </c>
      <c r="BS42" s="182">
        <v>0</v>
      </c>
      <c r="BT42" s="182">
        <v>0</v>
      </c>
      <c r="BU42" s="182">
        <v>0</v>
      </c>
      <c r="BV42" s="182">
        <v>0</v>
      </c>
      <c r="BW42" s="182">
        <v>0</v>
      </c>
      <c r="BX42" s="182">
        <v>0</v>
      </c>
      <c r="BY42" s="182">
        <v>0</v>
      </c>
      <c r="BZ42" s="182">
        <v>0</v>
      </c>
      <c r="CA42" s="182">
        <v>0</v>
      </c>
      <c r="CB42" s="182">
        <v>0</v>
      </c>
      <c r="CC42" s="182">
        <v>0</v>
      </c>
      <c r="CD42" s="182">
        <v>0</v>
      </c>
      <c r="CE42" s="182">
        <v>0</v>
      </c>
      <c r="CF42" s="182">
        <v>0</v>
      </c>
      <c r="CG42" s="182">
        <v>0</v>
      </c>
      <c r="CH42" s="182">
        <v>0</v>
      </c>
      <c r="CI42" s="182">
        <v>0</v>
      </c>
      <c r="CJ42" s="182">
        <v>0</v>
      </c>
      <c r="CK42" s="182">
        <v>0</v>
      </c>
      <c r="CL42" s="182">
        <v>0</v>
      </c>
      <c r="CM42" s="182">
        <v>0</v>
      </c>
      <c r="CN42" s="182">
        <v>0</v>
      </c>
      <c r="CO42" s="182">
        <v>0</v>
      </c>
      <c r="CP42" s="182">
        <v>0</v>
      </c>
      <c r="CQ42" s="182">
        <v>0</v>
      </c>
      <c r="CR42" s="182">
        <v>0</v>
      </c>
      <c r="CS42" s="182">
        <v>0</v>
      </c>
      <c r="CT42" s="182">
        <v>0</v>
      </c>
      <c r="CU42" s="182">
        <v>0</v>
      </c>
      <c r="CV42" s="182">
        <v>0</v>
      </c>
      <c r="CW42" s="182">
        <v>0</v>
      </c>
      <c r="CX42" s="182">
        <v>0</v>
      </c>
      <c r="CY42" s="182">
        <v>0</v>
      </c>
      <c r="CZ42" s="182">
        <v>0</v>
      </c>
      <c r="DA42" s="182">
        <v>0</v>
      </c>
      <c r="DB42" s="182">
        <v>0</v>
      </c>
      <c r="DC42" s="182">
        <v>0</v>
      </c>
      <c r="DD42" s="182">
        <v>0</v>
      </c>
      <c r="DE42" s="182">
        <v>0</v>
      </c>
      <c r="DF42" s="182">
        <v>0</v>
      </c>
      <c r="DG42" s="182">
        <v>0</v>
      </c>
      <c r="DH42" s="182">
        <v>0</v>
      </c>
      <c r="DI42" s="182">
        <v>0</v>
      </c>
      <c r="DJ42" s="182">
        <v>0</v>
      </c>
      <c r="DK42" s="182">
        <v>0</v>
      </c>
      <c r="DL42" s="182">
        <v>0</v>
      </c>
      <c r="DM42" s="182">
        <v>0</v>
      </c>
      <c r="DN42" s="182">
        <v>0</v>
      </c>
      <c r="DO42" s="182">
        <v>0</v>
      </c>
      <c r="DP42" s="182">
        <v>0</v>
      </c>
      <c r="DQ42" s="182">
        <v>0</v>
      </c>
      <c r="DR42" s="182">
        <v>0</v>
      </c>
      <c r="DS42" s="182">
        <v>0</v>
      </c>
      <c r="DT42" s="182">
        <v>0</v>
      </c>
      <c r="DU42" s="182">
        <v>0</v>
      </c>
      <c r="DV42" s="182">
        <v>0</v>
      </c>
      <c r="DW42" s="182">
        <v>0</v>
      </c>
      <c r="DX42" s="182">
        <v>0</v>
      </c>
      <c r="DY42" s="182">
        <v>0</v>
      </c>
      <c r="DZ42" s="182">
        <v>0</v>
      </c>
      <c r="EA42" s="182">
        <v>0</v>
      </c>
      <c r="EB42" s="182">
        <v>0</v>
      </c>
      <c r="EC42" s="182">
        <v>0</v>
      </c>
      <c r="ED42" s="182">
        <v>0</v>
      </c>
      <c r="EE42" s="182">
        <v>0</v>
      </c>
      <c r="EF42" s="182">
        <v>0</v>
      </c>
      <c r="EG42" s="182">
        <v>0</v>
      </c>
      <c r="EH42" s="182">
        <v>0</v>
      </c>
      <c r="EI42" s="182">
        <v>0</v>
      </c>
      <c r="EJ42" s="182">
        <v>0</v>
      </c>
      <c r="EK42" s="182">
        <v>0</v>
      </c>
      <c r="EL42" s="182">
        <v>0</v>
      </c>
      <c r="EM42" s="182">
        <v>0</v>
      </c>
      <c r="EN42" s="182">
        <v>0</v>
      </c>
      <c r="EO42" s="182">
        <v>0</v>
      </c>
      <c r="EP42" s="182">
        <v>0</v>
      </c>
      <c r="EQ42" s="182">
        <v>0</v>
      </c>
      <c r="ER42" s="182">
        <v>0</v>
      </c>
      <c r="ES42" s="182">
        <v>0</v>
      </c>
      <c r="ET42" s="182">
        <v>0</v>
      </c>
      <c r="EU42" s="182">
        <v>0</v>
      </c>
      <c r="EV42" s="182">
        <v>0</v>
      </c>
      <c r="EW42" s="182">
        <v>0</v>
      </c>
      <c r="EX42" s="182">
        <v>0</v>
      </c>
      <c r="EY42" s="182">
        <v>0</v>
      </c>
      <c r="EZ42" s="182">
        <v>0</v>
      </c>
      <c r="FA42" s="182">
        <v>0</v>
      </c>
      <c r="FB42" s="183">
        <v>0</v>
      </c>
      <c r="FC42" s="29"/>
      <c r="FD42" s="29"/>
    </row>
    <row r="43" spans="2:160" ht="12.75" customHeight="1" x14ac:dyDescent="0.3">
      <c r="B43" s="180" t="s">
        <v>3853</v>
      </c>
      <c r="C43" s="278"/>
      <c r="D43" s="177">
        <v>0</v>
      </c>
      <c r="E43" s="177">
        <v>0</v>
      </c>
      <c r="F43" s="177">
        <v>0</v>
      </c>
      <c r="G43" s="176">
        <f>k.aRP.s1RP</f>
        <v>2.6882396878588473E-7</v>
      </c>
      <c r="H43" s="177">
        <v>0</v>
      </c>
      <c r="I43" s="177">
        <v>0</v>
      </c>
      <c r="J43" s="177">
        <f>k.cwRP.s1RP</f>
        <v>1.9890154971051001E-5</v>
      </c>
      <c r="K43" s="168">
        <v>0</v>
      </c>
      <c r="L43" s="168">
        <v>0</v>
      </c>
      <c r="M43" s="168">
        <v>0</v>
      </c>
      <c r="N43" s="168">
        <v>0</v>
      </c>
      <c r="O43" s="182">
        <v>0</v>
      </c>
      <c r="P43" s="182">
        <v>0</v>
      </c>
      <c r="Q43" s="182">
        <v>0</v>
      </c>
      <c r="R43" s="182">
        <v>0</v>
      </c>
      <c r="S43" s="182">
        <v>0</v>
      </c>
      <c r="T43" s="182">
        <v>0</v>
      </c>
      <c r="U43" s="182">
        <v>0</v>
      </c>
      <c r="V43" s="182">
        <v>0</v>
      </c>
      <c r="W43" s="182">
        <v>0</v>
      </c>
      <c r="X43" s="182">
        <v>0</v>
      </c>
      <c r="Y43" s="182">
        <v>0</v>
      </c>
      <c r="Z43" s="182">
        <v>0</v>
      </c>
      <c r="AA43" s="182">
        <v>0</v>
      </c>
      <c r="AB43" s="182">
        <v>0</v>
      </c>
      <c r="AC43" s="182">
        <v>0</v>
      </c>
      <c r="AD43" s="182">
        <v>0</v>
      </c>
      <c r="AE43" s="182">
        <v>0</v>
      </c>
      <c r="AF43" s="182">
        <v>0</v>
      </c>
      <c r="AG43" s="182">
        <v>0</v>
      </c>
      <c r="AH43" s="182">
        <v>0</v>
      </c>
      <c r="AI43" s="308">
        <v>0</v>
      </c>
      <c r="AJ43" s="309">
        <f>k.s1RS.s1RP</f>
        <v>4.8899399121108134E-3</v>
      </c>
      <c r="AK43" s="309">
        <v>0</v>
      </c>
      <c r="AL43" s="181">
        <f>-k.s1RP-SUM(AL$9:AL42,AL44:AL$163)</f>
        <v>-1.9025875190258754E-11</v>
      </c>
      <c r="AM43" s="182">
        <v>0</v>
      </c>
      <c r="AN43" s="182">
        <v>0</v>
      </c>
      <c r="AO43" s="182">
        <v>0</v>
      </c>
      <c r="AP43" s="182">
        <v>0</v>
      </c>
      <c r="AQ43" s="182">
        <v>0</v>
      </c>
      <c r="AR43" s="182">
        <v>0</v>
      </c>
      <c r="AS43" s="182">
        <v>0</v>
      </c>
      <c r="AT43" s="182">
        <v>0</v>
      </c>
      <c r="AU43" s="182">
        <v>0</v>
      </c>
      <c r="AV43" s="182">
        <v>0</v>
      </c>
      <c r="AW43" s="182">
        <v>0</v>
      </c>
      <c r="AX43" s="182">
        <v>0</v>
      </c>
      <c r="AY43" s="182">
        <v>0</v>
      </c>
      <c r="AZ43" s="182">
        <v>0</v>
      </c>
      <c r="BA43" s="182">
        <v>0</v>
      </c>
      <c r="BB43" s="168">
        <v>0</v>
      </c>
      <c r="BC43" s="168">
        <v>0</v>
      </c>
      <c r="BD43" s="168">
        <v>0</v>
      </c>
      <c r="BE43" s="168">
        <v>0</v>
      </c>
      <c r="BF43" s="182">
        <v>0</v>
      </c>
      <c r="BG43" s="182">
        <v>0</v>
      </c>
      <c r="BH43" s="182">
        <v>0</v>
      </c>
      <c r="BI43" s="182">
        <v>0</v>
      </c>
      <c r="BJ43" s="182">
        <v>0</v>
      </c>
      <c r="BK43" s="182">
        <v>0</v>
      </c>
      <c r="BL43" s="182">
        <v>0</v>
      </c>
      <c r="BM43" s="182">
        <v>0</v>
      </c>
      <c r="BN43" s="182">
        <v>0</v>
      </c>
      <c r="BO43" s="182">
        <v>0</v>
      </c>
      <c r="BP43" s="182">
        <v>0</v>
      </c>
      <c r="BQ43" s="182">
        <v>0</v>
      </c>
      <c r="BR43" s="182">
        <v>0</v>
      </c>
      <c r="BS43" s="182">
        <v>0</v>
      </c>
      <c r="BT43" s="182">
        <v>0</v>
      </c>
      <c r="BU43" s="182">
        <v>0</v>
      </c>
      <c r="BV43" s="182">
        <v>0</v>
      </c>
      <c r="BW43" s="182">
        <v>0</v>
      </c>
      <c r="BX43" s="182">
        <v>0</v>
      </c>
      <c r="BY43" s="182">
        <v>0</v>
      </c>
      <c r="BZ43" s="182">
        <v>0</v>
      </c>
      <c r="CA43" s="182">
        <v>0</v>
      </c>
      <c r="CB43" s="182">
        <v>0</v>
      </c>
      <c r="CC43" s="182">
        <v>0</v>
      </c>
      <c r="CD43" s="182">
        <v>0</v>
      </c>
      <c r="CE43" s="182">
        <v>0</v>
      </c>
      <c r="CF43" s="182">
        <v>0</v>
      </c>
      <c r="CG43" s="182">
        <v>0</v>
      </c>
      <c r="CH43" s="182">
        <v>0</v>
      </c>
      <c r="CI43" s="182">
        <v>0</v>
      </c>
      <c r="CJ43" s="182">
        <v>0</v>
      </c>
      <c r="CK43" s="182">
        <v>0</v>
      </c>
      <c r="CL43" s="182">
        <v>0</v>
      </c>
      <c r="CM43" s="182">
        <v>0</v>
      </c>
      <c r="CN43" s="182">
        <v>0</v>
      </c>
      <c r="CO43" s="182">
        <v>0</v>
      </c>
      <c r="CP43" s="182">
        <v>0</v>
      </c>
      <c r="CQ43" s="182">
        <v>0</v>
      </c>
      <c r="CR43" s="182">
        <v>0</v>
      </c>
      <c r="CS43" s="182">
        <v>0</v>
      </c>
      <c r="CT43" s="182">
        <v>0</v>
      </c>
      <c r="CU43" s="182">
        <v>0</v>
      </c>
      <c r="CV43" s="182">
        <v>0</v>
      </c>
      <c r="CW43" s="182">
        <v>0</v>
      </c>
      <c r="CX43" s="182">
        <v>0</v>
      </c>
      <c r="CY43" s="182">
        <v>0</v>
      </c>
      <c r="CZ43" s="182">
        <v>0</v>
      </c>
      <c r="DA43" s="182">
        <v>0</v>
      </c>
      <c r="DB43" s="182">
        <v>0</v>
      </c>
      <c r="DC43" s="182">
        <v>0</v>
      </c>
      <c r="DD43" s="182">
        <v>0</v>
      </c>
      <c r="DE43" s="182">
        <v>0</v>
      </c>
      <c r="DF43" s="182">
        <v>0</v>
      </c>
      <c r="DG43" s="182">
        <v>0</v>
      </c>
      <c r="DH43" s="182">
        <v>0</v>
      </c>
      <c r="DI43" s="182">
        <v>0</v>
      </c>
      <c r="DJ43" s="182">
        <v>0</v>
      </c>
      <c r="DK43" s="182">
        <v>0</v>
      </c>
      <c r="DL43" s="182">
        <v>0</v>
      </c>
      <c r="DM43" s="182">
        <v>0</v>
      </c>
      <c r="DN43" s="182">
        <v>0</v>
      </c>
      <c r="DO43" s="182">
        <v>0</v>
      </c>
      <c r="DP43" s="182">
        <v>0</v>
      </c>
      <c r="DQ43" s="182">
        <v>0</v>
      </c>
      <c r="DR43" s="182">
        <v>0</v>
      </c>
      <c r="DS43" s="182">
        <v>0</v>
      </c>
      <c r="DT43" s="182">
        <v>0</v>
      </c>
      <c r="DU43" s="182">
        <v>0</v>
      </c>
      <c r="DV43" s="182">
        <v>0</v>
      </c>
      <c r="DW43" s="182">
        <v>0</v>
      </c>
      <c r="DX43" s="182">
        <v>0</v>
      </c>
      <c r="DY43" s="182">
        <v>0</v>
      </c>
      <c r="DZ43" s="182">
        <v>0</v>
      </c>
      <c r="EA43" s="182">
        <v>0</v>
      </c>
      <c r="EB43" s="182">
        <v>0</v>
      </c>
      <c r="EC43" s="182">
        <v>0</v>
      </c>
      <c r="ED43" s="182">
        <v>0</v>
      </c>
      <c r="EE43" s="182">
        <v>0</v>
      </c>
      <c r="EF43" s="182">
        <v>0</v>
      </c>
      <c r="EG43" s="182">
        <v>0</v>
      </c>
      <c r="EH43" s="182">
        <v>0</v>
      </c>
      <c r="EI43" s="182">
        <v>0</v>
      </c>
      <c r="EJ43" s="182">
        <v>0</v>
      </c>
      <c r="EK43" s="182">
        <v>0</v>
      </c>
      <c r="EL43" s="182">
        <v>0</v>
      </c>
      <c r="EM43" s="182">
        <v>0</v>
      </c>
      <c r="EN43" s="182">
        <v>0</v>
      </c>
      <c r="EO43" s="182">
        <v>0</v>
      </c>
      <c r="EP43" s="182">
        <v>0</v>
      </c>
      <c r="EQ43" s="182">
        <v>0</v>
      </c>
      <c r="ER43" s="182">
        <v>0</v>
      </c>
      <c r="ES43" s="182">
        <v>0</v>
      </c>
      <c r="ET43" s="182">
        <v>0</v>
      </c>
      <c r="EU43" s="182">
        <v>0</v>
      </c>
      <c r="EV43" s="182">
        <v>0</v>
      </c>
      <c r="EW43" s="182">
        <v>0</v>
      </c>
      <c r="EX43" s="182">
        <v>0</v>
      </c>
      <c r="EY43" s="182">
        <v>0</v>
      </c>
      <c r="EZ43" s="182">
        <v>0</v>
      </c>
      <c r="FA43" s="182">
        <v>0</v>
      </c>
      <c r="FB43" s="183">
        <v>0</v>
      </c>
      <c r="FC43" s="29"/>
      <c r="FD43" s="29"/>
    </row>
    <row r="44" spans="2:160" ht="12.75" customHeight="1" x14ac:dyDescent="0.3">
      <c r="B44" s="180" t="s">
        <v>3854</v>
      </c>
      <c r="C44" s="278"/>
      <c r="D44" s="177">
        <f>k.aRG.s2RD</f>
        <v>8.2023409492269047E-10</v>
      </c>
      <c r="E44" s="177">
        <v>0</v>
      </c>
      <c r="F44" s="177">
        <v>0</v>
      </c>
      <c r="G44" s="176">
        <v>0</v>
      </c>
      <c r="H44" s="177">
        <v>0</v>
      </c>
      <c r="I44" s="177">
        <v>0</v>
      </c>
      <c r="J44" s="177">
        <v>0</v>
      </c>
      <c r="K44" s="168">
        <v>0</v>
      </c>
      <c r="L44" s="168">
        <v>0</v>
      </c>
      <c r="M44" s="168">
        <v>0</v>
      </c>
      <c r="N44" s="168">
        <v>0</v>
      </c>
      <c r="O44" s="182">
        <v>0</v>
      </c>
      <c r="P44" s="182">
        <v>0</v>
      </c>
      <c r="Q44" s="182">
        <v>0</v>
      </c>
      <c r="R44" s="182">
        <v>0</v>
      </c>
      <c r="S44" s="182">
        <v>0</v>
      </c>
      <c r="T44" s="182">
        <v>0</v>
      </c>
      <c r="U44" s="182">
        <v>0</v>
      </c>
      <c r="V44" s="182">
        <v>0</v>
      </c>
      <c r="W44" s="182">
        <v>0</v>
      </c>
      <c r="X44" s="182">
        <v>0</v>
      </c>
      <c r="Y44" s="182">
        <v>0</v>
      </c>
      <c r="Z44" s="182">
        <v>0</v>
      </c>
      <c r="AA44" s="182">
        <v>0</v>
      </c>
      <c r="AB44" s="182">
        <v>0</v>
      </c>
      <c r="AC44" s="182">
        <v>0</v>
      </c>
      <c r="AD44" s="182">
        <v>0</v>
      </c>
      <c r="AE44" s="182">
        <v>0</v>
      </c>
      <c r="AF44" s="182">
        <v>0</v>
      </c>
      <c r="AG44" s="182">
        <v>0</v>
      </c>
      <c r="AH44" s="182">
        <v>0</v>
      </c>
      <c r="AI44" s="182">
        <v>0</v>
      </c>
      <c r="AJ44" s="182">
        <v>0</v>
      </c>
      <c r="AK44" s="182">
        <v>0</v>
      </c>
      <c r="AL44" s="182">
        <v>0</v>
      </c>
      <c r="AM44" s="310">
        <f>-k.s2RD-SUM(AM9:AM43,AM45:AM163)</f>
        <v>-9.6442034797408584E-8</v>
      </c>
      <c r="AN44" s="311">
        <f>kdis.s2S.s2D</f>
        <v>0</v>
      </c>
      <c r="AO44" s="311">
        <f>kdis.s2A.s2D</f>
        <v>0</v>
      </c>
      <c r="AP44" s="311">
        <f>kdis.s2P.s2D</f>
        <v>0</v>
      </c>
      <c r="AQ44" s="182">
        <v>0</v>
      </c>
      <c r="AR44" s="182">
        <v>0</v>
      </c>
      <c r="AS44" s="182">
        <v>0</v>
      </c>
      <c r="AT44" s="182">
        <v>0</v>
      </c>
      <c r="AU44" s="182">
        <v>0</v>
      </c>
      <c r="AV44" s="182">
        <v>0</v>
      </c>
      <c r="AW44" s="182">
        <v>0</v>
      </c>
      <c r="AX44" s="182">
        <v>0</v>
      </c>
      <c r="AY44" s="182">
        <v>0</v>
      </c>
      <c r="AZ44" s="182">
        <v>0</v>
      </c>
      <c r="BA44" s="182">
        <v>0</v>
      </c>
      <c r="BB44" s="168">
        <v>0</v>
      </c>
      <c r="BC44" s="168">
        <v>0</v>
      </c>
      <c r="BD44" s="168">
        <v>0</v>
      </c>
      <c r="BE44" s="168">
        <v>0</v>
      </c>
      <c r="BF44" s="182">
        <v>0</v>
      </c>
      <c r="BG44" s="182">
        <v>0</v>
      </c>
      <c r="BH44" s="182">
        <v>0</v>
      </c>
      <c r="BI44" s="182">
        <v>0</v>
      </c>
      <c r="BJ44" s="182">
        <v>0</v>
      </c>
      <c r="BK44" s="182">
        <v>0</v>
      </c>
      <c r="BL44" s="182">
        <v>0</v>
      </c>
      <c r="BM44" s="182">
        <v>0</v>
      </c>
      <c r="BN44" s="182">
        <v>0</v>
      </c>
      <c r="BO44" s="182">
        <v>0</v>
      </c>
      <c r="BP44" s="182">
        <v>0</v>
      </c>
      <c r="BQ44" s="182">
        <v>0</v>
      </c>
      <c r="BR44" s="182">
        <v>0</v>
      </c>
      <c r="BS44" s="182">
        <v>0</v>
      </c>
      <c r="BT44" s="182">
        <v>0</v>
      </c>
      <c r="BU44" s="182">
        <v>0</v>
      </c>
      <c r="BV44" s="182">
        <v>0</v>
      </c>
      <c r="BW44" s="182">
        <v>0</v>
      </c>
      <c r="BX44" s="182">
        <v>0</v>
      </c>
      <c r="BY44" s="182">
        <v>0</v>
      </c>
      <c r="BZ44" s="182">
        <v>0</v>
      </c>
      <c r="CA44" s="182">
        <v>0</v>
      </c>
      <c r="CB44" s="182">
        <v>0</v>
      </c>
      <c r="CC44" s="182">
        <v>0</v>
      </c>
      <c r="CD44" s="182">
        <v>0</v>
      </c>
      <c r="CE44" s="182">
        <v>0</v>
      </c>
      <c r="CF44" s="182">
        <v>0</v>
      </c>
      <c r="CG44" s="182">
        <v>0</v>
      </c>
      <c r="CH44" s="182">
        <v>0</v>
      </c>
      <c r="CI44" s="182">
        <v>0</v>
      </c>
      <c r="CJ44" s="182">
        <v>0</v>
      </c>
      <c r="CK44" s="182">
        <v>0</v>
      </c>
      <c r="CL44" s="182">
        <v>0</v>
      </c>
      <c r="CM44" s="182">
        <v>0</v>
      </c>
      <c r="CN44" s="182">
        <v>0</v>
      </c>
      <c r="CO44" s="182">
        <v>0</v>
      </c>
      <c r="CP44" s="182">
        <v>0</v>
      </c>
      <c r="CQ44" s="182">
        <v>0</v>
      </c>
      <c r="CR44" s="182">
        <v>0</v>
      </c>
      <c r="CS44" s="182">
        <v>0</v>
      </c>
      <c r="CT44" s="182">
        <v>0</v>
      </c>
      <c r="CU44" s="182">
        <v>0</v>
      </c>
      <c r="CV44" s="182">
        <v>0</v>
      </c>
      <c r="CW44" s="182">
        <v>0</v>
      </c>
      <c r="CX44" s="182">
        <v>0</v>
      </c>
      <c r="CY44" s="182">
        <v>0</v>
      </c>
      <c r="CZ44" s="182">
        <v>0</v>
      </c>
      <c r="DA44" s="182">
        <v>0</v>
      </c>
      <c r="DB44" s="182">
        <v>0</v>
      </c>
      <c r="DC44" s="182">
        <v>0</v>
      </c>
      <c r="DD44" s="182">
        <v>0</v>
      </c>
      <c r="DE44" s="182">
        <v>0</v>
      </c>
      <c r="DF44" s="182">
        <v>0</v>
      </c>
      <c r="DG44" s="182">
        <v>0</v>
      </c>
      <c r="DH44" s="182">
        <v>0</v>
      </c>
      <c r="DI44" s="182">
        <v>0</v>
      </c>
      <c r="DJ44" s="182">
        <v>0</v>
      </c>
      <c r="DK44" s="182">
        <v>0</v>
      </c>
      <c r="DL44" s="182">
        <v>0</v>
      </c>
      <c r="DM44" s="182">
        <v>0</v>
      </c>
      <c r="DN44" s="182">
        <v>0</v>
      </c>
      <c r="DO44" s="182">
        <v>0</v>
      </c>
      <c r="DP44" s="182">
        <v>0</v>
      </c>
      <c r="DQ44" s="182">
        <v>0</v>
      </c>
      <c r="DR44" s="182">
        <v>0</v>
      </c>
      <c r="DS44" s="182">
        <v>0</v>
      </c>
      <c r="DT44" s="182">
        <v>0</v>
      </c>
      <c r="DU44" s="182">
        <v>0</v>
      </c>
      <c r="DV44" s="182">
        <v>0</v>
      </c>
      <c r="DW44" s="182">
        <v>0</v>
      </c>
      <c r="DX44" s="182">
        <v>0</v>
      </c>
      <c r="DY44" s="182">
        <v>0</v>
      </c>
      <c r="DZ44" s="182">
        <v>0</v>
      </c>
      <c r="EA44" s="182">
        <v>0</v>
      </c>
      <c r="EB44" s="182">
        <v>0</v>
      </c>
      <c r="EC44" s="182">
        <v>0</v>
      </c>
      <c r="ED44" s="182">
        <v>0</v>
      </c>
      <c r="EE44" s="182">
        <v>0</v>
      </c>
      <c r="EF44" s="182">
        <v>0</v>
      </c>
      <c r="EG44" s="182">
        <v>0</v>
      </c>
      <c r="EH44" s="182">
        <v>0</v>
      </c>
      <c r="EI44" s="182">
        <v>0</v>
      </c>
      <c r="EJ44" s="182">
        <v>0</v>
      </c>
      <c r="EK44" s="182">
        <v>0</v>
      </c>
      <c r="EL44" s="182">
        <v>0</v>
      </c>
      <c r="EM44" s="182">
        <v>0</v>
      </c>
      <c r="EN44" s="182">
        <v>0</v>
      </c>
      <c r="EO44" s="182">
        <v>0</v>
      </c>
      <c r="EP44" s="182">
        <v>0</v>
      </c>
      <c r="EQ44" s="182">
        <v>0</v>
      </c>
      <c r="ER44" s="182">
        <v>0</v>
      </c>
      <c r="ES44" s="182">
        <v>0</v>
      </c>
      <c r="ET44" s="182">
        <v>0</v>
      </c>
      <c r="EU44" s="182">
        <v>0</v>
      </c>
      <c r="EV44" s="182">
        <v>0</v>
      </c>
      <c r="EW44" s="182">
        <v>0</v>
      </c>
      <c r="EX44" s="182">
        <v>0</v>
      </c>
      <c r="EY44" s="182">
        <v>0</v>
      </c>
      <c r="EZ44" s="182">
        <v>0</v>
      </c>
      <c r="FA44" s="182">
        <v>0</v>
      </c>
      <c r="FB44" s="183">
        <v>0</v>
      </c>
      <c r="FC44" s="29"/>
      <c r="FD44" s="29"/>
    </row>
    <row r="45" spans="2:160" ht="12.75" customHeight="1" x14ac:dyDescent="0.3">
      <c r="B45" s="180" t="s">
        <v>3855</v>
      </c>
      <c r="C45" s="278"/>
      <c r="D45" s="177">
        <v>0</v>
      </c>
      <c r="E45" s="177">
        <f>k.aRS.s2RS</f>
        <v>9.4506281450572056E-7</v>
      </c>
      <c r="F45" s="177">
        <v>0</v>
      </c>
      <c r="G45" s="176">
        <v>0</v>
      </c>
      <c r="H45" s="177">
        <f>k.cwRS.s2RS</f>
        <v>4.4200344380113331E-5</v>
      </c>
      <c r="I45" s="177">
        <v>0</v>
      </c>
      <c r="J45" s="177">
        <v>0</v>
      </c>
      <c r="K45" s="168">
        <v>0</v>
      </c>
      <c r="L45" s="168">
        <v>0</v>
      </c>
      <c r="M45" s="168">
        <v>0</v>
      </c>
      <c r="N45" s="168">
        <v>0</v>
      </c>
      <c r="O45" s="182">
        <v>0</v>
      </c>
      <c r="P45" s="182">
        <v>0</v>
      </c>
      <c r="Q45" s="182">
        <v>0</v>
      </c>
      <c r="R45" s="182">
        <v>0</v>
      </c>
      <c r="S45" s="182">
        <v>0</v>
      </c>
      <c r="T45" s="182">
        <v>0</v>
      </c>
      <c r="U45" s="182">
        <v>0</v>
      </c>
      <c r="V45" s="182">
        <v>0</v>
      </c>
      <c r="W45" s="182">
        <v>0</v>
      </c>
      <c r="X45" s="182">
        <v>0</v>
      </c>
      <c r="Y45" s="182">
        <v>0</v>
      </c>
      <c r="Z45" s="182">
        <v>0</v>
      </c>
      <c r="AA45" s="182">
        <v>0</v>
      </c>
      <c r="AB45" s="182">
        <v>0</v>
      </c>
      <c r="AC45" s="182">
        <v>0</v>
      </c>
      <c r="AD45" s="182">
        <v>0</v>
      </c>
      <c r="AE45" s="182">
        <v>0</v>
      </c>
      <c r="AF45" s="182">
        <v>0</v>
      </c>
      <c r="AG45" s="182">
        <v>0</v>
      </c>
      <c r="AH45" s="182">
        <v>0</v>
      </c>
      <c r="AI45" s="182">
        <v>0</v>
      </c>
      <c r="AJ45" s="182">
        <v>0</v>
      </c>
      <c r="AK45" s="182">
        <v>0</v>
      </c>
      <c r="AL45" s="182">
        <v>0</v>
      </c>
      <c r="AM45" s="312">
        <v>0</v>
      </c>
      <c r="AN45" s="181">
        <f>-k.s2RS-SUM(AN$9:AN44,AN46:AN$163)</f>
        <v>-2.0693866055620472E-2</v>
      </c>
      <c r="AO45" s="176">
        <v>0</v>
      </c>
      <c r="AP45" s="306">
        <v>0</v>
      </c>
      <c r="AQ45" s="182">
        <v>0</v>
      </c>
      <c r="AR45" s="182">
        <v>0</v>
      </c>
      <c r="AS45" s="182">
        <v>0</v>
      </c>
      <c r="AT45" s="182">
        <v>0</v>
      </c>
      <c r="AU45" s="182">
        <v>0</v>
      </c>
      <c r="AV45" s="182">
        <v>0</v>
      </c>
      <c r="AW45" s="182">
        <v>0</v>
      </c>
      <c r="AX45" s="182">
        <v>0</v>
      </c>
      <c r="AY45" s="182">
        <v>0</v>
      </c>
      <c r="AZ45" s="182">
        <v>0</v>
      </c>
      <c r="BA45" s="182">
        <v>0</v>
      </c>
      <c r="BB45" s="168">
        <v>0</v>
      </c>
      <c r="BC45" s="168">
        <v>0</v>
      </c>
      <c r="BD45" s="168">
        <v>0</v>
      </c>
      <c r="BE45" s="168">
        <v>0</v>
      </c>
      <c r="BF45" s="182">
        <v>0</v>
      </c>
      <c r="BG45" s="182">
        <v>0</v>
      </c>
      <c r="BH45" s="182">
        <v>0</v>
      </c>
      <c r="BI45" s="182">
        <v>0</v>
      </c>
      <c r="BJ45" s="182">
        <v>0</v>
      </c>
      <c r="BK45" s="182">
        <v>0</v>
      </c>
      <c r="BL45" s="182">
        <v>0</v>
      </c>
      <c r="BM45" s="182">
        <v>0</v>
      </c>
      <c r="BN45" s="182">
        <v>0</v>
      </c>
      <c r="BO45" s="182">
        <v>0</v>
      </c>
      <c r="BP45" s="182">
        <v>0</v>
      </c>
      <c r="BQ45" s="182">
        <v>0</v>
      </c>
      <c r="BR45" s="182">
        <v>0</v>
      </c>
      <c r="BS45" s="182">
        <v>0</v>
      </c>
      <c r="BT45" s="182">
        <v>0</v>
      </c>
      <c r="BU45" s="182">
        <v>0</v>
      </c>
      <c r="BV45" s="182">
        <v>0</v>
      </c>
      <c r="BW45" s="182">
        <v>0</v>
      </c>
      <c r="BX45" s="182">
        <v>0</v>
      </c>
      <c r="BY45" s="182">
        <v>0</v>
      </c>
      <c r="BZ45" s="182">
        <v>0</v>
      </c>
      <c r="CA45" s="182">
        <v>0</v>
      </c>
      <c r="CB45" s="182">
        <v>0</v>
      </c>
      <c r="CC45" s="182">
        <v>0</v>
      </c>
      <c r="CD45" s="182">
        <v>0</v>
      </c>
      <c r="CE45" s="182">
        <v>0</v>
      </c>
      <c r="CF45" s="182">
        <v>0</v>
      </c>
      <c r="CG45" s="182">
        <v>0</v>
      </c>
      <c r="CH45" s="182">
        <v>0</v>
      </c>
      <c r="CI45" s="182">
        <v>0</v>
      </c>
      <c r="CJ45" s="182">
        <v>0</v>
      </c>
      <c r="CK45" s="182">
        <v>0</v>
      </c>
      <c r="CL45" s="182">
        <v>0</v>
      </c>
      <c r="CM45" s="182">
        <v>0</v>
      </c>
      <c r="CN45" s="182">
        <v>0</v>
      </c>
      <c r="CO45" s="182">
        <v>0</v>
      </c>
      <c r="CP45" s="182">
        <v>0</v>
      </c>
      <c r="CQ45" s="182">
        <v>0</v>
      </c>
      <c r="CR45" s="182">
        <v>0</v>
      </c>
      <c r="CS45" s="182">
        <v>0</v>
      </c>
      <c r="CT45" s="182">
        <v>0</v>
      </c>
      <c r="CU45" s="182">
        <v>0</v>
      </c>
      <c r="CV45" s="182">
        <v>0</v>
      </c>
      <c r="CW45" s="182">
        <v>0</v>
      </c>
      <c r="CX45" s="182">
        <v>0</v>
      </c>
      <c r="CY45" s="182">
        <v>0</v>
      </c>
      <c r="CZ45" s="182">
        <v>0</v>
      </c>
      <c r="DA45" s="182">
        <v>0</v>
      </c>
      <c r="DB45" s="182">
        <v>0</v>
      </c>
      <c r="DC45" s="182">
        <v>0</v>
      </c>
      <c r="DD45" s="182">
        <v>0</v>
      </c>
      <c r="DE45" s="182">
        <v>0</v>
      </c>
      <c r="DF45" s="182">
        <v>0</v>
      </c>
      <c r="DG45" s="182">
        <v>0</v>
      </c>
      <c r="DH45" s="182">
        <v>0</v>
      </c>
      <c r="DI45" s="182">
        <v>0</v>
      </c>
      <c r="DJ45" s="182">
        <v>0</v>
      </c>
      <c r="DK45" s="182">
        <v>0</v>
      </c>
      <c r="DL45" s="182">
        <v>0</v>
      </c>
      <c r="DM45" s="182">
        <v>0</v>
      </c>
      <c r="DN45" s="182">
        <v>0</v>
      </c>
      <c r="DO45" s="182">
        <v>0</v>
      </c>
      <c r="DP45" s="182">
        <v>0</v>
      </c>
      <c r="DQ45" s="182">
        <v>0</v>
      </c>
      <c r="DR45" s="182">
        <v>0</v>
      </c>
      <c r="DS45" s="182">
        <v>0</v>
      </c>
      <c r="DT45" s="182">
        <v>0</v>
      </c>
      <c r="DU45" s="182">
        <v>0</v>
      </c>
      <c r="DV45" s="182">
        <v>0</v>
      </c>
      <c r="DW45" s="182">
        <v>0</v>
      </c>
      <c r="DX45" s="182">
        <v>0</v>
      </c>
      <c r="DY45" s="182">
        <v>0</v>
      </c>
      <c r="DZ45" s="182">
        <v>0</v>
      </c>
      <c r="EA45" s="182">
        <v>0</v>
      </c>
      <c r="EB45" s="182">
        <v>0</v>
      </c>
      <c r="EC45" s="182">
        <v>0</v>
      </c>
      <c r="ED45" s="182">
        <v>0</v>
      </c>
      <c r="EE45" s="182">
        <v>0</v>
      </c>
      <c r="EF45" s="182">
        <v>0</v>
      </c>
      <c r="EG45" s="182">
        <v>0</v>
      </c>
      <c r="EH45" s="182">
        <v>0</v>
      </c>
      <c r="EI45" s="182">
        <v>0</v>
      </c>
      <c r="EJ45" s="182">
        <v>0</v>
      </c>
      <c r="EK45" s="182">
        <v>0</v>
      </c>
      <c r="EL45" s="182">
        <v>0</v>
      </c>
      <c r="EM45" s="182">
        <v>0</v>
      </c>
      <c r="EN45" s="182">
        <v>0</v>
      </c>
      <c r="EO45" s="182">
        <v>0</v>
      </c>
      <c r="EP45" s="182">
        <v>0</v>
      </c>
      <c r="EQ45" s="182">
        <v>0</v>
      </c>
      <c r="ER45" s="182">
        <v>0</v>
      </c>
      <c r="ES45" s="182">
        <v>0</v>
      </c>
      <c r="ET45" s="182">
        <v>0</v>
      </c>
      <c r="EU45" s="182">
        <v>0</v>
      </c>
      <c r="EV45" s="182">
        <v>0</v>
      </c>
      <c r="EW45" s="182">
        <v>0</v>
      </c>
      <c r="EX45" s="182">
        <v>0</v>
      </c>
      <c r="EY45" s="182">
        <v>0</v>
      </c>
      <c r="EZ45" s="182">
        <v>0</v>
      </c>
      <c r="FA45" s="182">
        <v>0</v>
      </c>
      <c r="FB45" s="183">
        <v>0</v>
      </c>
    </row>
    <row r="46" spans="2:160" ht="12.75" customHeight="1" x14ac:dyDescent="0.3">
      <c r="B46" s="180" t="s">
        <v>3856</v>
      </c>
      <c r="C46" s="278"/>
      <c r="D46" s="177">
        <v>0</v>
      </c>
      <c r="E46" s="177">
        <v>0</v>
      </c>
      <c r="F46" s="177">
        <f>k.aRA.s2RA</f>
        <v>1.6284524498053096E-7</v>
      </c>
      <c r="G46" s="176">
        <v>0</v>
      </c>
      <c r="H46" s="177">
        <v>0</v>
      </c>
      <c r="I46" s="177">
        <f>k.cwRA.s2RA</f>
        <v>4.4200344380113331E-5</v>
      </c>
      <c r="J46" s="177">
        <v>0</v>
      </c>
      <c r="K46" s="168">
        <v>0</v>
      </c>
      <c r="L46" s="168">
        <v>0</v>
      </c>
      <c r="M46" s="168">
        <v>0</v>
      </c>
      <c r="N46" s="168">
        <v>0</v>
      </c>
      <c r="O46" s="182">
        <v>0</v>
      </c>
      <c r="P46" s="182">
        <v>0</v>
      </c>
      <c r="Q46" s="182">
        <v>0</v>
      </c>
      <c r="R46" s="182">
        <v>0</v>
      </c>
      <c r="S46" s="182">
        <v>0</v>
      </c>
      <c r="T46" s="182">
        <v>0</v>
      </c>
      <c r="U46" s="182">
        <v>0</v>
      </c>
      <c r="V46" s="182">
        <v>0</v>
      </c>
      <c r="W46" s="182">
        <v>0</v>
      </c>
      <c r="X46" s="182">
        <v>0</v>
      </c>
      <c r="Y46" s="182">
        <v>0</v>
      </c>
      <c r="Z46" s="182">
        <v>0</v>
      </c>
      <c r="AA46" s="182">
        <v>0</v>
      </c>
      <c r="AB46" s="182">
        <v>0</v>
      </c>
      <c r="AC46" s="182">
        <v>0</v>
      </c>
      <c r="AD46" s="182">
        <v>0</v>
      </c>
      <c r="AE46" s="182">
        <v>0</v>
      </c>
      <c r="AF46" s="182">
        <v>0</v>
      </c>
      <c r="AG46" s="182">
        <v>0</v>
      </c>
      <c r="AH46" s="182">
        <v>0</v>
      </c>
      <c r="AI46" s="182">
        <v>0</v>
      </c>
      <c r="AJ46" s="182">
        <v>0</v>
      </c>
      <c r="AK46" s="182">
        <v>0</v>
      </c>
      <c r="AL46" s="182">
        <v>0</v>
      </c>
      <c r="AM46" s="312">
        <v>0</v>
      </c>
      <c r="AN46" s="176">
        <f>k.s2RS.s2RA</f>
        <v>1.5803861528693407E-2</v>
      </c>
      <c r="AO46" s="181">
        <f>-k.s2RA-SUM(AO$9:AO45,AO47:AO$163)</f>
        <v>-6.4614816252141533E-8</v>
      </c>
      <c r="AP46" s="306">
        <v>0</v>
      </c>
      <c r="AQ46" s="182">
        <v>0</v>
      </c>
      <c r="AR46" s="182">
        <v>0</v>
      </c>
      <c r="AS46" s="182">
        <v>0</v>
      </c>
      <c r="AT46" s="182">
        <v>0</v>
      </c>
      <c r="AU46" s="182">
        <v>0</v>
      </c>
      <c r="AV46" s="182">
        <v>0</v>
      </c>
      <c r="AW46" s="182">
        <v>0</v>
      </c>
      <c r="AX46" s="182">
        <v>0</v>
      </c>
      <c r="AY46" s="182">
        <v>0</v>
      </c>
      <c r="AZ46" s="182">
        <v>0</v>
      </c>
      <c r="BA46" s="182">
        <v>0</v>
      </c>
      <c r="BB46" s="168">
        <v>0</v>
      </c>
      <c r="BC46" s="168">
        <v>0</v>
      </c>
      <c r="BD46" s="168">
        <v>0</v>
      </c>
      <c r="BE46" s="168">
        <v>0</v>
      </c>
      <c r="BF46" s="182">
        <v>0</v>
      </c>
      <c r="BG46" s="182">
        <v>0</v>
      </c>
      <c r="BH46" s="182">
        <v>0</v>
      </c>
      <c r="BI46" s="182">
        <v>0</v>
      </c>
      <c r="BJ46" s="182">
        <v>0</v>
      </c>
      <c r="BK46" s="182">
        <v>0</v>
      </c>
      <c r="BL46" s="182">
        <v>0</v>
      </c>
      <c r="BM46" s="182">
        <v>0</v>
      </c>
      <c r="BN46" s="182">
        <v>0</v>
      </c>
      <c r="BO46" s="182">
        <v>0</v>
      </c>
      <c r="BP46" s="182">
        <v>0</v>
      </c>
      <c r="BQ46" s="182">
        <v>0</v>
      </c>
      <c r="BR46" s="182">
        <v>0</v>
      </c>
      <c r="BS46" s="182">
        <v>0</v>
      </c>
      <c r="BT46" s="182">
        <v>0</v>
      </c>
      <c r="BU46" s="182">
        <v>0</v>
      </c>
      <c r="BV46" s="182">
        <v>0</v>
      </c>
      <c r="BW46" s="182">
        <v>0</v>
      </c>
      <c r="BX46" s="182">
        <v>0</v>
      </c>
      <c r="BY46" s="182">
        <v>0</v>
      </c>
      <c r="BZ46" s="182">
        <v>0</v>
      </c>
      <c r="CA46" s="182">
        <v>0</v>
      </c>
      <c r="CB46" s="182">
        <v>0</v>
      </c>
      <c r="CC46" s="182">
        <v>0</v>
      </c>
      <c r="CD46" s="182">
        <v>0</v>
      </c>
      <c r="CE46" s="182">
        <v>0</v>
      </c>
      <c r="CF46" s="182">
        <v>0</v>
      </c>
      <c r="CG46" s="182">
        <v>0</v>
      </c>
      <c r="CH46" s="182">
        <v>0</v>
      </c>
      <c r="CI46" s="182">
        <v>0</v>
      </c>
      <c r="CJ46" s="182">
        <v>0</v>
      </c>
      <c r="CK46" s="182">
        <v>0</v>
      </c>
      <c r="CL46" s="182">
        <v>0</v>
      </c>
      <c r="CM46" s="182">
        <v>0</v>
      </c>
      <c r="CN46" s="182">
        <v>0</v>
      </c>
      <c r="CO46" s="182">
        <v>0</v>
      </c>
      <c r="CP46" s="182">
        <v>0</v>
      </c>
      <c r="CQ46" s="182">
        <v>0</v>
      </c>
      <c r="CR46" s="182">
        <v>0</v>
      </c>
      <c r="CS46" s="182">
        <v>0</v>
      </c>
      <c r="CT46" s="182">
        <v>0</v>
      </c>
      <c r="CU46" s="182">
        <v>0</v>
      </c>
      <c r="CV46" s="182">
        <v>0</v>
      </c>
      <c r="CW46" s="182">
        <v>0</v>
      </c>
      <c r="CX46" s="182">
        <v>0</v>
      </c>
      <c r="CY46" s="182">
        <v>0</v>
      </c>
      <c r="CZ46" s="182">
        <v>0</v>
      </c>
      <c r="DA46" s="182">
        <v>0</v>
      </c>
      <c r="DB46" s="182">
        <v>0</v>
      </c>
      <c r="DC46" s="182">
        <v>0</v>
      </c>
      <c r="DD46" s="182">
        <v>0</v>
      </c>
      <c r="DE46" s="182">
        <v>0</v>
      </c>
      <c r="DF46" s="182">
        <v>0</v>
      </c>
      <c r="DG46" s="182">
        <v>0</v>
      </c>
      <c r="DH46" s="182">
        <v>0</v>
      </c>
      <c r="DI46" s="182">
        <v>0</v>
      </c>
      <c r="DJ46" s="182">
        <v>0</v>
      </c>
      <c r="DK46" s="182">
        <v>0</v>
      </c>
      <c r="DL46" s="182">
        <v>0</v>
      </c>
      <c r="DM46" s="182">
        <v>0</v>
      </c>
      <c r="DN46" s="182">
        <v>0</v>
      </c>
      <c r="DO46" s="182">
        <v>0</v>
      </c>
      <c r="DP46" s="182">
        <v>0</v>
      </c>
      <c r="DQ46" s="182">
        <v>0</v>
      </c>
      <c r="DR46" s="182">
        <v>0</v>
      </c>
      <c r="DS46" s="182">
        <v>0</v>
      </c>
      <c r="DT46" s="182">
        <v>0</v>
      </c>
      <c r="DU46" s="182">
        <v>0</v>
      </c>
      <c r="DV46" s="182">
        <v>0</v>
      </c>
      <c r="DW46" s="182">
        <v>0</v>
      </c>
      <c r="DX46" s="182">
        <v>0</v>
      </c>
      <c r="DY46" s="182">
        <v>0</v>
      </c>
      <c r="DZ46" s="182">
        <v>0</v>
      </c>
      <c r="EA46" s="182">
        <v>0</v>
      </c>
      <c r="EB46" s="182">
        <v>0</v>
      </c>
      <c r="EC46" s="182">
        <v>0</v>
      </c>
      <c r="ED46" s="182">
        <v>0</v>
      </c>
      <c r="EE46" s="182">
        <v>0</v>
      </c>
      <c r="EF46" s="182">
        <v>0</v>
      </c>
      <c r="EG46" s="182">
        <v>0</v>
      </c>
      <c r="EH46" s="182">
        <v>0</v>
      </c>
      <c r="EI46" s="182">
        <v>0</v>
      </c>
      <c r="EJ46" s="182">
        <v>0</v>
      </c>
      <c r="EK46" s="182">
        <v>0</v>
      </c>
      <c r="EL46" s="182">
        <v>0</v>
      </c>
      <c r="EM46" s="182">
        <v>0</v>
      </c>
      <c r="EN46" s="182">
        <v>0</v>
      </c>
      <c r="EO46" s="182">
        <v>0</v>
      </c>
      <c r="EP46" s="182">
        <v>0</v>
      </c>
      <c r="EQ46" s="182">
        <v>0</v>
      </c>
      <c r="ER46" s="182">
        <v>0</v>
      </c>
      <c r="ES46" s="182">
        <v>0</v>
      </c>
      <c r="ET46" s="182">
        <v>0</v>
      </c>
      <c r="EU46" s="182">
        <v>0</v>
      </c>
      <c r="EV46" s="182">
        <v>0</v>
      </c>
      <c r="EW46" s="182">
        <v>0</v>
      </c>
      <c r="EX46" s="182">
        <v>0</v>
      </c>
      <c r="EY46" s="182">
        <v>0</v>
      </c>
      <c r="EZ46" s="182">
        <v>0</v>
      </c>
      <c r="FA46" s="182">
        <v>0</v>
      </c>
      <c r="FB46" s="183">
        <v>0</v>
      </c>
    </row>
    <row r="47" spans="2:160" ht="12.75" customHeight="1" x14ac:dyDescent="0.3">
      <c r="B47" s="180" t="s">
        <v>3857</v>
      </c>
      <c r="C47" s="278"/>
      <c r="D47" s="177">
        <v>0</v>
      </c>
      <c r="E47" s="177">
        <v>0</v>
      </c>
      <c r="F47" s="177">
        <v>0</v>
      </c>
      <c r="G47" s="176">
        <f>k.aRP.s2RP</f>
        <v>5.9738659730196605E-7</v>
      </c>
      <c r="H47" s="177">
        <v>0</v>
      </c>
      <c r="I47" s="177">
        <v>0</v>
      </c>
      <c r="J47" s="177">
        <f>k.cwRP.s2RP</f>
        <v>4.4200344380113331E-5</v>
      </c>
      <c r="K47" s="168">
        <v>0</v>
      </c>
      <c r="L47" s="168">
        <v>0</v>
      </c>
      <c r="M47" s="168">
        <v>0</v>
      </c>
      <c r="N47" s="168">
        <v>0</v>
      </c>
      <c r="O47" s="182">
        <v>0</v>
      </c>
      <c r="P47" s="182">
        <v>0</v>
      </c>
      <c r="Q47" s="182">
        <v>0</v>
      </c>
      <c r="R47" s="182">
        <v>0</v>
      </c>
      <c r="S47" s="182">
        <v>0</v>
      </c>
      <c r="T47" s="182">
        <v>0</v>
      </c>
      <c r="U47" s="182">
        <v>0</v>
      </c>
      <c r="V47" s="182">
        <v>0</v>
      </c>
      <c r="W47" s="182">
        <v>0</v>
      </c>
      <c r="X47" s="182">
        <v>0</v>
      </c>
      <c r="Y47" s="182">
        <v>0</v>
      </c>
      <c r="Z47" s="182">
        <v>0</v>
      </c>
      <c r="AA47" s="182">
        <v>0</v>
      </c>
      <c r="AB47" s="182">
        <v>0</v>
      </c>
      <c r="AC47" s="182">
        <v>0</v>
      </c>
      <c r="AD47" s="182">
        <v>0</v>
      </c>
      <c r="AE47" s="182">
        <v>0</v>
      </c>
      <c r="AF47" s="182">
        <v>0</v>
      </c>
      <c r="AG47" s="182">
        <v>0</v>
      </c>
      <c r="AH47" s="182">
        <v>0</v>
      </c>
      <c r="AI47" s="182">
        <v>0</v>
      </c>
      <c r="AJ47" s="182">
        <v>0</v>
      </c>
      <c r="AK47" s="182">
        <v>0</v>
      </c>
      <c r="AL47" s="182">
        <v>0</v>
      </c>
      <c r="AM47" s="308">
        <v>0</v>
      </c>
      <c r="AN47" s="309">
        <f>k.s2RS.s2RP</f>
        <v>4.8899399121108134E-3</v>
      </c>
      <c r="AO47" s="309">
        <v>0</v>
      </c>
      <c r="AP47" s="181">
        <f>-k.s2RP-SUM(AP$9:AP46,AP48:AP$163)</f>
        <v>-4.7564687975646885E-12</v>
      </c>
      <c r="AQ47" s="182">
        <v>0</v>
      </c>
      <c r="AR47" s="182">
        <v>0</v>
      </c>
      <c r="AS47" s="182">
        <v>0</v>
      </c>
      <c r="AT47" s="182">
        <v>0</v>
      </c>
      <c r="AU47" s="182">
        <v>0</v>
      </c>
      <c r="AV47" s="182">
        <v>0</v>
      </c>
      <c r="AW47" s="182">
        <v>0</v>
      </c>
      <c r="AX47" s="182">
        <v>0</v>
      </c>
      <c r="AY47" s="182">
        <v>0</v>
      </c>
      <c r="AZ47" s="182">
        <v>0</v>
      </c>
      <c r="BA47" s="182">
        <v>0</v>
      </c>
      <c r="BB47" s="168">
        <v>0</v>
      </c>
      <c r="BC47" s="168">
        <v>0</v>
      </c>
      <c r="BD47" s="168">
        <v>0</v>
      </c>
      <c r="BE47" s="168">
        <v>0</v>
      </c>
      <c r="BF47" s="182">
        <v>0</v>
      </c>
      <c r="BG47" s="182">
        <v>0</v>
      </c>
      <c r="BH47" s="182">
        <v>0</v>
      </c>
      <c r="BI47" s="182">
        <v>0</v>
      </c>
      <c r="BJ47" s="182">
        <v>0</v>
      </c>
      <c r="BK47" s="182">
        <v>0</v>
      </c>
      <c r="BL47" s="182">
        <v>0</v>
      </c>
      <c r="BM47" s="182">
        <v>0</v>
      </c>
      <c r="BN47" s="182">
        <v>0</v>
      </c>
      <c r="BO47" s="182">
        <v>0</v>
      </c>
      <c r="BP47" s="182">
        <v>0</v>
      </c>
      <c r="BQ47" s="182">
        <v>0</v>
      </c>
      <c r="BR47" s="182">
        <v>0</v>
      </c>
      <c r="BS47" s="182">
        <v>0</v>
      </c>
      <c r="BT47" s="182">
        <v>0</v>
      </c>
      <c r="BU47" s="182">
        <v>0</v>
      </c>
      <c r="BV47" s="182">
        <v>0</v>
      </c>
      <c r="BW47" s="182">
        <v>0</v>
      </c>
      <c r="BX47" s="182">
        <v>0</v>
      </c>
      <c r="BY47" s="182">
        <v>0</v>
      </c>
      <c r="BZ47" s="182">
        <v>0</v>
      </c>
      <c r="CA47" s="182">
        <v>0</v>
      </c>
      <c r="CB47" s="182">
        <v>0</v>
      </c>
      <c r="CC47" s="182">
        <v>0</v>
      </c>
      <c r="CD47" s="182">
        <v>0</v>
      </c>
      <c r="CE47" s="182">
        <v>0</v>
      </c>
      <c r="CF47" s="182">
        <v>0</v>
      </c>
      <c r="CG47" s="182">
        <v>0</v>
      </c>
      <c r="CH47" s="182">
        <v>0</v>
      </c>
      <c r="CI47" s="182">
        <v>0</v>
      </c>
      <c r="CJ47" s="182">
        <v>0</v>
      </c>
      <c r="CK47" s="182">
        <v>0</v>
      </c>
      <c r="CL47" s="182">
        <v>0</v>
      </c>
      <c r="CM47" s="182">
        <v>0</v>
      </c>
      <c r="CN47" s="182">
        <v>0</v>
      </c>
      <c r="CO47" s="182">
        <v>0</v>
      </c>
      <c r="CP47" s="182">
        <v>0</v>
      </c>
      <c r="CQ47" s="182">
        <v>0</v>
      </c>
      <c r="CR47" s="182">
        <v>0</v>
      </c>
      <c r="CS47" s="182">
        <v>0</v>
      </c>
      <c r="CT47" s="182">
        <v>0</v>
      </c>
      <c r="CU47" s="182">
        <v>0</v>
      </c>
      <c r="CV47" s="182">
        <v>0</v>
      </c>
      <c r="CW47" s="182">
        <v>0</v>
      </c>
      <c r="CX47" s="182">
        <v>0</v>
      </c>
      <c r="CY47" s="182">
        <v>0</v>
      </c>
      <c r="CZ47" s="182">
        <v>0</v>
      </c>
      <c r="DA47" s="182">
        <v>0</v>
      </c>
      <c r="DB47" s="182">
        <v>0</v>
      </c>
      <c r="DC47" s="182">
        <v>0</v>
      </c>
      <c r="DD47" s="182">
        <v>0</v>
      </c>
      <c r="DE47" s="182">
        <v>0</v>
      </c>
      <c r="DF47" s="182">
        <v>0</v>
      </c>
      <c r="DG47" s="182">
        <v>0</v>
      </c>
      <c r="DH47" s="182">
        <v>0</v>
      </c>
      <c r="DI47" s="182">
        <v>0</v>
      </c>
      <c r="DJ47" s="182">
        <v>0</v>
      </c>
      <c r="DK47" s="182">
        <v>0</v>
      </c>
      <c r="DL47" s="182">
        <v>0</v>
      </c>
      <c r="DM47" s="182">
        <v>0</v>
      </c>
      <c r="DN47" s="182">
        <v>0</v>
      </c>
      <c r="DO47" s="182">
        <v>0</v>
      </c>
      <c r="DP47" s="182">
        <v>0</v>
      </c>
      <c r="DQ47" s="182">
        <v>0</v>
      </c>
      <c r="DR47" s="182">
        <v>0</v>
      </c>
      <c r="DS47" s="182">
        <v>0</v>
      </c>
      <c r="DT47" s="182">
        <v>0</v>
      </c>
      <c r="DU47" s="182">
        <v>0</v>
      </c>
      <c r="DV47" s="182">
        <v>0</v>
      </c>
      <c r="DW47" s="182">
        <v>0</v>
      </c>
      <c r="DX47" s="182">
        <v>0</v>
      </c>
      <c r="DY47" s="182">
        <v>0</v>
      </c>
      <c r="DZ47" s="182">
        <v>0</v>
      </c>
      <c r="EA47" s="182">
        <v>0</v>
      </c>
      <c r="EB47" s="182">
        <v>0</v>
      </c>
      <c r="EC47" s="182">
        <v>0</v>
      </c>
      <c r="ED47" s="182">
        <v>0</v>
      </c>
      <c r="EE47" s="182">
        <v>0</v>
      </c>
      <c r="EF47" s="182">
        <v>0</v>
      </c>
      <c r="EG47" s="182">
        <v>0</v>
      </c>
      <c r="EH47" s="182">
        <v>0</v>
      </c>
      <c r="EI47" s="182">
        <v>0</v>
      </c>
      <c r="EJ47" s="182">
        <v>0</v>
      </c>
      <c r="EK47" s="182">
        <v>0</v>
      </c>
      <c r="EL47" s="182">
        <v>0</v>
      </c>
      <c r="EM47" s="182">
        <v>0</v>
      </c>
      <c r="EN47" s="182">
        <v>0</v>
      </c>
      <c r="EO47" s="182">
        <v>0</v>
      </c>
      <c r="EP47" s="182">
        <v>0</v>
      </c>
      <c r="EQ47" s="182">
        <v>0</v>
      </c>
      <c r="ER47" s="182">
        <v>0</v>
      </c>
      <c r="ES47" s="182">
        <v>0</v>
      </c>
      <c r="ET47" s="182">
        <v>0</v>
      </c>
      <c r="EU47" s="182">
        <v>0</v>
      </c>
      <c r="EV47" s="182">
        <v>0</v>
      </c>
      <c r="EW47" s="182">
        <v>0</v>
      </c>
      <c r="EX47" s="182">
        <v>0</v>
      </c>
      <c r="EY47" s="182">
        <v>0</v>
      </c>
      <c r="EZ47" s="182">
        <v>0</v>
      </c>
      <c r="FA47" s="182">
        <v>0</v>
      </c>
      <c r="FB47" s="183">
        <v>0</v>
      </c>
    </row>
    <row r="48" spans="2:160" ht="12.75" customHeight="1" x14ac:dyDescent="0.3">
      <c r="B48" s="180" t="s">
        <v>3858</v>
      </c>
      <c r="C48" s="278"/>
      <c r="D48" s="177">
        <f>k.aRG.s3RD</f>
        <v>1.367056824871151E-10</v>
      </c>
      <c r="E48" s="177">
        <v>0</v>
      </c>
      <c r="F48" s="177">
        <v>0</v>
      </c>
      <c r="G48" s="176">
        <v>0</v>
      </c>
      <c r="H48" s="177">
        <v>0</v>
      </c>
      <c r="I48" s="177">
        <v>0</v>
      </c>
      <c r="J48" s="177">
        <v>0</v>
      </c>
      <c r="K48" s="168">
        <v>0</v>
      </c>
      <c r="L48" s="168">
        <v>0</v>
      </c>
      <c r="M48" s="168">
        <v>0</v>
      </c>
      <c r="N48" s="168">
        <v>0</v>
      </c>
      <c r="O48" s="182">
        <v>0</v>
      </c>
      <c r="P48" s="182">
        <v>0</v>
      </c>
      <c r="Q48" s="182">
        <v>0</v>
      </c>
      <c r="R48" s="182">
        <v>0</v>
      </c>
      <c r="S48" s="182">
        <v>0</v>
      </c>
      <c r="T48" s="182">
        <v>0</v>
      </c>
      <c r="U48" s="182">
        <v>0</v>
      </c>
      <c r="V48" s="182">
        <v>0</v>
      </c>
      <c r="W48" s="182">
        <v>0</v>
      </c>
      <c r="X48" s="182">
        <v>0</v>
      </c>
      <c r="Y48" s="182">
        <v>0</v>
      </c>
      <c r="Z48" s="182">
        <v>0</v>
      </c>
      <c r="AA48" s="182">
        <v>0</v>
      </c>
      <c r="AB48" s="182">
        <v>0</v>
      </c>
      <c r="AC48" s="182">
        <v>0</v>
      </c>
      <c r="AD48" s="182">
        <v>0</v>
      </c>
      <c r="AE48" s="182">
        <v>0</v>
      </c>
      <c r="AF48" s="182">
        <v>0</v>
      </c>
      <c r="AG48" s="182">
        <v>0</v>
      </c>
      <c r="AH48" s="182">
        <v>0</v>
      </c>
      <c r="AI48" s="182">
        <v>0</v>
      </c>
      <c r="AJ48" s="182">
        <v>0</v>
      </c>
      <c r="AK48" s="182">
        <v>0</v>
      </c>
      <c r="AL48" s="182">
        <v>0</v>
      </c>
      <c r="AM48" s="182">
        <v>0</v>
      </c>
      <c r="AN48" s="182">
        <v>0</v>
      </c>
      <c r="AO48" s="182">
        <v>0</v>
      </c>
      <c r="AP48" s="182">
        <v>0</v>
      </c>
      <c r="AQ48" s="310">
        <f>-k.s3RD-SUM(AQ9:AQ47,AQ49:AQ163)</f>
        <v>-1.5989553967171847E-7</v>
      </c>
      <c r="AR48" s="311">
        <f>kdis.s3S.s3D</f>
        <v>0</v>
      </c>
      <c r="AS48" s="311">
        <f>kdis.s3A.s3D</f>
        <v>0</v>
      </c>
      <c r="AT48" s="311">
        <f>kdis.s3P.s3D</f>
        <v>0</v>
      </c>
      <c r="AU48" s="182">
        <v>0</v>
      </c>
      <c r="AV48" s="182">
        <v>0</v>
      </c>
      <c r="AW48" s="182">
        <v>0</v>
      </c>
      <c r="AX48" s="182">
        <v>0</v>
      </c>
      <c r="AY48" s="182">
        <v>0</v>
      </c>
      <c r="AZ48" s="182">
        <v>0</v>
      </c>
      <c r="BA48" s="182">
        <v>0</v>
      </c>
      <c r="BB48" s="168">
        <v>0</v>
      </c>
      <c r="BC48" s="168">
        <v>0</v>
      </c>
      <c r="BD48" s="168">
        <v>0</v>
      </c>
      <c r="BE48" s="168">
        <v>0</v>
      </c>
      <c r="BF48" s="182">
        <v>0</v>
      </c>
      <c r="BG48" s="182">
        <v>0</v>
      </c>
      <c r="BH48" s="182">
        <v>0</v>
      </c>
      <c r="BI48" s="182">
        <v>0</v>
      </c>
      <c r="BJ48" s="182">
        <v>0</v>
      </c>
      <c r="BK48" s="182">
        <v>0</v>
      </c>
      <c r="BL48" s="182">
        <v>0</v>
      </c>
      <c r="BM48" s="182">
        <v>0</v>
      </c>
      <c r="BN48" s="182">
        <v>0</v>
      </c>
      <c r="BO48" s="182">
        <v>0</v>
      </c>
      <c r="BP48" s="182">
        <v>0</v>
      </c>
      <c r="BQ48" s="182">
        <v>0</v>
      </c>
      <c r="BR48" s="182">
        <v>0</v>
      </c>
      <c r="BS48" s="182">
        <v>0</v>
      </c>
      <c r="BT48" s="182">
        <v>0</v>
      </c>
      <c r="BU48" s="182">
        <v>0</v>
      </c>
      <c r="BV48" s="182">
        <v>0</v>
      </c>
      <c r="BW48" s="182">
        <v>0</v>
      </c>
      <c r="BX48" s="182">
        <v>0</v>
      </c>
      <c r="BY48" s="182">
        <v>0</v>
      </c>
      <c r="BZ48" s="182">
        <v>0</v>
      </c>
      <c r="CA48" s="182">
        <v>0</v>
      </c>
      <c r="CB48" s="182">
        <v>0</v>
      </c>
      <c r="CC48" s="182">
        <v>0</v>
      </c>
      <c r="CD48" s="182">
        <v>0</v>
      </c>
      <c r="CE48" s="182">
        <v>0</v>
      </c>
      <c r="CF48" s="182">
        <v>0</v>
      </c>
      <c r="CG48" s="182">
        <v>0</v>
      </c>
      <c r="CH48" s="182">
        <v>0</v>
      </c>
      <c r="CI48" s="182">
        <v>0</v>
      </c>
      <c r="CJ48" s="182">
        <v>0</v>
      </c>
      <c r="CK48" s="182">
        <v>0</v>
      </c>
      <c r="CL48" s="182">
        <v>0</v>
      </c>
      <c r="CM48" s="182">
        <v>0</v>
      </c>
      <c r="CN48" s="182">
        <v>0</v>
      </c>
      <c r="CO48" s="182">
        <v>0</v>
      </c>
      <c r="CP48" s="182">
        <v>0</v>
      </c>
      <c r="CQ48" s="182">
        <v>0</v>
      </c>
      <c r="CR48" s="182">
        <v>0</v>
      </c>
      <c r="CS48" s="182">
        <v>0</v>
      </c>
      <c r="CT48" s="182">
        <v>0</v>
      </c>
      <c r="CU48" s="182">
        <v>0</v>
      </c>
      <c r="CV48" s="182">
        <v>0</v>
      </c>
      <c r="CW48" s="182">
        <v>0</v>
      </c>
      <c r="CX48" s="182">
        <v>0</v>
      </c>
      <c r="CY48" s="182">
        <v>0</v>
      </c>
      <c r="CZ48" s="182">
        <v>0</v>
      </c>
      <c r="DA48" s="182">
        <v>0</v>
      </c>
      <c r="DB48" s="182">
        <v>0</v>
      </c>
      <c r="DC48" s="182">
        <v>0</v>
      </c>
      <c r="DD48" s="182">
        <v>0</v>
      </c>
      <c r="DE48" s="182">
        <v>0</v>
      </c>
      <c r="DF48" s="182">
        <v>0</v>
      </c>
      <c r="DG48" s="182">
        <v>0</v>
      </c>
      <c r="DH48" s="182">
        <v>0</v>
      </c>
      <c r="DI48" s="182">
        <v>0</v>
      </c>
      <c r="DJ48" s="182">
        <v>0</v>
      </c>
      <c r="DK48" s="182">
        <v>0</v>
      </c>
      <c r="DL48" s="182">
        <v>0</v>
      </c>
      <c r="DM48" s="182">
        <v>0</v>
      </c>
      <c r="DN48" s="182">
        <v>0</v>
      </c>
      <c r="DO48" s="182">
        <v>0</v>
      </c>
      <c r="DP48" s="182">
        <v>0</v>
      </c>
      <c r="DQ48" s="182">
        <v>0</v>
      </c>
      <c r="DR48" s="182">
        <v>0</v>
      </c>
      <c r="DS48" s="182">
        <v>0</v>
      </c>
      <c r="DT48" s="182">
        <v>0</v>
      </c>
      <c r="DU48" s="182">
        <v>0</v>
      </c>
      <c r="DV48" s="182">
        <v>0</v>
      </c>
      <c r="DW48" s="182">
        <v>0</v>
      </c>
      <c r="DX48" s="182">
        <v>0</v>
      </c>
      <c r="DY48" s="182">
        <v>0</v>
      </c>
      <c r="DZ48" s="182">
        <v>0</v>
      </c>
      <c r="EA48" s="182">
        <v>0</v>
      </c>
      <c r="EB48" s="182">
        <v>0</v>
      </c>
      <c r="EC48" s="182">
        <v>0</v>
      </c>
      <c r="ED48" s="182">
        <v>0</v>
      </c>
      <c r="EE48" s="182">
        <v>0</v>
      </c>
      <c r="EF48" s="182">
        <v>0</v>
      </c>
      <c r="EG48" s="182">
        <v>0</v>
      </c>
      <c r="EH48" s="182">
        <v>0</v>
      </c>
      <c r="EI48" s="182">
        <v>0</v>
      </c>
      <c r="EJ48" s="182">
        <v>0</v>
      </c>
      <c r="EK48" s="182">
        <v>0</v>
      </c>
      <c r="EL48" s="182">
        <v>0</v>
      </c>
      <c r="EM48" s="182">
        <v>0</v>
      </c>
      <c r="EN48" s="182">
        <v>0</v>
      </c>
      <c r="EO48" s="182">
        <v>0</v>
      </c>
      <c r="EP48" s="182">
        <v>0</v>
      </c>
      <c r="EQ48" s="182">
        <v>0</v>
      </c>
      <c r="ER48" s="182">
        <v>0</v>
      </c>
      <c r="ES48" s="182">
        <v>0</v>
      </c>
      <c r="ET48" s="182">
        <v>0</v>
      </c>
      <c r="EU48" s="182">
        <v>0</v>
      </c>
      <c r="EV48" s="182">
        <v>0</v>
      </c>
      <c r="EW48" s="182">
        <v>0</v>
      </c>
      <c r="EX48" s="182">
        <v>0</v>
      </c>
      <c r="EY48" s="182">
        <v>0</v>
      </c>
      <c r="EZ48" s="182">
        <v>0</v>
      </c>
      <c r="FA48" s="182">
        <v>0</v>
      </c>
      <c r="FB48" s="183">
        <v>0</v>
      </c>
    </row>
    <row r="49" spans="2:158" ht="12.75" customHeight="1" x14ac:dyDescent="0.3">
      <c r="B49" s="180" t="s">
        <v>3859</v>
      </c>
      <c r="C49" s="278"/>
      <c r="D49" s="177">
        <v>0</v>
      </c>
      <c r="E49" s="177">
        <f>k.aRS.s3RS</f>
        <v>1.5751046908428679E-7</v>
      </c>
      <c r="F49" s="177">
        <v>0</v>
      </c>
      <c r="G49" s="176">
        <v>0</v>
      </c>
      <c r="H49" s="177">
        <f>k.cwRS.s3RS</f>
        <v>7.3667240633522224E-6</v>
      </c>
      <c r="I49" s="177">
        <v>0</v>
      </c>
      <c r="J49" s="177">
        <v>0</v>
      </c>
      <c r="K49" s="168">
        <v>0</v>
      </c>
      <c r="L49" s="168">
        <v>0</v>
      </c>
      <c r="M49" s="168">
        <v>0</v>
      </c>
      <c r="N49" s="168">
        <v>0</v>
      </c>
      <c r="O49" s="182">
        <v>0</v>
      </c>
      <c r="P49" s="182">
        <v>0</v>
      </c>
      <c r="Q49" s="182">
        <v>0</v>
      </c>
      <c r="R49" s="182">
        <v>0</v>
      </c>
      <c r="S49" s="182">
        <v>0</v>
      </c>
      <c r="T49" s="182">
        <v>0</v>
      </c>
      <c r="U49" s="182">
        <v>0</v>
      </c>
      <c r="V49" s="182">
        <v>0</v>
      </c>
      <c r="W49" s="182">
        <v>0</v>
      </c>
      <c r="X49" s="182">
        <v>0</v>
      </c>
      <c r="Y49" s="182">
        <v>0</v>
      </c>
      <c r="Z49" s="182">
        <v>0</v>
      </c>
      <c r="AA49" s="182">
        <v>0</v>
      </c>
      <c r="AB49" s="182">
        <v>0</v>
      </c>
      <c r="AC49" s="182">
        <v>0</v>
      </c>
      <c r="AD49" s="182">
        <v>0</v>
      </c>
      <c r="AE49" s="182">
        <v>0</v>
      </c>
      <c r="AF49" s="182">
        <v>0</v>
      </c>
      <c r="AG49" s="182">
        <v>0</v>
      </c>
      <c r="AH49" s="182">
        <v>0</v>
      </c>
      <c r="AI49" s="182">
        <v>0</v>
      </c>
      <c r="AJ49" s="182">
        <v>0</v>
      </c>
      <c r="AK49" s="182">
        <v>0</v>
      </c>
      <c r="AL49" s="182">
        <v>0</v>
      </c>
      <c r="AM49" s="182">
        <v>0</v>
      </c>
      <c r="AN49" s="182">
        <v>0</v>
      </c>
      <c r="AO49" s="182">
        <v>0</v>
      </c>
      <c r="AP49" s="182">
        <v>0</v>
      </c>
      <c r="AQ49" s="312">
        <v>0</v>
      </c>
      <c r="AR49" s="181">
        <f>-k.s3RS-SUM(AR$9:AR48,AR50:AR$163)</f>
        <v>-2.0693943443037738E-2</v>
      </c>
      <c r="AS49" s="176">
        <v>0</v>
      </c>
      <c r="AT49" s="306">
        <v>0</v>
      </c>
      <c r="AU49" s="182">
        <v>0</v>
      </c>
      <c r="AV49" s="182">
        <v>0</v>
      </c>
      <c r="AW49" s="182">
        <v>0</v>
      </c>
      <c r="AX49" s="182">
        <v>0</v>
      </c>
      <c r="AY49" s="182">
        <v>0</v>
      </c>
      <c r="AZ49" s="182">
        <v>0</v>
      </c>
      <c r="BA49" s="182">
        <v>0</v>
      </c>
      <c r="BB49" s="168">
        <v>0</v>
      </c>
      <c r="BC49" s="168">
        <v>0</v>
      </c>
      <c r="BD49" s="168">
        <v>0</v>
      </c>
      <c r="BE49" s="168">
        <v>0</v>
      </c>
      <c r="BF49" s="182">
        <v>0</v>
      </c>
      <c r="BG49" s="182">
        <v>0</v>
      </c>
      <c r="BH49" s="182">
        <v>0</v>
      </c>
      <c r="BI49" s="182">
        <v>0</v>
      </c>
      <c r="BJ49" s="182">
        <v>0</v>
      </c>
      <c r="BK49" s="182">
        <v>0</v>
      </c>
      <c r="BL49" s="182">
        <v>0</v>
      </c>
      <c r="BM49" s="182">
        <v>0</v>
      </c>
      <c r="BN49" s="182">
        <v>0</v>
      </c>
      <c r="BO49" s="182">
        <v>0</v>
      </c>
      <c r="BP49" s="182">
        <v>0</v>
      </c>
      <c r="BQ49" s="182">
        <v>0</v>
      </c>
      <c r="BR49" s="182">
        <v>0</v>
      </c>
      <c r="BS49" s="182">
        <v>0</v>
      </c>
      <c r="BT49" s="182">
        <v>0</v>
      </c>
      <c r="BU49" s="182">
        <v>0</v>
      </c>
      <c r="BV49" s="182">
        <v>0</v>
      </c>
      <c r="BW49" s="182">
        <v>0</v>
      </c>
      <c r="BX49" s="182">
        <v>0</v>
      </c>
      <c r="BY49" s="182">
        <v>0</v>
      </c>
      <c r="BZ49" s="182">
        <v>0</v>
      </c>
      <c r="CA49" s="182">
        <v>0</v>
      </c>
      <c r="CB49" s="182">
        <v>0</v>
      </c>
      <c r="CC49" s="182">
        <v>0</v>
      </c>
      <c r="CD49" s="182">
        <v>0</v>
      </c>
      <c r="CE49" s="182">
        <v>0</v>
      </c>
      <c r="CF49" s="182">
        <v>0</v>
      </c>
      <c r="CG49" s="182">
        <v>0</v>
      </c>
      <c r="CH49" s="182">
        <v>0</v>
      </c>
      <c r="CI49" s="182">
        <v>0</v>
      </c>
      <c r="CJ49" s="182">
        <v>0</v>
      </c>
      <c r="CK49" s="182">
        <v>0</v>
      </c>
      <c r="CL49" s="182">
        <v>0</v>
      </c>
      <c r="CM49" s="182">
        <v>0</v>
      </c>
      <c r="CN49" s="182">
        <v>0</v>
      </c>
      <c r="CO49" s="182">
        <v>0</v>
      </c>
      <c r="CP49" s="182">
        <v>0</v>
      </c>
      <c r="CQ49" s="182">
        <v>0</v>
      </c>
      <c r="CR49" s="182">
        <v>0</v>
      </c>
      <c r="CS49" s="182">
        <v>0</v>
      </c>
      <c r="CT49" s="182">
        <v>0</v>
      </c>
      <c r="CU49" s="182">
        <v>0</v>
      </c>
      <c r="CV49" s="182">
        <v>0</v>
      </c>
      <c r="CW49" s="182">
        <v>0</v>
      </c>
      <c r="CX49" s="182">
        <v>0</v>
      </c>
      <c r="CY49" s="182">
        <v>0</v>
      </c>
      <c r="CZ49" s="182">
        <v>0</v>
      </c>
      <c r="DA49" s="182">
        <v>0</v>
      </c>
      <c r="DB49" s="182">
        <v>0</v>
      </c>
      <c r="DC49" s="182">
        <v>0</v>
      </c>
      <c r="DD49" s="182">
        <v>0</v>
      </c>
      <c r="DE49" s="182">
        <v>0</v>
      </c>
      <c r="DF49" s="182">
        <v>0</v>
      </c>
      <c r="DG49" s="182">
        <v>0</v>
      </c>
      <c r="DH49" s="182">
        <v>0</v>
      </c>
      <c r="DI49" s="182">
        <v>0</v>
      </c>
      <c r="DJ49" s="182">
        <v>0</v>
      </c>
      <c r="DK49" s="182">
        <v>0</v>
      </c>
      <c r="DL49" s="182">
        <v>0</v>
      </c>
      <c r="DM49" s="182">
        <v>0</v>
      </c>
      <c r="DN49" s="182">
        <v>0</v>
      </c>
      <c r="DO49" s="182">
        <v>0</v>
      </c>
      <c r="DP49" s="182">
        <v>0</v>
      </c>
      <c r="DQ49" s="182">
        <v>0</v>
      </c>
      <c r="DR49" s="182">
        <v>0</v>
      </c>
      <c r="DS49" s="182">
        <v>0</v>
      </c>
      <c r="DT49" s="182">
        <v>0</v>
      </c>
      <c r="DU49" s="182">
        <v>0</v>
      </c>
      <c r="DV49" s="182">
        <v>0</v>
      </c>
      <c r="DW49" s="182">
        <v>0</v>
      </c>
      <c r="DX49" s="182">
        <v>0</v>
      </c>
      <c r="DY49" s="182">
        <v>0</v>
      </c>
      <c r="DZ49" s="182">
        <v>0</v>
      </c>
      <c r="EA49" s="182">
        <v>0</v>
      </c>
      <c r="EB49" s="182">
        <v>0</v>
      </c>
      <c r="EC49" s="182">
        <v>0</v>
      </c>
      <c r="ED49" s="182">
        <v>0</v>
      </c>
      <c r="EE49" s="182">
        <v>0</v>
      </c>
      <c r="EF49" s="182">
        <v>0</v>
      </c>
      <c r="EG49" s="182">
        <v>0</v>
      </c>
      <c r="EH49" s="182">
        <v>0</v>
      </c>
      <c r="EI49" s="182">
        <v>0</v>
      </c>
      <c r="EJ49" s="182">
        <v>0</v>
      </c>
      <c r="EK49" s="182">
        <v>0</v>
      </c>
      <c r="EL49" s="182">
        <v>0</v>
      </c>
      <c r="EM49" s="182">
        <v>0</v>
      </c>
      <c r="EN49" s="182">
        <v>0</v>
      </c>
      <c r="EO49" s="182">
        <v>0</v>
      </c>
      <c r="EP49" s="182">
        <v>0</v>
      </c>
      <c r="EQ49" s="182">
        <v>0</v>
      </c>
      <c r="ER49" s="182">
        <v>0</v>
      </c>
      <c r="ES49" s="182">
        <v>0</v>
      </c>
      <c r="ET49" s="182">
        <v>0</v>
      </c>
      <c r="EU49" s="182">
        <v>0</v>
      </c>
      <c r="EV49" s="182">
        <v>0</v>
      </c>
      <c r="EW49" s="182">
        <v>0</v>
      </c>
      <c r="EX49" s="182">
        <v>0</v>
      </c>
      <c r="EY49" s="182">
        <v>0</v>
      </c>
      <c r="EZ49" s="182">
        <v>0</v>
      </c>
      <c r="FA49" s="182">
        <v>0</v>
      </c>
      <c r="FB49" s="183">
        <v>0</v>
      </c>
    </row>
    <row r="50" spans="2:158" ht="12.75" customHeight="1" x14ac:dyDescent="0.3">
      <c r="B50" s="180" t="s">
        <v>3860</v>
      </c>
      <c r="C50" s="278"/>
      <c r="D50" s="177">
        <v>0</v>
      </c>
      <c r="E50" s="177">
        <v>0</v>
      </c>
      <c r="F50" s="177">
        <f>k.aRA.s3RA</f>
        <v>2.7140874163421829E-8</v>
      </c>
      <c r="G50" s="176">
        <v>0</v>
      </c>
      <c r="H50" s="177">
        <v>0</v>
      </c>
      <c r="I50" s="177">
        <f>k.cwRA.s3RA</f>
        <v>7.3667240633522224E-6</v>
      </c>
      <c r="J50" s="177">
        <v>0</v>
      </c>
      <c r="K50" s="168">
        <v>0</v>
      </c>
      <c r="L50" s="168">
        <v>0</v>
      </c>
      <c r="M50" s="168">
        <v>0</v>
      </c>
      <c r="N50" s="168">
        <v>0</v>
      </c>
      <c r="O50" s="182">
        <v>0</v>
      </c>
      <c r="P50" s="182">
        <v>0</v>
      </c>
      <c r="Q50" s="182">
        <v>0</v>
      </c>
      <c r="R50" s="182">
        <v>0</v>
      </c>
      <c r="S50" s="182">
        <v>0</v>
      </c>
      <c r="T50" s="182">
        <v>0</v>
      </c>
      <c r="U50" s="182">
        <v>0</v>
      </c>
      <c r="V50" s="182">
        <v>0</v>
      </c>
      <c r="W50" s="182">
        <v>0</v>
      </c>
      <c r="X50" s="182">
        <v>0</v>
      </c>
      <c r="Y50" s="182">
        <v>0</v>
      </c>
      <c r="Z50" s="182">
        <v>0</v>
      </c>
      <c r="AA50" s="182">
        <v>0</v>
      </c>
      <c r="AB50" s="182">
        <v>0</v>
      </c>
      <c r="AC50" s="182">
        <v>0</v>
      </c>
      <c r="AD50" s="182">
        <v>0</v>
      </c>
      <c r="AE50" s="182">
        <v>0</v>
      </c>
      <c r="AF50" s="182">
        <v>0</v>
      </c>
      <c r="AG50" s="182">
        <v>0</v>
      </c>
      <c r="AH50" s="182">
        <v>0</v>
      </c>
      <c r="AI50" s="182">
        <v>0</v>
      </c>
      <c r="AJ50" s="182">
        <v>0</v>
      </c>
      <c r="AK50" s="182">
        <v>0</v>
      </c>
      <c r="AL50" s="182">
        <v>0</v>
      </c>
      <c r="AM50" s="182">
        <v>0</v>
      </c>
      <c r="AN50" s="182">
        <v>0</v>
      </c>
      <c r="AO50" s="182">
        <v>0</v>
      </c>
      <c r="AP50" s="182">
        <v>0</v>
      </c>
      <c r="AQ50" s="312">
        <v>0</v>
      </c>
      <c r="AR50" s="176">
        <f>k.s3RS.s3RA</f>
        <v>1.5803861528693407E-2</v>
      </c>
      <c r="AS50" s="181">
        <f>-k.s3RA-SUM(AS$9:AS49,AS51:AS$163)</f>
        <v>-1.4200223351680572E-7</v>
      </c>
      <c r="AT50" s="306">
        <v>0</v>
      </c>
      <c r="AU50" s="182">
        <v>0</v>
      </c>
      <c r="AV50" s="182">
        <v>0</v>
      </c>
      <c r="AW50" s="182">
        <v>0</v>
      </c>
      <c r="AX50" s="182">
        <v>0</v>
      </c>
      <c r="AY50" s="182">
        <v>0</v>
      </c>
      <c r="AZ50" s="182">
        <v>0</v>
      </c>
      <c r="BA50" s="182">
        <v>0</v>
      </c>
      <c r="BB50" s="168">
        <v>0</v>
      </c>
      <c r="BC50" s="168">
        <v>0</v>
      </c>
      <c r="BD50" s="168">
        <v>0</v>
      </c>
      <c r="BE50" s="168">
        <v>0</v>
      </c>
      <c r="BF50" s="182">
        <v>0</v>
      </c>
      <c r="BG50" s="182">
        <v>0</v>
      </c>
      <c r="BH50" s="182">
        <v>0</v>
      </c>
      <c r="BI50" s="182">
        <v>0</v>
      </c>
      <c r="BJ50" s="182">
        <v>0</v>
      </c>
      <c r="BK50" s="182">
        <v>0</v>
      </c>
      <c r="BL50" s="182">
        <v>0</v>
      </c>
      <c r="BM50" s="182">
        <v>0</v>
      </c>
      <c r="BN50" s="182">
        <v>0</v>
      </c>
      <c r="BO50" s="182">
        <v>0</v>
      </c>
      <c r="BP50" s="182">
        <v>0</v>
      </c>
      <c r="BQ50" s="182">
        <v>0</v>
      </c>
      <c r="BR50" s="182">
        <v>0</v>
      </c>
      <c r="BS50" s="182">
        <v>0</v>
      </c>
      <c r="BT50" s="182">
        <v>0</v>
      </c>
      <c r="BU50" s="182">
        <v>0</v>
      </c>
      <c r="BV50" s="182">
        <v>0</v>
      </c>
      <c r="BW50" s="182">
        <v>0</v>
      </c>
      <c r="BX50" s="182">
        <v>0</v>
      </c>
      <c r="BY50" s="182">
        <v>0</v>
      </c>
      <c r="BZ50" s="182">
        <v>0</v>
      </c>
      <c r="CA50" s="182">
        <v>0</v>
      </c>
      <c r="CB50" s="182">
        <v>0</v>
      </c>
      <c r="CC50" s="182">
        <v>0</v>
      </c>
      <c r="CD50" s="182">
        <v>0</v>
      </c>
      <c r="CE50" s="182">
        <v>0</v>
      </c>
      <c r="CF50" s="182">
        <v>0</v>
      </c>
      <c r="CG50" s="182">
        <v>0</v>
      </c>
      <c r="CH50" s="182">
        <v>0</v>
      </c>
      <c r="CI50" s="182">
        <v>0</v>
      </c>
      <c r="CJ50" s="182">
        <v>0</v>
      </c>
      <c r="CK50" s="182">
        <v>0</v>
      </c>
      <c r="CL50" s="182">
        <v>0</v>
      </c>
      <c r="CM50" s="182">
        <v>0</v>
      </c>
      <c r="CN50" s="182">
        <v>0</v>
      </c>
      <c r="CO50" s="182">
        <v>0</v>
      </c>
      <c r="CP50" s="182">
        <v>0</v>
      </c>
      <c r="CQ50" s="182">
        <v>0</v>
      </c>
      <c r="CR50" s="182">
        <v>0</v>
      </c>
      <c r="CS50" s="182">
        <v>0</v>
      </c>
      <c r="CT50" s="182">
        <v>0</v>
      </c>
      <c r="CU50" s="182">
        <v>0</v>
      </c>
      <c r="CV50" s="182">
        <v>0</v>
      </c>
      <c r="CW50" s="182">
        <v>0</v>
      </c>
      <c r="CX50" s="182">
        <v>0</v>
      </c>
      <c r="CY50" s="182">
        <v>0</v>
      </c>
      <c r="CZ50" s="182">
        <v>0</v>
      </c>
      <c r="DA50" s="182">
        <v>0</v>
      </c>
      <c r="DB50" s="182">
        <v>0</v>
      </c>
      <c r="DC50" s="182">
        <v>0</v>
      </c>
      <c r="DD50" s="182">
        <v>0</v>
      </c>
      <c r="DE50" s="182">
        <v>0</v>
      </c>
      <c r="DF50" s="182">
        <v>0</v>
      </c>
      <c r="DG50" s="182">
        <v>0</v>
      </c>
      <c r="DH50" s="182">
        <v>0</v>
      </c>
      <c r="DI50" s="182">
        <v>0</v>
      </c>
      <c r="DJ50" s="182">
        <v>0</v>
      </c>
      <c r="DK50" s="182">
        <v>0</v>
      </c>
      <c r="DL50" s="182">
        <v>0</v>
      </c>
      <c r="DM50" s="182">
        <v>0</v>
      </c>
      <c r="DN50" s="182">
        <v>0</v>
      </c>
      <c r="DO50" s="182">
        <v>0</v>
      </c>
      <c r="DP50" s="182">
        <v>0</v>
      </c>
      <c r="DQ50" s="182">
        <v>0</v>
      </c>
      <c r="DR50" s="182">
        <v>0</v>
      </c>
      <c r="DS50" s="182">
        <v>0</v>
      </c>
      <c r="DT50" s="182">
        <v>0</v>
      </c>
      <c r="DU50" s="182">
        <v>0</v>
      </c>
      <c r="DV50" s="182">
        <v>0</v>
      </c>
      <c r="DW50" s="182">
        <v>0</v>
      </c>
      <c r="DX50" s="182">
        <v>0</v>
      </c>
      <c r="DY50" s="182">
        <v>0</v>
      </c>
      <c r="DZ50" s="182">
        <v>0</v>
      </c>
      <c r="EA50" s="182">
        <v>0</v>
      </c>
      <c r="EB50" s="182">
        <v>0</v>
      </c>
      <c r="EC50" s="182">
        <v>0</v>
      </c>
      <c r="ED50" s="182">
        <v>0</v>
      </c>
      <c r="EE50" s="182">
        <v>0</v>
      </c>
      <c r="EF50" s="182">
        <v>0</v>
      </c>
      <c r="EG50" s="182">
        <v>0</v>
      </c>
      <c r="EH50" s="182">
        <v>0</v>
      </c>
      <c r="EI50" s="182">
        <v>0</v>
      </c>
      <c r="EJ50" s="182">
        <v>0</v>
      </c>
      <c r="EK50" s="182">
        <v>0</v>
      </c>
      <c r="EL50" s="182">
        <v>0</v>
      </c>
      <c r="EM50" s="182">
        <v>0</v>
      </c>
      <c r="EN50" s="182">
        <v>0</v>
      </c>
      <c r="EO50" s="182">
        <v>0</v>
      </c>
      <c r="EP50" s="182">
        <v>0</v>
      </c>
      <c r="EQ50" s="182">
        <v>0</v>
      </c>
      <c r="ER50" s="182">
        <v>0</v>
      </c>
      <c r="ES50" s="182">
        <v>0</v>
      </c>
      <c r="ET50" s="182">
        <v>0</v>
      </c>
      <c r="EU50" s="182">
        <v>0</v>
      </c>
      <c r="EV50" s="182">
        <v>0</v>
      </c>
      <c r="EW50" s="182">
        <v>0</v>
      </c>
      <c r="EX50" s="182">
        <v>0</v>
      </c>
      <c r="EY50" s="182">
        <v>0</v>
      </c>
      <c r="EZ50" s="182">
        <v>0</v>
      </c>
      <c r="FA50" s="182">
        <v>0</v>
      </c>
      <c r="FB50" s="183">
        <v>0</v>
      </c>
    </row>
    <row r="51" spans="2:158" ht="12.75" customHeight="1" x14ac:dyDescent="0.3">
      <c r="B51" s="180" t="s">
        <v>3861</v>
      </c>
      <c r="C51" s="278"/>
      <c r="D51" s="177">
        <v>0</v>
      </c>
      <c r="E51" s="177">
        <v>0</v>
      </c>
      <c r="F51" s="177">
        <v>0</v>
      </c>
      <c r="G51" s="176">
        <f>k.aRP.s3RP</f>
        <v>9.9564432883661004E-8</v>
      </c>
      <c r="H51" s="177">
        <v>0</v>
      </c>
      <c r="I51" s="177">
        <v>0</v>
      </c>
      <c r="J51" s="177">
        <f>k.cwRP.s3RP</f>
        <v>7.3667240633522224E-6</v>
      </c>
      <c r="K51" s="168">
        <v>0</v>
      </c>
      <c r="L51" s="168">
        <v>0</v>
      </c>
      <c r="M51" s="168">
        <v>0</v>
      </c>
      <c r="N51" s="168">
        <v>0</v>
      </c>
      <c r="O51" s="182">
        <v>0</v>
      </c>
      <c r="P51" s="182">
        <v>0</v>
      </c>
      <c r="Q51" s="182">
        <v>0</v>
      </c>
      <c r="R51" s="182">
        <v>0</v>
      </c>
      <c r="S51" s="182">
        <v>0</v>
      </c>
      <c r="T51" s="182">
        <v>0</v>
      </c>
      <c r="U51" s="182">
        <v>0</v>
      </c>
      <c r="V51" s="182">
        <v>0</v>
      </c>
      <c r="W51" s="182">
        <v>0</v>
      </c>
      <c r="X51" s="182">
        <v>0</v>
      </c>
      <c r="Y51" s="182">
        <v>0</v>
      </c>
      <c r="Z51" s="182">
        <v>0</v>
      </c>
      <c r="AA51" s="182">
        <v>0</v>
      </c>
      <c r="AB51" s="182">
        <v>0</v>
      </c>
      <c r="AC51" s="182">
        <v>0</v>
      </c>
      <c r="AD51" s="182">
        <v>0</v>
      </c>
      <c r="AE51" s="182">
        <v>0</v>
      </c>
      <c r="AF51" s="182">
        <v>0</v>
      </c>
      <c r="AG51" s="182">
        <v>0</v>
      </c>
      <c r="AH51" s="182">
        <v>0</v>
      </c>
      <c r="AI51" s="182">
        <v>0</v>
      </c>
      <c r="AJ51" s="182">
        <v>0</v>
      </c>
      <c r="AK51" s="182">
        <v>0</v>
      </c>
      <c r="AL51" s="182">
        <v>0</v>
      </c>
      <c r="AM51" s="182">
        <v>0</v>
      </c>
      <c r="AN51" s="182">
        <v>0</v>
      </c>
      <c r="AO51" s="182">
        <v>0</v>
      </c>
      <c r="AP51" s="182">
        <v>0</v>
      </c>
      <c r="AQ51" s="308">
        <v>0</v>
      </c>
      <c r="AR51" s="309">
        <f>k.s3RS.s3RP</f>
        <v>4.8899399121108134E-3</v>
      </c>
      <c r="AS51" s="309">
        <v>0</v>
      </c>
      <c r="AT51" s="181">
        <f>-k.s3RP-SUM(AT$9:AT50,AT52:AT$163)</f>
        <v>-1.9025875190258754E-11</v>
      </c>
      <c r="AU51" s="182">
        <v>0</v>
      </c>
      <c r="AV51" s="182">
        <v>0</v>
      </c>
      <c r="AW51" s="182">
        <v>0</v>
      </c>
      <c r="AX51" s="182">
        <v>0</v>
      </c>
      <c r="AY51" s="182">
        <v>0</v>
      </c>
      <c r="AZ51" s="182">
        <v>0</v>
      </c>
      <c r="BA51" s="182">
        <v>0</v>
      </c>
      <c r="BB51" s="168">
        <v>0</v>
      </c>
      <c r="BC51" s="168">
        <v>0</v>
      </c>
      <c r="BD51" s="168">
        <v>0</v>
      </c>
      <c r="BE51" s="168">
        <v>0</v>
      </c>
      <c r="BF51" s="182">
        <v>0</v>
      </c>
      <c r="BG51" s="182">
        <v>0</v>
      </c>
      <c r="BH51" s="182">
        <v>0</v>
      </c>
      <c r="BI51" s="182">
        <v>0</v>
      </c>
      <c r="BJ51" s="182">
        <v>0</v>
      </c>
      <c r="BK51" s="182">
        <v>0</v>
      </c>
      <c r="BL51" s="182">
        <v>0</v>
      </c>
      <c r="BM51" s="182">
        <v>0</v>
      </c>
      <c r="BN51" s="182">
        <v>0</v>
      </c>
      <c r="BO51" s="182">
        <v>0</v>
      </c>
      <c r="BP51" s="182">
        <v>0</v>
      </c>
      <c r="BQ51" s="182">
        <v>0</v>
      </c>
      <c r="BR51" s="182">
        <v>0</v>
      </c>
      <c r="BS51" s="182">
        <v>0</v>
      </c>
      <c r="BT51" s="182">
        <v>0</v>
      </c>
      <c r="BU51" s="182">
        <v>0</v>
      </c>
      <c r="BV51" s="182">
        <v>0</v>
      </c>
      <c r="BW51" s="182">
        <v>0</v>
      </c>
      <c r="BX51" s="182">
        <v>0</v>
      </c>
      <c r="BY51" s="182">
        <v>0</v>
      </c>
      <c r="BZ51" s="182">
        <v>0</v>
      </c>
      <c r="CA51" s="182">
        <v>0</v>
      </c>
      <c r="CB51" s="182">
        <v>0</v>
      </c>
      <c r="CC51" s="182">
        <v>0</v>
      </c>
      <c r="CD51" s="182">
        <v>0</v>
      </c>
      <c r="CE51" s="182">
        <v>0</v>
      </c>
      <c r="CF51" s="182">
        <v>0</v>
      </c>
      <c r="CG51" s="182">
        <v>0</v>
      </c>
      <c r="CH51" s="182">
        <v>0</v>
      </c>
      <c r="CI51" s="182">
        <v>0</v>
      </c>
      <c r="CJ51" s="182">
        <v>0</v>
      </c>
      <c r="CK51" s="182">
        <v>0</v>
      </c>
      <c r="CL51" s="182">
        <v>0</v>
      </c>
      <c r="CM51" s="182">
        <v>0</v>
      </c>
      <c r="CN51" s="182">
        <v>0</v>
      </c>
      <c r="CO51" s="182">
        <v>0</v>
      </c>
      <c r="CP51" s="182">
        <v>0</v>
      </c>
      <c r="CQ51" s="182">
        <v>0</v>
      </c>
      <c r="CR51" s="182">
        <v>0</v>
      </c>
      <c r="CS51" s="182">
        <v>0</v>
      </c>
      <c r="CT51" s="182">
        <v>0</v>
      </c>
      <c r="CU51" s="182">
        <v>0</v>
      </c>
      <c r="CV51" s="182">
        <v>0</v>
      </c>
      <c r="CW51" s="182">
        <v>0</v>
      </c>
      <c r="CX51" s="182">
        <v>0</v>
      </c>
      <c r="CY51" s="182">
        <v>0</v>
      </c>
      <c r="CZ51" s="182">
        <v>0</v>
      </c>
      <c r="DA51" s="182">
        <v>0</v>
      </c>
      <c r="DB51" s="182">
        <v>0</v>
      </c>
      <c r="DC51" s="182">
        <v>0</v>
      </c>
      <c r="DD51" s="182">
        <v>0</v>
      </c>
      <c r="DE51" s="182">
        <v>0</v>
      </c>
      <c r="DF51" s="182">
        <v>0</v>
      </c>
      <c r="DG51" s="182">
        <v>0</v>
      </c>
      <c r="DH51" s="182">
        <v>0</v>
      </c>
      <c r="DI51" s="182">
        <v>0</v>
      </c>
      <c r="DJ51" s="182">
        <v>0</v>
      </c>
      <c r="DK51" s="182">
        <v>0</v>
      </c>
      <c r="DL51" s="182">
        <v>0</v>
      </c>
      <c r="DM51" s="182">
        <v>0</v>
      </c>
      <c r="DN51" s="182">
        <v>0</v>
      </c>
      <c r="DO51" s="182">
        <v>0</v>
      </c>
      <c r="DP51" s="182">
        <v>0</v>
      </c>
      <c r="DQ51" s="182">
        <v>0</v>
      </c>
      <c r="DR51" s="182">
        <v>0</v>
      </c>
      <c r="DS51" s="182">
        <v>0</v>
      </c>
      <c r="DT51" s="182">
        <v>0</v>
      </c>
      <c r="DU51" s="182">
        <v>0</v>
      </c>
      <c r="DV51" s="182">
        <v>0</v>
      </c>
      <c r="DW51" s="182">
        <v>0</v>
      </c>
      <c r="DX51" s="182">
        <v>0</v>
      </c>
      <c r="DY51" s="182">
        <v>0</v>
      </c>
      <c r="DZ51" s="182">
        <v>0</v>
      </c>
      <c r="EA51" s="182">
        <v>0</v>
      </c>
      <c r="EB51" s="182">
        <v>0</v>
      </c>
      <c r="EC51" s="182">
        <v>0</v>
      </c>
      <c r="ED51" s="182">
        <v>0</v>
      </c>
      <c r="EE51" s="182">
        <v>0</v>
      </c>
      <c r="EF51" s="182">
        <v>0</v>
      </c>
      <c r="EG51" s="182">
        <v>0</v>
      </c>
      <c r="EH51" s="182">
        <v>0</v>
      </c>
      <c r="EI51" s="182">
        <v>0</v>
      </c>
      <c r="EJ51" s="182">
        <v>0</v>
      </c>
      <c r="EK51" s="182">
        <v>0</v>
      </c>
      <c r="EL51" s="182">
        <v>0</v>
      </c>
      <c r="EM51" s="182">
        <v>0</v>
      </c>
      <c r="EN51" s="182">
        <v>0</v>
      </c>
      <c r="EO51" s="182">
        <v>0</v>
      </c>
      <c r="EP51" s="182">
        <v>0</v>
      </c>
      <c r="EQ51" s="182">
        <v>0</v>
      </c>
      <c r="ER51" s="182">
        <v>0</v>
      </c>
      <c r="ES51" s="182">
        <v>0</v>
      </c>
      <c r="ET51" s="182">
        <v>0</v>
      </c>
      <c r="EU51" s="182">
        <v>0</v>
      </c>
      <c r="EV51" s="182">
        <v>0</v>
      </c>
      <c r="EW51" s="182">
        <v>0</v>
      </c>
      <c r="EX51" s="182">
        <v>0</v>
      </c>
      <c r="EY51" s="182">
        <v>0</v>
      </c>
      <c r="EZ51" s="182">
        <v>0</v>
      </c>
      <c r="FA51" s="182">
        <v>0</v>
      </c>
      <c r="FB51" s="183">
        <v>0</v>
      </c>
    </row>
    <row r="52" spans="2:158" ht="12.75" customHeight="1" x14ac:dyDescent="0.3">
      <c r="B52" s="199" t="s">
        <v>3862</v>
      </c>
      <c r="C52" s="340"/>
      <c r="D52" s="177">
        <f>k.aR.aC</f>
        <v>9.4201427396491372E-6</v>
      </c>
      <c r="E52" s="177">
        <v>0</v>
      </c>
      <c r="F52" s="177">
        <v>0</v>
      </c>
      <c r="G52" s="176">
        <v>0</v>
      </c>
      <c r="H52" s="177">
        <v>0</v>
      </c>
      <c r="I52" s="177">
        <v>0</v>
      </c>
      <c r="J52" s="177">
        <v>0</v>
      </c>
      <c r="K52" s="168">
        <v>0</v>
      </c>
      <c r="L52" s="168">
        <v>0</v>
      </c>
      <c r="M52" s="168">
        <v>0</v>
      </c>
      <c r="N52" s="168">
        <v>0</v>
      </c>
      <c r="O52" s="182">
        <v>0</v>
      </c>
      <c r="P52" s="182">
        <v>0</v>
      </c>
      <c r="Q52" s="182">
        <v>0</v>
      </c>
      <c r="R52" s="182">
        <v>0</v>
      </c>
      <c r="S52" s="182">
        <v>0</v>
      </c>
      <c r="T52" s="182">
        <v>0</v>
      </c>
      <c r="U52" s="182">
        <v>0</v>
      </c>
      <c r="V52" s="182">
        <v>0</v>
      </c>
      <c r="W52" s="182">
        <v>0</v>
      </c>
      <c r="X52" s="182">
        <v>0</v>
      </c>
      <c r="Y52" s="182">
        <v>0</v>
      </c>
      <c r="Z52" s="182">
        <v>0</v>
      </c>
      <c r="AA52" s="182">
        <v>0</v>
      </c>
      <c r="AB52" s="182">
        <v>0</v>
      </c>
      <c r="AC52" s="182">
        <v>0</v>
      </c>
      <c r="AD52" s="182">
        <v>0</v>
      </c>
      <c r="AE52" s="182">
        <v>0</v>
      </c>
      <c r="AF52" s="182">
        <v>0</v>
      </c>
      <c r="AG52" s="182">
        <v>0</v>
      </c>
      <c r="AH52" s="182">
        <v>0</v>
      </c>
      <c r="AI52" s="182">
        <v>0</v>
      </c>
      <c r="AJ52" s="182">
        <v>0</v>
      </c>
      <c r="AK52" s="182">
        <v>0</v>
      </c>
      <c r="AL52" s="182">
        <v>0</v>
      </c>
      <c r="AM52" s="182">
        <v>0</v>
      </c>
      <c r="AN52" s="182">
        <v>0</v>
      </c>
      <c r="AO52" s="182">
        <v>0</v>
      </c>
      <c r="AP52" s="182">
        <v>0</v>
      </c>
      <c r="AQ52" s="182">
        <v>0</v>
      </c>
      <c r="AR52" s="182">
        <v>0</v>
      </c>
      <c r="AS52" s="182">
        <v>0</v>
      </c>
      <c r="AT52" s="182">
        <v>0</v>
      </c>
      <c r="AU52" s="310">
        <f>-k.aC-SUM(AU9:AU51,AU53:AU163)</f>
        <v>-1.9295035232771569E-6</v>
      </c>
      <c r="AV52" s="311">
        <v>0</v>
      </c>
      <c r="AW52" s="311">
        <v>0</v>
      </c>
      <c r="AX52" s="307">
        <v>0</v>
      </c>
      <c r="AY52" s="176">
        <v>0</v>
      </c>
      <c r="AZ52" s="176">
        <v>0</v>
      </c>
      <c r="BA52" s="176">
        <v>0</v>
      </c>
      <c r="BB52" s="177">
        <f>k.w0C.aC</f>
        <v>5.123442414531955E-8</v>
      </c>
      <c r="BC52" s="177">
        <v>0</v>
      </c>
      <c r="BD52" s="177">
        <v>0</v>
      </c>
      <c r="BE52" s="177">
        <v>0</v>
      </c>
      <c r="BF52" s="177">
        <f>k.w1C.aC</f>
        <v>1.7059111232725971E-6</v>
      </c>
      <c r="BG52" s="177">
        <v>0</v>
      </c>
      <c r="BH52" s="177">
        <v>0</v>
      </c>
      <c r="BI52" s="177">
        <v>0</v>
      </c>
      <c r="BJ52" s="177">
        <f>k.w2C.aC</f>
        <v>2.5608346397061995E-8</v>
      </c>
      <c r="BK52" s="177">
        <v>0</v>
      </c>
      <c r="BL52" s="177">
        <v>0</v>
      </c>
      <c r="BM52" s="177">
        <v>0</v>
      </c>
      <c r="BN52" s="177">
        <v>0</v>
      </c>
      <c r="BO52" s="177">
        <v>0</v>
      </c>
      <c r="BP52" s="177">
        <v>0</v>
      </c>
      <c r="BQ52" s="177">
        <v>0</v>
      </c>
      <c r="BR52" s="182">
        <v>0</v>
      </c>
      <c r="BS52" s="182">
        <v>0</v>
      </c>
      <c r="BT52" s="182">
        <v>0</v>
      </c>
      <c r="BU52" s="182">
        <v>0</v>
      </c>
      <c r="BV52" s="182">
        <v>0</v>
      </c>
      <c r="BW52" s="182">
        <v>0</v>
      </c>
      <c r="BX52" s="182">
        <v>0</v>
      </c>
      <c r="BY52" s="182">
        <v>0</v>
      </c>
      <c r="BZ52" s="177">
        <f>k.s1C.aC</f>
        <v>1.103232338463208E-7</v>
      </c>
      <c r="CA52" s="177">
        <v>0</v>
      </c>
      <c r="CB52" s="177">
        <v>0</v>
      </c>
      <c r="CC52" s="177">
        <v>0</v>
      </c>
      <c r="CD52" s="177">
        <f>k.s2C.aC</f>
        <v>5.0203054661890868E-8</v>
      </c>
      <c r="CE52" s="177">
        <v>0</v>
      </c>
      <c r="CF52" s="177">
        <v>0</v>
      </c>
      <c r="CG52" s="177">
        <v>0</v>
      </c>
      <c r="CH52" s="177">
        <f>k.s3C.aC</f>
        <v>1.103232338463208E-7</v>
      </c>
      <c r="CI52" s="177">
        <v>0</v>
      </c>
      <c r="CJ52" s="177">
        <v>0</v>
      </c>
      <c r="CK52" s="177">
        <v>0</v>
      </c>
      <c r="CL52" s="177">
        <f>k.aM.aC</f>
        <v>1.2824122486466641E-7</v>
      </c>
      <c r="CM52" s="177">
        <v>0</v>
      </c>
      <c r="CN52" s="177">
        <v>0</v>
      </c>
      <c r="CO52" s="177">
        <v>0</v>
      </c>
      <c r="CP52" s="177">
        <v>0</v>
      </c>
      <c r="CQ52" s="177">
        <v>0</v>
      </c>
      <c r="CR52" s="177">
        <v>0</v>
      </c>
      <c r="CS52" s="182">
        <v>0</v>
      </c>
      <c r="CT52" s="182">
        <v>0</v>
      </c>
      <c r="CU52" s="182">
        <v>0</v>
      </c>
      <c r="CV52" s="182">
        <v>0</v>
      </c>
      <c r="CW52" s="182">
        <v>0</v>
      </c>
      <c r="CX52" s="182">
        <v>0</v>
      </c>
      <c r="CY52" s="182">
        <v>0</v>
      </c>
      <c r="CZ52" s="182">
        <v>0</v>
      </c>
      <c r="DA52" s="182">
        <v>0</v>
      </c>
      <c r="DB52" s="182">
        <v>0</v>
      </c>
      <c r="DC52" s="182">
        <v>0</v>
      </c>
      <c r="DD52" s="182">
        <v>0</v>
      </c>
      <c r="DE52" s="182">
        <v>0</v>
      </c>
      <c r="DF52" s="182">
        <v>0</v>
      </c>
      <c r="DG52" s="182">
        <v>0</v>
      </c>
      <c r="DH52" s="182">
        <v>0</v>
      </c>
      <c r="DI52" s="182">
        <v>0</v>
      </c>
      <c r="DJ52" s="182">
        <v>0</v>
      </c>
      <c r="DK52" s="182">
        <v>0</v>
      </c>
      <c r="DL52" s="182">
        <v>0</v>
      </c>
      <c r="DM52" s="182">
        <v>0</v>
      </c>
      <c r="DN52" s="182">
        <v>0</v>
      </c>
      <c r="DO52" s="182">
        <v>0</v>
      </c>
      <c r="DP52" s="182">
        <v>0</v>
      </c>
      <c r="DQ52" s="182">
        <v>0</v>
      </c>
      <c r="DR52" s="182">
        <v>0</v>
      </c>
      <c r="DS52" s="182">
        <v>0</v>
      </c>
      <c r="DT52" s="182">
        <v>0</v>
      </c>
      <c r="DU52" s="182">
        <v>0</v>
      </c>
      <c r="DV52" s="182">
        <v>0</v>
      </c>
      <c r="DW52" s="182">
        <v>0</v>
      </c>
      <c r="DX52" s="182">
        <v>0</v>
      </c>
      <c r="DY52" s="182">
        <v>0</v>
      </c>
      <c r="DZ52" s="182">
        <v>0</v>
      </c>
      <c r="EA52" s="182">
        <v>0</v>
      </c>
      <c r="EB52" s="182">
        <v>0</v>
      </c>
      <c r="EC52" s="182">
        <v>0</v>
      </c>
      <c r="ED52" s="182">
        <v>0</v>
      </c>
      <c r="EE52" s="182">
        <v>0</v>
      </c>
      <c r="EF52" s="182">
        <v>0</v>
      </c>
      <c r="EG52" s="182">
        <v>0</v>
      </c>
      <c r="EH52" s="182">
        <v>0</v>
      </c>
      <c r="EI52" s="182">
        <v>0</v>
      </c>
      <c r="EJ52" s="182">
        <v>0</v>
      </c>
      <c r="EK52" s="182">
        <v>0</v>
      </c>
      <c r="EL52" s="182">
        <v>0</v>
      </c>
      <c r="EM52" s="182">
        <v>0</v>
      </c>
      <c r="EN52" s="182">
        <v>0</v>
      </c>
      <c r="EO52" s="182">
        <v>0</v>
      </c>
      <c r="EP52" s="182">
        <v>0</v>
      </c>
      <c r="EQ52" s="182">
        <v>0</v>
      </c>
      <c r="ER52" s="182">
        <v>0</v>
      </c>
      <c r="ES52" s="182">
        <v>0</v>
      </c>
      <c r="ET52" s="182">
        <v>0</v>
      </c>
      <c r="EU52" s="182">
        <v>0</v>
      </c>
      <c r="EV52" s="182">
        <v>0</v>
      </c>
      <c r="EW52" s="182">
        <v>0</v>
      </c>
      <c r="EX52" s="182">
        <v>0</v>
      </c>
      <c r="EY52" s="182">
        <v>0</v>
      </c>
      <c r="EZ52" s="182">
        <v>0</v>
      </c>
      <c r="FA52" s="182">
        <v>0</v>
      </c>
      <c r="FB52" s="183">
        <v>0</v>
      </c>
    </row>
    <row r="53" spans="2:158" ht="12.75" customHeight="1" x14ac:dyDescent="0.3">
      <c r="B53" s="199" t="s">
        <v>3863</v>
      </c>
      <c r="C53" s="340"/>
      <c r="D53" s="177">
        <v>0</v>
      </c>
      <c r="E53" s="177">
        <f>k.aR.aC</f>
        <v>9.4201427396491372E-6</v>
      </c>
      <c r="F53" s="177">
        <v>0</v>
      </c>
      <c r="G53" s="176">
        <v>0</v>
      </c>
      <c r="H53" s="177">
        <v>0</v>
      </c>
      <c r="I53" s="177">
        <v>0</v>
      </c>
      <c r="J53" s="177">
        <v>0</v>
      </c>
      <c r="K53" s="168">
        <v>0</v>
      </c>
      <c r="L53" s="168">
        <v>0</v>
      </c>
      <c r="M53" s="168">
        <v>0</v>
      </c>
      <c r="N53" s="168">
        <v>0</v>
      </c>
      <c r="O53" s="182">
        <v>0</v>
      </c>
      <c r="P53" s="182">
        <v>0</v>
      </c>
      <c r="Q53" s="182">
        <v>0</v>
      </c>
      <c r="R53" s="182">
        <v>0</v>
      </c>
      <c r="S53" s="182">
        <v>0</v>
      </c>
      <c r="T53" s="182">
        <v>0</v>
      </c>
      <c r="U53" s="182">
        <v>0</v>
      </c>
      <c r="V53" s="182">
        <v>0</v>
      </c>
      <c r="W53" s="182">
        <v>0</v>
      </c>
      <c r="X53" s="182">
        <v>0</v>
      </c>
      <c r="Y53" s="182">
        <v>0</v>
      </c>
      <c r="Z53" s="182">
        <v>0</v>
      </c>
      <c r="AA53" s="182">
        <v>0</v>
      </c>
      <c r="AB53" s="182">
        <v>0</v>
      </c>
      <c r="AC53" s="182">
        <v>0</v>
      </c>
      <c r="AD53" s="182">
        <v>0</v>
      </c>
      <c r="AE53" s="182">
        <v>0</v>
      </c>
      <c r="AF53" s="182">
        <v>0</v>
      </c>
      <c r="AG53" s="182">
        <v>0</v>
      </c>
      <c r="AH53" s="182">
        <v>0</v>
      </c>
      <c r="AI53" s="182">
        <v>0</v>
      </c>
      <c r="AJ53" s="182">
        <v>0</v>
      </c>
      <c r="AK53" s="182">
        <v>0</v>
      </c>
      <c r="AL53" s="182">
        <v>0</v>
      </c>
      <c r="AM53" s="182">
        <v>0</v>
      </c>
      <c r="AN53" s="182">
        <v>0</v>
      </c>
      <c r="AO53" s="182">
        <v>0</v>
      </c>
      <c r="AP53" s="182">
        <v>0</v>
      </c>
      <c r="AQ53" s="182">
        <v>0</v>
      </c>
      <c r="AR53" s="182">
        <v>0</v>
      </c>
      <c r="AS53" s="182">
        <v>0</v>
      </c>
      <c r="AT53" s="182">
        <v>0</v>
      </c>
      <c r="AU53" s="312">
        <v>0</v>
      </c>
      <c r="AV53" s="181">
        <f>-k.aCS-SUM(AV$9:AV52,AV54:AV$163)</f>
        <v>-2.6101659684429946E-5</v>
      </c>
      <c r="AW53" s="176">
        <v>0</v>
      </c>
      <c r="AX53" s="306">
        <v>0</v>
      </c>
      <c r="AY53" s="176">
        <v>0</v>
      </c>
      <c r="AZ53" s="176">
        <v>0</v>
      </c>
      <c r="BA53" s="176">
        <v>0</v>
      </c>
      <c r="BB53" s="177">
        <v>0</v>
      </c>
      <c r="BC53" s="177">
        <v>0</v>
      </c>
      <c r="BD53" s="177">
        <v>0</v>
      </c>
      <c r="BE53" s="177">
        <v>0</v>
      </c>
      <c r="BF53" s="177">
        <v>0</v>
      </c>
      <c r="BG53" s="177">
        <v>0</v>
      </c>
      <c r="BH53" s="177">
        <v>0</v>
      </c>
      <c r="BI53" s="177">
        <v>0</v>
      </c>
      <c r="BJ53" s="177">
        <v>0</v>
      </c>
      <c r="BK53" s="177">
        <v>0</v>
      </c>
      <c r="BL53" s="177">
        <v>0</v>
      </c>
      <c r="BM53" s="177">
        <v>0</v>
      </c>
      <c r="BN53" s="177">
        <v>0</v>
      </c>
      <c r="BO53" s="177">
        <v>0</v>
      </c>
      <c r="BP53" s="177">
        <v>0</v>
      </c>
      <c r="BQ53" s="177">
        <v>0</v>
      </c>
      <c r="BR53" s="182">
        <v>0</v>
      </c>
      <c r="BS53" s="182">
        <v>0</v>
      </c>
      <c r="BT53" s="182">
        <v>0</v>
      </c>
      <c r="BU53" s="182">
        <v>0</v>
      </c>
      <c r="BV53" s="182">
        <v>0</v>
      </c>
      <c r="BW53" s="182">
        <v>0</v>
      </c>
      <c r="BX53" s="182">
        <v>0</v>
      </c>
      <c r="BY53" s="182">
        <v>0</v>
      </c>
      <c r="BZ53" s="177">
        <v>0</v>
      </c>
      <c r="CA53" s="177">
        <v>0</v>
      </c>
      <c r="CB53" s="177">
        <v>0</v>
      </c>
      <c r="CC53" s="177">
        <v>0</v>
      </c>
      <c r="CD53" s="177">
        <v>0</v>
      </c>
      <c r="CE53" s="177">
        <v>0</v>
      </c>
      <c r="CF53" s="177">
        <v>0</v>
      </c>
      <c r="CG53" s="176">
        <v>0</v>
      </c>
      <c r="CH53" s="177">
        <v>0</v>
      </c>
      <c r="CI53" s="177">
        <v>0</v>
      </c>
      <c r="CJ53" s="177">
        <v>0</v>
      </c>
      <c r="CK53" s="176">
        <v>0</v>
      </c>
      <c r="CL53" s="177">
        <v>0</v>
      </c>
      <c r="CM53" s="177">
        <f>k.aM.aC</f>
        <v>1.2824122486466641E-7</v>
      </c>
      <c r="CN53" s="177">
        <v>0</v>
      </c>
      <c r="CO53" s="176">
        <v>0</v>
      </c>
      <c r="CP53" s="177">
        <v>0</v>
      </c>
      <c r="CQ53" s="177">
        <v>0</v>
      </c>
      <c r="CR53" s="177">
        <v>0</v>
      </c>
      <c r="CS53" s="182">
        <v>0</v>
      </c>
      <c r="CT53" s="182">
        <v>0</v>
      </c>
      <c r="CU53" s="182">
        <v>0</v>
      </c>
      <c r="CV53" s="182">
        <v>0</v>
      </c>
      <c r="CW53" s="182">
        <v>0</v>
      </c>
      <c r="CX53" s="182">
        <v>0</v>
      </c>
      <c r="CY53" s="182">
        <v>0</v>
      </c>
      <c r="CZ53" s="182">
        <v>0</v>
      </c>
      <c r="DA53" s="182">
        <v>0</v>
      </c>
      <c r="DB53" s="182">
        <v>0</v>
      </c>
      <c r="DC53" s="182">
        <v>0</v>
      </c>
      <c r="DD53" s="182">
        <v>0</v>
      </c>
      <c r="DE53" s="182">
        <v>0</v>
      </c>
      <c r="DF53" s="182">
        <v>0</v>
      </c>
      <c r="DG53" s="182">
        <v>0</v>
      </c>
      <c r="DH53" s="182">
        <v>0</v>
      </c>
      <c r="DI53" s="182">
        <v>0</v>
      </c>
      <c r="DJ53" s="182">
        <v>0</v>
      </c>
      <c r="DK53" s="182">
        <v>0</v>
      </c>
      <c r="DL53" s="182">
        <v>0</v>
      </c>
      <c r="DM53" s="182">
        <v>0</v>
      </c>
      <c r="DN53" s="182">
        <v>0</v>
      </c>
      <c r="DO53" s="182">
        <v>0</v>
      </c>
      <c r="DP53" s="182">
        <v>0</v>
      </c>
      <c r="DQ53" s="182">
        <v>0</v>
      </c>
      <c r="DR53" s="182">
        <v>0</v>
      </c>
      <c r="DS53" s="182">
        <v>0</v>
      </c>
      <c r="DT53" s="182">
        <v>0</v>
      </c>
      <c r="DU53" s="182">
        <v>0</v>
      </c>
      <c r="DV53" s="182">
        <v>0</v>
      </c>
      <c r="DW53" s="182">
        <v>0</v>
      </c>
      <c r="DX53" s="182">
        <v>0</v>
      </c>
      <c r="DY53" s="182">
        <v>0</v>
      </c>
      <c r="DZ53" s="182">
        <v>0</v>
      </c>
      <c r="EA53" s="182">
        <v>0</v>
      </c>
      <c r="EB53" s="182">
        <v>0</v>
      </c>
      <c r="EC53" s="182">
        <v>0</v>
      </c>
      <c r="ED53" s="182">
        <v>0</v>
      </c>
      <c r="EE53" s="182">
        <v>0</v>
      </c>
      <c r="EF53" s="182">
        <v>0</v>
      </c>
      <c r="EG53" s="182">
        <v>0</v>
      </c>
      <c r="EH53" s="182">
        <v>0</v>
      </c>
      <c r="EI53" s="182">
        <v>0</v>
      </c>
      <c r="EJ53" s="182">
        <v>0</v>
      </c>
      <c r="EK53" s="182">
        <v>0</v>
      </c>
      <c r="EL53" s="182">
        <v>0</v>
      </c>
      <c r="EM53" s="182">
        <v>0</v>
      </c>
      <c r="EN53" s="182">
        <v>0</v>
      </c>
      <c r="EO53" s="182">
        <v>0</v>
      </c>
      <c r="EP53" s="182">
        <v>0</v>
      </c>
      <c r="EQ53" s="182">
        <v>0</v>
      </c>
      <c r="ER53" s="182">
        <v>0</v>
      </c>
      <c r="ES53" s="182">
        <v>0</v>
      </c>
      <c r="ET53" s="182">
        <v>0</v>
      </c>
      <c r="EU53" s="182">
        <v>0</v>
      </c>
      <c r="EV53" s="182">
        <v>0</v>
      </c>
      <c r="EW53" s="182">
        <v>0</v>
      </c>
      <c r="EX53" s="182">
        <v>0</v>
      </c>
      <c r="EY53" s="182">
        <v>0</v>
      </c>
      <c r="EZ53" s="182">
        <v>0</v>
      </c>
      <c r="FA53" s="182">
        <v>0</v>
      </c>
      <c r="FB53" s="183">
        <v>0</v>
      </c>
    </row>
    <row r="54" spans="2:158" ht="12.75" customHeight="1" x14ac:dyDescent="0.3">
      <c r="B54" s="199" t="s">
        <v>3864</v>
      </c>
      <c r="C54" s="340"/>
      <c r="D54" s="177">
        <v>0</v>
      </c>
      <c r="E54" s="177">
        <v>0</v>
      </c>
      <c r="F54" s="177">
        <f>k.aR.aC</f>
        <v>9.4201427396491372E-6</v>
      </c>
      <c r="G54" s="176">
        <v>0</v>
      </c>
      <c r="H54" s="177">
        <v>0</v>
      </c>
      <c r="I54" s="177">
        <v>0</v>
      </c>
      <c r="J54" s="177">
        <v>0</v>
      </c>
      <c r="K54" s="168">
        <v>0</v>
      </c>
      <c r="L54" s="168">
        <v>0</v>
      </c>
      <c r="M54" s="168">
        <v>0</v>
      </c>
      <c r="N54" s="168">
        <v>0</v>
      </c>
      <c r="O54" s="182">
        <v>0</v>
      </c>
      <c r="P54" s="182">
        <v>0</v>
      </c>
      <c r="Q54" s="182">
        <v>0</v>
      </c>
      <c r="R54" s="182">
        <v>0</v>
      </c>
      <c r="S54" s="182">
        <v>0</v>
      </c>
      <c r="T54" s="182">
        <v>0</v>
      </c>
      <c r="U54" s="182">
        <v>0</v>
      </c>
      <c r="V54" s="182">
        <v>0</v>
      </c>
      <c r="W54" s="182">
        <v>0</v>
      </c>
      <c r="X54" s="182">
        <v>0</v>
      </c>
      <c r="Y54" s="182">
        <v>0</v>
      </c>
      <c r="Z54" s="182">
        <v>0</v>
      </c>
      <c r="AA54" s="182">
        <v>0</v>
      </c>
      <c r="AB54" s="182">
        <v>0</v>
      </c>
      <c r="AC54" s="182">
        <v>0</v>
      </c>
      <c r="AD54" s="182">
        <v>0</v>
      </c>
      <c r="AE54" s="182">
        <v>0</v>
      </c>
      <c r="AF54" s="182">
        <v>0</v>
      </c>
      <c r="AG54" s="182">
        <v>0</v>
      </c>
      <c r="AH54" s="182">
        <v>0</v>
      </c>
      <c r="AI54" s="182">
        <v>0</v>
      </c>
      <c r="AJ54" s="182">
        <v>0</v>
      </c>
      <c r="AK54" s="182">
        <v>0</v>
      </c>
      <c r="AL54" s="182">
        <v>0</v>
      </c>
      <c r="AM54" s="182">
        <v>0</v>
      </c>
      <c r="AN54" s="182">
        <v>0</v>
      </c>
      <c r="AO54" s="182">
        <v>0</v>
      </c>
      <c r="AP54" s="182">
        <v>0</v>
      </c>
      <c r="AQ54" s="182">
        <v>0</v>
      </c>
      <c r="AR54" s="182">
        <v>0</v>
      </c>
      <c r="AS54" s="182">
        <v>0</v>
      </c>
      <c r="AT54" s="182">
        <v>0</v>
      </c>
      <c r="AU54" s="312">
        <v>0</v>
      </c>
      <c r="AV54" s="176">
        <f>k.aCS.aCA</f>
        <v>2.145456072269009E-5</v>
      </c>
      <c r="AW54" s="181">
        <f>-k.aCA-SUM(AW$9:AW53,AW55:AW$163)</f>
        <v>-2.6038412603819523E-6</v>
      </c>
      <c r="AX54" s="306">
        <v>0</v>
      </c>
      <c r="AY54" s="176">
        <v>0</v>
      </c>
      <c r="AZ54" s="176">
        <v>0</v>
      </c>
      <c r="BA54" s="176">
        <v>0</v>
      </c>
      <c r="BB54" s="177">
        <v>0</v>
      </c>
      <c r="BC54" s="177">
        <v>0</v>
      </c>
      <c r="BD54" s="177">
        <v>0</v>
      </c>
      <c r="BE54" s="177">
        <v>0</v>
      </c>
      <c r="BF54" s="177">
        <v>0</v>
      </c>
      <c r="BG54" s="177">
        <v>0</v>
      </c>
      <c r="BH54" s="177">
        <v>0</v>
      </c>
      <c r="BI54" s="177">
        <v>0</v>
      </c>
      <c r="BJ54" s="177">
        <v>0</v>
      </c>
      <c r="BK54" s="177">
        <v>0</v>
      </c>
      <c r="BL54" s="177">
        <v>0</v>
      </c>
      <c r="BM54" s="177">
        <v>0</v>
      </c>
      <c r="BN54" s="177">
        <v>0</v>
      </c>
      <c r="BO54" s="177">
        <v>0</v>
      </c>
      <c r="BP54" s="177">
        <v>0</v>
      </c>
      <c r="BQ54" s="177">
        <v>0</v>
      </c>
      <c r="BR54" s="182">
        <v>0</v>
      </c>
      <c r="BS54" s="182">
        <v>0</v>
      </c>
      <c r="BT54" s="182">
        <v>0</v>
      </c>
      <c r="BU54" s="182">
        <v>0</v>
      </c>
      <c r="BV54" s="182">
        <v>0</v>
      </c>
      <c r="BW54" s="182">
        <v>0</v>
      </c>
      <c r="BX54" s="182">
        <v>0</v>
      </c>
      <c r="BY54" s="182">
        <v>0</v>
      </c>
      <c r="BZ54" s="177">
        <v>0</v>
      </c>
      <c r="CA54" s="177">
        <v>0</v>
      </c>
      <c r="CB54" s="177">
        <v>0</v>
      </c>
      <c r="CC54" s="177">
        <v>0</v>
      </c>
      <c r="CD54" s="177">
        <v>0</v>
      </c>
      <c r="CE54" s="177">
        <v>0</v>
      </c>
      <c r="CF54" s="177">
        <v>0</v>
      </c>
      <c r="CG54" s="176">
        <v>0</v>
      </c>
      <c r="CH54" s="177">
        <v>0</v>
      </c>
      <c r="CI54" s="177">
        <v>0</v>
      </c>
      <c r="CJ54" s="177">
        <v>0</v>
      </c>
      <c r="CK54" s="176">
        <v>0</v>
      </c>
      <c r="CL54" s="177">
        <v>0</v>
      </c>
      <c r="CM54" s="177">
        <v>0</v>
      </c>
      <c r="CN54" s="177">
        <f>k.aM.aC</f>
        <v>1.2824122486466641E-7</v>
      </c>
      <c r="CO54" s="176">
        <v>0</v>
      </c>
      <c r="CP54" s="177">
        <v>0</v>
      </c>
      <c r="CQ54" s="177">
        <v>0</v>
      </c>
      <c r="CR54" s="177">
        <v>0</v>
      </c>
      <c r="CS54" s="182">
        <v>0</v>
      </c>
      <c r="CT54" s="182">
        <v>0</v>
      </c>
      <c r="CU54" s="182">
        <v>0</v>
      </c>
      <c r="CV54" s="182">
        <v>0</v>
      </c>
      <c r="CW54" s="182">
        <v>0</v>
      </c>
      <c r="CX54" s="182">
        <v>0</v>
      </c>
      <c r="CY54" s="182">
        <v>0</v>
      </c>
      <c r="CZ54" s="182">
        <v>0</v>
      </c>
      <c r="DA54" s="182">
        <v>0</v>
      </c>
      <c r="DB54" s="182">
        <v>0</v>
      </c>
      <c r="DC54" s="182">
        <v>0</v>
      </c>
      <c r="DD54" s="182">
        <v>0</v>
      </c>
      <c r="DE54" s="182">
        <v>0</v>
      </c>
      <c r="DF54" s="182">
        <v>0</v>
      </c>
      <c r="DG54" s="182">
        <v>0</v>
      </c>
      <c r="DH54" s="182">
        <v>0</v>
      </c>
      <c r="DI54" s="182">
        <v>0</v>
      </c>
      <c r="DJ54" s="182">
        <v>0</v>
      </c>
      <c r="DK54" s="182">
        <v>0</v>
      </c>
      <c r="DL54" s="182">
        <v>0</v>
      </c>
      <c r="DM54" s="182">
        <v>0</v>
      </c>
      <c r="DN54" s="182">
        <v>0</v>
      </c>
      <c r="DO54" s="182">
        <v>0</v>
      </c>
      <c r="DP54" s="182">
        <v>0</v>
      </c>
      <c r="DQ54" s="182">
        <v>0</v>
      </c>
      <c r="DR54" s="182">
        <v>0</v>
      </c>
      <c r="DS54" s="182">
        <v>0</v>
      </c>
      <c r="DT54" s="182">
        <v>0</v>
      </c>
      <c r="DU54" s="182">
        <v>0</v>
      </c>
      <c r="DV54" s="182">
        <v>0</v>
      </c>
      <c r="DW54" s="182">
        <v>0</v>
      </c>
      <c r="DX54" s="182">
        <v>0</v>
      </c>
      <c r="DY54" s="182">
        <v>0</v>
      </c>
      <c r="DZ54" s="182">
        <v>0</v>
      </c>
      <c r="EA54" s="182">
        <v>0</v>
      </c>
      <c r="EB54" s="182">
        <v>0</v>
      </c>
      <c r="EC54" s="182">
        <v>0</v>
      </c>
      <c r="ED54" s="182">
        <v>0</v>
      </c>
      <c r="EE54" s="182">
        <v>0</v>
      </c>
      <c r="EF54" s="182">
        <v>0</v>
      </c>
      <c r="EG54" s="182">
        <v>0</v>
      </c>
      <c r="EH54" s="182">
        <v>0</v>
      </c>
      <c r="EI54" s="182">
        <v>0</v>
      </c>
      <c r="EJ54" s="182">
        <v>0</v>
      </c>
      <c r="EK54" s="182">
        <v>0</v>
      </c>
      <c r="EL54" s="182">
        <v>0</v>
      </c>
      <c r="EM54" s="182">
        <v>0</v>
      </c>
      <c r="EN54" s="182">
        <v>0</v>
      </c>
      <c r="EO54" s="182">
        <v>0</v>
      </c>
      <c r="EP54" s="182">
        <v>0</v>
      </c>
      <c r="EQ54" s="182">
        <v>0</v>
      </c>
      <c r="ER54" s="182">
        <v>0</v>
      </c>
      <c r="ES54" s="182">
        <v>0</v>
      </c>
      <c r="ET54" s="182">
        <v>0</v>
      </c>
      <c r="EU54" s="182">
        <v>0</v>
      </c>
      <c r="EV54" s="182">
        <v>0</v>
      </c>
      <c r="EW54" s="182">
        <v>0</v>
      </c>
      <c r="EX54" s="182">
        <v>0</v>
      </c>
      <c r="EY54" s="182">
        <v>0</v>
      </c>
      <c r="EZ54" s="182">
        <v>0</v>
      </c>
      <c r="FA54" s="182">
        <v>0</v>
      </c>
      <c r="FB54" s="183">
        <v>0</v>
      </c>
    </row>
    <row r="55" spans="2:158" ht="12.75" customHeight="1" x14ac:dyDescent="0.3">
      <c r="B55" s="199" t="s">
        <v>3865</v>
      </c>
      <c r="C55" s="340"/>
      <c r="D55" s="177">
        <v>0</v>
      </c>
      <c r="E55" s="177">
        <v>0</v>
      </c>
      <c r="F55" s="177">
        <v>0</v>
      </c>
      <c r="G55" s="177">
        <f>k.aR.aC</f>
        <v>9.4201427396491372E-6</v>
      </c>
      <c r="H55" s="177">
        <v>0</v>
      </c>
      <c r="I55" s="177">
        <v>0</v>
      </c>
      <c r="J55" s="177">
        <v>0</v>
      </c>
      <c r="K55" s="168">
        <v>0</v>
      </c>
      <c r="L55" s="168">
        <v>0</v>
      </c>
      <c r="M55" s="168">
        <v>0</v>
      </c>
      <c r="N55" s="168">
        <v>0</v>
      </c>
      <c r="O55" s="182">
        <v>0</v>
      </c>
      <c r="P55" s="182">
        <v>0</v>
      </c>
      <c r="Q55" s="182">
        <v>0</v>
      </c>
      <c r="R55" s="182">
        <v>0</v>
      </c>
      <c r="S55" s="182">
        <v>0</v>
      </c>
      <c r="T55" s="182">
        <v>0</v>
      </c>
      <c r="U55" s="182">
        <v>0</v>
      </c>
      <c r="V55" s="182">
        <v>0</v>
      </c>
      <c r="W55" s="182">
        <v>0</v>
      </c>
      <c r="X55" s="182">
        <v>0</v>
      </c>
      <c r="Y55" s="182">
        <v>0</v>
      </c>
      <c r="Z55" s="182">
        <v>0</v>
      </c>
      <c r="AA55" s="182">
        <v>0</v>
      </c>
      <c r="AB55" s="182">
        <v>0</v>
      </c>
      <c r="AC55" s="182">
        <v>0</v>
      </c>
      <c r="AD55" s="182">
        <v>0</v>
      </c>
      <c r="AE55" s="182">
        <v>0</v>
      </c>
      <c r="AF55" s="182">
        <v>0</v>
      </c>
      <c r="AG55" s="182">
        <v>0</v>
      </c>
      <c r="AH55" s="182">
        <v>0</v>
      </c>
      <c r="AI55" s="182">
        <v>0</v>
      </c>
      <c r="AJ55" s="182">
        <v>0</v>
      </c>
      <c r="AK55" s="182">
        <v>0</v>
      </c>
      <c r="AL55" s="182">
        <v>0</v>
      </c>
      <c r="AM55" s="182">
        <v>0</v>
      </c>
      <c r="AN55" s="182">
        <v>0</v>
      </c>
      <c r="AO55" s="182">
        <v>0</v>
      </c>
      <c r="AP55" s="182">
        <v>0</v>
      </c>
      <c r="AQ55" s="182">
        <v>0</v>
      </c>
      <c r="AR55" s="182">
        <v>0</v>
      </c>
      <c r="AS55" s="182">
        <v>0</v>
      </c>
      <c r="AT55" s="182">
        <v>0</v>
      </c>
      <c r="AU55" s="308">
        <v>0</v>
      </c>
      <c r="AV55" s="309">
        <f>k.aCS.aCP</f>
        <v>4.2954716111240836E-8</v>
      </c>
      <c r="AW55" s="309">
        <v>0</v>
      </c>
      <c r="AX55" s="181">
        <f>-k.aCP-SUM(AX$9:AX54,AX56:AX$163)</f>
        <v>-7.667205721829255E-5</v>
      </c>
      <c r="AY55" s="176">
        <v>0</v>
      </c>
      <c r="AZ55" s="176">
        <v>0</v>
      </c>
      <c r="BA55" s="176">
        <v>0</v>
      </c>
      <c r="BB55" s="177">
        <v>0</v>
      </c>
      <c r="BC55" s="177">
        <v>0</v>
      </c>
      <c r="BD55" s="177">
        <v>0</v>
      </c>
      <c r="BE55" s="177">
        <v>0</v>
      </c>
      <c r="BF55" s="177">
        <v>0</v>
      </c>
      <c r="BG55" s="177">
        <v>0</v>
      </c>
      <c r="BH55" s="177">
        <v>0</v>
      </c>
      <c r="BI55" s="177">
        <v>0</v>
      </c>
      <c r="BJ55" s="177">
        <v>0</v>
      </c>
      <c r="BK55" s="177">
        <v>0</v>
      </c>
      <c r="BL55" s="177">
        <v>0</v>
      </c>
      <c r="BM55" s="177">
        <v>0</v>
      </c>
      <c r="BN55" s="177">
        <v>0</v>
      </c>
      <c r="BO55" s="177">
        <v>0</v>
      </c>
      <c r="BP55" s="177">
        <v>0</v>
      </c>
      <c r="BQ55" s="177">
        <v>0</v>
      </c>
      <c r="BR55" s="182">
        <v>0</v>
      </c>
      <c r="BS55" s="182">
        <v>0</v>
      </c>
      <c r="BT55" s="182">
        <v>0</v>
      </c>
      <c r="BU55" s="182">
        <v>0</v>
      </c>
      <c r="BV55" s="182">
        <v>0</v>
      </c>
      <c r="BW55" s="182">
        <v>0</v>
      </c>
      <c r="BX55" s="182">
        <v>0</v>
      </c>
      <c r="BY55" s="182">
        <v>0</v>
      </c>
      <c r="BZ55" s="177">
        <v>0</v>
      </c>
      <c r="CA55" s="177">
        <v>0</v>
      </c>
      <c r="CB55" s="177">
        <v>0</v>
      </c>
      <c r="CC55" s="177">
        <v>0</v>
      </c>
      <c r="CD55" s="177">
        <v>0</v>
      </c>
      <c r="CE55" s="177">
        <v>0</v>
      </c>
      <c r="CF55" s="177">
        <v>0</v>
      </c>
      <c r="CG55" s="176">
        <v>0</v>
      </c>
      <c r="CH55" s="177">
        <v>0</v>
      </c>
      <c r="CI55" s="177">
        <v>0</v>
      </c>
      <c r="CJ55" s="177">
        <v>0</v>
      </c>
      <c r="CK55" s="176">
        <v>0</v>
      </c>
      <c r="CL55" s="177">
        <v>0</v>
      </c>
      <c r="CM55" s="177">
        <v>0</v>
      </c>
      <c r="CN55" s="177">
        <v>0</v>
      </c>
      <c r="CO55" s="177">
        <f>k.aM.aC</f>
        <v>1.2824122486466641E-7</v>
      </c>
      <c r="CP55" s="177">
        <v>0</v>
      </c>
      <c r="CQ55" s="177">
        <v>0</v>
      </c>
      <c r="CR55" s="177">
        <v>0</v>
      </c>
      <c r="CS55" s="182">
        <v>0</v>
      </c>
      <c r="CT55" s="182">
        <v>0</v>
      </c>
      <c r="CU55" s="182">
        <v>0</v>
      </c>
      <c r="CV55" s="182">
        <v>0</v>
      </c>
      <c r="CW55" s="182">
        <v>0</v>
      </c>
      <c r="CX55" s="182">
        <v>0</v>
      </c>
      <c r="CY55" s="182">
        <v>0</v>
      </c>
      <c r="CZ55" s="182">
        <v>0</v>
      </c>
      <c r="DA55" s="182">
        <v>0</v>
      </c>
      <c r="DB55" s="182">
        <v>0</v>
      </c>
      <c r="DC55" s="182">
        <v>0</v>
      </c>
      <c r="DD55" s="182">
        <v>0</v>
      </c>
      <c r="DE55" s="182">
        <v>0</v>
      </c>
      <c r="DF55" s="182">
        <v>0</v>
      </c>
      <c r="DG55" s="182">
        <v>0</v>
      </c>
      <c r="DH55" s="182">
        <v>0</v>
      </c>
      <c r="DI55" s="182">
        <v>0</v>
      </c>
      <c r="DJ55" s="182">
        <v>0</v>
      </c>
      <c r="DK55" s="182">
        <v>0</v>
      </c>
      <c r="DL55" s="182">
        <v>0</v>
      </c>
      <c r="DM55" s="182">
        <v>0</v>
      </c>
      <c r="DN55" s="182">
        <v>0</v>
      </c>
      <c r="DO55" s="182">
        <v>0</v>
      </c>
      <c r="DP55" s="182">
        <v>0</v>
      </c>
      <c r="DQ55" s="182">
        <v>0</v>
      </c>
      <c r="DR55" s="182">
        <v>0</v>
      </c>
      <c r="DS55" s="182">
        <v>0</v>
      </c>
      <c r="DT55" s="182">
        <v>0</v>
      </c>
      <c r="DU55" s="182">
        <v>0</v>
      </c>
      <c r="DV55" s="182">
        <v>0</v>
      </c>
      <c r="DW55" s="182">
        <v>0</v>
      </c>
      <c r="DX55" s="182">
        <v>0</v>
      </c>
      <c r="DY55" s="182">
        <v>0</v>
      </c>
      <c r="DZ55" s="182">
        <v>0</v>
      </c>
      <c r="EA55" s="182">
        <v>0</v>
      </c>
      <c r="EB55" s="182">
        <v>0</v>
      </c>
      <c r="EC55" s="182">
        <v>0</v>
      </c>
      <c r="ED55" s="182">
        <v>0</v>
      </c>
      <c r="EE55" s="182">
        <v>0</v>
      </c>
      <c r="EF55" s="182">
        <v>0</v>
      </c>
      <c r="EG55" s="182">
        <v>0</v>
      </c>
      <c r="EH55" s="182">
        <v>0</v>
      </c>
      <c r="EI55" s="182">
        <v>0</v>
      </c>
      <c r="EJ55" s="182">
        <v>0</v>
      </c>
      <c r="EK55" s="182">
        <v>0</v>
      </c>
      <c r="EL55" s="182">
        <v>0</v>
      </c>
      <c r="EM55" s="182">
        <v>0</v>
      </c>
      <c r="EN55" s="182">
        <v>0</v>
      </c>
      <c r="EO55" s="182">
        <v>0</v>
      </c>
      <c r="EP55" s="182">
        <v>0</v>
      </c>
      <c r="EQ55" s="182">
        <v>0</v>
      </c>
      <c r="ER55" s="182">
        <v>0</v>
      </c>
      <c r="ES55" s="182">
        <v>0</v>
      </c>
      <c r="ET55" s="182">
        <v>0</v>
      </c>
      <c r="EU55" s="182">
        <v>0</v>
      </c>
      <c r="EV55" s="182">
        <v>0</v>
      </c>
      <c r="EW55" s="182">
        <v>0</v>
      </c>
      <c r="EX55" s="182">
        <v>0</v>
      </c>
      <c r="EY55" s="182">
        <v>0</v>
      </c>
      <c r="EZ55" s="182">
        <v>0</v>
      </c>
      <c r="FA55" s="182">
        <v>0</v>
      </c>
      <c r="FB55" s="183">
        <v>0</v>
      </c>
    </row>
    <row r="56" spans="2:158" ht="12.75" customHeight="1" x14ac:dyDescent="0.3">
      <c r="B56" s="199" t="s">
        <v>3866</v>
      </c>
      <c r="C56" s="340"/>
      <c r="D56" s="177">
        <v>0</v>
      </c>
      <c r="E56" s="177">
        <v>0</v>
      </c>
      <c r="F56" s="177">
        <v>0</v>
      </c>
      <c r="G56" s="176">
        <v>0</v>
      </c>
      <c r="H56" s="177">
        <v>0</v>
      </c>
      <c r="I56" s="177">
        <v>0</v>
      </c>
      <c r="J56" s="177">
        <v>0</v>
      </c>
      <c r="K56" s="176">
        <v>0</v>
      </c>
      <c r="L56" s="176">
        <v>0</v>
      </c>
      <c r="M56" s="176">
        <v>0</v>
      </c>
      <c r="N56" s="176">
        <v>0</v>
      </c>
      <c r="O56" s="176">
        <v>0</v>
      </c>
      <c r="P56" s="176">
        <v>0</v>
      </c>
      <c r="Q56" s="176">
        <v>0</v>
      </c>
      <c r="R56" s="176">
        <v>0</v>
      </c>
      <c r="S56" s="182">
        <v>0</v>
      </c>
      <c r="T56" s="182">
        <v>0</v>
      </c>
      <c r="U56" s="182">
        <v>0</v>
      </c>
      <c r="V56" s="182">
        <v>0</v>
      </c>
      <c r="W56" s="182">
        <v>0</v>
      </c>
      <c r="X56" s="182">
        <v>0</v>
      </c>
      <c r="Y56" s="182">
        <v>0</v>
      </c>
      <c r="Z56" s="182">
        <v>0</v>
      </c>
      <c r="AA56" s="182">
        <v>0</v>
      </c>
      <c r="AB56" s="182">
        <v>0</v>
      </c>
      <c r="AC56" s="182">
        <v>0</v>
      </c>
      <c r="AD56" s="182">
        <v>0</v>
      </c>
      <c r="AE56" s="182">
        <v>0</v>
      </c>
      <c r="AF56" s="182">
        <v>0</v>
      </c>
      <c r="AG56" s="182">
        <v>0</v>
      </c>
      <c r="AH56" s="182">
        <v>0</v>
      </c>
      <c r="AI56" s="182">
        <v>0</v>
      </c>
      <c r="AJ56" s="182">
        <v>0</v>
      </c>
      <c r="AK56" s="182">
        <v>0</v>
      </c>
      <c r="AL56" s="182">
        <v>0</v>
      </c>
      <c r="AM56" s="182">
        <v>0</v>
      </c>
      <c r="AN56" s="182">
        <v>0</v>
      </c>
      <c r="AO56" s="182">
        <v>0</v>
      </c>
      <c r="AP56" s="182">
        <v>0</v>
      </c>
      <c r="AQ56" s="182">
        <v>0</v>
      </c>
      <c r="AR56" s="182">
        <v>0</v>
      </c>
      <c r="AS56" s="182">
        <v>0</v>
      </c>
      <c r="AT56" s="182">
        <v>0</v>
      </c>
      <c r="AU56" s="176">
        <v>0</v>
      </c>
      <c r="AV56" s="177">
        <f>k.aCS.cwCS</f>
        <v>4.5122011807961309E-7</v>
      </c>
      <c r="AW56" s="176">
        <v>0</v>
      </c>
      <c r="AX56" s="176">
        <v>0</v>
      </c>
      <c r="AY56" s="181">
        <f>-SUM(AY$9:AY55,AY57:AY$163)</f>
        <v>-7.3989536825645079E-5</v>
      </c>
      <c r="AZ56" s="177">
        <v>0</v>
      </c>
      <c r="BA56" s="302">
        <v>0</v>
      </c>
      <c r="BB56" s="177">
        <v>0</v>
      </c>
      <c r="BC56" s="177">
        <v>0</v>
      </c>
      <c r="BD56" s="177">
        <v>0</v>
      </c>
      <c r="BE56" s="177">
        <v>0</v>
      </c>
      <c r="BF56" s="177">
        <v>0</v>
      </c>
      <c r="BG56" s="177">
        <v>0</v>
      </c>
      <c r="BH56" s="177">
        <v>0</v>
      </c>
      <c r="BI56" s="177">
        <v>0</v>
      </c>
      <c r="BJ56" s="177">
        <v>0</v>
      </c>
      <c r="BK56" s="177">
        <v>0</v>
      </c>
      <c r="BL56" s="177">
        <v>0</v>
      </c>
      <c r="BM56" s="177">
        <v>0</v>
      </c>
      <c r="BN56" s="177">
        <v>0</v>
      </c>
      <c r="BO56" s="177">
        <v>0</v>
      </c>
      <c r="BP56" s="177">
        <v>0</v>
      </c>
      <c r="BQ56" s="177">
        <v>0</v>
      </c>
      <c r="BR56" s="182">
        <v>0</v>
      </c>
      <c r="BS56" s="182">
        <v>0</v>
      </c>
      <c r="BT56" s="182">
        <v>0</v>
      </c>
      <c r="BU56" s="182">
        <v>0</v>
      </c>
      <c r="BV56" s="182">
        <v>0</v>
      </c>
      <c r="BW56" s="182">
        <v>0</v>
      </c>
      <c r="BX56" s="182">
        <v>0</v>
      </c>
      <c r="BY56" s="182">
        <v>0</v>
      </c>
      <c r="BZ56" s="177">
        <v>0</v>
      </c>
      <c r="CA56" s="177">
        <v>0</v>
      </c>
      <c r="CB56" s="177">
        <v>0</v>
      </c>
      <c r="CC56" s="177">
        <v>0</v>
      </c>
      <c r="CD56" s="177">
        <v>0</v>
      </c>
      <c r="CE56" s="177">
        <v>0</v>
      </c>
      <c r="CF56" s="177">
        <v>0</v>
      </c>
      <c r="CG56" s="177">
        <v>0</v>
      </c>
      <c r="CH56" s="177">
        <v>0</v>
      </c>
      <c r="CI56" s="177">
        <v>0</v>
      </c>
      <c r="CJ56" s="177">
        <v>0</v>
      </c>
      <c r="CK56" s="177">
        <v>0</v>
      </c>
      <c r="CL56" s="177">
        <v>0</v>
      </c>
      <c r="CM56" s="177">
        <v>0</v>
      </c>
      <c r="CN56" s="177">
        <v>0</v>
      </c>
      <c r="CO56" s="177">
        <v>0</v>
      </c>
      <c r="CP56" s="177">
        <v>0</v>
      </c>
      <c r="CQ56" s="177">
        <v>0</v>
      </c>
      <c r="CR56" s="177">
        <v>0</v>
      </c>
      <c r="CS56" s="182">
        <v>0</v>
      </c>
      <c r="CT56" s="182">
        <v>0</v>
      </c>
      <c r="CU56" s="182">
        <v>0</v>
      </c>
      <c r="CV56" s="182">
        <v>0</v>
      </c>
      <c r="CW56" s="182">
        <v>0</v>
      </c>
      <c r="CX56" s="182">
        <v>0</v>
      </c>
      <c r="CY56" s="182">
        <v>0</v>
      </c>
      <c r="CZ56" s="182">
        <v>0</v>
      </c>
      <c r="DA56" s="182">
        <v>0</v>
      </c>
      <c r="DB56" s="182">
        <v>0</v>
      </c>
      <c r="DC56" s="182">
        <v>0</v>
      </c>
      <c r="DD56" s="182">
        <v>0</v>
      </c>
      <c r="DE56" s="182">
        <v>0</v>
      </c>
      <c r="DF56" s="182">
        <v>0</v>
      </c>
      <c r="DG56" s="182">
        <v>0</v>
      </c>
      <c r="DH56" s="182">
        <v>0</v>
      </c>
      <c r="DI56" s="182">
        <v>0</v>
      </c>
      <c r="DJ56" s="182">
        <v>0</v>
      </c>
      <c r="DK56" s="182">
        <v>0</v>
      </c>
      <c r="DL56" s="182">
        <v>0</v>
      </c>
      <c r="DM56" s="182">
        <v>0</v>
      </c>
      <c r="DN56" s="182">
        <v>0</v>
      </c>
      <c r="DO56" s="182">
        <v>0</v>
      </c>
      <c r="DP56" s="182">
        <v>0</v>
      </c>
      <c r="DQ56" s="182">
        <v>0</v>
      </c>
      <c r="DR56" s="182">
        <v>0</v>
      </c>
      <c r="DS56" s="182">
        <v>0</v>
      </c>
      <c r="DT56" s="182">
        <v>0</v>
      </c>
      <c r="DU56" s="182">
        <v>0</v>
      </c>
      <c r="DV56" s="182">
        <v>0</v>
      </c>
      <c r="DW56" s="182">
        <v>0</v>
      </c>
      <c r="DX56" s="182">
        <v>0</v>
      </c>
      <c r="DY56" s="182">
        <v>0</v>
      </c>
      <c r="DZ56" s="182">
        <v>0</v>
      </c>
      <c r="EA56" s="182">
        <v>0</v>
      </c>
      <c r="EB56" s="182">
        <v>0</v>
      </c>
      <c r="EC56" s="182">
        <v>0</v>
      </c>
      <c r="ED56" s="182">
        <v>0</v>
      </c>
      <c r="EE56" s="182">
        <v>0</v>
      </c>
      <c r="EF56" s="182">
        <v>0</v>
      </c>
      <c r="EG56" s="182">
        <v>0</v>
      </c>
      <c r="EH56" s="182">
        <v>0</v>
      </c>
      <c r="EI56" s="182">
        <v>0</v>
      </c>
      <c r="EJ56" s="182">
        <v>0</v>
      </c>
      <c r="EK56" s="182">
        <v>0</v>
      </c>
      <c r="EL56" s="182">
        <v>0</v>
      </c>
      <c r="EM56" s="182">
        <v>0</v>
      </c>
      <c r="EN56" s="182">
        <v>0</v>
      </c>
      <c r="EO56" s="182">
        <v>0</v>
      </c>
      <c r="EP56" s="182">
        <v>0</v>
      </c>
      <c r="EQ56" s="182">
        <v>0</v>
      </c>
      <c r="ER56" s="182">
        <v>0</v>
      </c>
      <c r="ES56" s="182">
        <v>0</v>
      </c>
      <c r="ET56" s="182">
        <v>0</v>
      </c>
      <c r="EU56" s="182">
        <v>0</v>
      </c>
      <c r="EV56" s="182">
        <v>0</v>
      </c>
      <c r="EW56" s="182">
        <v>0</v>
      </c>
      <c r="EX56" s="182">
        <v>0</v>
      </c>
      <c r="EY56" s="182">
        <v>0</v>
      </c>
      <c r="EZ56" s="182">
        <v>0</v>
      </c>
      <c r="FA56" s="182">
        <v>0</v>
      </c>
      <c r="FB56" s="183">
        <v>0</v>
      </c>
    </row>
    <row r="57" spans="2:158" ht="12.75" customHeight="1" x14ac:dyDescent="0.3">
      <c r="B57" s="199" t="s">
        <v>3867</v>
      </c>
      <c r="C57" s="340"/>
      <c r="D57" s="177">
        <v>0</v>
      </c>
      <c r="E57" s="177">
        <v>0</v>
      </c>
      <c r="F57" s="177">
        <v>0</v>
      </c>
      <c r="G57" s="176">
        <v>0</v>
      </c>
      <c r="H57" s="177">
        <v>0</v>
      </c>
      <c r="I57" s="177">
        <v>0</v>
      </c>
      <c r="J57" s="177">
        <v>0</v>
      </c>
      <c r="K57" s="176">
        <v>0</v>
      </c>
      <c r="L57" s="176">
        <v>0</v>
      </c>
      <c r="M57" s="176">
        <v>0</v>
      </c>
      <c r="N57" s="176">
        <v>0</v>
      </c>
      <c r="O57" s="176">
        <v>0</v>
      </c>
      <c r="P57" s="176">
        <v>0</v>
      </c>
      <c r="Q57" s="176">
        <v>0</v>
      </c>
      <c r="R57" s="176">
        <v>0</v>
      </c>
      <c r="S57" s="182">
        <v>0</v>
      </c>
      <c r="T57" s="182">
        <v>0</v>
      </c>
      <c r="U57" s="182">
        <v>0</v>
      </c>
      <c r="V57" s="182">
        <v>0</v>
      </c>
      <c r="W57" s="182">
        <v>0</v>
      </c>
      <c r="X57" s="182">
        <v>0</v>
      </c>
      <c r="Y57" s="182">
        <v>0</v>
      </c>
      <c r="Z57" s="182">
        <v>0</v>
      </c>
      <c r="AA57" s="182">
        <v>0</v>
      </c>
      <c r="AB57" s="182">
        <v>0</v>
      </c>
      <c r="AC57" s="182">
        <v>0</v>
      </c>
      <c r="AD57" s="182">
        <v>0</v>
      </c>
      <c r="AE57" s="182">
        <v>0</v>
      </c>
      <c r="AF57" s="182">
        <v>0</v>
      </c>
      <c r="AG57" s="182">
        <v>0</v>
      </c>
      <c r="AH57" s="182">
        <v>0</v>
      </c>
      <c r="AI57" s="182">
        <v>0</v>
      </c>
      <c r="AJ57" s="182">
        <v>0</v>
      </c>
      <c r="AK57" s="182">
        <v>0</v>
      </c>
      <c r="AL57" s="182">
        <v>0</v>
      </c>
      <c r="AM57" s="182">
        <v>0</v>
      </c>
      <c r="AN57" s="182">
        <v>0</v>
      </c>
      <c r="AO57" s="182">
        <v>0</v>
      </c>
      <c r="AP57" s="182">
        <v>0</v>
      </c>
      <c r="AQ57" s="182">
        <v>0</v>
      </c>
      <c r="AR57" s="182">
        <v>0</v>
      </c>
      <c r="AS57" s="182">
        <v>0</v>
      </c>
      <c r="AT57" s="182">
        <v>0</v>
      </c>
      <c r="AU57" s="176">
        <v>0</v>
      </c>
      <c r="AV57" s="176">
        <v>0</v>
      </c>
      <c r="AW57" s="177">
        <f>k.aCA.cwCA</f>
        <v>1.7485826124729888E-7</v>
      </c>
      <c r="AX57" s="176">
        <v>0</v>
      </c>
      <c r="AY57" s="177">
        <v>0</v>
      </c>
      <c r="AZ57" s="181">
        <f>-SUM(AZ$9:AZ56,AZ58:AZ$163)</f>
        <v>-7.3989536825645079E-5</v>
      </c>
      <c r="BA57" s="302">
        <v>0</v>
      </c>
      <c r="BB57" s="177">
        <v>0</v>
      </c>
      <c r="BC57" s="177">
        <v>0</v>
      </c>
      <c r="BD57" s="177">
        <v>0</v>
      </c>
      <c r="BE57" s="177">
        <v>0</v>
      </c>
      <c r="BF57" s="177">
        <v>0</v>
      </c>
      <c r="BG57" s="177">
        <v>0</v>
      </c>
      <c r="BH57" s="177">
        <v>0</v>
      </c>
      <c r="BI57" s="177">
        <v>0</v>
      </c>
      <c r="BJ57" s="177">
        <v>0</v>
      </c>
      <c r="BK57" s="177">
        <v>0</v>
      </c>
      <c r="BL57" s="177">
        <v>0</v>
      </c>
      <c r="BM57" s="177">
        <v>0</v>
      </c>
      <c r="BN57" s="177">
        <v>0</v>
      </c>
      <c r="BO57" s="177">
        <v>0</v>
      </c>
      <c r="BP57" s="177">
        <v>0</v>
      </c>
      <c r="BQ57" s="177">
        <v>0</v>
      </c>
      <c r="BR57" s="182">
        <v>0</v>
      </c>
      <c r="BS57" s="182">
        <v>0</v>
      </c>
      <c r="BT57" s="182">
        <v>0</v>
      </c>
      <c r="BU57" s="182">
        <v>0</v>
      </c>
      <c r="BV57" s="182">
        <v>0</v>
      </c>
      <c r="BW57" s="182">
        <v>0</v>
      </c>
      <c r="BX57" s="182">
        <v>0</v>
      </c>
      <c r="BY57" s="182">
        <v>0</v>
      </c>
      <c r="BZ57" s="177">
        <v>0</v>
      </c>
      <c r="CA57" s="177">
        <v>0</v>
      </c>
      <c r="CB57" s="177">
        <v>0</v>
      </c>
      <c r="CC57" s="177">
        <v>0</v>
      </c>
      <c r="CD57" s="177">
        <v>0</v>
      </c>
      <c r="CE57" s="177">
        <v>0</v>
      </c>
      <c r="CF57" s="177">
        <v>0</v>
      </c>
      <c r="CG57" s="177">
        <v>0</v>
      </c>
      <c r="CH57" s="177">
        <v>0</v>
      </c>
      <c r="CI57" s="177">
        <v>0</v>
      </c>
      <c r="CJ57" s="177">
        <v>0</v>
      </c>
      <c r="CK57" s="177">
        <v>0</v>
      </c>
      <c r="CL57" s="177">
        <v>0</v>
      </c>
      <c r="CM57" s="177">
        <v>0</v>
      </c>
      <c r="CN57" s="177">
        <v>0</v>
      </c>
      <c r="CO57" s="177">
        <v>0</v>
      </c>
      <c r="CP57" s="177">
        <v>0</v>
      </c>
      <c r="CQ57" s="177">
        <v>0</v>
      </c>
      <c r="CR57" s="177">
        <v>0</v>
      </c>
      <c r="CS57" s="182">
        <v>0</v>
      </c>
      <c r="CT57" s="182">
        <v>0</v>
      </c>
      <c r="CU57" s="182">
        <v>0</v>
      </c>
      <c r="CV57" s="182">
        <v>0</v>
      </c>
      <c r="CW57" s="182">
        <v>0</v>
      </c>
      <c r="CX57" s="182">
        <v>0</v>
      </c>
      <c r="CY57" s="182">
        <v>0</v>
      </c>
      <c r="CZ57" s="182">
        <v>0</v>
      </c>
      <c r="DA57" s="182">
        <v>0</v>
      </c>
      <c r="DB57" s="182">
        <v>0</v>
      </c>
      <c r="DC57" s="182">
        <v>0</v>
      </c>
      <c r="DD57" s="182">
        <v>0</v>
      </c>
      <c r="DE57" s="182">
        <v>0</v>
      </c>
      <c r="DF57" s="182">
        <v>0</v>
      </c>
      <c r="DG57" s="182">
        <v>0</v>
      </c>
      <c r="DH57" s="182">
        <v>0</v>
      </c>
      <c r="DI57" s="182">
        <v>0</v>
      </c>
      <c r="DJ57" s="182">
        <v>0</v>
      </c>
      <c r="DK57" s="182">
        <v>0</v>
      </c>
      <c r="DL57" s="182">
        <v>0</v>
      </c>
      <c r="DM57" s="182">
        <v>0</v>
      </c>
      <c r="DN57" s="182">
        <v>0</v>
      </c>
      <c r="DO57" s="182">
        <v>0</v>
      </c>
      <c r="DP57" s="182">
        <v>0</v>
      </c>
      <c r="DQ57" s="182">
        <v>0</v>
      </c>
      <c r="DR57" s="182">
        <v>0</v>
      </c>
      <c r="DS57" s="182">
        <v>0</v>
      </c>
      <c r="DT57" s="182">
        <v>0</v>
      </c>
      <c r="DU57" s="182">
        <v>0</v>
      </c>
      <c r="DV57" s="182">
        <v>0</v>
      </c>
      <c r="DW57" s="182">
        <v>0</v>
      </c>
      <c r="DX57" s="182">
        <v>0</v>
      </c>
      <c r="DY57" s="182">
        <v>0</v>
      </c>
      <c r="DZ57" s="182">
        <v>0</v>
      </c>
      <c r="EA57" s="182">
        <v>0</v>
      </c>
      <c r="EB57" s="182">
        <v>0</v>
      </c>
      <c r="EC57" s="182">
        <v>0</v>
      </c>
      <c r="ED57" s="182">
        <v>0</v>
      </c>
      <c r="EE57" s="182">
        <v>0</v>
      </c>
      <c r="EF57" s="182">
        <v>0</v>
      </c>
      <c r="EG57" s="182">
        <v>0</v>
      </c>
      <c r="EH57" s="182">
        <v>0</v>
      </c>
      <c r="EI57" s="182">
        <v>0</v>
      </c>
      <c r="EJ57" s="182">
        <v>0</v>
      </c>
      <c r="EK57" s="182">
        <v>0</v>
      </c>
      <c r="EL57" s="182">
        <v>0</v>
      </c>
      <c r="EM57" s="182">
        <v>0</v>
      </c>
      <c r="EN57" s="182">
        <v>0</v>
      </c>
      <c r="EO57" s="182">
        <v>0</v>
      </c>
      <c r="EP57" s="182">
        <v>0</v>
      </c>
      <c r="EQ57" s="182">
        <v>0</v>
      </c>
      <c r="ER57" s="182">
        <v>0</v>
      </c>
      <c r="ES57" s="182">
        <v>0</v>
      </c>
      <c r="ET57" s="182">
        <v>0</v>
      </c>
      <c r="EU57" s="182">
        <v>0</v>
      </c>
      <c r="EV57" s="182">
        <v>0</v>
      </c>
      <c r="EW57" s="182">
        <v>0</v>
      </c>
      <c r="EX57" s="182">
        <v>0</v>
      </c>
      <c r="EY57" s="182">
        <v>0</v>
      </c>
      <c r="EZ57" s="182">
        <v>0</v>
      </c>
      <c r="FA57" s="182">
        <v>0</v>
      </c>
      <c r="FB57" s="183">
        <v>0</v>
      </c>
    </row>
    <row r="58" spans="2:158" ht="12.75" customHeight="1" x14ac:dyDescent="0.3">
      <c r="B58" s="199" t="s">
        <v>3868</v>
      </c>
      <c r="C58" s="340"/>
      <c r="D58" s="177">
        <v>0</v>
      </c>
      <c r="E58" s="177">
        <v>0</v>
      </c>
      <c r="F58" s="177">
        <v>0</v>
      </c>
      <c r="G58" s="176">
        <v>0</v>
      </c>
      <c r="H58" s="177">
        <v>0</v>
      </c>
      <c r="I58" s="177">
        <v>0</v>
      </c>
      <c r="J58" s="177">
        <v>0</v>
      </c>
      <c r="K58" s="176">
        <v>0</v>
      </c>
      <c r="L58" s="176">
        <v>0</v>
      </c>
      <c r="M58" s="176">
        <v>0</v>
      </c>
      <c r="N58" s="176">
        <v>0</v>
      </c>
      <c r="O58" s="176">
        <v>0</v>
      </c>
      <c r="P58" s="176">
        <v>0</v>
      </c>
      <c r="Q58" s="176">
        <v>0</v>
      </c>
      <c r="R58" s="176">
        <v>0</v>
      </c>
      <c r="S58" s="182">
        <v>0</v>
      </c>
      <c r="T58" s="182">
        <v>0</v>
      </c>
      <c r="U58" s="182">
        <v>0</v>
      </c>
      <c r="V58" s="182">
        <v>0</v>
      </c>
      <c r="W58" s="182">
        <v>0</v>
      </c>
      <c r="X58" s="182">
        <v>0</v>
      </c>
      <c r="Y58" s="182">
        <v>0</v>
      </c>
      <c r="Z58" s="182">
        <v>0</v>
      </c>
      <c r="AA58" s="182">
        <v>0</v>
      </c>
      <c r="AB58" s="182">
        <v>0</v>
      </c>
      <c r="AC58" s="182">
        <v>0</v>
      </c>
      <c r="AD58" s="182">
        <v>0</v>
      </c>
      <c r="AE58" s="182">
        <v>0</v>
      </c>
      <c r="AF58" s="182">
        <v>0</v>
      </c>
      <c r="AG58" s="182">
        <v>0</v>
      </c>
      <c r="AH58" s="182">
        <v>0</v>
      </c>
      <c r="AI58" s="182">
        <v>0</v>
      </c>
      <c r="AJ58" s="182">
        <v>0</v>
      </c>
      <c r="AK58" s="182">
        <v>0</v>
      </c>
      <c r="AL58" s="182">
        <v>0</v>
      </c>
      <c r="AM58" s="182">
        <v>0</v>
      </c>
      <c r="AN58" s="182">
        <v>0</v>
      </c>
      <c r="AO58" s="182">
        <v>0</v>
      </c>
      <c r="AP58" s="182">
        <v>0</v>
      </c>
      <c r="AQ58" s="182">
        <v>0</v>
      </c>
      <c r="AR58" s="182">
        <v>0</v>
      </c>
      <c r="AS58" s="182">
        <v>0</v>
      </c>
      <c r="AT58" s="182">
        <v>0</v>
      </c>
      <c r="AU58" s="176">
        <v>0</v>
      </c>
      <c r="AV58" s="176">
        <v>0</v>
      </c>
      <c r="AW58" s="176">
        <v>0</v>
      </c>
      <c r="AX58" s="177">
        <f>k.aCP.cwCP</f>
        <v>7.3989514628784045E-5</v>
      </c>
      <c r="AY58" s="304">
        <v>0</v>
      </c>
      <c r="AZ58" s="304">
        <v>0</v>
      </c>
      <c r="BA58" s="181">
        <f>-SUM(BA$9:BA57,BA59:BA$163)</f>
        <v>-7.3989536825645079E-5</v>
      </c>
      <c r="BB58" s="177">
        <v>0</v>
      </c>
      <c r="BC58" s="177">
        <v>0</v>
      </c>
      <c r="BD58" s="177">
        <v>0</v>
      </c>
      <c r="BE58" s="177">
        <v>0</v>
      </c>
      <c r="BF58" s="177">
        <v>0</v>
      </c>
      <c r="BG58" s="177">
        <v>0</v>
      </c>
      <c r="BH58" s="177">
        <v>0</v>
      </c>
      <c r="BI58" s="177">
        <v>0</v>
      </c>
      <c r="BJ58" s="177">
        <v>0</v>
      </c>
      <c r="BK58" s="177">
        <v>0</v>
      </c>
      <c r="BL58" s="177">
        <v>0</v>
      </c>
      <c r="BM58" s="177">
        <v>0</v>
      </c>
      <c r="BN58" s="177">
        <v>0</v>
      </c>
      <c r="BO58" s="177">
        <v>0</v>
      </c>
      <c r="BP58" s="177">
        <v>0</v>
      </c>
      <c r="BQ58" s="177">
        <v>0</v>
      </c>
      <c r="BR58" s="182">
        <v>0</v>
      </c>
      <c r="BS58" s="182">
        <v>0</v>
      </c>
      <c r="BT58" s="182">
        <v>0</v>
      </c>
      <c r="BU58" s="182">
        <v>0</v>
      </c>
      <c r="BV58" s="182">
        <v>0</v>
      </c>
      <c r="BW58" s="182">
        <v>0</v>
      </c>
      <c r="BX58" s="182">
        <v>0</v>
      </c>
      <c r="BY58" s="182">
        <v>0</v>
      </c>
      <c r="BZ58" s="177">
        <v>0</v>
      </c>
      <c r="CA58" s="177">
        <v>0</v>
      </c>
      <c r="CB58" s="177">
        <v>0</v>
      </c>
      <c r="CC58" s="177">
        <v>0</v>
      </c>
      <c r="CD58" s="177">
        <v>0</v>
      </c>
      <c r="CE58" s="177">
        <v>0</v>
      </c>
      <c r="CF58" s="177">
        <v>0</v>
      </c>
      <c r="CG58" s="177">
        <v>0</v>
      </c>
      <c r="CH58" s="177">
        <v>0</v>
      </c>
      <c r="CI58" s="177">
        <v>0</v>
      </c>
      <c r="CJ58" s="177">
        <v>0</v>
      </c>
      <c r="CK58" s="177">
        <v>0</v>
      </c>
      <c r="CL58" s="177">
        <v>0</v>
      </c>
      <c r="CM58" s="177">
        <v>0</v>
      </c>
      <c r="CN58" s="177">
        <v>0</v>
      </c>
      <c r="CO58" s="177">
        <v>0</v>
      </c>
      <c r="CP58" s="177">
        <v>0</v>
      </c>
      <c r="CQ58" s="177">
        <v>0</v>
      </c>
      <c r="CR58" s="177">
        <v>0</v>
      </c>
      <c r="CS58" s="182">
        <v>0</v>
      </c>
      <c r="CT58" s="182">
        <v>0</v>
      </c>
      <c r="CU58" s="182">
        <v>0</v>
      </c>
      <c r="CV58" s="182">
        <v>0</v>
      </c>
      <c r="CW58" s="182">
        <v>0</v>
      </c>
      <c r="CX58" s="182">
        <v>0</v>
      </c>
      <c r="CY58" s="182">
        <v>0</v>
      </c>
      <c r="CZ58" s="182">
        <v>0</v>
      </c>
      <c r="DA58" s="182">
        <v>0</v>
      </c>
      <c r="DB58" s="182">
        <v>0</v>
      </c>
      <c r="DC58" s="182">
        <v>0</v>
      </c>
      <c r="DD58" s="182">
        <v>0</v>
      </c>
      <c r="DE58" s="182">
        <v>0</v>
      </c>
      <c r="DF58" s="182">
        <v>0</v>
      </c>
      <c r="DG58" s="182">
        <v>0</v>
      </c>
      <c r="DH58" s="182">
        <v>0</v>
      </c>
      <c r="DI58" s="182">
        <v>0</v>
      </c>
      <c r="DJ58" s="182">
        <v>0</v>
      </c>
      <c r="DK58" s="182">
        <v>0</v>
      </c>
      <c r="DL58" s="182">
        <v>0</v>
      </c>
      <c r="DM58" s="182">
        <v>0</v>
      </c>
      <c r="DN58" s="182">
        <v>0</v>
      </c>
      <c r="DO58" s="182">
        <v>0</v>
      </c>
      <c r="DP58" s="182">
        <v>0</v>
      </c>
      <c r="DQ58" s="182">
        <v>0</v>
      </c>
      <c r="DR58" s="182">
        <v>0</v>
      </c>
      <c r="DS58" s="182">
        <v>0</v>
      </c>
      <c r="DT58" s="182">
        <v>0</v>
      </c>
      <c r="DU58" s="182">
        <v>0</v>
      </c>
      <c r="DV58" s="182">
        <v>0</v>
      </c>
      <c r="DW58" s="182">
        <v>0</v>
      </c>
      <c r="DX58" s="182">
        <v>0</v>
      </c>
      <c r="DY58" s="182">
        <v>0</v>
      </c>
      <c r="DZ58" s="182">
        <v>0</v>
      </c>
      <c r="EA58" s="182">
        <v>0</v>
      </c>
      <c r="EB58" s="182">
        <v>0</v>
      </c>
      <c r="EC58" s="182">
        <v>0</v>
      </c>
      <c r="ED58" s="182">
        <v>0</v>
      </c>
      <c r="EE58" s="182">
        <v>0</v>
      </c>
      <c r="EF58" s="182">
        <v>0</v>
      </c>
      <c r="EG58" s="182">
        <v>0</v>
      </c>
      <c r="EH58" s="182">
        <v>0</v>
      </c>
      <c r="EI58" s="182">
        <v>0</v>
      </c>
      <c r="EJ58" s="182">
        <v>0</v>
      </c>
      <c r="EK58" s="182">
        <v>0</v>
      </c>
      <c r="EL58" s="182">
        <v>0</v>
      </c>
      <c r="EM58" s="182">
        <v>0</v>
      </c>
      <c r="EN58" s="182">
        <v>0</v>
      </c>
      <c r="EO58" s="182">
        <v>0</v>
      </c>
      <c r="EP58" s="182">
        <v>0</v>
      </c>
      <c r="EQ58" s="182">
        <v>0</v>
      </c>
      <c r="ER58" s="182">
        <v>0</v>
      </c>
      <c r="ES58" s="182">
        <v>0</v>
      </c>
      <c r="ET58" s="182">
        <v>0</v>
      </c>
      <c r="EU58" s="182">
        <v>0</v>
      </c>
      <c r="EV58" s="182">
        <v>0</v>
      </c>
      <c r="EW58" s="182">
        <v>0</v>
      </c>
      <c r="EX58" s="182">
        <v>0</v>
      </c>
      <c r="EY58" s="182">
        <v>0</v>
      </c>
      <c r="EZ58" s="182">
        <v>0</v>
      </c>
      <c r="FA58" s="182">
        <v>0</v>
      </c>
      <c r="FB58" s="183">
        <v>0</v>
      </c>
    </row>
    <row r="59" spans="2:158" ht="12.75" customHeight="1" x14ac:dyDescent="0.3">
      <c r="B59" s="199" t="s">
        <v>3869</v>
      </c>
      <c r="C59" s="340"/>
      <c r="D59" s="182">
        <v>0</v>
      </c>
      <c r="E59" s="182">
        <v>0</v>
      </c>
      <c r="F59" s="182">
        <v>0</v>
      </c>
      <c r="G59" s="182">
        <v>0</v>
      </c>
      <c r="H59" s="182">
        <v>0</v>
      </c>
      <c r="I59" s="182">
        <v>0</v>
      </c>
      <c r="J59" s="182">
        <v>0</v>
      </c>
      <c r="K59" s="182">
        <v>0</v>
      </c>
      <c r="L59" s="182">
        <v>0</v>
      </c>
      <c r="M59" s="182">
        <v>0</v>
      </c>
      <c r="N59" s="182">
        <v>0</v>
      </c>
      <c r="O59" s="182">
        <v>0</v>
      </c>
      <c r="P59" s="182">
        <v>0</v>
      </c>
      <c r="Q59" s="182">
        <v>0</v>
      </c>
      <c r="R59" s="182">
        <v>0</v>
      </c>
      <c r="S59" s="182">
        <v>0</v>
      </c>
      <c r="T59" s="182">
        <v>0</v>
      </c>
      <c r="U59" s="182">
        <v>0</v>
      </c>
      <c r="V59" s="182">
        <v>0</v>
      </c>
      <c r="W59" s="182">
        <v>0</v>
      </c>
      <c r="X59" s="182">
        <v>0</v>
      </c>
      <c r="Y59" s="182">
        <v>0</v>
      </c>
      <c r="Z59" s="182">
        <v>0</v>
      </c>
      <c r="AA59" s="182">
        <v>0</v>
      </c>
      <c r="AB59" s="182">
        <v>0</v>
      </c>
      <c r="AC59" s="182">
        <v>0</v>
      </c>
      <c r="AD59" s="182">
        <v>0</v>
      </c>
      <c r="AE59" s="182">
        <v>0</v>
      </c>
      <c r="AF59" s="182">
        <v>0</v>
      </c>
      <c r="AG59" s="182">
        <v>0</v>
      </c>
      <c r="AH59" s="182">
        <v>0</v>
      </c>
      <c r="AI59" s="182">
        <v>0</v>
      </c>
      <c r="AJ59" s="182">
        <v>0</v>
      </c>
      <c r="AK59" s="182">
        <v>0</v>
      </c>
      <c r="AL59" s="182">
        <v>0</v>
      </c>
      <c r="AM59" s="182">
        <v>0</v>
      </c>
      <c r="AN59" s="182">
        <v>0</v>
      </c>
      <c r="AO59" s="182">
        <v>0</v>
      </c>
      <c r="AP59" s="182">
        <v>0</v>
      </c>
      <c r="AQ59" s="182">
        <v>0</v>
      </c>
      <c r="AR59" s="182">
        <v>0</v>
      </c>
      <c r="AS59" s="182">
        <v>0</v>
      </c>
      <c r="AT59" s="182">
        <v>0</v>
      </c>
      <c r="AU59" s="177">
        <f>k.aC.w0C</f>
        <v>6.9338104448822831E-11</v>
      </c>
      <c r="AV59" s="177">
        <v>0</v>
      </c>
      <c r="AW59" s="177">
        <v>0</v>
      </c>
      <c r="AX59" s="177">
        <v>0</v>
      </c>
      <c r="AY59" s="177">
        <v>0</v>
      </c>
      <c r="AZ59" s="177">
        <v>0</v>
      </c>
      <c r="BA59" s="177">
        <v>0</v>
      </c>
      <c r="BB59" s="320">
        <f>-k.w0C-SUM(BB9:BB55,BB60:BB163)</f>
        <v>-1.405950035891587E-7</v>
      </c>
      <c r="BC59" s="321">
        <f>kdis.w0S.w0D</f>
        <v>0</v>
      </c>
      <c r="BD59" s="321">
        <f>kdis.w0A.w0D</f>
        <v>0</v>
      </c>
      <c r="BE59" s="322">
        <f>kdis.w0P.w0D</f>
        <v>0</v>
      </c>
      <c r="BF59" s="177">
        <f>k.w1C.w0C</f>
        <v>0</v>
      </c>
      <c r="BG59" s="177">
        <v>0</v>
      </c>
      <c r="BH59" s="177">
        <v>0</v>
      </c>
      <c r="BI59" s="177">
        <v>0</v>
      </c>
      <c r="BJ59" s="29">
        <v>0</v>
      </c>
      <c r="BK59" s="29">
        <v>0</v>
      </c>
      <c r="BL59" s="29">
        <v>0</v>
      </c>
      <c r="BM59" s="29">
        <v>0</v>
      </c>
      <c r="BN59" s="177">
        <f>k.sd0CD.w0CD</f>
        <v>0</v>
      </c>
      <c r="BO59" s="177">
        <v>0</v>
      </c>
      <c r="BP59" s="177">
        <v>0</v>
      </c>
      <c r="BQ59" s="29">
        <v>0</v>
      </c>
      <c r="BR59" s="182">
        <v>0</v>
      </c>
      <c r="BS59" s="182">
        <v>0</v>
      </c>
      <c r="BT59" s="182">
        <v>0</v>
      </c>
      <c r="BU59" s="182">
        <v>0</v>
      </c>
      <c r="BV59" s="182">
        <v>0</v>
      </c>
      <c r="BW59" s="182">
        <v>0</v>
      </c>
      <c r="BX59" s="182">
        <v>0</v>
      </c>
      <c r="BY59" s="182">
        <v>0</v>
      </c>
      <c r="BZ59" s="177">
        <f>k.s1C.w0CD</f>
        <v>5.0633546548533281E-10</v>
      </c>
      <c r="CA59" s="177">
        <v>0</v>
      </c>
      <c r="CB59" s="177">
        <v>0</v>
      </c>
      <c r="CC59" s="177">
        <v>0</v>
      </c>
      <c r="CD59" s="177">
        <f>k.s2C.w0CD</f>
        <v>2.3041009735468192E-10</v>
      </c>
      <c r="CE59" s="177">
        <v>0</v>
      </c>
      <c r="CF59" s="177">
        <v>0</v>
      </c>
      <c r="CG59" s="177">
        <v>0</v>
      </c>
      <c r="CH59" s="177">
        <f>k.s3C.w0CD</f>
        <v>5.0633546548533281E-10</v>
      </c>
      <c r="CI59" s="177">
        <v>0</v>
      </c>
      <c r="CJ59" s="177">
        <v>0</v>
      </c>
      <c r="CK59" s="177">
        <v>0</v>
      </c>
      <c r="CL59" s="182">
        <v>0</v>
      </c>
      <c r="CM59" s="182">
        <v>0</v>
      </c>
      <c r="CN59" s="182">
        <v>0</v>
      </c>
      <c r="CO59" s="182">
        <v>0</v>
      </c>
      <c r="CP59" s="182">
        <v>0</v>
      </c>
      <c r="CQ59" s="182">
        <v>0</v>
      </c>
      <c r="CR59" s="182">
        <v>0</v>
      </c>
      <c r="CS59" s="182">
        <v>0</v>
      </c>
      <c r="CT59" s="182">
        <v>0</v>
      </c>
      <c r="CU59" s="182">
        <v>0</v>
      </c>
      <c r="CV59" s="182">
        <v>0</v>
      </c>
      <c r="CW59" s="182">
        <v>0</v>
      </c>
      <c r="CX59" s="182">
        <v>0</v>
      </c>
      <c r="CY59" s="182">
        <v>0</v>
      </c>
      <c r="CZ59" s="182">
        <v>0</v>
      </c>
      <c r="DA59" s="182">
        <v>0</v>
      </c>
      <c r="DB59" s="182">
        <v>0</v>
      </c>
      <c r="DC59" s="182">
        <v>0</v>
      </c>
      <c r="DD59" s="182">
        <v>0</v>
      </c>
      <c r="DE59" s="182">
        <v>0</v>
      </c>
      <c r="DF59" s="182">
        <v>0</v>
      </c>
      <c r="DG59" s="182">
        <v>0</v>
      </c>
      <c r="DH59" s="182">
        <v>0</v>
      </c>
      <c r="DI59" s="182">
        <v>0</v>
      </c>
      <c r="DJ59" s="182">
        <v>0</v>
      </c>
      <c r="DK59" s="182">
        <v>0</v>
      </c>
      <c r="DL59" s="182">
        <v>0</v>
      </c>
      <c r="DM59" s="182">
        <v>0</v>
      </c>
      <c r="DN59" s="182">
        <v>0</v>
      </c>
      <c r="DO59" s="182">
        <v>0</v>
      </c>
      <c r="DP59" s="182">
        <v>0</v>
      </c>
      <c r="DQ59" s="182">
        <v>0</v>
      </c>
      <c r="DR59" s="182">
        <v>0</v>
      </c>
      <c r="DS59" s="182">
        <v>0</v>
      </c>
      <c r="DT59" s="182">
        <v>0</v>
      </c>
      <c r="DU59" s="182">
        <v>0</v>
      </c>
      <c r="DV59" s="182">
        <v>0</v>
      </c>
      <c r="DW59" s="182">
        <v>0</v>
      </c>
      <c r="DX59" s="182">
        <v>0</v>
      </c>
      <c r="DY59" s="182">
        <v>0</v>
      </c>
      <c r="DZ59" s="182">
        <v>0</v>
      </c>
      <c r="EA59" s="182">
        <v>0</v>
      </c>
      <c r="EB59" s="182">
        <v>0</v>
      </c>
      <c r="EC59" s="182">
        <v>0</v>
      </c>
      <c r="ED59" s="182">
        <v>0</v>
      </c>
      <c r="EE59" s="182">
        <v>0</v>
      </c>
      <c r="EF59" s="182">
        <v>0</v>
      </c>
      <c r="EG59" s="182">
        <v>0</v>
      </c>
      <c r="EH59" s="182">
        <v>0</v>
      </c>
      <c r="EI59" s="182">
        <v>0</v>
      </c>
      <c r="EJ59" s="182">
        <v>0</v>
      </c>
      <c r="EK59" s="182">
        <v>0</v>
      </c>
      <c r="EL59" s="182">
        <v>0</v>
      </c>
      <c r="EM59" s="182">
        <v>0</v>
      </c>
      <c r="EN59" s="182">
        <v>0</v>
      </c>
      <c r="EO59" s="182">
        <v>0</v>
      </c>
      <c r="EP59" s="182">
        <v>0</v>
      </c>
      <c r="EQ59" s="182">
        <v>0</v>
      </c>
      <c r="ER59" s="182">
        <v>0</v>
      </c>
      <c r="ES59" s="182">
        <v>0</v>
      </c>
      <c r="ET59" s="182">
        <v>0</v>
      </c>
      <c r="EU59" s="182">
        <v>0</v>
      </c>
      <c r="EV59" s="182">
        <v>0</v>
      </c>
      <c r="EW59" s="182">
        <v>0</v>
      </c>
      <c r="EX59" s="182">
        <v>0</v>
      </c>
      <c r="EY59" s="182">
        <v>0</v>
      </c>
      <c r="EZ59" s="182">
        <v>0</v>
      </c>
      <c r="FA59" s="182">
        <v>0</v>
      </c>
      <c r="FB59" s="183">
        <v>0</v>
      </c>
    </row>
    <row r="60" spans="2:158" ht="12.75" customHeight="1" x14ac:dyDescent="0.3">
      <c r="B60" s="199" t="s">
        <v>3870</v>
      </c>
      <c r="C60" s="340"/>
      <c r="D60" s="182">
        <v>0</v>
      </c>
      <c r="E60" s="182">
        <v>0</v>
      </c>
      <c r="F60" s="182">
        <v>0</v>
      </c>
      <c r="G60" s="182">
        <v>0</v>
      </c>
      <c r="H60" s="182">
        <v>0</v>
      </c>
      <c r="I60" s="182">
        <v>0</v>
      </c>
      <c r="J60" s="182">
        <v>0</v>
      </c>
      <c r="K60" s="182">
        <v>0</v>
      </c>
      <c r="L60" s="182">
        <v>0</v>
      </c>
      <c r="M60" s="182">
        <v>0</v>
      </c>
      <c r="N60" s="182">
        <v>0</v>
      </c>
      <c r="O60" s="182">
        <v>0</v>
      </c>
      <c r="P60" s="182">
        <v>0</v>
      </c>
      <c r="Q60" s="182">
        <v>0</v>
      </c>
      <c r="R60" s="182">
        <v>0</v>
      </c>
      <c r="S60" s="182">
        <v>0</v>
      </c>
      <c r="T60" s="182">
        <v>0</v>
      </c>
      <c r="U60" s="182">
        <v>0</v>
      </c>
      <c r="V60" s="182">
        <v>0</v>
      </c>
      <c r="W60" s="182">
        <v>0</v>
      </c>
      <c r="X60" s="182">
        <v>0</v>
      </c>
      <c r="Y60" s="182">
        <v>0</v>
      </c>
      <c r="Z60" s="182">
        <v>0</v>
      </c>
      <c r="AA60" s="182">
        <v>0</v>
      </c>
      <c r="AB60" s="182">
        <v>0</v>
      </c>
      <c r="AC60" s="182">
        <v>0</v>
      </c>
      <c r="AD60" s="182">
        <v>0</v>
      </c>
      <c r="AE60" s="182">
        <v>0</v>
      </c>
      <c r="AF60" s="182">
        <v>0</v>
      </c>
      <c r="AG60" s="182">
        <v>0</v>
      </c>
      <c r="AH60" s="182">
        <v>0</v>
      </c>
      <c r="AI60" s="182">
        <v>0</v>
      </c>
      <c r="AJ60" s="182">
        <v>0</v>
      </c>
      <c r="AK60" s="182">
        <v>0</v>
      </c>
      <c r="AL60" s="182">
        <v>0</v>
      </c>
      <c r="AM60" s="182">
        <v>0</v>
      </c>
      <c r="AN60" s="182">
        <v>0</v>
      </c>
      <c r="AO60" s="182">
        <v>0</v>
      </c>
      <c r="AP60" s="182">
        <v>0</v>
      </c>
      <c r="AQ60" s="182">
        <v>0</v>
      </c>
      <c r="AR60" s="182">
        <v>0</v>
      </c>
      <c r="AS60" s="182">
        <v>0</v>
      </c>
      <c r="AT60" s="182">
        <v>0</v>
      </c>
      <c r="AU60" s="177">
        <v>0</v>
      </c>
      <c r="AV60" s="177">
        <f>k.aCS.w0CS</f>
        <v>4.8789505145745644E-9</v>
      </c>
      <c r="AW60" s="177">
        <v>0</v>
      </c>
      <c r="AX60" s="176">
        <v>0</v>
      </c>
      <c r="AY60" s="177">
        <f>k.cwCS.w0CS</f>
        <v>8.9563387522417847E-8</v>
      </c>
      <c r="AZ60" s="177">
        <v>0</v>
      </c>
      <c r="BA60" s="176">
        <v>0</v>
      </c>
      <c r="BB60" s="312">
        <v>0</v>
      </c>
      <c r="BC60" s="357">
        <f>-k.w0CS-SUM(BC$9:BC59,BC61:BC$163)</f>
        <v>-1.5835461221436572E-4</v>
      </c>
      <c r="BD60" s="177">
        <v>0</v>
      </c>
      <c r="BE60" s="302">
        <v>0</v>
      </c>
      <c r="BF60" s="177">
        <v>0</v>
      </c>
      <c r="BG60" s="177">
        <f>k.w1C.w0C</f>
        <v>0</v>
      </c>
      <c r="BH60" s="177">
        <v>0</v>
      </c>
      <c r="BI60" s="177">
        <v>0</v>
      </c>
      <c r="BJ60" s="29">
        <v>0</v>
      </c>
      <c r="BK60" s="29">
        <v>0</v>
      </c>
      <c r="BL60" s="29">
        <v>0</v>
      </c>
      <c r="BM60" s="29">
        <v>0</v>
      </c>
      <c r="BN60" s="177">
        <v>0</v>
      </c>
      <c r="BO60" s="177">
        <f>k.sd0CS.w0CS</f>
        <v>0</v>
      </c>
      <c r="BP60" s="177">
        <v>0</v>
      </c>
      <c r="BQ60" s="29">
        <v>0</v>
      </c>
      <c r="BR60" s="182">
        <v>0</v>
      </c>
      <c r="BS60" s="182">
        <v>0</v>
      </c>
      <c r="BT60" s="182">
        <v>0</v>
      </c>
      <c r="BU60" s="182">
        <v>0</v>
      </c>
      <c r="BV60" s="182">
        <v>0</v>
      </c>
      <c r="BW60" s="182">
        <v>0</v>
      </c>
      <c r="BX60" s="182">
        <v>0</v>
      </c>
      <c r="BY60" s="182">
        <v>0</v>
      </c>
      <c r="BZ60" s="177">
        <v>0</v>
      </c>
      <c r="CA60" s="177">
        <f>k.s1CS.w0CS</f>
        <v>1.175433008952572E-8</v>
      </c>
      <c r="CB60" s="177">
        <v>0</v>
      </c>
      <c r="CC60" s="177">
        <v>0</v>
      </c>
      <c r="CD60" s="177">
        <v>0</v>
      </c>
      <c r="CE60" s="177">
        <f>k.s2CA.w0CA</f>
        <v>5.3485325628168736E-9</v>
      </c>
      <c r="CF60" s="177">
        <v>0</v>
      </c>
      <c r="CG60" s="176">
        <v>0</v>
      </c>
      <c r="CH60" s="177">
        <v>0</v>
      </c>
      <c r="CI60" s="177">
        <f>k.s3CS.w0CS</f>
        <v>1.175433008952572E-8</v>
      </c>
      <c r="CJ60" s="177">
        <v>0</v>
      </c>
      <c r="CK60" s="176">
        <v>0</v>
      </c>
      <c r="CL60" s="182">
        <v>0</v>
      </c>
      <c r="CM60" s="182">
        <v>0</v>
      </c>
      <c r="CN60" s="182">
        <v>0</v>
      </c>
      <c r="CO60" s="182">
        <v>0</v>
      </c>
      <c r="CP60" s="182">
        <v>0</v>
      </c>
      <c r="CQ60" s="182">
        <v>0</v>
      </c>
      <c r="CR60" s="182">
        <v>0</v>
      </c>
      <c r="CS60" s="182">
        <v>0</v>
      </c>
      <c r="CT60" s="182">
        <v>0</v>
      </c>
      <c r="CU60" s="182">
        <v>0</v>
      </c>
      <c r="CV60" s="182">
        <v>0</v>
      </c>
      <c r="CW60" s="182">
        <v>0</v>
      </c>
      <c r="CX60" s="182">
        <v>0</v>
      </c>
      <c r="CY60" s="182">
        <v>0</v>
      </c>
      <c r="CZ60" s="182">
        <v>0</v>
      </c>
      <c r="DA60" s="182">
        <v>0</v>
      </c>
      <c r="DB60" s="182">
        <v>0</v>
      </c>
      <c r="DC60" s="182">
        <v>0</v>
      </c>
      <c r="DD60" s="182">
        <v>0</v>
      </c>
      <c r="DE60" s="182">
        <v>0</v>
      </c>
      <c r="DF60" s="182">
        <v>0</v>
      </c>
      <c r="DG60" s="182">
        <v>0</v>
      </c>
      <c r="DH60" s="182">
        <v>0</v>
      </c>
      <c r="DI60" s="182">
        <v>0</v>
      </c>
      <c r="DJ60" s="182">
        <v>0</v>
      </c>
      <c r="DK60" s="182">
        <v>0</v>
      </c>
      <c r="DL60" s="182">
        <v>0</v>
      </c>
      <c r="DM60" s="182">
        <v>0</v>
      </c>
      <c r="DN60" s="182">
        <v>0</v>
      </c>
      <c r="DO60" s="182">
        <v>0</v>
      </c>
      <c r="DP60" s="182">
        <v>0</v>
      </c>
      <c r="DQ60" s="182">
        <v>0</v>
      </c>
      <c r="DR60" s="182">
        <v>0</v>
      </c>
      <c r="DS60" s="182">
        <v>0</v>
      </c>
      <c r="DT60" s="182">
        <v>0</v>
      </c>
      <c r="DU60" s="182">
        <v>0</v>
      </c>
      <c r="DV60" s="182">
        <v>0</v>
      </c>
      <c r="DW60" s="182">
        <v>0</v>
      </c>
      <c r="DX60" s="182">
        <v>0</v>
      </c>
      <c r="DY60" s="182">
        <v>0</v>
      </c>
      <c r="DZ60" s="182">
        <v>0</v>
      </c>
      <c r="EA60" s="182">
        <v>0</v>
      </c>
      <c r="EB60" s="182">
        <v>0</v>
      </c>
      <c r="EC60" s="182">
        <v>0</v>
      </c>
      <c r="ED60" s="182">
        <v>0</v>
      </c>
      <c r="EE60" s="182">
        <v>0</v>
      </c>
      <c r="EF60" s="182">
        <v>0</v>
      </c>
      <c r="EG60" s="182">
        <v>0</v>
      </c>
      <c r="EH60" s="182">
        <v>0</v>
      </c>
      <c r="EI60" s="182">
        <v>0</v>
      </c>
      <c r="EJ60" s="182">
        <v>0</v>
      </c>
      <c r="EK60" s="182">
        <v>0</v>
      </c>
      <c r="EL60" s="182">
        <v>0</v>
      </c>
      <c r="EM60" s="182">
        <v>0</v>
      </c>
      <c r="EN60" s="182">
        <v>0</v>
      </c>
      <c r="EO60" s="182">
        <v>0</v>
      </c>
      <c r="EP60" s="182">
        <v>0</v>
      </c>
      <c r="EQ60" s="182">
        <v>0</v>
      </c>
      <c r="ER60" s="182">
        <v>0</v>
      </c>
      <c r="ES60" s="182">
        <v>0</v>
      </c>
      <c r="ET60" s="182">
        <v>0</v>
      </c>
      <c r="EU60" s="182">
        <v>0</v>
      </c>
      <c r="EV60" s="182">
        <v>0</v>
      </c>
      <c r="EW60" s="182">
        <v>0</v>
      </c>
      <c r="EX60" s="182">
        <v>0</v>
      </c>
      <c r="EY60" s="182">
        <v>0</v>
      </c>
      <c r="EZ60" s="182">
        <v>0</v>
      </c>
      <c r="FA60" s="182">
        <v>0</v>
      </c>
      <c r="FB60" s="183">
        <v>0</v>
      </c>
    </row>
    <row r="61" spans="2:158" ht="12.75" customHeight="1" x14ac:dyDescent="0.3">
      <c r="B61" s="199" t="s">
        <v>3871</v>
      </c>
      <c r="C61" s="340"/>
      <c r="D61" s="182">
        <v>0</v>
      </c>
      <c r="E61" s="182">
        <v>0</v>
      </c>
      <c r="F61" s="182">
        <v>0</v>
      </c>
      <c r="G61" s="182">
        <v>0</v>
      </c>
      <c r="H61" s="182">
        <v>0</v>
      </c>
      <c r="I61" s="182">
        <v>0</v>
      </c>
      <c r="J61" s="182">
        <v>0</v>
      </c>
      <c r="K61" s="182">
        <v>0</v>
      </c>
      <c r="L61" s="182">
        <v>0</v>
      </c>
      <c r="M61" s="182">
        <v>0</v>
      </c>
      <c r="N61" s="182">
        <v>0</v>
      </c>
      <c r="O61" s="182">
        <v>0</v>
      </c>
      <c r="P61" s="182">
        <v>0</v>
      </c>
      <c r="Q61" s="182">
        <v>0</v>
      </c>
      <c r="R61" s="182">
        <v>0</v>
      </c>
      <c r="S61" s="182">
        <v>0</v>
      </c>
      <c r="T61" s="182">
        <v>0</v>
      </c>
      <c r="U61" s="182">
        <v>0</v>
      </c>
      <c r="V61" s="182">
        <v>0</v>
      </c>
      <c r="W61" s="182">
        <v>0</v>
      </c>
      <c r="X61" s="182">
        <v>0</v>
      </c>
      <c r="Y61" s="182">
        <v>0</v>
      </c>
      <c r="Z61" s="182">
        <v>0</v>
      </c>
      <c r="AA61" s="182">
        <v>0</v>
      </c>
      <c r="AB61" s="182">
        <v>0</v>
      </c>
      <c r="AC61" s="182">
        <v>0</v>
      </c>
      <c r="AD61" s="182">
        <v>0</v>
      </c>
      <c r="AE61" s="182">
        <v>0</v>
      </c>
      <c r="AF61" s="182">
        <v>0</v>
      </c>
      <c r="AG61" s="182">
        <v>0</v>
      </c>
      <c r="AH61" s="182">
        <v>0</v>
      </c>
      <c r="AI61" s="182">
        <v>0</v>
      </c>
      <c r="AJ61" s="182">
        <v>0</v>
      </c>
      <c r="AK61" s="182">
        <v>0</v>
      </c>
      <c r="AL61" s="182">
        <v>0</v>
      </c>
      <c r="AM61" s="182">
        <v>0</v>
      </c>
      <c r="AN61" s="182">
        <v>0</v>
      </c>
      <c r="AO61" s="182">
        <v>0</v>
      </c>
      <c r="AP61" s="182">
        <v>0</v>
      </c>
      <c r="AQ61" s="182">
        <v>0</v>
      </c>
      <c r="AR61" s="182">
        <v>0</v>
      </c>
      <c r="AS61" s="182">
        <v>0</v>
      </c>
      <c r="AT61" s="182">
        <v>0</v>
      </c>
      <c r="AU61" s="177">
        <v>0</v>
      </c>
      <c r="AV61" s="177">
        <v>0</v>
      </c>
      <c r="AW61" s="177">
        <f>k.aCA.w0CA</f>
        <v>1.5144900997160945E-9</v>
      </c>
      <c r="AX61" s="176">
        <v>0</v>
      </c>
      <c r="AY61" s="177">
        <v>0</v>
      </c>
      <c r="AZ61" s="177">
        <f>k.cwCA.w0CA</f>
        <v>8.9563387522417847E-8</v>
      </c>
      <c r="BA61" s="176">
        <v>0</v>
      </c>
      <c r="BB61" s="312">
        <v>0</v>
      </c>
      <c r="BC61" s="177">
        <f>k.w0CS.w0CA</f>
        <v>1.5805793080239788E-4</v>
      </c>
      <c r="BD61" s="357">
        <f>-k.w0CA-SUM(BD$9:BD60,BD62:BD$163)</f>
        <v>-2.8881805725789201E-9</v>
      </c>
      <c r="BE61" s="302">
        <v>0</v>
      </c>
      <c r="BF61" s="177">
        <v>0</v>
      </c>
      <c r="BG61" s="177">
        <v>0</v>
      </c>
      <c r="BH61" s="177">
        <f>k.w1C.w0C</f>
        <v>0</v>
      </c>
      <c r="BI61" s="177">
        <v>0</v>
      </c>
      <c r="BJ61" s="29">
        <v>0</v>
      </c>
      <c r="BK61" s="29">
        <v>0</v>
      </c>
      <c r="BL61" s="29">
        <v>0</v>
      </c>
      <c r="BM61" s="29">
        <v>0</v>
      </c>
      <c r="BN61" s="177">
        <v>0</v>
      </c>
      <c r="BO61" s="177">
        <v>0</v>
      </c>
      <c r="BP61" s="177">
        <f>k.sd0CA.w0CA</f>
        <v>0</v>
      </c>
      <c r="BQ61" s="29">
        <v>0</v>
      </c>
      <c r="BR61" s="182">
        <v>0</v>
      </c>
      <c r="BS61" s="182">
        <v>0</v>
      </c>
      <c r="BT61" s="182">
        <v>0</v>
      </c>
      <c r="BU61" s="182">
        <v>0</v>
      </c>
      <c r="BV61" s="182">
        <v>0</v>
      </c>
      <c r="BW61" s="182">
        <v>0</v>
      </c>
      <c r="BX61" s="182">
        <v>0</v>
      </c>
      <c r="BY61" s="182">
        <v>0</v>
      </c>
      <c r="BZ61" s="177">
        <v>0</v>
      </c>
      <c r="CA61" s="177">
        <v>0</v>
      </c>
      <c r="CB61" s="177">
        <f>k.s1CA.w0CA</f>
        <v>1.175433008952572E-8</v>
      </c>
      <c r="CC61" s="177">
        <v>0</v>
      </c>
      <c r="CD61" s="177">
        <v>0</v>
      </c>
      <c r="CE61" s="177">
        <v>0</v>
      </c>
      <c r="CF61" s="177">
        <f>k.s2CA.w0CA</f>
        <v>5.3485325628168736E-9</v>
      </c>
      <c r="CG61" s="176">
        <v>0</v>
      </c>
      <c r="CH61" s="177">
        <v>0</v>
      </c>
      <c r="CI61" s="177">
        <v>0</v>
      </c>
      <c r="CJ61" s="177">
        <f>k.s3CA.w0CA</f>
        <v>1.175433008952572E-8</v>
      </c>
      <c r="CK61" s="176">
        <v>0</v>
      </c>
      <c r="CL61" s="182">
        <v>0</v>
      </c>
      <c r="CM61" s="182">
        <v>0</v>
      </c>
      <c r="CN61" s="182">
        <v>0</v>
      </c>
      <c r="CO61" s="182">
        <v>0</v>
      </c>
      <c r="CP61" s="182">
        <v>0</v>
      </c>
      <c r="CQ61" s="182">
        <v>0</v>
      </c>
      <c r="CR61" s="182">
        <v>0</v>
      </c>
      <c r="CS61" s="182">
        <v>0</v>
      </c>
      <c r="CT61" s="182">
        <v>0</v>
      </c>
      <c r="CU61" s="182">
        <v>0</v>
      </c>
      <c r="CV61" s="182">
        <v>0</v>
      </c>
      <c r="CW61" s="182">
        <v>0</v>
      </c>
      <c r="CX61" s="182">
        <v>0</v>
      </c>
      <c r="CY61" s="182">
        <v>0</v>
      </c>
      <c r="CZ61" s="182">
        <v>0</v>
      </c>
      <c r="DA61" s="182">
        <v>0</v>
      </c>
      <c r="DB61" s="182">
        <v>0</v>
      </c>
      <c r="DC61" s="182">
        <v>0</v>
      </c>
      <c r="DD61" s="182">
        <v>0</v>
      </c>
      <c r="DE61" s="182">
        <v>0</v>
      </c>
      <c r="DF61" s="182">
        <v>0</v>
      </c>
      <c r="DG61" s="182">
        <v>0</v>
      </c>
      <c r="DH61" s="182">
        <v>0</v>
      </c>
      <c r="DI61" s="182">
        <v>0</v>
      </c>
      <c r="DJ61" s="182">
        <v>0</v>
      </c>
      <c r="DK61" s="182">
        <v>0</v>
      </c>
      <c r="DL61" s="182">
        <v>0</v>
      </c>
      <c r="DM61" s="182">
        <v>0</v>
      </c>
      <c r="DN61" s="182">
        <v>0</v>
      </c>
      <c r="DO61" s="182">
        <v>0</v>
      </c>
      <c r="DP61" s="182">
        <v>0</v>
      </c>
      <c r="DQ61" s="182">
        <v>0</v>
      </c>
      <c r="DR61" s="182">
        <v>0</v>
      </c>
      <c r="DS61" s="182">
        <v>0</v>
      </c>
      <c r="DT61" s="182">
        <v>0</v>
      </c>
      <c r="DU61" s="182">
        <v>0</v>
      </c>
      <c r="DV61" s="182">
        <v>0</v>
      </c>
      <c r="DW61" s="182">
        <v>0</v>
      </c>
      <c r="DX61" s="182">
        <v>0</v>
      </c>
      <c r="DY61" s="182">
        <v>0</v>
      </c>
      <c r="DZ61" s="182">
        <v>0</v>
      </c>
      <c r="EA61" s="182">
        <v>0</v>
      </c>
      <c r="EB61" s="182">
        <v>0</v>
      </c>
      <c r="EC61" s="182">
        <v>0</v>
      </c>
      <c r="ED61" s="182">
        <v>0</v>
      </c>
      <c r="EE61" s="182">
        <v>0</v>
      </c>
      <c r="EF61" s="182">
        <v>0</v>
      </c>
      <c r="EG61" s="182">
        <v>0</v>
      </c>
      <c r="EH61" s="182">
        <v>0</v>
      </c>
      <c r="EI61" s="182">
        <v>0</v>
      </c>
      <c r="EJ61" s="182">
        <v>0</v>
      </c>
      <c r="EK61" s="182">
        <v>0</v>
      </c>
      <c r="EL61" s="182">
        <v>0</v>
      </c>
      <c r="EM61" s="182">
        <v>0</v>
      </c>
      <c r="EN61" s="182">
        <v>0</v>
      </c>
      <c r="EO61" s="182">
        <v>0</v>
      </c>
      <c r="EP61" s="182">
        <v>0</v>
      </c>
      <c r="EQ61" s="182">
        <v>0</v>
      </c>
      <c r="ER61" s="182">
        <v>0</v>
      </c>
      <c r="ES61" s="182">
        <v>0</v>
      </c>
      <c r="ET61" s="182">
        <v>0</v>
      </c>
      <c r="EU61" s="182">
        <v>0</v>
      </c>
      <c r="EV61" s="182">
        <v>0</v>
      </c>
      <c r="EW61" s="182">
        <v>0</v>
      </c>
      <c r="EX61" s="182">
        <v>0</v>
      </c>
      <c r="EY61" s="182">
        <v>0</v>
      </c>
      <c r="EZ61" s="182">
        <v>0</v>
      </c>
      <c r="FA61" s="182">
        <v>0</v>
      </c>
      <c r="FB61" s="183">
        <v>0</v>
      </c>
    </row>
    <row r="62" spans="2:158" ht="12.75" customHeight="1" x14ac:dyDescent="0.3">
      <c r="B62" s="199" t="s">
        <v>3872</v>
      </c>
      <c r="C62" s="340"/>
      <c r="D62" s="182">
        <v>0</v>
      </c>
      <c r="E62" s="182">
        <v>0</v>
      </c>
      <c r="F62" s="182">
        <v>0</v>
      </c>
      <c r="G62" s="182">
        <v>0</v>
      </c>
      <c r="H62" s="182">
        <v>0</v>
      </c>
      <c r="I62" s="182">
        <v>0</v>
      </c>
      <c r="J62" s="182">
        <v>0</v>
      </c>
      <c r="K62" s="182">
        <v>0</v>
      </c>
      <c r="L62" s="182">
        <v>0</v>
      </c>
      <c r="M62" s="182">
        <v>0</v>
      </c>
      <c r="N62" s="182">
        <v>0</v>
      </c>
      <c r="O62" s="182">
        <v>0</v>
      </c>
      <c r="P62" s="182">
        <v>0</v>
      </c>
      <c r="Q62" s="182">
        <v>0</v>
      </c>
      <c r="R62" s="182">
        <v>0</v>
      </c>
      <c r="S62" s="182">
        <v>0</v>
      </c>
      <c r="T62" s="182">
        <v>0</v>
      </c>
      <c r="U62" s="182">
        <v>0</v>
      </c>
      <c r="V62" s="182">
        <v>0</v>
      </c>
      <c r="W62" s="182">
        <v>0</v>
      </c>
      <c r="X62" s="182">
        <v>0</v>
      </c>
      <c r="Y62" s="182">
        <v>0</v>
      </c>
      <c r="Z62" s="182">
        <v>0</v>
      </c>
      <c r="AA62" s="182">
        <v>0</v>
      </c>
      <c r="AB62" s="182">
        <v>0</v>
      </c>
      <c r="AC62" s="182">
        <v>0</v>
      </c>
      <c r="AD62" s="182">
        <v>0</v>
      </c>
      <c r="AE62" s="182">
        <v>0</v>
      </c>
      <c r="AF62" s="182">
        <v>0</v>
      </c>
      <c r="AG62" s="182">
        <v>0</v>
      </c>
      <c r="AH62" s="182">
        <v>0</v>
      </c>
      <c r="AI62" s="182">
        <v>0</v>
      </c>
      <c r="AJ62" s="182">
        <v>0</v>
      </c>
      <c r="AK62" s="182">
        <v>0</v>
      </c>
      <c r="AL62" s="182">
        <v>0</v>
      </c>
      <c r="AM62" s="182">
        <v>0</v>
      </c>
      <c r="AN62" s="182">
        <v>0</v>
      </c>
      <c r="AO62" s="182">
        <v>0</v>
      </c>
      <c r="AP62" s="182">
        <v>0</v>
      </c>
      <c r="AQ62" s="182">
        <v>0</v>
      </c>
      <c r="AR62" s="182">
        <v>0</v>
      </c>
      <c r="AS62" s="182">
        <v>0</v>
      </c>
      <c r="AT62" s="182">
        <v>0</v>
      </c>
      <c r="AU62" s="177">
        <v>0</v>
      </c>
      <c r="AV62" s="177">
        <v>0</v>
      </c>
      <c r="AW62" s="177">
        <v>0</v>
      </c>
      <c r="AX62" s="176">
        <f>k.aCP.w0CP</f>
        <v>1.2104875666744156E-9</v>
      </c>
      <c r="AY62" s="177">
        <v>0</v>
      </c>
      <c r="AZ62" s="177">
        <v>0</v>
      </c>
      <c r="BA62" s="176">
        <f>k.cwCP.w0CP</f>
        <v>8.9563387522417847E-8</v>
      </c>
      <c r="BB62" s="308">
        <v>0</v>
      </c>
      <c r="BC62" s="304">
        <f>k.w0CS.w0CP</f>
        <v>2.9427711999727858E-7</v>
      </c>
      <c r="BD62" s="304">
        <v>0</v>
      </c>
      <c r="BE62" s="357">
        <f>-k.w0CP-SUM(BE$9:BE61,BE63:BE$163)</f>
        <v>-2.9650147169881126E-7</v>
      </c>
      <c r="BF62" s="177">
        <v>0</v>
      </c>
      <c r="BG62" s="177">
        <v>0</v>
      </c>
      <c r="BH62" s="177">
        <v>0</v>
      </c>
      <c r="BI62" s="177">
        <f>k.w1C.w0C</f>
        <v>0</v>
      </c>
      <c r="BJ62" s="29">
        <v>0</v>
      </c>
      <c r="BK62" s="29">
        <v>0</v>
      </c>
      <c r="BL62" s="29">
        <v>0</v>
      </c>
      <c r="BM62" s="29">
        <v>0</v>
      </c>
      <c r="BN62" s="29">
        <v>0</v>
      </c>
      <c r="BO62" s="29">
        <v>0</v>
      </c>
      <c r="BP62" s="29">
        <v>0</v>
      </c>
      <c r="BQ62" s="177">
        <f>k.sd0CP.w0CP</f>
        <v>0</v>
      </c>
      <c r="BR62" s="182">
        <v>0</v>
      </c>
      <c r="BS62" s="182">
        <v>0</v>
      </c>
      <c r="BT62" s="182">
        <v>0</v>
      </c>
      <c r="BU62" s="182">
        <v>0</v>
      </c>
      <c r="BV62" s="182">
        <v>0</v>
      </c>
      <c r="BW62" s="182">
        <v>0</v>
      </c>
      <c r="BX62" s="182">
        <v>0</v>
      </c>
      <c r="BY62" s="182">
        <v>0</v>
      </c>
      <c r="BZ62" s="177">
        <v>0</v>
      </c>
      <c r="CA62" s="177">
        <v>0</v>
      </c>
      <c r="CB62" s="177">
        <v>0</v>
      </c>
      <c r="CC62" s="177">
        <f>k.s1CP.w0CP</f>
        <v>1.5854895991882296E-12</v>
      </c>
      <c r="CD62" s="177">
        <v>0</v>
      </c>
      <c r="CE62" s="177">
        <v>0</v>
      </c>
      <c r="CF62" s="177">
        <v>0</v>
      </c>
      <c r="CG62" s="176">
        <f>k.s2CP.w0CP</f>
        <v>3.9637239979705739E-13</v>
      </c>
      <c r="CH62" s="177">
        <v>0</v>
      </c>
      <c r="CI62" s="177">
        <v>0</v>
      </c>
      <c r="CJ62" s="177">
        <v>0</v>
      </c>
      <c r="CK62" s="176">
        <f>k.s3CP.w0CP</f>
        <v>1.5854895991882296E-12</v>
      </c>
      <c r="CL62" s="182">
        <v>0</v>
      </c>
      <c r="CM62" s="182">
        <v>0</v>
      </c>
      <c r="CN62" s="182">
        <v>0</v>
      </c>
      <c r="CO62" s="182">
        <v>0</v>
      </c>
      <c r="CP62" s="182">
        <v>0</v>
      </c>
      <c r="CQ62" s="182">
        <v>0</v>
      </c>
      <c r="CR62" s="182">
        <v>0</v>
      </c>
      <c r="CS62" s="182">
        <v>0</v>
      </c>
      <c r="CT62" s="182">
        <v>0</v>
      </c>
      <c r="CU62" s="182">
        <v>0</v>
      </c>
      <c r="CV62" s="182">
        <v>0</v>
      </c>
      <c r="CW62" s="182">
        <v>0</v>
      </c>
      <c r="CX62" s="182">
        <v>0</v>
      </c>
      <c r="CY62" s="182">
        <v>0</v>
      </c>
      <c r="CZ62" s="182">
        <v>0</v>
      </c>
      <c r="DA62" s="182">
        <v>0</v>
      </c>
      <c r="DB62" s="182">
        <v>0</v>
      </c>
      <c r="DC62" s="182">
        <v>0</v>
      </c>
      <c r="DD62" s="182">
        <v>0</v>
      </c>
      <c r="DE62" s="182">
        <v>0</v>
      </c>
      <c r="DF62" s="182">
        <v>0</v>
      </c>
      <c r="DG62" s="182">
        <v>0</v>
      </c>
      <c r="DH62" s="182">
        <v>0</v>
      </c>
      <c r="DI62" s="182">
        <v>0</v>
      </c>
      <c r="DJ62" s="182">
        <v>0</v>
      </c>
      <c r="DK62" s="182">
        <v>0</v>
      </c>
      <c r="DL62" s="182">
        <v>0</v>
      </c>
      <c r="DM62" s="182">
        <v>0</v>
      </c>
      <c r="DN62" s="182">
        <v>0</v>
      </c>
      <c r="DO62" s="182">
        <v>0</v>
      </c>
      <c r="DP62" s="182">
        <v>0</v>
      </c>
      <c r="DQ62" s="182">
        <v>0</v>
      </c>
      <c r="DR62" s="182">
        <v>0</v>
      </c>
      <c r="DS62" s="182">
        <v>0</v>
      </c>
      <c r="DT62" s="182">
        <v>0</v>
      </c>
      <c r="DU62" s="182">
        <v>0</v>
      </c>
      <c r="DV62" s="182">
        <v>0</v>
      </c>
      <c r="DW62" s="182">
        <v>0</v>
      </c>
      <c r="DX62" s="182">
        <v>0</v>
      </c>
      <c r="DY62" s="182">
        <v>0</v>
      </c>
      <c r="DZ62" s="182">
        <v>0</v>
      </c>
      <c r="EA62" s="182">
        <v>0</v>
      </c>
      <c r="EB62" s="182">
        <v>0</v>
      </c>
      <c r="EC62" s="182">
        <v>0</v>
      </c>
      <c r="ED62" s="182">
        <v>0</v>
      </c>
      <c r="EE62" s="182">
        <v>0</v>
      </c>
      <c r="EF62" s="182">
        <v>0</v>
      </c>
      <c r="EG62" s="182">
        <v>0</v>
      </c>
      <c r="EH62" s="182">
        <v>0</v>
      </c>
      <c r="EI62" s="182">
        <v>0</v>
      </c>
      <c r="EJ62" s="182">
        <v>0</v>
      </c>
      <c r="EK62" s="182">
        <v>0</v>
      </c>
      <c r="EL62" s="182">
        <v>0</v>
      </c>
      <c r="EM62" s="182">
        <v>0</v>
      </c>
      <c r="EN62" s="182">
        <v>0</v>
      </c>
      <c r="EO62" s="182">
        <v>0</v>
      </c>
      <c r="EP62" s="182">
        <v>0</v>
      </c>
      <c r="EQ62" s="182">
        <v>0</v>
      </c>
      <c r="ER62" s="182">
        <v>0</v>
      </c>
      <c r="ES62" s="182">
        <v>0</v>
      </c>
      <c r="ET62" s="182">
        <v>0</v>
      </c>
      <c r="EU62" s="182">
        <v>0</v>
      </c>
      <c r="EV62" s="182">
        <v>0</v>
      </c>
      <c r="EW62" s="182">
        <v>0</v>
      </c>
      <c r="EX62" s="182">
        <v>0</v>
      </c>
      <c r="EY62" s="182">
        <v>0</v>
      </c>
      <c r="EZ62" s="182">
        <v>0</v>
      </c>
      <c r="FA62" s="182">
        <v>0</v>
      </c>
      <c r="FB62" s="183">
        <v>0</v>
      </c>
    </row>
    <row r="63" spans="2:158" ht="12.75" customHeight="1" x14ac:dyDescent="0.3">
      <c r="B63" s="199" t="s">
        <v>3873</v>
      </c>
      <c r="C63" s="340"/>
      <c r="D63" s="182">
        <v>0</v>
      </c>
      <c r="E63" s="182">
        <v>0</v>
      </c>
      <c r="F63" s="182">
        <v>0</v>
      </c>
      <c r="G63" s="182">
        <v>0</v>
      </c>
      <c r="H63" s="182">
        <v>0</v>
      </c>
      <c r="I63" s="182">
        <v>0</v>
      </c>
      <c r="J63" s="182">
        <v>0</v>
      </c>
      <c r="K63" s="182">
        <v>0</v>
      </c>
      <c r="L63" s="182">
        <v>0</v>
      </c>
      <c r="M63" s="182">
        <v>0</v>
      </c>
      <c r="N63" s="182">
        <v>0</v>
      </c>
      <c r="O63" s="182">
        <v>0</v>
      </c>
      <c r="P63" s="182">
        <v>0</v>
      </c>
      <c r="Q63" s="182">
        <v>0</v>
      </c>
      <c r="R63" s="182">
        <v>0</v>
      </c>
      <c r="S63" s="182">
        <v>0</v>
      </c>
      <c r="T63" s="182">
        <v>0</v>
      </c>
      <c r="U63" s="182">
        <v>0</v>
      </c>
      <c r="V63" s="182">
        <v>0</v>
      </c>
      <c r="W63" s="182">
        <v>0</v>
      </c>
      <c r="X63" s="182">
        <v>0</v>
      </c>
      <c r="Y63" s="182">
        <v>0</v>
      </c>
      <c r="Z63" s="182">
        <v>0</v>
      </c>
      <c r="AA63" s="182">
        <v>0</v>
      </c>
      <c r="AB63" s="182">
        <v>0</v>
      </c>
      <c r="AC63" s="182">
        <v>0</v>
      </c>
      <c r="AD63" s="182">
        <v>0</v>
      </c>
      <c r="AE63" s="182">
        <v>0</v>
      </c>
      <c r="AF63" s="182">
        <v>0</v>
      </c>
      <c r="AG63" s="182">
        <v>0</v>
      </c>
      <c r="AH63" s="182">
        <v>0</v>
      </c>
      <c r="AI63" s="182">
        <v>0</v>
      </c>
      <c r="AJ63" s="182">
        <v>0</v>
      </c>
      <c r="AK63" s="182">
        <v>0</v>
      </c>
      <c r="AL63" s="182">
        <v>0</v>
      </c>
      <c r="AM63" s="182">
        <v>0</v>
      </c>
      <c r="AN63" s="182">
        <v>0</v>
      </c>
      <c r="AO63" s="182">
        <v>0</v>
      </c>
      <c r="AP63" s="182">
        <v>0</v>
      </c>
      <c r="AQ63" s="182">
        <v>0</v>
      </c>
      <c r="AR63" s="182">
        <v>0</v>
      </c>
      <c r="AS63" s="182">
        <v>0</v>
      </c>
      <c r="AT63" s="182">
        <v>0</v>
      </c>
      <c r="AU63" s="177">
        <f>k.aC.w1C</f>
        <v>7.6271914893705106E-10</v>
      </c>
      <c r="AV63" s="177">
        <v>0</v>
      </c>
      <c r="AW63" s="177">
        <v>0</v>
      </c>
      <c r="AX63" s="177">
        <v>0</v>
      </c>
      <c r="AY63" s="177">
        <v>0</v>
      </c>
      <c r="AZ63" s="177">
        <v>0</v>
      </c>
      <c r="BA63" s="177">
        <v>0</v>
      </c>
      <c r="BB63" s="177">
        <f>k.w0C.w1C</f>
        <v>2.3972602739726029E-9</v>
      </c>
      <c r="BC63" s="177">
        <v>0</v>
      </c>
      <c r="BD63" s="177">
        <v>0</v>
      </c>
      <c r="BE63" s="177">
        <v>0</v>
      </c>
      <c r="BF63" s="310">
        <f>-k.w1C-SUM(BF9:BF62,BF64:BF163)</f>
        <v>-1.8877399189113635E-6</v>
      </c>
      <c r="BG63" s="321">
        <f>kdis.w1S.w1D</f>
        <v>0</v>
      </c>
      <c r="BH63" s="321">
        <f>kdis.w1A.w1D</f>
        <v>0</v>
      </c>
      <c r="BI63" s="322">
        <f>kdis.w1P.w1D</f>
        <v>0</v>
      </c>
      <c r="BJ63" s="182">
        <v>0</v>
      </c>
      <c r="BK63" s="182">
        <v>0</v>
      </c>
      <c r="BL63" s="182">
        <v>0</v>
      </c>
      <c r="BM63" s="182">
        <v>0</v>
      </c>
      <c r="BN63" s="182">
        <v>0</v>
      </c>
      <c r="BO63" s="182">
        <v>0</v>
      </c>
      <c r="BP63" s="182">
        <v>0</v>
      </c>
      <c r="BQ63" s="182">
        <v>0</v>
      </c>
      <c r="BR63" s="177">
        <f>k.sd1C.w1C</f>
        <v>7.1814583973920701E-8</v>
      </c>
      <c r="BS63" s="177">
        <v>0</v>
      </c>
      <c r="BT63" s="177">
        <v>0</v>
      </c>
      <c r="BU63" s="177">
        <v>0</v>
      </c>
      <c r="BV63" s="176">
        <v>0</v>
      </c>
      <c r="BW63" s="176">
        <v>0</v>
      </c>
      <c r="BX63" s="176">
        <v>0</v>
      </c>
      <c r="BY63" s="176">
        <v>0</v>
      </c>
      <c r="BZ63" s="177">
        <f>k.s1C.w1C</f>
        <v>5.5696901203386599E-9</v>
      </c>
      <c r="CA63" s="177">
        <v>0</v>
      </c>
      <c r="CB63" s="177">
        <v>0</v>
      </c>
      <c r="CC63" s="177">
        <v>0</v>
      </c>
      <c r="CD63" s="177">
        <f>k.s2C.w1C</f>
        <v>2.5345110709015013E-9</v>
      </c>
      <c r="CE63" s="177">
        <v>0</v>
      </c>
      <c r="CF63" s="177">
        <v>0</v>
      </c>
      <c r="CG63" s="177">
        <v>0</v>
      </c>
      <c r="CH63" s="177">
        <f>k.s3C.w1C</f>
        <v>5.5696901203386599E-9</v>
      </c>
      <c r="CI63" s="177">
        <v>0</v>
      </c>
      <c r="CJ63" s="177">
        <v>0</v>
      </c>
      <c r="CK63" s="177">
        <v>0</v>
      </c>
      <c r="CL63" s="182">
        <v>0</v>
      </c>
      <c r="CM63" s="182">
        <v>0</v>
      </c>
      <c r="CN63" s="182">
        <v>0</v>
      </c>
      <c r="CO63" s="182">
        <v>0</v>
      </c>
      <c r="CP63" s="182">
        <v>0</v>
      </c>
      <c r="CQ63" s="182">
        <v>0</v>
      </c>
      <c r="CR63" s="182">
        <v>0</v>
      </c>
      <c r="CS63" s="182">
        <v>0</v>
      </c>
      <c r="CT63" s="182">
        <v>0</v>
      </c>
      <c r="CU63" s="182">
        <v>0</v>
      </c>
      <c r="CV63" s="182">
        <v>0</v>
      </c>
      <c r="CW63" s="182">
        <v>0</v>
      </c>
      <c r="CX63" s="182">
        <v>0</v>
      </c>
      <c r="CY63" s="182">
        <v>0</v>
      </c>
      <c r="CZ63" s="182">
        <v>0</v>
      </c>
      <c r="DA63" s="182">
        <v>0</v>
      </c>
      <c r="DB63" s="182">
        <v>0</v>
      </c>
      <c r="DC63" s="182">
        <v>0</v>
      </c>
      <c r="DD63" s="182">
        <v>0</v>
      </c>
      <c r="DE63" s="182">
        <v>0</v>
      </c>
      <c r="DF63" s="182">
        <v>0</v>
      </c>
      <c r="DG63" s="182">
        <v>0</v>
      </c>
      <c r="DH63" s="182">
        <v>0</v>
      </c>
      <c r="DI63" s="182">
        <v>0</v>
      </c>
      <c r="DJ63" s="182">
        <v>0</v>
      </c>
      <c r="DK63" s="182">
        <v>0</v>
      </c>
      <c r="DL63" s="182">
        <v>0</v>
      </c>
      <c r="DM63" s="182">
        <v>0</v>
      </c>
      <c r="DN63" s="182">
        <v>0</v>
      </c>
      <c r="DO63" s="182">
        <v>0</v>
      </c>
      <c r="DP63" s="182">
        <v>0</v>
      </c>
      <c r="DQ63" s="182">
        <v>0</v>
      </c>
      <c r="DR63" s="182">
        <v>0</v>
      </c>
      <c r="DS63" s="182">
        <v>0</v>
      </c>
      <c r="DT63" s="182">
        <v>0</v>
      </c>
      <c r="DU63" s="182">
        <v>0</v>
      </c>
      <c r="DV63" s="182">
        <v>0</v>
      </c>
      <c r="DW63" s="182">
        <v>0</v>
      </c>
      <c r="DX63" s="182">
        <v>0</v>
      </c>
      <c r="DY63" s="182">
        <v>0</v>
      </c>
      <c r="DZ63" s="182">
        <v>0</v>
      </c>
      <c r="EA63" s="182">
        <v>0</v>
      </c>
      <c r="EB63" s="182">
        <v>0</v>
      </c>
      <c r="EC63" s="182">
        <v>0</v>
      </c>
      <c r="ED63" s="182">
        <v>0</v>
      </c>
      <c r="EE63" s="182">
        <v>0</v>
      </c>
      <c r="EF63" s="182">
        <v>0</v>
      </c>
      <c r="EG63" s="182">
        <v>0</v>
      </c>
      <c r="EH63" s="182">
        <v>0</v>
      </c>
      <c r="EI63" s="182">
        <v>0</v>
      </c>
      <c r="EJ63" s="182">
        <v>0</v>
      </c>
      <c r="EK63" s="182">
        <v>0</v>
      </c>
      <c r="EL63" s="182">
        <v>0</v>
      </c>
      <c r="EM63" s="182">
        <v>0</v>
      </c>
      <c r="EN63" s="182">
        <v>0</v>
      </c>
      <c r="EO63" s="182">
        <v>0</v>
      </c>
      <c r="EP63" s="182">
        <v>0</v>
      </c>
      <c r="EQ63" s="182">
        <v>0</v>
      </c>
      <c r="ER63" s="182">
        <v>0</v>
      </c>
      <c r="ES63" s="182">
        <v>0</v>
      </c>
      <c r="ET63" s="182">
        <v>0</v>
      </c>
      <c r="EU63" s="182">
        <v>0</v>
      </c>
      <c r="EV63" s="182">
        <v>0</v>
      </c>
      <c r="EW63" s="182">
        <v>0</v>
      </c>
      <c r="EX63" s="182">
        <v>0</v>
      </c>
      <c r="EY63" s="182">
        <v>0</v>
      </c>
      <c r="EZ63" s="182">
        <v>0</v>
      </c>
      <c r="FA63" s="182">
        <v>0</v>
      </c>
      <c r="FB63" s="183">
        <v>0</v>
      </c>
    </row>
    <row r="64" spans="2:158" ht="12.75" customHeight="1" x14ac:dyDescent="0.3">
      <c r="B64" s="199" t="s">
        <v>3874</v>
      </c>
      <c r="C64" s="340"/>
      <c r="D64" s="182">
        <v>0</v>
      </c>
      <c r="E64" s="182">
        <v>0</v>
      </c>
      <c r="F64" s="182">
        <v>0</v>
      </c>
      <c r="G64" s="182">
        <v>0</v>
      </c>
      <c r="H64" s="182">
        <v>0</v>
      </c>
      <c r="I64" s="182">
        <v>0</v>
      </c>
      <c r="J64" s="182">
        <v>0</v>
      </c>
      <c r="K64" s="182">
        <v>0</v>
      </c>
      <c r="L64" s="182">
        <v>0</v>
      </c>
      <c r="M64" s="182">
        <v>0</v>
      </c>
      <c r="N64" s="182">
        <v>0</v>
      </c>
      <c r="O64" s="182">
        <v>0</v>
      </c>
      <c r="P64" s="182">
        <v>0</v>
      </c>
      <c r="Q64" s="182">
        <v>0</v>
      </c>
      <c r="R64" s="182">
        <v>0</v>
      </c>
      <c r="S64" s="182">
        <v>0</v>
      </c>
      <c r="T64" s="182">
        <v>0</v>
      </c>
      <c r="U64" s="182">
        <v>0</v>
      </c>
      <c r="V64" s="182">
        <v>0</v>
      </c>
      <c r="W64" s="182">
        <v>0</v>
      </c>
      <c r="X64" s="182">
        <v>0</v>
      </c>
      <c r="Y64" s="182">
        <v>0</v>
      </c>
      <c r="Z64" s="182">
        <v>0</v>
      </c>
      <c r="AA64" s="182">
        <v>0</v>
      </c>
      <c r="AB64" s="182">
        <v>0</v>
      </c>
      <c r="AC64" s="182">
        <v>0</v>
      </c>
      <c r="AD64" s="182">
        <v>0</v>
      </c>
      <c r="AE64" s="182">
        <v>0</v>
      </c>
      <c r="AF64" s="182">
        <v>0</v>
      </c>
      <c r="AG64" s="182">
        <v>0</v>
      </c>
      <c r="AH64" s="182">
        <v>0</v>
      </c>
      <c r="AI64" s="182">
        <v>0</v>
      </c>
      <c r="AJ64" s="182">
        <v>0</v>
      </c>
      <c r="AK64" s="182">
        <v>0</v>
      </c>
      <c r="AL64" s="182">
        <v>0</v>
      </c>
      <c r="AM64" s="182">
        <v>0</v>
      </c>
      <c r="AN64" s="182">
        <v>0</v>
      </c>
      <c r="AO64" s="182">
        <v>0</v>
      </c>
      <c r="AP64" s="182">
        <v>0</v>
      </c>
      <c r="AQ64" s="182">
        <v>0</v>
      </c>
      <c r="AR64" s="182">
        <v>0</v>
      </c>
      <c r="AS64" s="182">
        <v>0</v>
      </c>
      <c r="AT64" s="182">
        <v>0</v>
      </c>
      <c r="AU64" s="177">
        <v>0</v>
      </c>
      <c r="AV64" s="177">
        <f>k.aCS.w1CS</f>
        <v>5.3668455660320195E-8</v>
      </c>
      <c r="AW64" s="177">
        <v>0</v>
      </c>
      <c r="AX64" s="176">
        <v>0</v>
      </c>
      <c r="AY64" s="177">
        <f>k.cwCS.w1CS</f>
        <v>9.8519726274659594E-7</v>
      </c>
      <c r="AZ64" s="177">
        <v>0</v>
      </c>
      <c r="BA64" s="176">
        <v>0</v>
      </c>
      <c r="BB64" s="177">
        <v>0</v>
      </c>
      <c r="BC64" s="177">
        <f>k.w0C.w1C</f>
        <v>2.3972602739726029E-9</v>
      </c>
      <c r="BD64" s="177">
        <v>0</v>
      </c>
      <c r="BE64" s="177">
        <v>0</v>
      </c>
      <c r="BF64" s="312">
        <v>0</v>
      </c>
      <c r="BG64" s="181">
        <f>-k.w1CS-SUM(BG$9:BG63,BG65:BG$163)</f>
        <v>-1.8796867333941585E-4</v>
      </c>
      <c r="BH64" s="177">
        <v>0</v>
      </c>
      <c r="BI64" s="302">
        <v>0</v>
      </c>
      <c r="BJ64" s="182">
        <v>0</v>
      </c>
      <c r="BK64" s="182">
        <v>0</v>
      </c>
      <c r="BL64" s="182">
        <v>0</v>
      </c>
      <c r="BM64" s="182">
        <v>0</v>
      </c>
      <c r="BN64" s="182">
        <v>0</v>
      </c>
      <c r="BO64" s="182">
        <v>0</v>
      </c>
      <c r="BP64" s="182">
        <v>0</v>
      </c>
      <c r="BQ64" s="182">
        <v>0</v>
      </c>
      <c r="BR64" s="177">
        <v>0</v>
      </c>
      <c r="BS64" s="177">
        <f>k.sd1CS.w1CS</f>
        <v>2.6060956790031634E-8</v>
      </c>
      <c r="BT64" s="177">
        <v>0</v>
      </c>
      <c r="BU64" s="177">
        <v>0</v>
      </c>
      <c r="BV64" s="176">
        <v>0</v>
      </c>
      <c r="BW64" s="176">
        <v>0</v>
      </c>
      <c r="BX64" s="176">
        <v>0</v>
      </c>
      <c r="BY64" s="176">
        <v>0</v>
      </c>
      <c r="BZ64" s="177">
        <v>0</v>
      </c>
      <c r="CA64" s="177">
        <f>k.s1CS.w1CS</f>
        <v>1.2929763098478288E-7</v>
      </c>
      <c r="CB64" s="177">
        <v>0</v>
      </c>
      <c r="CC64" s="177">
        <v>0</v>
      </c>
      <c r="CD64" s="177">
        <v>0</v>
      </c>
      <c r="CE64" s="177">
        <f>k.s2CA.w1CA</f>
        <v>5.8833858190985604E-8</v>
      </c>
      <c r="CF64" s="177">
        <v>0</v>
      </c>
      <c r="CG64" s="176">
        <v>0</v>
      </c>
      <c r="CH64" s="177">
        <v>0</v>
      </c>
      <c r="CI64" s="177">
        <f>k.s3CS.w1CS</f>
        <v>1.2929763098478288E-7</v>
      </c>
      <c r="CJ64" s="177">
        <v>0</v>
      </c>
      <c r="CK64" s="176">
        <v>0</v>
      </c>
      <c r="CL64" s="182">
        <v>0</v>
      </c>
      <c r="CM64" s="182">
        <v>0</v>
      </c>
      <c r="CN64" s="182">
        <v>0</v>
      </c>
      <c r="CO64" s="182">
        <v>0</v>
      </c>
      <c r="CP64" s="182">
        <v>0</v>
      </c>
      <c r="CQ64" s="182">
        <v>0</v>
      </c>
      <c r="CR64" s="182">
        <v>0</v>
      </c>
      <c r="CS64" s="182">
        <v>0</v>
      </c>
      <c r="CT64" s="182">
        <v>0</v>
      </c>
      <c r="CU64" s="182">
        <v>0</v>
      </c>
      <c r="CV64" s="182">
        <v>0</v>
      </c>
      <c r="CW64" s="182">
        <v>0</v>
      </c>
      <c r="CX64" s="182">
        <v>0</v>
      </c>
      <c r="CY64" s="182">
        <v>0</v>
      </c>
      <c r="CZ64" s="182">
        <v>0</v>
      </c>
      <c r="DA64" s="182">
        <v>0</v>
      </c>
      <c r="DB64" s="182">
        <v>0</v>
      </c>
      <c r="DC64" s="182">
        <v>0</v>
      </c>
      <c r="DD64" s="182">
        <v>0</v>
      </c>
      <c r="DE64" s="182">
        <v>0</v>
      </c>
      <c r="DF64" s="182">
        <v>0</v>
      </c>
      <c r="DG64" s="182">
        <v>0</v>
      </c>
      <c r="DH64" s="182">
        <v>0</v>
      </c>
      <c r="DI64" s="182">
        <v>0</v>
      </c>
      <c r="DJ64" s="182">
        <v>0</v>
      </c>
      <c r="DK64" s="182">
        <v>0</v>
      </c>
      <c r="DL64" s="182">
        <v>0</v>
      </c>
      <c r="DM64" s="182">
        <v>0</v>
      </c>
      <c r="DN64" s="182">
        <v>0</v>
      </c>
      <c r="DO64" s="182">
        <v>0</v>
      </c>
      <c r="DP64" s="182">
        <v>0</v>
      </c>
      <c r="DQ64" s="182">
        <v>0</v>
      </c>
      <c r="DR64" s="182">
        <v>0</v>
      </c>
      <c r="DS64" s="182">
        <v>0</v>
      </c>
      <c r="DT64" s="182">
        <v>0</v>
      </c>
      <c r="DU64" s="182">
        <v>0</v>
      </c>
      <c r="DV64" s="182">
        <v>0</v>
      </c>
      <c r="DW64" s="182">
        <v>0</v>
      </c>
      <c r="DX64" s="182">
        <v>0</v>
      </c>
      <c r="DY64" s="182">
        <v>0</v>
      </c>
      <c r="DZ64" s="182">
        <v>0</v>
      </c>
      <c r="EA64" s="182">
        <v>0</v>
      </c>
      <c r="EB64" s="182">
        <v>0</v>
      </c>
      <c r="EC64" s="182">
        <v>0</v>
      </c>
      <c r="ED64" s="182">
        <v>0</v>
      </c>
      <c r="EE64" s="182">
        <v>0</v>
      </c>
      <c r="EF64" s="182">
        <v>0</v>
      </c>
      <c r="EG64" s="182">
        <v>0</v>
      </c>
      <c r="EH64" s="182">
        <v>0</v>
      </c>
      <c r="EI64" s="182">
        <v>0</v>
      </c>
      <c r="EJ64" s="182">
        <v>0</v>
      </c>
      <c r="EK64" s="182">
        <v>0</v>
      </c>
      <c r="EL64" s="182">
        <v>0</v>
      </c>
      <c r="EM64" s="182">
        <v>0</v>
      </c>
      <c r="EN64" s="182">
        <v>0</v>
      </c>
      <c r="EO64" s="182">
        <v>0</v>
      </c>
      <c r="EP64" s="182">
        <v>0</v>
      </c>
      <c r="EQ64" s="182">
        <v>0</v>
      </c>
      <c r="ER64" s="182">
        <v>0</v>
      </c>
      <c r="ES64" s="182">
        <v>0</v>
      </c>
      <c r="ET64" s="182">
        <v>0</v>
      </c>
      <c r="EU64" s="182">
        <v>0</v>
      </c>
      <c r="EV64" s="182">
        <v>0</v>
      </c>
      <c r="EW64" s="182">
        <v>0</v>
      </c>
      <c r="EX64" s="182">
        <v>0</v>
      </c>
      <c r="EY64" s="182">
        <v>0</v>
      </c>
      <c r="EZ64" s="182">
        <v>0</v>
      </c>
      <c r="FA64" s="182">
        <v>0</v>
      </c>
      <c r="FB64" s="183">
        <v>0</v>
      </c>
    </row>
    <row r="65" spans="2:158" ht="12.75" customHeight="1" x14ac:dyDescent="0.3">
      <c r="B65" s="199" t="s">
        <v>3875</v>
      </c>
      <c r="C65" s="340"/>
      <c r="D65" s="182">
        <v>0</v>
      </c>
      <c r="E65" s="182">
        <v>0</v>
      </c>
      <c r="F65" s="182">
        <v>0</v>
      </c>
      <c r="G65" s="182">
        <v>0</v>
      </c>
      <c r="H65" s="182">
        <v>0</v>
      </c>
      <c r="I65" s="182">
        <v>0</v>
      </c>
      <c r="J65" s="182">
        <v>0</v>
      </c>
      <c r="K65" s="182">
        <v>0</v>
      </c>
      <c r="L65" s="182">
        <v>0</v>
      </c>
      <c r="M65" s="182">
        <v>0</v>
      </c>
      <c r="N65" s="182">
        <v>0</v>
      </c>
      <c r="O65" s="182">
        <v>0</v>
      </c>
      <c r="P65" s="182">
        <v>0</v>
      </c>
      <c r="Q65" s="182">
        <v>0</v>
      </c>
      <c r="R65" s="182">
        <v>0</v>
      </c>
      <c r="S65" s="182">
        <v>0</v>
      </c>
      <c r="T65" s="182">
        <v>0</v>
      </c>
      <c r="U65" s="182">
        <v>0</v>
      </c>
      <c r="V65" s="182">
        <v>0</v>
      </c>
      <c r="W65" s="182">
        <v>0</v>
      </c>
      <c r="X65" s="182">
        <v>0</v>
      </c>
      <c r="Y65" s="182">
        <v>0</v>
      </c>
      <c r="Z65" s="182">
        <v>0</v>
      </c>
      <c r="AA65" s="182">
        <v>0</v>
      </c>
      <c r="AB65" s="182">
        <v>0</v>
      </c>
      <c r="AC65" s="182">
        <v>0</v>
      </c>
      <c r="AD65" s="182">
        <v>0</v>
      </c>
      <c r="AE65" s="182">
        <v>0</v>
      </c>
      <c r="AF65" s="182">
        <v>0</v>
      </c>
      <c r="AG65" s="182">
        <v>0</v>
      </c>
      <c r="AH65" s="182">
        <v>0</v>
      </c>
      <c r="AI65" s="182">
        <v>0</v>
      </c>
      <c r="AJ65" s="182">
        <v>0</v>
      </c>
      <c r="AK65" s="182">
        <v>0</v>
      </c>
      <c r="AL65" s="182">
        <v>0</v>
      </c>
      <c r="AM65" s="182">
        <v>0</v>
      </c>
      <c r="AN65" s="182">
        <v>0</v>
      </c>
      <c r="AO65" s="182">
        <v>0</v>
      </c>
      <c r="AP65" s="182">
        <v>0</v>
      </c>
      <c r="AQ65" s="182">
        <v>0</v>
      </c>
      <c r="AR65" s="182">
        <v>0</v>
      </c>
      <c r="AS65" s="182">
        <v>0</v>
      </c>
      <c r="AT65" s="182">
        <v>0</v>
      </c>
      <c r="AU65" s="177">
        <v>0</v>
      </c>
      <c r="AV65" s="177">
        <v>0</v>
      </c>
      <c r="AW65" s="177">
        <f>k.aCA.w1CA</f>
        <v>1.6659391096877037E-8</v>
      </c>
      <c r="AX65" s="176">
        <v>0</v>
      </c>
      <c r="AY65" s="177">
        <v>0</v>
      </c>
      <c r="AZ65" s="177">
        <f>k.cwCA.w1CA</f>
        <v>9.8519726274659594E-7</v>
      </c>
      <c r="BA65" s="176">
        <v>0</v>
      </c>
      <c r="BB65" s="177">
        <v>0</v>
      </c>
      <c r="BC65" s="177">
        <v>0</v>
      </c>
      <c r="BD65" s="177">
        <f>k.w0C.w1C</f>
        <v>2.3972602739726029E-9</v>
      </c>
      <c r="BE65" s="177">
        <v>0</v>
      </c>
      <c r="BF65" s="312">
        <v>0</v>
      </c>
      <c r="BG65" s="177">
        <f>k.w1CS.w1CA</f>
        <v>1.5997016683331745E-4</v>
      </c>
      <c r="BH65" s="181">
        <f>-k.w1CA-SUM(BH$9:BH64,BH66:BH$163)</f>
        <v>-8.9008260679986406E-8</v>
      </c>
      <c r="BI65" s="302">
        <v>0</v>
      </c>
      <c r="BJ65" s="177">
        <v>0</v>
      </c>
      <c r="BK65" s="182">
        <v>0</v>
      </c>
      <c r="BL65" s="182">
        <v>0</v>
      </c>
      <c r="BM65" s="182">
        <v>0</v>
      </c>
      <c r="BN65" s="182">
        <v>0</v>
      </c>
      <c r="BO65" s="182">
        <v>0</v>
      </c>
      <c r="BP65" s="182">
        <v>0</v>
      </c>
      <c r="BQ65" s="182">
        <v>0</v>
      </c>
      <c r="BR65" s="177">
        <v>0</v>
      </c>
      <c r="BS65" s="177">
        <v>0</v>
      </c>
      <c r="BT65" s="177">
        <f>k.sd1CA.w1CA</f>
        <v>2.6060956790031634E-8</v>
      </c>
      <c r="BU65" s="177">
        <v>0</v>
      </c>
      <c r="BV65" s="176">
        <v>0</v>
      </c>
      <c r="BW65" s="176">
        <v>0</v>
      </c>
      <c r="BX65" s="176">
        <v>0</v>
      </c>
      <c r="BY65" s="176">
        <v>0</v>
      </c>
      <c r="BZ65" s="177">
        <v>0</v>
      </c>
      <c r="CA65" s="177">
        <v>0</v>
      </c>
      <c r="CB65" s="177">
        <f>k.s1CA.w1CA</f>
        <v>1.2929763098478288E-7</v>
      </c>
      <c r="CC65" s="177">
        <v>0</v>
      </c>
      <c r="CD65" s="177">
        <v>0</v>
      </c>
      <c r="CE65" s="177">
        <v>0</v>
      </c>
      <c r="CF65" s="177">
        <f>k.s2CA.w1CA</f>
        <v>5.8833858190985604E-8</v>
      </c>
      <c r="CG65" s="176">
        <v>0</v>
      </c>
      <c r="CH65" s="177">
        <v>0</v>
      </c>
      <c r="CI65" s="177">
        <v>0</v>
      </c>
      <c r="CJ65" s="177">
        <f>k.s3CA.w1CA</f>
        <v>1.2929763098478288E-7</v>
      </c>
      <c r="CK65" s="176">
        <v>0</v>
      </c>
      <c r="CL65" s="182">
        <v>0</v>
      </c>
      <c r="CM65" s="182">
        <v>0</v>
      </c>
      <c r="CN65" s="182">
        <v>0</v>
      </c>
      <c r="CO65" s="182">
        <v>0</v>
      </c>
      <c r="CP65" s="182">
        <v>0</v>
      </c>
      <c r="CQ65" s="182">
        <v>0</v>
      </c>
      <c r="CR65" s="182">
        <v>0</v>
      </c>
      <c r="CS65" s="182">
        <v>0</v>
      </c>
      <c r="CT65" s="182">
        <v>0</v>
      </c>
      <c r="CU65" s="182">
        <v>0</v>
      </c>
      <c r="CV65" s="182">
        <v>0</v>
      </c>
      <c r="CW65" s="182">
        <v>0</v>
      </c>
      <c r="CX65" s="182">
        <v>0</v>
      </c>
      <c r="CY65" s="182">
        <v>0</v>
      </c>
      <c r="CZ65" s="182">
        <v>0</v>
      </c>
      <c r="DA65" s="182">
        <v>0</v>
      </c>
      <c r="DB65" s="182">
        <v>0</v>
      </c>
      <c r="DC65" s="182">
        <v>0</v>
      </c>
      <c r="DD65" s="182">
        <v>0</v>
      </c>
      <c r="DE65" s="182">
        <v>0</v>
      </c>
      <c r="DF65" s="182">
        <v>0</v>
      </c>
      <c r="DG65" s="182">
        <v>0</v>
      </c>
      <c r="DH65" s="182">
        <v>0</v>
      </c>
      <c r="DI65" s="182">
        <v>0</v>
      </c>
      <c r="DJ65" s="182">
        <v>0</v>
      </c>
      <c r="DK65" s="182">
        <v>0</v>
      </c>
      <c r="DL65" s="182">
        <v>0</v>
      </c>
      <c r="DM65" s="182">
        <v>0</v>
      </c>
      <c r="DN65" s="182">
        <v>0</v>
      </c>
      <c r="DO65" s="182">
        <v>0</v>
      </c>
      <c r="DP65" s="182">
        <v>0</v>
      </c>
      <c r="DQ65" s="182">
        <v>0</v>
      </c>
      <c r="DR65" s="182">
        <v>0</v>
      </c>
      <c r="DS65" s="182">
        <v>0</v>
      </c>
      <c r="DT65" s="182">
        <v>0</v>
      </c>
      <c r="DU65" s="182">
        <v>0</v>
      </c>
      <c r="DV65" s="182">
        <v>0</v>
      </c>
      <c r="DW65" s="182">
        <v>0</v>
      </c>
      <c r="DX65" s="182">
        <v>0</v>
      </c>
      <c r="DY65" s="182">
        <v>0</v>
      </c>
      <c r="DZ65" s="182">
        <v>0</v>
      </c>
      <c r="EA65" s="182">
        <v>0</v>
      </c>
      <c r="EB65" s="182">
        <v>0</v>
      </c>
      <c r="EC65" s="182">
        <v>0</v>
      </c>
      <c r="ED65" s="182">
        <v>0</v>
      </c>
      <c r="EE65" s="182">
        <v>0</v>
      </c>
      <c r="EF65" s="182">
        <v>0</v>
      </c>
      <c r="EG65" s="182">
        <v>0</v>
      </c>
      <c r="EH65" s="182">
        <v>0</v>
      </c>
      <c r="EI65" s="182">
        <v>0</v>
      </c>
      <c r="EJ65" s="182">
        <v>0</v>
      </c>
      <c r="EK65" s="182">
        <v>0</v>
      </c>
      <c r="EL65" s="182">
        <v>0</v>
      </c>
      <c r="EM65" s="182">
        <v>0</v>
      </c>
      <c r="EN65" s="182">
        <v>0</v>
      </c>
      <c r="EO65" s="182">
        <v>0</v>
      </c>
      <c r="EP65" s="182">
        <v>0</v>
      </c>
      <c r="EQ65" s="182">
        <v>0</v>
      </c>
      <c r="ER65" s="182">
        <v>0</v>
      </c>
      <c r="ES65" s="182">
        <v>0</v>
      </c>
      <c r="ET65" s="182">
        <v>0</v>
      </c>
      <c r="EU65" s="182">
        <v>0</v>
      </c>
      <c r="EV65" s="182">
        <v>0</v>
      </c>
      <c r="EW65" s="182">
        <v>0</v>
      </c>
      <c r="EX65" s="182">
        <v>0</v>
      </c>
      <c r="EY65" s="182">
        <v>0</v>
      </c>
      <c r="EZ65" s="182">
        <v>0</v>
      </c>
      <c r="FA65" s="182">
        <v>0</v>
      </c>
      <c r="FB65" s="183">
        <v>0</v>
      </c>
    </row>
    <row r="66" spans="2:158" ht="12.75" customHeight="1" x14ac:dyDescent="0.3">
      <c r="B66" s="199" t="s">
        <v>3876</v>
      </c>
      <c r="C66" s="340"/>
      <c r="D66" s="182">
        <v>0</v>
      </c>
      <c r="E66" s="182">
        <v>0</v>
      </c>
      <c r="F66" s="182">
        <v>0</v>
      </c>
      <c r="G66" s="182">
        <v>0</v>
      </c>
      <c r="H66" s="182">
        <v>0</v>
      </c>
      <c r="I66" s="182">
        <v>0</v>
      </c>
      <c r="J66" s="182">
        <v>0</v>
      </c>
      <c r="K66" s="182">
        <v>0</v>
      </c>
      <c r="L66" s="182">
        <v>0</v>
      </c>
      <c r="M66" s="182">
        <v>0</v>
      </c>
      <c r="N66" s="182">
        <v>0</v>
      </c>
      <c r="O66" s="182">
        <v>0</v>
      </c>
      <c r="P66" s="182">
        <v>0</v>
      </c>
      <c r="Q66" s="182">
        <v>0</v>
      </c>
      <c r="R66" s="182">
        <v>0</v>
      </c>
      <c r="S66" s="182">
        <v>0</v>
      </c>
      <c r="T66" s="182">
        <v>0</v>
      </c>
      <c r="U66" s="182">
        <v>0</v>
      </c>
      <c r="V66" s="182">
        <v>0</v>
      </c>
      <c r="W66" s="182">
        <v>0</v>
      </c>
      <c r="X66" s="182">
        <v>0</v>
      </c>
      <c r="Y66" s="182">
        <v>0</v>
      </c>
      <c r="Z66" s="182">
        <v>0</v>
      </c>
      <c r="AA66" s="182">
        <v>0</v>
      </c>
      <c r="AB66" s="182">
        <v>0</v>
      </c>
      <c r="AC66" s="182">
        <v>0</v>
      </c>
      <c r="AD66" s="182">
        <v>0</v>
      </c>
      <c r="AE66" s="182">
        <v>0</v>
      </c>
      <c r="AF66" s="182">
        <v>0</v>
      </c>
      <c r="AG66" s="182">
        <v>0</v>
      </c>
      <c r="AH66" s="182">
        <v>0</v>
      </c>
      <c r="AI66" s="182">
        <v>0</v>
      </c>
      <c r="AJ66" s="182">
        <v>0</v>
      </c>
      <c r="AK66" s="182">
        <v>0</v>
      </c>
      <c r="AL66" s="182">
        <v>0</v>
      </c>
      <c r="AM66" s="182">
        <v>0</v>
      </c>
      <c r="AN66" s="182">
        <v>0</v>
      </c>
      <c r="AO66" s="182">
        <v>0</v>
      </c>
      <c r="AP66" s="182">
        <v>0</v>
      </c>
      <c r="AQ66" s="182">
        <v>0</v>
      </c>
      <c r="AR66" s="182">
        <v>0</v>
      </c>
      <c r="AS66" s="182">
        <v>0</v>
      </c>
      <c r="AT66" s="182">
        <v>0</v>
      </c>
      <c r="AU66" s="177">
        <v>0</v>
      </c>
      <c r="AV66" s="177">
        <v>0</v>
      </c>
      <c r="AW66" s="177">
        <v>0</v>
      </c>
      <c r="AX66" s="176">
        <f>k.aCP.w1CP</f>
        <v>1.3315363233418569E-8</v>
      </c>
      <c r="AY66" s="177">
        <v>0</v>
      </c>
      <c r="AZ66" s="177">
        <v>0</v>
      </c>
      <c r="BA66" s="176">
        <f>k.cwCP.w1CP</f>
        <v>9.8519726274659594E-7</v>
      </c>
      <c r="BB66" s="177">
        <v>0</v>
      </c>
      <c r="BC66" s="177">
        <v>0</v>
      </c>
      <c r="BD66" s="177">
        <v>0</v>
      </c>
      <c r="BE66" s="177">
        <f>k.w0C.w1C</f>
        <v>2.3972602739726029E-9</v>
      </c>
      <c r="BF66" s="308">
        <v>0</v>
      </c>
      <c r="BG66" s="304">
        <f>k.w1CS.w1CP</f>
        <v>2.7925627865485082E-5</v>
      </c>
      <c r="BH66" s="304">
        <v>0</v>
      </c>
      <c r="BI66" s="181">
        <f>-k.w1CP-SUM(BI$9:BI65,BI67:BI$163)</f>
        <v>-9.8761179648877309E-6</v>
      </c>
      <c r="BJ66" s="177">
        <v>0</v>
      </c>
      <c r="BK66" s="177">
        <v>0</v>
      </c>
      <c r="BL66" s="182">
        <v>0</v>
      </c>
      <c r="BM66" s="182">
        <v>0</v>
      </c>
      <c r="BN66" s="182">
        <v>0</v>
      </c>
      <c r="BO66" s="182">
        <v>0</v>
      </c>
      <c r="BP66" s="182">
        <v>0</v>
      </c>
      <c r="BQ66" s="182">
        <v>0</v>
      </c>
      <c r="BR66" s="177">
        <v>0</v>
      </c>
      <c r="BS66" s="177">
        <v>0</v>
      </c>
      <c r="BT66" s="177">
        <v>0</v>
      </c>
      <c r="BU66" s="177">
        <f>k.sd1CP.w1CP</f>
        <v>2.6060956790031634E-8</v>
      </c>
      <c r="BV66" s="176">
        <v>0</v>
      </c>
      <c r="BW66" s="176">
        <v>0</v>
      </c>
      <c r="BX66" s="176">
        <v>0</v>
      </c>
      <c r="BY66" s="176">
        <v>0</v>
      </c>
      <c r="BZ66" s="177">
        <v>0</v>
      </c>
      <c r="CA66" s="177">
        <v>0</v>
      </c>
      <c r="CB66" s="177">
        <v>0</v>
      </c>
      <c r="CC66" s="177">
        <f>k.s1CP.w1CP</f>
        <v>1.744038559107052E-11</v>
      </c>
      <c r="CD66" s="177">
        <v>0</v>
      </c>
      <c r="CE66" s="177">
        <v>0</v>
      </c>
      <c r="CF66" s="177">
        <v>0</v>
      </c>
      <c r="CG66" s="176">
        <f>k.s2CP.w1CP</f>
        <v>4.3600963977676301E-12</v>
      </c>
      <c r="CH66" s="177">
        <v>0</v>
      </c>
      <c r="CI66" s="177">
        <v>0</v>
      </c>
      <c r="CJ66" s="177">
        <v>0</v>
      </c>
      <c r="CK66" s="176">
        <f>k.s3CP.w1CP</f>
        <v>1.744038559107052E-11</v>
      </c>
      <c r="CL66" s="182">
        <v>0</v>
      </c>
      <c r="CM66" s="182">
        <v>0</v>
      </c>
      <c r="CN66" s="182">
        <v>0</v>
      </c>
      <c r="CO66" s="182">
        <v>0</v>
      </c>
      <c r="CP66" s="182">
        <v>0</v>
      </c>
      <c r="CQ66" s="182">
        <v>0</v>
      </c>
      <c r="CR66" s="182">
        <v>0</v>
      </c>
      <c r="CS66" s="182">
        <v>0</v>
      </c>
      <c r="CT66" s="182">
        <v>0</v>
      </c>
      <c r="CU66" s="182">
        <v>0</v>
      </c>
      <c r="CV66" s="182">
        <v>0</v>
      </c>
      <c r="CW66" s="182">
        <v>0</v>
      </c>
      <c r="CX66" s="182">
        <v>0</v>
      </c>
      <c r="CY66" s="182">
        <v>0</v>
      </c>
      <c r="CZ66" s="182">
        <v>0</v>
      </c>
      <c r="DA66" s="182">
        <v>0</v>
      </c>
      <c r="DB66" s="182">
        <v>0</v>
      </c>
      <c r="DC66" s="182">
        <v>0</v>
      </c>
      <c r="DD66" s="182">
        <v>0</v>
      </c>
      <c r="DE66" s="182">
        <v>0</v>
      </c>
      <c r="DF66" s="182">
        <v>0</v>
      </c>
      <c r="DG66" s="182">
        <v>0</v>
      </c>
      <c r="DH66" s="182">
        <v>0</v>
      </c>
      <c r="DI66" s="182">
        <v>0</v>
      </c>
      <c r="DJ66" s="182">
        <v>0</v>
      </c>
      <c r="DK66" s="182">
        <v>0</v>
      </c>
      <c r="DL66" s="182">
        <v>0</v>
      </c>
      <c r="DM66" s="182">
        <v>0</v>
      </c>
      <c r="DN66" s="182">
        <v>0</v>
      </c>
      <c r="DO66" s="182">
        <v>0</v>
      </c>
      <c r="DP66" s="182">
        <v>0</v>
      </c>
      <c r="DQ66" s="182">
        <v>0</v>
      </c>
      <c r="DR66" s="182">
        <v>0</v>
      </c>
      <c r="DS66" s="182">
        <v>0</v>
      </c>
      <c r="DT66" s="182">
        <v>0</v>
      </c>
      <c r="DU66" s="182">
        <v>0</v>
      </c>
      <c r="DV66" s="182">
        <v>0</v>
      </c>
      <c r="DW66" s="182">
        <v>0</v>
      </c>
      <c r="DX66" s="182">
        <v>0</v>
      </c>
      <c r="DY66" s="182">
        <v>0</v>
      </c>
      <c r="DZ66" s="182">
        <v>0</v>
      </c>
      <c r="EA66" s="182">
        <v>0</v>
      </c>
      <c r="EB66" s="182">
        <v>0</v>
      </c>
      <c r="EC66" s="182">
        <v>0</v>
      </c>
      <c r="ED66" s="182">
        <v>0</v>
      </c>
      <c r="EE66" s="182">
        <v>0</v>
      </c>
      <c r="EF66" s="182">
        <v>0</v>
      </c>
      <c r="EG66" s="182">
        <v>0</v>
      </c>
      <c r="EH66" s="182">
        <v>0</v>
      </c>
      <c r="EI66" s="182">
        <v>0</v>
      </c>
      <c r="EJ66" s="182">
        <v>0</v>
      </c>
      <c r="EK66" s="182">
        <v>0</v>
      </c>
      <c r="EL66" s="182">
        <v>0</v>
      </c>
      <c r="EM66" s="182">
        <v>0</v>
      </c>
      <c r="EN66" s="182">
        <v>0</v>
      </c>
      <c r="EO66" s="182">
        <v>0</v>
      </c>
      <c r="EP66" s="182">
        <v>0</v>
      </c>
      <c r="EQ66" s="182">
        <v>0</v>
      </c>
      <c r="ER66" s="182">
        <v>0</v>
      </c>
      <c r="ES66" s="182">
        <v>0</v>
      </c>
      <c r="ET66" s="182">
        <v>0</v>
      </c>
      <c r="EU66" s="182">
        <v>0</v>
      </c>
      <c r="EV66" s="182">
        <v>0</v>
      </c>
      <c r="EW66" s="182">
        <v>0</v>
      </c>
      <c r="EX66" s="182">
        <v>0</v>
      </c>
      <c r="EY66" s="182">
        <v>0</v>
      </c>
      <c r="EZ66" s="182">
        <v>0</v>
      </c>
      <c r="FA66" s="182">
        <v>0</v>
      </c>
      <c r="FB66" s="183">
        <v>0</v>
      </c>
    </row>
    <row r="67" spans="2:158" ht="12.75" customHeight="1" x14ac:dyDescent="0.3">
      <c r="B67" s="199" t="s">
        <v>3877</v>
      </c>
      <c r="C67" s="340"/>
      <c r="D67" s="182">
        <v>0</v>
      </c>
      <c r="E67" s="182">
        <v>0</v>
      </c>
      <c r="F67" s="182">
        <v>0</v>
      </c>
      <c r="G67" s="182">
        <v>0</v>
      </c>
      <c r="H67" s="182">
        <v>0</v>
      </c>
      <c r="I67" s="182">
        <v>0</v>
      </c>
      <c r="J67" s="182">
        <v>0</v>
      </c>
      <c r="K67" s="182">
        <v>0</v>
      </c>
      <c r="L67" s="182">
        <v>0</v>
      </c>
      <c r="M67" s="182">
        <v>0</v>
      </c>
      <c r="N67" s="182">
        <v>0</v>
      </c>
      <c r="O67" s="182">
        <v>0</v>
      </c>
      <c r="P67" s="182">
        <v>0</v>
      </c>
      <c r="Q67" s="182">
        <v>0</v>
      </c>
      <c r="R67" s="182">
        <v>0</v>
      </c>
      <c r="S67" s="177">
        <f>k.w2R.w2C</f>
        <v>1.3698544520547928E-6</v>
      </c>
      <c r="T67" s="182">
        <v>0</v>
      </c>
      <c r="U67" s="182">
        <v>0</v>
      </c>
      <c r="V67" s="182">
        <v>0</v>
      </c>
      <c r="W67" s="182">
        <v>0</v>
      </c>
      <c r="X67" s="182">
        <v>0</v>
      </c>
      <c r="Y67" s="182">
        <v>0</v>
      </c>
      <c r="Z67" s="182">
        <v>0</v>
      </c>
      <c r="AA67" s="182">
        <v>0</v>
      </c>
      <c r="AB67" s="182">
        <v>0</v>
      </c>
      <c r="AC67" s="182">
        <v>0</v>
      </c>
      <c r="AD67" s="182">
        <v>0</v>
      </c>
      <c r="AE67" s="182">
        <v>0</v>
      </c>
      <c r="AF67" s="182">
        <v>0</v>
      </c>
      <c r="AG67" s="182">
        <v>0</v>
      </c>
      <c r="AH67" s="182">
        <v>0</v>
      </c>
      <c r="AI67" s="182">
        <v>0</v>
      </c>
      <c r="AJ67" s="182">
        <v>0</v>
      </c>
      <c r="AK67" s="182">
        <v>0</v>
      </c>
      <c r="AL67" s="182">
        <v>0</v>
      </c>
      <c r="AM67" s="182">
        <v>0</v>
      </c>
      <c r="AN67" s="182">
        <v>0</v>
      </c>
      <c r="AO67" s="182">
        <v>0</v>
      </c>
      <c r="AP67" s="182">
        <v>0</v>
      </c>
      <c r="AQ67" s="182">
        <v>0</v>
      </c>
      <c r="AR67" s="182">
        <v>0</v>
      </c>
      <c r="AS67" s="182">
        <v>0</v>
      </c>
      <c r="AT67" s="182">
        <v>0</v>
      </c>
      <c r="AU67" s="177">
        <f>k.aC.w2C</f>
        <v>2.9545912657070109E-8</v>
      </c>
      <c r="AV67" s="177">
        <v>0</v>
      </c>
      <c r="AW67" s="177">
        <v>0</v>
      </c>
      <c r="AX67" s="177">
        <v>0</v>
      </c>
      <c r="AY67" s="177">
        <v>0</v>
      </c>
      <c r="AZ67" s="177">
        <v>0</v>
      </c>
      <c r="BA67" s="177">
        <v>0</v>
      </c>
      <c r="BB67" s="177">
        <f>k.w0C.w2C</f>
        <v>0</v>
      </c>
      <c r="BC67" s="177">
        <v>0</v>
      </c>
      <c r="BD67" s="177">
        <v>0</v>
      </c>
      <c r="BE67" s="177">
        <v>0</v>
      </c>
      <c r="BF67" s="177">
        <f>k.w1C.w2C</f>
        <v>7.2644250726442513E-8</v>
      </c>
      <c r="BG67" s="177">
        <v>0</v>
      </c>
      <c r="BH67" s="177">
        <v>0</v>
      </c>
      <c r="BI67" s="177">
        <v>0</v>
      </c>
      <c r="BJ67" s="327">
        <f>-k.w2C-SUM(BJ9:BJ66,BJ68:BJ163)</f>
        <v>-1.4439965526918947E-7</v>
      </c>
      <c r="BK67" s="321">
        <f>kdis.w2S.w2D</f>
        <v>0</v>
      </c>
      <c r="BL67" s="321">
        <f>kdis.w2A.w2D</f>
        <v>0</v>
      </c>
      <c r="BM67" s="322">
        <f>kdis.w2P.w2D</f>
        <v>0</v>
      </c>
      <c r="BN67" s="177">
        <v>0</v>
      </c>
      <c r="BO67" s="177">
        <v>0</v>
      </c>
      <c r="BP67" s="177">
        <v>0</v>
      </c>
      <c r="BQ67" s="177">
        <v>0</v>
      </c>
      <c r="BR67" s="182">
        <v>0</v>
      </c>
      <c r="BS67" s="182">
        <v>0</v>
      </c>
      <c r="BT67" s="182">
        <v>0</v>
      </c>
      <c r="BU67" s="182">
        <v>0</v>
      </c>
      <c r="BV67" s="177">
        <f>k.sd2C.w2C</f>
        <v>5.4485355578950803E-8</v>
      </c>
      <c r="BW67" s="177">
        <v>0</v>
      </c>
      <c r="BX67" s="177">
        <v>0</v>
      </c>
      <c r="BY67" s="177">
        <v>0</v>
      </c>
      <c r="BZ67" s="182">
        <v>0</v>
      </c>
      <c r="CA67" s="182">
        <v>0</v>
      </c>
      <c r="CB67" s="182">
        <v>0</v>
      </c>
      <c r="CC67" s="182">
        <v>0</v>
      </c>
      <c r="CD67" s="182">
        <v>0</v>
      </c>
      <c r="CE67" s="182">
        <v>0</v>
      </c>
      <c r="CF67" s="182">
        <v>0</v>
      </c>
      <c r="CG67" s="182">
        <v>0</v>
      </c>
      <c r="CH67" s="182">
        <v>0</v>
      </c>
      <c r="CI67" s="182">
        <v>0</v>
      </c>
      <c r="CJ67" s="182">
        <v>0</v>
      </c>
      <c r="CK67" s="182">
        <v>0</v>
      </c>
      <c r="CL67" s="182">
        <v>0</v>
      </c>
      <c r="CM67" s="182">
        <v>0</v>
      </c>
      <c r="CN67" s="182">
        <v>0</v>
      </c>
      <c r="CO67" s="182">
        <v>0</v>
      </c>
      <c r="CP67" s="182">
        <v>0</v>
      </c>
      <c r="CQ67" s="182">
        <v>0</v>
      </c>
      <c r="CR67" s="182">
        <v>0</v>
      </c>
      <c r="CS67" s="177">
        <f>k.w2M.w2C</f>
        <v>6.0683860128376809E-9</v>
      </c>
      <c r="CT67" s="177">
        <v>0</v>
      </c>
      <c r="CU67" s="177">
        <v>0</v>
      </c>
      <c r="CV67" s="177">
        <v>0</v>
      </c>
      <c r="CW67" s="182">
        <v>0</v>
      </c>
      <c r="CX67" s="182">
        <v>0</v>
      </c>
      <c r="CY67" s="182">
        <v>0</v>
      </c>
      <c r="CZ67" s="182">
        <v>0</v>
      </c>
      <c r="DA67" s="182">
        <v>0</v>
      </c>
      <c r="DB67" s="182">
        <v>0</v>
      </c>
      <c r="DC67" s="182">
        <v>0</v>
      </c>
      <c r="DD67" s="182">
        <v>0</v>
      </c>
      <c r="DE67" s="182">
        <v>0</v>
      </c>
      <c r="DF67" s="182">
        <v>0</v>
      </c>
      <c r="DG67" s="182">
        <v>0</v>
      </c>
      <c r="DH67" s="182">
        <v>0</v>
      </c>
      <c r="DI67" s="182">
        <v>0</v>
      </c>
      <c r="DJ67" s="182">
        <v>0</v>
      </c>
      <c r="DK67" s="182">
        <v>0</v>
      </c>
      <c r="DL67" s="182">
        <v>0</v>
      </c>
      <c r="DM67" s="182">
        <v>0</v>
      </c>
      <c r="DN67" s="182">
        <v>0</v>
      </c>
      <c r="DO67" s="182">
        <v>0</v>
      </c>
      <c r="DP67" s="182">
        <v>0</v>
      </c>
      <c r="DQ67" s="182">
        <v>0</v>
      </c>
      <c r="DR67" s="182">
        <v>0</v>
      </c>
      <c r="DS67" s="182">
        <v>0</v>
      </c>
      <c r="DT67" s="182">
        <v>0</v>
      </c>
      <c r="DU67" s="182">
        <v>0</v>
      </c>
      <c r="DV67" s="182">
        <v>0</v>
      </c>
      <c r="DW67" s="182">
        <v>0</v>
      </c>
      <c r="DX67" s="182">
        <v>0</v>
      </c>
      <c r="DY67" s="182">
        <v>0</v>
      </c>
      <c r="DZ67" s="182">
        <v>0</v>
      </c>
      <c r="EA67" s="182">
        <v>0</v>
      </c>
      <c r="EB67" s="182">
        <v>0</v>
      </c>
      <c r="EC67" s="182">
        <v>0</v>
      </c>
      <c r="ED67" s="182">
        <v>0</v>
      </c>
      <c r="EE67" s="182">
        <v>0</v>
      </c>
      <c r="EF67" s="182">
        <v>0</v>
      </c>
      <c r="EG67" s="182">
        <v>0</v>
      </c>
      <c r="EH67" s="182">
        <v>0</v>
      </c>
      <c r="EI67" s="182">
        <v>0</v>
      </c>
      <c r="EJ67" s="182">
        <v>0</v>
      </c>
      <c r="EK67" s="182">
        <v>0</v>
      </c>
      <c r="EL67" s="182">
        <v>0</v>
      </c>
      <c r="EM67" s="182">
        <v>0</v>
      </c>
      <c r="EN67" s="182">
        <v>0</v>
      </c>
      <c r="EO67" s="182">
        <v>0</v>
      </c>
      <c r="EP67" s="182">
        <v>0</v>
      </c>
      <c r="EQ67" s="182">
        <v>0</v>
      </c>
      <c r="ER67" s="182">
        <v>0</v>
      </c>
      <c r="ES67" s="182">
        <v>0</v>
      </c>
      <c r="ET67" s="182">
        <v>0</v>
      </c>
      <c r="EU67" s="182">
        <v>0</v>
      </c>
      <c r="EV67" s="182">
        <v>0</v>
      </c>
      <c r="EW67" s="182">
        <v>0</v>
      </c>
      <c r="EX67" s="182">
        <v>0</v>
      </c>
      <c r="EY67" s="182">
        <v>0</v>
      </c>
      <c r="EZ67" s="182">
        <v>0</v>
      </c>
      <c r="FA67" s="182">
        <v>0</v>
      </c>
      <c r="FB67" s="183">
        <v>0</v>
      </c>
    </row>
    <row r="68" spans="2:158" ht="12.75" customHeight="1" x14ac:dyDescent="0.3">
      <c r="B68" s="199" t="s">
        <v>3878</v>
      </c>
      <c r="C68" s="340"/>
      <c r="D68" s="182">
        <v>0</v>
      </c>
      <c r="E68" s="182">
        <v>0</v>
      </c>
      <c r="F68" s="182">
        <v>0</v>
      </c>
      <c r="G68" s="182">
        <v>0</v>
      </c>
      <c r="H68" s="182">
        <v>0</v>
      </c>
      <c r="I68" s="182">
        <v>0</v>
      </c>
      <c r="J68" s="182">
        <v>0</v>
      </c>
      <c r="K68" s="182">
        <v>0</v>
      </c>
      <c r="L68" s="182">
        <v>0</v>
      </c>
      <c r="M68" s="182">
        <v>0</v>
      </c>
      <c r="N68" s="182">
        <v>0</v>
      </c>
      <c r="O68" s="182">
        <v>0</v>
      </c>
      <c r="P68" s="182">
        <v>0</v>
      </c>
      <c r="Q68" s="182">
        <v>0</v>
      </c>
      <c r="R68" s="182">
        <v>0</v>
      </c>
      <c r="S68" s="182">
        <v>0</v>
      </c>
      <c r="T68" s="177">
        <f>k.w2R.w2C</f>
        <v>1.3698544520547928E-6</v>
      </c>
      <c r="U68" s="177">
        <v>0</v>
      </c>
      <c r="V68" s="176">
        <v>0</v>
      </c>
      <c r="W68" s="182">
        <v>0</v>
      </c>
      <c r="X68" s="182">
        <v>0</v>
      </c>
      <c r="Y68" s="182">
        <v>0</v>
      </c>
      <c r="Z68" s="182">
        <v>0</v>
      </c>
      <c r="AA68" s="182">
        <v>0</v>
      </c>
      <c r="AB68" s="182">
        <v>0</v>
      </c>
      <c r="AC68" s="182">
        <v>0</v>
      </c>
      <c r="AD68" s="182">
        <v>0</v>
      </c>
      <c r="AE68" s="182">
        <v>0</v>
      </c>
      <c r="AF68" s="182">
        <v>0</v>
      </c>
      <c r="AG68" s="182">
        <v>0</v>
      </c>
      <c r="AH68" s="182">
        <v>0</v>
      </c>
      <c r="AI68" s="182">
        <v>0</v>
      </c>
      <c r="AJ68" s="182">
        <v>0</v>
      </c>
      <c r="AK68" s="182">
        <v>0</v>
      </c>
      <c r="AL68" s="182">
        <v>0</v>
      </c>
      <c r="AM68" s="182">
        <v>0</v>
      </c>
      <c r="AN68" s="182">
        <v>0</v>
      </c>
      <c r="AO68" s="182">
        <v>0</v>
      </c>
      <c r="AP68" s="182">
        <v>0</v>
      </c>
      <c r="AQ68" s="182">
        <v>0</v>
      </c>
      <c r="AR68" s="182">
        <v>0</v>
      </c>
      <c r="AS68" s="182">
        <v>0</v>
      </c>
      <c r="AT68" s="182">
        <v>0</v>
      </c>
      <c r="AU68" s="177">
        <v>0</v>
      </c>
      <c r="AV68" s="177">
        <f>k.aCS.w2CS</f>
        <v>1.6688199832010293E-6</v>
      </c>
      <c r="AW68" s="177">
        <v>0</v>
      </c>
      <c r="AX68" s="176">
        <v>0</v>
      </c>
      <c r="AY68" s="177">
        <f>k.cwCS.w2CS</f>
        <v>3.8164181816677947E-5</v>
      </c>
      <c r="AZ68" s="177">
        <v>0</v>
      </c>
      <c r="BA68" s="176">
        <v>0</v>
      </c>
      <c r="BB68" s="177">
        <v>0</v>
      </c>
      <c r="BC68" s="177">
        <v>0</v>
      </c>
      <c r="BD68" s="177">
        <v>0</v>
      </c>
      <c r="BE68" s="177">
        <v>0</v>
      </c>
      <c r="BF68" s="177">
        <v>0</v>
      </c>
      <c r="BG68" s="177">
        <f>k.w1C.w2C</f>
        <v>7.2644250726442513E-8</v>
      </c>
      <c r="BH68" s="177">
        <v>0</v>
      </c>
      <c r="BI68" s="177">
        <v>0</v>
      </c>
      <c r="BJ68" s="323">
        <v>0</v>
      </c>
      <c r="BK68" s="181">
        <f>-k.w2CS-SUM(BK$9:BK67,BK69:BK$163)</f>
        <v>-1.6175641928077732E-3</v>
      </c>
      <c r="BL68" s="177">
        <v>0</v>
      </c>
      <c r="BM68" s="302">
        <v>0</v>
      </c>
      <c r="BN68" s="177">
        <v>0</v>
      </c>
      <c r="BO68" s="177">
        <v>0</v>
      </c>
      <c r="BP68" s="177">
        <v>0</v>
      </c>
      <c r="BQ68" s="177">
        <v>0</v>
      </c>
      <c r="BR68" s="182">
        <v>0</v>
      </c>
      <c r="BS68" s="182">
        <v>0</v>
      </c>
      <c r="BT68" s="182">
        <v>0</v>
      </c>
      <c r="BU68" s="182">
        <v>0</v>
      </c>
      <c r="BV68" s="177">
        <v>0</v>
      </c>
      <c r="BW68" s="177">
        <f>k.sd2CS.w2CS</f>
        <v>8.7317283950617312E-9</v>
      </c>
      <c r="BX68" s="177">
        <v>0</v>
      </c>
      <c r="BY68" s="176">
        <v>0</v>
      </c>
      <c r="BZ68" s="182">
        <v>0</v>
      </c>
      <c r="CA68" s="182">
        <v>0</v>
      </c>
      <c r="CB68" s="182">
        <v>0</v>
      </c>
      <c r="CC68" s="182">
        <v>0</v>
      </c>
      <c r="CD68" s="182">
        <v>0</v>
      </c>
      <c r="CE68" s="182">
        <v>0</v>
      </c>
      <c r="CF68" s="182">
        <v>0</v>
      </c>
      <c r="CG68" s="182">
        <v>0</v>
      </c>
      <c r="CH68" s="182">
        <v>0</v>
      </c>
      <c r="CI68" s="182">
        <v>0</v>
      </c>
      <c r="CJ68" s="182">
        <v>0</v>
      </c>
      <c r="CK68" s="182">
        <v>0</v>
      </c>
      <c r="CL68" s="182">
        <v>0</v>
      </c>
      <c r="CM68" s="182">
        <v>0</v>
      </c>
      <c r="CN68" s="182">
        <v>0</v>
      </c>
      <c r="CO68" s="182">
        <v>0</v>
      </c>
      <c r="CP68" s="182">
        <v>0</v>
      </c>
      <c r="CQ68" s="182">
        <v>0</v>
      </c>
      <c r="CR68" s="182">
        <v>0</v>
      </c>
      <c r="CS68" s="177">
        <v>0</v>
      </c>
      <c r="CT68" s="177">
        <f>k.w2M.w2C</f>
        <v>6.0683860128376809E-9</v>
      </c>
      <c r="CU68" s="177">
        <v>0</v>
      </c>
      <c r="CV68" s="176">
        <v>0</v>
      </c>
      <c r="CW68" s="182">
        <v>0</v>
      </c>
      <c r="CX68" s="182">
        <v>0</v>
      </c>
      <c r="CY68" s="182">
        <v>0</v>
      </c>
      <c r="CZ68" s="182">
        <v>0</v>
      </c>
      <c r="DA68" s="182">
        <v>0</v>
      </c>
      <c r="DB68" s="182">
        <v>0</v>
      </c>
      <c r="DC68" s="182">
        <v>0</v>
      </c>
      <c r="DD68" s="182">
        <v>0</v>
      </c>
      <c r="DE68" s="182">
        <v>0</v>
      </c>
      <c r="DF68" s="182">
        <v>0</v>
      </c>
      <c r="DG68" s="182">
        <v>0</v>
      </c>
      <c r="DH68" s="182">
        <v>0</v>
      </c>
      <c r="DI68" s="182">
        <v>0</v>
      </c>
      <c r="DJ68" s="182">
        <v>0</v>
      </c>
      <c r="DK68" s="182">
        <v>0</v>
      </c>
      <c r="DL68" s="182">
        <v>0</v>
      </c>
      <c r="DM68" s="182">
        <v>0</v>
      </c>
      <c r="DN68" s="182">
        <v>0</v>
      </c>
      <c r="DO68" s="182">
        <v>0</v>
      </c>
      <c r="DP68" s="182">
        <v>0</v>
      </c>
      <c r="DQ68" s="182">
        <v>0</v>
      </c>
      <c r="DR68" s="182">
        <v>0</v>
      </c>
      <c r="DS68" s="182">
        <v>0</v>
      </c>
      <c r="DT68" s="182">
        <v>0</v>
      </c>
      <c r="DU68" s="182">
        <v>0</v>
      </c>
      <c r="DV68" s="182">
        <v>0</v>
      </c>
      <c r="DW68" s="182">
        <v>0</v>
      </c>
      <c r="DX68" s="182">
        <v>0</v>
      </c>
      <c r="DY68" s="182">
        <v>0</v>
      </c>
      <c r="DZ68" s="182">
        <v>0</v>
      </c>
      <c r="EA68" s="182">
        <v>0</v>
      </c>
      <c r="EB68" s="182">
        <v>0</v>
      </c>
      <c r="EC68" s="182">
        <v>0</v>
      </c>
      <c r="ED68" s="182">
        <v>0</v>
      </c>
      <c r="EE68" s="182">
        <v>0</v>
      </c>
      <c r="EF68" s="182">
        <v>0</v>
      </c>
      <c r="EG68" s="182">
        <v>0</v>
      </c>
      <c r="EH68" s="182">
        <v>0</v>
      </c>
      <c r="EI68" s="182">
        <v>0</v>
      </c>
      <c r="EJ68" s="182">
        <v>0</v>
      </c>
      <c r="EK68" s="182">
        <v>0</v>
      </c>
      <c r="EL68" s="182">
        <v>0</v>
      </c>
      <c r="EM68" s="182">
        <v>0</v>
      </c>
      <c r="EN68" s="182">
        <v>0</v>
      </c>
      <c r="EO68" s="182">
        <v>0</v>
      </c>
      <c r="EP68" s="182">
        <v>0</v>
      </c>
      <c r="EQ68" s="182">
        <v>0</v>
      </c>
      <c r="ER68" s="182">
        <v>0</v>
      </c>
      <c r="ES68" s="182">
        <v>0</v>
      </c>
      <c r="ET68" s="182">
        <v>0</v>
      </c>
      <c r="EU68" s="182">
        <v>0</v>
      </c>
      <c r="EV68" s="182">
        <v>0</v>
      </c>
      <c r="EW68" s="182">
        <v>0</v>
      </c>
      <c r="EX68" s="182">
        <v>0</v>
      </c>
      <c r="EY68" s="182">
        <v>0</v>
      </c>
      <c r="EZ68" s="182">
        <v>0</v>
      </c>
      <c r="FA68" s="182">
        <v>0</v>
      </c>
      <c r="FB68" s="183">
        <v>0</v>
      </c>
    </row>
    <row r="69" spans="2:158" ht="12.75" customHeight="1" x14ac:dyDescent="0.3">
      <c r="B69" s="199" t="s">
        <v>3879</v>
      </c>
      <c r="C69" s="340"/>
      <c r="D69" s="182">
        <v>0</v>
      </c>
      <c r="E69" s="182">
        <v>0</v>
      </c>
      <c r="F69" s="182">
        <v>0</v>
      </c>
      <c r="G69" s="182">
        <v>0</v>
      </c>
      <c r="H69" s="182">
        <v>0</v>
      </c>
      <c r="I69" s="182">
        <v>0</v>
      </c>
      <c r="J69" s="182">
        <v>0</v>
      </c>
      <c r="K69" s="182">
        <v>0</v>
      </c>
      <c r="L69" s="182">
        <v>0</v>
      </c>
      <c r="M69" s="182">
        <v>0</v>
      </c>
      <c r="N69" s="182">
        <v>0</v>
      </c>
      <c r="O69" s="182">
        <v>0</v>
      </c>
      <c r="P69" s="182">
        <v>0</v>
      </c>
      <c r="Q69" s="182">
        <v>0</v>
      </c>
      <c r="R69" s="182">
        <v>0</v>
      </c>
      <c r="S69" s="182">
        <v>0</v>
      </c>
      <c r="T69" s="177">
        <v>0</v>
      </c>
      <c r="U69" s="177">
        <f>k.w2R.w2C</f>
        <v>1.3698544520547928E-6</v>
      </c>
      <c r="V69" s="176">
        <v>0</v>
      </c>
      <c r="W69" s="182">
        <v>0</v>
      </c>
      <c r="X69" s="182">
        <v>0</v>
      </c>
      <c r="Y69" s="182">
        <v>0</v>
      </c>
      <c r="Z69" s="182">
        <v>0</v>
      </c>
      <c r="AA69" s="182">
        <v>0</v>
      </c>
      <c r="AB69" s="182">
        <v>0</v>
      </c>
      <c r="AC69" s="182">
        <v>0</v>
      </c>
      <c r="AD69" s="182">
        <v>0</v>
      </c>
      <c r="AE69" s="182">
        <v>0</v>
      </c>
      <c r="AF69" s="182">
        <v>0</v>
      </c>
      <c r="AG69" s="182">
        <v>0</v>
      </c>
      <c r="AH69" s="182">
        <v>0</v>
      </c>
      <c r="AI69" s="182">
        <v>0</v>
      </c>
      <c r="AJ69" s="182">
        <v>0</v>
      </c>
      <c r="AK69" s="182">
        <v>0</v>
      </c>
      <c r="AL69" s="182">
        <v>0</v>
      </c>
      <c r="AM69" s="182">
        <v>0</v>
      </c>
      <c r="AN69" s="182">
        <v>0</v>
      </c>
      <c r="AO69" s="182">
        <v>0</v>
      </c>
      <c r="AP69" s="182">
        <v>0</v>
      </c>
      <c r="AQ69" s="182">
        <v>0</v>
      </c>
      <c r="AR69" s="182">
        <v>0</v>
      </c>
      <c r="AS69" s="182">
        <v>0</v>
      </c>
      <c r="AT69" s="182">
        <v>0</v>
      </c>
      <c r="AU69" s="177">
        <v>0</v>
      </c>
      <c r="AV69" s="177">
        <v>0</v>
      </c>
      <c r="AW69" s="177">
        <f>k.aCA.w2CA</f>
        <v>5.9969359590094142E-7</v>
      </c>
      <c r="AX69" s="176">
        <v>0</v>
      </c>
      <c r="AY69" s="177">
        <v>0</v>
      </c>
      <c r="AZ69" s="177">
        <f>k.cwCA.w2CA</f>
        <v>3.8164181816677947E-5</v>
      </c>
      <c r="BA69" s="176">
        <v>0</v>
      </c>
      <c r="BB69" s="177">
        <v>0</v>
      </c>
      <c r="BC69" s="177">
        <v>0</v>
      </c>
      <c r="BD69" s="177">
        <v>0</v>
      </c>
      <c r="BE69" s="177">
        <v>0</v>
      </c>
      <c r="BF69" s="177">
        <v>0</v>
      </c>
      <c r="BG69" s="177">
        <v>0</v>
      </c>
      <c r="BH69" s="177">
        <f>k.w1C.w2C</f>
        <v>7.2644250726442513E-8</v>
      </c>
      <c r="BI69" s="177">
        <v>0</v>
      </c>
      <c r="BJ69" s="323">
        <v>0</v>
      </c>
      <c r="BK69" s="177">
        <f>k.w2CS.w2CA</f>
        <v>1.5823177044157236E-3</v>
      </c>
      <c r="BL69" s="181">
        <f>-k.w2CA-SUM(BL$9:BL68,BL70:BL$163)</f>
        <v>-3.1953407663359235E-8</v>
      </c>
      <c r="BM69" s="302">
        <v>0</v>
      </c>
      <c r="BN69" s="177">
        <v>0</v>
      </c>
      <c r="BO69" s="177">
        <v>0</v>
      </c>
      <c r="BP69" s="177">
        <v>0</v>
      </c>
      <c r="BQ69" s="177">
        <v>0</v>
      </c>
      <c r="BR69" s="177">
        <v>0</v>
      </c>
      <c r="BS69" s="182">
        <v>0</v>
      </c>
      <c r="BT69" s="182">
        <v>0</v>
      </c>
      <c r="BU69" s="182">
        <v>0</v>
      </c>
      <c r="BV69" s="177">
        <v>0</v>
      </c>
      <c r="BW69" s="177">
        <v>0</v>
      </c>
      <c r="BX69" s="177">
        <f>k.sd2CA.w2CA</f>
        <v>8.7317283950617312E-9</v>
      </c>
      <c r="BY69" s="176">
        <v>0</v>
      </c>
      <c r="BZ69" s="182">
        <v>0</v>
      </c>
      <c r="CA69" s="182">
        <v>0</v>
      </c>
      <c r="CB69" s="182">
        <v>0</v>
      </c>
      <c r="CC69" s="182">
        <v>0</v>
      </c>
      <c r="CD69" s="182">
        <v>0</v>
      </c>
      <c r="CE69" s="182">
        <v>0</v>
      </c>
      <c r="CF69" s="182">
        <v>0</v>
      </c>
      <c r="CG69" s="182">
        <v>0</v>
      </c>
      <c r="CH69" s="182">
        <v>0</v>
      </c>
      <c r="CI69" s="182">
        <v>0</v>
      </c>
      <c r="CJ69" s="182">
        <v>0</v>
      </c>
      <c r="CK69" s="182">
        <v>0</v>
      </c>
      <c r="CL69" s="182">
        <v>0</v>
      </c>
      <c r="CM69" s="182">
        <v>0</v>
      </c>
      <c r="CN69" s="182">
        <v>0</v>
      </c>
      <c r="CO69" s="182">
        <v>0</v>
      </c>
      <c r="CP69" s="182">
        <v>0</v>
      </c>
      <c r="CQ69" s="182">
        <v>0</v>
      </c>
      <c r="CR69" s="182">
        <v>0</v>
      </c>
      <c r="CS69" s="177">
        <v>0</v>
      </c>
      <c r="CT69" s="177">
        <v>0</v>
      </c>
      <c r="CU69" s="177">
        <f>k.w2M.w2C</f>
        <v>6.0683860128376809E-9</v>
      </c>
      <c r="CV69" s="176">
        <v>0</v>
      </c>
      <c r="CW69" s="182">
        <v>0</v>
      </c>
      <c r="CX69" s="182">
        <v>0</v>
      </c>
      <c r="CY69" s="182">
        <v>0</v>
      </c>
      <c r="CZ69" s="182">
        <v>0</v>
      </c>
      <c r="DA69" s="182">
        <v>0</v>
      </c>
      <c r="DB69" s="182">
        <v>0</v>
      </c>
      <c r="DC69" s="182">
        <v>0</v>
      </c>
      <c r="DD69" s="182">
        <v>0</v>
      </c>
      <c r="DE69" s="182">
        <v>0</v>
      </c>
      <c r="DF69" s="182">
        <v>0</v>
      </c>
      <c r="DG69" s="182">
        <v>0</v>
      </c>
      <c r="DH69" s="182">
        <v>0</v>
      </c>
      <c r="DI69" s="182">
        <v>0</v>
      </c>
      <c r="DJ69" s="182">
        <v>0</v>
      </c>
      <c r="DK69" s="182">
        <v>0</v>
      </c>
      <c r="DL69" s="182">
        <v>0</v>
      </c>
      <c r="DM69" s="182">
        <v>0</v>
      </c>
      <c r="DN69" s="182">
        <v>0</v>
      </c>
      <c r="DO69" s="182">
        <v>0</v>
      </c>
      <c r="DP69" s="182">
        <v>0</v>
      </c>
      <c r="DQ69" s="182">
        <v>0</v>
      </c>
      <c r="DR69" s="182">
        <v>0</v>
      </c>
      <c r="DS69" s="182">
        <v>0</v>
      </c>
      <c r="DT69" s="182">
        <v>0</v>
      </c>
      <c r="DU69" s="182">
        <v>0</v>
      </c>
      <c r="DV69" s="182">
        <v>0</v>
      </c>
      <c r="DW69" s="182">
        <v>0</v>
      </c>
      <c r="DX69" s="182">
        <v>0</v>
      </c>
      <c r="DY69" s="182">
        <v>0</v>
      </c>
      <c r="DZ69" s="182">
        <v>0</v>
      </c>
      <c r="EA69" s="182">
        <v>0</v>
      </c>
      <c r="EB69" s="182">
        <v>0</v>
      </c>
      <c r="EC69" s="182">
        <v>0</v>
      </c>
      <c r="ED69" s="182">
        <v>0</v>
      </c>
      <c r="EE69" s="182">
        <v>0</v>
      </c>
      <c r="EF69" s="182">
        <v>0</v>
      </c>
      <c r="EG69" s="182">
        <v>0</v>
      </c>
      <c r="EH69" s="182">
        <v>0</v>
      </c>
      <c r="EI69" s="182">
        <v>0</v>
      </c>
      <c r="EJ69" s="182">
        <v>0</v>
      </c>
      <c r="EK69" s="182">
        <v>0</v>
      </c>
      <c r="EL69" s="182">
        <v>0</v>
      </c>
      <c r="EM69" s="182">
        <v>0</v>
      </c>
      <c r="EN69" s="182">
        <v>0</v>
      </c>
      <c r="EO69" s="182">
        <v>0</v>
      </c>
      <c r="EP69" s="182">
        <v>0</v>
      </c>
      <c r="EQ69" s="182">
        <v>0</v>
      </c>
      <c r="ER69" s="182">
        <v>0</v>
      </c>
      <c r="ES69" s="182">
        <v>0</v>
      </c>
      <c r="ET69" s="182">
        <v>0</v>
      </c>
      <c r="EU69" s="182">
        <v>0</v>
      </c>
      <c r="EV69" s="182">
        <v>0</v>
      </c>
      <c r="EW69" s="182">
        <v>0</v>
      </c>
      <c r="EX69" s="182">
        <v>0</v>
      </c>
      <c r="EY69" s="182">
        <v>0</v>
      </c>
      <c r="EZ69" s="182">
        <v>0</v>
      </c>
      <c r="FA69" s="182">
        <v>0</v>
      </c>
      <c r="FB69" s="183">
        <v>0</v>
      </c>
    </row>
    <row r="70" spans="2:158" ht="12.75" customHeight="1" x14ac:dyDescent="0.3">
      <c r="B70" s="199" t="s">
        <v>3880</v>
      </c>
      <c r="C70" s="340"/>
      <c r="D70" s="182">
        <v>0</v>
      </c>
      <c r="E70" s="182">
        <v>0</v>
      </c>
      <c r="F70" s="182">
        <v>0</v>
      </c>
      <c r="G70" s="182">
        <v>0</v>
      </c>
      <c r="H70" s="182">
        <v>0</v>
      </c>
      <c r="I70" s="182">
        <v>0</v>
      </c>
      <c r="J70" s="182">
        <v>0</v>
      </c>
      <c r="K70" s="182">
        <v>0</v>
      </c>
      <c r="L70" s="182">
        <v>0</v>
      </c>
      <c r="M70" s="182">
        <v>0</v>
      </c>
      <c r="N70" s="182">
        <v>0</v>
      </c>
      <c r="O70" s="182">
        <v>0</v>
      </c>
      <c r="P70" s="182">
        <v>0</v>
      </c>
      <c r="Q70" s="182">
        <v>0</v>
      </c>
      <c r="R70" s="182">
        <v>0</v>
      </c>
      <c r="S70" s="182">
        <v>0</v>
      </c>
      <c r="T70" s="177">
        <v>0</v>
      </c>
      <c r="U70" s="177">
        <v>0</v>
      </c>
      <c r="V70" s="177">
        <f>k.w2R.w2C</f>
        <v>1.3698544520547928E-6</v>
      </c>
      <c r="W70" s="182">
        <v>0</v>
      </c>
      <c r="X70" s="182">
        <v>0</v>
      </c>
      <c r="Y70" s="182">
        <v>0</v>
      </c>
      <c r="Z70" s="182">
        <v>0</v>
      </c>
      <c r="AA70" s="182">
        <v>0</v>
      </c>
      <c r="AB70" s="182">
        <v>0</v>
      </c>
      <c r="AC70" s="182">
        <v>0</v>
      </c>
      <c r="AD70" s="182">
        <v>0</v>
      </c>
      <c r="AE70" s="182">
        <v>0</v>
      </c>
      <c r="AF70" s="182">
        <v>0</v>
      </c>
      <c r="AG70" s="182">
        <v>0</v>
      </c>
      <c r="AH70" s="182">
        <v>0</v>
      </c>
      <c r="AI70" s="182">
        <v>0</v>
      </c>
      <c r="AJ70" s="182">
        <v>0</v>
      </c>
      <c r="AK70" s="182">
        <v>0</v>
      </c>
      <c r="AL70" s="182">
        <v>0</v>
      </c>
      <c r="AM70" s="182">
        <v>0</v>
      </c>
      <c r="AN70" s="182">
        <v>0</v>
      </c>
      <c r="AO70" s="182">
        <v>0</v>
      </c>
      <c r="AP70" s="182">
        <v>0</v>
      </c>
      <c r="AQ70" s="182">
        <v>0</v>
      </c>
      <c r="AR70" s="182">
        <v>0</v>
      </c>
      <c r="AS70" s="182">
        <v>0</v>
      </c>
      <c r="AT70" s="182">
        <v>0</v>
      </c>
      <c r="AU70" s="177">
        <v>0</v>
      </c>
      <c r="AV70" s="177">
        <v>0</v>
      </c>
      <c r="AW70" s="177">
        <v>0</v>
      </c>
      <c r="AX70" s="176">
        <f>k.aCP.w2CP</f>
        <v>5.1580527333032397E-7</v>
      </c>
      <c r="AY70" s="177">
        <v>0</v>
      </c>
      <c r="AZ70" s="177">
        <v>0</v>
      </c>
      <c r="BA70" s="176">
        <f>k.cwCP.w2CP</f>
        <v>3.8164181816677947E-5</v>
      </c>
      <c r="BB70" s="177">
        <v>0</v>
      </c>
      <c r="BC70" s="177">
        <v>0</v>
      </c>
      <c r="BD70" s="177">
        <v>0</v>
      </c>
      <c r="BE70" s="177">
        <v>0</v>
      </c>
      <c r="BF70" s="177">
        <v>0</v>
      </c>
      <c r="BG70" s="177">
        <v>0</v>
      </c>
      <c r="BH70" s="177">
        <v>0</v>
      </c>
      <c r="BI70" s="177">
        <f>k.w1C.w2C</f>
        <v>7.2644250726442513E-8</v>
      </c>
      <c r="BJ70" s="303">
        <v>0</v>
      </c>
      <c r="BK70" s="304">
        <f>k.w2CS.w2CP</f>
        <v>3.5214776928687474E-5</v>
      </c>
      <c r="BL70" s="304">
        <v>0</v>
      </c>
      <c r="BM70" s="181">
        <f>-k.w2CP-SUM(BM$9:BM69,BM71:BM$163)</f>
        <v>-1.7876005322647541E-7</v>
      </c>
      <c r="BN70" s="176">
        <v>0</v>
      </c>
      <c r="BO70" s="176">
        <v>0</v>
      </c>
      <c r="BP70" s="176">
        <v>0</v>
      </c>
      <c r="BQ70" s="176">
        <v>0</v>
      </c>
      <c r="BR70" s="177">
        <v>0</v>
      </c>
      <c r="BS70" s="177">
        <v>0</v>
      </c>
      <c r="BT70" s="182">
        <v>0</v>
      </c>
      <c r="BU70" s="182">
        <v>0</v>
      </c>
      <c r="BV70" s="177">
        <v>0</v>
      </c>
      <c r="BW70" s="177">
        <v>0</v>
      </c>
      <c r="BX70" s="177">
        <v>0</v>
      </c>
      <c r="BY70" s="176">
        <f>k.sd2CP.w2CP</f>
        <v>8.7317283950617312E-9</v>
      </c>
      <c r="BZ70" s="182">
        <v>0</v>
      </c>
      <c r="CA70" s="182">
        <v>0</v>
      </c>
      <c r="CB70" s="182">
        <v>0</v>
      </c>
      <c r="CC70" s="182">
        <v>0</v>
      </c>
      <c r="CD70" s="182">
        <v>0</v>
      </c>
      <c r="CE70" s="182">
        <v>0</v>
      </c>
      <c r="CF70" s="182">
        <v>0</v>
      </c>
      <c r="CG70" s="182">
        <v>0</v>
      </c>
      <c r="CH70" s="182">
        <v>0</v>
      </c>
      <c r="CI70" s="182">
        <v>0</v>
      </c>
      <c r="CJ70" s="182">
        <v>0</v>
      </c>
      <c r="CK70" s="182">
        <v>0</v>
      </c>
      <c r="CL70" s="182">
        <v>0</v>
      </c>
      <c r="CM70" s="182">
        <v>0</v>
      </c>
      <c r="CN70" s="182">
        <v>0</v>
      </c>
      <c r="CO70" s="182">
        <v>0</v>
      </c>
      <c r="CP70" s="182">
        <v>0</v>
      </c>
      <c r="CQ70" s="182">
        <v>0</v>
      </c>
      <c r="CR70" s="182">
        <v>0</v>
      </c>
      <c r="CS70" s="177">
        <v>0</v>
      </c>
      <c r="CT70" s="177">
        <v>0</v>
      </c>
      <c r="CU70" s="177">
        <v>0</v>
      </c>
      <c r="CV70" s="177">
        <f>k.w2M.w2C</f>
        <v>6.0683860128376809E-9</v>
      </c>
      <c r="CW70" s="182">
        <v>0</v>
      </c>
      <c r="CX70" s="182">
        <v>0</v>
      </c>
      <c r="CY70" s="182">
        <v>0</v>
      </c>
      <c r="CZ70" s="182">
        <v>0</v>
      </c>
      <c r="DA70" s="182">
        <v>0</v>
      </c>
      <c r="DB70" s="182">
        <v>0</v>
      </c>
      <c r="DC70" s="182">
        <v>0</v>
      </c>
      <c r="DD70" s="182">
        <v>0</v>
      </c>
      <c r="DE70" s="182">
        <v>0</v>
      </c>
      <c r="DF70" s="182">
        <v>0</v>
      </c>
      <c r="DG70" s="182">
        <v>0</v>
      </c>
      <c r="DH70" s="182">
        <v>0</v>
      </c>
      <c r="DI70" s="182">
        <v>0</v>
      </c>
      <c r="DJ70" s="182">
        <v>0</v>
      </c>
      <c r="DK70" s="182">
        <v>0</v>
      </c>
      <c r="DL70" s="182">
        <v>0</v>
      </c>
      <c r="DM70" s="182">
        <v>0</v>
      </c>
      <c r="DN70" s="182">
        <v>0</v>
      </c>
      <c r="DO70" s="182">
        <v>0</v>
      </c>
      <c r="DP70" s="182">
        <v>0</v>
      </c>
      <c r="DQ70" s="182">
        <v>0</v>
      </c>
      <c r="DR70" s="182">
        <v>0</v>
      </c>
      <c r="DS70" s="182">
        <v>0</v>
      </c>
      <c r="DT70" s="182">
        <v>0</v>
      </c>
      <c r="DU70" s="182">
        <v>0</v>
      </c>
      <c r="DV70" s="182">
        <v>0</v>
      </c>
      <c r="DW70" s="182">
        <v>0</v>
      </c>
      <c r="DX70" s="182">
        <v>0</v>
      </c>
      <c r="DY70" s="182">
        <v>0</v>
      </c>
      <c r="DZ70" s="182">
        <v>0</v>
      </c>
      <c r="EA70" s="182">
        <v>0</v>
      </c>
      <c r="EB70" s="182">
        <v>0</v>
      </c>
      <c r="EC70" s="182">
        <v>0</v>
      </c>
      <c r="ED70" s="182">
        <v>0</v>
      </c>
      <c r="EE70" s="182">
        <v>0</v>
      </c>
      <c r="EF70" s="182">
        <v>0</v>
      </c>
      <c r="EG70" s="182">
        <v>0</v>
      </c>
      <c r="EH70" s="182">
        <v>0</v>
      </c>
      <c r="EI70" s="182">
        <v>0</v>
      </c>
      <c r="EJ70" s="182">
        <v>0</v>
      </c>
      <c r="EK70" s="182">
        <v>0</v>
      </c>
      <c r="EL70" s="182">
        <v>0</v>
      </c>
      <c r="EM70" s="182">
        <v>0</v>
      </c>
      <c r="EN70" s="182">
        <v>0</v>
      </c>
      <c r="EO70" s="182">
        <v>0</v>
      </c>
      <c r="EP70" s="182">
        <v>0</v>
      </c>
      <c r="EQ70" s="182">
        <v>0</v>
      </c>
      <c r="ER70" s="182">
        <v>0</v>
      </c>
      <c r="ES70" s="182">
        <v>0</v>
      </c>
      <c r="ET70" s="182">
        <v>0</v>
      </c>
      <c r="EU70" s="182">
        <v>0</v>
      </c>
      <c r="EV70" s="182">
        <v>0</v>
      </c>
      <c r="EW70" s="182">
        <v>0</v>
      </c>
      <c r="EX70" s="182">
        <v>0</v>
      </c>
      <c r="EY70" s="182">
        <v>0</v>
      </c>
      <c r="EZ70" s="182">
        <v>0</v>
      </c>
      <c r="FA70" s="182">
        <v>0</v>
      </c>
      <c r="FB70" s="183">
        <v>0</v>
      </c>
    </row>
    <row r="71" spans="2:158" ht="12.75" customHeight="1" x14ac:dyDescent="0.3">
      <c r="B71" s="199" t="s">
        <v>3881</v>
      </c>
      <c r="C71" s="340"/>
      <c r="D71" s="182">
        <v>0</v>
      </c>
      <c r="E71" s="182">
        <v>0</v>
      </c>
      <c r="F71" s="182">
        <v>0</v>
      </c>
      <c r="G71" s="182">
        <v>0</v>
      </c>
      <c r="H71" s="182">
        <v>0</v>
      </c>
      <c r="I71" s="182">
        <v>0</v>
      </c>
      <c r="J71" s="182">
        <v>0</v>
      </c>
      <c r="K71" s="182">
        <v>0</v>
      </c>
      <c r="L71" s="182">
        <v>0</v>
      </c>
      <c r="M71" s="182">
        <v>0</v>
      </c>
      <c r="N71" s="182">
        <v>0</v>
      </c>
      <c r="O71" s="182">
        <v>0</v>
      </c>
      <c r="P71" s="182">
        <v>0</v>
      </c>
      <c r="Q71" s="182">
        <v>0</v>
      </c>
      <c r="R71" s="182">
        <v>0</v>
      </c>
      <c r="S71" s="182">
        <v>0</v>
      </c>
      <c r="T71" s="177">
        <v>0</v>
      </c>
      <c r="U71" s="177">
        <v>0</v>
      </c>
      <c r="V71" s="176">
        <v>0</v>
      </c>
      <c r="W71" s="182">
        <v>0</v>
      </c>
      <c r="X71" s="182">
        <v>0</v>
      </c>
      <c r="Y71" s="182">
        <v>0</v>
      </c>
      <c r="Z71" s="182">
        <v>0</v>
      </c>
      <c r="AA71" s="182">
        <v>0</v>
      </c>
      <c r="AB71" s="182">
        <v>0</v>
      </c>
      <c r="AC71" s="182">
        <v>0</v>
      </c>
      <c r="AD71" s="182">
        <v>0</v>
      </c>
      <c r="AE71" s="182">
        <v>0</v>
      </c>
      <c r="AF71" s="182">
        <v>0</v>
      </c>
      <c r="AG71" s="182">
        <v>0</v>
      </c>
      <c r="AH71" s="182">
        <v>0</v>
      </c>
      <c r="AI71" s="182">
        <v>0</v>
      </c>
      <c r="AJ71" s="182">
        <v>0</v>
      </c>
      <c r="AK71" s="182">
        <v>0</v>
      </c>
      <c r="AL71" s="182">
        <v>0</v>
      </c>
      <c r="AM71" s="182">
        <v>0</v>
      </c>
      <c r="AN71" s="182">
        <v>0</v>
      </c>
      <c r="AO71" s="182">
        <v>0</v>
      </c>
      <c r="AP71" s="182">
        <v>0</v>
      </c>
      <c r="AQ71" s="182">
        <v>0</v>
      </c>
      <c r="AR71" s="182">
        <v>0</v>
      </c>
      <c r="AS71" s="182">
        <v>0</v>
      </c>
      <c r="AT71" s="182">
        <v>0</v>
      </c>
      <c r="AU71" s="177">
        <v>0</v>
      </c>
      <c r="AV71" s="177">
        <v>0</v>
      </c>
      <c r="AW71" s="177">
        <v>0</v>
      </c>
      <c r="AX71" s="176">
        <v>0</v>
      </c>
      <c r="AY71" s="177">
        <v>0</v>
      </c>
      <c r="AZ71" s="177">
        <v>0</v>
      </c>
      <c r="BA71" s="177">
        <v>0</v>
      </c>
      <c r="BB71" s="177">
        <f>k.w0CD.sd0CD</f>
        <v>7.4771441879336588E-11</v>
      </c>
      <c r="BC71" s="177">
        <v>0</v>
      </c>
      <c r="BD71" s="177">
        <v>0</v>
      </c>
      <c r="BE71" s="177">
        <v>0</v>
      </c>
      <c r="BF71" s="177">
        <v>0</v>
      </c>
      <c r="BG71" s="177">
        <v>0</v>
      </c>
      <c r="BH71" s="177">
        <v>0</v>
      </c>
      <c r="BI71" s="177">
        <v>0</v>
      </c>
      <c r="BJ71" s="177">
        <v>0</v>
      </c>
      <c r="BK71" s="177">
        <v>0</v>
      </c>
      <c r="BL71" s="177">
        <v>0</v>
      </c>
      <c r="BM71" s="176">
        <v>0</v>
      </c>
      <c r="BN71" s="181">
        <f>-k.sd0CD-SUM(BN$9:BN70,BN72:BN$163)</f>
        <v>-1.2540031911792764E-8</v>
      </c>
      <c r="BO71" s="321">
        <f>kdis.sd0S.sd0D</f>
        <v>0</v>
      </c>
      <c r="BP71" s="321">
        <f>kdis.sd0A.sd0D</f>
        <v>0</v>
      </c>
      <c r="BQ71" s="322">
        <f>kdis.sd0P.sd0D</f>
        <v>0</v>
      </c>
      <c r="BR71" s="177">
        <v>0</v>
      </c>
      <c r="BS71" s="177">
        <v>0</v>
      </c>
      <c r="BT71" s="182">
        <v>0</v>
      </c>
      <c r="BU71" s="182">
        <v>0</v>
      </c>
      <c r="BV71" s="177">
        <v>0</v>
      </c>
      <c r="BW71" s="177">
        <v>0</v>
      </c>
      <c r="BX71" s="177">
        <v>0</v>
      </c>
      <c r="BY71" s="176">
        <v>0</v>
      </c>
      <c r="BZ71" s="182">
        <v>0</v>
      </c>
      <c r="CA71" s="182">
        <v>0</v>
      </c>
      <c r="CB71" s="182">
        <v>0</v>
      </c>
      <c r="CC71" s="182">
        <v>0</v>
      </c>
      <c r="CD71" s="182">
        <v>0</v>
      </c>
      <c r="CE71" s="182">
        <v>0</v>
      </c>
      <c r="CF71" s="182">
        <v>0</v>
      </c>
      <c r="CG71" s="182">
        <v>0</v>
      </c>
      <c r="CH71" s="182">
        <v>0</v>
      </c>
      <c r="CI71" s="182">
        <v>0</v>
      </c>
      <c r="CJ71" s="182">
        <v>0</v>
      </c>
      <c r="CK71" s="182">
        <v>0</v>
      </c>
      <c r="CL71" s="182">
        <v>0</v>
      </c>
      <c r="CM71" s="182">
        <v>0</v>
      </c>
      <c r="CN71" s="182">
        <v>0</v>
      </c>
      <c r="CO71" s="182">
        <v>0</v>
      </c>
      <c r="CP71" s="182">
        <v>0</v>
      </c>
      <c r="CQ71" s="182">
        <v>0</v>
      </c>
      <c r="CR71" s="182">
        <v>0</v>
      </c>
      <c r="CS71" s="177">
        <v>0</v>
      </c>
      <c r="CT71" s="177">
        <v>0</v>
      </c>
      <c r="CU71" s="177">
        <v>0</v>
      </c>
      <c r="CV71" s="176">
        <v>0</v>
      </c>
      <c r="CW71" s="182">
        <v>0</v>
      </c>
      <c r="CX71" s="182">
        <v>0</v>
      </c>
      <c r="CY71" s="182">
        <v>0</v>
      </c>
      <c r="CZ71" s="182">
        <v>0</v>
      </c>
      <c r="DA71" s="182">
        <v>0</v>
      </c>
      <c r="DB71" s="182">
        <v>0</v>
      </c>
      <c r="DC71" s="182">
        <v>0</v>
      </c>
      <c r="DD71" s="182">
        <v>0</v>
      </c>
      <c r="DE71" s="182">
        <v>0</v>
      </c>
      <c r="DF71" s="182">
        <v>0</v>
      </c>
      <c r="DG71" s="182">
        <v>0</v>
      </c>
      <c r="DH71" s="182">
        <v>0</v>
      </c>
      <c r="DI71" s="182">
        <v>0</v>
      </c>
      <c r="DJ71" s="182">
        <v>0</v>
      </c>
      <c r="DK71" s="182">
        <v>0</v>
      </c>
      <c r="DL71" s="182">
        <v>0</v>
      </c>
      <c r="DM71" s="182">
        <v>0</v>
      </c>
      <c r="DN71" s="182">
        <v>0</v>
      </c>
      <c r="DO71" s="182">
        <v>0</v>
      </c>
      <c r="DP71" s="182">
        <v>0</v>
      </c>
      <c r="DQ71" s="182">
        <v>0</v>
      </c>
      <c r="DR71" s="182">
        <v>0</v>
      </c>
      <c r="DS71" s="182">
        <v>0</v>
      </c>
      <c r="DT71" s="182">
        <v>0</v>
      </c>
      <c r="DU71" s="182">
        <v>0</v>
      </c>
      <c r="DV71" s="182">
        <v>0</v>
      </c>
      <c r="DW71" s="182">
        <v>0</v>
      </c>
      <c r="DX71" s="182">
        <v>0</v>
      </c>
      <c r="DY71" s="182">
        <v>0</v>
      </c>
      <c r="DZ71" s="182">
        <v>0</v>
      </c>
      <c r="EA71" s="182">
        <v>0</v>
      </c>
      <c r="EB71" s="182">
        <v>0</v>
      </c>
      <c r="EC71" s="182">
        <v>0</v>
      </c>
      <c r="ED71" s="182">
        <v>0</v>
      </c>
      <c r="EE71" s="182">
        <v>0</v>
      </c>
      <c r="EF71" s="182">
        <v>0</v>
      </c>
      <c r="EG71" s="182">
        <v>0</v>
      </c>
      <c r="EH71" s="182">
        <v>0</v>
      </c>
      <c r="EI71" s="182">
        <v>0</v>
      </c>
      <c r="EJ71" s="182">
        <v>0</v>
      </c>
      <c r="EK71" s="182">
        <v>0</v>
      </c>
      <c r="EL71" s="182">
        <v>0</v>
      </c>
      <c r="EM71" s="182">
        <v>0</v>
      </c>
      <c r="EN71" s="182">
        <v>0</v>
      </c>
      <c r="EO71" s="182">
        <v>0</v>
      </c>
      <c r="EP71" s="182">
        <v>0</v>
      </c>
      <c r="EQ71" s="182">
        <v>0</v>
      </c>
      <c r="ER71" s="182">
        <v>0</v>
      </c>
      <c r="ES71" s="182">
        <v>0</v>
      </c>
      <c r="ET71" s="182">
        <v>0</v>
      </c>
      <c r="EU71" s="182">
        <v>0</v>
      </c>
      <c r="EV71" s="182">
        <v>0</v>
      </c>
      <c r="EW71" s="182">
        <v>0</v>
      </c>
      <c r="EX71" s="182">
        <v>0</v>
      </c>
      <c r="EY71" s="182">
        <v>0</v>
      </c>
      <c r="EZ71" s="182">
        <v>0</v>
      </c>
      <c r="FA71" s="182">
        <v>0</v>
      </c>
      <c r="FB71" s="183">
        <v>0</v>
      </c>
    </row>
    <row r="72" spans="2:158" ht="12.75" customHeight="1" x14ac:dyDescent="0.3">
      <c r="B72" s="199" t="s">
        <v>3882</v>
      </c>
      <c r="C72" s="340"/>
      <c r="D72" s="182">
        <v>0</v>
      </c>
      <c r="E72" s="182">
        <v>0</v>
      </c>
      <c r="F72" s="182">
        <v>0</v>
      </c>
      <c r="G72" s="182">
        <v>0</v>
      </c>
      <c r="H72" s="182">
        <v>0</v>
      </c>
      <c r="I72" s="182">
        <v>0</v>
      </c>
      <c r="J72" s="182">
        <v>0</v>
      </c>
      <c r="K72" s="182">
        <v>0</v>
      </c>
      <c r="L72" s="182">
        <v>0</v>
      </c>
      <c r="M72" s="182">
        <v>0</v>
      </c>
      <c r="N72" s="182">
        <v>0</v>
      </c>
      <c r="O72" s="182">
        <v>0</v>
      </c>
      <c r="P72" s="182">
        <v>0</v>
      </c>
      <c r="Q72" s="182">
        <v>0</v>
      </c>
      <c r="R72" s="182">
        <v>0</v>
      </c>
      <c r="S72" s="182">
        <v>0</v>
      </c>
      <c r="T72" s="177">
        <v>0</v>
      </c>
      <c r="U72" s="177">
        <v>0</v>
      </c>
      <c r="V72" s="176">
        <v>0</v>
      </c>
      <c r="W72" s="182">
        <v>0</v>
      </c>
      <c r="X72" s="182">
        <v>0</v>
      </c>
      <c r="Y72" s="182">
        <v>0</v>
      </c>
      <c r="Z72" s="182">
        <v>0</v>
      </c>
      <c r="AA72" s="182">
        <v>0</v>
      </c>
      <c r="AB72" s="182">
        <v>0</v>
      </c>
      <c r="AC72" s="182">
        <v>0</v>
      </c>
      <c r="AD72" s="182">
        <v>0</v>
      </c>
      <c r="AE72" s="182">
        <v>0</v>
      </c>
      <c r="AF72" s="182">
        <v>0</v>
      </c>
      <c r="AG72" s="182">
        <v>0</v>
      </c>
      <c r="AH72" s="182">
        <v>0</v>
      </c>
      <c r="AI72" s="182">
        <v>0</v>
      </c>
      <c r="AJ72" s="182">
        <v>0</v>
      </c>
      <c r="AK72" s="182">
        <v>0</v>
      </c>
      <c r="AL72" s="182">
        <v>0</v>
      </c>
      <c r="AM72" s="182">
        <v>0</v>
      </c>
      <c r="AN72" s="182">
        <v>0</v>
      </c>
      <c r="AO72" s="182">
        <v>0</v>
      </c>
      <c r="AP72" s="182">
        <v>0</v>
      </c>
      <c r="AQ72" s="182">
        <v>0</v>
      </c>
      <c r="AR72" s="182">
        <v>0</v>
      </c>
      <c r="AS72" s="182">
        <v>0</v>
      </c>
      <c r="AT72" s="182">
        <v>0</v>
      </c>
      <c r="AU72" s="177">
        <v>0</v>
      </c>
      <c r="AV72" s="177">
        <v>0</v>
      </c>
      <c r="AW72" s="177">
        <v>0</v>
      </c>
      <c r="AX72" s="176">
        <v>0</v>
      </c>
      <c r="AY72" s="177">
        <v>0</v>
      </c>
      <c r="AZ72" s="177">
        <v>0</v>
      </c>
      <c r="BA72" s="177">
        <v>0</v>
      </c>
      <c r="BB72" s="177">
        <v>0</v>
      </c>
      <c r="BC72" s="177">
        <f>k.w0CS.sd0CS</f>
        <v>7.0316966067864297E-12</v>
      </c>
      <c r="BD72" s="177">
        <v>0</v>
      </c>
      <c r="BE72" s="177">
        <v>0</v>
      </c>
      <c r="BF72" s="177">
        <v>0</v>
      </c>
      <c r="BG72" s="177">
        <v>0</v>
      </c>
      <c r="BH72" s="177">
        <v>0</v>
      </c>
      <c r="BI72" s="177">
        <v>0</v>
      </c>
      <c r="BJ72" s="177">
        <v>0</v>
      </c>
      <c r="BK72" s="177">
        <v>0</v>
      </c>
      <c r="BL72" s="177">
        <v>0</v>
      </c>
      <c r="BM72" s="176">
        <v>0</v>
      </c>
      <c r="BN72" s="312">
        <v>0</v>
      </c>
      <c r="BO72" s="181">
        <f>-k.sd0CS-SUM(BO$9:BO71,BO73:BO$163)</f>
        <v>-1.4798461934120476E-3</v>
      </c>
      <c r="BP72" s="176">
        <v>0</v>
      </c>
      <c r="BQ72" s="306">
        <v>0</v>
      </c>
      <c r="BR72" s="177">
        <v>0</v>
      </c>
      <c r="BS72" s="177">
        <v>0</v>
      </c>
      <c r="BT72" s="182">
        <v>0</v>
      </c>
      <c r="BU72" s="182">
        <v>0</v>
      </c>
      <c r="BV72" s="177">
        <v>0</v>
      </c>
      <c r="BW72" s="177">
        <v>0</v>
      </c>
      <c r="BX72" s="177">
        <v>0</v>
      </c>
      <c r="BY72" s="176">
        <v>0</v>
      </c>
      <c r="BZ72" s="182">
        <v>0</v>
      </c>
      <c r="CA72" s="182">
        <v>0</v>
      </c>
      <c r="CB72" s="182">
        <v>0</v>
      </c>
      <c r="CC72" s="182">
        <v>0</v>
      </c>
      <c r="CD72" s="182">
        <v>0</v>
      </c>
      <c r="CE72" s="182">
        <v>0</v>
      </c>
      <c r="CF72" s="182">
        <v>0</v>
      </c>
      <c r="CG72" s="182">
        <v>0</v>
      </c>
      <c r="CH72" s="182">
        <v>0</v>
      </c>
      <c r="CI72" s="182">
        <v>0</v>
      </c>
      <c r="CJ72" s="182">
        <v>0</v>
      </c>
      <c r="CK72" s="182">
        <v>0</v>
      </c>
      <c r="CL72" s="182">
        <v>0</v>
      </c>
      <c r="CM72" s="182">
        <v>0</v>
      </c>
      <c r="CN72" s="182">
        <v>0</v>
      </c>
      <c r="CO72" s="182">
        <v>0</v>
      </c>
      <c r="CP72" s="182">
        <v>0</v>
      </c>
      <c r="CQ72" s="182">
        <v>0</v>
      </c>
      <c r="CR72" s="182">
        <v>0</v>
      </c>
      <c r="CS72" s="177">
        <v>0</v>
      </c>
      <c r="CT72" s="177">
        <v>0</v>
      </c>
      <c r="CU72" s="177">
        <v>0</v>
      </c>
      <c r="CV72" s="176">
        <v>0</v>
      </c>
      <c r="CW72" s="182">
        <v>0</v>
      </c>
      <c r="CX72" s="182">
        <v>0</v>
      </c>
      <c r="CY72" s="182">
        <v>0</v>
      </c>
      <c r="CZ72" s="182">
        <v>0</v>
      </c>
      <c r="DA72" s="182">
        <v>0</v>
      </c>
      <c r="DB72" s="182">
        <v>0</v>
      </c>
      <c r="DC72" s="182">
        <v>0</v>
      </c>
      <c r="DD72" s="182">
        <v>0</v>
      </c>
      <c r="DE72" s="182">
        <v>0</v>
      </c>
      <c r="DF72" s="182">
        <v>0</v>
      </c>
      <c r="DG72" s="182">
        <v>0</v>
      </c>
      <c r="DH72" s="182">
        <v>0</v>
      </c>
      <c r="DI72" s="182">
        <v>0</v>
      </c>
      <c r="DJ72" s="182">
        <v>0</v>
      </c>
      <c r="DK72" s="182">
        <v>0</v>
      </c>
      <c r="DL72" s="182">
        <v>0</v>
      </c>
      <c r="DM72" s="182">
        <v>0</v>
      </c>
      <c r="DN72" s="182">
        <v>0</v>
      </c>
      <c r="DO72" s="182">
        <v>0</v>
      </c>
      <c r="DP72" s="182">
        <v>0</v>
      </c>
      <c r="DQ72" s="182">
        <v>0</v>
      </c>
      <c r="DR72" s="182">
        <v>0</v>
      </c>
      <c r="DS72" s="182">
        <v>0</v>
      </c>
      <c r="DT72" s="182">
        <v>0</v>
      </c>
      <c r="DU72" s="182">
        <v>0</v>
      </c>
      <c r="DV72" s="182">
        <v>0</v>
      </c>
      <c r="DW72" s="182">
        <v>0</v>
      </c>
      <c r="DX72" s="182">
        <v>0</v>
      </c>
      <c r="DY72" s="182">
        <v>0</v>
      </c>
      <c r="DZ72" s="182">
        <v>0</v>
      </c>
      <c r="EA72" s="182">
        <v>0</v>
      </c>
      <c r="EB72" s="182">
        <v>0</v>
      </c>
      <c r="EC72" s="182">
        <v>0</v>
      </c>
      <c r="ED72" s="182">
        <v>0</v>
      </c>
      <c r="EE72" s="182">
        <v>0</v>
      </c>
      <c r="EF72" s="182">
        <v>0</v>
      </c>
      <c r="EG72" s="182">
        <v>0</v>
      </c>
      <c r="EH72" s="182">
        <v>0</v>
      </c>
      <c r="EI72" s="182">
        <v>0</v>
      </c>
      <c r="EJ72" s="182">
        <v>0</v>
      </c>
      <c r="EK72" s="182">
        <v>0</v>
      </c>
      <c r="EL72" s="182">
        <v>0</v>
      </c>
      <c r="EM72" s="182">
        <v>0</v>
      </c>
      <c r="EN72" s="182">
        <v>0</v>
      </c>
      <c r="EO72" s="182">
        <v>0</v>
      </c>
      <c r="EP72" s="182">
        <v>0</v>
      </c>
      <c r="EQ72" s="182">
        <v>0</v>
      </c>
      <c r="ER72" s="182">
        <v>0</v>
      </c>
      <c r="ES72" s="182">
        <v>0</v>
      </c>
      <c r="ET72" s="182">
        <v>0</v>
      </c>
      <c r="EU72" s="182">
        <v>0</v>
      </c>
      <c r="EV72" s="182">
        <v>0</v>
      </c>
      <c r="EW72" s="182">
        <v>0</v>
      </c>
      <c r="EX72" s="182">
        <v>0</v>
      </c>
      <c r="EY72" s="182">
        <v>0</v>
      </c>
      <c r="EZ72" s="182">
        <v>0</v>
      </c>
      <c r="FA72" s="182">
        <v>0</v>
      </c>
      <c r="FB72" s="183">
        <v>0</v>
      </c>
    </row>
    <row r="73" spans="2:158" ht="12.75" customHeight="1" x14ac:dyDescent="0.3">
      <c r="B73" s="199" t="s">
        <v>3883</v>
      </c>
      <c r="C73" s="340"/>
      <c r="D73" s="182">
        <v>0</v>
      </c>
      <c r="E73" s="182">
        <v>0</v>
      </c>
      <c r="F73" s="182">
        <v>0</v>
      </c>
      <c r="G73" s="182">
        <v>0</v>
      </c>
      <c r="H73" s="182">
        <v>0</v>
      </c>
      <c r="I73" s="182">
        <v>0</v>
      </c>
      <c r="J73" s="182">
        <v>0</v>
      </c>
      <c r="K73" s="182">
        <v>0</v>
      </c>
      <c r="L73" s="182">
        <v>0</v>
      </c>
      <c r="M73" s="182">
        <v>0</v>
      </c>
      <c r="N73" s="182">
        <v>0</v>
      </c>
      <c r="O73" s="182">
        <v>0</v>
      </c>
      <c r="P73" s="182">
        <v>0</v>
      </c>
      <c r="Q73" s="182">
        <v>0</v>
      </c>
      <c r="R73" s="182">
        <v>0</v>
      </c>
      <c r="S73" s="182">
        <v>0</v>
      </c>
      <c r="T73" s="177">
        <v>0</v>
      </c>
      <c r="U73" s="177">
        <v>0</v>
      </c>
      <c r="V73" s="176">
        <v>0</v>
      </c>
      <c r="W73" s="182">
        <v>0</v>
      </c>
      <c r="X73" s="182">
        <v>0</v>
      </c>
      <c r="Y73" s="182">
        <v>0</v>
      </c>
      <c r="Z73" s="182">
        <v>0</v>
      </c>
      <c r="AA73" s="182">
        <v>0</v>
      </c>
      <c r="AB73" s="182">
        <v>0</v>
      </c>
      <c r="AC73" s="182">
        <v>0</v>
      </c>
      <c r="AD73" s="182">
        <v>0</v>
      </c>
      <c r="AE73" s="182">
        <v>0</v>
      </c>
      <c r="AF73" s="182">
        <v>0</v>
      </c>
      <c r="AG73" s="182">
        <v>0</v>
      </c>
      <c r="AH73" s="182">
        <v>0</v>
      </c>
      <c r="AI73" s="182">
        <v>0</v>
      </c>
      <c r="AJ73" s="182">
        <v>0</v>
      </c>
      <c r="AK73" s="182">
        <v>0</v>
      </c>
      <c r="AL73" s="182">
        <v>0</v>
      </c>
      <c r="AM73" s="182">
        <v>0</v>
      </c>
      <c r="AN73" s="182">
        <v>0</v>
      </c>
      <c r="AO73" s="182">
        <v>0</v>
      </c>
      <c r="AP73" s="182">
        <v>0</v>
      </c>
      <c r="AQ73" s="182">
        <v>0</v>
      </c>
      <c r="AR73" s="182">
        <v>0</v>
      </c>
      <c r="AS73" s="182">
        <v>0</v>
      </c>
      <c r="AT73" s="182">
        <v>0</v>
      </c>
      <c r="AU73" s="177">
        <v>0</v>
      </c>
      <c r="AV73" s="177">
        <v>0</v>
      </c>
      <c r="AW73" s="177">
        <v>0</v>
      </c>
      <c r="AX73" s="176">
        <v>0</v>
      </c>
      <c r="AY73" s="177">
        <v>0</v>
      </c>
      <c r="AZ73" s="177">
        <v>0</v>
      </c>
      <c r="BA73" s="177">
        <v>0</v>
      </c>
      <c r="BB73" s="177">
        <v>0</v>
      </c>
      <c r="BC73" s="177">
        <v>0</v>
      </c>
      <c r="BD73" s="177">
        <f>k.w0CA.sd0CA</f>
        <v>4.9092029860631698E-10</v>
      </c>
      <c r="BE73" s="177">
        <v>0</v>
      </c>
      <c r="BF73" s="177">
        <v>0</v>
      </c>
      <c r="BG73" s="177">
        <v>0</v>
      </c>
      <c r="BH73" s="177">
        <v>0</v>
      </c>
      <c r="BI73" s="177">
        <v>0</v>
      </c>
      <c r="BJ73" s="177">
        <v>0</v>
      </c>
      <c r="BK73" s="177">
        <v>0</v>
      </c>
      <c r="BL73" s="177">
        <v>0</v>
      </c>
      <c r="BM73" s="176">
        <v>0</v>
      </c>
      <c r="BN73" s="312">
        <v>0</v>
      </c>
      <c r="BO73" s="177">
        <f>k.sd0CS.sd0CA</f>
        <v>3.1607723057386811E-4</v>
      </c>
      <c r="BP73" s="181">
        <f>-k.sd0CA-SUM(BP$9:BP72,BP74:BP$163)</f>
        <v>-2.8742283951535594E-9</v>
      </c>
      <c r="BQ73" s="306">
        <v>0</v>
      </c>
      <c r="BR73" s="177">
        <v>0</v>
      </c>
      <c r="BS73" s="177">
        <v>0</v>
      </c>
      <c r="BT73" s="182">
        <v>0</v>
      </c>
      <c r="BU73" s="182">
        <v>0</v>
      </c>
      <c r="BV73" s="177">
        <v>0</v>
      </c>
      <c r="BW73" s="177">
        <v>0</v>
      </c>
      <c r="BX73" s="177">
        <v>0</v>
      </c>
      <c r="BY73" s="176">
        <v>0</v>
      </c>
      <c r="BZ73" s="182">
        <v>0</v>
      </c>
      <c r="CA73" s="182">
        <v>0</v>
      </c>
      <c r="CB73" s="182">
        <v>0</v>
      </c>
      <c r="CC73" s="182">
        <v>0</v>
      </c>
      <c r="CD73" s="182">
        <v>0</v>
      </c>
      <c r="CE73" s="182">
        <v>0</v>
      </c>
      <c r="CF73" s="182">
        <v>0</v>
      </c>
      <c r="CG73" s="182">
        <v>0</v>
      </c>
      <c r="CH73" s="182">
        <v>0</v>
      </c>
      <c r="CI73" s="182">
        <v>0</v>
      </c>
      <c r="CJ73" s="182">
        <v>0</v>
      </c>
      <c r="CK73" s="182">
        <v>0</v>
      </c>
      <c r="CL73" s="182">
        <v>0</v>
      </c>
      <c r="CM73" s="182">
        <v>0</v>
      </c>
      <c r="CN73" s="182">
        <v>0</v>
      </c>
      <c r="CO73" s="182">
        <v>0</v>
      </c>
      <c r="CP73" s="182">
        <v>0</v>
      </c>
      <c r="CQ73" s="182">
        <v>0</v>
      </c>
      <c r="CR73" s="182">
        <v>0</v>
      </c>
      <c r="CS73" s="177">
        <v>0</v>
      </c>
      <c r="CT73" s="177">
        <v>0</v>
      </c>
      <c r="CU73" s="177">
        <v>0</v>
      </c>
      <c r="CV73" s="176">
        <v>0</v>
      </c>
      <c r="CW73" s="182">
        <v>0</v>
      </c>
      <c r="CX73" s="182">
        <v>0</v>
      </c>
      <c r="CY73" s="182">
        <v>0</v>
      </c>
      <c r="CZ73" s="182">
        <v>0</v>
      </c>
      <c r="DA73" s="182">
        <v>0</v>
      </c>
      <c r="DB73" s="182">
        <v>0</v>
      </c>
      <c r="DC73" s="182">
        <v>0</v>
      </c>
      <c r="DD73" s="182">
        <v>0</v>
      </c>
      <c r="DE73" s="182">
        <v>0</v>
      </c>
      <c r="DF73" s="182">
        <v>0</v>
      </c>
      <c r="DG73" s="182">
        <v>0</v>
      </c>
      <c r="DH73" s="182">
        <v>0</v>
      </c>
      <c r="DI73" s="182">
        <v>0</v>
      </c>
      <c r="DJ73" s="182">
        <v>0</v>
      </c>
      <c r="DK73" s="182">
        <v>0</v>
      </c>
      <c r="DL73" s="182">
        <v>0</v>
      </c>
      <c r="DM73" s="182">
        <v>0</v>
      </c>
      <c r="DN73" s="182">
        <v>0</v>
      </c>
      <c r="DO73" s="182">
        <v>0</v>
      </c>
      <c r="DP73" s="182">
        <v>0</v>
      </c>
      <c r="DQ73" s="182">
        <v>0</v>
      </c>
      <c r="DR73" s="182">
        <v>0</v>
      </c>
      <c r="DS73" s="182">
        <v>0</v>
      </c>
      <c r="DT73" s="182">
        <v>0</v>
      </c>
      <c r="DU73" s="182">
        <v>0</v>
      </c>
      <c r="DV73" s="182">
        <v>0</v>
      </c>
      <c r="DW73" s="182">
        <v>0</v>
      </c>
      <c r="DX73" s="182">
        <v>0</v>
      </c>
      <c r="DY73" s="182">
        <v>0</v>
      </c>
      <c r="DZ73" s="182">
        <v>0</v>
      </c>
      <c r="EA73" s="182">
        <v>0</v>
      </c>
      <c r="EB73" s="182">
        <v>0</v>
      </c>
      <c r="EC73" s="182">
        <v>0</v>
      </c>
      <c r="ED73" s="182">
        <v>0</v>
      </c>
      <c r="EE73" s="182">
        <v>0</v>
      </c>
      <c r="EF73" s="182">
        <v>0</v>
      </c>
      <c r="EG73" s="182">
        <v>0</v>
      </c>
      <c r="EH73" s="182">
        <v>0</v>
      </c>
      <c r="EI73" s="182">
        <v>0</v>
      </c>
      <c r="EJ73" s="182">
        <v>0</v>
      </c>
      <c r="EK73" s="182">
        <v>0</v>
      </c>
      <c r="EL73" s="182">
        <v>0</v>
      </c>
      <c r="EM73" s="182">
        <v>0</v>
      </c>
      <c r="EN73" s="182">
        <v>0</v>
      </c>
      <c r="EO73" s="182">
        <v>0</v>
      </c>
      <c r="EP73" s="182">
        <v>0</v>
      </c>
      <c r="EQ73" s="182">
        <v>0</v>
      </c>
      <c r="ER73" s="182">
        <v>0</v>
      </c>
      <c r="ES73" s="182">
        <v>0</v>
      </c>
      <c r="ET73" s="182">
        <v>0</v>
      </c>
      <c r="EU73" s="182">
        <v>0</v>
      </c>
      <c r="EV73" s="182">
        <v>0</v>
      </c>
      <c r="EW73" s="182">
        <v>0</v>
      </c>
      <c r="EX73" s="182">
        <v>0</v>
      </c>
      <c r="EY73" s="182">
        <v>0</v>
      </c>
      <c r="EZ73" s="182">
        <v>0</v>
      </c>
      <c r="FA73" s="182">
        <v>0</v>
      </c>
      <c r="FB73" s="183">
        <v>0</v>
      </c>
    </row>
    <row r="74" spans="2:158" ht="12.75" customHeight="1" x14ac:dyDescent="0.3">
      <c r="B74" s="199" t="s">
        <v>3884</v>
      </c>
      <c r="C74" s="340"/>
      <c r="D74" s="182">
        <v>0</v>
      </c>
      <c r="E74" s="182">
        <v>0</v>
      </c>
      <c r="F74" s="182">
        <v>0</v>
      </c>
      <c r="G74" s="182">
        <v>0</v>
      </c>
      <c r="H74" s="182">
        <v>0</v>
      </c>
      <c r="I74" s="182">
        <v>0</v>
      </c>
      <c r="J74" s="182">
        <v>0</v>
      </c>
      <c r="K74" s="182">
        <v>0</v>
      </c>
      <c r="L74" s="182">
        <v>0</v>
      </c>
      <c r="M74" s="182">
        <v>0</v>
      </c>
      <c r="N74" s="182">
        <v>0</v>
      </c>
      <c r="O74" s="182">
        <v>0</v>
      </c>
      <c r="P74" s="182">
        <v>0</v>
      </c>
      <c r="Q74" s="182">
        <v>0</v>
      </c>
      <c r="R74" s="182">
        <v>0</v>
      </c>
      <c r="S74" s="182">
        <v>0</v>
      </c>
      <c r="T74" s="177">
        <v>0</v>
      </c>
      <c r="U74" s="177">
        <v>0</v>
      </c>
      <c r="V74" s="176">
        <v>0</v>
      </c>
      <c r="W74" s="182">
        <v>0</v>
      </c>
      <c r="X74" s="182">
        <v>0</v>
      </c>
      <c r="Y74" s="182">
        <v>0</v>
      </c>
      <c r="Z74" s="182">
        <v>0</v>
      </c>
      <c r="AA74" s="182">
        <v>0</v>
      </c>
      <c r="AB74" s="182">
        <v>0</v>
      </c>
      <c r="AC74" s="182">
        <v>0</v>
      </c>
      <c r="AD74" s="182">
        <v>0</v>
      </c>
      <c r="AE74" s="182">
        <v>0</v>
      </c>
      <c r="AF74" s="182">
        <v>0</v>
      </c>
      <c r="AG74" s="182">
        <v>0</v>
      </c>
      <c r="AH74" s="182">
        <v>0</v>
      </c>
      <c r="AI74" s="182">
        <v>0</v>
      </c>
      <c r="AJ74" s="182">
        <v>0</v>
      </c>
      <c r="AK74" s="182">
        <v>0</v>
      </c>
      <c r="AL74" s="182">
        <v>0</v>
      </c>
      <c r="AM74" s="182">
        <v>0</v>
      </c>
      <c r="AN74" s="182">
        <v>0</v>
      </c>
      <c r="AO74" s="182">
        <v>0</v>
      </c>
      <c r="AP74" s="182">
        <v>0</v>
      </c>
      <c r="AQ74" s="182">
        <v>0</v>
      </c>
      <c r="AR74" s="182">
        <v>0</v>
      </c>
      <c r="AS74" s="182">
        <v>0</v>
      </c>
      <c r="AT74" s="182">
        <v>0</v>
      </c>
      <c r="AU74" s="177">
        <v>0</v>
      </c>
      <c r="AV74" s="177">
        <v>0</v>
      </c>
      <c r="AW74" s="177">
        <v>0</v>
      </c>
      <c r="AX74" s="176">
        <v>0</v>
      </c>
      <c r="AY74" s="177">
        <v>0</v>
      </c>
      <c r="AZ74" s="177">
        <v>0</v>
      </c>
      <c r="BA74" s="177">
        <v>0</v>
      </c>
      <c r="BB74" s="177">
        <v>0</v>
      </c>
      <c r="BC74" s="177">
        <v>0</v>
      </c>
      <c r="BD74" s="177">
        <v>0</v>
      </c>
      <c r="BE74" s="177">
        <f>k.w0CP.sd0CP</f>
        <v>2.9410421142483869E-7</v>
      </c>
      <c r="BF74" s="177">
        <v>0</v>
      </c>
      <c r="BG74" s="177">
        <v>0</v>
      </c>
      <c r="BH74" s="177">
        <v>0</v>
      </c>
      <c r="BI74" s="177">
        <v>0</v>
      </c>
      <c r="BJ74" s="177">
        <v>0</v>
      </c>
      <c r="BK74" s="177">
        <v>0</v>
      </c>
      <c r="BL74" s="177">
        <v>0</v>
      </c>
      <c r="BM74" s="176">
        <v>0</v>
      </c>
      <c r="BN74" s="308">
        <v>0</v>
      </c>
      <c r="BO74" s="304">
        <f>k.sd0CS.sd0CP</f>
        <v>1.1637660886097843E-3</v>
      </c>
      <c r="BP74" s="309">
        <v>0</v>
      </c>
      <c r="BQ74" s="181">
        <f>-k.sd0CP-SUM(BQ$9:BQ73,BQ75:BQ$163)</f>
        <v>-2.8742283951535594E-9</v>
      </c>
      <c r="BR74" s="177">
        <v>0</v>
      </c>
      <c r="BS74" s="177">
        <v>0</v>
      </c>
      <c r="BT74" s="182">
        <v>0</v>
      </c>
      <c r="BU74" s="182">
        <v>0</v>
      </c>
      <c r="BV74" s="177">
        <v>0</v>
      </c>
      <c r="BW74" s="177">
        <v>0</v>
      </c>
      <c r="BX74" s="177">
        <v>0</v>
      </c>
      <c r="BY74" s="176">
        <v>0</v>
      </c>
      <c r="BZ74" s="182">
        <v>0</v>
      </c>
      <c r="CA74" s="182">
        <v>0</v>
      </c>
      <c r="CB74" s="182">
        <v>0</v>
      </c>
      <c r="CC74" s="182">
        <v>0</v>
      </c>
      <c r="CD74" s="182">
        <v>0</v>
      </c>
      <c r="CE74" s="182">
        <v>0</v>
      </c>
      <c r="CF74" s="182">
        <v>0</v>
      </c>
      <c r="CG74" s="182">
        <v>0</v>
      </c>
      <c r="CH74" s="182">
        <v>0</v>
      </c>
      <c r="CI74" s="182">
        <v>0</v>
      </c>
      <c r="CJ74" s="182">
        <v>0</v>
      </c>
      <c r="CK74" s="182">
        <v>0</v>
      </c>
      <c r="CL74" s="182">
        <v>0</v>
      </c>
      <c r="CM74" s="182">
        <v>0</v>
      </c>
      <c r="CN74" s="182">
        <v>0</v>
      </c>
      <c r="CO74" s="182">
        <v>0</v>
      </c>
      <c r="CP74" s="182">
        <v>0</v>
      </c>
      <c r="CQ74" s="182">
        <v>0</v>
      </c>
      <c r="CR74" s="182">
        <v>0</v>
      </c>
      <c r="CS74" s="177">
        <v>0</v>
      </c>
      <c r="CT74" s="177">
        <v>0</v>
      </c>
      <c r="CU74" s="177">
        <v>0</v>
      </c>
      <c r="CV74" s="176">
        <v>0</v>
      </c>
      <c r="CW74" s="182">
        <v>0</v>
      </c>
      <c r="CX74" s="182">
        <v>0</v>
      </c>
      <c r="CY74" s="182">
        <v>0</v>
      </c>
      <c r="CZ74" s="182">
        <v>0</v>
      </c>
      <c r="DA74" s="182">
        <v>0</v>
      </c>
      <c r="DB74" s="182">
        <v>0</v>
      </c>
      <c r="DC74" s="182">
        <v>0</v>
      </c>
      <c r="DD74" s="182">
        <v>0</v>
      </c>
      <c r="DE74" s="182">
        <v>0</v>
      </c>
      <c r="DF74" s="182">
        <v>0</v>
      </c>
      <c r="DG74" s="182">
        <v>0</v>
      </c>
      <c r="DH74" s="182">
        <v>0</v>
      </c>
      <c r="DI74" s="182">
        <v>0</v>
      </c>
      <c r="DJ74" s="182">
        <v>0</v>
      </c>
      <c r="DK74" s="182">
        <v>0</v>
      </c>
      <c r="DL74" s="182">
        <v>0</v>
      </c>
      <c r="DM74" s="182">
        <v>0</v>
      </c>
      <c r="DN74" s="182">
        <v>0</v>
      </c>
      <c r="DO74" s="182">
        <v>0</v>
      </c>
      <c r="DP74" s="182">
        <v>0</v>
      </c>
      <c r="DQ74" s="182">
        <v>0</v>
      </c>
      <c r="DR74" s="182">
        <v>0</v>
      </c>
      <c r="DS74" s="182">
        <v>0</v>
      </c>
      <c r="DT74" s="182">
        <v>0</v>
      </c>
      <c r="DU74" s="182">
        <v>0</v>
      </c>
      <c r="DV74" s="182">
        <v>0</v>
      </c>
      <c r="DW74" s="182">
        <v>0</v>
      </c>
      <c r="DX74" s="182">
        <v>0</v>
      </c>
      <c r="DY74" s="182">
        <v>0</v>
      </c>
      <c r="DZ74" s="182">
        <v>0</v>
      </c>
      <c r="EA74" s="182">
        <v>0</v>
      </c>
      <c r="EB74" s="182">
        <v>0</v>
      </c>
      <c r="EC74" s="182">
        <v>0</v>
      </c>
      <c r="ED74" s="182">
        <v>0</v>
      </c>
      <c r="EE74" s="182">
        <v>0</v>
      </c>
      <c r="EF74" s="182">
        <v>0</v>
      </c>
      <c r="EG74" s="182">
        <v>0</v>
      </c>
      <c r="EH74" s="182">
        <v>0</v>
      </c>
      <c r="EI74" s="182">
        <v>0</v>
      </c>
      <c r="EJ74" s="182">
        <v>0</v>
      </c>
      <c r="EK74" s="182">
        <v>0</v>
      </c>
      <c r="EL74" s="182">
        <v>0</v>
      </c>
      <c r="EM74" s="182">
        <v>0</v>
      </c>
      <c r="EN74" s="182">
        <v>0</v>
      </c>
      <c r="EO74" s="182">
        <v>0</v>
      </c>
      <c r="EP74" s="182">
        <v>0</v>
      </c>
      <c r="EQ74" s="182">
        <v>0</v>
      </c>
      <c r="ER74" s="182">
        <v>0</v>
      </c>
      <c r="ES74" s="182">
        <v>0</v>
      </c>
      <c r="ET74" s="182">
        <v>0</v>
      </c>
      <c r="EU74" s="182">
        <v>0</v>
      </c>
      <c r="EV74" s="182">
        <v>0</v>
      </c>
      <c r="EW74" s="182">
        <v>0</v>
      </c>
      <c r="EX74" s="182">
        <v>0</v>
      </c>
      <c r="EY74" s="182">
        <v>0</v>
      </c>
      <c r="EZ74" s="182">
        <v>0</v>
      </c>
      <c r="FA74" s="182">
        <v>0</v>
      </c>
      <c r="FB74" s="183">
        <v>0</v>
      </c>
    </row>
    <row r="75" spans="2:158" ht="12.75" customHeight="1" x14ac:dyDescent="0.3">
      <c r="B75" s="199" t="s">
        <v>3885</v>
      </c>
      <c r="C75" s="340"/>
      <c r="D75" s="182">
        <v>0</v>
      </c>
      <c r="E75" s="182">
        <v>0</v>
      </c>
      <c r="F75" s="182">
        <v>0</v>
      </c>
      <c r="G75" s="182">
        <v>0</v>
      </c>
      <c r="H75" s="182">
        <v>0</v>
      </c>
      <c r="I75" s="182">
        <v>0</v>
      </c>
      <c r="J75" s="182">
        <v>0</v>
      </c>
      <c r="K75" s="182">
        <v>0</v>
      </c>
      <c r="L75" s="182">
        <v>0</v>
      </c>
      <c r="M75" s="182">
        <v>0</v>
      </c>
      <c r="N75" s="182">
        <v>0</v>
      </c>
      <c r="O75" s="182">
        <v>0</v>
      </c>
      <c r="P75" s="182">
        <v>0</v>
      </c>
      <c r="Q75" s="182">
        <v>0</v>
      </c>
      <c r="R75" s="182">
        <v>0</v>
      </c>
      <c r="S75" s="182">
        <v>0</v>
      </c>
      <c r="T75" s="182">
        <v>0</v>
      </c>
      <c r="U75" s="182">
        <v>0</v>
      </c>
      <c r="V75" s="182">
        <v>0</v>
      </c>
      <c r="W75" s="182">
        <v>0</v>
      </c>
      <c r="X75" s="182">
        <v>0</v>
      </c>
      <c r="Y75" s="182">
        <v>0</v>
      </c>
      <c r="Z75" s="182">
        <v>0</v>
      </c>
      <c r="AA75" s="182">
        <v>0</v>
      </c>
      <c r="AB75" s="182">
        <v>0</v>
      </c>
      <c r="AC75" s="182">
        <v>0</v>
      </c>
      <c r="AD75" s="182">
        <v>0</v>
      </c>
      <c r="AE75" s="182">
        <v>0</v>
      </c>
      <c r="AF75" s="182">
        <v>0</v>
      </c>
      <c r="AG75" s="182">
        <v>0</v>
      </c>
      <c r="AH75" s="182">
        <v>0</v>
      </c>
      <c r="AI75" s="182">
        <v>0</v>
      </c>
      <c r="AJ75" s="182">
        <v>0</v>
      </c>
      <c r="AK75" s="182">
        <v>0</v>
      </c>
      <c r="AL75" s="182">
        <v>0</v>
      </c>
      <c r="AM75" s="182">
        <v>0</v>
      </c>
      <c r="AN75" s="182">
        <v>0</v>
      </c>
      <c r="AO75" s="182">
        <v>0</v>
      </c>
      <c r="AP75" s="182">
        <v>0</v>
      </c>
      <c r="AQ75" s="182">
        <v>0</v>
      </c>
      <c r="AR75" s="182">
        <v>0</v>
      </c>
      <c r="AS75" s="182">
        <v>0</v>
      </c>
      <c r="AT75" s="182">
        <v>0</v>
      </c>
      <c r="AU75" s="182">
        <v>0</v>
      </c>
      <c r="AV75" s="182">
        <v>0</v>
      </c>
      <c r="AW75" s="182">
        <v>0</v>
      </c>
      <c r="AX75" s="182">
        <v>0</v>
      </c>
      <c r="AY75" s="182">
        <v>0</v>
      </c>
      <c r="AZ75" s="182">
        <v>0</v>
      </c>
      <c r="BA75" s="182">
        <v>0</v>
      </c>
      <c r="BB75" s="168">
        <v>0</v>
      </c>
      <c r="BC75" s="168">
        <v>0</v>
      </c>
      <c r="BD75" s="168">
        <v>0</v>
      </c>
      <c r="BE75" s="168">
        <v>0</v>
      </c>
      <c r="BF75" s="177">
        <f>k.w1C.sd1C</f>
        <v>2.2392816971501889E-8</v>
      </c>
      <c r="BG75" s="177">
        <v>0</v>
      </c>
      <c r="BH75" s="177">
        <v>0</v>
      </c>
      <c r="BI75" s="177">
        <v>0</v>
      </c>
      <c r="BJ75" s="182">
        <v>0</v>
      </c>
      <c r="BK75" s="182">
        <v>0</v>
      </c>
      <c r="BL75" s="177">
        <v>0</v>
      </c>
      <c r="BM75" s="177">
        <v>0</v>
      </c>
      <c r="BN75" s="177">
        <v>0</v>
      </c>
      <c r="BO75" s="177">
        <v>0</v>
      </c>
      <c r="BP75" s="177">
        <v>0</v>
      </c>
      <c r="BQ75" s="177">
        <v>0</v>
      </c>
      <c r="BR75" s="310">
        <f>-k.sd1C-SUM(BR9:BR70,BR76:BR163)</f>
        <v>-8.4354615885713471E-8</v>
      </c>
      <c r="BS75" s="321">
        <f>kdis.sd1S.sd1D</f>
        <v>0</v>
      </c>
      <c r="BT75" s="321">
        <f>kdis.sd1A.sd1D</f>
        <v>0</v>
      </c>
      <c r="BU75" s="321">
        <f>kdis.sd1P.sd1D</f>
        <v>0</v>
      </c>
      <c r="BV75" s="182">
        <v>0</v>
      </c>
      <c r="BW75" s="182">
        <v>0</v>
      </c>
      <c r="BX75" s="182">
        <v>0</v>
      </c>
      <c r="BY75" s="182">
        <v>0</v>
      </c>
      <c r="BZ75" s="182">
        <v>0</v>
      </c>
      <c r="CA75" s="182">
        <v>0</v>
      </c>
      <c r="CB75" s="182">
        <v>0</v>
      </c>
      <c r="CC75" s="182">
        <v>0</v>
      </c>
      <c r="CD75" s="182">
        <v>0</v>
      </c>
      <c r="CE75" s="182">
        <v>0</v>
      </c>
      <c r="CF75" s="182">
        <v>0</v>
      </c>
      <c r="CG75" s="182">
        <v>0</v>
      </c>
      <c r="CH75" s="182">
        <v>0</v>
      </c>
      <c r="CI75" s="182">
        <v>0</v>
      </c>
      <c r="CJ75" s="182">
        <v>0</v>
      </c>
      <c r="CK75" s="182">
        <v>0</v>
      </c>
      <c r="CL75" s="182">
        <v>0</v>
      </c>
      <c r="CM75" s="182">
        <v>0</v>
      </c>
      <c r="CN75" s="182">
        <v>0</v>
      </c>
      <c r="CO75" s="182">
        <v>0</v>
      </c>
      <c r="CP75" s="182">
        <v>0</v>
      </c>
      <c r="CQ75" s="182">
        <v>0</v>
      </c>
      <c r="CR75" s="182">
        <v>0</v>
      </c>
      <c r="CS75" s="182">
        <v>0</v>
      </c>
      <c r="CT75" s="182">
        <v>0</v>
      </c>
      <c r="CU75" s="182">
        <v>0</v>
      </c>
      <c r="CV75" s="182">
        <v>0</v>
      </c>
      <c r="CW75" s="182">
        <v>0</v>
      </c>
      <c r="CX75" s="182">
        <v>0</v>
      </c>
      <c r="CY75" s="182">
        <v>0</v>
      </c>
      <c r="CZ75" s="182">
        <v>0</v>
      </c>
      <c r="DA75" s="182">
        <v>0</v>
      </c>
      <c r="DB75" s="182">
        <v>0</v>
      </c>
      <c r="DC75" s="182">
        <v>0</v>
      </c>
      <c r="DD75" s="182">
        <v>0</v>
      </c>
      <c r="DE75" s="182">
        <v>0</v>
      </c>
      <c r="DF75" s="182">
        <v>0</v>
      </c>
      <c r="DG75" s="182">
        <v>0</v>
      </c>
      <c r="DH75" s="182">
        <v>0</v>
      </c>
      <c r="DI75" s="182">
        <v>0</v>
      </c>
      <c r="DJ75" s="182">
        <v>0</v>
      </c>
      <c r="DK75" s="182">
        <v>0</v>
      </c>
      <c r="DL75" s="182">
        <v>0</v>
      </c>
      <c r="DM75" s="182">
        <v>0</v>
      </c>
      <c r="DN75" s="182">
        <v>0</v>
      </c>
      <c r="DO75" s="182">
        <v>0</v>
      </c>
      <c r="DP75" s="182">
        <v>0</v>
      </c>
      <c r="DQ75" s="182">
        <v>0</v>
      </c>
      <c r="DR75" s="182">
        <v>0</v>
      </c>
      <c r="DS75" s="182">
        <v>0</v>
      </c>
      <c r="DT75" s="182">
        <v>0</v>
      </c>
      <c r="DU75" s="182">
        <v>0</v>
      </c>
      <c r="DV75" s="182">
        <v>0</v>
      </c>
      <c r="DW75" s="182">
        <v>0</v>
      </c>
      <c r="DX75" s="182">
        <v>0</v>
      </c>
      <c r="DY75" s="182">
        <v>0</v>
      </c>
      <c r="DZ75" s="182">
        <v>0</v>
      </c>
      <c r="EA75" s="182">
        <v>0</v>
      </c>
      <c r="EB75" s="182">
        <v>0</v>
      </c>
      <c r="EC75" s="182">
        <v>0</v>
      </c>
      <c r="ED75" s="182">
        <v>0</v>
      </c>
      <c r="EE75" s="182">
        <v>0</v>
      </c>
      <c r="EF75" s="182">
        <v>0</v>
      </c>
      <c r="EG75" s="182">
        <v>0</v>
      </c>
      <c r="EH75" s="182">
        <v>0</v>
      </c>
      <c r="EI75" s="182">
        <v>0</v>
      </c>
      <c r="EJ75" s="182">
        <v>0</v>
      </c>
      <c r="EK75" s="182">
        <v>0</v>
      </c>
      <c r="EL75" s="182">
        <v>0</v>
      </c>
      <c r="EM75" s="182">
        <v>0</v>
      </c>
      <c r="EN75" s="182">
        <v>0</v>
      </c>
      <c r="EO75" s="182">
        <v>0</v>
      </c>
      <c r="EP75" s="182">
        <v>0</v>
      </c>
      <c r="EQ75" s="182">
        <v>0</v>
      </c>
      <c r="ER75" s="182">
        <v>0</v>
      </c>
      <c r="ES75" s="182">
        <v>0</v>
      </c>
      <c r="ET75" s="182">
        <v>0</v>
      </c>
      <c r="EU75" s="182">
        <v>0</v>
      </c>
      <c r="EV75" s="182">
        <v>0</v>
      </c>
      <c r="EW75" s="182">
        <v>0</v>
      </c>
      <c r="EX75" s="182">
        <v>0</v>
      </c>
      <c r="EY75" s="182">
        <v>0</v>
      </c>
      <c r="EZ75" s="182">
        <v>0</v>
      </c>
      <c r="FA75" s="182">
        <v>0</v>
      </c>
      <c r="FB75" s="183">
        <v>0</v>
      </c>
    </row>
    <row r="76" spans="2:158" ht="12.75" customHeight="1" x14ac:dyDescent="0.3">
      <c r="B76" s="199" t="s">
        <v>3886</v>
      </c>
      <c r="C76" s="340"/>
      <c r="D76" s="182">
        <v>0</v>
      </c>
      <c r="E76" s="182">
        <v>0</v>
      </c>
      <c r="F76" s="182">
        <v>0</v>
      </c>
      <c r="G76" s="182">
        <v>0</v>
      </c>
      <c r="H76" s="182">
        <v>0</v>
      </c>
      <c r="I76" s="182">
        <v>0</v>
      </c>
      <c r="J76" s="182">
        <v>0</v>
      </c>
      <c r="K76" s="182">
        <v>0</v>
      </c>
      <c r="L76" s="182">
        <v>0</v>
      </c>
      <c r="M76" s="182">
        <v>0</v>
      </c>
      <c r="N76" s="182">
        <v>0</v>
      </c>
      <c r="O76" s="182">
        <v>0</v>
      </c>
      <c r="P76" s="182">
        <v>0</v>
      </c>
      <c r="Q76" s="182">
        <v>0</v>
      </c>
      <c r="R76" s="182">
        <v>0</v>
      </c>
      <c r="S76" s="182">
        <v>0</v>
      </c>
      <c r="T76" s="182">
        <v>0</v>
      </c>
      <c r="U76" s="182">
        <v>0</v>
      </c>
      <c r="V76" s="182">
        <v>0</v>
      </c>
      <c r="W76" s="182">
        <v>0</v>
      </c>
      <c r="X76" s="182">
        <v>0</v>
      </c>
      <c r="Y76" s="182">
        <v>0</v>
      </c>
      <c r="Z76" s="182">
        <v>0</v>
      </c>
      <c r="AA76" s="182">
        <v>0</v>
      </c>
      <c r="AB76" s="182">
        <v>0</v>
      </c>
      <c r="AC76" s="182">
        <v>0</v>
      </c>
      <c r="AD76" s="182">
        <v>0</v>
      </c>
      <c r="AE76" s="182">
        <v>0</v>
      </c>
      <c r="AF76" s="182">
        <v>0</v>
      </c>
      <c r="AG76" s="182">
        <v>0</v>
      </c>
      <c r="AH76" s="182">
        <v>0</v>
      </c>
      <c r="AI76" s="182">
        <v>0</v>
      </c>
      <c r="AJ76" s="182">
        <v>0</v>
      </c>
      <c r="AK76" s="182">
        <v>0</v>
      </c>
      <c r="AL76" s="182">
        <v>0</v>
      </c>
      <c r="AM76" s="182">
        <v>0</v>
      </c>
      <c r="AN76" s="182">
        <v>0</v>
      </c>
      <c r="AO76" s="182">
        <v>0</v>
      </c>
      <c r="AP76" s="182">
        <v>0</v>
      </c>
      <c r="AQ76" s="182">
        <v>0</v>
      </c>
      <c r="AR76" s="182">
        <v>0</v>
      </c>
      <c r="AS76" s="182">
        <v>0</v>
      </c>
      <c r="AT76" s="182">
        <v>0</v>
      </c>
      <c r="AU76" s="182">
        <v>0</v>
      </c>
      <c r="AV76" s="182">
        <v>0</v>
      </c>
      <c r="AW76" s="182">
        <v>0</v>
      </c>
      <c r="AX76" s="182">
        <v>0</v>
      </c>
      <c r="AY76" s="182">
        <v>0</v>
      </c>
      <c r="AZ76" s="182">
        <v>0</v>
      </c>
      <c r="BA76" s="182">
        <v>0</v>
      </c>
      <c r="BB76" s="168">
        <v>0</v>
      </c>
      <c r="BC76" s="168">
        <v>0</v>
      </c>
      <c r="BD76" s="168">
        <v>0</v>
      </c>
      <c r="BE76" s="168">
        <v>0</v>
      </c>
      <c r="BF76" s="177">
        <v>0</v>
      </c>
      <c r="BG76" s="177">
        <f>k.w1CS.sd1CS</f>
        <v>2.3438988689288094E-10</v>
      </c>
      <c r="BH76" s="177">
        <v>0</v>
      </c>
      <c r="BI76" s="177">
        <v>0</v>
      </c>
      <c r="BJ76" s="182">
        <v>0</v>
      </c>
      <c r="BK76" s="182">
        <v>0</v>
      </c>
      <c r="BL76" s="182">
        <v>0</v>
      </c>
      <c r="BM76" s="177">
        <v>0</v>
      </c>
      <c r="BN76" s="177">
        <v>0</v>
      </c>
      <c r="BO76" s="177">
        <v>0</v>
      </c>
      <c r="BP76" s="177">
        <v>0</v>
      </c>
      <c r="BQ76" s="177">
        <v>0</v>
      </c>
      <c r="BR76" s="323">
        <v>0</v>
      </c>
      <c r="BS76" s="181">
        <f>-k.sd1CS-SUM(BS$9:BS75,BS77:BS$163)</f>
        <v>-1.4798722543688378E-3</v>
      </c>
      <c r="BT76" s="177">
        <v>0</v>
      </c>
      <c r="BU76" s="302">
        <v>0</v>
      </c>
      <c r="BV76" s="182">
        <v>0</v>
      </c>
      <c r="BW76" s="182">
        <v>0</v>
      </c>
      <c r="BX76" s="182">
        <v>0</v>
      </c>
      <c r="BY76" s="182">
        <v>0</v>
      </c>
      <c r="BZ76" s="182">
        <v>0</v>
      </c>
      <c r="CA76" s="182">
        <v>0</v>
      </c>
      <c r="CB76" s="182">
        <v>0</v>
      </c>
      <c r="CC76" s="182">
        <v>0</v>
      </c>
      <c r="CD76" s="182">
        <v>0</v>
      </c>
      <c r="CE76" s="182">
        <v>0</v>
      </c>
      <c r="CF76" s="182">
        <v>0</v>
      </c>
      <c r="CG76" s="182">
        <v>0</v>
      </c>
      <c r="CH76" s="182">
        <v>0</v>
      </c>
      <c r="CI76" s="182">
        <v>0</v>
      </c>
      <c r="CJ76" s="182">
        <v>0</v>
      </c>
      <c r="CK76" s="182">
        <v>0</v>
      </c>
      <c r="CL76" s="182">
        <v>0</v>
      </c>
      <c r="CM76" s="182">
        <v>0</v>
      </c>
      <c r="CN76" s="182">
        <v>0</v>
      </c>
      <c r="CO76" s="182">
        <v>0</v>
      </c>
      <c r="CP76" s="182">
        <v>0</v>
      </c>
      <c r="CQ76" s="182">
        <v>0</v>
      </c>
      <c r="CR76" s="182">
        <v>0</v>
      </c>
      <c r="CS76" s="182">
        <v>0</v>
      </c>
      <c r="CT76" s="182">
        <v>0</v>
      </c>
      <c r="CU76" s="182">
        <v>0</v>
      </c>
      <c r="CV76" s="182">
        <v>0</v>
      </c>
      <c r="CW76" s="182">
        <v>0</v>
      </c>
      <c r="CX76" s="182">
        <v>0</v>
      </c>
      <c r="CY76" s="182">
        <v>0</v>
      </c>
      <c r="CZ76" s="182">
        <v>0</v>
      </c>
      <c r="DA76" s="182">
        <v>0</v>
      </c>
      <c r="DB76" s="182">
        <v>0</v>
      </c>
      <c r="DC76" s="182">
        <v>0</v>
      </c>
      <c r="DD76" s="182">
        <v>0</v>
      </c>
      <c r="DE76" s="182">
        <v>0</v>
      </c>
      <c r="DF76" s="182">
        <v>0</v>
      </c>
      <c r="DG76" s="182">
        <v>0</v>
      </c>
      <c r="DH76" s="182">
        <v>0</v>
      </c>
      <c r="DI76" s="182">
        <v>0</v>
      </c>
      <c r="DJ76" s="182">
        <v>0</v>
      </c>
      <c r="DK76" s="182">
        <v>0</v>
      </c>
      <c r="DL76" s="182">
        <v>0</v>
      </c>
      <c r="DM76" s="182">
        <v>0</v>
      </c>
      <c r="DN76" s="182">
        <v>0</v>
      </c>
      <c r="DO76" s="182">
        <v>0</v>
      </c>
      <c r="DP76" s="182">
        <v>0</v>
      </c>
      <c r="DQ76" s="182">
        <v>0</v>
      </c>
      <c r="DR76" s="182">
        <v>0</v>
      </c>
      <c r="DS76" s="182">
        <v>0</v>
      </c>
      <c r="DT76" s="182">
        <v>0</v>
      </c>
      <c r="DU76" s="182">
        <v>0</v>
      </c>
      <c r="DV76" s="182">
        <v>0</v>
      </c>
      <c r="DW76" s="182">
        <v>0</v>
      </c>
      <c r="DX76" s="182">
        <v>0</v>
      </c>
      <c r="DY76" s="182">
        <v>0</v>
      </c>
      <c r="DZ76" s="182">
        <v>0</v>
      </c>
      <c r="EA76" s="182">
        <v>0</v>
      </c>
      <c r="EB76" s="182">
        <v>0</v>
      </c>
      <c r="EC76" s="182">
        <v>0</v>
      </c>
      <c r="ED76" s="182">
        <v>0</v>
      </c>
      <c r="EE76" s="182">
        <v>0</v>
      </c>
      <c r="EF76" s="182">
        <v>0</v>
      </c>
      <c r="EG76" s="182">
        <v>0</v>
      </c>
      <c r="EH76" s="182">
        <v>0</v>
      </c>
      <c r="EI76" s="182">
        <v>0</v>
      </c>
      <c r="EJ76" s="182">
        <v>0</v>
      </c>
      <c r="EK76" s="182">
        <v>0</v>
      </c>
      <c r="EL76" s="182">
        <v>0</v>
      </c>
      <c r="EM76" s="182">
        <v>0</v>
      </c>
      <c r="EN76" s="182">
        <v>0</v>
      </c>
      <c r="EO76" s="182">
        <v>0</v>
      </c>
      <c r="EP76" s="182">
        <v>0</v>
      </c>
      <c r="EQ76" s="182">
        <v>0</v>
      </c>
      <c r="ER76" s="182">
        <v>0</v>
      </c>
      <c r="ES76" s="182">
        <v>0</v>
      </c>
      <c r="ET76" s="182">
        <v>0</v>
      </c>
      <c r="EU76" s="182">
        <v>0</v>
      </c>
      <c r="EV76" s="182">
        <v>0</v>
      </c>
      <c r="EW76" s="182">
        <v>0</v>
      </c>
      <c r="EX76" s="182">
        <v>0</v>
      </c>
      <c r="EY76" s="182">
        <v>0</v>
      </c>
      <c r="EZ76" s="182">
        <v>0</v>
      </c>
      <c r="FA76" s="182">
        <v>0</v>
      </c>
      <c r="FB76" s="183">
        <v>0</v>
      </c>
    </row>
    <row r="77" spans="2:158" ht="12.75" customHeight="1" x14ac:dyDescent="0.3">
      <c r="B77" s="199" t="s">
        <v>3887</v>
      </c>
      <c r="C77" s="340"/>
      <c r="D77" s="182">
        <v>0</v>
      </c>
      <c r="E77" s="182">
        <v>0</v>
      </c>
      <c r="F77" s="182">
        <v>0</v>
      </c>
      <c r="G77" s="182">
        <v>0</v>
      </c>
      <c r="H77" s="182">
        <v>0</v>
      </c>
      <c r="I77" s="182">
        <v>0</v>
      </c>
      <c r="J77" s="182">
        <v>0</v>
      </c>
      <c r="K77" s="182">
        <v>0</v>
      </c>
      <c r="L77" s="182">
        <v>0</v>
      </c>
      <c r="M77" s="182">
        <v>0</v>
      </c>
      <c r="N77" s="182">
        <v>0</v>
      </c>
      <c r="O77" s="182">
        <v>0</v>
      </c>
      <c r="P77" s="182">
        <v>0</v>
      </c>
      <c r="Q77" s="182">
        <v>0</v>
      </c>
      <c r="R77" s="182">
        <v>0</v>
      </c>
      <c r="S77" s="182">
        <v>0</v>
      </c>
      <c r="T77" s="182">
        <v>0</v>
      </c>
      <c r="U77" s="182">
        <v>0</v>
      </c>
      <c r="V77" s="182">
        <v>0</v>
      </c>
      <c r="W77" s="182">
        <v>0</v>
      </c>
      <c r="X77" s="182">
        <v>0</v>
      </c>
      <c r="Y77" s="182">
        <v>0</v>
      </c>
      <c r="Z77" s="182">
        <v>0</v>
      </c>
      <c r="AA77" s="182">
        <v>0</v>
      </c>
      <c r="AB77" s="182">
        <v>0</v>
      </c>
      <c r="AC77" s="182">
        <v>0</v>
      </c>
      <c r="AD77" s="182">
        <v>0</v>
      </c>
      <c r="AE77" s="182">
        <v>0</v>
      </c>
      <c r="AF77" s="182">
        <v>0</v>
      </c>
      <c r="AG77" s="182">
        <v>0</v>
      </c>
      <c r="AH77" s="182">
        <v>0</v>
      </c>
      <c r="AI77" s="182">
        <v>0</v>
      </c>
      <c r="AJ77" s="182">
        <v>0</v>
      </c>
      <c r="AK77" s="182">
        <v>0</v>
      </c>
      <c r="AL77" s="182">
        <v>0</v>
      </c>
      <c r="AM77" s="182">
        <v>0</v>
      </c>
      <c r="AN77" s="182">
        <v>0</v>
      </c>
      <c r="AO77" s="182">
        <v>0</v>
      </c>
      <c r="AP77" s="182">
        <v>0</v>
      </c>
      <c r="AQ77" s="182">
        <v>0</v>
      </c>
      <c r="AR77" s="182">
        <v>0</v>
      </c>
      <c r="AS77" s="182">
        <v>0</v>
      </c>
      <c r="AT77" s="182">
        <v>0</v>
      </c>
      <c r="AU77" s="182">
        <v>0</v>
      </c>
      <c r="AV77" s="182">
        <v>0</v>
      </c>
      <c r="AW77" s="182">
        <v>0</v>
      </c>
      <c r="AX77" s="182">
        <v>0</v>
      </c>
      <c r="AY77" s="182">
        <v>0</v>
      </c>
      <c r="AZ77" s="182">
        <v>0</v>
      </c>
      <c r="BA77" s="182">
        <v>0</v>
      </c>
      <c r="BB77" s="168">
        <v>0</v>
      </c>
      <c r="BC77" s="168">
        <v>0</v>
      </c>
      <c r="BD77" s="168">
        <v>0</v>
      </c>
      <c r="BE77" s="168">
        <v>0</v>
      </c>
      <c r="BF77" s="177">
        <v>0</v>
      </c>
      <c r="BG77" s="177">
        <v>0</v>
      </c>
      <c r="BH77" s="177">
        <f>k.w1CA.sd1CA</f>
        <v>1.6364009953543896E-8</v>
      </c>
      <c r="BI77" s="177">
        <v>0</v>
      </c>
      <c r="BJ77" s="182">
        <v>0</v>
      </c>
      <c r="BK77" s="182">
        <v>0</v>
      </c>
      <c r="BL77" s="182">
        <v>0</v>
      </c>
      <c r="BM77" s="182">
        <v>0</v>
      </c>
      <c r="BN77" s="182">
        <v>0</v>
      </c>
      <c r="BO77" s="182">
        <v>0</v>
      </c>
      <c r="BP77" s="182">
        <v>0</v>
      </c>
      <c r="BQ77" s="182">
        <v>0</v>
      </c>
      <c r="BR77" s="323">
        <v>0</v>
      </c>
      <c r="BS77" s="177">
        <f>k.sd1CS.sd1CA</f>
        <v>3.1607723057386811E-4</v>
      </c>
      <c r="BT77" s="181">
        <f>-k.sd1CA-SUM(BT$9:BT76,BT78:BT$163)</f>
        <v>-2.8935185185185192E-8</v>
      </c>
      <c r="BU77" s="302">
        <v>0</v>
      </c>
      <c r="BV77" s="177">
        <v>0</v>
      </c>
      <c r="BW77" s="182">
        <v>0</v>
      </c>
      <c r="BX77" s="182">
        <v>0</v>
      </c>
      <c r="BY77" s="182">
        <v>0</v>
      </c>
      <c r="BZ77" s="182">
        <v>0</v>
      </c>
      <c r="CA77" s="182">
        <v>0</v>
      </c>
      <c r="CB77" s="182">
        <v>0</v>
      </c>
      <c r="CC77" s="182">
        <v>0</v>
      </c>
      <c r="CD77" s="182">
        <v>0</v>
      </c>
      <c r="CE77" s="182">
        <v>0</v>
      </c>
      <c r="CF77" s="182">
        <v>0</v>
      </c>
      <c r="CG77" s="182">
        <v>0</v>
      </c>
      <c r="CH77" s="182">
        <v>0</v>
      </c>
      <c r="CI77" s="182">
        <v>0</v>
      </c>
      <c r="CJ77" s="182">
        <v>0</v>
      </c>
      <c r="CK77" s="182">
        <v>0</v>
      </c>
      <c r="CL77" s="182">
        <v>0</v>
      </c>
      <c r="CM77" s="182">
        <v>0</v>
      </c>
      <c r="CN77" s="182">
        <v>0</v>
      </c>
      <c r="CO77" s="182">
        <v>0</v>
      </c>
      <c r="CP77" s="182">
        <v>0</v>
      </c>
      <c r="CQ77" s="182">
        <v>0</v>
      </c>
      <c r="CR77" s="182">
        <v>0</v>
      </c>
      <c r="CS77" s="182">
        <v>0</v>
      </c>
      <c r="CT77" s="182">
        <v>0</v>
      </c>
      <c r="CU77" s="182">
        <v>0</v>
      </c>
      <c r="CV77" s="182">
        <v>0</v>
      </c>
      <c r="CW77" s="182">
        <v>0</v>
      </c>
      <c r="CX77" s="182">
        <v>0</v>
      </c>
      <c r="CY77" s="182">
        <v>0</v>
      </c>
      <c r="CZ77" s="182">
        <v>0</v>
      </c>
      <c r="DA77" s="182">
        <v>0</v>
      </c>
      <c r="DB77" s="182">
        <v>0</v>
      </c>
      <c r="DC77" s="182">
        <v>0</v>
      </c>
      <c r="DD77" s="182">
        <v>0</v>
      </c>
      <c r="DE77" s="182">
        <v>0</v>
      </c>
      <c r="DF77" s="182">
        <v>0</v>
      </c>
      <c r="DG77" s="182">
        <v>0</v>
      </c>
      <c r="DH77" s="182">
        <v>0</v>
      </c>
      <c r="DI77" s="182">
        <v>0</v>
      </c>
      <c r="DJ77" s="182">
        <v>0</v>
      </c>
      <c r="DK77" s="182">
        <v>0</v>
      </c>
      <c r="DL77" s="182">
        <v>0</v>
      </c>
      <c r="DM77" s="182">
        <v>0</v>
      </c>
      <c r="DN77" s="182">
        <v>0</v>
      </c>
      <c r="DO77" s="182">
        <v>0</v>
      </c>
      <c r="DP77" s="182">
        <v>0</v>
      </c>
      <c r="DQ77" s="182">
        <v>0</v>
      </c>
      <c r="DR77" s="182">
        <v>0</v>
      </c>
      <c r="DS77" s="182">
        <v>0</v>
      </c>
      <c r="DT77" s="182">
        <v>0</v>
      </c>
      <c r="DU77" s="182">
        <v>0</v>
      </c>
      <c r="DV77" s="182">
        <v>0</v>
      </c>
      <c r="DW77" s="182">
        <v>0</v>
      </c>
      <c r="DX77" s="182">
        <v>0</v>
      </c>
      <c r="DY77" s="182">
        <v>0</v>
      </c>
      <c r="DZ77" s="182">
        <v>0</v>
      </c>
      <c r="EA77" s="182">
        <v>0</v>
      </c>
      <c r="EB77" s="182">
        <v>0</v>
      </c>
      <c r="EC77" s="182">
        <v>0</v>
      </c>
      <c r="ED77" s="182">
        <v>0</v>
      </c>
      <c r="EE77" s="182">
        <v>0</v>
      </c>
      <c r="EF77" s="182">
        <v>0</v>
      </c>
      <c r="EG77" s="182">
        <v>0</v>
      </c>
      <c r="EH77" s="182">
        <v>0</v>
      </c>
      <c r="EI77" s="182">
        <v>0</v>
      </c>
      <c r="EJ77" s="182">
        <v>0</v>
      </c>
      <c r="EK77" s="182">
        <v>0</v>
      </c>
      <c r="EL77" s="182">
        <v>0</v>
      </c>
      <c r="EM77" s="182">
        <v>0</v>
      </c>
      <c r="EN77" s="182">
        <v>0</v>
      </c>
      <c r="EO77" s="182">
        <v>0</v>
      </c>
      <c r="EP77" s="182">
        <v>0</v>
      </c>
      <c r="EQ77" s="182">
        <v>0</v>
      </c>
      <c r="ER77" s="182">
        <v>0</v>
      </c>
      <c r="ES77" s="182">
        <v>0</v>
      </c>
      <c r="ET77" s="182">
        <v>0</v>
      </c>
      <c r="EU77" s="182">
        <v>0</v>
      </c>
      <c r="EV77" s="182">
        <v>0</v>
      </c>
      <c r="EW77" s="182">
        <v>0</v>
      </c>
      <c r="EX77" s="182">
        <v>0</v>
      </c>
      <c r="EY77" s="182">
        <v>0</v>
      </c>
      <c r="EZ77" s="182">
        <v>0</v>
      </c>
      <c r="FA77" s="182">
        <v>0</v>
      </c>
      <c r="FB77" s="183">
        <v>0</v>
      </c>
    </row>
    <row r="78" spans="2:158" ht="12.75" customHeight="1" x14ac:dyDescent="0.3">
      <c r="B78" s="199" t="s">
        <v>3888</v>
      </c>
      <c r="C78" s="340"/>
      <c r="D78" s="182">
        <v>0</v>
      </c>
      <c r="E78" s="182">
        <v>0</v>
      </c>
      <c r="F78" s="182">
        <v>0</v>
      </c>
      <c r="G78" s="182">
        <v>0</v>
      </c>
      <c r="H78" s="182">
        <v>0</v>
      </c>
      <c r="I78" s="182">
        <v>0</v>
      </c>
      <c r="J78" s="182">
        <v>0</v>
      </c>
      <c r="K78" s="182">
        <v>0</v>
      </c>
      <c r="L78" s="182">
        <v>0</v>
      </c>
      <c r="M78" s="182">
        <v>0</v>
      </c>
      <c r="N78" s="182">
        <v>0</v>
      </c>
      <c r="O78" s="182">
        <v>0</v>
      </c>
      <c r="P78" s="182">
        <v>0</v>
      </c>
      <c r="Q78" s="182">
        <v>0</v>
      </c>
      <c r="R78" s="182">
        <v>0</v>
      </c>
      <c r="S78" s="182">
        <v>0</v>
      </c>
      <c r="T78" s="182">
        <v>0</v>
      </c>
      <c r="U78" s="182">
        <v>0</v>
      </c>
      <c r="V78" s="182">
        <v>0</v>
      </c>
      <c r="W78" s="182">
        <v>0</v>
      </c>
      <c r="X78" s="182">
        <v>0</v>
      </c>
      <c r="Y78" s="182">
        <v>0</v>
      </c>
      <c r="Z78" s="182">
        <v>0</v>
      </c>
      <c r="AA78" s="182">
        <v>0</v>
      </c>
      <c r="AB78" s="182">
        <v>0</v>
      </c>
      <c r="AC78" s="182">
        <v>0</v>
      </c>
      <c r="AD78" s="182">
        <v>0</v>
      </c>
      <c r="AE78" s="182">
        <v>0</v>
      </c>
      <c r="AF78" s="182">
        <v>0</v>
      </c>
      <c r="AG78" s="182">
        <v>0</v>
      </c>
      <c r="AH78" s="182">
        <v>0</v>
      </c>
      <c r="AI78" s="182">
        <v>0</v>
      </c>
      <c r="AJ78" s="182">
        <v>0</v>
      </c>
      <c r="AK78" s="182">
        <v>0</v>
      </c>
      <c r="AL78" s="182">
        <v>0</v>
      </c>
      <c r="AM78" s="182">
        <v>0</v>
      </c>
      <c r="AN78" s="182">
        <v>0</v>
      </c>
      <c r="AO78" s="182">
        <v>0</v>
      </c>
      <c r="AP78" s="182">
        <v>0</v>
      </c>
      <c r="AQ78" s="182">
        <v>0</v>
      </c>
      <c r="AR78" s="182">
        <v>0</v>
      </c>
      <c r="AS78" s="182">
        <v>0</v>
      </c>
      <c r="AT78" s="182">
        <v>0</v>
      </c>
      <c r="AU78" s="182">
        <v>0</v>
      </c>
      <c r="AV78" s="182">
        <v>0</v>
      </c>
      <c r="AW78" s="182">
        <v>0</v>
      </c>
      <c r="AX78" s="182">
        <v>0</v>
      </c>
      <c r="AY78" s="182">
        <v>0</v>
      </c>
      <c r="AZ78" s="182">
        <v>0</v>
      </c>
      <c r="BA78" s="182">
        <v>0</v>
      </c>
      <c r="BB78" s="168">
        <v>0</v>
      </c>
      <c r="BC78" s="168">
        <v>0</v>
      </c>
      <c r="BD78" s="168">
        <v>0</v>
      </c>
      <c r="BE78" s="168">
        <v>0</v>
      </c>
      <c r="BF78" s="177">
        <v>0</v>
      </c>
      <c r="BG78" s="177">
        <v>0</v>
      </c>
      <c r="BH78" s="177">
        <v>0</v>
      </c>
      <c r="BI78" s="177">
        <f>k.w1CP.sd1CP</f>
        <v>9.803473714161289E-6</v>
      </c>
      <c r="BJ78" s="182">
        <v>0</v>
      </c>
      <c r="BK78" s="182">
        <v>0</v>
      </c>
      <c r="BL78" s="182">
        <v>0</v>
      </c>
      <c r="BM78" s="182">
        <v>0</v>
      </c>
      <c r="BN78" s="182">
        <v>0</v>
      </c>
      <c r="BO78" s="182">
        <v>0</v>
      </c>
      <c r="BP78" s="182">
        <v>0</v>
      </c>
      <c r="BQ78" s="182">
        <v>0</v>
      </c>
      <c r="BR78" s="303">
        <v>0</v>
      </c>
      <c r="BS78" s="304">
        <f>k.sd1CS.sd1CP</f>
        <v>1.1637660886097843E-3</v>
      </c>
      <c r="BT78" s="304">
        <v>0</v>
      </c>
      <c r="BU78" s="181">
        <f>-k.sd1CP-SUM(BU$9:BU77,BU79:BU$163)</f>
        <v>-2.8935185185185192E-8</v>
      </c>
      <c r="BV78" s="177">
        <v>0</v>
      </c>
      <c r="BW78" s="177">
        <v>0</v>
      </c>
      <c r="BX78" s="182">
        <v>0</v>
      </c>
      <c r="BY78" s="182">
        <v>0</v>
      </c>
      <c r="BZ78" s="182">
        <v>0</v>
      </c>
      <c r="CA78" s="182">
        <v>0</v>
      </c>
      <c r="CB78" s="182">
        <v>0</v>
      </c>
      <c r="CC78" s="182">
        <v>0</v>
      </c>
      <c r="CD78" s="182">
        <v>0</v>
      </c>
      <c r="CE78" s="182">
        <v>0</v>
      </c>
      <c r="CF78" s="182">
        <v>0</v>
      </c>
      <c r="CG78" s="182">
        <v>0</v>
      </c>
      <c r="CH78" s="182">
        <v>0</v>
      </c>
      <c r="CI78" s="182">
        <v>0</v>
      </c>
      <c r="CJ78" s="182">
        <v>0</v>
      </c>
      <c r="CK78" s="182">
        <v>0</v>
      </c>
      <c r="CL78" s="182">
        <v>0</v>
      </c>
      <c r="CM78" s="182">
        <v>0</v>
      </c>
      <c r="CN78" s="182">
        <v>0</v>
      </c>
      <c r="CO78" s="182">
        <v>0</v>
      </c>
      <c r="CP78" s="182">
        <v>0</v>
      </c>
      <c r="CQ78" s="182">
        <v>0</v>
      </c>
      <c r="CR78" s="182">
        <v>0</v>
      </c>
      <c r="CS78" s="182">
        <v>0</v>
      </c>
      <c r="CT78" s="182">
        <v>0</v>
      </c>
      <c r="CU78" s="182">
        <v>0</v>
      </c>
      <c r="CV78" s="182">
        <v>0</v>
      </c>
      <c r="CW78" s="182">
        <v>0</v>
      </c>
      <c r="CX78" s="182">
        <v>0</v>
      </c>
      <c r="CY78" s="182">
        <v>0</v>
      </c>
      <c r="CZ78" s="182">
        <v>0</v>
      </c>
      <c r="DA78" s="182">
        <v>0</v>
      </c>
      <c r="DB78" s="182">
        <v>0</v>
      </c>
      <c r="DC78" s="182">
        <v>0</v>
      </c>
      <c r="DD78" s="182">
        <v>0</v>
      </c>
      <c r="DE78" s="182">
        <v>0</v>
      </c>
      <c r="DF78" s="182">
        <v>0</v>
      </c>
      <c r="DG78" s="182">
        <v>0</v>
      </c>
      <c r="DH78" s="182">
        <v>0</v>
      </c>
      <c r="DI78" s="182">
        <v>0</v>
      </c>
      <c r="DJ78" s="182">
        <v>0</v>
      </c>
      <c r="DK78" s="182">
        <v>0</v>
      </c>
      <c r="DL78" s="182">
        <v>0</v>
      </c>
      <c r="DM78" s="182">
        <v>0</v>
      </c>
      <c r="DN78" s="182">
        <v>0</v>
      </c>
      <c r="DO78" s="182">
        <v>0</v>
      </c>
      <c r="DP78" s="182">
        <v>0</v>
      </c>
      <c r="DQ78" s="182">
        <v>0</v>
      </c>
      <c r="DR78" s="182">
        <v>0</v>
      </c>
      <c r="DS78" s="182">
        <v>0</v>
      </c>
      <c r="DT78" s="182">
        <v>0</v>
      </c>
      <c r="DU78" s="182">
        <v>0</v>
      </c>
      <c r="DV78" s="182">
        <v>0</v>
      </c>
      <c r="DW78" s="182">
        <v>0</v>
      </c>
      <c r="DX78" s="182">
        <v>0</v>
      </c>
      <c r="DY78" s="182">
        <v>0</v>
      </c>
      <c r="DZ78" s="182">
        <v>0</v>
      </c>
      <c r="EA78" s="182">
        <v>0</v>
      </c>
      <c r="EB78" s="182">
        <v>0</v>
      </c>
      <c r="EC78" s="182">
        <v>0</v>
      </c>
      <c r="ED78" s="182">
        <v>0</v>
      </c>
      <c r="EE78" s="182">
        <v>0</v>
      </c>
      <c r="EF78" s="182">
        <v>0</v>
      </c>
      <c r="EG78" s="182">
        <v>0</v>
      </c>
      <c r="EH78" s="182">
        <v>0</v>
      </c>
      <c r="EI78" s="182">
        <v>0</v>
      </c>
      <c r="EJ78" s="182">
        <v>0</v>
      </c>
      <c r="EK78" s="182">
        <v>0</v>
      </c>
      <c r="EL78" s="182">
        <v>0</v>
      </c>
      <c r="EM78" s="182">
        <v>0</v>
      </c>
      <c r="EN78" s="182">
        <v>0</v>
      </c>
      <c r="EO78" s="182">
        <v>0</v>
      </c>
      <c r="EP78" s="182">
        <v>0</v>
      </c>
      <c r="EQ78" s="182">
        <v>0</v>
      </c>
      <c r="ER78" s="182">
        <v>0</v>
      </c>
      <c r="ES78" s="182">
        <v>0</v>
      </c>
      <c r="ET78" s="182">
        <v>0</v>
      </c>
      <c r="EU78" s="182">
        <v>0</v>
      </c>
      <c r="EV78" s="182">
        <v>0</v>
      </c>
      <c r="EW78" s="182">
        <v>0</v>
      </c>
      <c r="EX78" s="182">
        <v>0</v>
      </c>
      <c r="EY78" s="182">
        <v>0</v>
      </c>
      <c r="EZ78" s="182">
        <v>0</v>
      </c>
      <c r="FA78" s="182">
        <v>0</v>
      </c>
      <c r="FB78" s="183">
        <v>0</v>
      </c>
    </row>
    <row r="79" spans="2:158" ht="12.75" customHeight="1" x14ac:dyDescent="0.3">
      <c r="B79" s="199" t="s">
        <v>3889</v>
      </c>
      <c r="C79" s="340"/>
      <c r="D79" s="182">
        <v>0</v>
      </c>
      <c r="E79" s="182">
        <v>0</v>
      </c>
      <c r="F79" s="182">
        <v>0</v>
      </c>
      <c r="G79" s="182">
        <v>0</v>
      </c>
      <c r="H79" s="182">
        <v>0</v>
      </c>
      <c r="I79" s="182">
        <v>0</v>
      </c>
      <c r="J79" s="182">
        <v>0</v>
      </c>
      <c r="K79" s="182">
        <v>0</v>
      </c>
      <c r="L79" s="182">
        <v>0</v>
      </c>
      <c r="M79" s="182">
        <v>0</v>
      </c>
      <c r="N79" s="182">
        <v>0</v>
      </c>
      <c r="O79" s="182">
        <v>0</v>
      </c>
      <c r="P79" s="182">
        <v>0</v>
      </c>
      <c r="Q79" s="182">
        <v>0</v>
      </c>
      <c r="R79" s="182">
        <v>0</v>
      </c>
      <c r="S79" s="182">
        <v>0</v>
      </c>
      <c r="T79" s="182">
        <v>0</v>
      </c>
      <c r="U79" s="182">
        <v>0</v>
      </c>
      <c r="V79" s="182">
        <v>0</v>
      </c>
      <c r="W79" s="182">
        <v>0</v>
      </c>
      <c r="X79" s="182">
        <v>0</v>
      </c>
      <c r="Y79" s="182">
        <v>0</v>
      </c>
      <c r="Z79" s="182">
        <v>0</v>
      </c>
      <c r="AA79" s="182">
        <v>0</v>
      </c>
      <c r="AB79" s="182">
        <v>0</v>
      </c>
      <c r="AC79" s="182">
        <v>0</v>
      </c>
      <c r="AD79" s="182">
        <v>0</v>
      </c>
      <c r="AE79" s="182">
        <v>0</v>
      </c>
      <c r="AF79" s="182">
        <v>0</v>
      </c>
      <c r="AG79" s="182">
        <v>0</v>
      </c>
      <c r="AH79" s="182">
        <v>0</v>
      </c>
      <c r="AI79" s="182">
        <v>0</v>
      </c>
      <c r="AJ79" s="182">
        <v>0</v>
      </c>
      <c r="AK79" s="182">
        <v>0</v>
      </c>
      <c r="AL79" s="182">
        <v>0</v>
      </c>
      <c r="AM79" s="182">
        <v>0</v>
      </c>
      <c r="AN79" s="182">
        <v>0</v>
      </c>
      <c r="AO79" s="182">
        <v>0</v>
      </c>
      <c r="AP79" s="182">
        <v>0</v>
      </c>
      <c r="AQ79" s="182">
        <v>0</v>
      </c>
      <c r="AR79" s="182">
        <v>0</v>
      </c>
      <c r="AS79" s="182">
        <v>0</v>
      </c>
      <c r="AT79" s="182">
        <v>0</v>
      </c>
      <c r="AU79" s="182">
        <v>0</v>
      </c>
      <c r="AV79" s="182">
        <v>0</v>
      </c>
      <c r="AW79" s="182">
        <v>0</v>
      </c>
      <c r="AX79" s="182">
        <v>0</v>
      </c>
      <c r="AY79" s="182">
        <v>0</v>
      </c>
      <c r="AZ79" s="182">
        <v>0</v>
      </c>
      <c r="BA79" s="182">
        <v>0</v>
      </c>
      <c r="BB79" s="168">
        <v>0</v>
      </c>
      <c r="BC79" s="168">
        <v>0</v>
      </c>
      <c r="BD79" s="168">
        <v>0</v>
      </c>
      <c r="BE79" s="168">
        <v>0</v>
      </c>
      <c r="BF79" s="182">
        <v>0</v>
      </c>
      <c r="BG79" s="182">
        <v>0</v>
      </c>
      <c r="BH79" s="182">
        <v>0</v>
      </c>
      <c r="BI79" s="182">
        <v>0</v>
      </c>
      <c r="BJ79" s="177">
        <f>k.w2C.sd2C</f>
        <v>2.2488425896972215E-10</v>
      </c>
      <c r="BK79" s="177">
        <v>0</v>
      </c>
      <c r="BL79" s="177">
        <v>0</v>
      </c>
      <c r="BM79" s="177">
        <v>0</v>
      </c>
      <c r="BN79" s="177">
        <v>0</v>
      </c>
      <c r="BO79" s="177">
        <v>0</v>
      </c>
      <c r="BP79" s="177">
        <v>0</v>
      </c>
      <c r="BQ79" s="177">
        <v>0</v>
      </c>
      <c r="BR79" s="182">
        <v>0</v>
      </c>
      <c r="BS79" s="182">
        <v>0</v>
      </c>
      <c r="BT79" s="177">
        <v>0</v>
      </c>
      <c r="BU79" s="177">
        <v>0</v>
      </c>
      <c r="BV79" s="310">
        <f>-k.sd2C-SUM(BV9:BV78,BV80:BV163)</f>
        <v>-6.5064492428923341E-8</v>
      </c>
      <c r="BW79" s="321">
        <f>kdis.sd2S.sd2D</f>
        <v>0</v>
      </c>
      <c r="BX79" s="321">
        <f>kdis.sd2A.sd2D</f>
        <v>0</v>
      </c>
      <c r="BY79" s="321">
        <f>kdis.sd2P.sd2D</f>
        <v>0</v>
      </c>
      <c r="BZ79" s="182">
        <v>0</v>
      </c>
      <c r="CA79" s="182">
        <v>0</v>
      </c>
      <c r="CB79" s="182">
        <v>0</v>
      </c>
      <c r="CC79" s="182">
        <v>0</v>
      </c>
      <c r="CD79" s="182">
        <v>0</v>
      </c>
      <c r="CE79" s="182">
        <v>0</v>
      </c>
      <c r="CF79" s="182">
        <v>0</v>
      </c>
      <c r="CG79" s="182">
        <v>0</v>
      </c>
      <c r="CH79" s="182">
        <v>0</v>
      </c>
      <c r="CI79" s="182">
        <v>0</v>
      </c>
      <c r="CJ79" s="182">
        <v>0</v>
      </c>
      <c r="CK79" s="182">
        <v>0</v>
      </c>
      <c r="CL79" s="182">
        <v>0</v>
      </c>
      <c r="CM79" s="182">
        <v>0</v>
      </c>
      <c r="CN79" s="182">
        <v>0</v>
      </c>
      <c r="CO79" s="182">
        <v>0</v>
      </c>
      <c r="CP79" s="182">
        <v>0</v>
      </c>
      <c r="CQ79" s="182">
        <v>0</v>
      </c>
      <c r="CR79" s="182">
        <v>0</v>
      </c>
      <c r="CS79" s="182">
        <v>0</v>
      </c>
      <c r="CT79" s="182">
        <v>0</v>
      </c>
      <c r="CU79" s="182">
        <v>0</v>
      </c>
      <c r="CV79" s="182">
        <v>0</v>
      </c>
      <c r="CW79" s="182">
        <v>0</v>
      </c>
      <c r="CX79" s="182">
        <v>0</v>
      </c>
      <c r="CY79" s="182">
        <v>0</v>
      </c>
      <c r="CZ79" s="182">
        <v>0</v>
      </c>
      <c r="DA79" s="182">
        <v>0</v>
      </c>
      <c r="DB79" s="182">
        <v>0</v>
      </c>
      <c r="DC79" s="182">
        <v>0</v>
      </c>
      <c r="DD79" s="182">
        <v>0</v>
      </c>
      <c r="DE79" s="182">
        <v>0</v>
      </c>
      <c r="DF79" s="182">
        <v>0</v>
      </c>
      <c r="DG79" s="182">
        <v>0</v>
      </c>
      <c r="DH79" s="182">
        <v>0</v>
      </c>
      <c r="DI79" s="182">
        <v>0</v>
      </c>
      <c r="DJ79" s="182">
        <v>0</v>
      </c>
      <c r="DK79" s="182">
        <v>0</v>
      </c>
      <c r="DL79" s="182">
        <v>0</v>
      </c>
      <c r="DM79" s="182">
        <v>0</v>
      </c>
      <c r="DN79" s="182">
        <v>0</v>
      </c>
      <c r="DO79" s="182">
        <v>0</v>
      </c>
      <c r="DP79" s="182">
        <v>0</v>
      </c>
      <c r="DQ79" s="182">
        <v>0</v>
      </c>
      <c r="DR79" s="182">
        <v>0</v>
      </c>
      <c r="DS79" s="182">
        <v>0</v>
      </c>
      <c r="DT79" s="182">
        <v>0</v>
      </c>
      <c r="DU79" s="182">
        <v>0</v>
      </c>
      <c r="DV79" s="182">
        <v>0</v>
      </c>
      <c r="DW79" s="182">
        <v>0</v>
      </c>
      <c r="DX79" s="182">
        <v>0</v>
      </c>
      <c r="DY79" s="182">
        <v>0</v>
      </c>
      <c r="DZ79" s="182">
        <v>0</v>
      </c>
      <c r="EA79" s="182">
        <v>0</v>
      </c>
      <c r="EB79" s="182">
        <v>0</v>
      </c>
      <c r="EC79" s="182">
        <v>0</v>
      </c>
      <c r="ED79" s="182">
        <v>0</v>
      </c>
      <c r="EE79" s="182">
        <v>0</v>
      </c>
      <c r="EF79" s="182">
        <v>0</v>
      </c>
      <c r="EG79" s="182">
        <v>0</v>
      </c>
      <c r="EH79" s="182">
        <v>0</v>
      </c>
      <c r="EI79" s="182">
        <v>0</v>
      </c>
      <c r="EJ79" s="182">
        <v>0</v>
      </c>
      <c r="EK79" s="182">
        <v>0</v>
      </c>
      <c r="EL79" s="182">
        <v>0</v>
      </c>
      <c r="EM79" s="182">
        <v>0</v>
      </c>
      <c r="EN79" s="182">
        <v>0</v>
      </c>
      <c r="EO79" s="182">
        <v>0</v>
      </c>
      <c r="EP79" s="182">
        <v>0</v>
      </c>
      <c r="EQ79" s="182">
        <v>0</v>
      </c>
      <c r="ER79" s="182">
        <v>0</v>
      </c>
      <c r="ES79" s="182">
        <v>0</v>
      </c>
      <c r="ET79" s="182">
        <v>0</v>
      </c>
      <c r="EU79" s="182">
        <v>0</v>
      </c>
      <c r="EV79" s="182">
        <v>0</v>
      </c>
      <c r="EW79" s="182">
        <v>0</v>
      </c>
      <c r="EX79" s="182">
        <v>0</v>
      </c>
      <c r="EY79" s="182">
        <v>0</v>
      </c>
      <c r="EZ79" s="182">
        <v>0</v>
      </c>
      <c r="FA79" s="182">
        <v>0</v>
      </c>
      <c r="FB79" s="183">
        <v>0</v>
      </c>
    </row>
    <row r="80" spans="2:158" ht="12.75" customHeight="1" x14ac:dyDescent="0.3">
      <c r="B80" s="199" t="s">
        <v>3890</v>
      </c>
      <c r="C80" s="340"/>
      <c r="D80" s="182">
        <v>0</v>
      </c>
      <c r="E80" s="182">
        <v>0</v>
      </c>
      <c r="F80" s="182">
        <v>0</v>
      </c>
      <c r="G80" s="182">
        <v>0</v>
      </c>
      <c r="H80" s="182">
        <v>0</v>
      </c>
      <c r="I80" s="182">
        <v>0</v>
      </c>
      <c r="J80" s="182">
        <v>0</v>
      </c>
      <c r="K80" s="182">
        <v>0</v>
      </c>
      <c r="L80" s="182">
        <v>0</v>
      </c>
      <c r="M80" s="182">
        <v>0</v>
      </c>
      <c r="N80" s="182">
        <v>0</v>
      </c>
      <c r="O80" s="182">
        <v>0</v>
      </c>
      <c r="P80" s="182">
        <v>0</v>
      </c>
      <c r="Q80" s="182">
        <v>0</v>
      </c>
      <c r="R80" s="182">
        <v>0</v>
      </c>
      <c r="S80" s="182">
        <v>0</v>
      </c>
      <c r="T80" s="182">
        <v>0</v>
      </c>
      <c r="U80" s="182">
        <v>0</v>
      </c>
      <c r="V80" s="182">
        <v>0</v>
      </c>
      <c r="W80" s="182">
        <v>0</v>
      </c>
      <c r="X80" s="182">
        <v>0</v>
      </c>
      <c r="Y80" s="182">
        <v>0</v>
      </c>
      <c r="Z80" s="182">
        <v>0</v>
      </c>
      <c r="AA80" s="182">
        <v>0</v>
      </c>
      <c r="AB80" s="182">
        <v>0</v>
      </c>
      <c r="AC80" s="182">
        <v>0</v>
      </c>
      <c r="AD80" s="182">
        <v>0</v>
      </c>
      <c r="AE80" s="182">
        <v>0</v>
      </c>
      <c r="AF80" s="182">
        <v>0</v>
      </c>
      <c r="AG80" s="182">
        <v>0</v>
      </c>
      <c r="AH80" s="182">
        <v>0</v>
      </c>
      <c r="AI80" s="182">
        <v>0</v>
      </c>
      <c r="AJ80" s="182">
        <v>0</v>
      </c>
      <c r="AK80" s="182">
        <v>0</v>
      </c>
      <c r="AL80" s="182">
        <v>0</v>
      </c>
      <c r="AM80" s="182">
        <v>0</v>
      </c>
      <c r="AN80" s="182">
        <v>0</v>
      </c>
      <c r="AO80" s="182">
        <v>0</v>
      </c>
      <c r="AP80" s="182">
        <v>0</v>
      </c>
      <c r="AQ80" s="182">
        <v>0</v>
      </c>
      <c r="AR80" s="182">
        <v>0</v>
      </c>
      <c r="AS80" s="182">
        <v>0</v>
      </c>
      <c r="AT80" s="182">
        <v>0</v>
      </c>
      <c r="AU80" s="182">
        <v>0</v>
      </c>
      <c r="AV80" s="182">
        <v>0</v>
      </c>
      <c r="AW80" s="182">
        <v>0</v>
      </c>
      <c r="AX80" s="182">
        <v>0</v>
      </c>
      <c r="AY80" s="182">
        <v>0</v>
      </c>
      <c r="AZ80" s="182">
        <v>0</v>
      </c>
      <c r="BA80" s="182">
        <v>0</v>
      </c>
      <c r="BB80" s="168">
        <v>0</v>
      </c>
      <c r="BC80" s="168">
        <v>0</v>
      </c>
      <c r="BD80" s="168">
        <v>0</v>
      </c>
      <c r="BE80" s="168">
        <v>0</v>
      </c>
      <c r="BF80" s="182">
        <v>0</v>
      </c>
      <c r="BG80" s="182">
        <v>0</v>
      </c>
      <c r="BH80" s="182">
        <v>0</v>
      </c>
      <c r="BI80" s="182">
        <v>0</v>
      </c>
      <c r="BJ80" s="177">
        <v>0</v>
      </c>
      <c r="BK80" s="177">
        <f>k.w2CS.sd2CS</f>
        <v>3.5158483033932141E-12</v>
      </c>
      <c r="BL80" s="177">
        <v>0</v>
      </c>
      <c r="BM80" s="177">
        <v>0</v>
      </c>
      <c r="BN80" s="177">
        <v>0</v>
      </c>
      <c r="BO80" s="177">
        <v>0</v>
      </c>
      <c r="BP80" s="177">
        <v>0</v>
      </c>
      <c r="BQ80" s="177">
        <v>0</v>
      </c>
      <c r="BR80" s="182">
        <v>0</v>
      </c>
      <c r="BS80" s="182">
        <v>0</v>
      </c>
      <c r="BT80" s="182">
        <v>0</v>
      </c>
      <c r="BU80" s="177">
        <v>0</v>
      </c>
      <c r="BV80" s="323">
        <v>0</v>
      </c>
      <c r="BW80" s="181">
        <f>-k.sd2CS-SUM(BW$9:BW79,BW81:BW$163)</f>
        <v>-1.4798442836898252E-2</v>
      </c>
      <c r="BX80" s="177">
        <v>0</v>
      </c>
      <c r="BY80" s="302">
        <v>0</v>
      </c>
      <c r="BZ80" s="182">
        <v>0</v>
      </c>
      <c r="CA80" s="182">
        <v>0</v>
      </c>
      <c r="CB80" s="182">
        <v>0</v>
      </c>
      <c r="CC80" s="182">
        <v>0</v>
      </c>
      <c r="CD80" s="182">
        <v>0</v>
      </c>
      <c r="CE80" s="182">
        <v>0</v>
      </c>
      <c r="CF80" s="182">
        <v>0</v>
      </c>
      <c r="CG80" s="182">
        <v>0</v>
      </c>
      <c r="CH80" s="182">
        <v>0</v>
      </c>
      <c r="CI80" s="182">
        <v>0</v>
      </c>
      <c r="CJ80" s="182">
        <v>0</v>
      </c>
      <c r="CK80" s="182">
        <v>0</v>
      </c>
      <c r="CL80" s="182">
        <v>0</v>
      </c>
      <c r="CM80" s="182">
        <v>0</v>
      </c>
      <c r="CN80" s="182">
        <v>0</v>
      </c>
      <c r="CO80" s="182">
        <v>0</v>
      </c>
      <c r="CP80" s="182">
        <v>0</v>
      </c>
      <c r="CQ80" s="182">
        <v>0</v>
      </c>
      <c r="CR80" s="182">
        <v>0</v>
      </c>
      <c r="CS80" s="182">
        <v>0</v>
      </c>
      <c r="CT80" s="182">
        <v>0</v>
      </c>
      <c r="CU80" s="182">
        <v>0</v>
      </c>
      <c r="CV80" s="182">
        <v>0</v>
      </c>
      <c r="CW80" s="182">
        <v>0</v>
      </c>
      <c r="CX80" s="182">
        <v>0</v>
      </c>
      <c r="CY80" s="182">
        <v>0</v>
      </c>
      <c r="CZ80" s="182">
        <v>0</v>
      </c>
      <c r="DA80" s="182">
        <v>0</v>
      </c>
      <c r="DB80" s="182">
        <v>0</v>
      </c>
      <c r="DC80" s="182">
        <v>0</v>
      </c>
      <c r="DD80" s="182">
        <v>0</v>
      </c>
      <c r="DE80" s="182">
        <v>0</v>
      </c>
      <c r="DF80" s="182">
        <v>0</v>
      </c>
      <c r="DG80" s="182">
        <v>0</v>
      </c>
      <c r="DH80" s="182">
        <v>0</v>
      </c>
      <c r="DI80" s="182">
        <v>0</v>
      </c>
      <c r="DJ80" s="182">
        <v>0</v>
      </c>
      <c r="DK80" s="182">
        <v>0</v>
      </c>
      <c r="DL80" s="182">
        <v>0</v>
      </c>
      <c r="DM80" s="182">
        <v>0</v>
      </c>
      <c r="DN80" s="182">
        <v>0</v>
      </c>
      <c r="DO80" s="182">
        <v>0</v>
      </c>
      <c r="DP80" s="182">
        <v>0</v>
      </c>
      <c r="DQ80" s="182">
        <v>0</v>
      </c>
      <c r="DR80" s="182">
        <v>0</v>
      </c>
      <c r="DS80" s="182">
        <v>0</v>
      </c>
      <c r="DT80" s="182">
        <v>0</v>
      </c>
      <c r="DU80" s="182">
        <v>0</v>
      </c>
      <c r="DV80" s="182">
        <v>0</v>
      </c>
      <c r="DW80" s="182">
        <v>0</v>
      </c>
      <c r="DX80" s="182">
        <v>0</v>
      </c>
      <c r="DY80" s="182">
        <v>0</v>
      </c>
      <c r="DZ80" s="182">
        <v>0</v>
      </c>
      <c r="EA80" s="182">
        <v>0</v>
      </c>
      <c r="EB80" s="182">
        <v>0</v>
      </c>
      <c r="EC80" s="182">
        <v>0</v>
      </c>
      <c r="ED80" s="182">
        <v>0</v>
      </c>
      <c r="EE80" s="182">
        <v>0</v>
      </c>
      <c r="EF80" s="182">
        <v>0</v>
      </c>
      <c r="EG80" s="182">
        <v>0</v>
      </c>
      <c r="EH80" s="182">
        <v>0</v>
      </c>
      <c r="EI80" s="182">
        <v>0</v>
      </c>
      <c r="EJ80" s="182">
        <v>0</v>
      </c>
      <c r="EK80" s="182">
        <v>0</v>
      </c>
      <c r="EL80" s="182">
        <v>0</v>
      </c>
      <c r="EM80" s="182">
        <v>0</v>
      </c>
      <c r="EN80" s="182">
        <v>0</v>
      </c>
      <c r="EO80" s="182">
        <v>0</v>
      </c>
      <c r="EP80" s="182">
        <v>0</v>
      </c>
      <c r="EQ80" s="182">
        <v>0</v>
      </c>
      <c r="ER80" s="182">
        <v>0</v>
      </c>
      <c r="ES80" s="182">
        <v>0</v>
      </c>
      <c r="ET80" s="182">
        <v>0</v>
      </c>
      <c r="EU80" s="182">
        <v>0</v>
      </c>
      <c r="EV80" s="182">
        <v>0</v>
      </c>
      <c r="EW80" s="182">
        <v>0</v>
      </c>
      <c r="EX80" s="182">
        <v>0</v>
      </c>
      <c r="EY80" s="182">
        <v>0</v>
      </c>
      <c r="EZ80" s="182">
        <v>0</v>
      </c>
      <c r="FA80" s="182">
        <v>0</v>
      </c>
      <c r="FB80" s="183">
        <v>0</v>
      </c>
    </row>
    <row r="81" spans="2:158" ht="12.75" customHeight="1" x14ac:dyDescent="0.3">
      <c r="B81" s="199" t="s">
        <v>3891</v>
      </c>
      <c r="C81" s="340"/>
      <c r="D81" s="182">
        <v>0</v>
      </c>
      <c r="E81" s="182">
        <v>0</v>
      </c>
      <c r="F81" s="182">
        <v>0</v>
      </c>
      <c r="G81" s="182">
        <v>0</v>
      </c>
      <c r="H81" s="182">
        <v>0</v>
      </c>
      <c r="I81" s="182">
        <v>0</v>
      </c>
      <c r="J81" s="182">
        <v>0</v>
      </c>
      <c r="K81" s="182">
        <v>0</v>
      </c>
      <c r="L81" s="182">
        <v>0</v>
      </c>
      <c r="M81" s="182">
        <v>0</v>
      </c>
      <c r="N81" s="182">
        <v>0</v>
      </c>
      <c r="O81" s="182">
        <v>0</v>
      </c>
      <c r="P81" s="182">
        <v>0</v>
      </c>
      <c r="Q81" s="182">
        <v>0</v>
      </c>
      <c r="R81" s="182">
        <v>0</v>
      </c>
      <c r="S81" s="182">
        <v>0</v>
      </c>
      <c r="T81" s="182">
        <v>0</v>
      </c>
      <c r="U81" s="182">
        <v>0</v>
      </c>
      <c r="V81" s="182">
        <v>0</v>
      </c>
      <c r="W81" s="182">
        <v>0</v>
      </c>
      <c r="X81" s="182">
        <v>0</v>
      </c>
      <c r="Y81" s="182">
        <v>0</v>
      </c>
      <c r="Z81" s="182">
        <v>0</v>
      </c>
      <c r="AA81" s="182">
        <v>0</v>
      </c>
      <c r="AB81" s="182">
        <v>0</v>
      </c>
      <c r="AC81" s="182">
        <v>0</v>
      </c>
      <c r="AD81" s="182">
        <v>0</v>
      </c>
      <c r="AE81" s="182">
        <v>0</v>
      </c>
      <c r="AF81" s="182">
        <v>0</v>
      </c>
      <c r="AG81" s="182">
        <v>0</v>
      </c>
      <c r="AH81" s="182">
        <v>0</v>
      </c>
      <c r="AI81" s="182">
        <v>0</v>
      </c>
      <c r="AJ81" s="182">
        <v>0</v>
      </c>
      <c r="AK81" s="182">
        <v>0</v>
      </c>
      <c r="AL81" s="182">
        <v>0</v>
      </c>
      <c r="AM81" s="182">
        <v>0</v>
      </c>
      <c r="AN81" s="182">
        <v>0</v>
      </c>
      <c r="AO81" s="182">
        <v>0</v>
      </c>
      <c r="AP81" s="182">
        <v>0</v>
      </c>
      <c r="AQ81" s="182">
        <v>0</v>
      </c>
      <c r="AR81" s="182">
        <v>0</v>
      </c>
      <c r="AS81" s="182">
        <v>0</v>
      </c>
      <c r="AT81" s="182">
        <v>0</v>
      </c>
      <c r="AU81" s="182">
        <v>0</v>
      </c>
      <c r="AV81" s="182">
        <v>0</v>
      </c>
      <c r="AW81" s="182">
        <v>0</v>
      </c>
      <c r="AX81" s="182">
        <v>0</v>
      </c>
      <c r="AY81" s="182">
        <v>0</v>
      </c>
      <c r="AZ81" s="182">
        <v>0</v>
      </c>
      <c r="BA81" s="182">
        <v>0</v>
      </c>
      <c r="BB81" s="168">
        <v>0</v>
      </c>
      <c r="BC81" s="168">
        <v>0</v>
      </c>
      <c r="BD81" s="168">
        <v>0</v>
      </c>
      <c r="BE81" s="168">
        <v>0</v>
      </c>
      <c r="BF81" s="182">
        <v>0</v>
      </c>
      <c r="BG81" s="182">
        <v>0</v>
      </c>
      <c r="BH81" s="182">
        <v>0</v>
      </c>
      <c r="BI81" s="182">
        <v>0</v>
      </c>
      <c r="BJ81" s="177">
        <v>0</v>
      </c>
      <c r="BK81" s="177">
        <v>0</v>
      </c>
      <c r="BL81" s="177">
        <f>k.w2CA.sd2CA</f>
        <v>2.4546014930315844E-10</v>
      </c>
      <c r="BM81" s="177">
        <v>0</v>
      </c>
      <c r="BN81" s="177">
        <v>0</v>
      </c>
      <c r="BO81" s="177">
        <v>0</v>
      </c>
      <c r="BP81" s="177">
        <v>0</v>
      </c>
      <c r="BQ81" s="177">
        <v>0</v>
      </c>
      <c r="BR81" s="182">
        <v>0</v>
      </c>
      <c r="BS81" s="182">
        <v>0</v>
      </c>
      <c r="BT81" s="182">
        <v>0</v>
      </c>
      <c r="BU81" s="182">
        <v>0</v>
      </c>
      <c r="BV81" s="323">
        <v>0</v>
      </c>
      <c r="BW81" s="177">
        <f>k.sd2CS.sd2CA</f>
        <v>3.1607723057386805E-3</v>
      </c>
      <c r="BX81" s="181">
        <f>-k.sd2CA-SUM(BX$9:BX80,BX82:BX$163)</f>
        <v>-9.6450617283950651E-9</v>
      </c>
      <c r="BY81" s="302">
        <v>0</v>
      </c>
      <c r="BZ81" s="177">
        <v>0</v>
      </c>
      <c r="CA81" s="182">
        <v>0</v>
      </c>
      <c r="CB81" s="182">
        <v>0</v>
      </c>
      <c r="CC81" s="182">
        <v>0</v>
      </c>
      <c r="CD81" s="182">
        <v>0</v>
      </c>
      <c r="CE81" s="182">
        <v>0</v>
      </c>
      <c r="CF81" s="182">
        <v>0</v>
      </c>
      <c r="CG81" s="182">
        <v>0</v>
      </c>
      <c r="CH81" s="182">
        <v>0</v>
      </c>
      <c r="CI81" s="182">
        <v>0</v>
      </c>
      <c r="CJ81" s="182">
        <v>0</v>
      </c>
      <c r="CK81" s="182">
        <v>0</v>
      </c>
      <c r="CL81" s="182">
        <v>0</v>
      </c>
      <c r="CM81" s="182">
        <v>0</v>
      </c>
      <c r="CN81" s="182">
        <v>0</v>
      </c>
      <c r="CO81" s="182">
        <v>0</v>
      </c>
      <c r="CP81" s="182">
        <v>0</v>
      </c>
      <c r="CQ81" s="182">
        <v>0</v>
      </c>
      <c r="CR81" s="182">
        <v>0</v>
      </c>
      <c r="CS81" s="182">
        <v>0</v>
      </c>
      <c r="CT81" s="182">
        <v>0</v>
      </c>
      <c r="CU81" s="182">
        <v>0</v>
      </c>
      <c r="CV81" s="182">
        <v>0</v>
      </c>
      <c r="CW81" s="182">
        <v>0</v>
      </c>
      <c r="CX81" s="182">
        <v>0</v>
      </c>
      <c r="CY81" s="182">
        <v>0</v>
      </c>
      <c r="CZ81" s="182">
        <v>0</v>
      </c>
      <c r="DA81" s="182">
        <v>0</v>
      </c>
      <c r="DB81" s="182">
        <v>0</v>
      </c>
      <c r="DC81" s="182">
        <v>0</v>
      </c>
      <c r="DD81" s="182">
        <v>0</v>
      </c>
      <c r="DE81" s="182">
        <v>0</v>
      </c>
      <c r="DF81" s="182">
        <v>0</v>
      </c>
      <c r="DG81" s="182">
        <v>0</v>
      </c>
      <c r="DH81" s="182">
        <v>0</v>
      </c>
      <c r="DI81" s="182">
        <v>0</v>
      </c>
      <c r="DJ81" s="182">
        <v>0</v>
      </c>
      <c r="DK81" s="182">
        <v>0</v>
      </c>
      <c r="DL81" s="182">
        <v>0</v>
      </c>
      <c r="DM81" s="182">
        <v>0</v>
      </c>
      <c r="DN81" s="182">
        <v>0</v>
      </c>
      <c r="DO81" s="182">
        <v>0</v>
      </c>
      <c r="DP81" s="182">
        <v>0</v>
      </c>
      <c r="DQ81" s="182">
        <v>0</v>
      </c>
      <c r="DR81" s="182">
        <v>0</v>
      </c>
      <c r="DS81" s="182">
        <v>0</v>
      </c>
      <c r="DT81" s="182">
        <v>0</v>
      </c>
      <c r="DU81" s="182">
        <v>0</v>
      </c>
      <c r="DV81" s="182">
        <v>0</v>
      </c>
      <c r="DW81" s="182">
        <v>0</v>
      </c>
      <c r="DX81" s="182">
        <v>0</v>
      </c>
      <c r="DY81" s="182">
        <v>0</v>
      </c>
      <c r="DZ81" s="182">
        <v>0</v>
      </c>
      <c r="EA81" s="182">
        <v>0</v>
      </c>
      <c r="EB81" s="182">
        <v>0</v>
      </c>
      <c r="EC81" s="182">
        <v>0</v>
      </c>
      <c r="ED81" s="182">
        <v>0</v>
      </c>
      <c r="EE81" s="182">
        <v>0</v>
      </c>
      <c r="EF81" s="182">
        <v>0</v>
      </c>
      <c r="EG81" s="182">
        <v>0</v>
      </c>
      <c r="EH81" s="182">
        <v>0</v>
      </c>
      <c r="EI81" s="182">
        <v>0</v>
      </c>
      <c r="EJ81" s="182">
        <v>0</v>
      </c>
      <c r="EK81" s="182">
        <v>0</v>
      </c>
      <c r="EL81" s="182">
        <v>0</v>
      </c>
      <c r="EM81" s="182">
        <v>0</v>
      </c>
      <c r="EN81" s="182">
        <v>0</v>
      </c>
      <c r="EO81" s="182">
        <v>0</v>
      </c>
      <c r="EP81" s="182">
        <v>0</v>
      </c>
      <c r="EQ81" s="182">
        <v>0</v>
      </c>
      <c r="ER81" s="182">
        <v>0</v>
      </c>
      <c r="ES81" s="182">
        <v>0</v>
      </c>
      <c r="ET81" s="182">
        <v>0</v>
      </c>
      <c r="EU81" s="182">
        <v>0</v>
      </c>
      <c r="EV81" s="182">
        <v>0</v>
      </c>
      <c r="EW81" s="182">
        <v>0</v>
      </c>
      <c r="EX81" s="182">
        <v>0</v>
      </c>
      <c r="EY81" s="182">
        <v>0</v>
      </c>
      <c r="EZ81" s="182">
        <v>0</v>
      </c>
      <c r="FA81" s="182">
        <v>0</v>
      </c>
      <c r="FB81" s="183">
        <v>0</v>
      </c>
    </row>
    <row r="82" spans="2:158" ht="12.75" customHeight="1" x14ac:dyDescent="0.3">
      <c r="B82" s="199" t="s">
        <v>3892</v>
      </c>
      <c r="C82" s="340"/>
      <c r="D82" s="182">
        <v>0</v>
      </c>
      <c r="E82" s="182">
        <v>0</v>
      </c>
      <c r="F82" s="182">
        <v>0</v>
      </c>
      <c r="G82" s="182">
        <v>0</v>
      </c>
      <c r="H82" s="182">
        <v>0</v>
      </c>
      <c r="I82" s="182">
        <v>0</v>
      </c>
      <c r="J82" s="182">
        <v>0</v>
      </c>
      <c r="K82" s="182">
        <v>0</v>
      </c>
      <c r="L82" s="182">
        <v>0</v>
      </c>
      <c r="M82" s="182">
        <v>0</v>
      </c>
      <c r="N82" s="182">
        <v>0</v>
      </c>
      <c r="O82" s="182">
        <v>0</v>
      </c>
      <c r="P82" s="182">
        <v>0</v>
      </c>
      <c r="Q82" s="182">
        <v>0</v>
      </c>
      <c r="R82" s="182">
        <v>0</v>
      </c>
      <c r="S82" s="182">
        <v>0</v>
      </c>
      <c r="T82" s="182">
        <v>0</v>
      </c>
      <c r="U82" s="182">
        <v>0</v>
      </c>
      <c r="V82" s="182">
        <v>0</v>
      </c>
      <c r="W82" s="182">
        <v>0</v>
      </c>
      <c r="X82" s="182">
        <v>0</v>
      </c>
      <c r="Y82" s="182">
        <v>0</v>
      </c>
      <c r="Z82" s="182">
        <v>0</v>
      </c>
      <c r="AA82" s="182">
        <v>0</v>
      </c>
      <c r="AB82" s="182">
        <v>0</v>
      </c>
      <c r="AC82" s="182">
        <v>0</v>
      </c>
      <c r="AD82" s="182">
        <v>0</v>
      </c>
      <c r="AE82" s="182">
        <v>0</v>
      </c>
      <c r="AF82" s="182">
        <v>0</v>
      </c>
      <c r="AG82" s="182">
        <v>0</v>
      </c>
      <c r="AH82" s="182">
        <v>0</v>
      </c>
      <c r="AI82" s="182">
        <v>0</v>
      </c>
      <c r="AJ82" s="182">
        <v>0</v>
      </c>
      <c r="AK82" s="182">
        <v>0</v>
      </c>
      <c r="AL82" s="182">
        <v>0</v>
      </c>
      <c r="AM82" s="182">
        <v>0</v>
      </c>
      <c r="AN82" s="182">
        <v>0</v>
      </c>
      <c r="AO82" s="182">
        <v>0</v>
      </c>
      <c r="AP82" s="182">
        <v>0</v>
      </c>
      <c r="AQ82" s="182">
        <v>0</v>
      </c>
      <c r="AR82" s="182">
        <v>0</v>
      </c>
      <c r="AS82" s="182">
        <v>0</v>
      </c>
      <c r="AT82" s="182">
        <v>0</v>
      </c>
      <c r="AU82" s="182">
        <v>0</v>
      </c>
      <c r="AV82" s="182">
        <v>0</v>
      </c>
      <c r="AW82" s="182">
        <v>0</v>
      </c>
      <c r="AX82" s="182">
        <v>0</v>
      </c>
      <c r="AY82" s="182">
        <v>0</v>
      </c>
      <c r="AZ82" s="182">
        <v>0</v>
      </c>
      <c r="BA82" s="182">
        <v>0</v>
      </c>
      <c r="BB82" s="168">
        <v>0</v>
      </c>
      <c r="BC82" s="168">
        <v>0</v>
      </c>
      <c r="BD82" s="168">
        <v>0</v>
      </c>
      <c r="BE82" s="168">
        <v>0</v>
      </c>
      <c r="BF82" s="182">
        <v>0</v>
      </c>
      <c r="BG82" s="182">
        <v>0</v>
      </c>
      <c r="BH82" s="182">
        <v>0</v>
      </c>
      <c r="BI82" s="182">
        <v>0</v>
      </c>
      <c r="BJ82" s="177">
        <v>0</v>
      </c>
      <c r="BK82" s="177">
        <v>0</v>
      </c>
      <c r="BL82" s="177">
        <v>0</v>
      </c>
      <c r="BM82" s="177">
        <f>k.w2CP.sd2CP</f>
        <v>1.4705210571241934E-7</v>
      </c>
      <c r="BN82" s="177">
        <v>0</v>
      </c>
      <c r="BO82" s="177">
        <v>0</v>
      </c>
      <c r="BP82" s="177">
        <v>0</v>
      </c>
      <c r="BQ82" s="177">
        <v>0</v>
      </c>
      <c r="BR82" s="182">
        <v>0</v>
      </c>
      <c r="BS82" s="182">
        <v>0</v>
      </c>
      <c r="BT82" s="182">
        <v>0</v>
      </c>
      <c r="BU82" s="182">
        <v>0</v>
      </c>
      <c r="BV82" s="303">
        <v>0</v>
      </c>
      <c r="BW82" s="304">
        <f>k.sd2CS.sd2CP</f>
        <v>1.1637660886097844E-2</v>
      </c>
      <c r="BX82" s="304">
        <v>0</v>
      </c>
      <c r="BY82" s="181">
        <f>-k.sd2CP-SUM(BY$9:BY81,BY83:BY$163)</f>
        <v>-9.6450617283950651E-9</v>
      </c>
      <c r="BZ82" s="177">
        <v>0</v>
      </c>
      <c r="CA82" s="177">
        <v>0</v>
      </c>
      <c r="CB82" s="182">
        <v>0</v>
      </c>
      <c r="CC82" s="182">
        <v>0</v>
      </c>
      <c r="CD82" s="182">
        <v>0</v>
      </c>
      <c r="CE82" s="182">
        <v>0</v>
      </c>
      <c r="CF82" s="182">
        <v>0</v>
      </c>
      <c r="CG82" s="182">
        <v>0</v>
      </c>
      <c r="CH82" s="182">
        <v>0</v>
      </c>
      <c r="CI82" s="182">
        <v>0</v>
      </c>
      <c r="CJ82" s="182">
        <v>0</v>
      </c>
      <c r="CK82" s="182">
        <v>0</v>
      </c>
      <c r="CL82" s="182">
        <v>0</v>
      </c>
      <c r="CM82" s="182">
        <v>0</v>
      </c>
      <c r="CN82" s="182">
        <v>0</v>
      </c>
      <c r="CO82" s="182">
        <v>0</v>
      </c>
      <c r="CP82" s="182">
        <v>0</v>
      </c>
      <c r="CQ82" s="182">
        <v>0</v>
      </c>
      <c r="CR82" s="182">
        <v>0</v>
      </c>
      <c r="CS82" s="182">
        <v>0</v>
      </c>
      <c r="CT82" s="182">
        <v>0</v>
      </c>
      <c r="CU82" s="182">
        <v>0</v>
      </c>
      <c r="CV82" s="182">
        <v>0</v>
      </c>
      <c r="CW82" s="182">
        <v>0</v>
      </c>
      <c r="CX82" s="182">
        <v>0</v>
      </c>
      <c r="CY82" s="182">
        <v>0</v>
      </c>
      <c r="CZ82" s="182">
        <v>0</v>
      </c>
      <c r="DA82" s="182">
        <v>0</v>
      </c>
      <c r="DB82" s="182">
        <v>0</v>
      </c>
      <c r="DC82" s="182">
        <v>0</v>
      </c>
      <c r="DD82" s="182">
        <v>0</v>
      </c>
      <c r="DE82" s="182">
        <v>0</v>
      </c>
      <c r="DF82" s="182">
        <v>0</v>
      </c>
      <c r="DG82" s="182">
        <v>0</v>
      </c>
      <c r="DH82" s="182">
        <v>0</v>
      </c>
      <c r="DI82" s="182">
        <v>0</v>
      </c>
      <c r="DJ82" s="182">
        <v>0</v>
      </c>
      <c r="DK82" s="182">
        <v>0</v>
      </c>
      <c r="DL82" s="182">
        <v>0</v>
      </c>
      <c r="DM82" s="182">
        <v>0</v>
      </c>
      <c r="DN82" s="182">
        <v>0</v>
      </c>
      <c r="DO82" s="182">
        <v>0</v>
      </c>
      <c r="DP82" s="182">
        <v>0</v>
      </c>
      <c r="DQ82" s="182">
        <v>0</v>
      </c>
      <c r="DR82" s="182">
        <v>0</v>
      </c>
      <c r="DS82" s="182">
        <v>0</v>
      </c>
      <c r="DT82" s="182">
        <v>0</v>
      </c>
      <c r="DU82" s="182">
        <v>0</v>
      </c>
      <c r="DV82" s="182">
        <v>0</v>
      </c>
      <c r="DW82" s="182">
        <v>0</v>
      </c>
      <c r="DX82" s="182">
        <v>0</v>
      </c>
      <c r="DY82" s="182">
        <v>0</v>
      </c>
      <c r="DZ82" s="182">
        <v>0</v>
      </c>
      <c r="EA82" s="182">
        <v>0</v>
      </c>
      <c r="EB82" s="182">
        <v>0</v>
      </c>
      <c r="EC82" s="182">
        <v>0</v>
      </c>
      <c r="ED82" s="182">
        <v>0</v>
      </c>
      <c r="EE82" s="182">
        <v>0</v>
      </c>
      <c r="EF82" s="182">
        <v>0</v>
      </c>
      <c r="EG82" s="182">
        <v>0</v>
      </c>
      <c r="EH82" s="182">
        <v>0</v>
      </c>
      <c r="EI82" s="182">
        <v>0</v>
      </c>
      <c r="EJ82" s="182">
        <v>0</v>
      </c>
      <c r="EK82" s="182">
        <v>0</v>
      </c>
      <c r="EL82" s="182">
        <v>0</v>
      </c>
      <c r="EM82" s="182">
        <v>0</v>
      </c>
      <c r="EN82" s="182">
        <v>0</v>
      </c>
      <c r="EO82" s="182">
        <v>0</v>
      </c>
      <c r="EP82" s="182">
        <v>0</v>
      </c>
      <c r="EQ82" s="182">
        <v>0</v>
      </c>
      <c r="ER82" s="182">
        <v>0</v>
      </c>
      <c r="ES82" s="182">
        <v>0</v>
      </c>
      <c r="ET82" s="182">
        <v>0</v>
      </c>
      <c r="EU82" s="182">
        <v>0</v>
      </c>
      <c r="EV82" s="182">
        <v>0</v>
      </c>
      <c r="EW82" s="182">
        <v>0</v>
      </c>
      <c r="EX82" s="182">
        <v>0</v>
      </c>
      <c r="EY82" s="182">
        <v>0</v>
      </c>
      <c r="EZ82" s="182">
        <v>0</v>
      </c>
      <c r="FA82" s="182">
        <v>0</v>
      </c>
      <c r="FB82" s="183">
        <v>0</v>
      </c>
    </row>
    <row r="83" spans="2:158" ht="12.75" customHeight="1" x14ac:dyDescent="0.3">
      <c r="B83" s="199" t="s">
        <v>3893</v>
      </c>
      <c r="C83" s="340"/>
      <c r="D83" s="182">
        <v>0</v>
      </c>
      <c r="E83" s="182">
        <v>0</v>
      </c>
      <c r="F83" s="182">
        <v>0</v>
      </c>
      <c r="G83" s="182">
        <v>0</v>
      </c>
      <c r="H83" s="182">
        <v>0</v>
      </c>
      <c r="I83" s="182">
        <v>0</v>
      </c>
      <c r="J83" s="182">
        <v>0</v>
      </c>
      <c r="K83" s="182">
        <v>0</v>
      </c>
      <c r="L83" s="182">
        <v>0</v>
      </c>
      <c r="M83" s="182">
        <v>0</v>
      </c>
      <c r="N83" s="182">
        <v>0</v>
      </c>
      <c r="O83" s="182">
        <v>0</v>
      </c>
      <c r="P83" s="182">
        <v>0</v>
      </c>
      <c r="Q83" s="182">
        <v>0</v>
      </c>
      <c r="R83" s="182">
        <v>0</v>
      </c>
      <c r="S83" s="182">
        <v>0</v>
      </c>
      <c r="T83" s="182">
        <v>0</v>
      </c>
      <c r="U83" s="182">
        <v>0</v>
      </c>
      <c r="V83" s="182">
        <v>0</v>
      </c>
      <c r="W83" s="182">
        <v>0</v>
      </c>
      <c r="X83" s="182">
        <v>0</v>
      </c>
      <c r="Y83" s="182">
        <v>0</v>
      </c>
      <c r="Z83" s="182">
        <v>0</v>
      </c>
      <c r="AA83" s="182">
        <v>0</v>
      </c>
      <c r="AB83" s="182">
        <v>0</v>
      </c>
      <c r="AC83" s="182">
        <v>0</v>
      </c>
      <c r="AD83" s="182">
        <v>0</v>
      </c>
      <c r="AE83" s="182">
        <v>0</v>
      </c>
      <c r="AF83" s="182">
        <v>0</v>
      </c>
      <c r="AG83" s="182">
        <v>0</v>
      </c>
      <c r="AH83" s="182">
        <v>0</v>
      </c>
      <c r="AI83" s="182">
        <v>0</v>
      </c>
      <c r="AJ83" s="182">
        <v>0</v>
      </c>
      <c r="AK83" s="182">
        <v>0</v>
      </c>
      <c r="AL83" s="182">
        <v>0</v>
      </c>
      <c r="AM83" s="182">
        <v>0</v>
      </c>
      <c r="AN83" s="182">
        <v>0</v>
      </c>
      <c r="AO83" s="182">
        <v>0</v>
      </c>
      <c r="AP83" s="182">
        <v>0</v>
      </c>
      <c r="AQ83" s="182">
        <v>0</v>
      </c>
      <c r="AR83" s="182">
        <v>0</v>
      </c>
      <c r="AS83" s="182">
        <v>0</v>
      </c>
      <c r="AT83" s="182">
        <v>0</v>
      </c>
      <c r="AU83" s="177">
        <f>k.aC.s1C</f>
        <v>1.7950116690339043E-10</v>
      </c>
      <c r="AV83" s="177">
        <v>0</v>
      </c>
      <c r="AW83" s="177">
        <v>0</v>
      </c>
      <c r="AX83" s="177">
        <v>0</v>
      </c>
      <c r="AY83" s="177">
        <v>0</v>
      </c>
      <c r="AZ83" s="177">
        <v>0</v>
      </c>
      <c r="BA83" s="177">
        <v>0</v>
      </c>
      <c r="BB83" s="168">
        <v>0</v>
      </c>
      <c r="BC83" s="168">
        <v>0</v>
      </c>
      <c r="BD83" s="168">
        <v>0</v>
      </c>
      <c r="BE83" s="168">
        <v>0</v>
      </c>
      <c r="BF83" s="182">
        <v>0</v>
      </c>
      <c r="BG83" s="182">
        <v>0</v>
      </c>
      <c r="BH83" s="182">
        <v>0</v>
      </c>
      <c r="BI83" s="182">
        <v>0</v>
      </c>
      <c r="BJ83" s="182">
        <v>0</v>
      </c>
      <c r="BK83" s="182">
        <v>0</v>
      </c>
      <c r="BL83" s="182">
        <v>0</v>
      </c>
      <c r="BM83" s="182">
        <v>0</v>
      </c>
      <c r="BN83" s="182">
        <v>0</v>
      </c>
      <c r="BO83" s="182">
        <v>0</v>
      </c>
      <c r="BP83" s="182">
        <v>0</v>
      </c>
      <c r="BQ83" s="182">
        <v>0</v>
      </c>
      <c r="BR83" s="182">
        <v>0</v>
      </c>
      <c r="BS83" s="182">
        <v>0</v>
      </c>
      <c r="BT83" s="182">
        <v>0</v>
      </c>
      <c r="BU83" s="182">
        <v>0</v>
      </c>
      <c r="BV83" s="177">
        <v>0</v>
      </c>
      <c r="BW83" s="177">
        <v>0</v>
      </c>
      <c r="BX83" s="177">
        <v>0</v>
      </c>
      <c r="BY83" s="177">
        <v>0</v>
      </c>
      <c r="BZ83" s="310">
        <f>-k.s1C-SUM(BZ9:BZ82,BZ84:BZ163)</f>
        <v>-1.5989553967171847E-7</v>
      </c>
      <c r="CA83" s="321">
        <f>kdis.s1S.s1D</f>
        <v>0</v>
      </c>
      <c r="CB83" s="321">
        <f>kdis.s1A.s1D</f>
        <v>0</v>
      </c>
      <c r="CC83" s="321">
        <f>kdis.s1P.s1D</f>
        <v>0</v>
      </c>
      <c r="CD83" s="182">
        <v>0</v>
      </c>
      <c r="CE83" s="182">
        <v>0</v>
      </c>
      <c r="CF83" s="182">
        <v>0</v>
      </c>
      <c r="CG83" s="182">
        <v>0</v>
      </c>
      <c r="CH83" s="182">
        <v>0</v>
      </c>
      <c r="CI83" s="182">
        <v>0</v>
      </c>
      <c r="CJ83" s="182">
        <v>0</v>
      </c>
      <c r="CK83" s="182">
        <v>0</v>
      </c>
      <c r="CL83" s="182">
        <v>0</v>
      </c>
      <c r="CM83" s="182">
        <v>0</v>
      </c>
      <c r="CN83" s="182">
        <v>0</v>
      </c>
      <c r="CO83" s="182">
        <v>0</v>
      </c>
      <c r="CP83" s="182">
        <v>0</v>
      </c>
      <c r="CQ83" s="182">
        <v>0</v>
      </c>
      <c r="CR83" s="182">
        <v>0</v>
      </c>
      <c r="CS83" s="182">
        <v>0</v>
      </c>
      <c r="CT83" s="182">
        <v>0</v>
      </c>
      <c r="CU83" s="182">
        <v>0</v>
      </c>
      <c r="CV83" s="182">
        <v>0</v>
      </c>
      <c r="CW83" s="182">
        <v>0</v>
      </c>
      <c r="CX83" s="182">
        <v>0</v>
      </c>
      <c r="CY83" s="182">
        <v>0</v>
      </c>
      <c r="CZ83" s="182">
        <v>0</v>
      </c>
      <c r="DA83" s="182">
        <v>0</v>
      </c>
      <c r="DB83" s="182">
        <v>0</v>
      </c>
      <c r="DC83" s="182">
        <v>0</v>
      </c>
      <c r="DD83" s="182">
        <v>0</v>
      </c>
      <c r="DE83" s="182">
        <v>0</v>
      </c>
      <c r="DF83" s="182">
        <v>0</v>
      </c>
      <c r="DG83" s="182">
        <v>0</v>
      </c>
      <c r="DH83" s="182">
        <v>0</v>
      </c>
      <c r="DI83" s="182">
        <v>0</v>
      </c>
      <c r="DJ83" s="182">
        <v>0</v>
      </c>
      <c r="DK83" s="182">
        <v>0</v>
      </c>
      <c r="DL83" s="182">
        <v>0</v>
      </c>
      <c r="DM83" s="182">
        <v>0</v>
      </c>
      <c r="DN83" s="182">
        <v>0</v>
      </c>
      <c r="DO83" s="182">
        <v>0</v>
      </c>
      <c r="DP83" s="182">
        <v>0</v>
      </c>
      <c r="DQ83" s="182">
        <v>0</v>
      </c>
      <c r="DR83" s="182">
        <v>0</v>
      </c>
      <c r="DS83" s="182">
        <v>0</v>
      </c>
      <c r="DT83" s="182">
        <v>0</v>
      </c>
      <c r="DU83" s="182">
        <v>0</v>
      </c>
      <c r="DV83" s="182">
        <v>0</v>
      </c>
      <c r="DW83" s="182">
        <v>0</v>
      </c>
      <c r="DX83" s="182">
        <v>0</v>
      </c>
      <c r="DY83" s="182">
        <v>0</v>
      </c>
      <c r="DZ83" s="182">
        <v>0</v>
      </c>
      <c r="EA83" s="182">
        <v>0</v>
      </c>
      <c r="EB83" s="182">
        <v>0</v>
      </c>
      <c r="EC83" s="182">
        <v>0</v>
      </c>
      <c r="ED83" s="182">
        <v>0</v>
      </c>
      <c r="EE83" s="182">
        <v>0</v>
      </c>
      <c r="EF83" s="182">
        <v>0</v>
      </c>
      <c r="EG83" s="182">
        <v>0</v>
      </c>
      <c r="EH83" s="182">
        <v>0</v>
      </c>
      <c r="EI83" s="182">
        <v>0</v>
      </c>
      <c r="EJ83" s="182">
        <v>0</v>
      </c>
      <c r="EK83" s="182">
        <v>0</v>
      </c>
      <c r="EL83" s="182">
        <v>0</v>
      </c>
      <c r="EM83" s="182">
        <v>0</v>
      </c>
      <c r="EN83" s="182">
        <v>0</v>
      </c>
      <c r="EO83" s="182">
        <v>0</v>
      </c>
      <c r="EP83" s="182">
        <v>0</v>
      </c>
      <c r="EQ83" s="182">
        <v>0</v>
      </c>
      <c r="ER83" s="182">
        <v>0</v>
      </c>
      <c r="ES83" s="182">
        <v>0</v>
      </c>
      <c r="ET83" s="182">
        <v>0</v>
      </c>
      <c r="EU83" s="182">
        <v>0</v>
      </c>
      <c r="EV83" s="182">
        <v>0</v>
      </c>
      <c r="EW83" s="182">
        <v>0</v>
      </c>
      <c r="EX83" s="182">
        <v>0</v>
      </c>
      <c r="EY83" s="182">
        <v>0</v>
      </c>
      <c r="EZ83" s="182">
        <v>0</v>
      </c>
      <c r="FA83" s="182">
        <v>0</v>
      </c>
      <c r="FB83" s="183">
        <v>0</v>
      </c>
    </row>
    <row r="84" spans="2:158" ht="12.75" customHeight="1" x14ac:dyDescent="0.3">
      <c r="B84" s="199" t="s">
        <v>3894</v>
      </c>
      <c r="C84" s="340"/>
      <c r="D84" s="182">
        <v>0</v>
      </c>
      <c r="E84" s="182">
        <v>0</v>
      </c>
      <c r="F84" s="182">
        <v>0</v>
      </c>
      <c r="G84" s="182">
        <v>0</v>
      </c>
      <c r="H84" s="182">
        <v>0</v>
      </c>
      <c r="I84" s="182">
        <v>0</v>
      </c>
      <c r="J84" s="182">
        <v>0</v>
      </c>
      <c r="K84" s="182">
        <v>0</v>
      </c>
      <c r="L84" s="182">
        <v>0</v>
      </c>
      <c r="M84" s="182">
        <v>0</v>
      </c>
      <c r="N84" s="182">
        <v>0</v>
      </c>
      <c r="O84" s="182">
        <v>0</v>
      </c>
      <c r="P84" s="182">
        <v>0</v>
      </c>
      <c r="Q84" s="182">
        <v>0</v>
      </c>
      <c r="R84" s="182">
        <v>0</v>
      </c>
      <c r="S84" s="182">
        <v>0</v>
      </c>
      <c r="T84" s="182">
        <v>0</v>
      </c>
      <c r="U84" s="182">
        <v>0</v>
      </c>
      <c r="V84" s="182">
        <v>0</v>
      </c>
      <c r="W84" s="182">
        <v>0</v>
      </c>
      <c r="X84" s="182">
        <v>0</v>
      </c>
      <c r="Y84" s="182">
        <v>0</v>
      </c>
      <c r="Z84" s="182">
        <v>0</v>
      </c>
      <c r="AA84" s="182">
        <v>0</v>
      </c>
      <c r="AB84" s="182">
        <v>0</v>
      </c>
      <c r="AC84" s="182">
        <v>0</v>
      </c>
      <c r="AD84" s="182">
        <v>0</v>
      </c>
      <c r="AE84" s="182">
        <v>0</v>
      </c>
      <c r="AF84" s="182">
        <v>0</v>
      </c>
      <c r="AG84" s="182">
        <v>0</v>
      </c>
      <c r="AH84" s="182">
        <v>0</v>
      </c>
      <c r="AI84" s="182">
        <v>0</v>
      </c>
      <c r="AJ84" s="182">
        <v>0</v>
      </c>
      <c r="AK84" s="182">
        <v>0</v>
      </c>
      <c r="AL84" s="182">
        <v>0</v>
      </c>
      <c r="AM84" s="182">
        <v>0</v>
      </c>
      <c r="AN84" s="182">
        <v>0</v>
      </c>
      <c r="AO84" s="182">
        <v>0</v>
      </c>
      <c r="AP84" s="182">
        <v>0</v>
      </c>
      <c r="AQ84" s="182">
        <v>0</v>
      </c>
      <c r="AR84" s="182">
        <v>0</v>
      </c>
      <c r="AS84" s="182">
        <v>0</v>
      </c>
      <c r="AT84" s="182">
        <v>0</v>
      </c>
      <c r="AU84" s="177">
        <v>0</v>
      </c>
      <c r="AV84" s="177">
        <f>k.aCS.s1CS</f>
        <v>2.0681845478294572E-7</v>
      </c>
      <c r="AW84" s="177">
        <v>0</v>
      </c>
      <c r="AX84" s="176">
        <v>0</v>
      </c>
      <c r="AY84" s="177">
        <f>k.cwCS.s1CS</f>
        <v>9.6728458524211268E-6</v>
      </c>
      <c r="AZ84" s="177">
        <v>0</v>
      </c>
      <c r="BA84" s="176">
        <v>0</v>
      </c>
      <c r="BB84" s="168">
        <v>0</v>
      </c>
      <c r="BC84" s="168">
        <v>0</v>
      </c>
      <c r="BD84" s="168">
        <v>0</v>
      </c>
      <c r="BE84" s="168">
        <v>0</v>
      </c>
      <c r="BF84" s="182">
        <v>0</v>
      </c>
      <c r="BG84" s="182">
        <v>0</v>
      </c>
      <c r="BH84" s="182">
        <v>0</v>
      </c>
      <c r="BI84" s="182">
        <v>0</v>
      </c>
      <c r="BJ84" s="182">
        <v>0</v>
      </c>
      <c r="BK84" s="182">
        <v>0</v>
      </c>
      <c r="BL84" s="182">
        <v>0</v>
      </c>
      <c r="BM84" s="182">
        <v>0</v>
      </c>
      <c r="BN84" s="182">
        <v>0</v>
      </c>
      <c r="BO84" s="182">
        <v>0</v>
      </c>
      <c r="BP84" s="182">
        <v>0</v>
      </c>
      <c r="BQ84" s="182">
        <v>0</v>
      </c>
      <c r="BR84" s="182">
        <v>0</v>
      </c>
      <c r="BS84" s="182">
        <v>0</v>
      </c>
      <c r="BT84" s="182">
        <v>0</v>
      </c>
      <c r="BU84" s="182">
        <v>0</v>
      </c>
      <c r="BV84" s="182">
        <v>0</v>
      </c>
      <c r="BW84" s="182">
        <v>0</v>
      </c>
      <c r="BX84" s="182">
        <v>0</v>
      </c>
      <c r="BY84" s="177">
        <v>0</v>
      </c>
      <c r="BZ84" s="323">
        <v>0</v>
      </c>
      <c r="CA84" s="181">
        <f>-k.s1CS-SUM(CA$9:CA83,CA85:CA$163)</f>
        <v>-2.0693943443037738E-2</v>
      </c>
      <c r="CB84" s="177">
        <v>0</v>
      </c>
      <c r="CC84" s="302">
        <v>0</v>
      </c>
      <c r="CD84" s="182">
        <v>0</v>
      </c>
      <c r="CE84" s="182">
        <v>0</v>
      </c>
      <c r="CF84" s="182">
        <v>0</v>
      </c>
      <c r="CG84" s="182">
        <v>0</v>
      </c>
      <c r="CH84" s="182">
        <v>0</v>
      </c>
      <c r="CI84" s="182">
        <v>0</v>
      </c>
      <c r="CJ84" s="182">
        <v>0</v>
      </c>
      <c r="CK84" s="182">
        <v>0</v>
      </c>
      <c r="CL84" s="182">
        <v>0</v>
      </c>
      <c r="CM84" s="182">
        <v>0</v>
      </c>
      <c r="CN84" s="182">
        <v>0</v>
      </c>
      <c r="CO84" s="182">
        <v>0</v>
      </c>
      <c r="CP84" s="182">
        <v>0</v>
      </c>
      <c r="CQ84" s="182">
        <v>0</v>
      </c>
      <c r="CR84" s="182">
        <v>0</v>
      </c>
      <c r="CS84" s="182">
        <v>0</v>
      </c>
      <c r="CT84" s="182">
        <v>0</v>
      </c>
      <c r="CU84" s="182">
        <v>0</v>
      </c>
      <c r="CV84" s="182">
        <v>0</v>
      </c>
      <c r="CW84" s="182">
        <v>0</v>
      </c>
      <c r="CX84" s="182">
        <v>0</v>
      </c>
      <c r="CY84" s="182">
        <v>0</v>
      </c>
      <c r="CZ84" s="182">
        <v>0</v>
      </c>
      <c r="DA84" s="182">
        <v>0</v>
      </c>
      <c r="DB84" s="182">
        <v>0</v>
      </c>
      <c r="DC84" s="182">
        <v>0</v>
      </c>
      <c r="DD84" s="182">
        <v>0</v>
      </c>
      <c r="DE84" s="182">
        <v>0</v>
      </c>
      <c r="DF84" s="182">
        <v>0</v>
      </c>
      <c r="DG84" s="182">
        <v>0</v>
      </c>
      <c r="DH84" s="182">
        <v>0</v>
      </c>
      <c r="DI84" s="182">
        <v>0</v>
      </c>
      <c r="DJ84" s="182">
        <v>0</v>
      </c>
      <c r="DK84" s="182">
        <v>0</v>
      </c>
      <c r="DL84" s="182">
        <v>0</v>
      </c>
      <c r="DM84" s="182">
        <v>0</v>
      </c>
      <c r="DN84" s="182">
        <v>0</v>
      </c>
      <c r="DO84" s="182">
        <v>0</v>
      </c>
      <c r="DP84" s="182">
        <v>0</v>
      </c>
      <c r="DQ84" s="182">
        <v>0</v>
      </c>
      <c r="DR84" s="182">
        <v>0</v>
      </c>
      <c r="DS84" s="182">
        <v>0</v>
      </c>
      <c r="DT84" s="182">
        <v>0</v>
      </c>
      <c r="DU84" s="182">
        <v>0</v>
      </c>
      <c r="DV84" s="182">
        <v>0</v>
      </c>
      <c r="DW84" s="182">
        <v>0</v>
      </c>
      <c r="DX84" s="182">
        <v>0</v>
      </c>
      <c r="DY84" s="182">
        <v>0</v>
      </c>
      <c r="DZ84" s="182">
        <v>0</v>
      </c>
      <c r="EA84" s="182">
        <v>0</v>
      </c>
      <c r="EB84" s="182">
        <v>0</v>
      </c>
      <c r="EC84" s="182">
        <v>0</v>
      </c>
      <c r="ED84" s="182">
        <v>0</v>
      </c>
      <c r="EE84" s="182">
        <v>0</v>
      </c>
      <c r="EF84" s="182">
        <v>0</v>
      </c>
      <c r="EG84" s="182">
        <v>0</v>
      </c>
      <c r="EH84" s="182">
        <v>0</v>
      </c>
      <c r="EI84" s="182">
        <v>0</v>
      </c>
      <c r="EJ84" s="182">
        <v>0</v>
      </c>
      <c r="EK84" s="182">
        <v>0</v>
      </c>
      <c r="EL84" s="182">
        <v>0</v>
      </c>
      <c r="EM84" s="182">
        <v>0</v>
      </c>
      <c r="EN84" s="182">
        <v>0</v>
      </c>
      <c r="EO84" s="182">
        <v>0</v>
      </c>
      <c r="EP84" s="182">
        <v>0</v>
      </c>
      <c r="EQ84" s="182">
        <v>0</v>
      </c>
      <c r="ER84" s="182">
        <v>0</v>
      </c>
      <c r="ES84" s="182">
        <v>0</v>
      </c>
      <c r="ET84" s="182">
        <v>0</v>
      </c>
      <c r="EU84" s="182">
        <v>0</v>
      </c>
      <c r="EV84" s="182">
        <v>0</v>
      </c>
      <c r="EW84" s="182">
        <v>0</v>
      </c>
      <c r="EX84" s="182">
        <v>0</v>
      </c>
      <c r="EY84" s="182">
        <v>0</v>
      </c>
      <c r="EZ84" s="182">
        <v>0</v>
      </c>
      <c r="FA84" s="182">
        <v>0</v>
      </c>
      <c r="FB84" s="183">
        <v>0</v>
      </c>
    </row>
    <row r="85" spans="2:158" ht="12.75" customHeight="1" x14ac:dyDescent="0.3">
      <c r="B85" s="199" t="s">
        <v>3895</v>
      </c>
      <c r="C85" s="340"/>
      <c r="D85" s="182">
        <v>0</v>
      </c>
      <c r="E85" s="182">
        <v>0</v>
      </c>
      <c r="F85" s="182">
        <v>0</v>
      </c>
      <c r="G85" s="182">
        <v>0</v>
      </c>
      <c r="H85" s="182">
        <v>0</v>
      </c>
      <c r="I85" s="182">
        <v>0</v>
      </c>
      <c r="J85" s="182">
        <v>0</v>
      </c>
      <c r="K85" s="182">
        <v>0</v>
      </c>
      <c r="L85" s="182">
        <v>0</v>
      </c>
      <c r="M85" s="182">
        <v>0</v>
      </c>
      <c r="N85" s="182">
        <v>0</v>
      </c>
      <c r="O85" s="182">
        <v>0</v>
      </c>
      <c r="P85" s="182">
        <v>0</v>
      </c>
      <c r="Q85" s="182">
        <v>0</v>
      </c>
      <c r="R85" s="182">
        <v>0</v>
      </c>
      <c r="S85" s="182">
        <v>0</v>
      </c>
      <c r="T85" s="182">
        <v>0</v>
      </c>
      <c r="U85" s="182">
        <v>0</v>
      </c>
      <c r="V85" s="182">
        <v>0</v>
      </c>
      <c r="W85" s="182">
        <v>0</v>
      </c>
      <c r="X85" s="182">
        <v>0</v>
      </c>
      <c r="Y85" s="182">
        <v>0</v>
      </c>
      <c r="Z85" s="182">
        <v>0</v>
      </c>
      <c r="AA85" s="182">
        <v>0</v>
      </c>
      <c r="AB85" s="182">
        <v>0</v>
      </c>
      <c r="AC85" s="182">
        <v>0</v>
      </c>
      <c r="AD85" s="182">
        <v>0</v>
      </c>
      <c r="AE85" s="182">
        <v>0</v>
      </c>
      <c r="AF85" s="182">
        <v>0</v>
      </c>
      <c r="AG85" s="182">
        <v>0</v>
      </c>
      <c r="AH85" s="182">
        <v>0</v>
      </c>
      <c r="AI85" s="182">
        <v>0</v>
      </c>
      <c r="AJ85" s="182">
        <v>0</v>
      </c>
      <c r="AK85" s="182">
        <v>0</v>
      </c>
      <c r="AL85" s="182">
        <v>0</v>
      </c>
      <c r="AM85" s="182">
        <v>0</v>
      </c>
      <c r="AN85" s="182">
        <v>0</v>
      </c>
      <c r="AO85" s="182">
        <v>0</v>
      </c>
      <c r="AP85" s="182">
        <v>0</v>
      </c>
      <c r="AQ85" s="182">
        <v>0</v>
      </c>
      <c r="AR85" s="182">
        <v>0</v>
      </c>
      <c r="AS85" s="182">
        <v>0</v>
      </c>
      <c r="AT85" s="182">
        <v>0</v>
      </c>
      <c r="AU85" s="177">
        <v>0</v>
      </c>
      <c r="AV85" s="177">
        <v>0</v>
      </c>
      <c r="AW85" s="177">
        <f>k.aCA.s1CA</f>
        <v>3.5788425549224596E-8</v>
      </c>
      <c r="AX85" s="176">
        <v>0</v>
      </c>
      <c r="AY85" s="177">
        <v>0</v>
      </c>
      <c r="AZ85" s="177">
        <f>k.cwCA.s1CA</f>
        <v>9.6728458524211268E-6</v>
      </c>
      <c r="BA85" s="176">
        <v>0</v>
      </c>
      <c r="BB85" s="168">
        <v>0</v>
      </c>
      <c r="BC85" s="168">
        <v>0</v>
      </c>
      <c r="BD85" s="168">
        <v>0</v>
      </c>
      <c r="BE85" s="168">
        <v>0</v>
      </c>
      <c r="BF85" s="182">
        <v>0</v>
      </c>
      <c r="BG85" s="182">
        <v>0</v>
      </c>
      <c r="BH85" s="182">
        <v>0</v>
      </c>
      <c r="BI85" s="182">
        <v>0</v>
      </c>
      <c r="BJ85" s="182">
        <v>0</v>
      </c>
      <c r="BK85" s="182">
        <v>0</v>
      </c>
      <c r="BL85" s="182">
        <v>0</v>
      </c>
      <c r="BM85" s="182">
        <v>0</v>
      </c>
      <c r="BN85" s="182">
        <v>0</v>
      </c>
      <c r="BO85" s="182">
        <v>0</v>
      </c>
      <c r="BP85" s="182">
        <v>0</v>
      </c>
      <c r="BQ85" s="182">
        <v>0</v>
      </c>
      <c r="BR85" s="182">
        <v>0</v>
      </c>
      <c r="BS85" s="182">
        <v>0</v>
      </c>
      <c r="BT85" s="182">
        <v>0</v>
      </c>
      <c r="BU85" s="182">
        <v>0</v>
      </c>
      <c r="BV85" s="182">
        <v>0</v>
      </c>
      <c r="BW85" s="182">
        <v>0</v>
      </c>
      <c r="BX85" s="182">
        <v>0</v>
      </c>
      <c r="BY85" s="182">
        <v>0</v>
      </c>
      <c r="BZ85" s="323">
        <v>0</v>
      </c>
      <c r="CA85" s="177">
        <f>k.s1CS.s1CA</f>
        <v>1.5803861528693407E-2</v>
      </c>
      <c r="CB85" s="181">
        <f>-k.s1CA-SUM(CB$9:CB84,CB86:CB$163)</f>
        <v>-1.4200223351680569E-7</v>
      </c>
      <c r="CC85" s="302">
        <v>0</v>
      </c>
      <c r="CD85" s="177">
        <v>0</v>
      </c>
      <c r="CE85" s="182">
        <v>0</v>
      </c>
      <c r="CF85" s="182">
        <v>0</v>
      </c>
      <c r="CG85" s="182">
        <v>0</v>
      </c>
      <c r="CH85" s="182">
        <v>0</v>
      </c>
      <c r="CI85" s="182">
        <v>0</v>
      </c>
      <c r="CJ85" s="182">
        <v>0</v>
      </c>
      <c r="CK85" s="182">
        <v>0</v>
      </c>
      <c r="CL85" s="182">
        <v>0</v>
      </c>
      <c r="CM85" s="182">
        <v>0</v>
      </c>
      <c r="CN85" s="182">
        <v>0</v>
      </c>
      <c r="CO85" s="182">
        <v>0</v>
      </c>
      <c r="CP85" s="182">
        <v>0</v>
      </c>
      <c r="CQ85" s="182">
        <v>0</v>
      </c>
      <c r="CR85" s="182">
        <v>0</v>
      </c>
      <c r="CS85" s="182">
        <v>0</v>
      </c>
      <c r="CT85" s="182">
        <v>0</v>
      </c>
      <c r="CU85" s="182">
        <v>0</v>
      </c>
      <c r="CV85" s="182">
        <v>0</v>
      </c>
      <c r="CW85" s="182">
        <v>0</v>
      </c>
      <c r="CX85" s="182">
        <v>0</v>
      </c>
      <c r="CY85" s="182">
        <v>0</v>
      </c>
      <c r="CZ85" s="182">
        <v>0</v>
      </c>
      <c r="DA85" s="182">
        <v>0</v>
      </c>
      <c r="DB85" s="182">
        <v>0</v>
      </c>
      <c r="DC85" s="182">
        <v>0</v>
      </c>
      <c r="DD85" s="182">
        <v>0</v>
      </c>
      <c r="DE85" s="182">
        <v>0</v>
      </c>
      <c r="DF85" s="182">
        <v>0</v>
      </c>
      <c r="DG85" s="182">
        <v>0</v>
      </c>
      <c r="DH85" s="182">
        <v>0</v>
      </c>
      <c r="DI85" s="182">
        <v>0</v>
      </c>
      <c r="DJ85" s="182">
        <v>0</v>
      </c>
      <c r="DK85" s="182">
        <v>0</v>
      </c>
      <c r="DL85" s="182">
        <v>0</v>
      </c>
      <c r="DM85" s="182">
        <v>0</v>
      </c>
      <c r="DN85" s="182">
        <v>0</v>
      </c>
      <c r="DO85" s="182">
        <v>0</v>
      </c>
      <c r="DP85" s="182">
        <v>0</v>
      </c>
      <c r="DQ85" s="182">
        <v>0</v>
      </c>
      <c r="DR85" s="182">
        <v>0</v>
      </c>
      <c r="DS85" s="182">
        <v>0</v>
      </c>
      <c r="DT85" s="182">
        <v>0</v>
      </c>
      <c r="DU85" s="182">
        <v>0</v>
      </c>
      <c r="DV85" s="182">
        <v>0</v>
      </c>
      <c r="DW85" s="182">
        <v>0</v>
      </c>
      <c r="DX85" s="182">
        <v>0</v>
      </c>
      <c r="DY85" s="182">
        <v>0</v>
      </c>
      <c r="DZ85" s="182">
        <v>0</v>
      </c>
      <c r="EA85" s="182">
        <v>0</v>
      </c>
      <c r="EB85" s="182">
        <v>0</v>
      </c>
      <c r="EC85" s="182">
        <v>0</v>
      </c>
      <c r="ED85" s="182">
        <v>0</v>
      </c>
      <c r="EE85" s="182">
        <v>0</v>
      </c>
      <c r="EF85" s="182">
        <v>0</v>
      </c>
      <c r="EG85" s="182">
        <v>0</v>
      </c>
      <c r="EH85" s="182">
        <v>0</v>
      </c>
      <c r="EI85" s="182">
        <v>0</v>
      </c>
      <c r="EJ85" s="182">
        <v>0</v>
      </c>
      <c r="EK85" s="182">
        <v>0</v>
      </c>
      <c r="EL85" s="182">
        <v>0</v>
      </c>
      <c r="EM85" s="182">
        <v>0</v>
      </c>
      <c r="EN85" s="182">
        <v>0</v>
      </c>
      <c r="EO85" s="182">
        <v>0</v>
      </c>
      <c r="EP85" s="182">
        <v>0</v>
      </c>
      <c r="EQ85" s="182">
        <v>0</v>
      </c>
      <c r="ER85" s="182">
        <v>0</v>
      </c>
      <c r="ES85" s="182">
        <v>0</v>
      </c>
      <c r="ET85" s="182">
        <v>0</v>
      </c>
      <c r="EU85" s="182">
        <v>0</v>
      </c>
      <c r="EV85" s="182">
        <v>0</v>
      </c>
      <c r="EW85" s="182">
        <v>0</v>
      </c>
      <c r="EX85" s="182">
        <v>0</v>
      </c>
      <c r="EY85" s="182">
        <v>0</v>
      </c>
      <c r="EZ85" s="182">
        <v>0</v>
      </c>
      <c r="FA85" s="182">
        <v>0</v>
      </c>
      <c r="FB85" s="183">
        <v>0</v>
      </c>
    </row>
    <row r="86" spans="2:158" ht="12.75" customHeight="1" x14ac:dyDescent="0.3">
      <c r="B86" s="199" t="s">
        <v>3896</v>
      </c>
      <c r="C86" s="340"/>
      <c r="D86" s="182">
        <v>0</v>
      </c>
      <c r="E86" s="182">
        <v>0</v>
      </c>
      <c r="F86" s="182">
        <v>0</v>
      </c>
      <c r="G86" s="182">
        <v>0</v>
      </c>
      <c r="H86" s="182">
        <v>0</v>
      </c>
      <c r="I86" s="182">
        <v>0</v>
      </c>
      <c r="J86" s="182">
        <v>0</v>
      </c>
      <c r="K86" s="182">
        <v>0</v>
      </c>
      <c r="L86" s="182">
        <v>0</v>
      </c>
      <c r="M86" s="182">
        <v>0</v>
      </c>
      <c r="N86" s="182">
        <v>0</v>
      </c>
      <c r="O86" s="182">
        <v>0</v>
      </c>
      <c r="P86" s="182">
        <v>0</v>
      </c>
      <c r="Q86" s="182">
        <v>0</v>
      </c>
      <c r="R86" s="182">
        <v>0</v>
      </c>
      <c r="S86" s="182">
        <v>0</v>
      </c>
      <c r="T86" s="182">
        <v>0</v>
      </c>
      <c r="U86" s="182">
        <v>0</v>
      </c>
      <c r="V86" s="182">
        <v>0</v>
      </c>
      <c r="W86" s="182">
        <v>0</v>
      </c>
      <c r="X86" s="182">
        <v>0</v>
      </c>
      <c r="Y86" s="182">
        <v>0</v>
      </c>
      <c r="Z86" s="182">
        <v>0</v>
      </c>
      <c r="AA86" s="182">
        <v>0</v>
      </c>
      <c r="AB86" s="182">
        <v>0</v>
      </c>
      <c r="AC86" s="182">
        <v>0</v>
      </c>
      <c r="AD86" s="182">
        <v>0</v>
      </c>
      <c r="AE86" s="182">
        <v>0</v>
      </c>
      <c r="AF86" s="182">
        <v>0</v>
      </c>
      <c r="AG86" s="182">
        <v>0</v>
      </c>
      <c r="AH86" s="182">
        <v>0</v>
      </c>
      <c r="AI86" s="182">
        <v>0</v>
      </c>
      <c r="AJ86" s="182">
        <v>0</v>
      </c>
      <c r="AK86" s="182">
        <v>0</v>
      </c>
      <c r="AL86" s="182">
        <v>0</v>
      </c>
      <c r="AM86" s="182">
        <v>0</v>
      </c>
      <c r="AN86" s="182">
        <v>0</v>
      </c>
      <c r="AO86" s="182">
        <v>0</v>
      </c>
      <c r="AP86" s="182">
        <v>0</v>
      </c>
      <c r="AQ86" s="182">
        <v>0</v>
      </c>
      <c r="AR86" s="182">
        <v>0</v>
      </c>
      <c r="AS86" s="182">
        <v>0</v>
      </c>
      <c r="AT86" s="182">
        <v>0</v>
      </c>
      <c r="AU86" s="177">
        <v>0</v>
      </c>
      <c r="AV86" s="177">
        <v>0</v>
      </c>
      <c r="AW86" s="177">
        <v>0</v>
      </c>
      <c r="AX86" s="176">
        <f>k.aCP.s1CP</f>
        <v>1.3073265720083687E-7</v>
      </c>
      <c r="AY86" s="177">
        <v>0</v>
      </c>
      <c r="AZ86" s="177">
        <v>0</v>
      </c>
      <c r="BA86" s="176">
        <f>k.cwCP.s1CP</f>
        <v>9.6728458524211268E-6</v>
      </c>
      <c r="BB86" s="168">
        <v>0</v>
      </c>
      <c r="BC86" s="168">
        <v>0</v>
      </c>
      <c r="BD86" s="168">
        <v>0</v>
      </c>
      <c r="BE86" s="168">
        <v>0</v>
      </c>
      <c r="BF86" s="182">
        <v>0</v>
      </c>
      <c r="BG86" s="182">
        <v>0</v>
      </c>
      <c r="BH86" s="182">
        <v>0</v>
      </c>
      <c r="BI86" s="182">
        <v>0</v>
      </c>
      <c r="BJ86" s="182">
        <v>0</v>
      </c>
      <c r="BK86" s="182">
        <v>0</v>
      </c>
      <c r="BL86" s="182">
        <v>0</v>
      </c>
      <c r="BM86" s="182">
        <v>0</v>
      </c>
      <c r="BN86" s="182">
        <v>0</v>
      </c>
      <c r="BO86" s="182">
        <v>0</v>
      </c>
      <c r="BP86" s="182">
        <v>0</v>
      </c>
      <c r="BQ86" s="182">
        <v>0</v>
      </c>
      <c r="BR86" s="182">
        <v>0</v>
      </c>
      <c r="BS86" s="182">
        <v>0</v>
      </c>
      <c r="BT86" s="182">
        <v>0</v>
      </c>
      <c r="BU86" s="182">
        <v>0</v>
      </c>
      <c r="BV86" s="182">
        <v>0</v>
      </c>
      <c r="BW86" s="182">
        <v>0</v>
      </c>
      <c r="BX86" s="182">
        <v>0</v>
      </c>
      <c r="BY86" s="182">
        <v>0</v>
      </c>
      <c r="BZ86" s="303">
        <v>0</v>
      </c>
      <c r="CA86" s="304">
        <f>k.s1CS.s1CP</f>
        <v>4.8899399121108134E-3</v>
      </c>
      <c r="CB86" s="304">
        <v>0</v>
      </c>
      <c r="CC86" s="181">
        <f>-k.s1CP-SUM(CC$9:CC85,CC87:CC$163)</f>
        <v>-1.9025875190258751E-11</v>
      </c>
      <c r="CD86" s="177">
        <v>0</v>
      </c>
      <c r="CE86" s="177">
        <v>0</v>
      </c>
      <c r="CF86" s="182">
        <v>0</v>
      </c>
      <c r="CG86" s="182">
        <v>0</v>
      </c>
      <c r="CH86" s="182">
        <v>0</v>
      </c>
      <c r="CI86" s="182">
        <v>0</v>
      </c>
      <c r="CJ86" s="182">
        <v>0</v>
      </c>
      <c r="CK86" s="182">
        <v>0</v>
      </c>
      <c r="CL86" s="182">
        <v>0</v>
      </c>
      <c r="CM86" s="182">
        <v>0</v>
      </c>
      <c r="CN86" s="182">
        <v>0</v>
      </c>
      <c r="CO86" s="182">
        <v>0</v>
      </c>
      <c r="CP86" s="182">
        <v>0</v>
      </c>
      <c r="CQ86" s="182">
        <v>0</v>
      </c>
      <c r="CR86" s="182">
        <v>0</v>
      </c>
      <c r="CS86" s="182">
        <v>0</v>
      </c>
      <c r="CT86" s="182">
        <v>0</v>
      </c>
      <c r="CU86" s="182">
        <v>0</v>
      </c>
      <c r="CV86" s="182">
        <v>0</v>
      </c>
      <c r="CW86" s="182">
        <v>0</v>
      </c>
      <c r="CX86" s="182">
        <v>0</v>
      </c>
      <c r="CY86" s="182">
        <v>0</v>
      </c>
      <c r="CZ86" s="182">
        <v>0</v>
      </c>
      <c r="DA86" s="182">
        <v>0</v>
      </c>
      <c r="DB86" s="182">
        <v>0</v>
      </c>
      <c r="DC86" s="182">
        <v>0</v>
      </c>
      <c r="DD86" s="182">
        <v>0</v>
      </c>
      <c r="DE86" s="182">
        <v>0</v>
      </c>
      <c r="DF86" s="182">
        <v>0</v>
      </c>
      <c r="DG86" s="182">
        <v>0</v>
      </c>
      <c r="DH86" s="182">
        <v>0</v>
      </c>
      <c r="DI86" s="182">
        <v>0</v>
      </c>
      <c r="DJ86" s="182">
        <v>0</v>
      </c>
      <c r="DK86" s="182">
        <v>0</v>
      </c>
      <c r="DL86" s="182">
        <v>0</v>
      </c>
      <c r="DM86" s="182">
        <v>0</v>
      </c>
      <c r="DN86" s="182">
        <v>0</v>
      </c>
      <c r="DO86" s="182">
        <v>0</v>
      </c>
      <c r="DP86" s="182">
        <v>0</v>
      </c>
      <c r="DQ86" s="182">
        <v>0</v>
      </c>
      <c r="DR86" s="182">
        <v>0</v>
      </c>
      <c r="DS86" s="182">
        <v>0</v>
      </c>
      <c r="DT86" s="182">
        <v>0</v>
      </c>
      <c r="DU86" s="182">
        <v>0</v>
      </c>
      <c r="DV86" s="182">
        <v>0</v>
      </c>
      <c r="DW86" s="182">
        <v>0</v>
      </c>
      <c r="DX86" s="182">
        <v>0</v>
      </c>
      <c r="DY86" s="182">
        <v>0</v>
      </c>
      <c r="DZ86" s="182">
        <v>0</v>
      </c>
      <c r="EA86" s="182">
        <v>0</v>
      </c>
      <c r="EB86" s="182">
        <v>0</v>
      </c>
      <c r="EC86" s="182">
        <v>0</v>
      </c>
      <c r="ED86" s="182">
        <v>0</v>
      </c>
      <c r="EE86" s="182">
        <v>0</v>
      </c>
      <c r="EF86" s="182">
        <v>0</v>
      </c>
      <c r="EG86" s="182">
        <v>0</v>
      </c>
      <c r="EH86" s="182">
        <v>0</v>
      </c>
      <c r="EI86" s="182">
        <v>0</v>
      </c>
      <c r="EJ86" s="182">
        <v>0</v>
      </c>
      <c r="EK86" s="182">
        <v>0</v>
      </c>
      <c r="EL86" s="182">
        <v>0</v>
      </c>
      <c r="EM86" s="182">
        <v>0</v>
      </c>
      <c r="EN86" s="182">
        <v>0</v>
      </c>
      <c r="EO86" s="182">
        <v>0</v>
      </c>
      <c r="EP86" s="182">
        <v>0</v>
      </c>
      <c r="EQ86" s="182">
        <v>0</v>
      </c>
      <c r="ER86" s="182">
        <v>0</v>
      </c>
      <c r="ES86" s="182">
        <v>0</v>
      </c>
      <c r="ET86" s="182">
        <v>0</v>
      </c>
      <c r="EU86" s="182">
        <v>0</v>
      </c>
      <c r="EV86" s="182">
        <v>0</v>
      </c>
      <c r="EW86" s="182">
        <v>0</v>
      </c>
      <c r="EX86" s="182">
        <v>0</v>
      </c>
      <c r="EY86" s="182">
        <v>0</v>
      </c>
      <c r="EZ86" s="182">
        <v>0</v>
      </c>
      <c r="FA86" s="182">
        <v>0</v>
      </c>
      <c r="FB86" s="183">
        <v>0</v>
      </c>
    </row>
    <row r="87" spans="2:158" ht="12.75" customHeight="1" x14ac:dyDescent="0.3">
      <c r="B87" s="199" t="s">
        <v>3897</v>
      </c>
      <c r="C87" s="340"/>
      <c r="D87" s="182">
        <v>0</v>
      </c>
      <c r="E87" s="182">
        <v>0</v>
      </c>
      <c r="F87" s="182">
        <v>0</v>
      </c>
      <c r="G87" s="182">
        <v>0</v>
      </c>
      <c r="H87" s="182">
        <v>0</v>
      </c>
      <c r="I87" s="182">
        <v>0</v>
      </c>
      <c r="J87" s="182">
        <v>0</v>
      </c>
      <c r="K87" s="182">
        <v>0</v>
      </c>
      <c r="L87" s="182">
        <v>0</v>
      </c>
      <c r="M87" s="182">
        <v>0</v>
      </c>
      <c r="N87" s="182">
        <v>0</v>
      </c>
      <c r="O87" s="182">
        <v>0</v>
      </c>
      <c r="P87" s="182">
        <v>0</v>
      </c>
      <c r="Q87" s="182">
        <v>0</v>
      </c>
      <c r="R87" s="182">
        <v>0</v>
      </c>
      <c r="S87" s="182">
        <v>0</v>
      </c>
      <c r="T87" s="182">
        <v>0</v>
      </c>
      <c r="U87" s="182">
        <v>0</v>
      </c>
      <c r="V87" s="182">
        <v>0</v>
      </c>
      <c r="W87" s="182">
        <v>0</v>
      </c>
      <c r="X87" s="182">
        <v>0</v>
      </c>
      <c r="Y87" s="182">
        <v>0</v>
      </c>
      <c r="Z87" s="182">
        <v>0</v>
      </c>
      <c r="AA87" s="182">
        <v>0</v>
      </c>
      <c r="AB87" s="182">
        <v>0</v>
      </c>
      <c r="AC87" s="182">
        <v>0</v>
      </c>
      <c r="AD87" s="182">
        <v>0</v>
      </c>
      <c r="AE87" s="182">
        <v>0</v>
      </c>
      <c r="AF87" s="182">
        <v>0</v>
      </c>
      <c r="AG87" s="182">
        <v>0</v>
      </c>
      <c r="AH87" s="182">
        <v>0</v>
      </c>
      <c r="AI87" s="182">
        <v>0</v>
      </c>
      <c r="AJ87" s="182">
        <v>0</v>
      </c>
      <c r="AK87" s="182">
        <v>0</v>
      </c>
      <c r="AL87" s="182">
        <v>0</v>
      </c>
      <c r="AM87" s="182">
        <v>0</v>
      </c>
      <c r="AN87" s="182">
        <v>0</v>
      </c>
      <c r="AO87" s="182">
        <v>0</v>
      </c>
      <c r="AP87" s="182">
        <v>0</v>
      </c>
      <c r="AQ87" s="182">
        <v>0</v>
      </c>
      <c r="AR87" s="182">
        <v>0</v>
      </c>
      <c r="AS87" s="182">
        <v>0</v>
      </c>
      <c r="AT87" s="182">
        <v>0</v>
      </c>
      <c r="AU87" s="177">
        <f>k.aC.s2C</f>
        <v>3.9889148200753424E-10</v>
      </c>
      <c r="AV87" s="177">
        <v>0</v>
      </c>
      <c r="AW87" s="177">
        <v>0</v>
      </c>
      <c r="AX87" s="177">
        <v>0</v>
      </c>
      <c r="AY87" s="177">
        <v>0</v>
      </c>
      <c r="AZ87" s="177">
        <v>0</v>
      </c>
      <c r="BA87" s="177">
        <v>0</v>
      </c>
      <c r="BB87" s="168">
        <v>0</v>
      </c>
      <c r="BC87" s="168">
        <v>0</v>
      </c>
      <c r="BD87" s="168">
        <v>0</v>
      </c>
      <c r="BE87" s="168">
        <v>0</v>
      </c>
      <c r="BF87" s="182">
        <v>0</v>
      </c>
      <c r="BG87" s="182">
        <v>0</v>
      </c>
      <c r="BH87" s="182">
        <v>0</v>
      </c>
      <c r="BI87" s="182">
        <v>0</v>
      </c>
      <c r="BJ87" s="182">
        <v>0</v>
      </c>
      <c r="BK87" s="182">
        <v>0</v>
      </c>
      <c r="BL87" s="182">
        <v>0</v>
      </c>
      <c r="BM87" s="182">
        <v>0</v>
      </c>
      <c r="BN87" s="182">
        <v>0</v>
      </c>
      <c r="BO87" s="182">
        <v>0</v>
      </c>
      <c r="BP87" s="182">
        <v>0</v>
      </c>
      <c r="BQ87" s="182">
        <v>0</v>
      </c>
      <c r="BR87" s="182">
        <v>0</v>
      </c>
      <c r="BS87" s="182">
        <v>0</v>
      </c>
      <c r="BT87" s="182">
        <v>0</v>
      </c>
      <c r="BU87" s="182">
        <v>0</v>
      </c>
      <c r="BV87" s="182">
        <v>0</v>
      </c>
      <c r="BW87" s="182">
        <v>0</v>
      </c>
      <c r="BX87" s="182">
        <v>0</v>
      </c>
      <c r="BY87" s="182">
        <v>0</v>
      </c>
      <c r="BZ87" s="182">
        <v>0</v>
      </c>
      <c r="CA87" s="182">
        <v>0</v>
      </c>
      <c r="CB87" s="177">
        <v>0</v>
      </c>
      <c r="CC87" s="177">
        <v>0</v>
      </c>
      <c r="CD87" s="310">
        <f>-k.s2C-SUM(CD9:CD86,CD88:CD163)</f>
        <v>-9.6442034797408584E-8</v>
      </c>
      <c r="CE87" s="321">
        <f>kdis.s2S.s2D</f>
        <v>0</v>
      </c>
      <c r="CF87" s="321">
        <f>kdis.s2A.s2D</f>
        <v>0</v>
      </c>
      <c r="CG87" s="321">
        <f>kdis.s2P.s2D</f>
        <v>0</v>
      </c>
      <c r="CH87" s="182">
        <v>0</v>
      </c>
      <c r="CI87" s="182">
        <v>0</v>
      </c>
      <c r="CJ87" s="182">
        <v>0</v>
      </c>
      <c r="CK87" s="182">
        <v>0</v>
      </c>
      <c r="CL87" s="182">
        <v>0</v>
      </c>
      <c r="CM87" s="182">
        <v>0</v>
      </c>
      <c r="CN87" s="182">
        <v>0</v>
      </c>
      <c r="CO87" s="182">
        <v>0</v>
      </c>
      <c r="CP87" s="182">
        <v>0</v>
      </c>
      <c r="CQ87" s="182">
        <v>0</v>
      </c>
      <c r="CR87" s="182">
        <v>0</v>
      </c>
      <c r="CS87" s="182">
        <v>0</v>
      </c>
      <c r="CT87" s="182">
        <v>0</v>
      </c>
      <c r="CU87" s="182">
        <v>0</v>
      </c>
      <c r="CV87" s="182">
        <v>0</v>
      </c>
      <c r="CW87" s="182">
        <v>0</v>
      </c>
      <c r="CX87" s="182">
        <v>0</v>
      </c>
      <c r="CY87" s="182">
        <v>0</v>
      </c>
      <c r="CZ87" s="182">
        <v>0</v>
      </c>
      <c r="DA87" s="182">
        <v>0</v>
      </c>
      <c r="DB87" s="182">
        <v>0</v>
      </c>
      <c r="DC87" s="182">
        <v>0</v>
      </c>
      <c r="DD87" s="182">
        <v>0</v>
      </c>
      <c r="DE87" s="182">
        <v>0</v>
      </c>
      <c r="DF87" s="182">
        <v>0</v>
      </c>
      <c r="DG87" s="182">
        <v>0</v>
      </c>
      <c r="DH87" s="182">
        <v>0</v>
      </c>
      <c r="DI87" s="182">
        <v>0</v>
      </c>
      <c r="DJ87" s="182">
        <v>0</v>
      </c>
      <c r="DK87" s="182">
        <v>0</v>
      </c>
      <c r="DL87" s="182">
        <v>0</v>
      </c>
      <c r="DM87" s="182">
        <v>0</v>
      </c>
      <c r="DN87" s="182">
        <v>0</v>
      </c>
      <c r="DO87" s="182">
        <v>0</v>
      </c>
      <c r="DP87" s="182">
        <v>0</v>
      </c>
      <c r="DQ87" s="182">
        <v>0</v>
      </c>
      <c r="DR87" s="182">
        <v>0</v>
      </c>
      <c r="DS87" s="182">
        <v>0</v>
      </c>
      <c r="DT87" s="182">
        <v>0</v>
      </c>
      <c r="DU87" s="182">
        <v>0</v>
      </c>
      <c r="DV87" s="182">
        <v>0</v>
      </c>
      <c r="DW87" s="182">
        <v>0</v>
      </c>
      <c r="DX87" s="182">
        <v>0</v>
      </c>
      <c r="DY87" s="182">
        <v>0</v>
      </c>
      <c r="DZ87" s="182">
        <v>0</v>
      </c>
      <c r="EA87" s="182">
        <v>0</v>
      </c>
      <c r="EB87" s="182">
        <v>0</v>
      </c>
      <c r="EC87" s="182">
        <v>0</v>
      </c>
      <c r="ED87" s="182">
        <v>0</v>
      </c>
      <c r="EE87" s="182">
        <v>0</v>
      </c>
      <c r="EF87" s="182">
        <v>0</v>
      </c>
      <c r="EG87" s="182">
        <v>0</v>
      </c>
      <c r="EH87" s="182">
        <v>0</v>
      </c>
      <c r="EI87" s="182">
        <v>0</v>
      </c>
      <c r="EJ87" s="182">
        <v>0</v>
      </c>
      <c r="EK87" s="182">
        <v>0</v>
      </c>
      <c r="EL87" s="182">
        <v>0</v>
      </c>
      <c r="EM87" s="182">
        <v>0</v>
      </c>
      <c r="EN87" s="182">
        <v>0</v>
      </c>
      <c r="EO87" s="182">
        <v>0</v>
      </c>
      <c r="EP87" s="182">
        <v>0</v>
      </c>
      <c r="EQ87" s="182">
        <v>0</v>
      </c>
      <c r="ER87" s="182">
        <v>0</v>
      </c>
      <c r="ES87" s="182">
        <v>0</v>
      </c>
      <c r="ET87" s="182">
        <v>0</v>
      </c>
      <c r="EU87" s="182">
        <v>0</v>
      </c>
      <c r="EV87" s="182">
        <v>0</v>
      </c>
      <c r="EW87" s="182">
        <v>0</v>
      </c>
      <c r="EX87" s="182">
        <v>0</v>
      </c>
      <c r="EY87" s="182">
        <v>0</v>
      </c>
      <c r="EZ87" s="182">
        <v>0</v>
      </c>
      <c r="FA87" s="182">
        <v>0</v>
      </c>
      <c r="FB87" s="183">
        <v>0</v>
      </c>
    </row>
    <row r="88" spans="2:158" ht="12.75" customHeight="1" x14ac:dyDescent="0.3">
      <c r="B88" s="199" t="s">
        <v>3898</v>
      </c>
      <c r="C88" s="340"/>
      <c r="D88" s="182">
        <v>0</v>
      </c>
      <c r="E88" s="182">
        <v>0</v>
      </c>
      <c r="F88" s="182">
        <v>0</v>
      </c>
      <c r="G88" s="182">
        <v>0</v>
      </c>
      <c r="H88" s="182">
        <v>0</v>
      </c>
      <c r="I88" s="182">
        <v>0</v>
      </c>
      <c r="J88" s="182">
        <v>0</v>
      </c>
      <c r="K88" s="182">
        <v>0</v>
      </c>
      <c r="L88" s="182">
        <v>0</v>
      </c>
      <c r="M88" s="182">
        <v>0</v>
      </c>
      <c r="N88" s="182">
        <v>0</v>
      </c>
      <c r="O88" s="182">
        <v>0</v>
      </c>
      <c r="P88" s="182">
        <v>0</v>
      </c>
      <c r="Q88" s="182">
        <v>0</v>
      </c>
      <c r="R88" s="182">
        <v>0</v>
      </c>
      <c r="S88" s="182">
        <v>0</v>
      </c>
      <c r="T88" s="182">
        <v>0</v>
      </c>
      <c r="U88" s="182">
        <v>0</v>
      </c>
      <c r="V88" s="182">
        <v>0</v>
      </c>
      <c r="W88" s="182">
        <v>0</v>
      </c>
      <c r="X88" s="182">
        <v>0</v>
      </c>
      <c r="Y88" s="182">
        <v>0</v>
      </c>
      <c r="Z88" s="182">
        <v>0</v>
      </c>
      <c r="AA88" s="182">
        <v>0</v>
      </c>
      <c r="AB88" s="182">
        <v>0</v>
      </c>
      <c r="AC88" s="182">
        <v>0</v>
      </c>
      <c r="AD88" s="182">
        <v>0</v>
      </c>
      <c r="AE88" s="182">
        <v>0</v>
      </c>
      <c r="AF88" s="182">
        <v>0</v>
      </c>
      <c r="AG88" s="182">
        <v>0</v>
      </c>
      <c r="AH88" s="182">
        <v>0</v>
      </c>
      <c r="AI88" s="182">
        <v>0</v>
      </c>
      <c r="AJ88" s="182">
        <v>0</v>
      </c>
      <c r="AK88" s="182">
        <v>0</v>
      </c>
      <c r="AL88" s="182">
        <v>0</v>
      </c>
      <c r="AM88" s="182">
        <v>0</v>
      </c>
      <c r="AN88" s="182">
        <v>0</v>
      </c>
      <c r="AO88" s="182">
        <v>0</v>
      </c>
      <c r="AP88" s="182">
        <v>0</v>
      </c>
      <c r="AQ88" s="182">
        <v>0</v>
      </c>
      <c r="AR88" s="182">
        <v>0</v>
      </c>
      <c r="AS88" s="182">
        <v>0</v>
      </c>
      <c r="AT88" s="182">
        <v>0</v>
      </c>
      <c r="AU88" s="177">
        <v>0</v>
      </c>
      <c r="AV88" s="177">
        <f>k.aCS.s2CS</f>
        <v>4.5959656618432379E-7</v>
      </c>
      <c r="AW88" s="177">
        <v>0</v>
      </c>
      <c r="AX88" s="176">
        <v>0</v>
      </c>
      <c r="AY88" s="177">
        <f>k.cwCS.s2CS</f>
        <v>2.1495213005380281E-5</v>
      </c>
      <c r="AZ88" s="177">
        <v>0</v>
      </c>
      <c r="BA88" s="176">
        <v>0</v>
      </c>
      <c r="BB88" s="168">
        <v>0</v>
      </c>
      <c r="BC88" s="168">
        <v>0</v>
      </c>
      <c r="BD88" s="168">
        <v>0</v>
      </c>
      <c r="BE88" s="168">
        <v>0</v>
      </c>
      <c r="BF88" s="182">
        <v>0</v>
      </c>
      <c r="BG88" s="182">
        <v>0</v>
      </c>
      <c r="BH88" s="182">
        <v>0</v>
      </c>
      <c r="BI88" s="182">
        <v>0</v>
      </c>
      <c r="BJ88" s="182">
        <v>0</v>
      </c>
      <c r="BK88" s="182">
        <v>0</v>
      </c>
      <c r="BL88" s="182">
        <v>0</v>
      </c>
      <c r="BM88" s="182">
        <v>0</v>
      </c>
      <c r="BN88" s="182">
        <v>0</v>
      </c>
      <c r="BO88" s="182">
        <v>0</v>
      </c>
      <c r="BP88" s="182">
        <v>0</v>
      </c>
      <c r="BQ88" s="182">
        <v>0</v>
      </c>
      <c r="BR88" s="182">
        <v>0</v>
      </c>
      <c r="BS88" s="182">
        <v>0</v>
      </c>
      <c r="BT88" s="182">
        <v>0</v>
      </c>
      <c r="BU88" s="182">
        <v>0</v>
      </c>
      <c r="BV88" s="182">
        <v>0</v>
      </c>
      <c r="BW88" s="182">
        <v>0</v>
      </c>
      <c r="BX88" s="182">
        <v>0</v>
      </c>
      <c r="BY88" s="182">
        <v>0</v>
      </c>
      <c r="BZ88" s="182">
        <v>0</v>
      </c>
      <c r="CA88" s="182">
        <v>0</v>
      </c>
      <c r="CB88" s="182">
        <v>0</v>
      </c>
      <c r="CC88" s="177">
        <v>0</v>
      </c>
      <c r="CD88" s="323">
        <v>0</v>
      </c>
      <c r="CE88" s="181">
        <f>-k.s2CS-SUM(CE$9:CE87,CE89:CE$163)</f>
        <v>-2.0693866055620472E-2</v>
      </c>
      <c r="CF88" s="177">
        <v>0</v>
      </c>
      <c r="CG88" s="302">
        <v>0</v>
      </c>
      <c r="CH88" s="182">
        <v>0</v>
      </c>
      <c r="CI88" s="182">
        <v>0</v>
      </c>
      <c r="CJ88" s="182">
        <v>0</v>
      </c>
      <c r="CK88" s="182">
        <v>0</v>
      </c>
      <c r="CL88" s="182">
        <v>0</v>
      </c>
      <c r="CM88" s="182">
        <v>0</v>
      </c>
      <c r="CN88" s="182">
        <v>0</v>
      </c>
      <c r="CO88" s="182">
        <v>0</v>
      </c>
      <c r="CP88" s="182">
        <v>0</v>
      </c>
      <c r="CQ88" s="182">
        <v>0</v>
      </c>
      <c r="CR88" s="182">
        <v>0</v>
      </c>
      <c r="CS88" s="182">
        <v>0</v>
      </c>
      <c r="CT88" s="182">
        <v>0</v>
      </c>
      <c r="CU88" s="182">
        <v>0</v>
      </c>
      <c r="CV88" s="182">
        <v>0</v>
      </c>
      <c r="CW88" s="182">
        <v>0</v>
      </c>
      <c r="CX88" s="182">
        <v>0</v>
      </c>
      <c r="CY88" s="182">
        <v>0</v>
      </c>
      <c r="CZ88" s="182">
        <v>0</v>
      </c>
      <c r="DA88" s="182">
        <v>0</v>
      </c>
      <c r="DB88" s="182">
        <v>0</v>
      </c>
      <c r="DC88" s="182">
        <v>0</v>
      </c>
      <c r="DD88" s="182">
        <v>0</v>
      </c>
      <c r="DE88" s="182">
        <v>0</v>
      </c>
      <c r="DF88" s="182">
        <v>0</v>
      </c>
      <c r="DG88" s="182">
        <v>0</v>
      </c>
      <c r="DH88" s="182">
        <v>0</v>
      </c>
      <c r="DI88" s="182">
        <v>0</v>
      </c>
      <c r="DJ88" s="182">
        <v>0</v>
      </c>
      <c r="DK88" s="182">
        <v>0</v>
      </c>
      <c r="DL88" s="182">
        <v>0</v>
      </c>
      <c r="DM88" s="182">
        <v>0</v>
      </c>
      <c r="DN88" s="182">
        <v>0</v>
      </c>
      <c r="DO88" s="182">
        <v>0</v>
      </c>
      <c r="DP88" s="182">
        <v>0</v>
      </c>
      <c r="DQ88" s="182">
        <v>0</v>
      </c>
      <c r="DR88" s="182">
        <v>0</v>
      </c>
      <c r="DS88" s="182">
        <v>0</v>
      </c>
      <c r="DT88" s="182">
        <v>0</v>
      </c>
      <c r="DU88" s="182">
        <v>0</v>
      </c>
      <c r="DV88" s="182">
        <v>0</v>
      </c>
      <c r="DW88" s="182">
        <v>0</v>
      </c>
      <c r="DX88" s="182">
        <v>0</v>
      </c>
      <c r="DY88" s="182">
        <v>0</v>
      </c>
      <c r="DZ88" s="182">
        <v>0</v>
      </c>
      <c r="EA88" s="182">
        <v>0</v>
      </c>
      <c r="EB88" s="182">
        <v>0</v>
      </c>
      <c r="EC88" s="182">
        <v>0</v>
      </c>
      <c r="ED88" s="182">
        <v>0</v>
      </c>
      <c r="EE88" s="182">
        <v>0</v>
      </c>
      <c r="EF88" s="182">
        <v>0</v>
      </c>
      <c r="EG88" s="182">
        <v>0</v>
      </c>
      <c r="EH88" s="182">
        <v>0</v>
      </c>
      <c r="EI88" s="182">
        <v>0</v>
      </c>
      <c r="EJ88" s="182">
        <v>0</v>
      </c>
      <c r="EK88" s="182">
        <v>0</v>
      </c>
      <c r="EL88" s="182">
        <v>0</v>
      </c>
      <c r="EM88" s="182">
        <v>0</v>
      </c>
      <c r="EN88" s="182">
        <v>0</v>
      </c>
      <c r="EO88" s="182">
        <v>0</v>
      </c>
      <c r="EP88" s="182">
        <v>0</v>
      </c>
      <c r="EQ88" s="182">
        <v>0</v>
      </c>
      <c r="ER88" s="182">
        <v>0</v>
      </c>
      <c r="ES88" s="182">
        <v>0</v>
      </c>
      <c r="ET88" s="182">
        <v>0</v>
      </c>
      <c r="EU88" s="182">
        <v>0</v>
      </c>
      <c r="EV88" s="182">
        <v>0</v>
      </c>
      <c r="EW88" s="182">
        <v>0</v>
      </c>
      <c r="EX88" s="182">
        <v>0</v>
      </c>
      <c r="EY88" s="182">
        <v>0</v>
      </c>
      <c r="EZ88" s="182">
        <v>0</v>
      </c>
      <c r="FA88" s="182">
        <v>0</v>
      </c>
      <c r="FB88" s="183">
        <v>0</v>
      </c>
    </row>
    <row r="89" spans="2:158" ht="12.75" customHeight="1" x14ac:dyDescent="0.3">
      <c r="B89" s="199" t="s">
        <v>3899</v>
      </c>
      <c r="C89" s="340"/>
      <c r="D89" s="182">
        <v>0</v>
      </c>
      <c r="E89" s="182">
        <v>0</v>
      </c>
      <c r="F89" s="182">
        <v>0</v>
      </c>
      <c r="G89" s="182">
        <v>0</v>
      </c>
      <c r="H89" s="182">
        <v>0</v>
      </c>
      <c r="I89" s="182">
        <v>0</v>
      </c>
      <c r="J89" s="182">
        <v>0</v>
      </c>
      <c r="K89" s="182">
        <v>0</v>
      </c>
      <c r="L89" s="182">
        <v>0</v>
      </c>
      <c r="M89" s="182">
        <v>0</v>
      </c>
      <c r="N89" s="182">
        <v>0</v>
      </c>
      <c r="O89" s="182">
        <v>0</v>
      </c>
      <c r="P89" s="182">
        <v>0</v>
      </c>
      <c r="Q89" s="182">
        <v>0</v>
      </c>
      <c r="R89" s="182">
        <v>0</v>
      </c>
      <c r="S89" s="182">
        <v>0</v>
      </c>
      <c r="T89" s="182">
        <v>0</v>
      </c>
      <c r="U89" s="182">
        <v>0</v>
      </c>
      <c r="V89" s="182">
        <v>0</v>
      </c>
      <c r="W89" s="182">
        <v>0</v>
      </c>
      <c r="X89" s="182">
        <v>0</v>
      </c>
      <c r="Y89" s="182">
        <v>0</v>
      </c>
      <c r="Z89" s="182">
        <v>0</v>
      </c>
      <c r="AA89" s="182">
        <v>0</v>
      </c>
      <c r="AB89" s="182">
        <v>0</v>
      </c>
      <c r="AC89" s="182">
        <v>0</v>
      </c>
      <c r="AD89" s="182">
        <v>0</v>
      </c>
      <c r="AE89" s="182">
        <v>0</v>
      </c>
      <c r="AF89" s="182">
        <v>0</v>
      </c>
      <c r="AG89" s="182">
        <v>0</v>
      </c>
      <c r="AH89" s="182">
        <v>0</v>
      </c>
      <c r="AI89" s="182">
        <v>0</v>
      </c>
      <c r="AJ89" s="182">
        <v>0</v>
      </c>
      <c r="AK89" s="182">
        <v>0</v>
      </c>
      <c r="AL89" s="182">
        <v>0</v>
      </c>
      <c r="AM89" s="182">
        <v>0</v>
      </c>
      <c r="AN89" s="182">
        <v>0</v>
      </c>
      <c r="AO89" s="182">
        <v>0</v>
      </c>
      <c r="AP89" s="182">
        <v>0</v>
      </c>
      <c r="AQ89" s="182">
        <v>0</v>
      </c>
      <c r="AR89" s="182">
        <v>0</v>
      </c>
      <c r="AS89" s="182">
        <v>0</v>
      </c>
      <c r="AT89" s="182">
        <v>0</v>
      </c>
      <c r="AU89" s="177">
        <v>0</v>
      </c>
      <c r="AV89" s="177">
        <v>0</v>
      </c>
      <c r="AW89" s="177">
        <f>k.aCA.s2CA</f>
        <v>7.9529834553832431E-8</v>
      </c>
      <c r="AX89" s="176">
        <v>0</v>
      </c>
      <c r="AY89" s="177">
        <v>0</v>
      </c>
      <c r="AZ89" s="177">
        <f>k.cwCA.s2CA</f>
        <v>2.1495213005380281E-5</v>
      </c>
      <c r="BA89" s="176">
        <v>0</v>
      </c>
      <c r="BB89" s="168">
        <v>0</v>
      </c>
      <c r="BC89" s="168">
        <v>0</v>
      </c>
      <c r="BD89" s="168">
        <v>0</v>
      </c>
      <c r="BE89" s="168">
        <v>0</v>
      </c>
      <c r="BF89" s="182">
        <v>0</v>
      </c>
      <c r="BG89" s="182">
        <v>0</v>
      </c>
      <c r="BH89" s="182">
        <v>0</v>
      </c>
      <c r="BI89" s="182">
        <v>0</v>
      </c>
      <c r="BJ89" s="182">
        <v>0</v>
      </c>
      <c r="BK89" s="182">
        <v>0</v>
      </c>
      <c r="BL89" s="182">
        <v>0</v>
      </c>
      <c r="BM89" s="182">
        <v>0</v>
      </c>
      <c r="BN89" s="182">
        <v>0</v>
      </c>
      <c r="BO89" s="182">
        <v>0</v>
      </c>
      <c r="BP89" s="182">
        <v>0</v>
      </c>
      <c r="BQ89" s="182">
        <v>0</v>
      </c>
      <c r="BR89" s="182">
        <v>0</v>
      </c>
      <c r="BS89" s="182">
        <v>0</v>
      </c>
      <c r="BT89" s="182">
        <v>0</v>
      </c>
      <c r="BU89" s="182">
        <v>0</v>
      </c>
      <c r="BV89" s="182">
        <v>0</v>
      </c>
      <c r="BW89" s="182">
        <v>0</v>
      </c>
      <c r="BX89" s="182">
        <v>0</v>
      </c>
      <c r="BY89" s="182">
        <v>0</v>
      </c>
      <c r="BZ89" s="182">
        <v>0</v>
      </c>
      <c r="CA89" s="182">
        <v>0</v>
      </c>
      <c r="CB89" s="182">
        <v>0</v>
      </c>
      <c r="CC89" s="182">
        <v>0</v>
      </c>
      <c r="CD89" s="323">
        <v>0</v>
      </c>
      <c r="CE89" s="177">
        <f>k.s2CS.s2CA</f>
        <v>1.5803861528693407E-2</v>
      </c>
      <c r="CF89" s="181">
        <f>-k.s2CA-SUM(CF$9:CF88,CF90:CF$163)</f>
        <v>-6.4614816252141533E-8</v>
      </c>
      <c r="CG89" s="302">
        <v>0</v>
      </c>
      <c r="CH89" s="177">
        <v>0</v>
      </c>
      <c r="CI89" s="182">
        <v>0</v>
      </c>
      <c r="CJ89" s="182">
        <v>0</v>
      </c>
      <c r="CK89" s="182">
        <v>0</v>
      </c>
      <c r="CL89" s="182">
        <v>0</v>
      </c>
      <c r="CM89" s="182">
        <v>0</v>
      </c>
      <c r="CN89" s="182">
        <v>0</v>
      </c>
      <c r="CO89" s="182">
        <v>0</v>
      </c>
      <c r="CP89" s="182">
        <v>0</v>
      </c>
      <c r="CQ89" s="182">
        <v>0</v>
      </c>
      <c r="CR89" s="182">
        <v>0</v>
      </c>
      <c r="CS89" s="182">
        <v>0</v>
      </c>
      <c r="CT89" s="182">
        <v>0</v>
      </c>
      <c r="CU89" s="182">
        <v>0</v>
      </c>
      <c r="CV89" s="182">
        <v>0</v>
      </c>
      <c r="CW89" s="182">
        <v>0</v>
      </c>
      <c r="CX89" s="182">
        <v>0</v>
      </c>
      <c r="CY89" s="182">
        <v>0</v>
      </c>
      <c r="CZ89" s="182">
        <v>0</v>
      </c>
      <c r="DA89" s="182">
        <v>0</v>
      </c>
      <c r="DB89" s="182">
        <v>0</v>
      </c>
      <c r="DC89" s="182">
        <v>0</v>
      </c>
      <c r="DD89" s="182">
        <v>0</v>
      </c>
      <c r="DE89" s="182">
        <v>0</v>
      </c>
      <c r="DF89" s="182">
        <v>0</v>
      </c>
      <c r="DG89" s="182">
        <v>0</v>
      </c>
      <c r="DH89" s="182">
        <v>0</v>
      </c>
      <c r="DI89" s="182">
        <v>0</v>
      </c>
      <c r="DJ89" s="182">
        <v>0</v>
      </c>
      <c r="DK89" s="182">
        <v>0</v>
      </c>
      <c r="DL89" s="182">
        <v>0</v>
      </c>
      <c r="DM89" s="182">
        <v>0</v>
      </c>
      <c r="DN89" s="182">
        <v>0</v>
      </c>
      <c r="DO89" s="182">
        <v>0</v>
      </c>
      <c r="DP89" s="182">
        <v>0</v>
      </c>
      <c r="DQ89" s="182">
        <v>0</v>
      </c>
      <c r="DR89" s="182">
        <v>0</v>
      </c>
      <c r="DS89" s="182">
        <v>0</v>
      </c>
      <c r="DT89" s="182">
        <v>0</v>
      </c>
      <c r="DU89" s="182">
        <v>0</v>
      </c>
      <c r="DV89" s="182">
        <v>0</v>
      </c>
      <c r="DW89" s="182">
        <v>0</v>
      </c>
      <c r="DX89" s="182">
        <v>0</v>
      </c>
      <c r="DY89" s="182">
        <v>0</v>
      </c>
      <c r="DZ89" s="182">
        <v>0</v>
      </c>
      <c r="EA89" s="182">
        <v>0</v>
      </c>
      <c r="EB89" s="182">
        <v>0</v>
      </c>
      <c r="EC89" s="182">
        <v>0</v>
      </c>
      <c r="ED89" s="182">
        <v>0</v>
      </c>
      <c r="EE89" s="182">
        <v>0</v>
      </c>
      <c r="EF89" s="182">
        <v>0</v>
      </c>
      <c r="EG89" s="182">
        <v>0</v>
      </c>
      <c r="EH89" s="182">
        <v>0</v>
      </c>
      <c r="EI89" s="182">
        <v>0</v>
      </c>
      <c r="EJ89" s="182">
        <v>0</v>
      </c>
      <c r="EK89" s="182">
        <v>0</v>
      </c>
      <c r="EL89" s="182">
        <v>0</v>
      </c>
      <c r="EM89" s="182">
        <v>0</v>
      </c>
      <c r="EN89" s="182">
        <v>0</v>
      </c>
      <c r="EO89" s="182">
        <v>0</v>
      </c>
      <c r="EP89" s="182">
        <v>0</v>
      </c>
      <c r="EQ89" s="182">
        <v>0</v>
      </c>
      <c r="ER89" s="182">
        <v>0</v>
      </c>
      <c r="ES89" s="182">
        <v>0</v>
      </c>
      <c r="ET89" s="182">
        <v>0</v>
      </c>
      <c r="EU89" s="182">
        <v>0</v>
      </c>
      <c r="EV89" s="182">
        <v>0</v>
      </c>
      <c r="EW89" s="182">
        <v>0</v>
      </c>
      <c r="EX89" s="182">
        <v>0</v>
      </c>
      <c r="EY89" s="182">
        <v>0</v>
      </c>
      <c r="EZ89" s="182">
        <v>0</v>
      </c>
      <c r="FA89" s="182">
        <v>0</v>
      </c>
      <c r="FB89" s="183">
        <v>0</v>
      </c>
    </row>
    <row r="90" spans="2:158" ht="12.75" customHeight="1" x14ac:dyDescent="0.3">
      <c r="B90" s="199" t="s">
        <v>3900</v>
      </c>
      <c r="C90" s="340"/>
      <c r="D90" s="182">
        <v>0</v>
      </c>
      <c r="E90" s="182">
        <v>0</v>
      </c>
      <c r="F90" s="182">
        <v>0</v>
      </c>
      <c r="G90" s="182">
        <v>0</v>
      </c>
      <c r="H90" s="182">
        <v>0</v>
      </c>
      <c r="I90" s="182">
        <v>0</v>
      </c>
      <c r="J90" s="182">
        <v>0</v>
      </c>
      <c r="K90" s="182">
        <v>0</v>
      </c>
      <c r="L90" s="182">
        <v>0</v>
      </c>
      <c r="M90" s="182">
        <v>0</v>
      </c>
      <c r="N90" s="182">
        <v>0</v>
      </c>
      <c r="O90" s="182">
        <v>0</v>
      </c>
      <c r="P90" s="182">
        <v>0</v>
      </c>
      <c r="Q90" s="182">
        <v>0</v>
      </c>
      <c r="R90" s="182">
        <v>0</v>
      </c>
      <c r="S90" s="182">
        <v>0</v>
      </c>
      <c r="T90" s="182">
        <v>0</v>
      </c>
      <c r="U90" s="182">
        <v>0</v>
      </c>
      <c r="V90" s="182">
        <v>0</v>
      </c>
      <c r="W90" s="182">
        <v>0</v>
      </c>
      <c r="X90" s="182">
        <v>0</v>
      </c>
      <c r="Y90" s="182">
        <v>0</v>
      </c>
      <c r="Z90" s="182">
        <v>0</v>
      </c>
      <c r="AA90" s="182">
        <v>0</v>
      </c>
      <c r="AB90" s="182">
        <v>0</v>
      </c>
      <c r="AC90" s="182">
        <v>0</v>
      </c>
      <c r="AD90" s="182">
        <v>0</v>
      </c>
      <c r="AE90" s="182">
        <v>0</v>
      </c>
      <c r="AF90" s="182">
        <v>0</v>
      </c>
      <c r="AG90" s="182">
        <v>0</v>
      </c>
      <c r="AH90" s="182">
        <v>0</v>
      </c>
      <c r="AI90" s="182">
        <v>0</v>
      </c>
      <c r="AJ90" s="182">
        <v>0</v>
      </c>
      <c r="AK90" s="182">
        <v>0</v>
      </c>
      <c r="AL90" s="182">
        <v>0</v>
      </c>
      <c r="AM90" s="182">
        <v>0</v>
      </c>
      <c r="AN90" s="182">
        <v>0</v>
      </c>
      <c r="AO90" s="182">
        <v>0</v>
      </c>
      <c r="AP90" s="182">
        <v>0</v>
      </c>
      <c r="AQ90" s="182">
        <v>0</v>
      </c>
      <c r="AR90" s="182">
        <v>0</v>
      </c>
      <c r="AS90" s="182">
        <v>0</v>
      </c>
      <c r="AT90" s="182">
        <v>0</v>
      </c>
      <c r="AU90" s="177">
        <v>0</v>
      </c>
      <c r="AV90" s="177">
        <v>0</v>
      </c>
      <c r="AW90" s="177">
        <v>0</v>
      </c>
      <c r="AX90" s="176">
        <f>k.aCP.s2CP</f>
        <v>2.9051701600185967E-7</v>
      </c>
      <c r="AY90" s="177">
        <v>0</v>
      </c>
      <c r="AZ90" s="177">
        <v>0</v>
      </c>
      <c r="BA90" s="176">
        <f>k.cwCP.s2CP</f>
        <v>2.1495213005380281E-5</v>
      </c>
      <c r="BB90" s="168">
        <v>0</v>
      </c>
      <c r="BC90" s="168">
        <v>0</v>
      </c>
      <c r="BD90" s="168">
        <v>0</v>
      </c>
      <c r="BE90" s="168">
        <v>0</v>
      </c>
      <c r="BF90" s="182">
        <v>0</v>
      </c>
      <c r="BG90" s="182">
        <v>0</v>
      </c>
      <c r="BH90" s="182">
        <v>0</v>
      </c>
      <c r="BI90" s="182">
        <v>0</v>
      </c>
      <c r="BJ90" s="182">
        <v>0</v>
      </c>
      <c r="BK90" s="182">
        <v>0</v>
      </c>
      <c r="BL90" s="182">
        <v>0</v>
      </c>
      <c r="BM90" s="182">
        <v>0</v>
      </c>
      <c r="BN90" s="182">
        <v>0</v>
      </c>
      <c r="BO90" s="182">
        <v>0</v>
      </c>
      <c r="BP90" s="182">
        <v>0</v>
      </c>
      <c r="BQ90" s="182">
        <v>0</v>
      </c>
      <c r="BR90" s="182">
        <v>0</v>
      </c>
      <c r="BS90" s="182">
        <v>0</v>
      </c>
      <c r="BT90" s="182">
        <v>0</v>
      </c>
      <c r="BU90" s="182">
        <v>0</v>
      </c>
      <c r="BV90" s="182">
        <v>0</v>
      </c>
      <c r="BW90" s="182">
        <v>0</v>
      </c>
      <c r="BX90" s="182">
        <v>0</v>
      </c>
      <c r="BY90" s="182">
        <v>0</v>
      </c>
      <c r="BZ90" s="182">
        <v>0</v>
      </c>
      <c r="CA90" s="182">
        <v>0</v>
      </c>
      <c r="CB90" s="182">
        <v>0</v>
      </c>
      <c r="CC90" s="182">
        <v>0</v>
      </c>
      <c r="CD90" s="303">
        <v>0</v>
      </c>
      <c r="CE90" s="304">
        <f>k.s2CS.s2CP</f>
        <v>4.8899399121108134E-3</v>
      </c>
      <c r="CF90" s="304">
        <v>0</v>
      </c>
      <c r="CG90" s="181">
        <f>-k.s2CP-SUM(CG$9:CG89,CG91:CG$163)</f>
        <v>-4.7564687975646877E-12</v>
      </c>
      <c r="CH90" s="177">
        <v>0</v>
      </c>
      <c r="CI90" s="177">
        <v>0</v>
      </c>
      <c r="CJ90" s="182">
        <v>0</v>
      </c>
      <c r="CK90" s="182">
        <v>0</v>
      </c>
      <c r="CL90" s="182">
        <v>0</v>
      </c>
      <c r="CM90" s="182">
        <v>0</v>
      </c>
      <c r="CN90" s="182">
        <v>0</v>
      </c>
      <c r="CO90" s="182">
        <v>0</v>
      </c>
      <c r="CP90" s="182">
        <v>0</v>
      </c>
      <c r="CQ90" s="182">
        <v>0</v>
      </c>
      <c r="CR90" s="182">
        <v>0</v>
      </c>
      <c r="CS90" s="182">
        <v>0</v>
      </c>
      <c r="CT90" s="182">
        <v>0</v>
      </c>
      <c r="CU90" s="182">
        <v>0</v>
      </c>
      <c r="CV90" s="182">
        <v>0</v>
      </c>
      <c r="CW90" s="182">
        <v>0</v>
      </c>
      <c r="CX90" s="182">
        <v>0</v>
      </c>
      <c r="CY90" s="182">
        <v>0</v>
      </c>
      <c r="CZ90" s="182">
        <v>0</v>
      </c>
      <c r="DA90" s="182">
        <v>0</v>
      </c>
      <c r="DB90" s="182">
        <v>0</v>
      </c>
      <c r="DC90" s="182">
        <v>0</v>
      </c>
      <c r="DD90" s="182">
        <v>0</v>
      </c>
      <c r="DE90" s="182">
        <v>0</v>
      </c>
      <c r="DF90" s="182">
        <v>0</v>
      </c>
      <c r="DG90" s="182">
        <v>0</v>
      </c>
      <c r="DH90" s="182">
        <v>0</v>
      </c>
      <c r="DI90" s="182">
        <v>0</v>
      </c>
      <c r="DJ90" s="182">
        <v>0</v>
      </c>
      <c r="DK90" s="182">
        <v>0</v>
      </c>
      <c r="DL90" s="182">
        <v>0</v>
      </c>
      <c r="DM90" s="182">
        <v>0</v>
      </c>
      <c r="DN90" s="182">
        <v>0</v>
      </c>
      <c r="DO90" s="182">
        <v>0</v>
      </c>
      <c r="DP90" s="182">
        <v>0</v>
      </c>
      <c r="DQ90" s="182">
        <v>0</v>
      </c>
      <c r="DR90" s="182">
        <v>0</v>
      </c>
      <c r="DS90" s="182">
        <v>0</v>
      </c>
      <c r="DT90" s="182">
        <v>0</v>
      </c>
      <c r="DU90" s="182">
        <v>0</v>
      </c>
      <c r="DV90" s="182">
        <v>0</v>
      </c>
      <c r="DW90" s="182">
        <v>0</v>
      </c>
      <c r="DX90" s="182">
        <v>0</v>
      </c>
      <c r="DY90" s="182">
        <v>0</v>
      </c>
      <c r="DZ90" s="182">
        <v>0</v>
      </c>
      <c r="EA90" s="182">
        <v>0</v>
      </c>
      <c r="EB90" s="182">
        <v>0</v>
      </c>
      <c r="EC90" s="182">
        <v>0</v>
      </c>
      <c r="ED90" s="182">
        <v>0</v>
      </c>
      <c r="EE90" s="182">
        <v>0</v>
      </c>
      <c r="EF90" s="182">
        <v>0</v>
      </c>
      <c r="EG90" s="182">
        <v>0</v>
      </c>
      <c r="EH90" s="182">
        <v>0</v>
      </c>
      <c r="EI90" s="182">
        <v>0</v>
      </c>
      <c r="EJ90" s="182">
        <v>0</v>
      </c>
      <c r="EK90" s="182">
        <v>0</v>
      </c>
      <c r="EL90" s="182">
        <v>0</v>
      </c>
      <c r="EM90" s="182">
        <v>0</v>
      </c>
      <c r="EN90" s="182">
        <v>0</v>
      </c>
      <c r="EO90" s="182">
        <v>0</v>
      </c>
      <c r="EP90" s="182">
        <v>0</v>
      </c>
      <c r="EQ90" s="182">
        <v>0</v>
      </c>
      <c r="ER90" s="182">
        <v>0</v>
      </c>
      <c r="ES90" s="182">
        <v>0</v>
      </c>
      <c r="ET90" s="182">
        <v>0</v>
      </c>
      <c r="EU90" s="182">
        <v>0</v>
      </c>
      <c r="EV90" s="182">
        <v>0</v>
      </c>
      <c r="EW90" s="182">
        <v>0</v>
      </c>
      <c r="EX90" s="182">
        <v>0</v>
      </c>
      <c r="EY90" s="182">
        <v>0</v>
      </c>
      <c r="EZ90" s="182">
        <v>0</v>
      </c>
      <c r="FA90" s="182">
        <v>0</v>
      </c>
      <c r="FB90" s="183">
        <v>0</v>
      </c>
    </row>
    <row r="91" spans="2:158" ht="12.75" customHeight="1" x14ac:dyDescent="0.3">
      <c r="B91" s="199" t="s">
        <v>3901</v>
      </c>
      <c r="C91" s="340"/>
      <c r="D91" s="182">
        <v>0</v>
      </c>
      <c r="E91" s="182">
        <v>0</v>
      </c>
      <c r="F91" s="182">
        <v>0</v>
      </c>
      <c r="G91" s="182">
        <v>0</v>
      </c>
      <c r="H91" s="182">
        <v>0</v>
      </c>
      <c r="I91" s="182">
        <v>0</v>
      </c>
      <c r="J91" s="182">
        <v>0</v>
      </c>
      <c r="K91" s="182">
        <v>0</v>
      </c>
      <c r="L91" s="182">
        <v>0</v>
      </c>
      <c r="M91" s="182">
        <v>0</v>
      </c>
      <c r="N91" s="182">
        <v>0</v>
      </c>
      <c r="O91" s="182">
        <v>0</v>
      </c>
      <c r="P91" s="182">
        <v>0</v>
      </c>
      <c r="Q91" s="182">
        <v>0</v>
      </c>
      <c r="R91" s="182">
        <v>0</v>
      </c>
      <c r="S91" s="182">
        <v>0</v>
      </c>
      <c r="T91" s="182">
        <v>0</v>
      </c>
      <c r="U91" s="182">
        <v>0</v>
      </c>
      <c r="V91" s="182">
        <v>0</v>
      </c>
      <c r="W91" s="182">
        <v>0</v>
      </c>
      <c r="X91" s="182">
        <v>0</v>
      </c>
      <c r="Y91" s="182">
        <v>0</v>
      </c>
      <c r="Z91" s="182">
        <v>0</v>
      </c>
      <c r="AA91" s="182">
        <v>0</v>
      </c>
      <c r="AB91" s="182">
        <v>0</v>
      </c>
      <c r="AC91" s="182">
        <v>0</v>
      </c>
      <c r="AD91" s="182">
        <v>0</v>
      </c>
      <c r="AE91" s="182">
        <v>0</v>
      </c>
      <c r="AF91" s="182">
        <v>0</v>
      </c>
      <c r="AG91" s="182">
        <v>0</v>
      </c>
      <c r="AH91" s="182">
        <v>0</v>
      </c>
      <c r="AI91" s="182">
        <v>0</v>
      </c>
      <c r="AJ91" s="182">
        <v>0</v>
      </c>
      <c r="AK91" s="182">
        <v>0</v>
      </c>
      <c r="AL91" s="182">
        <v>0</v>
      </c>
      <c r="AM91" s="182">
        <v>0</v>
      </c>
      <c r="AN91" s="182">
        <v>0</v>
      </c>
      <c r="AO91" s="182">
        <v>0</v>
      </c>
      <c r="AP91" s="182">
        <v>0</v>
      </c>
      <c r="AQ91" s="182">
        <v>0</v>
      </c>
      <c r="AR91" s="182">
        <v>0</v>
      </c>
      <c r="AS91" s="182">
        <v>0</v>
      </c>
      <c r="AT91" s="182">
        <v>0</v>
      </c>
      <c r="AU91" s="177">
        <f>k.aC.s3C</f>
        <v>6.6481913667922365E-11</v>
      </c>
      <c r="AV91" s="177">
        <v>0</v>
      </c>
      <c r="AW91" s="177">
        <v>0</v>
      </c>
      <c r="AX91" s="177">
        <v>0</v>
      </c>
      <c r="AY91" s="177">
        <v>0</v>
      </c>
      <c r="AZ91" s="177">
        <v>0</v>
      </c>
      <c r="BA91" s="177">
        <v>0</v>
      </c>
      <c r="BB91" s="168">
        <v>0</v>
      </c>
      <c r="BC91" s="168">
        <v>0</v>
      </c>
      <c r="BD91" s="168">
        <v>0</v>
      </c>
      <c r="BE91" s="168">
        <v>0</v>
      </c>
      <c r="BF91" s="182">
        <v>0</v>
      </c>
      <c r="BG91" s="182">
        <v>0</v>
      </c>
      <c r="BH91" s="182">
        <v>0</v>
      </c>
      <c r="BI91" s="182">
        <v>0</v>
      </c>
      <c r="BJ91" s="182">
        <v>0</v>
      </c>
      <c r="BK91" s="182">
        <v>0</v>
      </c>
      <c r="BL91" s="182">
        <v>0</v>
      </c>
      <c r="BM91" s="182">
        <v>0</v>
      </c>
      <c r="BN91" s="182">
        <v>0</v>
      </c>
      <c r="BO91" s="182">
        <v>0</v>
      </c>
      <c r="BP91" s="182">
        <v>0</v>
      </c>
      <c r="BQ91" s="182">
        <v>0</v>
      </c>
      <c r="BR91" s="182">
        <v>0</v>
      </c>
      <c r="BS91" s="182">
        <v>0</v>
      </c>
      <c r="BT91" s="182">
        <v>0</v>
      </c>
      <c r="BU91" s="182">
        <v>0</v>
      </c>
      <c r="BV91" s="182">
        <v>0</v>
      </c>
      <c r="BW91" s="182">
        <v>0</v>
      </c>
      <c r="BX91" s="182">
        <v>0</v>
      </c>
      <c r="BY91" s="182">
        <v>0</v>
      </c>
      <c r="BZ91" s="182">
        <v>0</v>
      </c>
      <c r="CA91" s="182">
        <v>0</v>
      </c>
      <c r="CB91" s="182">
        <v>0</v>
      </c>
      <c r="CC91" s="177">
        <v>0</v>
      </c>
      <c r="CD91" s="177">
        <v>0</v>
      </c>
      <c r="CE91" s="182">
        <v>0</v>
      </c>
      <c r="CF91" s="177">
        <v>0</v>
      </c>
      <c r="CG91" s="177">
        <v>0</v>
      </c>
      <c r="CH91" s="310">
        <f>-k.s3C-SUM(CH9:CH90,CH92:CH163)</f>
        <v>-1.5989553967171847E-7</v>
      </c>
      <c r="CI91" s="321">
        <f>kdis.s3S.s3D</f>
        <v>0</v>
      </c>
      <c r="CJ91" s="321">
        <f>kdis.s3A.s3D</f>
        <v>0</v>
      </c>
      <c r="CK91" s="321">
        <f>kdis.s3P.s3D</f>
        <v>0</v>
      </c>
      <c r="CL91" s="182">
        <v>0</v>
      </c>
      <c r="CM91" s="182">
        <v>0</v>
      </c>
      <c r="CN91" s="182">
        <v>0</v>
      </c>
      <c r="CO91" s="182">
        <v>0</v>
      </c>
      <c r="CP91" s="182">
        <v>0</v>
      </c>
      <c r="CQ91" s="182">
        <v>0</v>
      </c>
      <c r="CR91" s="182">
        <v>0</v>
      </c>
      <c r="CS91" s="182">
        <v>0</v>
      </c>
      <c r="CT91" s="182">
        <v>0</v>
      </c>
      <c r="CU91" s="182">
        <v>0</v>
      </c>
      <c r="CV91" s="182">
        <v>0</v>
      </c>
      <c r="CW91" s="182">
        <v>0</v>
      </c>
      <c r="CX91" s="182">
        <v>0</v>
      </c>
      <c r="CY91" s="182">
        <v>0</v>
      </c>
      <c r="CZ91" s="182">
        <v>0</v>
      </c>
      <c r="DA91" s="182">
        <v>0</v>
      </c>
      <c r="DB91" s="182">
        <v>0</v>
      </c>
      <c r="DC91" s="182">
        <v>0</v>
      </c>
      <c r="DD91" s="182">
        <v>0</v>
      </c>
      <c r="DE91" s="182">
        <v>0</v>
      </c>
      <c r="DF91" s="182">
        <v>0</v>
      </c>
      <c r="DG91" s="182">
        <v>0</v>
      </c>
      <c r="DH91" s="182">
        <v>0</v>
      </c>
      <c r="DI91" s="182">
        <v>0</v>
      </c>
      <c r="DJ91" s="182">
        <v>0</v>
      </c>
      <c r="DK91" s="182">
        <v>0</v>
      </c>
      <c r="DL91" s="182">
        <v>0</v>
      </c>
      <c r="DM91" s="182">
        <v>0</v>
      </c>
      <c r="DN91" s="182">
        <v>0</v>
      </c>
      <c r="DO91" s="182">
        <v>0</v>
      </c>
      <c r="DP91" s="182">
        <v>0</v>
      </c>
      <c r="DQ91" s="182">
        <v>0</v>
      </c>
      <c r="DR91" s="182">
        <v>0</v>
      </c>
      <c r="DS91" s="182">
        <v>0</v>
      </c>
      <c r="DT91" s="182">
        <v>0</v>
      </c>
      <c r="DU91" s="182">
        <v>0</v>
      </c>
      <c r="DV91" s="182">
        <v>0</v>
      </c>
      <c r="DW91" s="182">
        <v>0</v>
      </c>
      <c r="DX91" s="182">
        <v>0</v>
      </c>
      <c r="DY91" s="182">
        <v>0</v>
      </c>
      <c r="DZ91" s="182">
        <v>0</v>
      </c>
      <c r="EA91" s="182">
        <v>0</v>
      </c>
      <c r="EB91" s="182">
        <v>0</v>
      </c>
      <c r="EC91" s="182">
        <v>0</v>
      </c>
      <c r="ED91" s="182">
        <v>0</v>
      </c>
      <c r="EE91" s="182">
        <v>0</v>
      </c>
      <c r="EF91" s="182">
        <v>0</v>
      </c>
      <c r="EG91" s="182">
        <v>0</v>
      </c>
      <c r="EH91" s="182">
        <v>0</v>
      </c>
      <c r="EI91" s="182">
        <v>0</v>
      </c>
      <c r="EJ91" s="182">
        <v>0</v>
      </c>
      <c r="EK91" s="182">
        <v>0</v>
      </c>
      <c r="EL91" s="182">
        <v>0</v>
      </c>
      <c r="EM91" s="182">
        <v>0</v>
      </c>
      <c r="EN91" s="182">
        <v>0</v>
      </c>
      <c r="EO91" s="182">
        <v>0</v>
      </c>
      <c r="EP91" s="182">
        <v>0</v>
      </c>
      <c r="EQ91" s="182">
        <v>0</v>
      </c>
      <c r="ER91" s="182">
        <v>0</v>
      </c>
      <c r="ES91" s="182">
        <v>0</v>
      </c>
      <c r="ET91" s="182">
        <v>0</v>
      </c>
      <c r="EU91" s="182">
        <v>0</v>
      </c>
      <c r="EV91" s="182">
        <v>0</v>
      </c>
      <c r="EW91" s="182">
        <v>0</v>
      </c>
      <c r="EX91" s="182">
        <v>0</v>
      </c>
      <c r="EY91" s="182">
        <v>0</v>
      </c>
      <c r="EZ91" s="182">
        <v>0</v>
      </c>
      <c r="FA91" s="182">
        <v>0</v>
      </c>
      <c r="FB91" s="183">
        <v>0</v>
      </c>
    </row>
    <row r="92" spans="2:158" ht="12.75" customHeight="1" x14ac:dyDescent="0.3">
      <c r="B92" s="199" t="s">
        <v>3902</v>
      </c>
      <c r="C92" s="340"/>
      <c r="D92" s="182">
        <v>0</v>
      </c>
      <c r="E92" s="182">
        <v>0</v>
      </c>
      <c r="F92" s="182">
        <v>0</v>
      </c>
      <c r="G92" s="182">
        <v>0</v>
      </c>
      <c r="H92" s="182">
        <v>0</v>
      </c>
      <c r="I92" s="182">
        <v>0</v>
      </c>
      <c r="J92" s="182">
        <v>0</v>
      </c>
      <c r="K92" s="182">
        <v>0</v>
      </c>
      <c r="L92" s="182">
        <v>0</v>
      </c>
      <c r="M92" s="182">
        <v>0</v>
      </c>
      <c r="N92" s="182">
        <v>0</v>
      </c>
      <c r="O92" s="182">
        <v>0</v>
      </c>
      <c r="P92" s="182">
        <v>0</v>
      </c>
      <c r="Q92" s="182">
        <v>0</v>
      </c>
      <c r="R92" s="182">
        <v>0</v>
      </c>
      <c r="S92" s="182">
        <v>0</v>
      </c>
      <c r="T92" s="182">
        <v>0</v>
      </c>
      <c r="U92" s="182">
        <v>0</v>
      </c>
      <c r="V92" s="182">
        <v>0</v>
      </c>
      <c r="W92" s="182">
        <v>0</v>
      </c>
      <c r="X92" s="182">
        <v>0</v>
      </c>
      <c r="Y92" s="182">
        <v>0</v>
      </c>
      <c r="Z92" s="182">
        <v>0</v>
      </c>
      <c r="AA92" s="182">
        <v>0</v>
      </c>
      <c r="AB92" s="182">
        <v>0</v>
      </c>
      <c r="AC92" s="182">
        <v>0</v>
      </c>
      <c r="AD92" s="182">
        <v>0</v>
      </c>
      <c r="AE92" s="182">
        <v>0</v>
      </c>
      <c r="AF92" s="182">
        <v>0</v>
      </c>
      <c r="AG92" s="182">
        <v>0</v>
      </c>
      <c r="AH92" s="182">
        <v>0</v>
      </c>
      <c r="AI92" s="182">
        <v>0</v>
      </c>
      <c r="AJ92" s="182">
        <v>0</v>
      </c>
      <c r="AK92" s="182">
        <v>0</v>
      </c>
      <c r="AL92" s="182">
        <v>0</v>
      </c>
      <c r="AM92" s="182">
        <v>0</v>
      </c>
      <c r="AN92" s="182">
        <v>0</v>
      </c>
      <c r="AO92" s="182">
        <v>0</v>
      </c>
      <c r="AP92" s="182">
        <v>0</v>
      </c>
      <c r="AQ92" s="182">
        <v>0</v>
      </c>
      <c r="AR92" s="182">
        <v>0</v>
      </c>
      <c r="AS92" s="182">
        <v>0</v>
      </c>
      <c r="AT92" s="182">
        <v>0</v>
      </c>
      <c r="AU92" s="177">
        <v>0</v>
      </c>
      <c r="AV92" s="177">
        <f>k.aCS.s3CS</f>
        <v>7.6599427697387289E-8</v>
      </c>
      <c r="AW92" s="177">
        <v>0</v>
      </c>
      <c r="AX92" s="176">
        <v>0</v>
      </c>
      <c r="AY92" s="177">
        <f>k.cwCS.s3CS</f>
        <v>3.5825355008967127E-6</v>
      </c>
      <c r="AZ92" s="177">
        <v>0</v>
      </c>
      <c r="BA92" s="176">
        <v>0</v>
      </c>
      <c r="BB92" s="168">
        <v>0</v>
      </c>
      <c r="BC92" s="168">
        <v>0</v>
      </c>
      <c r="BD92" s="168">
        <v>0</v>
      </c>
      <c r="BE92" s="168">
        <v>0</v>
      </c>
      <c r="BF92" s="182">
        <v>0</v>
      </c>
      <c r="BG92" s="182">
        <v>0</v>
      </c>
      <c r="BH92" s="182">
        <v>0</v>
      </c>
      <c r="BI92" s="182">
        <v>0</v>
      </c>
      <c r="BJ92" s="182">
        <v>0</v>
      </c>
      <c r="BK92" s="182">
        <v>0</v>
      </c>
      <c r="BL92" s="182">
        <v>0</v>
      </c>
      <c r="BM92" s="182">
        <v>0</v>
      </c>
      <c r="BN92" s="182">
        <v>0</v>
      </c>
      <c r="BO92" s="182">
        <v>0</v>
      </c>
      <c r="BP92" s="182">
        <v>0</v>
      </c>
      <c r="BQ92" s="182">
        <v>0</v>
      </c>
      <c r="BR92" s="182">
        <v>0</v>
      </c>
      <c r="BS92" s="182">
        <v>0</v>
      </c>
      <c r="BT92" s="182">
        <v>0</v>
      </c>
      <c r="BU92" s="182">
        <v>0</v>
      </c>
      <c r="BV92" s="182">
        <v>0</v>
      </c>
      <c r="BW92" s="182">
        <v>0</v>
      </c>
      <c r="BX92" s="182">
        <v>0</v>
      </c>
      <c r="BY92" s="182">
        <v>0</v>
      </c>
      <c r="BZ92" s="182">
        <v>0</v>
      </c>
      <c r="CA92" s="182">
        <v>0</v>
      </c>
      <c r="CB92" s="182">
        <v>0</v>
      </c>
      <c r="CC92" s="177">
        <v>0</v>
      </c>
      <c r="CD92" s="177">
        <v>0</v>
      </c>
      <c r="CE92" s="182">
        <v>0</v>
      </c>
      <c r="CF92" s="182">
        <v>0</v>
      </c>
      <c r="CG92" s="177">
        <v>0</v>
      </c>
      <c r="CH92" s="323">
        <v>0</v>
      </c>
      <c r="CI92" s="181">
        <f>-k.s3CS-SUM(CI$9:CI91,CI93:CI$163)</f>
        <v>-2.0693943443037738E-2</v>
      </c>
      <c r="CJ92" s="177">
        <v>0</v>
      </c>
      <c r="CK92" s="302">
        <v>0</v>
      </c>
      <c r="CL92" s="182">
        <v>0</v>
      </c>
      <c r="CM92" s="182">
        <v>0</v>
      </c>
      <c r="CN92" s="182">
        <v>0</v>
      </c>
      <c r="CO92" s="182">
        <v>0</v>
      </c>
      <c r="CP92" s="182">
        <v>0</v>
      </c>
      <c r="CQ92" s="182">
        <v>0</v>
      </c>
      <c r="CR92" s="182">
        <v>0</v>
      </c>
      <c r="CS92" s="182">
        <v>0</v>
      </c>
      <c r="CT92" s="182">
        <v>0</v>
      </c>
      <c r="CU92" s="182">
        <v>0</v>
      </c>
      <c r="CV92" s="182">
        <v>0</v>
      </c>
      <c r="CW92" s="182">
        <v>0</v>
      </c>
      <c r="CX92" s="182">
        <v>0</v>
      </c>
      <c r="CY92" s="182">
        <v>0</v>
      </c>
      <c r="CZ92" s="182">
        <v>0</v>
      </c>
      <c r="DA92" s="182">
        <v>0</v>
      </c>
      <c r="DB92" s="182">
        <v>0</v>
      </c>
      <c r="DC92" s="182">
        <v>0</v>
      </c>
      <c r="DD92" s="182">
        <v>0</v>
      </c>
      <c r="DE92" s="182">
        <v>0</v>
      </c>
      <c r="DF92" s="182">
        <v>0</v>
      </c>
      <c r="DG92" s="182">
        <v>0</v>
      </c>
      <c r="DH92" s="182">
        <v>0</v>
      </c>
      <c r="DI92" s="182">
        <v>0</v>
      </c>
      <c r="DJ92" s="182">
        <v>0</v>
      </c>
      <c r="DK92" s="182">
        <v>0</v>
      </c>
      <c r="DL92" s="182">
        <v>0</v>
      </c>
      <c r="DM92" s="182">
        <v>0</v>
      </c>
      <c r="DN92" s="182">
        <v>0</v>
      </c>
      <c r="DO92" s="182">
        <v>0</v>
      </c>
      <c r="DP92" s="182">
        <v>0</v>
      </c>
      <c r="DQ92" s="182">
        <v>0</v>
      </c>
      <c r="DR92" s="182">
        <v>0</v>
      </c>
      <c r="DS92" s="182">
        <v>0</v>
      </c>
      <c r="DT92" s="182">
        <v>0</v>
      </c>
      <c r="DU92" s="182">
        <v>0</v>
      </c>
      <c r="DV92" s="182">
        <v>0</v>
      </c>
      <c r="DW92" s="182">
        <v>0</v>
      </c>
      <c r="DX92" s="182">
        <v>0</v>
      </c>
      <c r="DY92" s="182">
        <v>0</v>
      </c>
      <c r="DZ92" s="182">
        <v>0</v>
      </c>
      <c r="EA92" s="182">
        <v>0</v>
      </c>
      <c r="EB92" s="182">
        <v>0</v>
      </c>
      <c r="EC92" s="182">
        <v>0</v>
      </c>
      <c r="ED92" s="182">
        <v>0</v>
      </c>
      <c r="EE92" s="182">
        <v>0</v>
      </c>
      <c r="EF92" s="182">
        <v>0</v>
      </c>
      <c r="EG92" s="182">
        <v>0</v>
      </c>
      <c r="EH92" s="182">
        <v>0</v>
      </c>
      <c r="EI92" s="182">
        <v>0</v>
      </c>
      <c r="EJ92" s="182">
        <v>0</v>
      </c>
      <c r="EK92" s="182">
        <v>0</v>
      </c>
      <c r="EL92" s="182">
        <v>0</v>
      </c>
      <c r="EM92" s="182">
        <v>0</v>
      </c>
      <c r="EN92" s="182">
        <v>0</v>
      </c>
      <c r="EO92" s="182">
        <v>0</v>
      </c>
      <c r="EP92" s="182">
        <v>0</v>
      </c>
      <c r="EQ92" s="182">
        <v>0</v>
      </c>
      <c r="ER92" s="182">
        <v>0</v>
      </c>
      <c r="ES92" s="182">
        <v>0</v>
      </c>
      <c r="ET92" s="182">
        <v>0</v>
      </c>
      <c r="EU92" s="182">
        <v>0</v>
      </c>
      <c r="EV92" s="182">
        <v>0</v>
      </c>
      <c r="EW92" s="182">
        <v>0</v>
      </c>
      <c r="EX92" s="182">
        <v>0</v>
      </c>
      <c r="EY92" s="182">
        <v>0</v>
      </c>
      <c r="EZ92" s="182">
        <v>0</v>
      </c>
      <c r="FA92" s="182">
        <v>0</v>
      </c>
      <c r="FB92" s="183">
        <v>0</v>
      </c>
    </row>
    <row r="93" spans="2:158" ht="12.75" customHeight="1" x14ac:dyDescent="0.3">
      <c r="B93" s="199" t="s">
        <v>3903</v>
      </c>
      <c r="C93" s="340"/>
      <c r="D93" s="182">
        <v>0</v>
      </c>
      <c r="E93" s="182">
        <v>0</v>
      </c>
      <c r="F93" s="182">
        <v>0</v>
      </c>
      <c r="G93" s="182">
        <v>0</v>
      </c>
      <c r="H93" s="182">
        <v>0</v>
      </c>
      <c r="I93" s="182">
        <v>0</v>
      </c>
      <c r="J93" s="182">
        <v>0</v>
      </c>
      <c r="K93" s="182">
        <v>0</v>
      </c>
      <c r="L93" s="182">
        <v>0</v>
      </c>
      <c r="M93" s="182">
        <v>0</v>
      </c>
      <c r="N93" s="182">
        <v>0</v>
      </c>
      <c r="O93" s="182">
        <v>0</v>
      </c>
      <c r="P93" s="182">
        <v>0</v>
      </c>
      <c r="Q93" s="182">
        <v>0</v>
      </c>
      <c r="R93" s="182">
        <v>0</v>
      </c>
      <c r="S93" s="182">
        <v>0</v>
      </c>
      <c r="T93" s="182">
        <v>0</v>
      </c>
      <c r="U93" s="182">
        <v>0</v>
      </c>
      <c r="V93" s="182">
        <v>0</v>
      </c>
      <c r="W93" s="182">
        <v>0</v>
      </c>
      <c r="X93" s="182">
        <v>0</v>
      </c>
      <c r="Y93" s="182">
        <v>0</v>
      </c>
      <c r="Z93" s="182">
        <v>0</v>
      </c>
      <c r="AA93" s="182">
        <v>0</v>
      </c>
      <c r="AB93" s="182">
        <v>0</v>
      </c>
      <c r="AC93" s="182">
        <v>0</v>
      </c>
      <c r="AD93" s="182">
        <v>0</v>
      </c>
      <c r="AE93" s="182">
        <v>0</v>
      </c>
      <c r="AF93" s="182">
        <v>0</v>
      </c>
      <c r="AG93" s="182">
        <v>0</v>
      </c>
      <c r="AH93" s="182">
        <v>0</v>
      </c>
      <c r="AI93" s="182">
        <v>0</v>
      </c>
      <c r="AJ93" s="182">
        <v>0</v>
      </c>
      <c r="AK93" s="182">
        <v>0</v>
      </c>
      <c r="AL93" s="182">
        <v>0</v>
      </c>
      <c r="AM93" s="182">
        <v>0</v>
      </c>
      <c r="AN93" s="182">
        <v>0</v>
      </c>
      <c r="AO93" s="182">
        <v>0</v>
      </c>
      <c r="AP93" s="182">
        <v>0</v>
      </c>
      <c r="AQ93" s="182">
        <v>0</v>
      </c>
      <c r="AR93" s="182">
        <v>0</v>
      </c>
      <c r="AS93" s="182">
        <v>0</v>
      </c>
      <c r="AT93" s="182">
        <v>0</v>
      </c>
      <c r="AU93" s="177">
        <v>0</v>
      </c>
      <c r="AV93" s="177">
        <v>0</v>
      </c>
      <c r="AW93" s="177">
        <f>k.aCA.s3CA</f>
        <v>1.3254972425638736E-8</v>
      </c>
      <c r="AX93" s="176">
        <v>0</v>
      </c>
      <c r="AY93" s="177">
        <v>0</v>
      </c>
      <c r="AZ93" s="177">
        <f>k.cwCA.s3CA</f>
        <v>3.5825355008967127E-6</v>
      </c>
      <c r="BA93" s="176">
        <v>0</v>
      </c>
      <c r="BB93" s="168">
        <v>0</v>
      </c>
      <c r="BC93" s="168">
        <v>0</v>
      </c>
      <c r="BD93" s="168">
        <v>0</v>
      </c>
      <c r="BE93" s="168">
        <v>0</v>
      </c>
      <c r="BF93" s="182">
        <v>0</v>
      </c>
      <c r="BG93" s="182">
        <v>0</v>
      </c>
      <c r="BH93" s="182">
        <v>0</v>
      </c>
      <c r="BI93" s="182">
        <v>0</v>
      </c>
      <c r="BJ93" s="182">
        <v>0</v>
      </c>
      <c r="BK93" s="182">
        <v>0</v>
      </c>
      <c r="BL93" s="182">
        <v>0</v>
      </c>
      <c r="BM93" s="182">
        <v>0</v>
      </c>
      <c r="BN93" s="182">
        <v>0</v>
      </c>
      <c r="BO93" s="182">
        <v>0</v>
      </c>
      <c r="BP93" s="182">
        <v>0</v>
      </c>
      <c r="BQ93" s="182">
        <v>0</v>
      </c>
      <c r="BR93" s="182">
        <v>0</v>
      </c>
      <c r="BS93" s="182">
        <v>0</v>
      </c>
      <c r="BT93" s="182">
        <v>0</v>
      </c>
      <c r="BU93" s="182">
        <v>0</v>
      </c>
      <c r="BV93" s="182">
        <v>0</v>
      </c>
      <c r="BW93" s="182">
        <v>0</v>
      </c>
      <c r="BX93" s="182">
        <v>0</v>
      </c>
      <c r="BY93" s="182">
        <v>0</v>
      </c>
      <c r="BZ93" s="182">
        <v>0</v>
      </c>
      <c r="CA93" s="182">
        <v>0</v>
      </c>
      <c r="CB93" s="182">
        <v>0</v>
      </c>
      <c r="CC93" s="177">
        <v>0</v>
      </c>
      <c r="CD93" s="177">
        <v>0</v>
      </c>
      <c r="CE93" s="182">
        <v>0</v>
      </c>
      <c r="CF93" s="182">
        <v>0</v>
      </c>
      <c r="CG93" s="182">
        <v>0</v>
      </c>
      <c r="CH93" s="323">
        <v>0</v>
      </c>
      <c r="CI93" s="177">
        <f>k.s3CS.s3CA</f>
        <v>1.5803861528693407E-2</v>
      </c>
      <c r="CJ93" s="181">
        <f>-k.s3CA-SUM(CJ$9:CJ92,CJ94:CJ$163)</f>
        <v>-1.4200223351680569E-7</v>
      </c>
      <c r="CK93" s="302">
        <v>0</v>
      </c>
      <c r="CL93" s="177">
        <v>0</v>
      </c>
      <c r="CM93" s="182">
        <v>0</v>
      </c>
      <c r="CN93" s="182">
        <v>0</v>
      </c>
      <c r="CO93" s="182">
        <v>0</v>
      </c>
      <c r="CP93" s="182">
        <v>0</v>
      </c>
      <c r="CQ93" s="182">
        <v>0</v>
      </c>
      <c r="CR93" s="182">
        <v>0</v>
      </c>
      <c r="CS93" s="182">
        <v>0</v>
      </c>
      <c r="CT93" s="182">
        <v>0</v>
      </c>
      <c r="CU93" s="182">
        <v>0</v>
      </c>
      <c r="CV93" s="182">
        <v>0</v>
      </c>
      <c r="CW93" s="182">
        <v>0</v>
      </c>
      <c r="CX93" s="182">
        <v>0</v>
      </c>
      <c r="CY93" s="182">
        <v>0</v>
      </c>
      <c r="CZ93" s="182">
        <v>0</v>
      </c>
      <c r="DA93" s="182">
        <v>0</v>
      </c>
      <c r="DB93" s="182">
        <v>0</v>
      </c>
      <c r="DC93" s="182">
        <v>0</v>
      </c>
      <c r="DD93" s="182">
        <v>0</v>
      </c>
      <c r="DE93" s="182">
        <v>0</v>
      </c>
      <c r="DF93" s="182">
        <v>0</v>
      </c>
      <c r="DG93" s="182">
        <v>0</v>
      </c>
      <c r="DH93" s="182">
        <v>0</v>
      </c>
      <c r="DI93" s="182">
        <v>0</v>
      </c>
      <c r="DJ93" s="182">
        <v>0</v>
      </c>
      <c r="DK93" s="182">
        <v>0</v>
      </c>
      <c r="DL93" s="182">
        <v>0</v>
      </c>
      <c r="DM93" s="182">
        <v>0</v>
      </c>
      <c r="DN93" s="182">
        <v>0</v>
      </c>
      <c r="DO93" s="182">
        <v>0</v>
      </c>
      <c r="DP93" s="182">
        <v>0</v>
      </c>
      <c r="DQ93" s="182">
        <v>0</v>
      </c>
      <c r="DR93" s="182">
        <v>0</v>
      </c>
      <c r="DS93" s="182">
        <v>0</v>
      </c>
      <c r="DT93" s="182">
        <v>0</v>
      </c>
      <c r="DU93" s="182">
        <v>0</v>
      </c>
      <c r="DV93" s="182">
        <v>0</v>
      </c>
      <c r="DW93" s="182">
        <v>0</v>
      </c>
      <c r="DX93" s="182">
        <v>0</v>
      </c>
      <c r="DY93" s="182">
        <v>0</v>
      </c>
      <c r="DZ93" s="182">
        <v>0</v>
      </c>
      <c r="EA93" s="182">
        <v>0</v>
      </c>
      <c r="EB93" s="182">
        <v>0</v>
      </c>
      <c r="EC93" s="182">
        <v>0</v>
      </c>
      <c r="ED93" s="182">
        <v>0</v>
      </c>
      <c r="EE93" s="182">
        <v>0</v>
      </c>
      <c r="EF93" s="182">
        <v>0</v>
      </c>
      <c r="EG93" s="182">
        <v>0</v>
      </c>
      <c r="EH93" s="182">
        <v>0</v>
      </c>
      <c r="EI93" s="182">
        <v>0</v>
      </c>
      <c r="EJ93" s="182">
        <v>0</v>
      </c>
      <c r="EK93" s="182">
        <v>0</v>
      </c>
      <c r="EL93" s="182">
        <v>0</v>
      </c>
      <c r="EM93" s="182">
        <v>0</v>
      </c>
      <c r="EN93" s="182">
        <v>0</v>
      </c>
      <c r="EO93" s="182">
        <v>0</v>
      </c>
      <c r="EP93" s="182">
        <v>0</v>
      </c>
      <c r="EQ93" s="182">
        <v>0</v>
      </c>
      <c r="ER93" s="182">
        <v>0</v>
      </c>
      <c r="ES93" s="182">
        <v>0</v>
      </c>
      <c r="ET93" s="182">
        <v>0</v>
      </c>
      <c r="EU93" s="182">
        <v>0</v>
      </c>
      <c r="EV93" s="182">
        <v>0</v>
      </c>
      <c r="EW93" s="182">
        <v>0</v>
      </c>
      <c r="EX93" s="182">
        <v>0</v>
      </c>
      <c r="EY93" s="182">
        <v>0</v>
      </c>
      <c r="EZ93" s="182">
        <v>0</v>
      </c>
      <c r="FA93" s="182">
        <v>0</v>
      </c>
      <c r="FB93" s="183">
        <v>0</v>
      </c>
    </row>
    <row r="94" spans="2:158" ht="12.75" customHeight="1" x14ac:dyDescent="0.3">
      <c r="B94" s="199" t="s">
        <v>3904</v>
      </c>
      <c r="C94" s="340"/>
      <c r="D94" s="182">
        <v>0</v>
      </c>
      <c r="E94" s="182">
        <v>0</v>
      </c>
      <c r="F94" s="182">
        <v>0</v>
      </c>
      <c r="G94" s="182">
        <v>0</v>
      </c>
      <c r="H94" s="182">
        <v>0</v>
      </c>
      <c r="I94" s="182">
        <v>0</v>
      </c>
      <c r="J94" s="182">
        <v>0</v>
      </c>
      <c r="K94" s="182">
        <v>0</v>
      </c>
      <c r="L94" s="182">
        <v>0</v>
      </c>
      <c r="M94" s="182">
        <v>0</v>
      </c>
      <c r="N94" s="182">
        <v>0</v>
      </c>
      <c r="O94" s="182">
        <v>0</v>
      </c>
      <c r="P94" s="182">
        <v>0</v>
      </c>
      <c r="Q94" s="182">
        <v>0</v>
      </c>
      <c r="R94" s="182">
        <v>0</v>
      </c>
      <c r="S94" s="182">
        <v>0</v>
      </c>
      <c r="T94" s="182">
        <v>0</v>
      </c>
      <c r="U94" s="182">
        <v>0</v>
      </c>
      <c r="V94" s="182">
        <v>0</v>
      </c>
      <c r="W94" s="182">
        <v>0</v>
      </c>
      <c r="X94" s="182">
        <v>0</v>
      </c>
      <c r="Y94" s="182">
        <v>0</v>
      </c>
      <c r="Z94" s="182">
        <v>0</v>
      </c>
      <c r="AA94" s="182">
        <v>0</v>
      </c>
      <c r="AB94" s="182">
        <v>0</v>
      </c>
      <c r="AC94" s="182">
        <v>0</v>
      </c>
      <c r="AD94" s="182">
        <v>0</v>
      </c>
      <c r="AE94" s="182">
        <v>0</v>
      </c>
      <c r="AF94" s="182">
        <v>0</v>
      </c>
      <c r="AG94" s="182">
        <v>0</v>
      </c>
      <c r="AH94" s="182">
        <v>0</v>
      </c>
      <c r="AI94" s="182">
        <v>0</v>
      </c>
      <c r="AJ94" s="182">
        <v>0</v>
      </c>
      <c r="AK94" s="182">
        <v>0</v>
      </c>
      <c r="AL94" s="182">
        <v>0</v>
      </c>
      <c r="AM94" s="182">
        <v>0</v>
      </c>
      <c r="AN94" s="182">
        <v>0</v>
      </c>
      <c r="AO94" s="182">
        <v>0</v>
      </c>
      <c r="AP94" s="182">
        <v>0</v>
      </c>
      <c r="AQ94" s="182">
        <v>0</v>
      </c>
      <c r="AR94" s="182">
        <v>0</v>
      </c>
      <c r="AS94" s="182">
        <v>0</v>
      </c>
      <c r="AT94" s="182">
        <v>0</v>
      </c>
      <c r="AU94" s="177">
        <v>0</v>
      </c>
      <c r="AV94" s="177">
        <v>0</v>
      </c>
      <c r="AW94" s="177">
        <v>0</v>
      </c>
      <c r="AX94" s="176">
        <f>k.aCP.s3CP</f>
        <v>4.8419502666976612E-8</v>
      </c>
      <c r="AY94" s="177">
        <v>0</v>
      </c>
      <c r="AZ94" s="177">
        <v>0</v>
      </c>
      <c r="BA94" s="176">
        <f>k.cwCP.s3CP</f>
        <v>3.5825355008967127E-6</v>
      </c>
      <c r="BB94" s="168">
        <v>0</v>
      </c>
      <c r="BC94" s="168">
        <v>0</v>
      </c>
      <c r="BD94" s="168">
        <v>0</v>
      </c>
      <c r="BE94" s="168">
        <v>0</v>
      </c>
      <c r="BF94" s="182">
        <v>0</v>
      </c>
      <c r="BG94" s="182">
        <v>0</v>
      </c>
      <c r="BH94" s="182">
        <v>0</v>
      </c>
      <c r="BI94" s="182">
        <v>0</v>
      </c>
      <c r="BJ94" s="182">
        <v>0</v>
      </c>
      <c r="BK94" s="182">
        <v>0</v>
      </c>
      <c r="BL94" s="182">
        <v>0</v>
      </c>
      <c r="BM94" s="182">
        <v>0</v>
      </c>
      <c r="BN94" s="182">
        <v>0</v>
      </c>
      <c r="BO94" s="182">
        <v>0</v>
      </c>
      <c r="BP94" s="182">
        <v>0</v>
      </c>
      <c r="BQ94" s="182">
        <v>0</v>
      </c>
      <c r="BR94" s="182">
        <v>0</v>
      </c>
      <c r="BS94" s="182">
        <v>0</v>
      </c>
      <c r="BT94" s="182">
        <v>0</v>
      </c>
      <c r="BU94" s="182">
        <v>0</v>
      </c>
      <c r="BV94" s="182">
        <v>0</v>
      </c>
      <c r="BW94" s="182">
        <v>0</v>
      </c>
      <c r="BX94" s="182">
        <v>0</v>
      </c>
      <c r="BY94" s="182">
        <v>0</v>
      </c>
      <c r="BZ94" s="182">
        <v>0</v>
      </c>
      <c r="CA94" s="182">
        <v>0</v>
      </c>
      <c r="CB94" s="182">
        <v>0</v>
      </c>
      <c r="CC94" s="177">
        <v>0</v>
      </c>
      <c r="CD94" s="177">
        <v>0</v>
      </c>
      <c r="CE94" s="177">
        <v>0</v>
      </c>
      <c r="CF94" s="177">
        <v>0</v>
      </c>
      <c r="CG94" s="177">
        <v>0</v>
      </c>
      <c r="CH94" s="303">
        <v>0</v>
      </c>
      <c r="CI94" s="304">
        <f>k.s3CS.s3CP</f>
        <v>4.8899399121108134E-3</v>
      </c>
      <c r="CJ94" s="304">
        <v>0</v>
      </c>
      <c r="CK94" s="181">
        <f>-k.s3CP-SUM(CK$9:CK93,CK95:CK$163)</f>
        <v>-1.9025875190258751E-11</v>
      </c>
      <c r="CL94" s="177">
        <v>0</v>
      </c>
      <c r="CM94" s="177">
        <v>0</v>
      </c>
      <c r="CN94" s="182">
        <v>0</v>
      </c>
      <c r="CO94" s="182">
        <v>0</v>
      </c>
      <c r="CP94" s="182">
        <v>0</v>
      </c>
      <c r="CQ94" s="182">
        <v>0</v>
      </c>
      <c r="CR94" s="182">
        <v>0</v>
      </c>
      <c r="CS94" s="182">
        <v>0</v>
      </c>
      <c r="CT94" s="182">
        <v>0</v>
      </c>
      <c r="CU94" s="182">
        <v>0</v>
      </c>
      <c r="CV94" s="182">
        <v>0</v>
      </c>
      <c r="CW94" s="182">
        <v>0</v>
      </c>
      <c r="CX94" s="182">
        <v>0</v>
      </c>
      <c r="CY94" s="182">
        <v>0</v>
      </c>
      <c r="CZ94" s="182">
        <v>0</v>
      </c>
      <c r="DA94" s="182">
        <v>0</v>
      </c>
      <c r="DB94" s="182">
        <v>0</v>
      </c>
      <c r="DC94" s="182">
        <v>0</v>
      </c>
      <c r="DD94" s="182">
        <v>0</v>
      </c>
      <c r="DE94" s="182">
        <v>0</v>
      </c>
      <c r="DF94" s="182">
        <v>0</v>
      </c>
      <c r="DG94" s="182">
        <v>0</v>
      </c>
      <c r="DH94" s="182">
        <v>0</v>
      </c>
      <c r="DI94" s="182">
        <v>0</v>
      </c>
      <c r="DJ94" s="182">
        <v>0</v>
      </c>
      <c r="DK94" s="182">
        <v>0</v>
      </c>
      <c r="DL94" s="182">
        <v>0</v>
      </c>
      <c r="DM94" s="182">
        <v>0</v>
      </c>
      <c r="DN94" s="182">
        <v>0</v>
      </c>
      <c r="DO94" s="182">
        <v>0</v>
      </c>
      <c r="DP94" s="182">
        <v>0</v>
      </c>
      <c r="DQ94" s="182">
        <v>0</v>
      </c>
      <c r="DR94" s="182">
        <v>0</v>
      </c>
      <c r="DS94" s="182">
        <v>0</v>
      </c>
      <c r="DT94" s="182">
        <v>0</v>
      </c>
      <c r="DU94" s="182">
        <v>0</v>
      </c>
      <c r="DV94" s="182">
        <v>0</v>
      </c>
      <c r="DW94" s="182">
        <v>0</v>
      </c>
      <c r="DX94" s="182">
        <v>0</v>
      </c>
      <c r="DY94" s="182">
        <v>0</v>
      </c>
      <c r="DZ94" s="182">
        <v>0</v>
      </c>
      <c r="EA94" s="182">
        <v>0</v>
      </c>
      <c r="EB94" s="182">
        <v>0</v>
      </c>
      <c r="EC94" s="182">
        <v>0</v>
      </c>
      <c r="ED94" s="182">
        <v>0</v>
      </c>
      <c r="EE94" s="182">
        <v>0</v>
      </c>
      <c r="EF94" s="182">
        <v>0</v>
      </c>
      <c r="EG94" s="182">
        <v>0</v>
      </c>
      <c r="EH94" s="182">
        <v>0</v>
      </c>
      <c r="EI94" s="182">
        <v>0</v>
      </c>
      <c r="EJ94" s="182">
        <v>0</v>
      </c>
      <c r="EK94" s="182">
        <v>0</v>
      </c>
      <c r="EL94" s="182">
        <v>0</v>
      </c>
      <c r="EM94" s="182">
        <v>0</v>
      </c>
      <c r="EN94" s="182">
        <v>0</v>
      </c>
      <c r="EO94" s="182">
        <v>0</v>
      </c>
      <c r="EP94" s="182">
        <v>0</v>
      </c>
      <c r="EQ94" s="182">
        <v>0</v>
      </c>
      <c r="ER94" s="182">
        <v>0</v>
      </c>
      <c r="ES94" s="182">
        <v>0</v>
      </c>
      <c r="ET94" s="182">
        <v>0</v>
      </c>
      <c r="EU94" s="182">
        <v>0</v>
      </c>
      <c r="EV94" s="182">
        <v>0</v>
      </c>
      <c r="EW94" s="182">
        <v>0</v>
      </c>
      <c r="EX94" s="182">
        <v>0</v>
      </c>
      <c r="EY94" s="182">
        <v>0</v>
      </c>
      <c r="EZ94" s="182">
        <v>0</v>
      </c>
      <c r="FA94" s="182">
        <v>0</v>
      </c>
      <c r="FB94" s="183">
        <v>0</v>
      </c>
    </row>
    <row r="95" spans="2:158" ht="12.75" customHeight="1" x14ac:dyDescent="0.3">
      <c r="B95" s="199" t="s">
        <v>3905</v>
      </c>
      <c r="C95" s="340"/>
      <c r="D95" s="182">
        <v>0</v>
      </c>
      <c r="E95" s="182">
        <v>0</v>
      </c>
      <c r="F95" s="182">
        <v>0</v>
      </c>
      <c r="G95" s="182">
        <v>0</v>
      </c>
      <c r="H95" s="182">
        <v>0</v>
      </c>
      <c r="I95" s="182">
        <v>0</v>
      </c>
      <c r="J95" s="182">
        <v>0</v>
      </c>
      <c r="K95" s="182">
        <v>0</v>
      </c>
      <c r="L95" s="182">
        <v>0</v>
      </c>
      <c r="M95" s="182">
        <v>0</v>
      </c>
      <c r="N95" s="182">
        <v>0</v>
      </c>
      <c r="O95" s="182">
        <v>0</v>
      </c>
      <c r="P95" s="182">
        <v>0</v>
      </c>
      <c r="Q95" s="182">
        <v>0</v>
      </c>
      <c r="R95" s="182">
        <v>0</v>
      </c>
      <c r="S95" s="182">
        <v>0</v>
      </c>
      <c r="T95" s="182">
        <v>0</v>
      </c>
      <c r="U95" s="182">
        <v>0</v>
      </c>
      <c r="V95" s="182">
        <v>0</v>
      </c>
      <c r="W95" s="182">
        <v>0</v>
      </c>
      <c r="X95" s="182">
        <v>0</v>
      </c>
      <c r="Y95" s="182">
        <v>0</v>
      </c>
      <c r="Z95" s="182">
        <v>0</v>
      </c>
      <c r="AA95" s="182">
        <v>0</v>
      </c>
      <c r="AB95" s="182">
        <v>0</v>
      </c>
      <c r="AC95" s="182">
        <v>0</v>
      </c>
      <c r="AD95" s="182">
        <v>0</v>
      </c>
      <c r="AE95" s="182">
        <v>0</v>
      </c>
      <c r="AF95" s="182">
        <v>0</v>
      </c>
      <c r="AG95" s="182">
        <v>0</v>
      </c>
      <c r="AH95" s="182">
        <v>0</v>
      </c>
      <c r="AI95" s="182">
        <v>0</v>
      </c>
      <c r="AJ95" s="182">
        <v>0</v>
      </c>
      <c r="AK95" s="182">
        <v>0</v>
      </c>
      <c r="AL95" s="182">
        <v>0</v>
      </c>
      <c r="AM95" s="182">
        <v>0</v>
      </c>
      <c r="AN95" s="182">
        <v>0</v>
      </c>
      <c r="AO95" s="182">
        <v>0</v>
      </c>
      <c r="AP95" s="182">
        <v>0</v>
      </c>
      <c r="AQ95" s="182">
        <v>0</v>
      </c>
      <c r="AR95" s="182">
        <v>0</v>
      </c>
      <c r="AS95" s="182">
        <v>0</v>
      </c>
      <c r="AT95" s="182">
        <v>0</v>
      </c>
      <c r="AU95" s="177">
        <f>k.aC.aM</f>
        <v>1.3817860384619942E-6</v>
      </c>
      <c r="AV95" s="177">
        <v>0</v>
      </c>
      <c r="AW95" s="177">
        <v>0</v>
      </c>
      <c r="AX95" s="177">
        <v>0</v>
      </c>
      <c r="AY95" s="177">
        <v>0</v>
      </c>
      <c r="AZ95" s="177">
        <v>0</v>
      </c>
      <c r="BA95" s="177">
        <v>0</v>
      </c>
      <c r="BB95" s="168">
        <v>0</v>
      </c>
      <c r="BC95" s="168">
        <v>0</v>
      </c>
      <c r="BD95" s="168">
        <v>0</v>
      </c>
      <c r="BE95" s="168">
        <v>0</v>
      </c>
      <c r="BF95" s="182">
        <v>0</v>
      </c>
      <c r="BG95" s="182">
        <v>0</v>
      </c>
      <c r="BH95" s="182">
        <v>0</v>
      </c>
      <c r="BI95" s="182">
        <v>0</v>
      </c>
      <c r="BJ95" s="182">
        <v>0</v>
      </c>
      <c r="BK95" s="182">
        <v>0</v>
      </c>
      <c r="BL95" s="182">
        <v>0</v>
      </c>
      <c r="BM95" s="182">
        <v>0</v>
      </c>
      <c r="BN95" s="182">
        <v>0</v>
      </c>
      <c r="BO95" s="182">
        <v>0</v>
      </c>
      <c r="BP95" s="182">
        <v>0</v>
      </c>
      <c r="BQ95" s="182">
        <v>0</v>
      </c>
      <c r="BR95" s="182">
        <v>0</v>
      </c>
      <c r="BS95" s="182">
        <v>0</v>
      </c>
      <c r="BT95" s="182">
        <v>0</v>
      </c>
      <c r="BU95" s="182">
        <v>0</v>
      </c>
      <c r="BV95" s="182">
        <v>0</v>
      </c>
      <c r="BW95" s="182">
        <v>0</v>
      </c>
      <c r="BX95" s="182">
        <v>0</v>
      </c>
      <c r="BY95" s="182">
        <v>0</v>
      </c>
      <c r="BZ95" s="182">
        <v>0</v>
      </c>
      <c r="CA95" s="182">
        <v>0</v>
      </c>
      <c r="CB95" s="182">
        <v>0</v>
      </c>
      <c r="CC95" s="182">
        <v>0</v>
      </c>
      <c r="CD95" s="177">
        <v>0</v>
      </c>
      <c r="CE95" s="177">
        <v>0</v>
      </c>
      <c r="CF95" s="177">
        <v>0</v>
      </c>
      <c r="CG95" s="177">
        <v>0</v>
      </c>
      <c r="CH95" s="177">
        <v>0</v>
      </c>
      <c r="CI95" s="177">
        <v>0</v>
      </c>
      <c r="CJ95" s="177">
        <v>0</v>
      </c>
      <c r="CK95" s="177">
        <v>0</v>
      </c>
      <c r="CL95" s="310">
        <f>-k.aM-SUM(CL9:CL94,CL96:CL163)</f>
        <v>-1.4102026056027678E-6</v>
      </c>
      <c r="CM95" s="321">
        <v>0</v>
      </c>
      <c r="CN95" s="321">
        <v>0</v>
      </c>
      <c r="CO95" s="322">
        <v>0</v>
      </c>
      <c r="CP95" s="177">
        <v>0</v>
      </c>
      <c r="CQ95" s="177">
        <v>0</v>
      </c>
      <c r="CR95" s="177">
        <v>0</v>
      </c>
      <c r="CS95" s="177">
        <f>k.w2M.aM</f>
        <v>5.1216692794123989E-8</v>
      </c>
      <c r="CT95" s="177">
        <v>0</v>
      </c>
      <c r="CU95" s="177">
        <v>0</v>
      </c>
      <c r="CV95" s="177">
        <v>0</v>
      </c>
      <c r="CW95" s="182">
        <v>0</v>
      </c>
      <c r="CX95" s="182">
        <v>0</v>
      </c>
      <c r="CY95" s="182">
        <v>0</v>
      </c>
      <c r="CZ95" s="182">
        <v>0</v>
      </c>
      <c r="DA95" s="182">
        <v>0</v>
      </c>
      <c r="DB95" s="182">
        <v>0</v>
      </c>
      <c r="DC95" s="182">
        <v>0</v>
      </c>
      <c r="DD95" s="182">
        <v>0</v>
      </c>
      <c r="DE95" s="177">
        <f>k.sM.aM</f>
        <v>1.103232338463208E-7</v>
      </c>
      <c r="DF95" s="177">
        <v>0</v>
      </c>
      <c r="DG95" s="177">
        <v>0</v>
      </c>
      <c r="DH95" s="177">
        <v>0</v>
      </c>
      <c r="DI95" s="177">
        <f>k.aA.aM</f>
        <v>6.9234185224561193E-7</v>
      </c>
      <c r="DJ95" s="177">
        <v>0</v>
      </c>
      <c r="DK95" s="177">
        <v>0</v>
      </c>
      <c r="DL95" s="177">
        <v>0</v>
      </c>
      <c r="DM95" s="177">
        <v>0</v>
      </c>
      <c r="DN95" s="177">
        <v>0</v>
      </c>
      <c r="DO95" s="177">
        <v>0</v>
      </c>
      <c r="DP95" s="182">
        <v>0</v>
      </c>
      <c r="DQ95" s="182">
        <v>0</v>
      </c>
      <c r="DR95" s="182">
        <v>0</v>
      </c>
      <c r="DS95" s="182">
        <v>0</v>
      </c>
      <c r="DT95" s="182">
        <v>0</v>
      </c>
      <c r="DU95" s="182">
        <v>0</v>
      </c>
      <c r="DV95" s="182">
        <v>0</v>
      </c>
      <c r="DW95" s="182">
        <v>0</v>
      </c>
      <c r="DX95" s="182">
        <v>0</v>
      </c>
      <c r="DY95" s="182">
        <v>0</v>
      </c>
      <c r="DZ95" s="182">
        <v>0</v>
      </c>
      <c r="EA95" s="182">
        <v>0</v>
      </c>
      <c r="EB95" s="182">
        <v>0</v>
      </c>
      <c r="EC95" s="182">
        <v>0</v>
      </c>
      <c r="ED95" s="182">
        <v>0</v>
      </c>
      <c r="EE95" s="182">
        <v>0</v>
      </c>
      <c r="EF95" s="177">
        <f>k.aT.aM</f>
        <v>3.9972375476524815E-7</v>
      </c>
      <c r="EG95" s="177">
        <v>0</v>
      </c>
      <c r="EH95" s="177">
        <v>0</v>
      </c>
      <c r="EI95" s="177">
        <v>0</v>
      </c>
      <c r="EJ95" s="177">
        <v>0</v>
      </c>
      <c r="EK95" s="177">
        <v>0</v>
      </c>
      <c r="EL95" s="177">
        <v>0</v>
      </c>
      <c r="EM95" s="182">
        <v>0</v>
      </c>
      <c r="EN95" s="182">
        <v>0</v>
      </c>
      <c r="EO95" s="182">
        <v>0</v>
      </c>
      <c r="EP95" s="182">
        <v>0</v>
      </c>
      <c r="EQ95" s="182">
        <v>0</v>
      </c>
      <c r="ER95" s="182">
        <v>0</v>
      </c>
      <c r="ES95" s="182">
        <v>0</v>
      </c>
      <c r="ET95" s="182">
        <v>0</v>
      </c>
      <c r="EU95" s="182">
        <v>0</v>
      </c>
      <c r="EV95" s="182">
        <v>0</v>
      </c>
      <c r="EW95" s="182">
        <v>0</v>
      </c>
      <c r="EX95" s="182">
        <v>0</v>
      </c>
      <c r="EY95" s="182">
        <v>0</v>
      </c>
      <c r="EZ95" s="182">
        <v>0</v>
      </c>
      <c r="FA95" s="182">
        <v>0</v>
      </c>
      <c r="FB95" s="183">
        <v>0</v>
      </c>
    </row>
    <row r="96" spans="2:158" ht="12.75" customHeight="1" x14ac:dyDescent="0.3">
      <c r="B96" s="199" t="s">
        <v>3906</v>
      </c>
      <c r="C96" s="340"/>
      <c r="D96" s="182">
        <v>0</v>
      </c>
      <c r="E96" s="182">
        <v>0</v>
      </c>
      <c r="F96" s="182">
        <v>0</v>
      </c>
      <c r="G96" s="182">
        <v>0</v>
      </c>
      <c r="H96" s="182">
        <v>0</v>
      </c>
      <c r="I96" s="182">
        <v>0</v>
      </c>
      <c r="J96" s="182">
        <v>0</v>
      </c>
      <c r="K96" s="182">
        <v>0</v>
      </c>
      <c r="L96" s="182">
        <v>0</v>
      </c>
      <c r="M96" s="182">
        <v>0</v>
      </c>
      <c r="N96" s="182">
        <v>0</v>
      </c>
      <c r="O96" s="182">
        <v>0</v>
      </c>
      <c r="P96" s="182">
        <v>0</v>
      </c>
      <c r="Q96" s="182">
        <v>0</v>
      </c>
      <c r="R96" s="182">
        <v>0</v>
      </c>
      <c r="S96" s="182">
        <v>0</v>
      </c>
      <c r="T96" s="182">
        <v>0</v>
      </c>
      <c r="U96" s="182">
        <v>0</v>
      </c>
      <c r="V96" s="182">
        <v>0</v>
      </c>
      <c r="W96" s="182">
        <v>0</v>
      </c>
      <c r="X96" s="182">
        <v>0</v>
      </c>
      <c r="Y96" s="182">
        <v>0</v>
      </c>
      <c r="Z96" s="182">
        <v>0</v>
      </c>
      <c r="AA96" s="182">
        <v>0</v>
      </c>
      <c r="AB96" s="182">
        <v>0</v>
      </c>
      <c r="AC96" s="182">
        <v>0</v>
      </c>
      <c r="AD96" s="182">
        <v>0</v>
      </c>
      <c r="AE96" s="182">
        <v>0</v>
      </c>
      <c r="AF96" s="182">
        <v>0</v>
      </c>
      <c r="AG96" s="182">
        <v>0</v>
      </c>
      <c r="AH96" s="182">
        <v>0</v>
      </c>
      <c r="AI96" s="182">
        <v>0</v>
      </c>
      <c r="AJ96" s="182">
        <v>0</v>
      </c>
      <c r="AK96" s="182">
        <v>0</v>
      </c>
      <c r="AL96" s="182">
        <v>0</v>
      </c>
      <c r="AM96" s="182">
        <v>0</v>
      </c>
      <c r="AN96" s="182">
        <v>0</v>
      </c>
      <c r="AO96" s="182">
        <v>0</v>
      </c>
      <c r="AP96" s="182">
        <v>0</v>
      </c>
      <c r="AQ96" s="182">
        <v>0</v>
      </c>
      <c r="AR96" s="182">
        <v>0</v>
      </c>
      <c r="AS96" s="182">
        <v>0</v>
      </c>
      <c r="AT96" s="182">
        <v>0</v>
      </c>
      <c r="AU96" s="177">
        <v>0</v>
      </c>
      <c r="AV96" s="177">
        <f>k.aC.aM</f>
        <v>1.3817860384619942E-6</v>
      </c>
      <c r="AW96" s="177">
        <v>0</v>
      </c>
      <c r="AX96" s="176">
        <v>0</v>
      </c>
      <c r="AY96" s="177">
        <v>0</v>
      </c>
      <c r="AZ96" s="177">
        <v>0</v>
      </c>
      <c r="BA96" s="177">
        <v>0</v>
      </c>
      <c r="BB96" s="168">
        <v>0</v>
      </c>
      <c r="BC96" s="168">
        <v>0</v>
      </c>
      <c r="BD96" s="168">
        <v>0</v>
      </c>
      <c r="BE96" s="168">
        <v>0</v>
      </c>
      <c r="BF96" s="182">
        <v>0</v>
      </c>
      <c r="BG96" s="182">
        <v>0</v>
      </c>
      <c r="BH96" s="182">
        <v>0</v>
      </c>
      <c r="BI96" s="182">
        <v>0</v>
      </c>
      <c r="BJ96" s="182">
        <v>0</v>
      </c>
      <c r="BK96" s="182">
        <v>0</v>
      </c>
      <c r="BL96" s="182">
        <v>0</v>
      </c>
      <c r="BM96" s="182">
        <v>0</v>
      </c>
      <c r="BN96" s="182">
        <v>0</v>
      </c>
      <c r="BO96" s="182">
        <v>0</v>
      </c>
      <c r="BP96" s="182">
        <v>0</v>
      </c>
      <c r="BQ96" s="182">
        <v>0</v>
      </c>
      <c r="BR96" s="182">
        <v>0</v>
      </c>
      <c r="BS96" s="182">
        <v>0</v>
      </c>
      <c r="BT96" s="182">
        <v>0</v>
      </c>
      <c r="BU96" s="182">
        <v>0</v>
      </c>
      <c r="BV96" s="182">
        <v>0</v>
      </c>
      <c r="BW96" s="182">
        <v>0</v>
      </c>
      <c r="BX96" s="182">
        <v>0</v>
      </c>
      <c r="BY96" s="182">
        <v>0</v>
      </c>
      <c r="BZ96" s="182">
        <v>0</v>
      </c>
      <c r="CA96" s="182">
        <v>0</v>
      </c>
      <c r="CB96" s="182">
        <v>0</v>
      </c>
      <c r="CC96" s="182">
        <v>0</v>
      </c>
      <c r="CD96" s="182">
        <v>0</v>
      </c>
      <c r="CE96" s="182">
        <v>0</v>
      </c>
      <c r="CF96" s="182">
        <v>0</v>
      </c>
      <c r="CG96" s="182">
        <v>0</v>
      </c>
      <c r="CH96" s="177">
        <v>0</v>
      </c>
      <c r="CI96" s="177">
        <v>0</v>
      </c>
      <c r="CJ96" s="177">
        <v>0</v>
      </c>
      <c r="CK96" s="177">
        <v>0</v>
      </c>
      <c r="CL96" s="323">
        <v>0</v>
      </c>
      <c r="CM96" s="181">
        <f>-k.aMS-SUM(CM$9:CM95,CM97:CM$163)</f>
        <v>-2.6379770791980223E-5</v>
      </c>
      <c r="CN96" s="177">
        <v>0</v>
      </c>
      <c r="CO96" s="302">
        <v>0</v>
      </c>
      <c r="CP96" s="177">
        <v>0</v>
      </c>
      <c r="CQ96" s="177">
        <v>0</v>
      </c>
      <c r="CR96" s="177">
        <v>0</v>
      </c>
      <c r="CS96" s="177">
        <v>0</v>
      </c>
      <c r="CT96" s="177">
        <v>0</v>
      </c>
      <c r="CU96" s="177">
        <v>0</v>
      </c>
      <c r="CV96" s="177">
        <v>0</v>
      </c>
      <c r="CW96" s="182">
        <v>0</v>
      </c>
      <c r="CX96" s="182">
        <v>0</v>
      </c>
      <c r="CY96" s="182">
        <v>0</v>
      </c>
      <c r="CZ96" s="182">
        <v>0</v>
      </c>
      <c r="DA96" s="182">
        <v>0</v>
      </c>
      <c r="DB96" s="182">
        <v>0</v>
      </c>
      <c r="DC96" s="182">
        <v>0</v>
      </c>
      <c r="DD96" s="182">
        <v>0</v>
      </c>
      <c r="DE96" s="177">
        <v>0</v>
      </c>
      <c r="DF96" s="176">
        <v>0</v>
      </c>
      <c r="DG96" s="177">
        <v>0</v>
      </c>
      <c r="DH96" s="177">
        <v>0</v>
      </c>
      <c r="DI96" s="177">
        <v>0</v>
      </c>
      <c r="DJ96" s="177">
        <f>k.aA.aM</f>
        <v>6.9234185224561193E-7</v>
      </c>
      <c r="DK96" s="177">
        <v>0</v>
      </c>
      <c r="DL96" s="177">
        <v>0</v>
      </c>
      <c r="DM96" s="177">
        <v>0</v>
      </c>
      <c r="DN96" s="177">
        <v>0</v>
      </c>
      <c r="DO96" s="177">
        <v>0</v>
      </c>
      <c r="DP96" s="182">
        <v>0</v>
      </c>
      <c r="DQ96" s="182">
        <v>0</v>
      </c>
      <c r="DR96" s="182">
        <v>0</v>
      </c>
      <c r="DS96" s="182">
        <v>0</v>
      </c>
      <c r="DT96" s="182">
        <v>0</v>
      </c>
      <c r="DU96" s="182">
        <v>0</v>
      </c>
      <c r="DV96" s="182">
        <v>0</v>
      </c>
      <c r="DW96" s="182">
        <v>0</v>
      </c>
      <c r="DX96" s="182">
        <v>0</v>
      </c>
      <c r="DY96" s="182">
        <v>0</v>
      </c>
      <c r="DZ96" s="182">
        <v>0</v>
      </c>
      <c r="EA96" s="182">
        <v>0</v>
      </c>
      <c r="EB96" s="182">
        <v>0</v>
      </c>
      <c r="EC96" s="182">
        <v>0</v>
      </c>
      <c r="ED96" s="182">
        <v>0</v>
      </c>
      <c r="EE96" s="182">
        <v>0</v>
      </c>
      <c r="EF96" s="177">
        <v>0</v>
      </c>
      <c r="EG96" s="177">
        <f>k.aT.aM</f>
        <v>3.9972375476524815E-7</v>
      </c>
      <c r="EH96" s="177">
        <v>0</v>
      </c>
      <c r="EI96" s="177">
        <v>0</v>
      </c>
      <c r="EJ96" s="177">
        <v>0</v>
      </c>
      <c r="EK96" s="177">
        <v>0</v>
      </c>
      <c r="EL96" s="177">
        <v>0</v>
      </c>
      <c r="EM96" s="182">
        <v>0</v>
      </c>
      <c r="EN96" s="182">
        <v>0</v>
      </c>
      <c r="EO96" s="182">
        <v>0</v>
      </c>
      <c r="EP96" s="182">
        <v>0</v>
      </c>
      <c r="EQ96" s="182">
        <v>0</v>
      </c>
      <c r="ER96" s="182">
        <v>0</v>
      </c>
      <c r="ES96" s="182">
        <v>0</v>
      </c>
      <c r="ET96" s="182">
        <v>0</v>
      </c>
      <c r="EU96" s="182">
        <v>0</v>
      </c>
      <c r="EV96" s="182">
        <v>0</v>
      </c>
      <c r="EW96" s="182">
        <v>0</v>
      </c>
      <c r="EX96" s="182">
        <v>0</v>
      </c>
      <c r="EY96" s="182">
        <v>0</v>
      </c>
      <c r="EZ96" s="182">
        <v>0</v>
      </c>
      <c r="FA96" s="182">
        <v>0</v>
      </c>
      <c r="FB96" s="183">
        <v>0</v>
      </c>
    </row>
    <row r="97" spans="2:158" ht="12.75" customHeight="1" x14ac:dyDescent="0.3">
      <c r="B97" s="199" t="s">
        <v>3907</v>
      </c>
      <c r="C97" s="340"/>
      <c r="D97" s="182">
        <v>0</v>
      </c>
      <c r="E97" s="182">
        <v>0</v>
      </c>
      <c r="F97" s="182">
        <v>0</v>
      </c>
      <c r="G97" s="182">
        <v>0</v>
      </c>
      <c r="H97" s="182">
        <v>0</v>
      </c>
      <c r="I97" s="182">
        <v>0</v>
      </c>
      <c r="J97" s="182">
        <v>0</v>
      </c>
      <c r="K97" s="182">
        <v>0</v>
      </c>
      <c r="L97" s="182">
        <v>0</v>
      </c>
      <c r="M97" s="182">
        <v>0</v>
      </c>
      <c r="N97" s="182">
        <v>0</v>
      </c>
      <c r="O97" s="182">
        <v>0</v>
      </c>
      <c r="P97" s="182">
        <v>0</v>
      </c>
      <c r="Q97" s="182">
        <v>0</v>
      </c>
      <c r="R97" s="182">
        <v>0</v>
      </c>
      <c r="S97" s="182">
        <v>0</v>
      </c>
      <c r="T97" s="182">
        <v>0</v>
      </c>
      <c r="U97" s="182">
        <v>0</v>
      </c>
      <c r="V97" s="182">
        <v>0</v>
      </c>
      <c r="W97" s="182">
        <v>0</v>
      </c>
      <c r="X97" s="182">
        <v>0</v>
      </c>
      <c r="Y97" s="182">
        <v>0</v>
      </c>
      <c r="Z97" s="182">
        <v>0</v>
      </c>
      <c r="AA97" s="182">
        <v>0</v>
      </c>
      <c r="AB97" s="182">
        <v>0</v>
      </c>
      <c r="AC97" s="182">
        <v>0</v>
      </c>
      <c r="AD97" s="182">
        <v>0</v>
      </c>
      <c r="AE97" s="182">
        <v>0</v>
      </c>
      <c r="AF97" s="182">
        <v>0</v>
      </c>
      <c r="AG97" s="182">
        <v>0</v>
      </c>
      <c r="AH97" s="182">
        <v>0</v>
      </c>
      <c r="AI97" s="182">
        <v>0</v>
      </c>
      <c r="AJ97" s="182">
        <v>0</v>
      </c>
      <c r="AK97" s="182">
        <v>0</v>
      </c>
      <c r="AL97" s="182">
        <v>0</v>
      </c>
      <c r="AM97" s="182">
        <v>0</v>
      </c>
      <c r="AN97" s="182">
        <v>0</v>
      </c>
      <c r="AO97" s="182">
        <v>0</v>
      </c>
      <c r="AP97" s="182">
        <v>0</v>
      </c>
      <c r="AQ97" s="182">
        <v>0</v>
      </c>
      <c r="AR97" s="182">
        <v>0</v>
      </c>
      <c r="AS97" s="182">
        <v>0</v>
      </c>
      <c r="AT97" s="182">
        <v>0</v>
      </c>
      <c r="AU97" s="177">
        <v>0</v>
      </c>
      <c r="AV97" s="177">
        <v>0</v>
      </c>
      <c r="AW97" s="177">
        <f>k.aC.aM</f>
        <v>1.3817860384619942E-6</v>
      </c>
      <c r="AX97" s="176">
        <v>0</v>
      </c>
      <c r="AY97" s="177">
        <v>0</v>
      </c>
      <c r="AZ97" s="177">
        <v>0</v>
      </c>
      <c r="BA97" s="177">
        <v>0</v>
      </c>
      <c r="BB97" s="168">
        <v>0</v>
      </c>
      <c r="BC97" s="168">
        <v>0</v>
      </c>
      <c r="BD97" s="168">
        <v>0</v>
      </c>
      <c r="BE97" s="168">
        <v>0</v>
      </c>
      <c r="BF97" s="182">
        <v>0</v>
      </c>
      <c r="BG97" s="182">
        <v>0</v>
      </c>
      <c r="BH97" s="182">
        <v>0</v>
      </c>
      <c r="BI97" s="182">
        <v>0</v>
      </c>
      <c r="BJ97" s="182">
        <v>0</v>
      </c>
      <c r="BK97" s="182">
        <v>0</v>
      </c>
      <c r="BL97" s="182">
        <v>0</v>
      </c>
      <c r="BM97" s="182">
        <v>0</v>
      </c>
      <c r="BN97" s="182">
        <v>0</v>
      </c>
      <c r="BO97" s="182">
        <v>0</v>
      </c>
      <c r="BP97" s="182">
        <v>0</v>
      </c>
      <c r="BQ97" s="182">
        <v>0</v>
      </c>
      <c r="BR97" s="182">
        <v>0</v>
      </c>
      <c r="BS97" s="182">
        <v>0</v>
      </c>
      <c r="BT97" s="182">
        <v>0</v>
      </c>
      <c r="BU97" s="182">
        <v>0</v>
      </c>
      <c r="BV97" s="182">
        <v>0</v>
      </c>
      <c r="BW97" s="182">
        <v>0</v>
      </c>
      <c r="BX97" s="182">
        <v>0</v>
      </c>
      <c r="BY97" s="182">
        <v>0</v>
      </c>
      <c r="BZ97" s="182">
        <v>0</v>
      </c>
      <c r="CA97" s="182">
        <v>0</v>
      </c>
      <c r="CB97" s="182">
        <v>0</v>
      </c>
      <c r="CC97" s="182">
        <v>0</v>
      </c>
      <c r="CD97" s="182">
        <v>0</v>
      </c>
      <c r="CE97" s="182">
        <v>0</v>
      </c>
      <c r="CF97" s="182">
        <v>0</v>
      </c>
      <c r="CG97" s="182">
        <v>0</v>
      </c>
      <c r="CH97" s="182">
        <v>0</v>
      </c>
      <c r="CI97" s="182">
        <v>0</v>
      </c>
      <c r="CJ97" s="182">
        <v>0</v>
      </c>
      <c r="CK97" s="177">
        <v>0</v>
      </c>
      <c r="CL97" s="323">
        <v>0</v>
      </c>
      <c r="CM97" s="177">
        <f>k.aMS.aMA</f>
        <v>2.145456072269009E-5</v>
      </c>
      <c r="CN97" s="181">
        <f>-k.aMA-SUM(CN$9:CN96,CN98:CN$163)</f>
        <v>-2.4987291860897648E-6</v>
      </c>
      <c r="CO97" s="302">
        <v>0</v>
      </c>
      <c r="CP97" s="177">
        <v>0</v>
      </c>
      <c r="CQ97" s="177">
        <v>0</v>
      </c>
      <c r="CR97" s="177">
        <v>0</v>
      </c>
      <c r="CS97" s="177">
        <v>0</v>
      </c>
      <c r="CT97" s="177">
        <v>0</v>
      </c>
      <c r="CU97" s="177">
        <v>0</v>
      </c>
      <c r="CV97" s="177">
        <v>0</v>
      </c>
      <c r="CW97" s="182">
        <v>0</v>
      </c>
      <c r="CX97" s="182">
        <v>0</v>
      </c>
      <c r="CY97" s="182">
        <v>0</v>
      </c>
      <c r="CZ97" s="182">
        <v>0</v>
      </c>
      <c r="DA97" s="182">
        <v>0</v>
      </c>
      <c r="DB97" s="182">
        <v>0</v>
      </c>
      <c r="DC97" s="182">
        <v>0</v>
      </c>
      <c r="DD97" s="182">
        <v>0</v>
      </c>
      <c r="DE97" s="177">
        <v>0</v>
      </c>
      <c r="DF97" s="177">
        <v>0</v>
      </c>
      <c r="DG97" s="176">
        <v>0</v>
      </c>
      <c r="DH97" s="177">
        <v>0</v>
      </c>
      <c r="DI97" s="177">
        <v>0</v>
      </c>
      <c r="DJ97" s="177">
        <v>0</v>
      </c>
      <c r="DK97" s="177">
        <f>k.aA.aM</f>
        <v>6.9234185224561193E-7</v>
      </c>
      <c r="DL97" s="177">
        <v>0</v>
      </c>
      <c r="DM97" s="177">
        <v>0</v>
      </c>
      <c r="DN97" s="177">
        <v>0</v>
      </c>
      <c r="DO97" s="177">
        <v>0</v>
      </c>
      <c r="DP97" s="182">
        <v>0</v>
      </c>
      <c r="DQ97" s="182">
        <v>0</v>
      </c>
      <c r="DR97" s="182">
        <v>0</v>
      </c>
      <c r="DS97" s="182">
        <v>0</v>
      </c>
      <c r="DT97" s="182">
        <v>0</v>
      </c>
      <c r="DU97" s="182">
        <v>0</v>
      </c>
      <c r="DV97" s="182">
        <v>0</v>
      </c>
      <c r="DW97" s="182">
        <v>0</v>
      </c>
      <c r="DX97" s="182">
        <v>0</v>
      </c>
      <c r="DY97" s="182">
        <v>0</v>
      </c>
      <c r="DZ97" s="182">
        <v>0</v>
      </c>
      <c r="EA97" s="182">
        <v>0</v>
      </c>
      <c r="EB97" s="182">
        <v>0</v>
      </c>
      <c r="EC97" s="182">
        <v>0</v>
      </c>
      <c r="ED97" s="182">
        <v>0</v>
      </c>
      <c r="EE97" s="182">
        <v>0</v>
      </c>
      <c r="EF97" s="177">
        <v>0</v>
      </c>
      <c r="EG97" s="177">
        <v>0</v>
      </c>
      <c r="EH97" s="177">
        <f>k.aT.aM</f>
        <v>3.9972375476524815E-7</v>
      </c>
      <c r="EI97" s="177">
        <v>0</v>
      </c>
      <c r="EJ97" s="177">
        <v>0</v>
      </c>
      <c r="EK97" s="177">
        <v>0</v>
      </c>
      <c r="EL97" s="177">
        <v>0</v>
      </c>
      <c r="EM97" s="182">
        <v>0</v>
      </c>
      <c r="EN97" s="182">
        <v>0</v>
      </c>
      <c r="EO97" s="182">
        <v>0</v>
      </c>
      <c r="EP97" s="182">
        <v>0</v>
      </c>
      <c r="EQ97" s="182">
        <v>0</v>
      </c>
      <c r="ER97" s="182">
        <v>0</v>
      </c>
      <c r="ES97" s="182">
        <v>0</v>
      </c>
      <c r="ET97" s="182">
        <v>0</v>
      </c>
      <c r="EU97" s="182">
        <v>0</v>
      </c>
      <c r="EV97" s="182">
        <v>0</v>
      </c>
      <c r="EW97" s="182">
        <v>0</v>
      </c>
      <c r="EX97" s="182">
        <v>0</v>
      </c>
      <c r="EY97" s="182">
        <v>0</v>
      </c>
      <c r="EZ97" s="182">
        <v>0</v>
      </c>
      <c r="FA97" s="182">
        <v>0</v>
      </c>
      <c r="FB97" s="183">
        <v>0</v>
      </c>
    </row>
    <row r="98" spans="2:158" ht="12.75" customHeight="1" x14ac:dyDescent="0.3">
      <c r="B98" s="199" t="s">
        <v>3908</v>
      </c>
      <c r="C98" s="340"/>
      <c r="D98" s="182">
        <v>0</v>
      </c>
      <c r="E98" s="182">
        <v>0</v>
      </c>
      <c r="F98" s="182">
        <v>0</v>
      </c>
      <c r="G98" s="182">
        <v>0</v>
      </c>
      <c r="H98" s="182">
        <v>0</v>
      </c>
      <c r="I98" s="182">
        <v>0</v>
      </c>
      <c r="J98" s="182">
        <v>0</v>
      </c>
      <c r="K98" s="182">
        <v>0</v>
      </c>
      <c r="L98" s="182">
        <v>0</v>
      </c>
      <c r="M98" s="182">
        <v>0</v>
      </c>
      <c r="N98" s="182">
        <v>0</v>
      </c>
      <c r="O98" s="182">
        <v>0</v>
      </c>
      <c r="P98" s="182">
        <v>0</v>
      </c>
      <c r="Q98" s="182">
        <v>0</v>
      </c>
      <c r="R98" s="182">
        <v>0</v>
      </c>
      <c r="S98" s="182">
        <v>0</v>
      </c>
      <c r="T98" s="182">
        <v>0</v>
      </c>
      <c r="U98" s="182">
        <v>0</v>
      </c>
      <c r="V98" s="182">
        <v>0</v>
      </c>
      <c r="W98" s="182">
        <v>0</v>
      </c>
      <c r="X98" s="182">
        <v>0</v>
      </c>
      <c r="Y98" s="182">
        <v>0</v>
      </c>
      <c r="Z98" s="182">
        <v>0</v>
      </c>
      <c r="AA98" s="182">
        <v>0</v>
      </c>
      <c r="AB98" s="182">
        <v>0</v>
      </c>
      <c r="AC98" s="182">
        <v>0</v>
      </c>
      <c r="AD98" s="182">
        <v>0</v>
      </c>
      <c r="AE98" s="182">
        <v>0</v>
      </c>
      <c r="AF98" s="182">
        <v>0</v>
      </c>
      <c r="AG98" s="182">
        <v>0</v>
      </c>
      <c r="AH98" s="182">
        <v>0</v>
      </c>
      <c r="AI98" s="182">
        <v>0</v>
      </c>
      <c r="AJ98" s="182">
        <v>0</v>
      </c>
      <c r="AK98" s="182">
        <v>0</v>
      </c>
      <c r="AL98" s="182">
        <v>0</v>
      </c>
      <c r="AM98" s="182">
        <v>0</v>
      </c>
      <c r="AN98" s="182">
        <v>0</v>
      </c>
      <c r="AO98" s="182">
        <v>0</v>
      </c>
      <c r="AP98" s="182">
        <v>0</v>
      </c>
      <c r="AQ98" s="182">
        <v>0</v>
      </c>
      <c r="AR98" s="182">
        <v>0</v>
      </c>
      <c r="AS98" s="182">
        <v>0</v>
      </c>
      <c r="AT98" s="182">
        <v>0</v>
      </c>
      <c r="AU98" s="177">
        <v>0</v>
      </c>
      <c r="AV98" s="177">
        <v>0</v>
      </c>
      <c r="AW98" s="177">
        <v>0</v>
      </c>
      <c r="AX98" s="177">
        <f>k.aC.aM</f>
        <v>1.3817860384619942E-6</v>
      </c>
      <c r="AY98" s="182">
        <v>0</v>
      </c>
      <c r="AZ98" s="182">
        <v>0</v>
      </c>
      <c r="BA98" s="182">
        <v>0</v>
      </c>
      <c r="BB98" s="168">
        <v>0</v>
      </c>
      <c r="BC98" s="168">
        <v>0</v>
      </c>
      <c r="BD98" s="168">
        <v>0</v>
      </c>
      <c r="BE98" s="168">
        <v>0</v>
      </c>
      <c r="BF98" s="182">
        <v>0</v>
      </c>
      <c r="BG98" s="182">
        <v>0</v>
      </c>
      <c r="BH98" s="182">
        <v>0</v>
      </c>
      <c r="BI98" s="182">
        <v>0</v>
      </c>
      <c r="BJ98" s="182">
        <v>0</v>
      </c>
      <c r="BK98" s="182">
        <v>0</v>
      </c>
      <c r="BL98" s="182">
        <v>0</v>
      </c>
      <c r="BM98" s="182">
        <v>0</v>
      </c>
      <c r="BN98" s="182">
        <v>0</v>
      </c>
      <c r="BO98" s="182">
        <v>0</v>
      </c>
      <c r="BP98" s="182">
        <v>0</v>
      </c>
      <c r="BQ98" s="182">
        <v>0</v>
      </c>
      <c r="BR98" s="182">
        <v>0</v>
      </c>
      <c r="BS98" s="182">
        <v>0</v>
      </c>
      <c r="BT98" s="182">
        <v>0</v>
      </c>
      <c r="BU98" s="182">
        <v>0</v>
      </c>
      <c r="BV98" s="182">
        <v>0</v>
      </c>
      <c r="BW98" s="182">
        <v>0</v>
      </c>
      <c r="BX98" s="182">
        <v>0</v>
      </c>
      <c r="BY98" s="182">
        <v>0</v>
      </c>
      <c r="BZ98" s="182">
        <v>0</v>
      </c>
      <c r="CA98" s="182">
        <v>0</v>
      </c>
      <c r="CB98" s="182">
        <v>0</v>
      </c>
      <c r="CC98" s="182">
        <v>0</v>
      </c>
      <c r="CD98" s="182">
        <v>0</v>
      </c>
      <c r="CE98" s="182">
        <v>0</v>
      </c>
      <c r="CF98" s="182">
        <v>0</v>
      </c>
      <c r="CG98" s="182">
        <v>0</v>
      </c>
      <c r="CH98" s="182">
        <v>0</v>
      </c>
      <c r="CI98" s="182">
        <v>0</v>
      </c>
      <c r="CJ98" s="182">
        <v>0</v>
      </c>
      <c r="CK98" s="182">
        <v>0</v>
      </c>
      <c r="CL98" s="303">
        <v>0</v>
      </c>
      <c r="CM98" s="304">
        <f>k.aMS.aMP</f>
        <v>4.2954716111240836E-8</v>
      </c>
      <c r="CN98" s="304">
        <v>0</v>
      </c>
      <c r="CO98" s="181">
        <f>-k.aMP-SUM(CO$9:CO97,CO99:CO$163)</f>
        <v>-7.6154452047457887E-5</v>
      </c>
      <c r="CP98" s="176">
        <v>0</v>
      </c>
      <c r="CQ98" s="176">
        <v>0</v>
      </c>
      <c r="CR98" s="176">
        <v>0</v>
      </c>
      <c r="CS98" s="177">
        <v>0</v>
      </c>
      <c r="CT98" s="177">
        <v>0</v>
      </c>
      <c r="CU98" s="177">
        <v>0</v>
      </c>
      <c r="CV98" s="177">
        <v>0</v>
      </c>
      <c r="CW98" s="182">
        <v>0</v>
      </c>
      <c r="CX98" s="182">
        <v>0</v>
      </c>
      <c r="CY98" s="182">
        <v>0</v>
      </c>
      <c r="CZ98" s="182">
        <v>0</v>
      </c>
      <c r="DA98" s="182">
        <v>0</v>
      </c>
      <c r="DB98" s="182">
        <v>0</v>
      </c>
      <c r="DC98" s="182">
        <v>0</v>
      </c>
      <c r="DD98" s="182">
        <v>0</v>
      </c>
      <c r="DE98" s="177">
        <v>0</v>
      </c>
      <c r="DF98" s="177">
        <v>0</v>
      </c>
      <c r="DG98" s="177">
        <v>0</v>
      </c>
      <c r="DH98" s="176">
        <v>0</v>
      </c>
      <c r="DI98" s="177">
        <v>0</v>
      </c>
      <c r="DJ98" s="177">
        <v>0</v>
      </c>
      <c r="DK98" s="177">
        <v>0</v>
      </c>
      <c r="DL98" s="177">
        <f>k.aA.aM</f>
        <v>6.9234185224561193E-7</v>
      </c>
      <c r="DM98" s="177">
        <v>0</v>
      </c>
      <c r="DN98" s="177">
        <v>0</v>
      </c>
      <c r="DO98" s="177">
        <v>0</v>
      </c>
      <c r="DP98" s="182">
        <v>0</v>
      </c>
      <c r="DQ98" s="182">
        <v>0</v>
      </c>
      <c r="DR98" s="182">
        <v>0</v>
      </c>
      <c r="DS98" s="182">
        <v>0</v>
      </c>
      <c r="DT98" s="182">
        <v>0</v>
      </c>
      <c r="DU98" s="182">
        <v>0</v>
      </c>
      <c r="DV98" s="182">
        <v>0</v>
      </c>
      <c r="DW98" s="182">
        <v>0</v>
      </c>
      <c r="DX98" s="182">
        <v>0</v>
      </c>
      <c r="DY98" s="182">
        <v>0</v>
      </c>
      <c r="DZ98" s="182">
        <v>0</v>
      </c>
      <c r="EA98" s="182">
        <v>0</v>
      </c>
      <c r="EB98" s="182">
        <v>0</v>
      </c>
      <c r="EC98" s="182">
        <v>0</v>
      </c>
      <c r="ED98" s="182">
        <v>0</v>
      </c>
      <c r="EE98" s="182">
        <v>0</v>
      </c>
      <c r="EF98" s="177">
        <v>0</v>
      </c>
      <c r="EG98" s="177">
        <v>0</v>
      </c>
      <c r="EH98" s="177">
        <v>0</v>
      </c>
      <c r="EI98" s="177">
        <f>k.aT.aM</f>
        <v>3.9972375476524815E-7</v>
      </c>
      <c r="EJ98" s="177">
        <v>0</v>
      </c>
      <c r="EK98" s="177">
        <v>0</v>
      </c>
      <c r="EL98" s="177">
        <v>0</v>
      </c>
      <c r="EM98" s="182">
        <v>0</v>
      </c>
      <c r="EN98" s="182">
        <v>0</v>
      </c>
      <c r="EO98" s="182">
        <v>0</v>
      </c>
      <c r="EP98" s="182">
        <v>0</v>
      </c>
      <c r="EQ98" s="182">
        <v>0</v>
      </c>
      <c r="ER98" s="182">
        <v>0</v>
      </c>
      <c r="ES98" s="182">
        <v>0</v>
      </c>
      <c r="ET98" s="182">
        <v>0</v>
      </c>
      <c r="EU98" s="182">
        <v>0</v>
      </c>
      <c r="EV98" s="182">
        <v>0</v>
      </c>
      <c r="EW98" s="182">
        <v>0</v>
      </c>
      <c r="EX98" s="182">
        <v>0</v>
      </c>
      <c r="EY98" s="182">
        <v>0</v>
      </c>
      <c r="EZ98" s="182">
        <v>0</v>
      </c>
      <c r="FA98" s="182">
        <v>0</v>
      </c>
      <c r="FB98" s="183">
        <v>0</v>
      </c>
    </row>
    <row r="99" spans="2:158" ht="12.75" customHeight="1" x14ac:dyDescent="0.3">
      <c r="B99" s="199" t="s">
        <v>3909</v>
      </c>
      <c r="C99" s="340"/>
      <c r="D99" s="182">
        <v>0</v>
      </c>
      <c r="E99" s="182">
        <v>0</v>
      </c>
      <c r="F99" s="182">
        <v>0</v>
      </c>
      <c r="G99" s="182">
        <v>0</v>
      </c>
      <c r="H99" s="182">
        <v>0</v>
      </c>
      <c r="I99" s="182">
        <v>0</v>
      </c>
      <c r="J99" s="182">
        <v>0</v>
      </c>
      <c r="K99" s="182">
        <v>0</v>
      </c>
      <c r="L99" s="182">
        <v>0</v>
      </c>
      <c r="M99" s="182">
        <v>0</v>
      </c>
      <c r="N99" s="182">
        <v>0</v>
      </c>
      <c r="O99" s="182">
        <v>0</v>
      </c>
      <c r="P99" s="182">
        <v>0</v>
      </c>
      <c r="Q99" s="182">
        <v>0</v>
      </c>
      <c r="R99" s="182">
        <v>0</v>
      </c>
      <c r="S99" s="182">
        <v>0</v>
      </c>
      <c r="T99" s="182">
        <v>0</v>
      </c>
      <c r="U99" s="182">
        <v>0</v>
      </c>
      <c r="V99" s="182">
        <v>0</v>
      </c>
      <c r="W99" s="182">
        <v>0</v>
      </c>
      <c r="X99" s="182">
        <v>0</v>
      </c>
      <c r="Y99" s="182">
        <v>0</v>
      </c>
      <c r="Z99" s="182">
        <v>0</v>
      </c>
      <c r="AA99" s="182">
        <v>0</v>
      </c>
      <c r="AB99" s="182">
        <v>0</v>
      </c>
      <c r="AC99" s="182">
        <v>0</v>
      </c>
      <c r="AD99" s="182">
        <v>0</v>
      </c>
      <c r="AE99" s="182">
        <v>0</v>
      </c>
      <c r="AF99" s="182">
        <v>0</v>
      </c>
      <c r="AG99" s="182">
        <v>0</v>
      </c>
      <c r="AH99" s="182">
        <v>0</v>
      </c>
      <c r="AI99" s="182">
        <v>0</v>
      </c>
      <c r="AJ99" s="182">
        <v>0</v>
      </c>
      <c r="AK99" s="182">
        <v>0</v>
      </c>
      <c r="AL99" s="182">
        <v>0</v>
      </c>
      <c r="AM99" s="182">
        <v>0</v>
      </c>
      <c r="AN99" s="182">
        <v>0</v>
      </c>
      <c r="AO99" s="182">
        <v>0</v>
      </c>
      <c r="AP99" s="182">
        <v>0</v>
      </c>
      <c r="AQ99" s="182">
        <v>0</v>
      </c>
      <c r="AR99" s="182">
        <v>0</v>
      </c>
      <c r="AS99" s="182">
        <v>0</v>
      </c>
      <c r="AT99" s="182">
        <v>0</v>
      </c>
      <c r="AU99" s="177">
        <v>0</v>
      </c>
      <c r="AV99" s="177">
        <v>0</v>
      </c>
      <c r="AW99" s="177">
        <v>0</v>
      </c>
      <c r="AX99" s="177">
        <v>0</v>
      </c>
      <c r="AY99" s="177">
        <v>0</v>
      </c>
      <c r="AZ99" s="177">
        <v>0</v>
      </c>
      <c r="BA99" s="177">
        <v>0</v>
      </c>
      <c r="BB99" s="168">
        <v>0</v>
      </c>
      <c r="BC99" s="168">
        <v>0</v>
      </c>
      <c r="BD99" s="168">
        <v>0</v>
      </c>
      <c r="BE99" s="168">
        <v>0</v>
      </c>
      <c r="BF99" s="182">
        <v>0</v>
      </c>
      <c r="BG99" s="182">
        <v>0</v>
      </c>
      <c r="BH99" s="182">
        <v>0</v>
      </c>
      <c r="BI99" s="182">
        <v>0</v>
      </c>
      <c r="BJ99" s="182">
        <v>0</v>
      </c>
      <c r="BK99" s="182">
        <v>0</v>
      </c>
      <c r="BL99" s="182">
        <v>0</v>
      </c>
      <c r="BM99" s="182">
        <v>0</v>
      </c>
      <c r="BN99" s="182">
        <v>0</v>
      </c>
      <c r="BO99" s="182">
        <v>0</v>
      </c>
      <c r="BP99" s="182">
        <v>0</v>
      </c>
      <c r="BQ99" s="182">
        <v>0</v>
      </c>
      <c r="BR99" s="182">
        <v>0</v>
      </c>
      <c r="BS99" s="182">
        <v>0</v>
      </c>
      <c r="BT99" s="182">
        <v>0</v>
      </c>
      <c r="BU99" s="182">
        <v>0</v>
      </c>
      <c r="BV99" s="182">
        <v>0</v>
      </c>
      <c r="BW99" s="182">
        <v>0</v>
      </c>
      <c r="BX99" s="182">
        <v>0</v>
      </c>
      <c r="BY99" s="182">
        <v>0</v>
      </c>
      <c r="BZ99" s="182">
        <v>0</v>
      </c>
      <c r="CA99" s="182">
        <v>0</v>
      </c>
      <c r="CB99" s="182">
        <v>0</v>
      </c>
      <c r="CC99" s="182">
        <v>0</v>
      </c>
      <c r="CD99" s="182">
        <v>0</v>
      </c>
      <c r="CE99" s="182">
        <v>0</v>
      </c>
      <c r="CF99" s="182">
        <v>0</v>
      </c>
      <c r="CG99" s="182">
        <v>0</v>
      </c>
      <c r="CH99" s="182">
        <v>0</v>
      </c>
      <c r="CI99" s="182">
        <v>0</v>
      </c>
      <c r="CJ99" s="182">
        <v>0</v>
      </c>
      <c r="CK99" s="182">
        <v>0</v>
      </c>
      <c r="CL99" s="177">
        <v>0</v>
      </c>
      <c r="CM99" s="177">
        <f>k.aMS.cwMS</f>
        <v>1.307983752658647E-6</v>
      </c>
      <c r="CN99" s="177">
        <v>0</v>
      </c>
      <c r="CO99" s="176">
        <v>0</v>
      </c>
      <c r="CP99" s="181">
        <f>-SUM(CP$9:CP98,CP100:CP$163)</f>
        <v>-7.3989536825645079E-5</v>
      </c>
      <c r="CQ99" s="177">
        <v>0</v>
      </c>
      <c r="CR99" s="302">
        <v>0</v>
      </c>
      <c r="CS99" s="177">
        <v>0</v>
      </c>
      <c r="CT99" s="177">
        <v>0</v>
      </c>
      <c r="CU99" s="177">
        <v>0</v>
      </c>
      <c r="CV99" s="177">
        <v>0</v>
      </c>
      <c r="CW99" s="182">
        <v>0</v>
      </c>
      <c r="CX99" s="182">
        <v>0</v>
      </c>
      <c r="CY99" s="182">
        <v>0</v>
      </c>
      <c r="CZ99" s="182">
        <v>0</v>
      </c>
      <c r="DA99" s="182">
        <v>0</v>
      </c>
      <c r="DB99" s="182">
        <v>0</v>
      </c>
      <c r="DC99" s="182">
        <v>0</v>
      </c>
      <c r="DD99" s="182">
        <v>0</v>
      </c>
      <c r="DE99" s="177">
        <v>0</v>
      </c>
      <c r="DF99" s="177">
        <v>0</v>
      </c>
      <c r="DG99" s="177">
        <v>0</v>
      </c>
      <c r="DH99" s="177">
        <v>0</v>
      </c>
      <c r="DI99" s="177">
        <v>0</v>
      </c>
      <c r="DJ99" s="177">
        <v>0</v>
      </c>
      <c r="DK99" s="177">
        <v>0</v>
      </c>
      <c r="DL99" s="177">
        <v>0</v>
      </c>
      <c r="DM99" s="177">
        <v>0</v>
      </c>
      <c r="DN99" s="177">
        <v>0</v>
      </c>
      <c r="DO99" s="177">
        <v>0</v>
      </c>
      <c r="DP99" s="182">
        <v>0</v>
      </c>
      <c r="DQ99" s="182">
        <v>0</v>
      </c>
      <c r="DR99" s="182">
        <v>0</v>
      </c>
      <c r="DS99" s="182">
        <v>0</v>
      </c>
      <c r="DT99" s="182">
        <v>0</v>
      </c>
      <c r="DU99" s="182">
        <v>0</v>
      </c>
      <c r="DV99" s="182">
        <v>0</v>
      </c>
      <c r="DW99" s="182">
        <v>0</v>
      </c>
      <c r="DX99" s="182">
        <v>0</v>
      </c>
      <c r="DY99" s="182">
        <v>0</v>
      </c>
      <c r="DZ99" s="182">
        <v>0</v>
      </c>
      <c r="EA99" s="182">
        <v>0</v>
      </c>
      <c r="EB99" s="182">
        <v>0</v>
      </c>
      <c r="EC99" s="182">
        <v>0</v>
      </c>
      <c r="ED99" s="182">
        <v>0</v>
      </c>
      <c r="EE99" s="182">
        <v>0</v>
      </c>
      <c r="EF99" s="177">
        <v>0</v>
      </c>
      <c r="EG99" s="177">
        <v>0</v>
      </c>
      <c r="EH99" s="177">
        <v>0</v>
      </c>
      <c r="EI99" s="177">
        <v>0</v>
      </c>
      <c r="EJ99" s="177">
        <v>0</v>
      </c>
      <c r="EK99" s="177">
        <v>0</v>
      </c>
      <c r="EL99" s="177">
        <v>0</v>
      </c>
      <c r="EM99" s="182">
        <v>0</v>
      </c>
      <c r="EN99" s="182">
        <v>0</v>
      </c>
      <c r="EO99" s="182">
        <v>0</v>
      </c>
      <c r="EP99" s="182">
        <v>0</v>
      </c>
      <c r="EQ99" s="182">
        <v>0</v>
      </c>
      <c r="ER99" s="182">
        <v>0</v>
      </c>
      <c r="ES99" s="182">
        <v>0</v>
      </c>
      <c r="ET99" s="182">
        <v>0</v>
      </c>
      <c r="EU99" s="182">
        <v>0</v>
      </c>
      <c r="EV99" s="182">
        <v>0</v>
      </c>
      <c r="EW99" s="182">
        <v>0</v>
      </c>
      <c r="EX99" s="182">
        <v>0</v>
      </c>
      <c r="EY99" s="182">
        <v>0</v>
      </c>
      <c r="EZ99" s="182">
        <v>0</v>
      </c>
      <c r="FA99" s="182">
        <v>0</v>
      </c>
      <c r="FB99" s="183">
        <v>0</v>
      </c>
    </row>
    <row r="100" spans="2:158" ht="12.75" customHeight="1" x14ac:dyDescent="0.3">
      <c r="B100" s="199" t="s">
        <v>3910</v>
      </c>
      <c r="C100" s="340"/>
      <c r="D100" s="182">
        <v>0</v>
      </c>
      <c r="E100" s="182">
        <v>0</v>
      </c>
      <c r="F100" s="182">
        <v>0</v>
      </c>
      <c r="G100" s="182">
        <v>0</v>
      </c>
      <c r="H100" s="182">
        <v>0</v>
      </c>
      <c r="I100" s="182">
        <v>0</v>
      </c>
      <c r="J100" s="182">
        <v>0</v>
      </c>
      <c r="K100" s="182">
        <v>0</v>
      </c>
      <c r="L100" s="182">
        <v>0</v>
      </c>
      <c r="M100" s="182">
        <v>0</v>
      </c>
      <c r="N100" s="182">
        <v>0</v>
      </c>
      <c r="O100" s="182">
        <v>0</v>
      </c>
      <c r="P100" s="182">
        <v>0</v>
      </c>
      <c r="Q100" s="182">
        <v>0</v>
      </c>
      <c r="R100" s="182">
        <v>0</v>
      </c>
      <c r="S100" s="182">
        <v>0</v>
      </c>
      <c r="T100" s="182">
        <v>0</v>
      </c>
      <c r="U100" s="182">
        <v>0</v>
      </c>
      <c r="V100" s="182">
        <v>0</v>
      </c>
      <c r="W100" s="182">
        <v>0</v>
      </c>
      <c r="X100" s="182">
        <v>0</v>
      </c>
      <c r="Y100" s="182">
        <v>0</v>
      </c>
      <c r="Z100" s="182">
        <v>0</v>
      </c>
      <c r="AA100" s="182">
        <v>0</v>
      </c>
      <c r="AB100" s="182">
        <v>0</v>
      </c>
      <c r="AC100" s="182">
        <v>0</v>
      </c>
      <c r="AD100" s="182">
        <v>0</v>
      </c>
      <c r="AE100" s="182">
        <v>0</v>
      </c>
      <c r="AF100" s="182">
        <v>0</v>
      </c>
      <c r="AG100" s="182">
        <v>0</v>
      </c>
      <c r="AH100" s="182">
        <v>0</v>
      </c>
      <c r="AI100" s="182">
        <v>0</v>
      </c>
      <c r="AJ100" s="182">
        <v>0</v>
      </c>
      <c r="AK100" s="182">
        <v>0</v>
      </c>
      <c r="AL100" s="182">
        <v>0</v>
      </c>
      <c r="AM100" s="182">
        <v>0</v>
      </c>
      <c r="AN100" s="182">
        <v>0</v>
      </c>
      <c r="AO100" s="182">
        <v>0</v>
      </c>
      <c r="AP100" s="182">
        <v>0</v>
      </c>
      <c r="AQ100" s="182">
        <v>0</v>
      </c>
      <c r="AR100" s="182">
        <v>0</v>
      </c>
      <c r="AS100" s="182">
        <v>0</v>
      </c>
      <c r="AT100" s="182">
        <v>0</v>
      </c>
      <c r="AU100" s="177">
        <v>0</v>
      </c>
      <c r="AV100" s="177">
        <v>0</v>
      </c>
      <c r="AW100" s="177">
        <v>0</v>
      </c>
      <c r="AX100" s="177">
        <v>0</v>
      </c>
      <c r="AY100" s="177">
        <v>0</v>
      </c>
      <c r="AZ100" s="177">
        <v>0</v>
      </c>
      <c r="BA100" s="177">
        <v>0</v>
      </c>
      <c r="BB100" s="168">
        <v>0</v>
      </c>
      <c r="BC100" s="168">
        <v>0</v>
      </c>
      <c r="BD100" s="168">
        <v>0</v>
      </c>
      <c r="BE100" s="168">
        <v>0</v>
      </c>
      <c r="BF100" s="182">
        <v>0</v>
      </c>
      <c r="BG100" s="182">
        <v>0</v>
      </c>
      <c r="BH100" s="182">
        <v>0</v>
      </c>
      <c r="BI100" s="182">
        <v>0</v>
      </c>
      <c r="BJ100" s="182">
        <v>0</v>
      </c>
      <c r="BK100" s="182">
        <v>0</v>
      </c>
      <c r="BL100" s="182">
        <v>0</v>
      </c>
      <c r="BM100" s="182">
        <v>0</v>
      </c>
      <c r="BN100" s="182">
        <v>0</v>
      </c>
      <c r="BO100" s="182">
        <v>0</v>
      </c>
      <c r="BP100" s="182">
        <v>0</v>
      </c>
      <c r="BQ100" s="182">
        <v>0</v>
      </c>
      <c r="BR100" s="182">
        <v>0</v>
      </c>
      <c r="BS100" s="182">
        <v>0</v>
      </c>
      <c r="BT100" s="182">
        <v>0</v>
      </c>
      <c r="BU100" s="182">
        <v>0</v>
      </c>
      <c r="BV100" s="182">
        <v>0</v>
      </c>
      <c r="BW100" s="182">
        <v>0</v>
      </c>
      <c r="BX100" s="182">
        <v>0</v>
      </c>
      <c r="BY100" s="182">
        <v>0</v>
      </c>
      <c r="BZ100" s="182">
        <v>0</v>
      </c>
      <c r="CA100" s="182">
        <v>0</v>
      </c>
      <c r="CB100" s="182">
        <v>0</v>
      </c>
      <c r="CC100" s="182">
        <v>0</v>
      </c>
      <c r="CD100" s="182">
        <v>0</v>
      </c>
      <c r="CE100" s="182">
        <v>0</v>
      </c>
      <c r="CF100" s="182">
        <v>0</v>
      </c>
      <c r="CG100" s="182">
        <v>0</v>
      </c>
      <c r="CH100" s="182">
        <v>0</v>
      </c>
      <c r="CI100" s="182">
        <v>0</v>
      </c>
      <c r="CJ100" s="182">
        <v>0</v>
      </c>
      <c r="CK100" s="182">
        <v>0</v>
      </c>
      <c r="CL100" s="177">
        <v>0</v>
      </c>
      <c r="CM100" s="177">
        <v>0</v>
      </c>
      <c r="CN100" s="177">
        <f>k.aMA.cwMA</f>
        <v>6.102932305942184E-7</v>
      </c>
      <c r="CO100" s="176">
        <v>0</v>
      </c>
      <c r="CP100" s="177">
        <v>0</v>
      </c>
      <c r="CQ100" s="181">
        <f>-SUM(CQ$9:CQ99,CQ101:CQ$163)</f>
        <v>-7.3989536825645079E-5</v>
      </c>
      <c r="CR100" s="302">
        <v>0</v>
      </c>
      <c r="CS100" s="177">
        <v>0</v>
      </c>
      <c r="CT100" s="177">
        <v>0</v>
      </c>
      <c r="CU100" s="177">
        <v>0</v>
      </c>
      <c r="CV100" s="177">
        <v>0</v>
      </c>
      <c r="CW100" s="182">
        <v>0</v>
      </c>
      <c r="CX100" s="182">
        <v>0</v>
      </c>
      <c r="CY100" s="182">
        <v>0</v>
      </c>
      <c r="CZ100" s="182">
        <v>0</v>
      </c>
      <c r="DA100" s="182">
        <v>0</v>
      </c>
      <c r="DB100" s="182">
        <v>0</v>
      </c>
      <c r="DC100" s="182">
        <v>0</v>
      </c>
      <c r="DD100" s="182">
        <v>0</v>
      </c>
      <c r="DE100" s="177">
        <v>0</v>
      </c>
      <c r="DF100" s="177">
        <v>0</v>
      </c>
      <c r="DG100" s="177">
        <v>0</v>
      </c>
      <c r="DH100" s="177">
        <v>0</v>
      </c>
      <c r="DI100" s="177">
        <v>0</v>
      </c>
      <c r="DJ100" s="177">
        <v>0</v>
      </c>
      <c r="DK100" s="177">
        <v>0</v>
      </c>
      <c r="DL100" s="177">
        <v>0</v>
      </c>
      <c r="DM100" s="177">
        <v>0</v>
      </c>
      <c r="DN100" s="177">
        <v>0</v>
      </c>
      <c r="DO100" s="177">
        <v>0</v>
      </c>
      <c r="DP100" s="182">
        <v>0</v>
      </c>
      <c r="DQ100" s="182">
        <v>0</v>
      </c>
      <c r="DR100" s="182">
        <v>0</v>
      </c>
      <c r="DS100" s="182">
        <v>0</v>
      </c>
      <c r="DT100" s="182">
        <v>0</v>
      </c>
      <c r="DU100" s="182">
        <v>0</v>
      </c>
      <c r="DV100" s="182">
        <v>0</v>
      </c>
      <c r="DW100" s="182">
        <v>0</v>
      </c>
      <c r="DX100" s="182">
        <v>0</v>
      </c>
      <c r="DY100" s="182">
        <v>0</v>
      </c>
      <c r="DZ100" s="182">
        <v>0</v>
      </c>
      <c r="EA100" s="182">
        <v>0</v>
      </c>
      <c r="EB100" s="182">
        <v>0</v>
      </c>
      <c r="EC100" s="182">
        <v>0</v>
      </c>
      <c r="ED100" s="182">
        <v>0</v>
      </c>
      <c r="EE100" s="182">
        <v>0</v>
      </c>
      <c r="EF100" s="177">
        <v>0</v>
      </c>
      <c r="EG100" s="177">
        <v>0</v>
      </c>
      <c r="EH100" s="177">
        <v>0</v>
      </c>
      <c r="EI100" s="177">
        <v>0</v>
      </c>
      <c r="EJ100" s="177">
        <v>0</v>
      </c>
      <c r="EK100" s="177">
        <v>0</v>
      </c>
      <c r="EL100" s="177">
        <v>0</v>
      </c>
      <c r="EM100" s="182">
        <v>0</v>
      </c>
      <c r="EN100" s="182">
        <v>0</v>
      </c>
      <c r="EO100" s="182">
        <v>0</v>
      </c>
      <c r="EP100" s="182">
        <v>0</v>
      </c>
      <c r="EQ100" s="182">
        <v>0</v>
      </c>
      <c r="ER100" s="182">
        <v>0</v>
      </c>
      <c r="ES100" s="182">
        <v>0</v>
      </c>
      <c r="ET100" s="182">
        <v>0</v>
      </c>
      <c r="EU100" s="182">
        <v>0</v>
      </c>
      <c r="EV100" s="182">
        <v>0</v>
      </c>
      <c r="EW100" s="182">
        <v>0</v>
      </c>
      <c r="EX100" s="182">
        <v>0</v>
      </c>
      <c r="EY100" s="182">
        <v>0</v>
      </c>
      <c r="EZ100" s="182">
        <v>0</v>
      </c>
      <c r="FA100" s="182">
        <v>0</v>
      </c>
      <c r="FB100" s="183">
        <v>0</v>
      </c>
    </row>
    <row r="101" spans="2:158" ht="12.75" customHeight="1" x14ac:dyDescent="0.3">
      <c r="B101" s="199" t="s">
        <v>3911</v>
      </c>
      <c r="C101" s="340"/>
      <c r="D101" s="182">
        <v>0</v>
      </c>
      <c r="E101" s="182">
        <v>0</v>
      </c>
      <c r="F101" s="182">
        <v>0</v>
      </c>
      <c r="G101" s="182">
        <v>0</v>
      </c>
      <c r="H101" s="182">
        <v>0</v>
      </c>
      <c r="I101" s="182">
        <v>0</v>
      </c>
      <c r="J101" s="182">
        <v>0</v>
      </c>
      <c r="K101" s="182">
        <v>0</v>
      </c>
      <c r="L101" s="182">
        <v>0</v>
      </c>
      <c r="M101" s="182">
        <v>0</v>
      </c>
      <c r="N101" s="182">
        <v>0</v>
      </c>
      <c r="O101" s="182">
        <v>0</v>
      </c>
      <c r="P101" s="182">
        <v>0</v>
      </c>
      <c r="Q101" s="182">
        <v>0</v>
      </c>
      <c r="R101" s="182">
        <v>0</v>
      </c>
      <c r="S101" s="182">
        <v>0</v>
      </c>
      <c r="T101" s="182">
        <v>0</v>
      </c>
      <c r="U101" s="182">
        <v>0</v>
      </c>
      <c r="V101" s="182">
        <v>0</v>
      </c>
      <c r="W101" s="182">
        <v>0</v>
      </c>
      <c r="X101" s="182">
        <v>0</v>
      </c>
      <c r="Y101" s="182">
        <v>0</v>
      </c>
      <c r="Z101" s="182">
        <v>0</v>
      </c>
      <c r="AA101" s="182">
        <v>0</v>
      </c>
      <c r="AB101" s="182">
        <v>0</v>
      </c>
      <c r="AC101" s="182">
        <v>0</v>
      </c>
      <c r="AD101" s="182">
        <v>0</v>
      </c>
      <c r="AE101" s="182">
        <v>0</v>
      </c>
      <c r="AF101" s="182">
        <v>0</v>
      </c>
      <c r="AG101" s="182">
        <v>0</v>
      </c>
      <c r="AH101" s="182">
        <v>0</v>
      </c>
      <c r="AI101" s="182">
        <v>0</v>
      </c>
      <c r="AJ101" s="182">
        <v>0</v>
      </c>
      <c r="AK101" s="182">
        <v>0</v>
      </c>
      <c r="AL101" s="182">
        <v>0</v>
      </c>
      <c r="AM101" s="182">
        <v>0</v>
      </c>
      <c r="AN101" s="182">
        <v>0</v>
      </c>
      <c r="AO101" s="182">
        <v>0</v>
      </c>
      <c r="AP101" s="182">
        <v>0</v>
      </c>
      <c r="AQ101" s="182">
        <v>0</v>
      </c>
      <c r="AR101" s="182">
        <v>0</v>
      </c>
      <c r="AS101" s="182">
        <v>0</v>
      </c>
      <c r="AT101" s="182">
        <v>0</v>
      </c>
      <c r="AU101" s="177">
        <v>0</v>
      </c>
      <c r="AV101" s="177">
        <v>0</v>
      </c>
      <c r="AW101" s="177">
        <v>0</v>
      </c>
      <c r="AX101" s="177">
        <v>0</v>
      </c>
      <c r="AY101" s="177">
        <v>0</v>
      </c>
      <c r="AZ101" s="177">
        <v>0</v>
      </c>
      <c r="BA101" s="177">
        <v>0</v>
      </c>
      <c r="BB101" s="168">
        <v>0</v>
      </c>
      <c r="BC101" s="168">
        <v>0</v>
      </c>
      <c r="BD101" s="168">
        <v>0</v>
      </c>
      <c r="BE101" s="168">
        <v>0</v>
      </c>
      <c r="BF101" s="182">
        <v>0</v>
      </c>
      <c r="BG101" s="182">
        <v>0</v>
      </c>
      <c r="BH101" s="182">
        <v>0</v>
      </c>
      <c r="BI101" s="182">
        <v>0</v>
      </c>
      <c r="BJ101" s="182">
        <v>0</v>
      </c>
      <c r="BK101" s="182">
        <v>0</v>
      </c>
      <c r="BL101" s="182">
        <v>0</v>
      </c>
      <c r="BM101" s="182">
        <v>0</v>
      </c>
      <c r="BN101" s="182">
        <v>0</v>
      </c>
      <c r="BO101" s="182">
        <v>0</v>
      </c>
      <c r="BP101" s="182">
        <v>0</v>
      </c>
      <c r="BQ101" s="182">
        <v>0</v>
      </c>
      <c r="BR101" s="182">
        <v>0</v>
      </c>
      <c r="BS101" s="182">
        <v>0</v>
      </c>
      <c r="BT101" s="182">
        <v>0</v>
      </c>
      <c r="BU101" s="182">
        <v>0</v>
      </c>
      <c r="BV101" s="182">
        <v>0</v>
      </c>
      <c r="BW101" s="182">
        <v>0</v>
      </c>
      <c r="BX101" s="182">
        <v>0</v>
      </c>
      <c r="BY101" s="182">
        <v>0</v>
      </c>
      <c r="BZ101" s="182">
        <v>0</v>
      </c>
      <c r="CA101" s="182">
        <v>0</v>
      </c>
      <c r="CB101" s="182">
        <v>0</v>
      </c>
      <c r="CC101" s="182">
        <v>0</v>
      </c>
      <c r="CD101" s="182">
        <v>0</v>
      </c>
      <c r="CE101" s="182">
        <v>0</v>
      </c>
      <c r="CF101" s="182">
        <v>0</v>
      </c>
      <c r="CG101" s="182">
        <v>0</v>
      </c>
      <c r="CH101" s="182">
        <v>0</v>
      </c>
      <c r="CI101" s="182">
        <v>0</v>
      </c>
      <c r="CJ101" s="182">
        <v>0</v>
      </c>
      <c r="CK101" s="182">
        <v>0</v>
      </c>
      <c r="CL101" s="177">
        <v>0</v>
      </c>
      <c r="CM101" s="177">
        <v>0</v>
      </c>
      <c r="CN101" s="177">
        <v>0</v>
      </c>
      <c r="CO101" s="177">
        <f>k.aMP.cwMP</f>
        <v>7.3989514628784045E-5</v>
      </c>
      <c r="CP101" s="304">
        <v>0</v>
      </c>
      <c r="CQ101" s="304">
        <v>0</v>
      </c>
      <c r="CR101" s="181">
        <f>-SUM(CR$9:CR100,CR102:CR$163)</f>
        <v>-7.3989536825645079E-5</v>
      </c>
      <c r="CS101" s="177">
        <v>0</v>
      </c>
      <c r="CT101" s="177">
        <v>0</v>
      </c>
      <c r="CU101" s="177">
        <v>0</v>
      </c>
      <c r="CV101" s="177">
        <v>0</v>
      </c>
      <c r="CW101" s="182">
        <v>0</v>
      </c>
      <c r="CX101" s="182">
        <v>0</v>
      </c>
      <c r="CY101" s="182">
        <v>0</v>
      </c>
      <c r="CZ101" s="182">
        <v>0</v>
      </c>
      <c r="DA101" s="182">
        <v>0</v>
      </c>
      <c r="DB101" s="182">
        <v>0</v>
      </c>
      <c r="DC101" s="182">
        <v>0</v>
      </c>
      <c r="DD101" s="182">
        <v>0</v>
      </c>
      <c r="DE101" s="177">
        <v>0</v>
      </c>
      <c r="DF101" s="177">
        <v>0</v>
      </c>
      <c r="DG101" s="177">
        <v>0</v>
      </c>
      <c r="DH101" s="177">
        <v>0</v>
      </c>
      <c r="DI101" s="177">
        <v>0</v>
      </c>
      <c r="DJ101" s="177">
        <v>0</v>
      </c>
      <c r="DK101" s="177">
        <v>0</v>
      </c>
      <c r="DL101" s="177">
        <v>0</v>
      </c>
      <c r="DM101" s="177">
        <v>0</v>
      </c>
      <c r="DN101" s="177">
        <v>0</v>
      </c>
      <c r="DO101" s="177">
        <v>0</v>
      </c>
      <c r="DP101" s="182">
        <v>0</v>
      </c>
      <c r="DQ101" s="182">
        <v>0</v>
      </c>
      <c r="DR101" s="182">
        <v>0</v>
      </c>
      <c r="DS101" s="182">
        <v>0</v>
      </c>
      <c r="DT101" s="182">
        <v>0</v>
      </c>
      <c r="DU101" s="182">
        <v>0</v>
      </c>
      <c r="DV101" s="182">
        <v>0</v>
      </c>
      <c r="DW101" s="182">
        <v>0</v>
      </c>
      <c r="DX101" s="182">
        <v>0</v>
      </c>
      <c r="DY101" s="182">
        <v>0</v>
      </c>
      <c r="DZ101" s="182">
        <v>0</v>
      </c>
      <c r="EA101" s="182">
        <v>0</v>
      </c>
      <c r="EB101" s="182">
        <v>0</v>
      </c>
      <c r="EC101" s="182">
        <v>0</v>
      </c>
      <c r="ED101" s="182">
        <v>0</v>
      </c>
      <c r="EE101" s="182">
        <v>0</v>
      </c>
      <c r="EF101" s="177">
        <v>0</v>
      </c>
      <c r="EG101" s="177">
        <v>0</v>
      </c>
      <c r="EH101" s="177">
        <v>0</v>
      </c>
      <c r="EI101" s="177">
        <v>0</v>
      </c>
      <c r="EJ101" s="177">
        <v>0</v>
      </c>
      <c r="EK101" s="177">
        <v>0</v>
      </c>
      <c r="EL101" s="177">
        <v>0</v>
      </c>
      <c r="EM101" s="182">
        <v>0</v>
      </c>
      <c r="EN101" s="182">
        <v>0</v>
      </c>
      <c r="EO101" s="182">
        <v>0</v>
      </c>
      <c r="EP101" s="182">
        <v>0</v>
      </c>
      <c r="EQ101" s="182">
        <v>0</v>
      </c>
      <c r="ER101" s="182">
        <v>0</v>
      </c>
      <c r="ES101" s="182">
        <v>0</v>
      </c>
      <c r="ET101" s="182">
        <v>0</v>
      </c>
      <c r="EU101" s="182">
        <v>0</v>
      </c>
      <c r="EV101" s="182">
        <v>0</v>
      </c>
      <c r="EW101" s="182">
        <v>0</v>
      </c>
      <c r="EX101" s="182">
        <v>0</v>
      </c>
      <c r="EY101" s="182">
        <v>0</v>
      </c>
      <c r="EZ101" s="182">
        <v>0</v>
      </c>
      <c r="FA101" s="182">
        <v>0</v>
      </c>
      <c r="FB101" s="183">
        <v>0</v>
      </c>
    </row>
    <row r="102" spans="2:158" ht="12.75" customHeight="1" x14ac:dyDescent="0.3">
      <c r="B102" s="199" t="s">
        <v>3912</v>
      </c>
      <c r="C102" s="340"/>
      <c r="D102" s="182">
        <v>0</v>
      </c>
      <c r="E102" s="182">
        <v>0</v>
      </c>
      <c r="F102" s="182">
        <v>0</v>
      </c>
      <c r="G102" s="182">
        <v>0</v>
      </c>
      <c r="H102" s="182">
        <v>0</v>
      </c>
      <c r="I102" s="182">
        <v>0</v>
      </c>
      <c r="J102" s="182">
        <v>0</v>
      </c>
      <c r="K102" s="182">
        <v>0</v>
      </c>
      <c r="L102" s="182">
        <v>0</v>
      </c>
      <c r="M102" s="182">
        <v>0</v>
      </c>
      <c r="N102" s="182">
        <v>0</v>
      </c>
      <c r="O102" s="182">
        <v>0</v>
      </c>
      <c r="P102" s="182">
        <v>0</v>
      </c>
      <c r="Q102" s="182">
        <v>0</v>
      </c>
      <c r="R102" s="182">
        <v>0</v>
      </c>
      <c r="S102" s="182">
        <v>0</v>
      </c>
      <c r="T102" s="182">
        <v>0</v>
      </c>
      <c r="U102" s="182">
        <v>0</v>
      </c>
      <c r="V102" s="182">
        <v>0</v>
      </c>
      <c r="W102" s="182">
        <v>0</v>
      </c>
      <c r="X102" s="182">
        <v>0</v>
      </c>
      <c r="Y102" s="182">
        <v>0</v>
      </c>
      <c r="Z102" s="182">
        <v>0</v>
      </c>
      <c r="AA102" s="182">
        <v>0</v>
      </c>
      <c r="AB102" s="182">
        <v>0</v>
      </c>
      <c r="AC102" s="182">
        <v>0</v>
      </c>
      <c r="AD102" s="182">
        <v>0</v>
      </c>
      <c r="AE102" s="182">
        <v>0</v>
      </c>
      <c r="AF102" s="182">
        <v>0</v>
      </c>
      <c r="AG102" s="182">
        <v>0</v>
      </c>
      <c r="AH102" s="182">
        <v>0</v>
      </c>
      <c r="AI102" s="182">
        <v>0</v>
      </c>
      <c r="AJ102" s="182">
        <v>0</v>
      </c>
      <c r="AK102" s="182">
        <v>0</v>
      </c>
      <c r="AL102" s="182">
        <v>0</v>
      </c>
      <c r="AM102" s="182">
        <v>0</v>
      </c>
      <c r="AN102" s="182">
        <v>0</v>
      </c>
      <c r="AO102" s="182">
        <v>0</v>
      </c>
      <c r="AP102" s="182">
        <v>0</v>
      </c>
      <c r="AQ102" s="182">
        <v>0</v>
      </c>
      <c r="AR102" s="182">
        <v>0</v>
      </c>
      <c r="AS102" s="182">
        <v>0</v>
      </c>
      <c r="AT102" s="182">
        <v>0</v>
      </c>
      <c r="AU102" s="182">
        <v>0</v>
      </c>
      <c r="AV102" s="182">
        <v>0</v>
      </c>
      <c r="AW102" s="182">
        <v>0</v>
      </c>
      <c r="AX102" s="182">
        <v>0</v>
      </c>
      <c r="AY102" s="182">
        <v>0</v>
      </c>
      <c r="AZ102" s="182">
        <v>0</v>
      </c>
      <c r="BA102" s="182">
        <v>0</v>
      </c>
      <c r="BB102" s="168">
        <v>0</v>
      </c>
      <c r="BC102" s="168">
        <v>0</v>
      </c>
      <c r="BD102" s="168">
        <v>0</v>
      </c>
      <c r="BE102" s="168">
        <v>0</v>
      </c>
      <c r="BF102" s="182">
        <v>0</v>
      </c>
      <c r="BG102" s="182">
        <v>0</v>
      </c>
      <c r="BH102" s="182">
        <v>0</v>
      </c>
      <c r="BI102" s="182">
        <v>0</v>
      </c>
      <c r="BJ102" s="177">
        <f>k.w2C.w2M</f>
        <v>3.1691347286679496E-8</v>
      </c>
      <c r="BK102" s="177">
        <v>0</v>
      </c>
      <c r="BL102" s="177">
        <v>0</v>
      </c>
      <c r="BM102" s="177">
        <v>0</v>
      </c>
      <c r="BN102" s="177">
        <v>0</v>
      </c>
      <c r="BO102" s="177">
        <v>0</v>
      </c>
      <c r="BP102" s="177">
        <v>0</v>
      </c>
      <c r="BQ102" s="177">
        <v>0</v>
      </c>
      <c r="BR102" s="182">
        <v>0</v>
      </c>
      <c r="BS102" s="182">
        <v>0</v>
      </c>
      <c r="BT102" s="182">
        <v>0</v>
      </c>
      <c r="BU102" s="182">
        <v>0</v>
      </c>
      <c r="BV102" s="182">
        <v>0</v>
      </c>
      <c r="BW102" s="182">
        <v>0</v>
      </c>
      <c r="BX102" s="182">
        <v>0</v>
      </c>
      <c r="BY102" s="182">
        <v>0</v>
      </c>
      <c r="BZ102" s="182">
        <v>0</v>
      </c>
      <c r="CA102" s="182">
        <v>0</v>
      </c>
      <c r="CB102" s="182">
        <v>0</v>
      </c>
      <c r="CC102" s="182">
        <v>0</v>
      </c>
      <c r="CD102" s="182">
        <v>0</v>
      </c>
      <c r="CE102" s="182">
        <v>0</v>
      </c>
      <c r="CF102" s="182">
        <v>0</v>
      </c>
      <c r="CG102" s="182">
        <v>0</v>
      </c>
      <c r="CH102" s="182">
        <v>0</v>
      </c>
      <c r="CI102" s="182">
        <v>0</v>
      </c>
      <c r="CJ102" s="182">
        <v>0</v>
      </c>
      <c r="CK102" s="182">
        <v>0</v>
      </c>
      <c r="CL102" s="177">
        <f>k.aM.w2M</f>
        <v>2.8640577324243854E-8</v>
      </c>
      <c r="CM102" s="177">
        <v>0</v>
      </c>
      <c r="CN102" s="177">
        <v>0</v>
      </c>
      <c r="CO102" s="177">
        <v>0</v>
      </c>
      <c r="CP102" s="177">
        <v>0</v>
      </c>
      <c r="CQ102" s="177">
        <v>0</v>
      </c>
      <c r="CR102" s="177">
        <v>0</v>
      </c>
      <c r="CS102" s="310">
        <f>-k.w2M-SUM(CS9:CS98,CS103:CS163)</f>
        <v>-4.3192958049859259E-7</v>
      </c>
      <c r="CT102" s="321">
        <f>kdis.w2S.w2D</f>
        <v>0</v>
      </c>
      <c r="CU102" s="321">
        <f>kdis.w2A.w2D</f>
        <v>0</v>
      </c>
      <c r="CV102" s="321">
        <f>kdis.w2P.w2D</f>
        <v>0</v>
      </c>
      <c r="CW102" s="176">
        <f>k.w3M.w2M</f>
        <v>8.3037289171706622E-9</v>
      </c>
      <c r="CX102" s="176">
        <v>0</v>
      </c>
      <c r="CY102" s="176">
        <v>0</v>
      </c>
      <c r="CZ102" s="176">
        <v>0</v>
      </c>
      <c r="DA102" s="29">
        <v>0</v>
      </c>
      <c r="DB102" s="29">
        <v>0</v>
      </c>
      <c r="DC102" s="29">
        <v>0</v>
      </c>
      <c r="DD102" s="29">
        <v>0</v>
      </c>
      <c r="DE102" s="177">
        <f>k.sM.w2M</f>
        <v>6.0760255858239929E-9</v>
      </c>
      <c r="DF102" s="177">
        <v>0</v>
      </c>
      <c r="DG102" s="177">
        <v>0</v>
      </c>
      <c r="DH102" s="177">
        <v>0</v>
      </c>
      <c r="DI102" s="182">
        <v>0</v>
      </c>
      <c r="DJ102" s="182">
        <v>0</v>
      </c>
      <c r="DK102" s="182">
        <v>0</v>
      </c>
      <c r="DL102" s="182">
        <v>0</v>
      </c>
      <c r="DM102" s="182">
        <v>0</v>
      </c>
      <c r="DN102" s="182">
        <v>0</v>
      </c>
      <c r="DO102" s="182">
        <v>0</v>
      </c>
      <c r="DP102" s="177">
        <f>k.w2A.w2M</f>
        <v>0</v>
      </c>
      <c r="DQ102" s="177">
        <v>0</v>
      </c>
      <c r="DR102" s="177">
        <v>0</v>
      </c>
      <c r="DS102" s="177">
        <v>0</v>
      </c>
      <c r="DT102" s="182">
        <v>0</v>
      </c>
      <c r="DU102" s="182">
        <v>0</v>
      </c>
      <c r="DV102" s="182">
        <v>0</v>
      </c>
      <c r="DW102" s="182">
        <v>0</v>
      </c>
      <c r="DX102" s="182">
        <v>0</v>
      </c>
      <c r="DY102" s="182">
        <v>0</v>
      </c>
      <c r="DZ102" s="182">
        <v>0</v>
      </c>
      <c r="EA102" s="182">
        <v>0</v>
      </c>
      <c r="EB102" s="182">
        <v>0</v>
      </c>
      <c r="EC102" s="182">
        <v>0</v>
      </c>
      <c r="ED102" s="182">
        <v>0</v>
      </c>
      <c r="EE102" s="182">
        <v>0</v>
      </c>
      <c r="EF102" s="182">
        <v>0</v>
      </c>
      <c r="EG102" s="182">
        <v>0</v>
      </c>
      <c r="EH102" s="182">
        <v>0</v>
      </c>
      <c r="EI102" s="182">
        <v>0</v>
      </c>
      <c r="EJ102" s="182">
        <v>0</v>
      </c>
      <c r="EK102" s="182">
        <v>0</v>
      </c>
      <c r="EL102" s="182">
        <v>0</v>
      </c>
      <c r="EM102" s="177">
        <f>k.w2T.w2M</f>
        <v>1.6806722689075633E-8</v>
      </c>
      <c r="EN102" s="177">
        <v>0</v>
      </c>
      <c r="EO102" s="177">
        <v>0</v>
      </c>
      <c r="EP102" s="177">
        <v>0</v>
      </c>
      <c r="EQ102" s="182">
        <v>0</v>
      </c>
      <c r="ER102" s="182">
        <v>0</v>
      </c>
      <c r="ES102" s="182">
        <v>0</v>
      </c>
      <c r="ET102" s="182">
        <v>0</v>
      </c>
      <c r="EU102" s="182">
        <v>0</v>
      </c>
      <c r="EV102" s="182">
        <v>0</v>
      </c>
      <c r="EW102" s="182">
        <v>0</v>
      </c>
      <c r="EX102" s="182">
        <v>0</v>
      </c>
      <c r="EY102" s="182">
        <v>0</v>
      </c>
      <c r="EZ102" s="182">
        <v>0</v>
      </c>
      <c r="FA102" s="182">
        <v>0</v>
      </c>
      <c r="FB102" s="183">
        <v>0</v>
      </c>
    </row>
    <row r="103" spans="2:158" ht="12.75" customHeight="1" x14ac:dyDescent="0.3">
      <c r="B103" s="199" t="s">
        <v>3913</v>
      </c>
      <c r="C103" s="340"/>
      <c r="D103" s="182">
        <v>0</v>
      </c>
      <c r="E103" s="182">
        <v>0</v>
      </c>
      <c r="F103" s="182">
        <v>0</v>
      </c>
      <c r="G103" s="182">
        <v>0</v>
      </c>
      <c r="H103" s="182">
        <v>0</v>
      </c>
      <c r="I103" s="182">
        <v>0</v>
      </c>
      <c r="J103" s="182">
        <v>0</v>
      </c>
      <c r="K103" s="182">
        <v>0</v>
      </c>
      <c r="L103" s="182">
        <v>0</v>
      </c>
      <c r="M103" s="182">
        <v>0</v>
      </c>
      <c r="N103" s="182">
        <v>0</v>
      </c>
      <c r="O103" s="182">
        <v>0</v>
      </c>
      <c r="P103" s="182">
        <v>0</v>
      </c>
      <c r="Q103" s="182">
        <v>0</v>
      </c>
      <c r="R103" s="182">
        <v>0</v>
      </c>
      <c r="S103" s="182">
        <v>0</v>
      </c>
      <c r="T103" s="182">
        <v>0</v>
      </c>
      <c r="U103" s="182">
        <v>0</v>
      </c>
      <c r="V103" s="182">
        <v>0</v>
      </c>
      <c r="W103" s="182">
        <v>0</v>
      </c>
      <c r="X103" s="182">
        <v>0</v>
      </c>
      <c r="Y103" s="182">
        <v>0</v>
      </c>
      <c r="Z103" s="182">
        <v>0</v>
      </c>
      <c r="AA103" s="182">
        <v>0</v>
      </c>
      <c r="AB103" s="182">
        <v>0</v>
      </c>
      <c r="AC103" s="182">
        <v>0</v>
      </c>
      <c r="AD103" s="182">
        <v>0</v>
      </c>
      <c r="AE103" s="182">
        <v>0</v>
      </c>
      <c r="AF103" s="182">
        <v>0</v>
      </c>
      <c r="AG103" s="182">
        <v>0</v>
      </c>
      <c r="AH103" s="182">
        <v>0</v>
      </c>
      <c r="AI103" s="182">
        <v>0</v>
      </c>
      <c r="AJ103" s="182">
        <v>0</v>
      </c>
      <c r="AK103" s="182">
        <v>0</v>
      </c>
      <c r="AL103" s="182">
        <v>0</v>
      </c>
      <c r="AM103" s="182">
        <v>0</v>
      </c>
      <c r="AN103" s="182">
        <v>0</v>
      </c>
      <c r="AO103" s="182">
        <v>0</v>
      </c>
      <c r="AP103" s="182">
        <v>0</v>
      </c>
      <c r="AQ103" s="182">
        <v>0</v>
      </c>
      <c r="AR103" s="182">
        <v>0</v>
      </c>
      <c r="AS103" s="182">
        <v>0</v>
      </c>
      <c r="AT103" s="182">
        <v>0</v>
      </c>
      <c r="AU103" s="182">
        <v>0</v>
      </c>
      <c r="AV103" s="182">
        <v>0</v>
      </c>
      <c r="AW103" s="182">
        <v>0</v>
      </c>
      <c r="AX103" s="182">
        <v>0</v>
      </c>
      <c r="AY103" s="182">
        <v>0</v>
      </c>
      <c r="AZ103" s="182">
        <v>0</v>
      </c>
      <c r="BA103" s="182">
        <v>0</v>
      </c>
      <c r="BB103" s="168">
        <v>0</v>
      </c>
      <c r="BC103" s="168">
        <v>0</v>
      </c>
      <c r="BD103" s="168">
        <v>0</v>
      </c>
      <c r="BE103" s="168">
        <v>0</v>
      </c>
      <c r="BF103" s="182">
        <v>0</v>
      </c>
      <c r="BG103" s="182">
        <v>0</v>
      </c>
      <c r="BH103" s="182">
        <v>0</v>
      </c>
      <c r="BI103" s="182">
        <v>0</v>
      </c>
      <c r="BJ103" s="177">
        <v>0</v>
      </c>
      <c r="BK103" s="177">
        <f>k.w2C.w2M</f>
        <v>3.1691347286679496E-8</v>
      </c>
      <c r="BL103" s="177">
        <v>0</v>
      </c>
      <c r="BM103" s="177">
        <v>0</v>
      </c>
      <c r="BN103" s="177">
        <v>0</v>
      </c>
      <c r="BO103" s="177">
        <v>0</v>
      </c>
      <c r="BP103" s="177">
        <v>0</v>
      </c>
      <c r="BQ103" s="177">
        <v>0</v>
      </c>
      <c r="BR103" s="182">
        <v>0</v>
      </c>
      <c r="BS103" s="182">
        <v>0</v>
      </c>
      <c r="BT103" s="182">
        <v>0</v>
      </c>
      <c r="BU103" s="182">
        <v>0</v>
      </c>
      <c r="BV103" s="182">
        <v>0</v>
      </c>
      <c r="BW103" s="182">
        <v>0</v>
      </c>
      <c r="BX103" s="182">
        <v>0</v>
      </c>
      <c r="BY103" s="182">
        <v>0</v>
      </c>
      <c r="BZ103" s="182">
        <v>0</v>
      </c>
      <c r="CA103" s="182">
        <v>0</v>
      </c>
      <c r="CB103" s="182">
        <v>0</v>
      </c>
      <c r="CC103" s="182">
        <v>0</v>
      </c>
      <c r="CD103" s="182">
        <v>0</v>
      </c>
      <c r="CE103" s="182">
        <v>0</v>
      </c>
      <c r="CF103" s="182">
        <v>0</v>
      </c>
      <c r="CG103" s="182">
        <v>0</v>
      </c>
      <c r="CH103" s="182">
        <v>0</v>
      </c>
      <c r="CI103" s="182">
        <v>0</v>
      </c>
      <c r="CJ103" s="182">
        <v>0</v>
      </c>
      <c r="CK103" s="182">
        <v>0</v>
      </c>
      <c r="CL103" s="177">
        <v>0</v>
      </c>
      <c r="CM103" s="177">
        <f>k.aMS.w2MS</f>
        <v>1.6176845896440213E-6</v>
      </c>
      <c r="CN103" s="177">
        <v>0</v>
      </c>
      <c r="CO103" s="177">
        <v>0</v>
      </c>
      <c r="CP103" s="177">
        <f>k.cwMS.w2MS</f>
        <v>3.699476841282254E-5</v>
      </c>
      <c r="CQ103" s="177">
        <v>0</v>
      </c>
      <c r="CR103" s="177">
        <v>0</v>
      </c>
      <c r="CS103" s="323">
        <v>0</v>
      </c>
      <c r="CT103" s="181">
        <f>-k.w2MS-SUM(CT$9:CT102,CT104:CT$163)</f>
        <v>-3.2001440472024367E-3</v>
      </c>
      <c r="CU103" s="177">
        <v>0</v>
      </c>
      <c r="CV103" s="302">
        <v>0</v>
      </c>
      <c r="CW103" s="176">
        <v>0</v>
      </c>
      <c r="CX103" s="176">
        <f>k.w3M.w2M</f>
        <v>8.3037289171706622E-9</v>
      </c>
      <c r="CY103" s="176">
        <v>0</v>
      </c>
      <c r="CZ103" s="176">
        <v>0</v>
      </c>
      <c r="DA103" s="29">
        <v>0</v>
      </c>
      <c r="DB103" s="29">
        <v>0</v>
      </c>
      <c r="DC103" s="29">
        <v>0</v>
      </c>
      <c r="DD103" s="29">
        <v>0</v>
      </c>
      <c r="DE103" s="177">
        <v>0</v>
      </c>
      <c r="DF103" s="176">
        <f>k.sMS.w2MS</f>
        <v>1.4105196107430861E-7</v>
      </c>
      <c r="DG103" s="177">
        <v>0</v>
      </c>
      <c r="DH103" s="177">
        <v>0</v>
      </c>
      <c r="DI103" s="182">
        <v>0</v>
      </c>
      <c r="DJ103" s="182">
        <v>0</v>
      </c>
      <c r="DK103" s="182">
        <v>0</v>
      </c>
      <c r="DL103" s="182">
        <v>0</v>
      </c>
      <c r="DM103" s="182">
        <v>0</v>
      </c>
      <c r="DN103" s="182">
        <v>0</v>
      </c>
      <c r="DO103" s="182">
        <v>0</v>
      </c>
      <c r="DP103" s="177">
        <v>0</v>
      </c>
      <c r="DQ103" s="177">
        <f>k.w2A.w2M</f>
        <v>0</v>
      </c>
      <c r="DR103" s="177">
        <v>0</v>
      </c>
      <c r="DS103" s="177">
        <v>0</v>
      </c>
      <c r="DT103" s="182">
        <v>0</v>
      </c>
      <c r="DU103" s="182">
        <v>0</v>
      </c>
      <c r="DV103" s="182">
        <v>0</v>
      </c>
      <c r="DW103" s="182">
        <v>0</v>
      </c>
      <c r="DX103" s="182">
        <v>0</v>
      </c>
      <c r="DY103" s="182">
        <v>0</v>
      </c>
      <c r="DZ103" s="182">
        <v>0</v>
      </c>
      <c r="EA103" s="182">
        <v>0</v>
      </c>
      <c r="EB103" s="182">
        <v>0</v>
      </c>
      <c r="EC103" s="182">
        <v>0</v>
      </c>
      <c r="ED103" s="182">
        <v>0</v>
      </c>
      <c r="EE103" s="182">
        <v>0</v>
      </c>
      <c r="EF103" s="182">
        <v>0</v>
      </c>
      <c r="EG103" s="182">
        <v>0</v>
      </c>
      <c r="EH103" s="182">
        <v>0</v>
      </c>
      <c r="EI103" s="182">
        <v>0</v>
      </c>
      <c r="EJ103" s="182">
        <v>0</v>
      </c>
      <c r="EK103" s="182">
        <v>0</v>
      </c>
      <c r="EL103" s="182">
        <v>0</v>
      </c>
      <c r="EM103" s="177">
        <v>0</v>
      </c>
      <c r="EN103" s="177">
        <f>k.w2T.w2M</f>
        <v>1.6806722689075633E-8</v>
      </c>
      <c r="EO103" s="177">
        <v>0</v>
      </c>
      <c r="EP103" s="177">
        <v>0</v>
      </c>
      <c r="EQ103" s="182">
        <v>0</v>
      </c>
      <c r="ER103" s="182">
        <v>0</v>
      </c>
      <c r="ES103" s="182">
        <v>0</v>
      </c>
      <c r="ET103" s="182">
        <v>0</v>
      </c>
      <c r="EU103" s="182">
        <v>0</v>
      </c>
      <c r="EV103" s="182">
        <v>0</v>
      </c>
      <c r="EW103" s="182">
        <v>0</v>
      </c>
      <c r="EX103" s="182">
        <v>0</v>
      </c>
      <c r="EY103" s="182">
        <v>0</v>
      </c>
      <c r="EZ103" s="182">
        <v>0</v>
      </c>
      <c r="FA103" s="182">
        <v>0</v>
      </c>
      <c r="FB103" s="183">
        <v>0</v>
      </c>
    </row>
    <row r="104" spans="2:158" ht="12.75" customHeight="1" x14ac:dyDescent="0.3">
      <c r="B104" s="199" t="s">
        <v>3914</v>
      </c>
      <c r="C104" s="340"/>
      <c r="D104" s="182">
        <v>0</v>
      </c>
      <c r="E104" s="182">
        <v>0</v>
      </c>
      <c r="F104" s="182">
        <v>0</v>
      </c>
      <c r="G104" s="182">
        <v>0</v>
      </c>
      <c r="H104" s="182">
        <v>0</v>
      </c>
      <c r="I104" s="182">
        <v>0</v>
      </c>
      <c r="J104" s="182">
        <v>0</v>
      </c>
      <c r="K104" s="182">
        <v>0</v>
      </c>
      <c r="L104" s="182">
        <v>0</v>
      </c>
      <c r="M104" s="182">
        <v>0</v>
      </c>
      <c r="N104" s="182">
        <v>0</v>
      </c>
      <c r="O104" s="182">
        <v>0</v>
      </c>
      <c r="P104" s="182">
        <v>0</v>
      </c>
      <c r="Q104" s="182">
        <v>0</v>
      </c>
      <c r="R104" s="182">
        <v>0</v>
      </c>
      <c r="S104" s="182">
        <v>0</v>
      </c>
      <c r="T104" s="182">
        <v>0</v>
      </c>
      <c r="U104" s="182">
        <v>0</v>
      </c>
      <c r="V104" s="182">
        <v>0</v>
      </c>
      <c r="W104" s="182">
        <v>0</v>
      </c>
      <c r="X104" s="182">
        <v>0</v>
      </c>
      <c r="Y104" s="182">
        <v>0</v>
      </c>
      <c r="Z104" s="182">
        <v>0</v>
      </c>
      <c r="AA104" s="182">
        <v>0</v>
      </c>
      <c r="AB104" s="182">
        <v>0</v>
      </c>
      <c r="AC104" s="182">
        <v>0</v>
      </c>
      <c r="AD104" s="182">
        <v>0</v>
      </c>
      <c r="AE104" s="182">
        <v>0</v>
      </c>
      <c r="AF104" s="182">
        <v>0</v>
      </c>
      <c r="AG104" s="182">
        <v>0</v>
      </c>
      <c r="AH104" s="182">
        <v>0</v>
      </c>
      <c r="AI104" s="182">
        <v>0</v>
      </c>
      <c r="AJ104" s="182">
        <v>0</v>
      </c>
      <c r="AK104" s="182">
        <v>0</v>
      </c>
      <c r="AL104" s="182">
        <v>0</v>
      </c>
      <c r="AM104" s="182">
        <v>0</v>
      </c>
      <c r="AN104" s="182">
        <v>0</v>
      </c>
      <c r="AO104" s="182">
        <v>0</v>
      </c>
      <c r="AP104" s="182">
        <v>0</v>
      </c>
      <c r="AQ104" s="182">
        <v>0</v>
      </c>
      <c r="AR104" s="182">
        <v>0</v>
      </c>
      <c r="AS104" s="182">
        <v>0</v>
      </c>
      <c r="AT104" s="182">
        <v>0</v>
      </c>
      <c r="AU104" s="182">
        <v>0</v>
      </c>
      <c r="AV104" s="182">
        <v>0</v>
      </c>
      <c r="AW104" s="182">
        <v>0</v>
      </c>
      <c r="AX104" s="182">
        <v>0</v>
      </c>
      <c r="AY104" s="182">
        <v>0</v>
      </c>
      <c r="AZ104" s="182">
        <v>0</v>
      </c>
      <c r="BA104" s="182">
        <v>0</v>
      </c>
      <c r="BB104" s="168">
        <v>0</v>
      </c>
      <c r="BC104" s="168">
        <v>0</v>
      </c>
      <c r="BD104" s="168">
        <v>0</v>
      </c>
      <c r="BE104" s="168">
        <v>0</v>
      </c>
      <c r="BF104" s="182">
        <v>0</v>
      </c>
      <c r="BG104" s="182">
        <v>0</v>
      </c>
      <c r="BH104" s="182">
        <v>0</v>
      </c>
      <c r="BI104" s="182">
        <v>0</v>
      </c>
      <c r="BJ104" s="177">
        <v>0</v>
      </c>
      <c r="BK104" s="177">
        <v>0</v>
      </c>
      <c r="BL104" s="177">
        <f>k.w2C.w2M</f>
        <v>3.1691347286679496E-8</v>
      </c>
      <c r="BM104" s="177">
        <v>0</v>
      </c>
      <c r="BN104" s="177">
        <v>0</v>
      </c>
      <c r="BO104" s="177">
        <v>0</v>
      </c>
      <c r="BP104" s="177">
        <v>0</v>
      </c>
      <c r="BQ104" s="177">
        <v>0</v>
      </c>
      <c r="BR104" s="182">
        <v>0</v>
      </c>
      <c r="BS104" s="182">
        <v>0</v>
      </c>
      <c r="BT104" s="182">
        <v>0</v>
      </c>
      <c r="BU104" s="182">
        <v>0</v>
      </c>
      <c r="BV104" s="182">
        <v>0</v>
      </c>
      <c r="BW104" s="182">
        <v>0</v>
      </c>
      <c r="BX104" s="182">
        <v>0</v>
      </c>
      <c r="BY104" s="182">
        <v>0</v>
      </c>
      <c r="BZ104" s="182">
        <v>0</v>
      </c>
      <c r="CA104" s="182">
        <v>0</v>
      </c>
      <c r="CB104" s="182">
        <v>0</v>
      </c>
      <c r="CC104" s="182">
        <v>0</v>
      </c>
      <c r="CD104" s="182">
        <v>0</v>
      </c>
      <c r="CE104" s="182">
        <v>0</v>
      </c>
      <c r="CF104" s="182">
        <v>0</v>
      </c>
      <c r="CG104" s="182">
        <v>0</v>
      </c>
      <c r="CH104" s="182">
        <v>0</v>
      </c>
      <c r="CI104" s="182">
        <v>0</v>
      </c>
      <c r="CJ104" s="182">
        <v>0</v>
      </c>
      <c r="CK104" s="182">
        <v>0</v>
      </c>
      <c r="CL104" s="177">
        <v>0</v>
      </c>
      <c r="CM104" s="177">
        <v>0</v>
      </c>
      <c r="CN104" s="177">
        <f>k.aMA.w2MA</f>
        <v>5.8131799616657634E-7</v>
      </c>
      <c r="CO104" s="177">
        <v>0</v>
      </c>
      <c r="CP104" s="177">
        <v>0</v>
      </c>
      <c r="CQ104" s="177">
        <f>k.cwMA.w2MA</f>
        <v>3.699476841282254E-5</v>
      </c>
      <c r="CR104" s="177">
        <v>0</v>
      </c>
      <c r="CS104" s="323">
        <v>0</v>
      </c>
      <c r="CT104" s="177">
        <f>k.w2MS.w2MA</f>
        <v>3.1646354088314473E-3</v>
      </c>
      <c r="CU104" s="181">
        <f>-k.w2MA-SUM(CU$9:CU103,CU105:CU$163)</f>
        <v>-2.9434533090397324E-7</v>
      </c>
      <c r="CV104" s="302">
        <v>0</v>
      </c>
      <c r="CW104" s="177">
        <v>0</v>
      </c>
      <c r="CX104" s="176">
        <v>0</v>
      </c>
      <c r="CY104" s="176">
        <f>k.w3M.w2M</f>
        <v>8.3037289171706622E-9</v>
      </c>
      <c r="CZ104" s="176">
        <v>0</v>
      </c>
      <c r="DA104" s="29">
        <v>0</v>
      </c>
      <c r="DB104" s="29">
        <v>0</v>
      </c>
      <c r="DC104" s="29">
        <v>0</v>
      </c>
      <c r="DD104" s="29">
        <v>0</v>
      </c>
      <c r="DE104" s="177">
        <v>0</v>
      </c>
      <c r="DF104" s="177">
        <v>0</v>
      </c>
      <c r="DG104" s="176">
        <f>k.sMA.w2MA</f>
        <v>1.4105196107430861E-7</v>
      </c>
      <c r="DH104" s="177">
        <v>0</v>
      </c>
      <c r="DI104" s="182">
        <v>0</v>
      </c>
      <c r="DJ104" s="182">
        <v>0</v>
      </c>
      <c r="DK104" s="182">
        <v>0</v>
      </c>
      <c r="DL104" s="182">
        <v>0</v>
      </c>
      <c r="DM104" s="182">
        <v>0</v>
      </c>
      <c r="DN104" s="182">
        <v>0</v>
      </c>
      <c r="DO104" s="182">
        <v>0</v>
      </c>
      <c r="DP104" s="177">
        <v>0</v>
      </c>
      <c r="DQ104" s="177">
        <v>0</v>
      </c>
      <c r="DR104" s="177">
        <f>k.w2A.w2M</f>
        <v>0</v>
      </c>
      <c r="DS104" s="177">
        <v>0</v>
      </c>
      <c r="DT104" s="182">
        <v>0</v>
      </c>
      <c r="DU104" s="182">
        <v>0</v>
      </c>
      <c r="DV104" s="182">
        <v>0</v>
      </c>
      <c r="DW104" s="182">
        <v>0</v>
      </c>
      <c r="DX104" s="182">
        <v>0</v>
      </c>
      <c r="DY104" s="182">
        <v>0</v>
      </c>
      <c r="DZ104" s="182">
        <v>0</v>
      </c>
      <c r="EA104" s="182">
        <v>0</v>
      </c>
      <c r="EB104" s="182">
        <v>0</v>
      </c>
      <c r="EC104" s="182">
        <v>0</v>
      </c>
      <c r="ED104" s="182">
        <v>0</v>
      </c>
      <c r="EE104" s="182">
        <v>0</v>
      </c>
      <c r="EF104" s="182">
        <v>0</v>
      </c>
      <c r="EG104" s="182">
        <v>0</v>
      </c>
      <c r="EH104" s="182">
        <v>0</v>
      </c>
      <c r="EI104" s="182">
        <v>0</v>
      </c>
      <c r="EJ104" s="182">
        <v>0</v>
      </c>
      <c r="EK104" s="182">
        <v>0</v>
      </c>
      <c r="EL104" s="182">
        <v>0</v>
      </c>
      <c r="EM104" s="177">
        <v>0</v>
      </c>
      <c r="EN104" s="177">
        <v>0</v>
      </c>
      <c r="EO104" s="177">
        <f>k.w2T.w2M</f>
        <v>1.6806722689075633E-8</v>
      </c>
      <c r="EP104" s="177">
        <v>0</v>
      </c>
      <c r="EQ104" s="182">
        <v>0</v>
      </c>
      <c r="ER104" s="182">
        <v>0</v>
      </c>
      <c r="ES104" s="182">
        <v>0</v>
      </c>
      <c r="ET104" s="182">
        <v>0</v>
      </c>
      <c r="EU104" s="182">
        <v>0</v>
      </c>
      <c r="EV104" s="182">
        <v>0</v>
      </c>
      <c r="EW104" s="182">
        <v>0</v>
      </c>
      <c r="EX104" s="182">
        <v>0</v>
      </c>
      <c r="EY104" s="182">
        <v>0</v>
      </c>
      <c r="EZ104" s="182">
        <v>0</v>
      </c>
      <c r="FA104" s="182">
        <v>0</v>
      </c>
      <c r="FB104" s="183">
        <v>0</v>
      </c>
    </row>
    <row r="105" spans="2:158" ht="12.75" customHeight="1" x14ac:dyDescent="0.3">
      <c r="B105" s="199" t="s">
        <v>3915</v>
      </c>
      <c r="C105" s="340"/>
      <c r="D105" s="182">
        <v>0</v>
      </c>
      <c r="E105" s="182">
        <v>0</v>
      </c>
      <c r="F105" s="182">
        <v>0</v>
      </c>
      <c r="G105" s="182">
        <v>0</v>
      </c>
      <c r="H105" s="182">
        <v>0</v>
      </c>
      <c r="I105" s="182">
        <v>0</v>
      </c>
      <c r="J105" s="182">
        <v>0</v>
      </c>
      <c r="K105" s="182">
        <v>0</v>
      </c>
      <c r="L105" s="182">
        <v>0</v>
      </c>
      <c r="M105" s="182">
        <v>0</v>
      </c>
      <c r="N105" s="182">
        <v>0</v>
      </c>
      <c r="O105" s="182">
        <v>0</v>
      </c>
      <c r="P105" s="182">
        <v>0</v>
      </c>
      <c r="Q105" s="182">
        <v>0</v>
      </c>
      <c r="R105" s="182">
        <v>0</v>
      </c>
      <c r="S105" s="182">
        <v>0</v>
      </c>
      <c r="T105" s="182">
        <v>0</v>
      </c>
      <c r="U105" s="182">
        <v>0</v>
      </c>
      <c r="V105" s="182">
        <v>0</v>
      </c>
      <c r="W105" s="182">
        <v>0</v>
      </c>
      <c r="X105" s="182">
        <v>0</v>
      </c>
      <c r="Y105" s="182">
        <v>0</v>
      </c>
      <c r="Z105" s="182">
        <v>0</v>
      </c>
      <c r="AA105" s="182">
        <v>0</v>
      </c>
      <c r="AB105" s="182">
        <v>0</v>
      </c>
      <c r="AC105" s="182">
        <v>0</v>
      </c>
      <c r="AD105" s="182">
        <v>0</v>
      </c>
      <c r="AE105" s="182">
        <v>0</v>
      </c>
      <c r="AF105" s="182">
        <v>0</v>
      </c>
      <c r="AG105" s="182">
        <v>0</v>
      </c>
      <c r="AH105" s="182">
        <v>0</v>
      </c>
      <c r="AI105" s="182">
        <v>0</v>
      </c>
      <c r="AJ105" s="182">
        <v>0</v>
      </c>
      <c r="AK105" s="182">
        <v>0</v>
      </c>
      <c r="AL105" s="182">
        <v>0</v>
      </c>
      <c r="AM105" s="182">
        <v>0</v>
      </c>
      <c r="AN105" s="182">
        <v>0</v>
      </c>
      <c r="AO105" s="182">
        <v>0</v>
      </c>
      <c r="AP105" s="182">
        <v>0</v>
      </c>
      <c r="AQ105" s="182">
        <v>0</v>
      </c>
      <c r="AR105" s="182">
        <v>0</v>
      </c>
      <c r="AS105" s="182">
        <v>0</v>
      </c>
      <c r="AT105" s="182">
        <v>0</v>
      </c>
      <c r="AU105" s="182">
        <v>0</v>
      </c>
      <c r="AV105" s="182">
        <v>0</v>
      </c>
      <c r="AW105" s="182">
        <v>0</v>
      </c>
      <c r="AX105" s="182">
        <v>0</v>
      </c>
      <c r="AY105" s="182">
        <v>0</v>
      </c>
      <c r="AZ105" s="182">
        <v>0</v>
      </c>
      <c r="BA105" s="182">
        <v>0</v>
      </c>
      <c r="BB105" s="168">
        <v>0</v>
      </c>
      <c r="BC105" s="168">
        <v>0</v>
      </c>
      <c r="BD105" s="168">
        <v>0</v>
      </c>
      <c r="BE105" s="168">
        <v>0</v>
      </c>
      <c r="BF105" s="182">
        <v>0</v>
      </c>
      <c r="BG105" s="182">
        <v>0</v>
      </c>
      <c r="BH105" s="182">
        <v>0</v>
      </c>
      <c r="BI105" s="182">
        <v>0</v>
      </c>
      <c r="BJ105" s="177">
        <v>0</v>
      </c>
      <c r="BK105" s="177">
        <v>0</v>
      </c>
      <c r="BL105" s="177">
        <v>0</v>
      </c>
      <c r="BM105" s="177">
        <f>k.w2C.w2M</f>
        <v>3.1691347286679496E-8</v>
      </c>
      <c r="BN105" s="177">
        <v>0</v>
      </c>
      <c r="BO105" s="177">
        <v>0</v>
      </c>
      <c r="BP105" s="177">
        <v>0</v>
      </c>
      <c r="BQ105" s="177">
        <v>0</v>
      </c>
      <c r="BR105" s="182">
        <v>0</v>
      </c>
      <c r="BS105" s="182">
        <v>0</v>
      </c>
      <c r="BT105" s="182">
        <v>0</v>
      </c>
      <c r="BU105" s="182">
        <v>0</v>
      </c>
      <c r="BV105" s="182">
        <v>0</v>
      </c>
      <c r="BW105" s="182">
        <v>0</v>
      </c>
      <c r="BX105" s="182">
        <v>0</v>
      </c>
      <c r="BY105" s="182">
        <v>0</v>
      </c>
      <c r="BZ105" s="182">
        <v>0</v>
      </c>
      <c r="CA105" s="182">
        <v>0</v>
      </c>
      <c r="CB105" s="182">
        <v>0</v>
      </c>
      <c r="CC105" s="182">
        <v>0</v>
      </c>
      <c r="CD105" s="182">
        <v>0</v>
      </c>
      <c r="CE105" s="182">
        <v>0</v>
      </c>
      <c r="CF105" s="182">
        <v>0</v>
      </c>
      <c r="CG105" s="182">
        <v>0</v>
      </c>
      <c r="CH105" s="182">
        <v>0</v>
      </c>
      <c r="CI105" s="182">
        <v>0</v>
      </c>
      <c r="CJ105" s="182">
        <v>0</v>
      </c>
      <c r="CK105" s="182">
        <v>0</v>
      </c>
      <c r="CL105" s="177">
        <v>0</v>
      </c>
      <c r="CM105" s="177">
        <v>0</v>
      </c>
      <c r="CN105" s="177">
        <v>0</v>
      </c>
      <c r="CO105" s="177">
        <f>k.aMP.w2MP</f>
        <v>5.0000015000004499E-7</v>
      </c>
      <c r="CP105" s="177">
        <v>0</v>
      </c>
      <c r="CQ105" s="177">
        <v>0</v>
      </c>
      <c r="CR105" s="177">
        <f>k.cwMP.w2MP</f>
        <v>3.699476841282254E-5</v>
      </c>
      <c r="CS105" s="303">
        <v>0</v>
      </c>
      <c r="CT105" s="304">
        <f>k.w2MS.w2MP</f>
        <v>3.5214776928687474E-5</v>
      </c>
      <c r="CU105" s="304">
        <v>0</v>
      </c>
      <c r="CV105" s="181">
        <f>-k.w2MP-SUM(CV$9:CV104,CV106:CV$163)</f>
        <v>-5.8795862203020557E-7</v>
      </c>
      <c r="CW105" s="177">
        <v>0</v>
      </c>
      <c r="CX105" s="177">
        <v>0</v>
      </c>
      <c r="CY105" s="176">
        <v>0</v>
      </c>
      <c r="CZ105" s="176">
        <f>k.w3M.w2M</f>
        <v>8.3037289171706622E-9</v>
      </c>
      <c r="DA105" s="29">
        <v>0</v>
      </c>
      <c r="DB105" s="29">
        <v>0</v>
      </c>
      <c r="DC105" s="29">
        <v>0</v>
      </c>
      <c r="DD105" s="29">
        <v>0</v>
      </c>
      <c r="DE105" s="177">
        <v>0</v>
      </c>
      <c r="DF105" s="177">
        <v>0</v>
      </c>
      <c r="DG105" s="177">
        <v>0</v>
      </c>
      <c r="DH105" s="177">
        <f>k.sMP.w2MP</f>
        <v>1.9025875190258751E-11</v>
      </c>
      <c r="DI105" s="182">
        <v>0</v>
      </c>
      <c r="DJ105" s="182">
        <v>0</v>
      </c>
      <c r="DK105" s="182">
        <v>0</v>
      </c>
      <c r="DL105" s="182">
        <v>0</v>
      </c>
      <c r="DM105" s="182">
        <v>0</v>
      </c>
      <c r="DN105" s="182">
        <v>0</v>
      </c>
      <c r="DO105" s="182">
        <v>0</v>
      </c>
      <c r="DP105" s="177">
        <v>0</v>
      </c>
      <c r="DQ105" s="177">
        <v>0</v>
      </c>
      <c r="DR105" s="177">
        <v>0</v>
      </c>
      <c r="DS105" s="177">
        <f>k.w2A.w2M</f>
        <v>0</v>
      </c>
      <c r="DT105" s="182">
        <v>0</v>
      </c>
      <c r="DU105" s="182">
        <v>0</v>
      </c>
      <c r="DV105" s="182">
        <v>0</v>
      </c>
      <c r="DW105" s="182">
        <v>0</v>
      </c>
      <c r="DX105" s="182">
        <v>0</v>
      </c>
      <c r="DY105" s="182">
        <v>0</v>
      </c>
      <c r="DZ105" s="182">
        <v>0</v>
      </c>
      <c r="EA105" s="182">
        <v>0</v>
      </c>
      <c r="EB105" s="182">
        <v>0</v>
      </c>
      <c r="EC105" s="182">
        <v>0</v>
      </c>
      <c r="ED105" s="182">
        <v>0</v>
      </c>
      <c r="EE105" s="182">
        <v>0</v>
      </c>
      <c r="EF105" s="182">
        <v>0</v>
      </c>
      <c r="EG105" s="182">
        <v>0</v>
      </c>
      <c r="EH105" s="182">
        <v>0</v>
      </c>
      <c r="EI105" s="182">
        <v>0</v>
      </c>
      <c r="EJ105" s="182">
        <v>0</v>
      </c>
      <c r="EK105" s="182">
        <v>0</v>
      </c>
      <c r="EL105" s="182">
        <v>0</v>
      </c>
      <c r="EM105" s="177">
        <v>0</v>
      </c>
      <c r="EN105" s="177">
        <v>0</v>
      </c>
      <c r="EO105" s="177">
        <v>0</v>
      </c>
      <c r="EP105" s="177">
        <f>k.w2T.w2M</f>
        <v>1.6806722689075633E-8</v>
      </c>
      <c r="EQ105" s="182">
        <v>0</v>
      </c>
      <c r="ER105" s="182">
        <v>0</v>
      </c>
      <c r="ES105" s="182">
        <v>0</v>
      </c>
      <c r="ET105" s="182">
        <v>0</v>
      </c>
      <c r="EU105" s="182">
        <v>0</v>
      </c>
      <c r="EV105" s="182">
        <v>0</v>
      </c>
      <c r="EW105" s="182">
        <v>0</v>
      </c>
      <c r="EX105" s="182">
        <v>0</v>
      </c>
      <c r="EY105" s="182">
        <v>0</v>
      </c>
      <c r="EZ105" s="182">
        <v>0</v>
      </c>
      <c r="FA105" s="182">
        <v>0</v>
      </c>
      <c r="FB105" s="183">
        <v>0</v>
      </c>
    </row>
    <row r="106" spans="2:158" ht="12.75" customHeight="1" x14ac:dyDescent="0.3">
      <c r="B106" s="199" t="s">
        <v>3916</v>
      </c>
      <c r="C106" s="340"/>
      <c r="D106" s="182">
        <v>0</v>
      </c>
      <c r="E106" s="182">
        <v>0</v>
      </c>
      <c r="F106" s="182">
        <v>0</v>
      </c>
      <c r="G106" s="182">
        <v>0</v>
      </c>
      <c r="H106" s="182">
        <v>0</v>
      </c>
      <c r="I106" s="182">
        <v>0</v>
      </c>
      <c r="J106" s="182">
        <v>0</v>
      </c>
      <c r="K106" s="182">
        <v>0</v>
      </c>
      <c r="L106" s="182">
        <v>0</v>
      </c>
      <c r="M106" s="182">
        <v>0</v>
      </c>
      <c r="N106" s="182">
        <v>0</v>
      </c>
      <c r="O106" s="182">
        <v>0</v>
      </c>
      <c r="P106" s="182">
        <v>0</v>
      </c>
      <c r="Q106" s="182">
        <v>0</v>
      </c>
      <c r="R106" s="182">
        <v>0</v>
      </c>
      <c r="S106" s="182">
        <v>0</v>
      </c>
      <c r="T106" s="182">
        <v>0</v>
      </c>
      <c r="U106" s="182">
        <v>0</v>
      </c>
      <c r="V106" s="182">
        <v>0</v>
      </c>
      <c r="W106" s="182">
        <v>0</v>
      </c>
      <c r="X106" s="182">
        <v>0</v>
      </c>
      <c r="Y106" s="182">
        <v>0</v>
      </c>
      <c r="Z106" s="182">
        <v>0</v>
      </c>
      <c r="AA106" s="182">
        <v>0</v>
      </c>
      <c r="AB106" s="182">
        <v>0</v>
      </c>
      <c r="AC106" s="182">
        <v>0</v>
      </c>
      <c r="AD106" s="182">
        <v>0</v>
      </c>
      <c r="AE106" s="182">
        <v>0</v>
      </c>
      <c r="AF106" s="182">
        <v>0</v>
      </c>
      <c r="AG106" s="182">
        <v>0</v>
      </c>
      <c r="AH106" s="182">
        <v>0</v>
      </c>
      <c r="AI106" s="182">
        <v>0</v>
      </c>
      <c r="AJ106" s="182">
        <v>0</v>
      </c>
      <c r="AK106" s="182">
        <v>0</v>
      </c>
      <c r="AL106" s="182">
        <v>0</v>
      </c>
      <c r="AM106" s="182">
        <v>0</v>
      </c>
      <c r="AN106" s="182">
        <v>0</v>
      </c>
      <c r="AO106" s="182">
        <v>0</v>
      </c>
      <c r="AP106" s="182">
        <v>0</v>
      </c>
      <c r="AQ106" s="182">
        <v>0</v>
      </c>
      <c r="AR106" s="182">
        <v>0</v>
      </c>
      <c r="AS106" s="182">
        <v>0</v>
      </c>
      <c r="AT106" s="182">
        <v>0</v>
      </c>
      <c r="AU106" s="182">
        <v>0</v>
      </c>
      <c r="AV106" s="182">
        <v>0</v>
      </c>
      <c r="AW106" s="182">
        <v>0</v>
      </c>
      <c r="AX106" s="182">
        <v>0</v>
      </c>
      <c r="AY106" s="182">
        <v>0</v>
      </c>
      <c r="AZ106" s="182">
        <v>0</v>
      </c>
      <c r="BA106" s="182">
        <v>0</v>
      </c>
      <c r="BB106" s="168">
        <v>0</v>
      </c>
      <c r="BC106" s="168">
        <v>0</v>
      </c>
      <c r="BD106" s="168">
        <v>0</v>
      </c>
      <c r="BE106" s="168">
        <v>0</v>
      </c>
      <c r="BF106" s="182">
        <v>0</v>
      </c>
      <c r="BG106" s="182">
        <v>0</v>
      </c>
      <c r="BH106" s="182">
        <v>0</v>
      </c>
      <c r="BI106" s="182">
        <v>0</v>
      </c>
      <c r="BJ106" s="182">
        <v>0</v>
      </c>
      <c r="BK106" s="182">
        <v>0</v>
      </c>
      <c r="BL106" s="182">
        <v>0</v>
      </c>
      <c r="BM106" s="182">
        <v>0</v>
      </c>
      <c r="BN106" s="182">
        <v>0</v>
      </c>
      <c r="BO106" s="182">
        <v>0</v>
      </c>
      <c r="BP106" s="182">
        <v>0</v>
      </c>
      <c r="BQ106" s="182">
        <v>0</v>
      </c>
      <c r="BR106" s="182">
        <v>0</v>
      </c>
      <c r="BS106" s="182">
        <v>0</v>
      </c>
      <c r="BT106" s="182">
        <v>0</v>
      </c>
      <c r="BU106" s="182">
        <v>0</v>
      </c>
      <c r="BV106" s="182">
        <v>0</v>
      </c>
      <c r="BW106" s="182">
        <v>0</v>
      </c>
      <c r="BX106" s="182">
        <v>0</v>
      </c>
      <c r="BY106" s="182">
        <v>0</v>
      </c>
      <c r="BZ106" s="182">
        <v>0</v>
      </c>
      <c r="CA106" s="182">
        <v>0</v>
      </c>
      <c r="CB106" s="182">
        <v>0</v>
      </c>
      <c r="CC106" s="182">
        <v>0</v>
      </c>
      <c r="CD106" s="182">
        <v>0</v>
      </c>
      <c r="CE106" s="182">
        <v>0</v>
      </c>
      <c r="CF106" s="182">
        <v>0</v>
      </c>
      <c r="CG106" s="182">
        <v>0</v>
      </c>
      <c r="CH106" s="182">
        <v>0</v>
      </c>
      <c r="CI106" s="182">
        <v>0</v>
      </c>
      <c r="CJ106" s="182">
        <v>0</v>
      </c>
      <c r="CK106" s="182">
        <v>0</v>
      </c>
      <c r="CL106" s="182">
        <v>0</v>
      </c>
      <c r="CM106" s="182">
        <v>0</v>
      </c>
      <c r="CN106" s="182">
        <v>0</v>
      </c>
      <c r="CO106" s="182">
        <v>0</v>
      </c>
      <c r="CP106" s="182">
        <v>0</v>
      </c>
      <c r="CQ106" s="182">
        <v>0</v>
      </c>
      <c r="CR106" s="182">
        <v>0</v>
      </c>
      <c r="CS106" s="176">
        <f>k.w2M.w3M</f>
        <v>2.4911186751511984E-7</v>
      </c>
      <c r="CT106" s="176">
        <v>0</v>
      </c>
      <c r="CU106" s="177">
        <v>0</v>
      </c>
      <c r="CV106" s="177">
        <v>0</v>
      </c>
      <c r="CW106" s="310">
        <f>-k.w3M-SUM(CW9:CW105,CW107:CW163)</f>
        <v>-9.646633686945064E-8</v>
      </c>
      <c r="CX106" s="321">
        <f>kdis.w3S.w3D</f>
        <v>0</v>
      </c>
      <c r="CY106" s="321">
        <f>kdis.w3A.w3D</f>
        <v>0</v>
      </c>
      <c r="CZ106" s="321">
        <f>kdis.w3P.w3D</f>
        <v>0</v>
      </c>
      <c r="DA106" s="176">
        <f>k.sdM.w3M</f>
        <v>5.5395704977969484E-8</v>
      </c>
      <c r="DB106" s="176">
        <v>0</v>
      </c>
      <c r="DC106" s="176">
        <v>0</v>
      </c>
      <c r="DD106" s="176">
        <v>0</v>
      </c>
      <c r="DE106" s="182">
        <v>0</v>
      </c>
      <c r="DF106" s="182">
        <v>0</v>
      </c>
      <c r="DG106" s="182">
        <v>0</v>
      </c>
      <c r="DH106" s="182">
        <v>0</v>
      </c>
      <c r="DI106" s="182">
        <v>0</v>
      </c>
      <c r="DJ106" s="182">
        <v>0</v>
      </c>
      <c r="DK106" s="182">
        <v>0</v>
      </c>
      <c r="DL106" s="182">
        <v>0</v>
      </c>
      <c r="DM106" s="182">
        <v>0</v>
      </c>
      <c r="DN106" s="182">
        <v>0</v>
      </c>
      <c r="DO106" s="182">
        <v>0</v>
      </c>
      <c r="DP106" s="182">
        <v>0</v>
      </c>
      <c r="DQ106" s="182">
        <v>0</v>
      </c>
      <c r="DR106" s="182">
        <v>0</v>
      </c>
      <c r="DS106" s="182">
        <v>0</v>
      </c>
      <c r="DT106" s="176">
        <f>k.w3A.w3M</f>
        <v>1.9607843137254903E-9</v>
      </c>
      <c r="DU106" s="176">
        <v>0</v>
      </c>
      <c r="DV106" s="176">
        <v>0</v>
      </c>
      <c r="DW106" s="176">
        <v>0</v>
      </c>
      <c r="DX106" s="182">
        <v>0</v>
      </c>
      <c r="DY106" s="182">
        <v>0</v>
      </c>
      <c r="DZ106" s="182">
        <v>0</v>
      </c>
      <c r="EA106" s="182">
        <v>0</v>
      </c>
      <c r="EB106" s="182">
        <v>0</v>
      </c>
      <c r="EC106" s="182">
        <v>0</v>
      </c>
      <c r="ED106" s="182">
        <v>0</v>
      </c>
      <c r="EE106" s="182">
        <v>0</v>
      </c>
      <c r="EF106" s="182">
        <v>0</v>
      </c>
      <c r="EG106" s="182">
        <v>0</v>
      </c>
      <c r="EH106" s="182">
        <v>0</v>
      </c>
      <c r="EI106" s="182">
        <v>0</v>
      </c>
      <c r="EJ106" s="182">
        <v>0</v>
      </c>
      <c r="EK106" s="182">
        <v>0</v>
      </c>
      <c r="EL106" s="182">
        <v>0</v>
      </c>
      <c r="EM106" s="182">
        <v>0</v>
      </c>
      <c r="EN106" s="182">
        <v>0</v>
      </c>
      <c r="EO106" s="182">
        <v>0</v>
      </c>
      <c r="EP106" s="182">
        <v>0</v>
      </c>
      <c r="EQ106" s="176">
        <f>k.w3T.w3M</f>
        <v>0</v>
      </c>
      <c r="ER106" s="176">
        <v>0</v>
      </c>
      <c r="ES106" s="176">
        <v>0</v>
      </c>
      <c r="ET106" s="176">
        <v>0</v>
      </c>
      <c r="EU106" s="182">
        <v>0</v>
      </c>
      <c r="EV106" s="182">
        <v>0</v>
      </c>
      <c r="EW106" s="182">
        <v>0</v>
      </c>
      <c r="EX106" s="182">
        <v>0</v>
      </c>
      <c r="EY106" s="182">
        <v>0</v>
      </c>
      <c r="EZ106" s="182">
        <v>0</v>
      </c>
      <c r="FA106" s="182">
        <v>0</v>
      </c>
      <c r="FB106" s="183">
        <v>0</v>
      </c>
    </row>
    <row r="107" spans="2:158" ht="12.75" customHeight="1" x14ac:dyDescent="0.3">
      <c r="B107" s="199" t="s">
        <v>3917</v>
      </c>
      <c r="C107" s="340"/>
      <c r="D107" s="182">
        <v>0</v>
      </c>
      <c r="E107" s="182">
        <v>0</v>
      </c>
      <c r="F107" s="182">
        <v>0</v>
      </c>
      <c r="G107" s="182">
        <v>0</v>
      </c>
      <c r="H107" s="182">
        <v>0</v>
      </c>
      <c r="I107" s="182">
        <v>0</v>
      </c>
      <c r="J107" s="182">
        <v>0</v>
      </c>
      <c r="K107" s="182">
        <v>0</v>
      </c>
      <c r="L107" s="182">
        <v>0</v>
      </c>
      <c r="M107" s="182">
        <v>0</v>
      </c>
      <c r="N107" s="182">
        <v>0</v>
      </c>
      <c r="O107" s="182">
        <v>0</v>
      </c>
      <c r="P107" s="182">
        <v>0</v>
      </c>
      <c r="Q107" s="182">
        <v>0</v>
      </c>
      <c r="R107" s="182">
        <v>0</v>
      </c>
      <c r="S107" s="182">
        <v>0</v>
      </c>
      <c r="T107" s="182">
        <v>0</v>
      </c>
      <c r="U107" s="182">
        <v>0</v>
      </c>
      <c r="V107" s="182">
        <v>0</v>
      </c>
      <c r="W107" s="182">
        <v>0</v>
      </c>
      <c r="X107" s="182">
        <v>0</v>
      </c>
      <c r="Y107" s="182">
        <v>0</v>
      </c>
      <c r="Z107" s="182">
        <v>0</v>
      </c>
      <c r="AA107" s="182">
        <v>0</v>
      </c>
      <c r="AB107" s="182">
        <v>0</v>
      </c>
      <c r="AC107" s="182">
        <v>0</v>
      </c>
      <c r="AD107" s="182">
        <v>0</v>
      </c>
      <c r="AE107" s="182">
        <v>0</v>
      </c>
      <c r="AF107" s="182">
        <v>0</v>
      </c>
      <c r="AG107" s="182">
        <v>0</v>
      </c>
      <c r="AH107" s="182">
        <v>0</v>
      </c>
      <c r="AI107" s="182">
        <v>0</v>
      </c>
      <c r="AJ107" s="182">
        <v>0</v>
      </c>
      <c r="AK107" s="182">
        <v>0</v>
      </c>
      <c r="AL107" s="182">
        <v>0</v>
      </c>
      <c r="AM107" s="182">
        <v>0</v>
      </c>
      <c r="AN107" s="182">
        <v>0</v>
      </c>
      <c r="AO107" s="182">
        <v>0</v>
      </c>
      <c r="AP107" s="182">
        <v>0</v>
      </c>
      <c r="AQ107" s="182">
        <v>0</v>
      </c>
      <c r="AR107" s="182">
        <v>0</v>
      </c>
      <c r="AS107" s="182">
        <v>0</v>
      </c>
      <c r="AT107" s="182">
        <v>0</v>
      </c>
      <c r="AU107" s="182">
        <v>0</v>
      </c>
      <c r="AV107" s="182">
        <v>0</v>
      </c>
      <c r="AW107" s="182">
        <v>0</v>
      </c>
      <c r="AX107" s="182">
        <v>0</v>
      </c>
      <c r="AY107" s="182">
        <v>0</v>
      </c>
      <c r="AZ107" s="182">
        <v>0</v>
      </c>
      <c r="BA107" s="182">
        <v>0</v>
      </c>
      <c r="BB107" s="168">
        <v>0</v>
      </c>
      <c r="BC107" s="168">
        <v>0</v>
      </c>
      <c r="BD107" s="168">
        <v>0</v>
      </c>
      <c r="BE107" s="168">
        <v>0</v>
      </c>
      <c r="BF107" s="182">
        <v>0</v>
      </c>
      <c r="BG107" s="182">
        <v>0</v>
      </c>
      <c r="BH107" s="182">
        <v>0</v>
      </c>
      <c r="BI107" s="182">
        <v>0</v>
      </c>
      <c r="BJ107" s="182">
        <v>0</v>
      </c>
      <c r="BK107" s="182">
        <v>0</v>
      </c>
      <c r="BL107" s="182">
        <v>0</v>
      </c>
      <c r="BM107" s="182">
        <v>0</v>
      </c>
      <c r="BN107" s="182">
        <v>0</v>
      </c>
      <c r="BO107" s="182">
        <v>0</v>
      </c>
      <c r="BP107" s="182">
        <v>0</v>
      </c>
      <c r="BQ107" s="182">
        <v>0</v>
      </c>
      <c r="BR107" s="182">
        <v>0</v>
      </c>
      <c r="BS107" s="182">
        <v>0</v>
      </c>
      <c r="BT107" s="182">
        <v>0</v>
      </c>
      <c r="BU107" s="182">
        <v>0</v>
      </c>
      <c r="BV107" s="182">
        <v>0</v>
      </c>
      <c r="BW107" s="182">
        <v>0</v>
      </c>
      <c r="BX107" s="182">
        <v>0</v>
      </c>
      <c r="BY107" s="182">
        <v>0</v>
      </c>
      <c r="BZ107" s="182">
        <v>0</v>
      </c>
      <c r="CA107" s="182">
        <v>0</v>
      </c>
      <c r="CB107" s="182">
        <v>0</v>
      </c>
      <c r="CC107" s="182">
        <v>0</v>
      </c>
      <c r="CD107" s="182">
        <v>0</v>
      </c>
      <c r="CE107" s="182">
        <v>0</v>
      </c>
      <c r="CF107" s="182">
        <v>0</v>
      </c>
      <c r="CG107" s="182">
        <v>0</v>
      </c>
      <c r="CH107" s="182">
        <v>0</v>
      </c>
      <c r="CI107" s="182">
        <v>0</v>
      </c>
      <c r="CJ107" s="182">
        <v>0</v>
      </c>
      <c r="CK107" s="182">
        <v>0</v>
      </c>
      <c r="CL107" s="182">
        <v>0</v>
      </c>
      <c r="CM107" s="182">
        <v>0</v>
      </c>
      <c r="CN107" s="182">
        <v>0</v>
      </c>
      <c r="CO107" s="182">
        <v>0</v>
      </c>
      <c r="CP107" s="182">
        <v>0</v>
      </c>
      <c r="CQ107" s="182">
        <v>0</v>
      </c>
      <c r="CR107" s="182">
        <v>0</v>
      </c>
      <c r="CS107" s="176">
        <v>0</v>
      </c>
      <c r="CT107" s="176">
        <f>k.w2MS.w3MS</f>
        <v>2.4911889921172661E-7</v>
      </c>
      <c r="CU107" s="176">
        <v>0</v>
      </c>
      <c r="CV107" s="177">
        <v>0</v>
      </c>
      <c r="CW107" s="323">
        <v>0</v>
      </c>
      <c r="CX107" s="181">
        <f>-k.w3MS-SUM(CX$9:CX106,CX108:CX$163)</f>
        <v>-3.1998597788620111E-3</v>
      </c>
      <c r="CY107" s="177">
        <v>0</v>
      </c>
      <c r="CZ107" s="302">
        <v>0</v>
      </c>
      <c r="DA107" s="176">
        <v>0</v>
      </c>
      <c r="DB107" s="176">
        <f>k.sdMS.w3MS</f>
        <v>9.6420777940804072E-9</v>
      </c>
      <c r="DC107" s="176">
        <v>0</v>
      </c>
      <c r="DD107" s="176">
        <v>0</v>
      </c>
      <c r="DE107" s="182">
        <v>0</v>
      </c>
      <c r="DF107" s="182">
        <v>0</v>
      </c>
      <c r="DG107" s="182">
        <v>0</v>
      </c>
      <c r="DH107" s="182">
        <v>0</v>
      </c>
      <c r="DI107" s="182">
        <v>0</v>
      </c>
      <c r="DJ107" s="182">
        <v>0</v>
      </c>
      <c r="DK107" s="182">
        <v>0</v>
      </c>
      <c r="DL107" s="182">
        <v>0</v>
      </c>
      <c r="DM107" s="182">
        <v>0</v>
      </c>
      <c r="DN107" s="182">
        <v>0</v>
      </c>
      <c r="DO107" s="182">
        <v>0</v>
      </c>
      <c r="DP107" s="182">
        <v>0</v>
      </c>
      <c r="DQ107" s="182">
        <v>0</v>
      </c>
      <c r="DR107" s="182">
        <v>0</v>
      </c>
      <c r="DS107" s="182">
        <v>0</v>
      </c>
      <c r="DT107" s="176">
        <v>0</v>
      </c>
      <c r="DU107" s="176">
        <f>k.w3A.w3M</f>
        <v>1.9607843137254903E-9</v>
      </c>
      <c r="DV107" s="176">
        <v>0</v>
      </c>
      <c r="DW107" s="176">
        <v>0</v>
      </c>
      <c r="DX107" s="182">
        <v>0</v>
      </c>
      <c r="DY107" s="182">
        <v>0</v>
      </c>
      <c r="DZ107" s="182">
        <v>0</v>
      </c>
      <c r="EA107" s="182">
        <v>0</v>
      </c>
      <c r="EB107" s="182">
        <v>0</v>
      </c>
      <c r="EC107" s="182">
        <v>0</v>
      </c>
      <c r="ED107" s="182">
        <v>0</v>
      </c>
      <c r="EE107" s="182">
        <v>0</v>
      </c>
      <c r="EF107" s="182">
        <v>0</v>
      </c>
      <c r="EG107" s="182">
        <v>0</v>
      </c>
      <c r="EH107" s="182">
        <v>0</v>
      </c>
      <c r="EI107" s="182">
        <v>0</v>
      </c>
      <c r="EJ107" s="182">
        <v>0</v>
      </c>
      <c r="EK107" s="182">
        <v>0</v>
      </c>
      <c r="EL107" s="182">
        <v>0</v>
      </c>
      <c r="EM107" s="182">
        <v>0</v>
      </c>
      <c r="EN107" s="182">
        <v>0</v>
      </c>
      <c r="EO107" s="182">
        <v>0</v>
      </c>
      <c r="EP107" s="182">
        <v>0</v>
      </c>
      <c r="EQ107" s="176">
        <v>0</v>
      </c>
      <c r="ER107" s="176">
        <f>k.w3T.w3M</f>
        <v>0</v>
      </c>
      <c r="ES107" s="176">
        <v>0</v>
      </c>
      <c r="ET107" s="176">
        <v>0</v>
      </c>
      <c r="EU107" s="182">
        <v>0</v>
      </c>
      <c r="EV107" s="182">
        <v>0</v>
      </c>
      <c r="EW107" s="182">
        <v>0</v>
      </c>
      <c r="EX107" s="182">
        <v>0</v>
      </c>
      <c r="EY107" s="182">
        <v>0</v>
      </c>
      <c r="EZ107" s="182">
        <v>0</v>
      </c>
      <c r="FA107" s="182">
        <v>0</v>
      </c>
      <c r="FB107" s="183">
        <v>0</v>
      </c>
    </row>
    <row r="108" spans="2:158" ht="12.75" customHeight="1" x14ac:dyDescent="0.3">
      <c r="B108" s="199" t="s">
        <v>3918</v>
      </c>
      <c r="C108" s="340"/>
      <c r="D108" s="182">
        <v>0</v>
      </c>
      <c r="E108" s="182">
        <v>0</v>
      </c>
      <c r="F108" s="182">
        <v>0</v>
      </c>
      <c r="G108" s="182">
        <v>0</v>
      </c>
      <c r="H108" s="182">
        <v>0</v>
      </c>
      <c r="I108" s="182">
        <v>0</v>
      </c>
      <c r="J108" s="182">
        <v>0</v>
      </c>
      <c r="K108" s="182">
        <v>0</v>
      </c>
      <c r="L108" s="182">
        <v>0</v>
      </c>
      <c r="M108" s="182">
        <v>0</v>
      </c>
      <c r="N108" s="182">
        <v>0</v>
      </c>
      <c r="O108" s="182">
        <v>0</v>
      </c>
      <c r="P108" s="182">
        <v>0</v>
      </c>
      <c r="Q108" s="182">
        <v>0</v>
      </c>
      <c r="R108" s="182">
        <v>0</v>
      </c>
      <c r="S108" s="182">
        <v>0</v>
      </c>
      <c r="T108" s="182">
        <v>0</v>
      </c>
      <c r="U108" s="182">
        <v>0</v>
      </c>
      <c r="V108" s="182">
        <v>0</v>
      </c>
      <c r="W108" s="182">
        <v>0</v>
      </c>
      <c r="X108" s="182">
        <v>0</v>
      </c>
      <c r="Y108" s="182">
        <v>0</v>
      </c>
      <c r="Z108" s="182">
        <v>0</v>
      </c>
      <c r="AA108" s="182">
        <v>0</v>
      </c>
      <c r="AB108" s="182">
        <v>0</v>
      </c>
      <c r="AC108" s="182">
        <v>0</v>
      </c>
      <c r="AD108" s="182">
        <v>0</v>
      </c>
      <c r="AE108" s="182">
        <v>0</v>
      </c>
      <c r="AF108" s="182">
        <v>0</v>
      </c>
      <c r="AG108" s="182">
        <v>0</v>
      </c>
      <c r="AH108" s="182">
        <v>0</v>
      </c>
      <c r="AI108" s="182">
        <v>0</v>
      </c>
      <c r="AJ108" s="182">
        <v>0</v>
      </c>
      <c r="AK108" s="182">
        <v>0</v>
      </c>
      <c r="AL108" s="182">
        <v>0</v>
      </c>
      <c r="AM108" s="182">
        <v>0</v>
      </c>
      <c r="AN108" s="182">
        <v>0</v>
      </c>
      <c r="AO108" s="182">
        <v>0</v>
      </c>
      <c r="AP108" s="182">
        <v>0</v>
      </c>
      <c r="AQ108" s="182">
        <v>0</v>
      </c>
      <c r="AR108" s="182">
        <v>0</v>
      </c>
      <c r="AS108" s="182">
        <v>0</v>
      </c>
      <c r="AT108" s="182">
        <v>0</v>
      </c>
      <c r="AU108" s="182">
        <v>0</v>
      </c>
      <c r="AV108" s="182">
        <v>0</v>
      </c>
      <c r="AW108" s="182">
        <v>0</v>
      </c>
      <c r="AX108" s="182">
        <v>0</v>
      </c>
      <c r="AY108" s="182">
        <v>0</v>
      </c>
      <c r="AZ108" s="182">
        <v>0</v>
      </c>
      <c r="BA108" s="182">
        <v>0</v>
      </c>
      <c r="BB108" s="168">
        <v>0</v>
      </c>
      <c r="BC108" s="168">
        <v>0</v>
      </c>
      <c r="BD108" s="168">
        <v>0</v>
      </c>
      <c r="BE108" s="168">
        <v>0</v>
      </c>
      <c r="BF108" s="182">
        <v>0</v>
      </c>
      <c r="BG108" s="182">
        <v>0</v>
      </c>
      <c r="BH108" s="182">
        <v>0</v>
      </c>
      <c r="BI108" s="182">
        <v>0</v>
      </c>
      <c r="BJ108" s="182">
        <v>0</v>
      </c>
      <c r="BK108" s="182">
        <v>0</v>
      </c>
      <c r="BL108" s="182">
        <v>0</v>
      </c>
      <c r="BM108" s="182">
        <v>0</v>
      </c>
      <c r="BN108" s="182">
        <v>0</v>
      </c>
      <c r="BO108" s="182">
        <v>0</v>
      </c>
      <c r="BP108" s="182">
        <v>0</v>
      </c>
      <c r="BQ108" s="182">
        <v>0</v>
      </c>
      <c r="BR108" s="182">
        <v>0</v>
      </c>
      <c r="BS108" s="182">
        <v>0</v>
      </c>
      <c r="BT108" s="182">
        <v>0</v>
      </c>
      <c r="BU108" s="182">
        <v>0</v>
      </c>
      <c r="BV108" s="182">
        <v>0</v>
      </c>
      <c r="BW108" s="182">
        <v>0</v>
      </c>
      <c r="BX108" s="182">
        <v>0</v>
      </c>
      <c r="BY108" s="182">
        <v>0</v>
      </c>
      <c r="BZ108" s="182">
        <v>0</v>
      </c>
      <c r="CA108" s="182">
        <v>0</v>
      </c>
      <c r="CB108" s="182">
        <v>0</v>
      </c>
      <c r="CC108" s="182">
        <v>0</v>
      </c>
      <c r="CD108" s="182">
        <v>0</v>
      </c>
      <c r="CE108" s="182">
        <v>0</v>
      </c>
      <c r="CF108" s="182">
        <v>0</v>
      </c>
      <c r="CG108" s="182">
        <v>0</v>
      </c>
      <c r="CH108" s="182">
        <v>0</v>
      </c>
      <c r="CI108" s="182">
        <v>0</v>
      </c>
      <c r="CJ108" s="182">
        <v>0</v>
      </c>
      <c r="CK108" s="182">
        <v>0</v>
      </c>
      <c r="CL108" s="182">
        <v>0</v>
      </c>
      <c r="CM108" s="182">
        <v>0</v>
      </c>
      <c r="CN108" s="182">
        <v>0</v>
      </c>
      <c r="CO108" s="182">
        <v>0</v>
      </c>
      <c r="CP108" s="182">
        <v>0</v>
      </c>
      <c r="CQ108" s="182">
        <v>0</v>
      </c>
      <c r="CR108" s="182">
        <v>0</v>
      </c>
      <c r="CS108" s="176">
        <v>0</v>
      </c>
      <c r="CT108" s="176">
        <v>0</v>
      </c>
      <c r="CU108" s="176">
        <f>k.w2MA.w3MA</f>
        <v>2.4960278781372614E-7</v>
      </c>
      <c r="CV108" s="176">
        <v>0</v>
      </c>
      <c r="CW108" s="323">
        <v>0</v>
      </c>
      <c r="CX108" s="177">
        <f>k.w3MS.w3MA</f>
        <v>3.1646354088314473E-3</v>
      </c>
      <c r="CY108" s="181">
        <f>-k.w3MA-SUM(CY$9:CY107,CY109:CY$163)</f>
        <v>-9.6092314963711863E-9</v>
      </c>
      <c r="CZ108" s="302">
        <v>0</v>
      </c>
      <c r="DA108" s="177">
        <v>0</v>
      </c>
      <c r="DB108" s="176">
        <v>0</v>
      </c>
      <c r="DC108" s="176">
        <f>k.sdMA.w3MA</f>
        <v>9.6420777940804072E-9</v>
      </c>
      <c r="DD108" s="176">
        <v>0</v>
      </c>
      <c r="DE108" s="182">
        <v>0</v>
      </c>
      <c r="DF108" s="182">
        <v>0</v>
      </c>
      <c r="DG108" s="182">
        <v>0</v>
      </c>
      <c r="DH108" s="182">
        <v>0</v>
      </c>
      <c r="DI108" s="182">
        <v>0</v>
      </c>
      <c r="DJ108" s="182">
        <v>0</v>
      </c>
      <c r="DK108" s="182">
        <v>0</v>
      </c>
      <c r="DL108" s="182">
        <v>0</v>
      </c>
      <c r="DM108" s="182">
        <v>0</v>
      </c>
      <c r="DN108" s="182">
        <v>0</v>
      </c>
      <c r="DO108" s="182">
        <v>0</v>
      </c>
      <c r="DP108" s="182">
        <v>0</v>
      </c>
      <c r="DQ108" s="182">
        <v>0</v>
      </c>
      <c r="DR108" s="182">
        <v>0</v>
      </c>
      <c r="DS108" s="182">
        <v>0</v>
      </c>
      <c r="DT108" s="176">
        <v>0</v>
      </c>
      <c r="DU108" s="176">
        <v>0</v>
      </c>
      <c r="DV108" s="176">
        <f>k.w3A.w3M</f>
        <v>1.9607843137254903E-9</v>
      </c>
      <c r="DW108" s="176">
        <v>0</v>
      </c>
      <c r="DX108" s="182">
        <v>0</v>
      </c>
      <c r="DY108" s="182">
        <v>0</v>
      </c>
      <c r="DZ108" s="182">
        <v>0</v>
      </c>
      <c r="EA108" s="182">
        <v>0</v>
      </c>
      <c r="EB108" s="182">
        <v>0</v>
      </c>
      <c r="EC108" s="182">
        <v>0</v>
      </c>
      <c r="ED108" s="182">
        <v>0</v>
      </c>
      <c r="EE108" s="182">
        <v>0</v>
      </c>
      <c r="EF108" s="182">
        <v>0</v>
      </c>
      <c r="EG108" s="182">
        <v>0</v>
      </c>
      <c r="EH108" s="182">
        <v>0</v>
      </c>
      <c r="EI108" s="182">
        <v>0</v>
      </c>
      <c r="EJ108" s="182">
        <v>0</v>
      </c>
      <c r="EK108" s="182">
        <v>0</v>
      </c>
      <c r="EL108" s="182">
        <v>0</v>
      </c>
      <c r="EM108" s="182">
        <v>0</v>
      </c>
      <c r="EN108" s="182">
        <v>0</v>
      </c>
      <c r="EO108" s="182">
        <v>0</v>
      </c>
      <c r="EP108" s="182">
        <v>0</v>
      </c>
      <c r="EQ108" s="176">
        <v>0</v>
      </c>
      <c r="ER108" s="176">
        <v>0</v>
      </c>
      <c r="ES108" s="176">
        <f>k.w3T.w3M</f>
        <v>0</v>
      </c>
      <c r="ET108" s="176">
        <v>0</v>
      </c>
      <c r="EU108" s="182">
        <v>0</v>
      </c>
      <c r="EV108" s="182">
        <v>0</v>
      </c>
      <c r="EW108" s="182">
        <v>0</v>
      </c>
      <c r="EX108" s="182">
        <v>0</v>
      </c>
      <c r="EY108" s="182">
        <v>0</v>
      </c>
      <c r="EZ108" s="182">
        <v>0</v>
      </c>
      <c r="FA108" s="182">
        <v>0</v>
      </c>
      <c r="FB108" s="183">
        <v>0</v>
      </c>
    </row>
    <row r="109" spans="2:158" ht="12.75" customHeight="1" x14ac:dyDescent="0.3">
      <c r="B109" s="199" t="s">
        <v>3919</v>
      </c>
      <c r="C109" s="340"/>
      <c r="D109" s="182">
        <v>0</v>
      </c>
      <c r="E109" s="182">
        <v>0</v>
      </c>
      <c r="F109" s="182">
        <v>0</v>
      </c>
      <c r="G109" s="182">
        <v>0</v>
      </c>
      <c r="H109" s="182">
        <v>0</v>
      </c>
      <c r="I109" s="182">
        <v>0</v>
      </c>
      <c r="J109" s="182">
        <v>0</v>
      </c>
      <c r="K109" s="182">
        <v>0</v>
      </c>
      <c r="L109" s="182">
        <v>0</v>
      </c>
      <c r="M109" s="182">
        <v>0</v>
      </c>
      <c r="N109" s="182">
        <v>0</v>
      </c>
      <c r="O109" s="182">
        <v>0</v>
      </c>
      <c r="P109" s="182">
        <v>0</v>
      </c>
      <c r="Q109" s="182">
        <v>0</v>
      </c>
      <c r="R109" s="182">
        <v>0</v>
      </c>
      <c r="S109" s="182">
        <v>0</v>
      </c>
      <c r="T109" s="182">
        <v>0</v>
      </c>
      <c r="U109" s="182">
        <v>0</v>
      </c>
      <c r="V109" s="182">
        <v>0</v>
      </c>
      <c r="W109" s="182">
        <v>0</v>
      </c>
      <c r="X109" s="182">
        <v>0</v>
      </c>
      <c r="Y109" s="182">
        <v>0</v>
      </c>
      <c r="Z109" s="182">
        <v>0</v>
      </c>
      <c r="AA109" s="182">
        <v>0</v>
      </c>
      <c r="AB109" s="182">
        <v>0</v>
      </c>
      <c r="AC109" s="182">
        <v>0</v>
      </c>
      <c r="AD109" s="182">
        <v>0</v>
      </c>
      <c r="AE109" s="182">
        <v>0</v>
      </c>
      <c r="AF109" s="182">
        <v>0</v>
      </c>
      <c r="AG109" s="182">
        <v>0</v>
      </c>
      <c r="AH109" s="182">
        <v>0</v>
      </c>
      <c r="AI109" s="182">
        <v>0</v>
      </c>
      <c r="AJ109" s="182">
        <v>0</v>
      </c>
      <c r="AK109" s="182">
        <v>0</v>
      </c>
      <c r="AL109" s="182">
        <v>0</v>
      </c>
      <c r="AM109" s="182">
        <v>0</v>
      </c>
      <c r="AN109" s="182">
        <v>0</v>
      </c>
      <c r="AO109" s="182">
        <v>0</v>
      </c>
      <c r="AP109" s="182">
        <v>0</v>
      </c>
      <c r="AQ109" s="182">
        <v>0</v>
      </c>
      <c r="AR109" s="182">
        <v>0</v>
      </c>
      <c r="AS109" s="182">
        <v>0</v>
      </c>
      <c r="AT109" s="182">
        <v>0</v>
      </c>
      <c r="AU109" s="182">
        <v>0</v>
      </c>
      <c r="AV109" s="182">
        <v>0</v>
      </c>
      <c r="AW109" s="182">
        <v>0</v>
      </c>
      <c r="AX109" s="182">
        <v>0</v>
      </c>
      <c r="AY109" s="182">
        <v>0</v>
      </c>
      <c r="AZ109" s="182">
        <v>0</v>
      </c>
      <c r="BA109" s="182">
        <v>0</v>
      </c>
      <c r="BB109" s="168">
        <v>0</v>
      </c>
      <c r="BC109" s="168">
        <v>0</v>
      </c>
      <c r="BD109" s="168">
        <v>0</v>
      </c>
      <c r="BE109" s="168">
        <v>0</v>
      </c>
      <c r="BF109" s="182">
        <v>0</v>
      </c>
      <c r="BG109" s="182">
        <v>0</v>
      </c>
      <c r="BH109" s="182">
        <v>0</v>
      </c>
      <c r="BI109" s="182">
        <v>0</v>
      </c>
      <c r="BJ109" s="182">
        <v>0</v>
      </c>
      <c r="BK109" s="182">
        <v>0</v>
      </c>
      <c r="BL109" s="182">
        <v>0</v>
      </c>
      <c r="BM109" s="182">
        <v>0</v>
      </c>
      <c r="BN109" s="182">
        <v>0</v>
      </c>
      <c r="BO109" s="182">
        <v>0</v>
      </c>
      <c r="BP109" s="182">
        <v>0</v>
      </c>
      <c r="BQ109" s="182">
        <v>0</v>
      </c>
      <c r="BR109" s="182">
        <v>0</v>
      </c>
      <c r="BS109" s="182">
        <v>0</v>
      </c>
      <c r="BT109" s="182">
        <v>0</v>
      </c>
      <c r="BU109" s="182">
        <v>0</v>
      </c>
      <c r="BV109" s="182">
        <v>0</v>
      </c>
      <c r="BW109" s="182">
        <v>0</v>
      </c>
      <c r="BX109" s="182">
        <v>0</v>
      </c>
      <c r="BY109" s="182">
        <v>0</v>
      </c>
      <c r="BZ109" s="182">
        <v>0</v>
      </c>
      <c r="CA109" s="182">
        <v>0</v>
      </c>
      <c r="CB109" s="182">
        <v>0</v>
      </c>
      <c r="CC109" s="182">
        <v>0</v>
      </c>
      <c r="CD109" s="182">
        <v>0</v>
      </c>
      <c r="CE109" s="182">
        <v>0</v>
      </c>
      <c r="CF109" s="182">
        <v>0</v>
      </c>
      <c r="CG109" s="182">
        <v>0</v>
      </c>
      <c r="CH109" s="182">
        <v>0</v>
      </c>
      <c r="CI109" s="182">
        <v>0</v>
      </c>
      <c r="CJ109" s="182">
        <v>0</v>
      </c>
      <c r="CK109" s="182">
        <v>0</v>
      </c>
      <c r="CL109" s="182">
        <v>0</v>
      </c>
      <c r="CM109" s="182">
        <v>0</v>
      </c>
      <c r="CN109" s="182">
        <v>0</v>
      </c>
      <c r="CO109" s="182">
        <v>0</v>
      </c>
      <c r="CP109" s="182">
        <v>0</v>
      </c>
      <c r="CQ109" s="182">
        <v>0</v>
      </c>
      <c r="CR109" s="182">
        <v>0</v>
      </c>
      <c r="CS109" s="176">
        <v>0</v>
      </c>
      <c r="CT109" s="176">
        <v>0</v>
      </c>
      <c r="CU109" s="176">
        <v>0</v>
      </c>
      <c r="CV109" s="176">
        <f>k.w2MP.w3MP</f>
        <v>5.4321607893995853E-7</v>
      </c>
      <c r="CW109" s="303">
        <v>0</v>
      </c>
      <c r="CX109" s="304">
        <f>k.w3MS.w3MP</f>
        <v>3.5214776928687474E-5</v>
      </c>
      <c r="CY109" s="304">
        <v>0</v>
      </c>
      <c r="CZ109" s="181">
        <f>-k.w3MP-SUM(CZ$9:CZ108,CZ110:CZ$163)</f>
        <v>-1.9396341200578934E-8</v>
      </c>
      <c r="DA109" s="177">
        <v>0</v>
      </c>
      <c r="DB109" s="177">
        <v>0</v>
      </c>
      <c r="DC109" s="176">
        <v>0</v>
      </c>
      <c r="DD109" s="176">
        <f>k.sdMP.w3MP</f>
        <v>9.6420777940804072E-9</v>
      </c>
      <c r="DE109" s="182">
        <v>0</v>
      </c>
      <c r="DF109" s="182">
        <v>0</v>
      </c>
      <c r="DG109" s="182">
        <v>0</v>
      </c>
      <c r="DH109" s="182">
        <v>0</v>
      </c>
      <c r="DI109" s="182">
        <v>0</v>
      </c>
      <c r="DJ109" s="182">
        <v>0</v>
      </c>
      <c r="DK109" s="182">
        <v>0</v>
      </c>
      <c r="DL109" s="182">
        <v>0</v>
      </c>
      <c r="DM109" s="182">
        <v>0</v>
      </c>
      <c r="DN109" s="182">
        <v>0</v>
      </c>
      <c r="DO109" s="182">
        <v>0</v>
      </c>
      <c r="DP109" s="182">
        <v>0</v>
      </c>
      <c r="DQ109" s="182">
        <v>0</v>
      </c>
      <c r="DR109" s="182">
        <v>0</v>
      </c>
      <c r="DS109" s="182">
        <v>0</v>
      </c>
      <c r="DT109" s="176">
        <v>0</v>
      </c>
      <c r="DU109" s="176">
        <v>0</v>
      </c>
      <c r="DV109" s="176">
        <v>0</v>
      </c>
      <c r="DW109" s="176">
        <f>k.w3A.w3M</f>
        <v>1.9607843137254903E-9</v>
      </c>
      <c r="DX109" s="182">
        <v>0</v>
      </c>
      <c r="DY109" s="182">
        <v>0</v>
      </c>
      <c r="DZ109" s="182">
        <v>0</v>
      </c>
      <c r="EA109" s="182">
        <v>0</v>
      </c>
      <c r="EB109" s="182">
        <v>0</v>
      </c>
      <c r="EC109" s="182">
        <v>0</v>
      </c>
      <c r="ED109" s="182">
        <v>0</v>
      </c>
      <c r="EE109" s="182">
        <v>0</v>
      </c>
      <c r="EF109" s="182">
        <v>0</v>
      </c>
      <c r="EG109" s="182">
        <v>0</v>
      </c>
      <c r="EH109" s="182">
        <v>0</v>
      </c>
      <c r="EI109" s="182">
        <v>0</v>
      </c>
      <c r="EJ109" s="182">
        <v>0</v>
      </c>
      <c r="EK109" s="182">
        <v>0</v>
      </c>
      <c r="EL109" s="182">
        <v>0</v>
      </c>
      <c r="EM109" s="182">
        <v>0</v>
      </c>
      <c r="EN109" s="182">
        <v>0</v>
      </c>
      <c r="EO109" s="182">
        <v>0</v>
      </c>
      <c r="EP109" s="182">
        <v>0</v>
      </c>
      <c r="EQ109" s="176">
        <v>0</v>
      </c>
      <c r="ER109" s="176">
        <v>0</v>
      </c>
      <c r="ES109" s="176">
        <v>0</v>
      </c>
      <c r="ET109" s="176">
        <f>k.w3T.w3M</f>
        <v>0</v>
      </c>
      <c r="EU109" s="182">
        <v>0</v>
      </c>
      <c r="EV109" s="182">
        <v>0</v>
      </c>
      <c r="EW109" s="182">
        <v>0</v>
      </c>
      <c r="EX109" s="182">
        <v>0</v>
      </c>
      <c r="EY109" s="182">
        <v>0</v>
      </c>
      <c r="EZ109" s="182">
        <v>0</v>
      </c>
      <c r="FA109" s="182">
        <v>0</v>
      </c>
      <c r="FB109" s="183">
        <v>0</v>
      </c>
    </row>
    <row r="110" spans="2:158" ht="12.75" customHeight="1" x14ac:dyDescent="0.3">
      <c r="B110" s="199" t="s">
        <v>3920</v>
      </c>
      <c r="C110" s="340"/>
      <c r="D110" s="182">
        <v>0</v>
      </c>
      <c r="E110" s="182">
        <v>0</v>
      </c>
      <c r="F110" s="182">
        <v>0</v>
      </c>
      <c r="G110" s="182">
        <v>0</v>
      </c>
      <c r="H110" s="182">
        <v>0</v>
      </c>
      <c r="I110" s="182">
        <v>0</v>
      </c>
      <c r="J110" s="182">
        <v>0</v>
      </c>
      <c r="K110" s="182">
        <v>0</v>
      </c>
      <c r="L110" s="182">
        <v>0</v>
      </c>
      <c r="M110" s="182">
        <v>0</v>
      </c>
      <c r="N110" s="182">
        <v>0</v>
      </c>
      <c r="O110" s="182">
        <v>0</v>
      </c>
      <c r="P110" s="182">
        <v>0</v>
      </c>
      <c r="Q110" s="182">
        <v>0</v>
      </c>
      <c r="R110" s="182">
        <v>0</v>
      </c>
      <c r="S110" s="182">
        <v>0</v>
      </c>
      <c r="T110" s="182">
        <v>0</v>
      </c>
      <c r="U110" s="182">
        <v>0</v>
      </c>
      <c r="V110" s="182">
        <v>0</v>
      </c>
      <c r="W110" s="182">
        <v>0</v>
      </c>
      <c r="X110" s="182">
        <v>0</v>
      </c>
      <c r="Y110" s="182">
        <v>0</v>
      </c>
      <c r="Z110" s="182">
        <v>0</v>
      </c>
      <c r="AA110" s="182">
        <v>0</v>
      </c>
      <c r="AB110" s="182">
        <v>0</v>
      </c>
      <c r="AC110" s="182">
        <v>0</v>
      </c>
      <c r="AD110" s="182">
        <v>0</v>
      </c>
      <c r="AE110" s="182">
        <v>0</v>
      </c>
      <c r="AF110" s="182">
        <v>0</v>
      </c>
      <c r="AG110" s="182">
        <v>0</v>
      </c>
      <c r="AH110" s="182">
        <v>0</v>
      </c>
      <c r="AI110" s="182">
        <v>0</v>
      </c>
      <c r="AJ110" s="182">
        <v>0</v>
      </c>
      <c r="AK110" s="182">
        <v>0</v>
      </c>
      <c r="AL110" s="182">
        <v>0</v>
      </c>
      <c r="AM110" s="182">
        <v>0</v>
      </c>
      <c r="AN110" s="182">
        <v>0</v>
      </c>
      <c r="AO110" s="182">
        <v>0</v>
      </c>
      <c r="AP110" s="182">
        <v>0</v>
      </c>
      <c r="AQ110" s="182">
        <v>0</v>
      </c>
      <c r="AR110" s="182">
        <v>0</v>
      </c>
      <c r="AS110" s="182">
        <v>0</v>
      </c>
      <c r="AT110" s="182">
        <v>0</v>
      </c>
      <c r="AU110" s="182">
        <v>0</v>
      </c>
      <c r="AV110" s="182">
        <v>0</v>
      </c>
      <c r="AW110" s="182">
        <v>0</v>
      </c>
      <c r="AX110" s="182">
        <v>0</v>
      </c>
      <c r="AY110" s="182">
        <v>0</v>
      </c>
      <c r="AZ110" s="182">
        <v>0</v>
      </c>
      <c r="BA110" s="182">
        <v>0</v>
      </c>
      <c r="BB110" s="168">
        <v>0</v>
      </c>
      <c r="BC110" s="168">
        <v>0</v>
      </c>
      <c r="BD110" s="168">
        <v>0</v>
      </c>
      <c r="BE110" s="168">
        <v>0</v>
      </c>
      <c r="BF110" s="182">
        <v>0</v>
      </c>
      <c r="BG110" s="182">
        <v>0</v>
      </c>
      <c r="BH110" s="182">
        <v>0</v>
      </c>
      <c r="BI110" s="182">
        <v>0</v>
      </c>
      <c r="BJ110" s="182">
        <v>0</v>
      </c>
      <c r="BK110" s="182">
        <v>0</v>
      </c>
      <c r="BL110" s="182">
        <v>0</v>
      </c>
      <c r="BM110" s="182">
        <v>0</v>
      </c>
      <c r="BN110" s="182">
        <v>0</v>
      </c>
      <c r="BO110" s="182">
        <v>0</v>
      </c>
      <c r="BP110" s="182">
        <v>0</v>
      </c>
      <c r="BQ110" s="182">
        <v>0</v>
      </c>
      <c r="BR110" s="182">
        <v>0</v>
      </c>
      <c r="BS110" s="182">
        <v>0</v>
      </c>
      <c r="BT110" s="182">
        <v>0</v>
      </c>
      <c r="BU110" s="182">
        <v>0</v>
      </c>
      <c r="BV110" s="182">
        <v>0</v>
      </c>
      <c r="BW110" s="182">
        <v>0</v>
      </c>
      <c r="BX110" s="182">
        <v>0</v>
      </c>
      <c r="BY110" s="182">
        <v>0</v>
      </c>
      <c r="BZ110" s="182">
        <v>0</v>
      </c>
      <c r="CA110" s="182">
        <v>0</v>
      </c>
      <c r="CB110" s="182">
        <v>0</v>
      </c>
      <c r="CC110" s="182">
        <v>0</v>
      </c>
      <c r="CD110" s="182">
        <v>0</v>
      </c>
      <c r="CE110" s="182">
        <v>0</v>
      </c>
      <c r="CF110" s="182">
        <v>0</v>
      </c>
      <c r="CG110" s="182">
        <v>0</v>
      </c>
      <c r="CH110" s="182">
        <v>0</v>
      </c>
      <c r="CI110" s="182">
        <v>0</v>
      </c>
      <c r="CJ110" s="182">
        <v>0</v>
      </c>
      <c r="CK110" s="182">
        <v>0</v>
      </c>
      <c r="CL110" s="182">
        <v>0</v>
      </c>
      <c r="CM110" s="182">
        <v>0</v>
      </c>
      <c r="CN110" s="182">
        <v>0</v>
      </c>
      <c r="CO110" s="182">
        <v>0</v>
      </c>
      <c r="CP110" s="182">
        <v>0</v>
      </c>
      <c r="CQ110" s="182">
        <v>0</v>
      </c>
      <c r="CR110" s="182">
        <v>0</v>
      </c>
      <c r="CS110" s="29">
        <v>0</v>
      </c>
      <c r="CT110" s="29">
        <v>0</v>
      </c>
      <c r="CU110" s="29">
        <v>0</v>
      </c>
      <c r="CV110" s="29">
        <v>0</v>
      </c>
      <c r="CW110" s="182">
        <f>k.w3M.sdM</f>
        <v>1.4992283931314811E-11</v>
      </c>
      <c r="CX110" s="182">
        <v>0</v>
      </c>
      <c r="CY110" s="177">
        <v>0</v>
      </c>
      <c r="CZ110" s="177">
        <v>0</v>
      </c>
      <c r="DA110" s="310">
        <f>-k.sdM-SUM(DA9:DA109,DA111:DA163)</f>
        <v>-6.5064492428923341E-8</v>
      </c>
      <c r="DB110" s="321">
        <f>kdis.sd2S.sd2D</f>
        <v>0</v>
      </c>
      <c r="DC110" s="321">
        <f>kdis.sd2A.sd2D</f>
        <v>0</v>
      </c>
      <c r="DD110" s="321">
        <f>kdis.sd2P.sd2D</f>
        <v>0</v>
      </c>
      <c r="DE110" s="182">
        <v>0</v>
      </c>
      <c r="DF110" s="182">
        <v>0</v>
      </c>
      <c r="DG110" s="182">
        <v>0</v>
      </c>
      <c r="DH110" s="182">
        <v>0</v>
      </c>
      <c r="DI110" s="182">
        <v>0</v>
      </c>
      <c r="DJ110" s="182">
        <v>0</v>
      </c>
      <c r="DK110" s="182">
        <v>0</v>
      </c>
      <c r="DL110" s="182">
        <v>0</v>
      </c>
      <c r="DM110" s="182">
        <v>0</v>
      </c>
      <c r="DN110" s="182">
        <v>0</v>
      </c>
      <c r="DO110" s="182">
        <v>0</v>
      </c>
      <c r="DP110" s="182">
        <v>0</v>
      </c>
      <c r="DQ110" s="182">
        <v>0</v>
      </c>
      <c r="DR110" s="182">
        <v>0</v>
      </c>
      <c r="DS110" s="182">
        <v>0</v>
      </c>
      <c r="DT110" s="182">
        <v>0</v>
      </c>
      <c r="DU110" s="182">
        <v>0</v>
      </c>
      <c r="DV110" s="182">
        <v>0</v>
      </c>
      <c r="DW110" s="182">
        <v>0</v>
      </c>
      <c r="DX110" s="182">
        <v>0</v>
      </c>
      <c r="DY110" s="182">
        <v>0</v>
      </c>
      <c r="DZ110" s="182">
        <v>0</v>
      </c>
      <c r="EA110" s="182">
        <v>0</v>
      </c>
      <c r="EB110" s="182">
        <v>0</v>
      </c>
      <c r="EC110" s="182">
        <v>0</v>
      </c>
      <c r="ED110" s="182">
        <v>0</v>
      </c>
      <c r="EE110" s="182">
        <v>0</v>
      </c>
      <c r="EF110" s="182">
        <v>0</v>
      </c>
      <c r="EG110" s="182">
        <v>0</v>
      </c>
      <c r="EH110" s="182">
        <v>0</v>
      </c>
      <c r="EI110" s="182">
        <v>0</v>
      </c>
      <c r="EJ110" s="182">
        <v>0</v>
      </c>
      <c r="EK110" s="182">
        <v>0</v>
      </c>
      <c r="EL110" s="182">
        <v>0</v>
      </c>
      <c r="EM110" s="182">
        <v>0</v>
      </c>
      <c r="EN110" s="182">
        <v>0</v>
      </c>
      <c r="EO110" s="182">
        <v>0</v>
      </c>
      <c r="EP110" s="182">
        <v>0</v>
      </c>
      <c r="EQ110" s="182">
        <v>0</v>
      </c>
      <c r="ER110" s="182">
        <v>0</v>
      </c>
      <c r="ES110" s="182">
        <v>0</v>
      </c>
      <c r="ET110" s="182">
        <v>0</v>
      </c>
      <c r="EU110" s="182">
        <v>0</v>
      </c>
      <c r="EV110" s="182">
        <v>0</v>
      </c>
      <c r="EW110" s="182">
        <v>0</v>
      </c>
      <c r="EX110" s="182">
        <v>0</v>
      </c>
      <c r="EY110" s="182">
        <v>0</v>
      </c>
      <c r="EZ110" s="182">
        <v>0</v>
      </c>
      <c r="FA110" s="182">
        <v>0</v>
      </c>
      <c r="FB110" s="183">
        <v>0</v>
      </c>
    </row>
    <row r="111" spans="2:158" ht="12.75" customHeight="1" x14ac:dyDescent="0.3">
      <c r="B111" s="199" t="s">
        <v>3921</v>
      </c>
      <c r="C111" s="340"/>
      <c r="D111" s="182">
        <v>0</v>
      </c>
      <c r="E111" s="182">
        <v>0</v>
      </c>
      <c r="F111" s="182">
        <v>0</v>
      </c>
      <c r="G111" s="182">
        <v>0</v>
      </c>
      <c r="H111" s="182">
        <v>0</v>
      </c>
      <c r="I111" s="182">
        <v>0</v>
      </c>
      <c r="J111" s="182">
        <v>0</v>
      </c>
      <c r="K111" s="182">
        <v>0</v>
      </c>
      <c r="L111" s="182">
        <v>0</v>
      </c>
      <c r="M111" s="182">
        <v>0</v>
      </c>
      <c r="N111" s="182">
        <v>0</v>
      </c>
      <c r="O111" s="182">
        <v>0</v>
      </c>
      <c r="P111" s="182">
        <v>0</v>
      </c>
      <c r="Q111" s="182">
        <v>0</v>
      </c>
      <c r="R111" s="182">
        <v>0</v>
      </c>
      <c r="S111" s="182">
        <v>0</v>
      </c>
      <c r="T111" s="182">
        <v>0</v>
      </c>
      <c r="U111" s="182">
        <v>0</v>
      </c>
      <c r="V111" s="182">
        <v>0</v>
      </c>
      <c r="W111" s="182">
        <v>0</v>
      </c>
      <c r="X111" s="182">
        <v>0</v>
      </c>
      <c r="Y111" s="182">
        <v>0</v>
      </c>
      <c r="Z111" s="182">
        <v>0</v>
      </c>
      <c r="AA111" s="182">
        <v>0</v>
      </c>
      <c r="AB111" s="182">
        <v>0</v>
      </c>
      <c r="AC111" s="182">
        <v>0</v>
      </c>
      <c r="AD111" s="182">
        <v>0</v>
      </c>
      <c r="AE111" s="182">
        <v>0</v>
      </c>
      <c r="AF111" s="182">
        <v>0</v>
      </c>
      <c r="AG111" s="182">
        <v>0</v>
      </c>
      <c r="AH111" s="182">
        <v>0</v>
      </c>
      <c r="AI111" s="182">
        <v>0</v>
      </c>
      <c r="AJ111" s="182">
        <v>0</v>
      </c>
      <c r="AK111" s="182">
        <v>0</v>
      </c>
      <c r="AL111" s="182">
        <v>0</v>
      </c>
      <c r="AM111" s="182">
        <v>0</v>
      </c>
      <c r="AN111" s="182">
        <v>0</v>
      </c>
      <c r="AO111" s="182">
        <v>0</v>
      </c>
      <c r="AP111" s="182">
        <v>0</v>
      </c>
      <c r="AQ111" s="182">
        <v>0</v>
      </c>
      <c r="AR111" s="182">
        <v>0</v>
      </c>
      <c r="AS111" s="182">
        <v>0</v>
      </c>
      <c r="AT111" s="182">
        <v>0</v>
      </c>
      <c r="AU111" s="182">
        <v>0</v>
      </c>
      <c r="AV111" s="182">
        <v>0</v>
      </c>
      <c r="AW111" s="182">
        <v>0</v>
      </c>
      <c r="AX111" s="182">
        <v>0</v>
      </c>
      <c r="AY111" s="182">
        <v>0</v>
      </c>
      <c r="AZ111" s="182">
        <v>0</v>
      </c>
      <c r="BA111" s="182">
        <v>0</v>
      </c>
      <c r="BB111" s="168">
        <v>0</v>
      </c>
      <c r="BC111" s="168">
        <v>0</v>
      </c>
      <c r="BD111" s="168">
        <v>0</v>
      </c>
      <c r="BE111" s="168">
        <v>0</v>
      </c>
      <c r="BF111" s="182">
        <v>0</v>
      </c>
      <c r="BG111" s="182">
        <v>0</v>
      </c>
      <c r="BH111" s="182">
        <v>0</v>
      </c>
      <c r="BI111" s="182">
        <v>0</v>
      </c>
      <c r="BJ111" s="182">
        <v>0</v>
      </c>
      <c r="BK111" s="182">
        <v>0</v>
      </c>
      <c r="BL111" s="182">
        <v>0</v>
      </c>
      <c r="BM111" s="182">
        <v>0</v>
      </c>
      <c r="BN111" s="182">
        <v>0</v>
      </c>
      <c r="BO111" s="182">
        <v>0</v>
      </c>
      <c r="BP111" s="182">
        <v>0</v>
      </c>
      <c r="BQ111" s="182">
        <v>0</v>
      </c>
      <c r="BR111" s="182">
        <v>0</v>
      </c>
      <c r="BS111" s="182">
        <v>0</v>
      </c>
      <c r="BT111" s="182">
        <v>0</v>
      </c>
      <c r="BU111" s="182">
        <v>0</v>
      </c>
      <c r="BV111" s="182">
        <v>0</v>
      </c>
      <c r="BW111" s="182">
        <v>0</v>
      </c>
      <c r="BX111" s="182">
        <v>0</v>
      </c>
      <c r="BY111" s="182">
        <v>0</v>
      </c>
      <c r="BZ111" s="182">
        <v>0</v>
      </c>
      <c r="CA111" s="182">
        <v>0</v>
      </c>
      <c r="CB111" s="182">
        <v>0</v>
      </c>
      <c r="CC111" s="182">
        <v>0</v>
      </c>
      <c r="CD111" s="182">
        <v>0</v>
      </c>
      <c r="CE111" s="182">
        <v>0</v>
      </c>
      <c r="CF111" s="182">
        <v>0</v>
      </c>
      <c r="CG111" s="182">
        <v>0</v>
      </c>
      <c r="CH111" s="182">
        <v>0</v>
      </c>
      <c r="CI111" s="182">
        <v>0</v>
      </c>
      <c r="CJ111" s="182">
        <v>0</v>
      </c>
      <c r="CK111" s="182">
        <v>0</v>
      </c>
      <c r="CL111" s="182">
        <v>0</v>
      </c>
      <c r="CM111" s="182">
        <v>0</v>
      </c>
      <c r="CN111" s="182">
        <v>0</v>
      </c>
      <c r="CO111" s="182">
        <v>0</v>
      </c>
      <c r="CP111" s="182">
        <v>0</v>
      </c>
      <c r="CQ111" s="182">
        <v>0</v>
      </c>
      <c r="CR111" s="182">
        <v>0</v>
      </c>
      <c r="CS111" s="29">
        <v>0</v>
      </c>
      <c r="CT111" s="29">
        <v>0</v>
      </c>
      <c r="CU111" s="29">
        <v>0</v>
      </c>
      <c r="CV111" s="29">
        <v>0</v>
      </c>
      <c r="CW111" s="182">
        <v>0</v>
      </c>
      <c r="CX111" s="182">
        <f>k.w3MS.sdMS</f>
        <v>2.3438988689288094E-13</v>
      </c>
      <c r="CY111" s="182">
        <v>0</v>
      </c>
      <c r="CZ111" s="177">
        <v>0</v>
      </c>
      <c r="DA111" s="323">
        <v>0</v>
      </c>
      <c r="DB111" s="181">
        <f>-k.sdMS-SUM(DB$9:DB110,DB112:DB$163)</f>
        <v>-1.4798442836898252E-2</v>
      </c>
      <c r="DC111" s="177">
        <v>0</v>
      </c>
      <c r="DD111" s="302">
        <v>0</v>
      </c>
      <c r="DE111" s="182">
        <v>0</v>
      </c>
      <c r="DF111" s="182">
        <v>0</v>
      </c>
      <c r="DG111" s="182">
        <v>0</v>
      </c>
      <c r="DH111" s="182">
        <v>0</v>
      </c>
      <c r="DI111" s="182">
        <v>0</v>
      </c>
      <c r="DJ111" s="182">
        <v>0</v>
      </c>
      <c r="DK111" s="182">
        <v>0</v>
      </c>
      <c r="DL111" s="182">
        <v>0</v>
      </c>
      <c r="DM111" s="182">
        <v>0</v>
      </c>
      <c r="DN111" s="182">
        <v>0</v>
      </c>
      <c r="DO111" s="182">
        <v>0</v>
      </c>
      <c r="DP111" s="182">
        <v>0</v>
      </c>
      <c r="DQ111" s="182">
        <v>0</v>
      </c>
      <c r="DR111" s="182">
        <v>0</v>
      </c>
      <c r="DS111" s="182">
        <v>0</v>
      </c>
      <c r="DT111" s="182">
        <v>0</v>
      </c>
      <c r="DU111" s="182">
        <v>0</v>
      </c>
      <c r="DV111" s="182">
        <v>0</v>
      </c>
      <c r="DW111" s="182">
        <v>0</v>
      </c>
      <c r="DX111" s="182">
        <v>0</v>
      </c>
      <c r="DY111" s="182">
        <v>0</v>
      </c>
      <c r="DZ111" s="182">
        <v>0</v>
      </c>
      <c r="EA111" s="182">
        <v>0</v>
      </c>
      <c r="EB111" s="182">
        <v>0</v>
      </c>
      <c r="EC111" s="182">
        <v>0</v>
      </c>
      <c r="ED111" s="182">
        <v>0</v>
      </c>
      <c r="EE111" s="182">
        <v>0</v>
      </c>
      <c r="EF111" s="182">
        <v>0</v>
      </c>
      <c r="EG111" s="182">
        <v>0</v>
      </c>
      <c r="EH111" s="182">
        <v>0</v>
      </c>
      <c r="EI111" s="182">
        <v>0</v>
      </c>
      <c r="EJ111" s="182">
        <v>0</v>
      </c>
      <c r="EK111" s="182">
        <v>0</v>
      </c>
      <c r="EL111" s="182">
        <v>0</v>
      </c>
      <c r="EM111" s="182">
        <v>0</v>
      </c>
      <c r="EN111" s="182">
        <v>0</v>
      </c>
      <c r="EO111" s="182">
        <v>0</v>
      </c>
      <c r="EP111" s="182">
        <v>0</v>
      </c>
      <c r="EQ111" s="182">
        <v>0</v>
      </c>
      <c r="ER111" s="182">
        <v>0</v>
      </c>
      <c r="ES111" s="182">
        <v>0</v>
      </c>
      <c r="ET111" s="182">
        <v>0</v>
      </c>
      <c r="EU111" s="182">
        <v>0</v>
      </c>
      <c r="EV111" s="182">
        <v>0</v>
      </c>
      <c r="EW111" s="182">
        <v>0</v>
      </c>
      <c r="EX111" s="182">
        <v>0</v>
      </c>
      <c r="EY111" s="182">
        <v>0</v>
      </c>
      <c r="EZ111" s="182">
        <v>0</v>
      </c>
      <c r="FA111" s="182">
        <v>0</v>
      </c>
      <c r="FB111" s="183">
        <v>0</v>
      </c>
    </row>
    <row r="112" spans="2:158" ht="12.75" customHeight="1" x14ac:dyDescent="0.3">
      <c r="B112" s="199" t="s">
        <v>3922</v>
      </c>
      <c r="C112" s="340"/>
      <c r="D112" s="182">
        <v>0</v>
      </c>
      <c r="E112" s="182">
        <v>0</v>
      </c>
      <c r="F112" s="182">
        <v>0</v>
      </c>
      <c r="G112" s="182">
        <v>0</v>
      </c>
      <c r="H112" s="182">
        <v>0</v>
      </c>
      <c r="I112" s="182">
        <v>0</v>
      </c>
      <c r="J112" s="182">
        <v>0</v>
      </c>
      <c r="K112" s="182">
        <v>0</v>
      </c>
      <c r="L112" s="182">
        <v>0</v>
      </c>
      <c r="M112" s="182">
        <v>0</v>
      </c>
      <c r="N112" s="182">
        <v>0</v>
      </c>
      <c r="O112" s="182">
        <v>0</v>
      </c>
      <c r="P112" s="182">
        <v>0</v>
      </c>
      <c r="Q112" s="182">
        <v>0</v>
      </c>
      <c r="R112" s="182">
        <v>0</v>
      </c>
      <c r="S112" s="182">
        <v>0</v>
      </c>
      <c r="T112" s="182">
        <v>0</v>
      </c>
      <c r="U112" s="182">
        <v>0</v>
      </c>
      <c r="V112" s="182">
        <v>0</v>
      </c>
      <c r="W112" s="182">
        <v>0</v>
      </c>
      <c r="X112" s="182">
        <v>0</v>
      </c>
      <c r="Y112" s="182">
        <v>0</v>
      </c>
      <c r="Z112" s="182">
        <v>0</v>
      </c>
      <c r="AA112" s="182">
        <v>0</v>
      </c>
      <c r="AB112" s="182">
        <v>0</v>
      </c>
      <c r="AC112" s="182">
        <v>0</v>
      </c>
      <c r="AD112" s="182">
        <v>0</v>
      </c>
      <c r="AE112" s="182">
        <v>0</v>
      </c>
      <c r="AF112" s="182">
        <v>0</v>
      </c>
      <c r="AG112" s="182">
        <v>0</v>
      </c>
      <c r="AH112" s="182">
        <v>0</v>
      </c>
      <c r="AI112" s="182">
        <v>0</v>
      </c>
      <c r="AJ112" s="182">
        <v>0</v>
      </c>
      <c r="AK112" s="182">
        <v>0</v>
      </c>
      <c r="AL112" s="182">
        <v>0</v>
      </c>
      <c r="AM112" s="182">
        <v>0</v>
      </c>
      <c r="AN112" s="182">
        <v>0</v>
      </c>
      <c r="AO112" s="182">
        <v>0</v>
      </c>
      <c r="AP112" s="182">
        <v>0</v>
      </c>
      <c r="AQ112" s="182">
        <v>0</v>
      </c>
      <c r="AR112" s="182">
        <v>0</v>
      </c>
      <c r="AS112" s="182">
        <v>0</v>
      </c>
      <c r="AT112" s="182">
        <v>0</v>
      </c>
      <c r="AU112" s="182">
        <v>0</v>
      </c>
      <c r="AV112" s="182">
        <v>0</v>
      </c>
      <c r="AW112" s="182">
        <v>0</v>
      </c>
      <c r="AX112" s="182">
        <v>0</v>
      </c>
      <c r="AY112" s="182">
        <v>0</v>
      </c>
      <c r="AZ112" s="182">
        <v>0</v>
      </c>
      <c r="BA112" s="182">
        <v>0</v>
      </c>
      <c r="BB112" s="168">
        <v>0</v>
      </c>
      <c r="BC112" s="168">
        <v>0</v>
      </c>
      <c r="BD112" s="168">
        <v>0</v>
      </c>
      <c r="BE112" s="168">
        <v>0</v>
      </c>
      <c r="BF112" s="182">
        <v>0</v>
      </c>
      <c r="BG112" s="182">
        <v>0</v>
      </c>
      <c r="BH112" s="182">
        <v>0</v>
      </c>
      <c r="BI112" s="182">
        <v>0</v>
      </c>
      <c r="BJ112" s="182">
        <v>0</v>
      </c>
      <c r="BK112" s="182">
        <v>0</v>
      </c>
      <c r="BL112" s="182">
        <v>0</v>
      </c>
      <c r="BM112" s="182">
        <v>0</v>
      </c>
      <c r="BN112" s="182">
        <v>0</v>
      </c>
      <c r="BO112" s="182">
        <v>0</v>
      </c>
      <c r="BP112" s="182">
        <v>0</v>
      </c>
      <c r="BQ112" s="182">
        <v>0</v>
      </c>
      <c r="BR112" s="182">
        <v>0</v>
      </c>
      <c r="BS112" s="182">
        <v>0</v>
      </c>
      <c r="BT112" s="182">
        <v>0</v>
      </c>
      <c r="BU112" s="182">
        <v>0</v>
      </c>
      <c r="BV112" s="182">
        <v>0</v>
      </c>
      <c r="BW112" s="182">
        <v>0</v>
      </c>
      <c r="BX112" s="182">
        <v>0</v>
      </c>
      <c r="BY112" s="182">
        <v>0</v>
      </c>
      <c r="BZ112" s="182">
        <v>0</v>
      </c>
      <c r="CA112" s="182">
        <v>0</v>
      </c>
      <c r="CB112" s="182">
        <v>0</v>
      </c>
      <c r="CC112" s="182">
        <v>0</v>
      </c>
      <c r="CD112" s="182">
        <v>0</v>
      </c>
      <c r="CE112" s="182">
        <v>0</v>
      </c>
      <c r="CF112" s="182">
        <v>0</v>
      </c>
      <c r="CG112" s="182">
        <v>0</v>
      </c>
      <c r="CH112" s="182">
        <v>0</v>
      </c>
      <c r="CI112" s="182">
        <v>0</v>
      </c>
      <c r="CJ112" s="182">
        <v>0</v>
      </c>
      <c r="CK112" s="182">
        <v>0</v>
      </c>
      <c r="CL112" s="182">
        <v>0</v>
      </c>
      <c r="CM112" s="182">
        <v>0</v>
      </c>
      <c r="CN112" s="182">
        <v>0</v>
      </c>
      <c r="CO112" s="182">
        <v>0</v>
      </c>
      <c r="CP112" s="182">
        <v>0</v>
      </c>
      <c r="CQ112" s="182">
        <v>0</v>
      </c>
      <c r="CR112" s="182">
        <v>0</v>
      </c>
      <c r="CS112" s="29">
        <v>0</v>
      </c>
      <c r="CT112" s="29">
        <v>0</v>
      </c>
      <c r="CU112" s="29">
        <v>0</v>
      </c>
      <c r="CV112" s="29">
        <v>0</v>
      </c>
      <c r="CW112" s="182">
        <v>0</v>
      </c>
      <c r="CX112" s="182">
        <v>0</v>
      </c>
      <c r="CY112" s="182">
        <f>k.w3MA.sdMA</f>
        <v>1.6364009953543899E-11</v>
      </c>
      <c r="CZ112" s="182">
        <v>0</v>
      </c>
      <c r="DA112" s="323">
        <v>0</v>
      </c>
      <c r="DB112" s="177">
        <f>k.sdMS.sdMA</f>
        <v>3.1607723057386805E-3</v>
      </c>
      <c r="DC112" s="181">
        <f>-k.sdMA-SUM(DC$9:DC111,DC113:DC$163)</f>
        <v>-9.6450617283950635E-9</v>
      </c>
      <c r="DD112" s="302">
        <v>0</v>
      </c>
      <c r="DE112" s="177">
        <v>0</v>
      </c>
      <c r="DF112" s="182">
        <v>0</v>
      </c>
      <c r="DG112" s="182">
        <v>0</v>
      </c>
      <c r="DH112" s="182">
        <v>0</v>
      </c>
      <c r="DI112" s="182">
        <v>0</v>
      </c>
      <c r="DJ112" s="182">
        <v>0</v>
      </c>
      <c r="DK112" s="182">
        <v>0</v>
      </c>
      <c r="DL112" s="182">
        <v>0</v>
      </c>
      <c r="DM112" s="182">
        <v>0</v>
      </c>
      <c r="DN112" s="182">
        <v>0</v>
      </c>
      <c r="DO112" s="182">
        <v>0</v>
      </c>
      <c r="DP112" s="182">
        <v>0</v>
      </c>
      <c r="DQ112" s="182">
        <v>0</v>
      </c>
      <c r="DR112" s="182">
        <v>0</v>
      </c>
      <c r="DS112" s="182">
        <v>0</v>
      </c>
      <c r="DT112" s="182">
        <v>0</v>
      </c>
      <c r="DU112" s="182">
        <v>0</v>
      </c>
      <c r="DV112" s="182">
        <v>0</v>
      </c>
      <c r="DW112" s="182">
        <v>0</v>
      </c>
      <c r="DX112" s="182">
        <v>0</v>
      </c>
      <c r="DY112" s="182">
        <v>0</v>
      </c>
      <c r="DZ112" s="182">
        <v>0</v>
      </c>
      <c r="EA112" s="182">
        <v>0</v>
      </c>
      <c r="EB112" s="182">
        <v>0</v>
      </c>
      <c r="EC112" s="182">
        <v>0</v>
      </c>
      <c r="ED112" s="182">
        <v>0</v>
      </c>
      <c r="EE112" s="182">
        <v>0</v>
      </c>
      <c r="EF112" s="182">
        <v>0</v>
      </c>
      <c r="EG112" s="182">
        <v>0</v>
      </c>
      <c r="EH112" s="182">
        <v>0</v>
      </c>
      <c r="EI112" s="182">
        <v>0</v>
      </c>
      <c r="EJ112" s="182">
        <v>0</v>
      </c>
      <c r="EK112" s="182">
        <v>0</v>
      </c>
      <c r="EL112" s="182">
        <v>0</v>
      </c>
      <c r="EM112" s="182">
        <v>0</v>
      </c>
      <c r="EN112" s="182">
        <v>0</v>
      </c>
      <c r="EO112" s="182">
        <v>0</v>
      </c>
      <c r="EP112" s="182">
        <v>0</v>
      </c>
      <c r="EQ112" s="182">
        <v>0</v>
      </c>
      <c r="ER112" s="182">
        <v>0</v>
      </c>
      <c r="ES112" s="182">
        <v>0</v>
      </c>
      <c r="ET112" s="182">
        <v>0</v>
      </c>
      <c r="EU112" s="182">
        <v>0</v>
      </c>
      <c r="EV112" s="182">
        <v>0</v>
      </c>
      <c r="EW112" s="182">
        <v>0</v>
      </c>
      <c r="EX112" s="182">
        <v>0</v>
      </c>
      <c r="EY112" s="182">
        <v>0</v>
      </c>
      <c r="EZ112" s="182">
        <v>0</v>
      </c>
      <c r="FA112" s="182">
        <v>0</v>
      </c>
      <c r="FB112" s="183">
        <v>0</v>
      </c>
    </row>
    <row r="113" spans="2:158" ht="12.75" customHeight="1" x14ac:dyDescent="0.3">
      <c r="B113" s="199" t="s">
        <v>3923</v>
      </c>
      <c r="C113" s="340"/>
      <c r="D113" s="182">
        <v>0</v>
      </c>
      <c r="E113" s="182">
        <v>0</v>
      </c>
      <c r="F113" s="182">
        <v>0</v>
      </c>
      <c r="G113" s="182">
        <v>0</v>
      </c>
      <c r="H113" s="182">
        <v>0</v>
      </c>
      <c r="I113" s="182">
        <v>0</v>
      </c>
      <c r="J113" s="182">
        <v>0</v>
      </c>
      <c r="K113" s="182">
        <v>0</v>
      </c>
      <c r="L113" s="182">
        <v>0</v>
      </c>
      <c r="M113" s="182">
        <v>0</v>
      </c>
      <c r="N113" s="182">
        <v>0</v>
      </c>
      <c r="O113" s="182">
        <v>0</v>
      </c>
      <c r="P113" s="182">
        <v>0</v>
      </c>
      <c r="Q113" s="182">
        <v>0</v>
      </c>
      <c r="R113" s="182">
        <v>0</v>
      </c>
      <c r="S113" s="182">
        <v>0</v>
      </c>
      <c r="T113" s="182">
        <v>0</v>
      </c>
      <c r="U113" s="182">
        <v>0</v>
      </c>
      <c r="V113" s="182">
        <v>0</v>
      </c>
      <c r="W113" s="182">
        <v>0</v>
      </c>
      <c r="X113" s="182">
        <v>0</v>
      </c>
      <c r="Y113" s="182">
        <v>0</v>
      </c>
      <c r="Z113" s="182">
        <v>0</v>
      </c>
      <c r="AA113" s="182">
        <v>0</v>
      </c>
      <c r="AB113" s="182">
        <v>0</v>
      </c>
      <c r="AC113" s="182">
        <v>0</v>
      </c>
      <c r="AD113" s="182">
        <v>0</v>
      </c>
      <c r="AE113" s="182">
        <v>0</v>
      </c>
      <c r="AF113" s="182">
        <v>0</v>
      </c>
      <c r="AG113" s="182">
        <v>0</v>
      </c>
      <c r="AH113" s="182">
        <v>0</v>
      </c>
      <c r="AI113" s="182">
        <v>0</v>
      </c>
      <c r="AJ113" s="182">
        <v>0</v>
      </c>
      <c r="AK113" s="182">
        <v>0</v>
      </c>
      <c r="AL113" s="182">
        <v>0</v>
      </c>
      <c r="AM113" s="182">
        <v>0</v>
      </c>
      <c r="AN113" s="182">
        <v>0</v>
      </c>
      <c r="AO113" s="182">
        <v>0</v>
      </c>
      <c r="AP113" s="182">
        <v>0</v>
      </c>
      <c r="AQ113" s="182">
        <v>0</v>
      </c>
      <c r="AR113" s="182">
        <v>0</v>
      </c>
      <c r="AS113" s="182">
        <v>0</v>
      </c>
      <c r="AT113" s="182">
        <v>0</v>
      </c>
      <c r="AU113" s="182">
        <v>0</v>
      </c>
      <c r="AV113" s="182">
        <v>0</v>
      </c>
      <c r="AW113" s="182">
        <v>0</v>
      </c>
      <c r="AX113" s="182">
        <v>0</v>
      </c>
      <c r="AY113" s="182">
        <v>0</v>
      </c>
      <c r="AZ113" s="182">
        <v>0</v>
      </c>
      <c r="BA113" s="182">
        <v>0</v>
      </c>
      <c r="BB113" s="168">
        <v>0</v>
      </c>
      <c r="BC113" s="168">
        <v>0</v>
      </c>
      <c r="BD113" s="168">
        <v>0</v>
      </c>
      <c r="BE113" s="168">
        <v>0</v>
      </c>
      <c r="BF113" s="182">
        <v>0</v>
      </c>
      <c r="BG113" s="182">
        <v>0</v>
      </c>
      <c r="BH113" s="182">
        <v>0</v>
      </c>
      <c r="BI113" s="182">
        <v>0</v>
      </c>
      <c r="BJ113" s="182">
        <v>0</v>
      </c>
      <c r="BK113" s="182">
        <v>0</v>
      </c>
      <c r="BL113" s="182">
        <v>0</v>
      </c>
      <c r="BM113" s="182">
        <v>0</v>
      </c>
      <c r="BN113" s="182">
        <v>0</v>
      </c>
      <c r="BO113" s="182">
        <v>0</v>
      </c>
      <c r="BP113" s="182">
        <v>0</v>
      </c>
      <c r="BQ113" s="182">
        <v>0</v>
      </c>
      <c r="BR113" s="182">
        <v>0</v>
      </c>
      <c r="BS113" s="182">
        <v>0</v>
      </c>
      <c r="BT113" s="182">
        <v>0</v>
      </c>
      <c r="BU113" s="182">
        <v>0</v>
      </c>
      <c r="BV113" s="182">
        <v>0</v>
      </c>
      <c r="BW113" s="182">
        <v>0</v>
      </c>
      <c r="BX113" s="182">
        <v>0</v>
      </c>
      <c r="BY113" s="182">
        <v>0</v>
      </c>
      <c r="BZ113" s="182">
        <v>0</v>
      </c>
      <c r="CA113" s="182">
        <v>0</v>
      </c>
      <c r="CB113" s="182">
        <v>0</v>
      </c>
      <c r="CC113" s="182">
        <v>0</v>
      </c>
      <c r="CD113" s="182">
        <v>0</v>
      </c>
      <c r="CE113" s="182">
        <v>0</v>
      </c>
      <c r="CF113" s="182">
        <v>0</v>
      </c>
      <c r="CG113" s="182">
        <v>0</v>
      </c>
      <c r="CH113" s="182">
        <v>0</v>
      </c>
      <c r="CI113" s="182">
        <v>0</v>
      </c>
      <c r="CJ113" s="182">
        <v>0</v>
      </c>
      <c r="CK113" s="182">
        <v>0</v>
      </c>
      <c r="CL113" s="182">
        <v>0</v>
      </c>
      <c r="CM113" s="182">
        <v>0</v>
      </c>
      <c r="CN113" s="182">
        <v>0</v>
      </c>
      <c r="CO113" s="182">
        <v>0</v>
      </c>
      <c r="CP113" s="182">
        <v>0</v>
      </c>
      <c r="CQ113" s="182">
        <v>0</v>
      </c>
      <c r="CR113" s="182">
        <v>0</v>
      </c>
      <c r="CS113" s="29">
        <v>0</v>
      </c>
      <c r="CT113" s="29">
        <v>0</v>
      </c>
      <c r="CU113" s="29">
        <v>0</v>
      </c>
      <c r="CV113" s="29">
        <v>0</v>
      </c>
      <c r="CW113" s="182">
        <v>0</v>
      </c>
      <c r="CX113" s="182">
        <v>0</v>
      </c>
      <c r="CY113" s="182">
        <v>0</v>
      </c>
      <c r="CZ113" s="182">
        <f>k.w3MP.sdMP</f>
        <v>9.8034737141612897E-9</v>
      </c>
      <c r="DA113" s="303">
        <v>0</v>
      </c>
      <c r="DB113" s="304">
        <f>k.sdMS.sdMP</f>
        <v>1.1637660886097844E-2</v>
      </c>
      <c r="DC113" s="304">
        <v>0</v>
      </c>
      <c r="DD113" s="181">
        <f>-k.sdMP-SUM(DD$9:DD112,DD114:DD$163)</f>
        <v>-9.6450617283950635E-9</v>
      </c>
      <c r="DE113" s="177">
        <v>0</v>
      </c>
      <c r="DF113" s="177">
        <v>0</v>
      </c>
      <c r="DG113" s="177">
        <v>0</v>
      </c>
      <c r="DH113" s="177">
        <v>0</v>
      </c>
      <c r="DI113" s="182">
        <v>0</v>
      </c>
      <c r="DJ113" s="182">
        <v>0</v>
      </c>
      <c r="DK113" s="182">
        <v>0</v>
      </c>
      <c r="DL113" s="182">
        <v>0</v>
      </c>
      <c r="DM113" s="182">
        <v>0</v>
      </c>
      <c r="DN113" s="182">
        <v>0</v>
      </c>
      <c r="DO113" s="182">
        <v>0</v>
      </c>
      <c r="DP113" s="182">
        <v>0</v>
      </c>
      <c r="DQ113" s="182">
        <v>0</v>
      </c>
      <c r="DR113" s="182">
        <v>0</v>
      </c>
      <c r="DS113" s="182">
        <v>0</v>
      </c>
      <c r="DT113" s="182">
        <v>0</v>
      </c>
      <c r="DU113" s="182">
        <v>0</v>
      </c>
      <c r="DV113" s="182">
        <v>0</v>
      </c>
      <c r="DW113" s="182">
        <v>0</v>
      </c>
      <c r="DX113" s="182">
        <v>0</v>
      </c>
      <c r="DY113" s="182">
        <v>0</v>
      </c>
      <c r="DZ113" s="182">
        <v>0</v>
      </c>
      <c r="EA113" s="182">
        <v>0</v>
      </c>
      <c r="EB113" s="182">
        <v>0</v>
      </c>
      <c r="EC113" s="182">
        <v>0</v>
      </c>
      <c r="ED113" s="182">
        <v>0</v>
      </c>
      <c r="EE113" s="182">
        <v>0</v>
      </c>
      <c r="EF113" s="182">
        <v>0</v>
      </c>
      <c r="EG113" s="182">
        <v>0</v>
      </c>
      <c r="EH113" s="182">
        <v>0</v>
      </c>
      <c r="EI113" s="182">
        <v>0</v>
      </c>
      <c r="EJ113" s="182">
        <v>0</v>
      </c>
      <c r="EK113" s="182">
        <v>0</v>
      </c>
      <c r="EL113" s="182">
        <v>0</v>
      </c>
      <c r="EM113" s="182">
        <v>0</v>
      </c>
      <c r="EN113" s="182">
        <v>0</v>
      </c>
      <c r="EO113" s="182">
        <v>0</v>
      </c>
      <c r="EP113" s="182">
        <v>0</v>
      </c>
      <c r="EQ113" s="182">
        <v>0</v>
      </c>
      <c r="ER113" s="182">
        <v>0</v>
      </c>
      <c r="ES113" s="182">
        <v>0</v>
      </c>
      <c r="ET113" s="182">
        <v>0</v>
      </c>
      <c r="EU113" s="182">
        <v>0</v>
      </c>
      <c r="EV113" s="182">
        <v>0</v>
      </c>
      <c r="EW113" s="182">
        <v>0</v>
      </c>
      <c r="EX113" s="182">
        <v>0</v>
      </c>
      <c r="EY113" s="182">
        <v>0</v>
      </c>
      <c r="EZ113" s="182">
        <v>0</v>
      </c>
      <c r="FA113" s="182">
        <v>0</v>
      </c>
      <c r="FB113" s="183">
        <v>0</v>
      </c>
    </row>
    <row r="114" spans="2:158" ht="12.75" customHeight="1" x14ac:dyDescent="0.3">
      <c r="B114" s="199" t="s">
        <v>3924</v>
      </c>
      <c r="C114" s="340"/>
      <c r="D114" s="182">
        <v>0</v>
      </c>
      <c r="E114" s="182">
        <v>0</v>
      </c>
      <c r="F114" s="182">
        <v>0</v>
      </c>
      <c r="G114" s="182">
        <v>0</v>
      </c>
      <c r="H114" s="182">
        <v>0</v>
      </c>
      <c r="I114" s="182">
        <v>0</v>
      </c>
      <c r="J114" s="182">
        <v>0</v>
      </c>
      <c r="K114" s="182">
        <v>0</v>
      </c>
      <c r="L114" s="182">
        <v>0</v>
      </c>
      <c r="M114" s="182">
        <v>0</v>
      </c>
      <c r="N114" s="182">
        <v>0</v>
      </c>
      <c r="O114" s="182">
        <v>0</v>
      </c>
      <c r="P114" s="182">
        <v>0</v>
      </c>
      <c r="Q114" s="182">
        <v>0</v>
      </c>
      <c r="R114" s="182">
        <v>0</v>
      </c>
      <c r="S114" s="182">
        <v>0</v>
      </c>
      <c r="T114" s="182">
        <v>0</v>
      </c>
      <c r="U114" s="182">
        <v>0</v>
      </c>
      <c r="V114" s="182">
        <v>0</v>
      </c>
      <c r="W114" s="182">
        <v>0</v>
      </c>
      <c r="X114" s="182">
        <v>0</v>
      </c>
      <c r="Y114" s="182">
        <v>0</v>
      </c>
      <c r="Z114" s="182">
        <v>0</v>
      </c>
      <c r="AA114" s="182">
        <v>0</v>
      </c>
      <c r="AB114" s="182">
        <v>0</v>
      </c>
      <c r="AC114" s="182">
        <v>0</v>
      </c>
      <c r="AD114" s="182">
        <v>0</v>
      </c>
      <c r="AE114" s="182">
        <v>0</v>
      </c>
      <c r="AF114" s="182">
        <v>0</v>
      </c>
      <c r="AG114" s="182">
        <v>0</v>
      </c>
      <c r="AH114" s="182">
        <v>0</v>
      </c>
      <c r="AI114" s="182">
        <v>0</v>
      </c>
      <c r="AJ114" s="182">
        <v>0</v>
      </c>
      <c r="AK114" s="182">
        <v>0</v>
      </c>
      <c r="AL114" s="182">
        <v>0</v>
      </c>
      <c r="AM114" s="182">
        <v>0</v>
      </c>
      <c r="AN114" s="182">
        <v>0</v>
      </c>
      <c r="AO114" s="182">
        <v>0</v>
      </c>
      <c r="AP114" s="182">
        <v>0</v>
      </c>
      <c r="AQ114" s="182">
        <v>0</v>
      </c>
      <c r="AR114" s="182">
        <v>0</v>
      </c>
      <c r="AS114" s="182">
        <v>0</v>
      </c>
      <c r="AT114" s="182">
        <v>0</v>
      </c>
      <c r="AU114" s="182">
        <v>0</v>
      </c>
      <c r="AV114" s="182">
        <v>0</v>
      </c>
      <c r="AW114" s="182">
        <v>0</v>
      </c>
      <c r="AX114" s="182">
        <v>0</v>
      </c>
      <c r="AY114" s="182">
        <v>0</v>
      </c>
      <c r="AZ114" s="182">
        <v>0</v>
      </c>
      <c r="BA114" s="182">
        <v>0</v>
      </c>
      <c r="BB114" s="168">
        <v>0</v>
      </c>
      <c r="BC114" s="168">
        <v>0</v>
      </c>
      <c r="BD114" s="168">
        <v>0</v>
      </c>
      <c r="BE114" s="168">
        <v>0</v>
      </c>
      <c r="BF114" s="182">
        <v>0</v>
      </c>
      <c r="BG114" s="182">
        <v>0</v>
      </c>
      <c r="BH114" s="182">
        <v>0</v>
      </c>
      <c r="BI114" s="182">
        <v>0</v>
      </c>
      <c r="BJ114" s="182">
        <v>0</v>
      </c>
      <c r="BK114" s="182">
        <v>0</v>
      </c>
      <c r="BL114" s="182">
        <v>0</v>
      </c>
      <c r="BM114" s="182">
        <v>0</v>
      </c>
      <c r="BN114" s="182">
        <v>0</v>
      </c>
      <c r="BO114" s="182">
        <v>0</v>
      </c>
      <c r="BP114" s="182">
        <v>0</v>
      </c>
      <c r="BQ114" s="182">
        <v>0</v>
      </c>
      <c r="BR114" s="182">
        <v>0</v>
      </c>
      <c r="BS114" s="182">
        <v>0</v>
      </c>
      <c r="BT114" s="182">
        <v>0</v>
      </c>
      <c r="BU114" s="182">
        <v>0</v>
      </c>
      <c r="BV114" s="182">
        <v>0</v>
      </c>
      <c r="BW114" s="182">
        <v>0</v>
      </c>
      <c r="BX114" s="182">
        <v>0</v>
      </c>
      <c r="BY114" s="182">
        <v>0</v>
      </c>
      <c r="BZ114" s="182">
        <v>0</v>
      </c>
      <c r="CA114" s="182">
        <v>0</v>
      </c>
      <c r="CB114" s="182">
        <v>0</v>
      </c>
      <c r="CC114" s="182">
        <v>0</v>
      </c>
      <c r="CD114" s="182">
        <v>0</v>
      </c>
      <c r="CE114" s="182">
        <v>0</v>
      </c>
      <c r="CF114" s="182">
        <v>0</v>
      </c>
      <c r="CG114" s="182">
        <v>0</v>
      </c>
      <c r="CH114" s="182">
        <v>0</v>
      </c>
      <c r="CI114" s="182">
        <v>0</v>
      </c>
      <c r="CJ114" s="182">
        <v>0</v>
      </c>
      <c r="CK114" s="182">
        <v>0</v>
      </c>
      <c r="CL114" s="177">
        <f>k.aM.sM</f>
        <v>6.8652030907144319E-10</v>
      </c>
      <c r="CM114" s="177">
        <v>0</v>
      </c>
      <c r="CN114" s="177">
        <v>0</v>
      </c>
      <c r="CO114" s="177">
        <v>0</v>
      </c>
      <c r="CP114" s="177">
        <v>0</v>
      </c>
      <c r="CQ114" s="177">
        <v>0</v>
      </c>
      <c r="CR114" s="177">
        <v>0</v>
      </c>
      <c r="CS114" s="182">
        <v>0</v>
      </c>
      <c r="CT114" s="182">
        <v>0</v>
      </c>
      <c r="CU114" s="182">
        <v>0</v>
      </c>
      <c r="CV114" s="182">
        <v>0</v>
      </c>
      <c r="CW114" s="182">
        <v>0</v>
      </c>
      <c r="CX114" s="182">
        <v>0</v>
      </c>
      <c r="CY114" s="182">
        <v>0</v>
      </c>
      <c r="CZ114" s="182">
        <v>0</v>
      </c>
      <c r="DA114" s="177">
        <v>0</v>
      </c>
      <c r="DB114" s="182">
        <v>0</v>
      </c>
      <c r="DC114" s="177">
        <v>0</v>
      </c>
      <c r="DD114" s="177">
        <v>0</v>
      </c>
      <c r="DE114" s="310">
        <f>-k.sM-SUM(DE9:DE113,DE115:DE163)</f>
        <v>-1.5989553967171847E-7</v>
      </c>
      <c r="DF114" s="321">
        <f>kdis.s1S.s1D</f>
        <v>0</v>
      </c>
      <c r="DG114" s="321">
        <f>kdis.s1A.s1D</f>
        <v>0</v>
      </c>
      <c r="DH114" s="322">
        <f>kdis.s1P.s1D</f>
        <v>0</v>
      </c>
      <c r="DI114" s="182">
        <v>0</v>
      </c>
      <c r="DJ114" s="182">
        <v>0</v>
      </c>
      <c r="DK114" s="182">
        <v>0</v>
      </c>
      <c r="DL114" s="182">
        <v>0</v>
      </c>
      <c r="DM114" s="182">
        <v>0</v>
      </c>
      <c r="DN114" s="182">
        <v>0</v>
      </c>
      <c r="DO114" s="182">
        <v>0</v>
      </c>
      <c r="DP114" s="182">
        <v>0</v>
      </c>
      <c r="DQ114" s="182">
        <v>0</v>
      </c>
      <c r="DR114" s="182">
        <v>0</v>
      </c>
      <c r="DS114" s="182">
        <v>0</v>
      </c>
      <c r="DT114" s="182">
        <v>0</v>
      </c>
      <c r="DU114" s="182">
        <v>0</v>
      </c>
      <c r="DV114" s="182">
        <v>0</v>
      </c>
      <c r="DW114" s="182">
        <v>0</v>
      </c>
      <c r="DX114" s="182">
        <v>0</v>
      </c>
      <c r="DY114" s="182">
        <v>0</v>
      </c>
      <c r="DZ114" s="182">
        <v>0</v>
      </c>
      <c r="EA114" s="182">
        <v>0</v>
      </c>
      <c r="EB114" s="182">
        <v>0</v>
      </c>
      <c r="EC114" s="182">
        <v>0</v>
      </c>
      <c r="ED114" s="182">
        <v>0</v>
      </c>
      <c r="EE114" s="182">
        <v>0</v>
      </c>
      <c r="EF114" s="182">
        <v>0</v>
      </c>
      <c r="EG114" s="182">
        <v>0</v>
      </c>
      <c r="EH114" s="182">
        <v>0</v>
      </c>
      <c r="EI114" s="182">
        <v>0</v>
      </c>
      <c r="EJ114" s="182">
        <v>0</v>
      </c>
      <c r="EK114" s="182">
        <v>0</v>
      </c>
      <c r="EL114" s="182">
        <v>0</v>
      </c>
      <c r="EM114" s="182">
        <v>0</v>
      </c>
      <c r="EN114" s="182">
        <v>0</v>
      </c>
      <c r="EO114" s="182">
        <v>0</v>
      </c>
      <c r="EP114" s="182">
        <v>0</v>
      </c>
      <c r="EQ114" s="182">
        <v>0</v>
      </c>
      <c r="ER114" s="182">
        <v>0</v>
      </c>
      <c r="ES114" s="182">
        <v>0</v>
      </c>
      <c r="ET114" s="182">
        <v>0</v>
      </c>
      <c r="EU114" s="182">
        <v>0</v>
      </c>
      <c r="EV114" s="182">
        <v>0</v>
      </c>
      <c r="EW114" s="182">
        <v>0</v>
      </c>
      <c r="EX114" s="182">
        <v>0</v>
      </c>
      <c r="EY114" s="182">
        <v>0</v>
      </c>
      <c r="EZ114" s="182">
        <v>0</v>
      </c>
      <c r="FA114" s="182">
        <v>0</v>
      </c>
      <c r="FB114" s="183">
        <v>0</v>
      </c>
    </row>
    <row r="115" spans="2:158" ht="12.75" customHeight="1" x14ac:dyDescent="0.3">
      <c r="B115" s="199" t="s">
        <v>3925</v>
      </c>
      <c r="C115" s="340"/>
      <c r="D115" s="182">
        <v>0</v>
      </c>
      <c r="E115" s="182">
        <v>0</v>
      </c>
      <c r="F115" s="182">
        <v>0</v>
      </c>
      <c r="G115" s="182">
        <v>0</v>
      </c>
      <c r="H115" s="182">
        <v>0</v>
      </c>
      <c r="I115" s="182">
        <v>0</v>
      </c>
      <c r="J115" s="182">
        <v>0</v>
      </c>
      <c r="K115" s="182">
        <v>0</v>
      </c>
      <c r="L115" s="182">
        <v>0</v>
      </c>
      <c r="M115" s="182">
        <v>0</v>
      </c>
      <c r="N115" s="182">
        <v>0</v>
      </c>
      <c r="O115" s="182">
        <v>0</v>
      </c>
      <c r="P115" s="182">
        <v>0</v>
      </c>
      <c r="Q115" s="182">
        <v>0</v>
      </c>
      <c r="R115" s="182">
        <v>0</v>
      </c>
      <c r="S115" s="182">
        <v>0</v>
      </c>
      <c r="T115" s="182">
        <v>0</v>
      </c>
      <c r="U115" s="182">
        <v>0</v>
      </c>
      <c r="V115" s="182">
        <v>0</v>
      </c>
      <c r="W115" s="182">
        <v>0</v>
      </c>
      <c r="X115" s="182">
        <v>0</v>
      </c>
      <c r="Y115" s="182">
        <v>0</v>
      </c>
      <c r="Z115" s="182">
        <v>0</v>
      </c>
      <c r="AA115" s="182">
        <v>0</v>
      </c>
      <c r="AB115" s="182">
        <v>0</v>
      </c>
      <c r="AC115" s="182">
        <v>0</v>
      </c>
      <c r="AD115" s="182">
        <v>0</v>
      </c>
      <c r="AE115" s="182">
        <v>0</v>
      </c>
      <c r="AF115" s="182">
        <v>0</v>
      </c>
      <c r="AG115" s="182">
        <v>0</v>
      </c>
      <c r="AH115" s="182">
        <v>0</v>
      </c>
      <c r="AI115" s="182">
        <v>0</v>
      </c>
      <c r="AJ115" s="182">
        <v>0</v>
      </c>
      <c r="AK115" s="182">
        <v>0</v>
      </c>
      <c r="AL115" s="182">
        <v>0</v>
      </c>
      <c r="AM115" s="182">
        <v>0</v>
      </c>
      <c r="AN115" s="182">
        <v>0</v>
      </c>
      <c r="AO115" s="182">
        <v>0</v>
      </c>
      <c r="AP115" s="182">
        <v>0</v>
      </c>
      <c r="AQ115" s="182">
        <v>0</v>
      </c>
      <c r="AR115" s="182">
        <v>0</v>
      </c>
      <c r="AS115" s="182">
        <v>0</v>
      </c>
      <c r="AT115" s="182">
        <v>0</v>
      </c>
      <c r="AU115" s="182">
        <v>0</v>
      </c>
      <c r="AV115" s="182">
        <v>0</v>
      </c>
      <c r="AW115" s="182">
        <v>0</v>
      </c>
      <c r="AX115" s="182">
        <v>0</v>
      </c>
      <c r="AY115" s="182">
        <v>0</v>
      </c>
      <c r="AZ115" s="182">
        <v>0</v>
      </c>
      <c r="BA115" s="182">
        <v>0</v>
      </c>
      <c r="BB115" s="168">
        <v>0</v>
      </c>
      <c r="BC115" s="168">
        <v>0</v>
      </c>
      <c r="BD115" s="168">
        <v>0</v>
      </c>
      <c r="BE115" s="168">
        <v>0</v>
      </c>
      <c r="BF115" s="182">
        <v>0</v>
      </c>
      <c r="BG115" s="182">
        <v>0</v>
      </c>
      <c r="BH115" s="182">
        <v>0</v>
      </c>
      <c r="BI115" s="182">
        <v>0</v>
      </c>
      <c r="BJ115" s="182">
        <v>0</v>
      </c>
      <c r="BK115" s="182">
        <v>0</v>
      </c>
      <c r="BL115" s="182">
        <v>0</v>
      </c>
      <c r="BM115" s="182">
        <v>0</v>
      </c>
      <c r="BN115" s="182">
        <v>0</v>
      </c>
      <c r="BO115" s="182">
        <v>0</v>
      </c>
      <c r="BP115" s="182">
        <v>0</v>
      </c>
      <c r="BQ115" s="182">
        <v>0</v>
      </c>
      <c r="BR115" s="182">
        <v>0</v>
      </c>
      <c r="BS115" s="182">
        <v>0</v>
      </c>
      <c r="BT115" s="182">
        <v>0</v>
      </c>
      <c r="BU115" s="182">
        <v>0</v>
      </c>
      <c r="BV115" s="182">
        <v>0</v>
      </c>
      <c r="BW115" s="182">
        <v>0</v>
      </c>
      <c r="BX115" s="182">
        <v>0</v>
      </c>
      <c r="BY115" s="182">
        <v>0</v>
      </c>
      <c r="BZ115" s="182">
        <v>0</v>
      </c>
      <c r="CA115" s="182">
        <v>0</v>
      </c>
      <c r="CB115" s="182">
        <v>0</v>
      </c>
      <c r="CC115" s="182">
        <v>0</v>
      </c>
      <c r="CD115" s="182">
        <v>0</v>
      </c>
      <c r="CE115" s="182">
        <v>0</v>
      </c>
      <c r="CF115" s="182">
        <v>0</v>
      </c>
      <c r="CG115" s="182">
        <v>0</v>
      </c>
      <c r="CH115" s="182">
        <v>0</v>
      </c>
      <c r="CI115" s="182">
        <v>0</v>
      </c>
      <c r="CJ115" s="182">
        <v>0</v>
      </c>
      <c r="CK115" s="182">
        <v>0</v>
      </c>
      <c r="CL115" s="177">
        <v>0</v>
      </c>
      <c r="CM115" s="177">
        <f>k.aMS.sMS</f>
        <v>7.9164989220246872E-7</v>
      </c>
      <c r="CN115" s="177">
        <v>0</v>
      </c>
      <c r="CO115" s="177">
        <v>0</v>
      </c>
      <c r="CP115" s="177">
        <f>k.cwMS.sMS</f>
        <v>3.699476841282254E-5</v>
      </c>
      <c r="CQ115" s="177">
        <v>0</v>
      </c>
      <c r="CR115" s="177">
        <v>0</v>
      </c>
      <c r="CS115" s="182">
        <v>0</v>
      </c>
      <c r="CT115" s="182">
        <v>0</v>
      </c>
      <c r="CU115" s="182">
        <v>0</v>
      </c>
      <c r="CV115" s="182">
        <v>0</v>
      </c>
      <c r="CW115" s="182">
        <v>0</v>
      </c>
      <c r="CX115" s="182">
        <v>0</v>
      </c>
      <c r="CY115" s="182">
        <v>0</v>
      </c>
      <c r="CZ115" s="182">
        <v>0</v>
      </c>
      <c r="DA115" s="177">
        <v>0</v>
      </c>
      <c r="DB115" s="182">
        <v>0</v>
      </c>
      <c r="DC115" s="182">
        <v>0</v>
      </c>
      <c r="DD115" s="177">
        <v>0</v>
      </c>
      <c r="DE115" s="323">
        <v>0</v>
      </c>
      <c r="DF115" s="181">
        <f>-k.sMS-SUM(DF$9:DF114,DF116:DF$163)</f>
        <v>-2.0693943443037738E-2</v>
      </c>
      <c r="DG115" s="177">
        <v>0</v>
      </c>
      <c r="DH115" s="302">
        <v>0</v>
      </c>
      <c r="DI115" s="182">
        <v>0</v>
      </c>
      <c r="DJ115" s="182">
        <v>0</v>
      </c>
      <c r="DK115" s="182">
        <v>0</v>
      </c>
      <c r="DL115" s="182">
        <v>0</v>
      </c>
      <c r="DM115" s="182">
        <v>0</v>
      </c>
      <c r="DN115" s="182">
        <v>0</v>
      </c>
      <c r="DO115" s="182">
        <v>0</v>
      </c>
      <c r="DP115" s="182">
        <v>0</v>
      </c>
      <c r="DQ115" s="182">
        <v>0</v>
      </c>
      <c r="DR115" s="182">
        <v>0</v>
      </c>
      <c r="DS115" s="182">
        <v>0</v>
      </c>
      <c r="DT115" s="182">
        <v>0</v>
      </c>
      <c r="DU115" s="182">
        <v>0</v>
      </c>
      <c r="DV115" s="182">
        <v>0</v>
      </c>
      <c r="DW115" s="182">
        <v>0</v>
      </c>
      <c r="DX115" s="182">
        <v>0</v>
      </c>
      <c r="DY115" s="182">
        <v>0</v>
      </c>
      <c r="DZ115" s="182">
        <v>0</v>
      </c>
      <c r="EA115" s="182">
        <v>0</v>
      </c>
      <c r="EB115" s="182">
        <v>0</v>
      </c>
      <c r="EC115" s="182">
        <v>0</v>
      </c>
      <c r="ED115" s="182">
        <v>0</v>
      </c>
      <c r="EE115" s="182">
        <v>0</v>
      </c>
      <c r="EF115" s="182">
        <v>0</v>
      </c>
      <c r="EG115" s="182">
        <v>0</v>
      </c>
      <c r="EH115" s="182">
        <v>0</v>
      </c>
      <c r="EI115" s="182">
        <v>0</v>
      </c>
      <c r="EJ115" s="182">
        <v>0</v>
      </c>
      <c r="EK115" s="182">
        <v>0</v>
      </c>
      <c r="EL115" s="182">
        <v>0</v>
      </c>
      <c r="EM115" s="182">
        <v>0</v>
      </c>
      <c r="EN115" s="182">
        <v>0</v>
      </c>
      <c r="EO115" s="182">
        <v>0</v>
      </c>
      <c r="EP115" s="182">
        <v>0</v>
      </c>
      <c r="EQ115" s="182">
        <v>0</v>
      </c>
      <c r="ER115" s="182">
        <v>0</v>
      </c>
      <c r="ES115" s="182">
        <v>0</v>
      </c>
      <c r="ET115" s="182">
        <v>0</v>
      </c>
      <c r="EU115" s="182">
        <v>0</v>
      </c>
      <c r="EV115" s="182">
        <v>0</v>
      </c>
      <c r="EW115" s="182">
        <v>0</v>
      </c>
      <c r="EX115" s="182">
        <v>0</v>
      </c>
      <c r="EY115" s="182">
        <v>0</v>
      </c>
      <c r="EZ115" s="182">
        <v>0</v>
      </c>
      <c r="FA115" s="182">
        <v>0</v>
      </c>
      <c r="FB115" s="183">
        <v>0</v>
      </c>
    </row>
    <row r="116" spans="2:158" ht="12.75" customHeight="1" x14ac:dyDescent="0.3">
      <c r="B116" s="199" t="s">
        <v>3926</v>
      </c>
      <c r="C116" s="340"/>
      <c r="D116" s="182">
        <v>0</v>
      </c>
      <c r="E116" s="182">
        <v>0</v>
      </c>
      <c r="F116" s="182">
        <v>0</v>
      </c>
      <c r="G116" s="182">
        <v>0</v>
      </c>
      <c r="H116" s="182">
        <v>0</v>
      </c>
      <c r="I116" s="182">
        <v>0</v>
      </c>
      <c r="J116" s="182">
        <v>0</v>
      </c>
      <c r="K116" s="182">
        <v>0</v>
      </c>
      <c r="L116" s="182">
        <v>0</v>
      </c>
      <c r="M116" s="182">
        <v>0</v>
      </c>
      <c r="N116" s="182">
        <v>0</v>
      </c>
      <c r="O116" s="182">
        <v>0</v>
      </c>
      <c r="P116" s="182">
        <v>0</v>
      </c>
      <c r="Q116" s="182">
        <v>0</v>
      </c>
      <c r="R116" s="182">
        <v>0</v>
      </c>
      <c r="S116" s="182">
        <v>0</v>
      </c>
      <c r="T116" s="182">
        <v>0</v>
      </c>
      <c r="U116" s="182">
        <v>0</v>
      </c>
      <c r="V116" s="182">
        <v>0</v>
      </c>
      <c r="W116" s="182">
        <v>0</v>
      </c>
      <c r="X116" s="182">
        <v>0</v>
      </c>
      <c r="Y116" s="182">
        <v>0</v>
      </c>
      <c r="Z116" s="182">
        <v>0</v>
      </c>
      <c r="AA116" s="182">
        <v>0</v>
      </c>
      <c r="AB116" s="182">
        <v>0</v>
      </c>
      <c r="AC116" s="182">
        <v>0</v>
      </c>
      <c r="AD116" s="182">
        <v>0</v>
      </c>
      <c r="AE116" s="182">
        <v>0</v>
      </c>
      <c r="AF116" s="182">
        <v>0</v>
      </c>
      <c r="AG116" s="182">
        <v>0</v>
      </c>
      <c r="AH116" s="182">
        <v>0</v>
      </c>
      <c r="AI116" s="182">
        <v>0</v>
      </c>
      <c r="AJ116" s="182">
        <v>0</v>
      </c>
      <c r="AK116" s="182">
        <v>0</v>
      </c>
      <c r="AL116" s="182">
        <v>0</v>
      </c>
      <c r="AM116" s="182">
        <v>0</v>
      </c>
      <c r="AN116" s="182">
        <v>0</v>
      </c>
      <c r="AO116" s="182">
        <v>0</v>
      </c>
      <c r="AP116" s="182">
        <v>0</v>
      </c>
      <c r="AQ116" s="182">
        <v>0</v>
      </c>
      <c r="AR116" s="182">
        <v>0</v>
      </c>
      <c r="AS116" s="182">
        <v>0</v>
      </c>
      <c r="AT116" s="182">
        <v>0</v>
      </c>
      <c r="AU116" s="182">
        <v>0</v>
      </c>
      <c r="AV116" s="182">
        <v>0</v>
      </c>
      <c r="AW116" s="182">
        <v>0</v>
      </c>
      <c r="AX116" s="182">
        <v>0</v>
      </c>
      <c r="AY116" s="182">
        <v>0</v>
      </c>
      <c r="AZ116" s="182">
        <v>0</v>
      </c>
      <c r="BA116" s="182">
        <v>0</v>
      </c>
      <c r="BB116" s="168">
        <v>0</v>
      </c>
      <c r="BC116" s="168">
        <v>0</v>
      </c>
      <c r="BD116" s="168">
        <v>0</v>
      </c>
      <c r="BE116" s="168">
        <v>0</v>
      </c>
      <c r="BF116" s="182">
        <v>0</v>
      </c>
      <c r="BG116" s="182">
        <v>0</v>
      </c>
      <c r="BH116" s="182">
        <v>0</v>
      </c>
      <c r="BI116" s="182">
        <v>0</v>
      </c>
      <c r="BJ116" s="182">
        <v>0</v>
      </c>
      <c r="BK116" s="182">
        <v>0</v>
      </c>
      <c r="BL116" s="182">
        <v>0</v>
      </c>
      <c r="BM116" s="182">
        <v>0</v>
      </c>
      <c r="BN116" s="182">
        <v>0</v>
      </c>
      <c r="BO116" s="182">
        <v>0</v>
      </c>
      <c r="BP116" s="182">
        <v>0</v>
      </c>
      <c r="BQ116" s="182">
        <v>0</v>
      </c>
      <c r="BR116" s="182">
        <v>0</v>
      </c>
      <c r="BS116" s="182">
        <v>0</v>
      </c>
      <c r="BT116" s="182">
        <v>0</v>
      </c>
      <c r="BU116" s="182">
        <v>0</v>
      </c>
      <c r="BV116" s="182">
        <v>0</v>
      </c>
      <c r="BW116" s="182">
        <v>0</v>
      </c>
      <c r="BX116" s="182">
        <v>0</v>
      </c>
      <c r="BY116" s="182">
        <v>0</v>
      </c>
      <c r="BZ116" s="182">
        <v>0</v>
      </c>
      <c r="CA116" s="182">
        <v>0</v>
      </c>
      <c r="CB116" s="182">
        <v>0</v>
      </c>
      <c r="CC116" s="182">
        <v>0</v>
      </c>
      <c r="CD116" s="182">
        <v>0</v>
      </c>
      <c r="CE116" s="182">
        <v>0</v>
      </c>
      <c r="CF116" s="182">
        <v>0</v>
      </c>
      <c r="CG116" s="182">
        <v>0</v>
      </c>
      <c r="CH116" s="182">
        <v>0</v>
      </c>
      <c r="CI116" s="182">
        <v>0</v>
      </c>
      <c r="CJ116" s="182">
        <v>0</v>
      </c>
      <c r="CK116" s="182">
        <v>0</v>
      </c>
      <c r="CL116" s="177">
        <v>0</v>
      </c>
      <c r="CM116" s="177">
        <v>0</v>
      </c>
      <c r="CN116" s="177">
        <f>k.aMA.sMA</f>
        <v>1.4218084065521646E-7</v>
      </c>
      <c r="CO116" s="177">
        <v>0</v>
      </c>
      <c r="CP116" s="177">
        <v>0</v>
      </c>
      <c r="CQ116" s="177">
        <f>k.cwMA.sMA</f>
        <v>3.699476841282254E-5</v>
      </c>
      <c r="CR116" s="177">
        <v>0</v>
      </c>
      <c r="CS116" s="182">
        <v>0</v>
      </c>
      <c r="CT116" s="182">
        <v>0</v>
      </c>
      <c r="CU116" s="182">
        <v>0</v>
      </c>
      <c r="CV116" s="182">
        <v>0</v>
      </c>
      <c r="CW116" s="182">
        <v>0</v>
      </c>
      <c r="CX116" s="182">
        <v>0</v>
      </c>
      <c r="CY116" s="182">
        <v>0</v>
      </c>
      <c r="CZ116" s="182">
        <v>0</v>
      </c>
      <c r="DA116" s="177">
        <v>0</v>
      </c>
      <c r="DB116" s="182">
        <v>0</v>
      </c>
      <c r="DC116" s="182">
        <v>0</v>
      </c>
      <c r="DD116" s="182">
        <v>0</v>
      </c>
      <c r="DE116" s="323">
        <v>0</v>
      </c>
      <c r="DF116" s="177">
        <f>k.sMS.sMA</f>
        <v>1.5803861528693407E-2</v>
      </c>
      <c r="DG116" s="181">
        <f>-k.sMA-SUM(DG$9:DG115,DG117:DG$163)</f>
        <v>-1.4200223351680572E-7</v>
      </c>
      <c r="DH116" s="302">
        <v>0</v>
      </c>
      <c r="DI116" s="177">
        <v>0</v>
      </c>
      <c r="DJ116" s="182">
        <v>0</v>
      </c>
      <c r="DK116" s="182">
        <v>0</v>
      </c>
      <c r="DL116" s="182">
        <v>0</v>
      </c>
      <c r="DM116" s="182">
        <v>0</v>
      </c>
      <c r="DN116" s="182">
        <v>0</v>
      </c>
      <c r="DO116" s="182">
        <v>0</v>
      </c>
      <c r="DP116" s="182">
        <v>0</v>
      </c>
      <c r="DQ116" s="182">
        <v>0</v>
      </c>
      <c r="DR116" s="182">
        <v>0</v>
      </c>
      <c r="DS116" s="182">
        <v>0</v>
      </c>
      <c r="DT116" s="182">
        <v>0</v>
      </c>
      <c r="DU116" s="182">
        <v>0</v>
      </c>
      <c r="DV116" s="182">
        <v>0</v>
      </c>
      <c r="DW116" s="182">
        <v>0</v>
      </c>
      <c r="DX116" s="182">
        <v>0</v>
      </c>
      <c r="DY116" s="182">
        <v>0</v>
      </c>
      <c r="DZ116" s="182">
        <v>0</v>
      </c>
      <c r="EA116" s="182">
        <v>0</v>
      </c>
      <c r="EB116" s="182">
        <v>0</v>
      </c>
      <c r="EC116" s="182">
        <v>0</v>
      </c>
      <c r="ED116" s="182">
        <v>0</v>
      </c>
      <c r="EE116" s="182">
        <v>0</v>
      </c>
      <c r="EF116" s="182">
        <v>0</v>
      </c>
      <c r="EG116" s="182">
        <v>0</v>
      </c>
      <c r="EH116" s="182">
        <v>0</v>
      </c>
      <c r="EI116" s="182">
        <v>0</v>
      </c>
      <c r="EJ116" s="182">
        <v>0</v>
      </c>
      <c r="EK116" s="182">
        <v>0</v>
      </c>
      <c r="EL116" s="182">
        <v>0</v>
      </c>
      <c r="EM116" s="182">
        <v>0</v>
      </c>
      <c r="EN116" s="182">
        <v>0</v>
      </c>
      <c r="EO116" s="182">
        <v>0</v>
      </c>
      <c r="EP116" s="182">
        <v>0</v>
      </c>
      <c r="EQ116" s="182">
        <v>0</v>
      </c>
      <c r="ER116" s="182">
        <v>0</v>
      </c>
      <c r="ES116" s="182">
        <v>0</v>
      </c>
      <c r="ET116" s="182">
        <v>0</v>
      </c>
      <c r="EU116" s="182">
        <v>0</v>
      </c>
      <c r="EV116" s="182">
        <v>0</v>
      </c>
      <c r="EW116" s="182">
        <v>0</v>
      </c>
      <c r="EX116" s="182">
        <v>0</v>
      </c>
      <c r="EY116" s="182">
        <v>0</v>
      </c>
      <c r="EZ116" s="182">
        <v>0</v>
      </c>
      <c r="FA116" s="182">
        <v>0</v>
      </c>
      <c r="FB116" s="183">
        <v>0</v>
      </c>
    </row>
    <row r="117" spans="2:158" ht="12.75" customHeight="1" x14ac:dyDescent="0.3">
      <c r="B117" s="199" t="s">
        <v>3927</v>
      </c>
      <c r="C117" s="340"/>
      <c r="D117" s="182">
        <v>0</v>
      </c>
      <c r="E117" s="182">
        <v>0</v>
      </c>
      <c r="F117" s="182">
        <v>0</v>
      </c>
      <c r="G117" s="182">
        <v>0</v>
      </c>
      <c r="H117" s="182">
        <v>0</v>
      </c>
      <c r="I117" s="182">
        <v>0</v>
      </c>
      <c r="J117" s="182">
        <v>0</v>
      </c>
      <c r="K117" s="182">
        <v>0</v>
      </c>
      <c r="L117" s="182">
        <v>0</v>
      </c>
      <c r="M117" s="182">
        <v>0</v>
      </c>
      <c r="N117" s="182">
        <v>0</v>
      </c>
      <c r="O117" s="182">
        <v>0</v>
      </c>
      <c r="P117" s="182">
        <v>0</v>
      </c>
      <c r="Q117" s="182">
        <v>0</v>
      </c>
      <c r="R117" s="182">
        <v>0</v>
      </c>
      <c r="S117" s="182">
        <v>0</v>
      </c>
      <c r="T117" s="182">
        <v>0</v>
      </c>
      <c r="U117" s="182">
        <v>0</v>
      </c>
      <c r="V117" s="182">
        <v>0</v>
      </c>
      <c r="W117" s="182">
        <v>0</v>
      </c>
      <c r="X117" s="182">
        <v>0</v>
      </c>
      <c r="Y117" s="182">
        <v>0</v>
      </c>
      <c r="Z117" s="182">
        <v>0</v>
      </c>
      <c r="AA117" s="182">
        <v>0</v>
      </c>
      <c r="AB117" s="182">
        <v>0</v>
      </c>
      <c r="AC117" s="182">
        <v>0</v>
      </c>
      <c r="AD117" s="182">
        <v>0</v>
      </c>
      <c r="AE117" s="182">
        <v>0</v>
      </c>
      <c r="AF117" s="182">
        <v>0</v>
      </c>
      <c r="AG117" s="182">
        <v>0</v>
      </c>
      <c r="AH117" s="182">
        <v>0</v>
      </c>
      <c r="AI117" s="182">
        <v>0</v>
      </c>
      <c r="AJ117" s="182">
        <v>0</v>
      </c>
      <c r="AK117" s="182">
        <v>0</v>
      </c>
      <c r="AL117" s="182">
        <v>0</v>
      </c>
      <c r="AM117" s="182">
        <v>0</v>
      </c>
      <c r="AN117" s="182">
        <v>0</v>
      </c>
      <c r="AO117" s="182">
        <v>0</v>
      </c>
      <c r="AP117" s="182">
        <v>0</v>
      </c>
      <c r="AQ117" s="182">
        <v>0</v>
      </c>
      <c r="AR117" s="182">
        <v>0</v>
      </c>
      <c r="AS117" s="182">
        <v>0</v>
      </c>
      <c r="AT117" s="182">
        <v>0</v>
      </c>
      <c r="AU117" s="182">
        <v>0</v>
      </c>
      <c r="AV117" s="182">
        <v>0</v>
      </c>
      <c r="AW117" s="182">
        <v>0</v>
      </c>
      <c r="AX117" s="182">
        <v>0</v>
      </c>
      <c r="AY117" s="182">
        <v>0</v>
      </c>
      <c r="AZ117" s="182">
        <v>0</v>
      </c>
      <c r="BA117" s="182">
        <v>0</v>
      </c>
      <c r="BB117" s="168">
        <v>0</v>
      </c>
      <c r="BC117" s="168">
        <v>0</v>
      </c>
      <c r="BD117" s="168">
        <v>0</v>
      </c>
      <c r="BE117" s="168">
        <v>0</v>
      </c>
      <c r="BF117" s="182">
        <v>0</v>
      </c>
      <c r="BG117" s="182">
        <v>0</v>
      </c>
      <c r="BH117" s="182">
        <v>0</v>
      </c>
      <c r="BI117" s="182">
        <v>0</v>
      </c>
      <c r="BJ117" s="182">
        <v>0</v>
      </c>
      <c r="BK117" s="182">
        <v>0</v>
      </c>
      <c r="BL117" s="182">
        <v>0</v>
      </c>
      <c r="BM117" s="182">
        <v>0</v>
      </c>
      <c r="BN117" s="182">
        <v>0</v>
      </c>
      <c r="BO117" s="182">
        <v>0</v>
      </c>
      <c r="BP117" s="182">
        <v>0</v>
      </c>
      <c r="BQ117" s="182">
        <v>0</v>
      </c>
      <c r="BR117" s="182">
        <v>0</v>
      </c>
      <c r="BS117" s="182">
        <v>0</v>
      </c>
      <c r="BT117" s="182">
        <v>0</v>
      </c>
      <c r="BU117" s="182">
        <v>0</v>
      </c>
      <c r="BV117" s="182">
        <v>0</v>
      </c>
      <c r="BW117" s="182">
        <v>0</v>
      </c>
      <c r="BX117" s="182">
        <v>0</v>
      </c>
      <c r="BY117" s="182">
        <v>0</v>
      </c>
      <c r="BZ117" s="182">
        <v>0</v>
      </c>
      <c r="CA117" s="182">
        <v>0</v>
      </c>
      <c r="CB117" s="182">
        <v>0</v>
      </c>
      <c r="CC117" s="182">
        <v>0</v>
      </c>
      <c r="CD117" s="182">
        <v>0</v>
      </c>
      <c r="CE117" s="182">
        <v>0</v>
      </c>
      <c r="CF117" s="182">
        <v>0</v>
      </c>
      <c r="CG117" s="182">
        <v>0</v>
      </c>
      <c r="CH117" s="182">
        <v>0</v>
      </c>
      <c r="CI117" s="182">
        <v>0</v>
      </c>
      <c r="CJ117" s="182">
        <v>0</v>
      </c>
      <c r="CK117" s="182">
        <v>0</v>
      </c>
      <c r="CL117" s="177">
        <v>0</v>
      </c>
      <c r="CM117" s="177">
        <v>0</v>
      </c>
      <c r="CN117" s="177">
        <v>0</v>
      </c>
      <c r="CO117" s="177">
        <f>k.aMP.sMP</f>
        <v>5.0000015000004499E-7</v>
      </c>
      <c r="CP117" s="177">
        <v>0</v>
      </c>
      <c r="CQ117" s="177">
        <v>0</v>
      </c>
      <c r="CR117" s="177">
        <f>k.cwMP.sMP</f>
        <v>3.699476841282254E-5</v>
      </c>
      <c r="CS117" s="182">
        <v>0</v>
      </c>
      <c r="CT117" s="182">
        <v>0</v>
      </c>
      <c r="CU117" s="182">
        <v>0</v>
      </c>
      <c r="CV117" s="182">
        <v>0</v>
      </c>
      <c r="CW117" s="182">
        <v>0</v>
      </c>
      <c r="CX117" s="182">
        <v>0</v>
      </c>
      <c r="CY117" s="182">
        <v>0</v>
      </c>
      <c r="CZ117" s="182">
        <v>0</v>
      </c>
      <c r="DA117" s="177">
        <v>0</v>
      </c>
      <c r="DB117" s="177">
        <v>0</v>
      </c>
      <c r="DC117" s="177">
        <v>0</v>
      </c>
      <c r="DD117" s="177">
        <v>0</v>
      </c>
      <c r="DE117" s="303">
        <v>0</v>
      </c>
      <c r="DF117" s="304">
        <f>k.sMS.sMP</f>
        <v>4.8899399121108134E-3</v>
      </c>
      <c r="DG117" s="304">
        <v>0</v>
      </c>
      <c r="DH117" s="181">
        <f>-k.sMP-SUM(DH$9:DH116,DH118:DH$163)</f>
        <v>-1.9025875190258751E-11</v>
      </c>
      <c r="DI117" s="177">
        <v>0</v>
      </c>
      <c r="DJ117" s="177">
        <v>0</v>
      </c>
      <c r="DK117" s="182">
        <v>0</v>
      </c>
      <c r="DL117" s="182">
        <v>0</v>
      </c>
      <c r="DM117" s="182">
        <v>0</v>
      </c>
      <c r="DN117" s="182">
        <v>0</v>
      </c>
      <c r="DO117" s="182">
        <v>0</v>
      </c>
      <c r="DP117" s="182">
        <v>0</v>
      </c>
      <c r="DQ117" s="182">
        <v>0</v>
      </c>
      <c r="DR117" s="182">
        <v>0</v>
      </c>
      <c r="DS117" s="182">
        <v>0</v>
      </c>
      <c r="DT117" s="182">
        <v>0</v>
      </c>
      <c r="DU117" s="182">
        <v>0</v>
      </c>
      <c r="DV117" s="182">
        <v>0</v>
      </c>
      <c r="DW117" s="182">
        <v>0</v>
      </c>
      <c r="DX117" s="182">
        <v>0</v>
      </c>
      <c r="DY117" s="182">
        <v>0</v>
      </c>
      <c r="DZ117" s="182">
        <v>0</v>
      </c>
      <c r="EA117" s="182">
        <v>0</v>
      </c>
      <c r="EB117" s="182">
        <v>0</v>
      </c>
      <c r="EC117" s="182">
        <v>0</v>
      </c>
      <c r="ED117" s="182">
        <v>0</v>
      </c>
      <c r="EE117" s="182">
        <v>0</v>
      </c>
      <c r="EF117" s="182">
        <v>0</v>
      </c>
      <c r="EG117" s="182">
        <v>0</v>
      </c>
      <c r="EH117" s="182">
        <v>0</v>
      </c>
      <c r="EI117" s="182">
        <v>0</v>
      </c>
      <c r="EJ117" s="182">
        <v>0</v>
      </c>
      <c r="EK117" s="182">
        <v>0</v>
      </c>
      <c r="EL117" s="182">
        <v>0</v>
      </c>
      <c r="EM117" s="182">
        <v>0</v>
      </c>
      <c r="EN117" s="182">
        <v>0</v>
      </c>
      <c r="EO117" s="182">
        <v>0</v>
      </c>
      <c r="EP117" s="182">
        <v>0</v>
      </c>
      <c r="EQ117" s="182">
        <v>0</v>
      </c>
      <c r="ER117" s="182">
        <v>0</v>
      </c>
      <c r="ES117" s="182">
        <v>0</v>
      </c>
      <c r="ET117" s="182">
        <v>0</v>
      </c>
      <c r="EU117" s="182">
        <v>0</v>
      </c>
      <c r="EV117" s="182">
        <v>0</v>
      </c>
      <c r="EW117" s="182">
        <v>0</v>
      </c>
      <c r="EX117" s="182">
        <v>0</v>
      </c>
      <c r="EY117" s="182">
        <v>0</v>
      </c>
      <c r="EZ117" s="182">
        <v>0</v>
      </c>
      <c r="FA117" s="182">
        <v>0</v>
      </c>
      <c r="FB117" s="183">
        <v>0</v>
      </c>
    </row>
    <row r="118" spans="2:158" ht="12.75" customHeight="1" x14ac:dyDescent="0.3">
      <c r="B118" s="199" t="s">
        <v>3928</v>
      </c>
      <c r="C118" s="340"/>
      <c r="D118" s="182">
        <v>0</v>
      </c>
      <c r="E118" s="182">
        <v>0</v>
      </c>
      <c r="F118" s="182">
        <v>0</v>
      </c>
      <c r="G118" s="182">
        <v>0</v>
      </c>
      <c r="H118" s="182">
        <v>0</v>
      </c>
      <c r="I118" s="182">
        <v>0</v>
      </c>
      <c r="J118" s="182">
        <v>0</v>
      </c>
      <c r="K118" s="182">
        <v>0</v>
      </c>
      <c r="L118" s="182">
        <v>0</v>
      </c>
      <c r="M118" s="182">
        <v>0</v>
      </c>
      <c r="N118" s="182">
        <v>0</v>
      </c>
      <c r="O118" s="182">
        <v>0</v>
      </c>
      <c r="P118" s="182">
        <v>0</v>
      </c>
      <c r="Q118" s="182">
        <v>0</v>
      </c>
      <c r="R118" s="182">
        <v>0</v>
      </c>
      <c r="S118" s="182">
        <v>0</v>
      </c>
      <c r="T118" s="182">
        <v>0</v>
      </c>
      <c r="U118" s="182">
        <v>0</v>
      </c>
      <c r="V118" s="182">
        <v>0</v>
      </c>
      <c r="W118" s="182">
        <v>0</v>
      </c>
      <c r="X118" s="182">
        <v>0</v>
      </c>
      <c r="Y118" s="182">
        <v>0</v>
      </c>
      <c r="Z118" s="182">
        <v>0</v>
      </c>
      <c r="AA118" s="182">
        <v>0</v>
      </c>
      <c r="AB118" s="182">
        <v>0</v>
      </c>
      <c r="AC118" s="182">
        <v>0</v>
      </c>
      <c r="AD118" s="182">
        <v>0</v>
      </c>
      <c r="AE118" s="182">
        <v>0</v>
      </c>
      <c r="AF118" s="182">
        <v>0</v>
      </c>
      <c r="AG118" s="182">
        <v>0</v>
      </c>
      <c r="AH118" s="182">
        <v>0</v>
      </c>
      <c r="AI118" s="182">
        <v>0</v>
      </c>
      <c r="AJ118" s="182">
        <v>0</v>
      </c>
      <c r="AK118" s="182">
        <v>0</v>
      </c>
      <c r="AL118" s="182">
        <v>0</v>
      </c>
      <c r="AM118" s="182">
        <v>0</v>
      </c>
      <c r="AN118" s="182">
        <v>0</v>
      </c>
      <c r="AO118" s="182">
        <v>0</v>
      </c>
      <c r="AP118" s="182">
        <v>0</v>
      </c>
      <c r="AQ118" s="182">
        <v>0</v>
      </c>
      <c r="AR118" s="182">
        <v>0</v>
      </c>
      <c r="AS118" s="182">
        <v>0</v>
      </c>
      <c r="AT118" s="182">
        <v>0</v>
      </c>
      <c r="AU118" s="182">
        <v>0</v>
      </c>
      <c r="AV118" s="182">
        <v>0</v>
      </c>
      <c r="AW118" s="182">
        <v>0</v>
      </c>
      <c r="AX118" s="182">
        <v>0</v>
      </c>
      <c r="AY118" s="182">
        <v>0</v>
      </c>
      <c r="AZ118" s="182">
        <v>0</v>
      </c>
      <c r="BA118" s="182">
        <v>0</v>
      </c>
      <c r="BB118" s="168">
        <v>0</v>
      </c>
      <c r="BC118" s="168">
        <v>0</v>
      </c>
      <c r="BD118" s="168">
        <v>0</v>
      </c>
      <c r="BE118" s="168">
        <v>0</v>
      </c>
      <c r="BF118" s="182">
        <v>0</v>
      </c>
      <c r="BG118" s="182">
        <v>0</v>
      </c>
      <c r="BH118" s="182">
        <v>0</v>
      </c>
      <c r="BI118" s="182">
        <v>0</v>
      </c>
      <c r="BJ118" s="182">
        <v>0</v>
      </c>
      <c r="BK118" s="182">
        <v>0</v>
      </c>
      <c r="BL118" s="182">
        <v>0</v>
      </c>
      <c r="BM118" s="182">
        <v>0</v>
      </c>
      <c r="BN118" s="182">
        <v>0</v>
      </c>
      <c r="BO118" s="182">
        <v>0</v>
      </c>
      <c r="BP118" s="182">
        <v>0</v>
      </c>
      <c r="BQ118" s="182">
        <v>0</v>
      </c>
      <c r="BR118" s="182">
        <v>0</v>
      </c>
      <c r="BS118" s="182">
        <v>0</v>
      </c>
      <c r="BT118" s="182">
        <v>0</v>
      </c>
      <c r="BU118" s="182">
        <v>0</v>
      </c>
      <c r="BV118" s="182">
        <v>0</v>
      </c>
      <c r="BW118" s="182">
        <v>0</v>
      </c>
      <c r="BX118" s="182">
        <v>0</v>
      </c>
      <c r="BY118" s="182">
        <v>0</v>
      </c>
      <c r="BZ118" s="182">
        <v>0</v>
      </c>
      <c r="CA118" s="182">
        <v>0</v>
      </c>
      <c r="CB118" s="182">
        <v>0</v>
      </c>
      <c r="CC118" s="182">
        <v>0</v>
      </c>
      <c r="CD118" s="182">
        <v>0</v>
      </c>
      <c r="CE118" s="182">
        <v>0</v>
      </c>
      <c r="CF118" s="182">
        <v>0</v>
      </c>
      <c r="CG118" s="182">
        <v>0</v>
      </c>
      <c r="CH118" s="182">
        <v>0</v>
      </c>
      <c r="CI118" s="182">
        <v>0</v>
      </c>
      <c r="CJ118" s="182">
        <v>0</v>
      </c>
      <c r="CK118" s="182">
        <v>0</v>
      </c>
      <c r="CL118" s="177">
        <f>k.aM.aA</f>
        <v>3.7932294855432789E-7</v>
      </c>
      <c r="CM118" s="177">
        <v>0</v>
      </c>
      <c r="CN118" s="177">
        <v>0</v>
      </c>
      <c r="CO118" s="177">
        <v>0</v>
      </c>
      <c r="CP118" s="177">
        <v>0</v>
      </c>
      <c r="CQ118" s="177">
        <v>0</v>
      </c>
      <c r="CR118" s="177">
        <v>0</v>
      </c>
      <c r="CS118" s="182">
        <v>0</v>
      </c>
      <c r="CT118" s="182">
        <v>0</v>
      </c>
      <c r="CU118" s="182">
        <v>0</v>
      </c>
      <c r="CV118" s="182">
        <v>0</v>
      </c>
      <c r="CW118" s="182">
        <v>0</v>
      </c>
      <c r="CX118" s="182">
        <v>0</v>
      </c>
      <c r="CY118" s="182">
        <v>0</v>
      </c>
      <c r="CZ118" s="182">
        <v>0</v>
      </c>
      <c r="DA118" s="182">
        <v>0</v>
      </c>
      <c r="DB118" s="182">
        <v>0</v>
      </c>
      <c r="DC118" s="182">
        <v>0</v>
      </c>
      <c r="DD118" s="182">
        <v>0</v>
      </c>
      <c r="DE118" s="182">
        <v>0</v>
      </c>
      <c r="DF118" s="182">
        <v>0</v>
      </c>
      <c r="DG118" s="177">
        <v>0</v>
      </c>
      <c r="DH118" s="177">
        <v>0</v>
      </c>
      <c r="DI118" s="310">
        <f>-k.aA-SUM(DI9:DI117,DI119:DI163)</f>
        <v>-9.8640199103508274E-7</v>
      </c>
      <c r="DJ118" s="321">
        <v>0</v>
      </c>
      <c r="DK118" s="321">
        <v>0</v>
      </c>
      <c r="DL118" s="322">
        <v>0</v>
      </c>
      <c r="DM118" s="177">
        <v>0</v>
      </c>
      <c r="DN118" s="177">
        <v>0</v>
      </c>
      <c r="DO118" s="177">
        <v>0</v>
      </c>
      <c r="DP118" s="177">
        <f>k.w2A.aA</f>
        <v>4.9697298026139259E-8</v>
      </c>
      <c r="DQ118" s="177">
        <v>0</v>
      </c>
      <c r="DR118" s="177">
        <v>0</v>
      </c>
      <c r="DS118" s="177">
        <v>0</v>
      </c>
      <c r="DT118" s="182">
        <v>0</v>
      </c>
      <c r="DU118" s="182">
        <v>0</v>
      </c>
      <c r="DV118" s="182">
        <v>0</v>
      </c>
      <c r="DW118" s="182">
        <v>0</v>
      </c>
      <c r="DX118" s="182">
        <v>0</v>
      </c>
      <c r="DY118" s="182">
        <v>0</v>
      </c>
      <c r="DZ118" s="182">
        <v>0</v>
      </c>
      <c r="EA118" s="182">
        <v>0</v>
      </c>
      <c r="EB118" s="177">
        <f>k.sA.aA</f>
        <v>2.4017280424639986E-8</v>
      </c>
      <c r="EC118" s="177">
        <v>0</v>
      </c>
      <c r="ED118" s="177">
        <v>0</v>
      </c>
      <c r="EE118" s="177">
        <v>0</v>
      </c>
      <c r="EF118" s="182">
        <v>0</v>
      </c>
      <c r="EG118" s="182">
        <v>0</v>
      </c>
      <c r="EH118" s="182">
        <v>0</v>
      </c>
      <c r="EI118" s="182">
        <v>0</v>
      </c>
      <c r="EJ118" s="182">
        <v>0</v>
      </c>
      <c r="EK118" s="182">
        <v>0</v>
      </c>
      <c r="EL118" s="182">
        <v>0</v>
      </c>
      <c r="EM118" s="182">
        <v>0</v>
      </c>
      <c r="EN118" s="182">
        <v>0</v>
      </c>
      <c r="EO118" s="182">
        <v>0</v>
      </c>
      <c r="EP118" s="182">
        <v>0</v>
      </c>
      <c r="EQ118" s="182">
        <v>0</v>
      </c>
      <c r="ER118" s="182">
        <v>0</v>
      </c>
      <c r="ES118" s="182">
        <v>0</v>
      </c>
      <c r="ET118" s="182">
        <v>0</v>
      </c>
      <c r="EU118" s="182">
        <v>0</v>
      </c>
      <c r="EV118" s="182">
        <v>0</v>
      </c>
      <c r="EW118" s="182">
        <v>0</v>
      </c>
      <c r="EX118" s="182">
        <v>0</v>
      </c>
      <c r="EY118" s="182">
        <v>0</v>
      </c>
      <c r="EZ118" s="182">
        <v>0</v>
      </c>
      <c r="FA118" s="182">
        <v>0</v>
      </c>
      <c r="FB118" s="183">
        <v>0</v>
      </c>
    </row>
    <row r="119" spans="2:158" ht="12.75" customHeight="1" x14ac:dyDescent="0.3">
      <c r="B119" s="199" t="s">
        <v>3929</v>
      </c>
      <c r="C119" s="340"/>
      <c r="D119" s="182">
        <v>0</v>
      </c>
      <c r="E119" s="182">
        <v>0</v>
      </c>
      <c r="F119" s="182">
        <v>0</v>
      </c>
      <c r="G119" s="182">
        <v>0</v>
      </c>
      <c r="H119" s="182">
        <v>0</v>
      </c>
      <c r="I119" s="182">
        <v>0</v>
      </c>
      <c r="J119" s="182">
        <v>0</v>
      </c>
      <c r="K119" s="182">
        <v>0</v>
      </c>
      <c r="L119" s="182">
        <v>0</v>
      </c>
      <c r="M119" s="182">
        <v>0</v>
      </c>
      <c r="N119" s="182">
        <v>0</v>
      </c>
      <c r="O119" s="182">
        <v>0</v>
      </c>
      <c r="P119" s="182">
        <v>0</v>
      </c>
      <c r="Q119" s="182">
        <v>0</v>
      </c>
      <c r="R119" s="182">
        <v>0</v>
      </c>
      <c r="S119" s="182">
        <v>0</v>
      </c>
      <c r="T119" s="182">
        <v>0</v>
      </c>
      <c r="U119" s="182">
        <v>0</v>
      </c>
      <c r="V119" s="182">
        <v>0</v>
      </c>
      <c r="W119" s="182">
        <v>0</v>
      </c>
      <c r="X119" s="182">
        <v>0</v>
      </c>
      <c r="Y119" s="182">
        <v>0</v>
      </c>
      <c r="Z119" s="182">
        <v>0</v>
      </c>
      <c r="AA119" s="182">
        <v>0</v>
      </c>
      <c r="AB119" s="182">
        <v>0</v>
      </c>
      <c r="AC119" s="182">
        <v>0</v>
      </c>
      <c r="AD119" s="182">
        <v>0</v>
      </c>
      <c r="AE119" s="182">
        <v>0</v>
      </c>
      <c r="AF119" s="182">
        <v>0</v>
      </c>
      <c r="AG119" s="182">
        <v>0</v>
      </c>
      <c r="AH119" s="182">
        <v>0</v>
      </c>
      <c r="AI119" s="182">
        <v>0</v>
      </c>
      <c r="AJ119" s="182">
        <v>0</v>
      </c>
      <c r="AK119" s="182">
        <v>0</v>
      </c>
      <c r="AL119" s="182">
        <v>0</v>
      </c>
      <c r="AM119" s="182">
        <v>0</v>
      </c>
      <c r="AN119" s="182">
        <v>0</v>
      </c>
      <c r="AO119" s="182">
        <v>0</v>
      </c>
      <c r="AP119" s="182">
        <v>0</v>
      </c>
      <c r="AQ119" s="182">
        <v>0</v>
      </c>
      <c r="AR119" s="182">
        <v>0</v>
      </c>
      <c r="AS119" s="182">
        <v>0</v>
      </c>
      <c r="AT119" s="182">
        <v>0</v>
      </c>
      <c r="AU119" s="182">
        <v>0</v>
      </c>
      <c r="AV119" s="182">
        <v>0</v>
      </c>
      <c r="AW119" s="182">
        <v>0</v>
      </c>
      <c r="AX119" s="182">
        <v>0</v>
      </c>
      <c r="AY119" s="182">
        <v>0</v>
      </c>
      <c r="AZ119" s="182">
        <v>0</v>
      </c>
      <c r="BA119" s="182">
        <v>0</v>
      </c>
      <c r="BB119" s="168">
        <v>0</v>
      </c>
      <c r="BC119" s="168">
        <v>0</v>
      </c>
      <c r="BD119" s="168">
        <v>0</v>
      </c>
      <c r="BE119" s="168">
        <v>0</v>
      </c>
      <c r="BF119" s="182">
        <v>0</v>
      </c>
      <c r="BG119" s="182">
        <v>0</v>
      </c>
      <c r="BH119" s="182">
        <v>0</v>
      </c>
      <c r="BI119" s="182">
        <v>0</v>
      </c>
      <c r="BJ119" s="182">
        <v>0</v>
      </c>
      <c r="BK119" s="182">
        <v>0</v>
      </c>
      <c r="BL119" s="182">
        <v>0</v>
      </c>
      <c r="BM119" s="182">
        <v>0</v>
      </c>
      <c r="BN119" s="182">
        <v>0</v>
      </c>
      <c r="BO119" s="182">
        <v>0</v>
      </c>
      <c r="BP119" s="182">
        <v>0</v>
      </c>
      <c r="BQ119" s="182">
        <v>0</v>
      </c>
      <c r="BR119" s="182">
        <v>0</v>
      </c>
      <c r="BS119" s="182">
        <v>0</v>
      </c>
      <c r="BT119" s="182">
        <v>0</v>
      </c>
      <c r="BU119" s="182">
        <v>0</v>
      </c>
      <c r="BV119" s="182">
        <v>0</v>
      </c>
      <c r="BW119" s="182">
        <v>0</v>
      </c>
      <c r="BX119" s="182">
        <v>0</v>
      </c>
      <c r="BY119" s="182">
        <v>0</v>
      </c>
      <c r="BZ119" s="182">
        <v>0</v>
      </c>
      <c r="CA119" s="182">
        <v>0</v>
      </c>
      <c r="CB119" s="182">
        <v>0</v>
      </c>
      <c r="CC119" s="182">
        <v>0</v>
      </c>
      <c r="CD119" s="182">
        <v>0</v>
      </c>
      <c r="CE119" s="182">
        <v>0</v>
      </c>
      <c r="CF119" s="182">
        <v>0</v>
      </c>
      <c r="CG119" s="182">
        <v>0</v>
      </c>
      <c r="CH119" s="182">
        <v>0</v>
      </c>
      <c r="CI119" s="182">
        <v>0</v>
      </c>
      <c r="CJ119" s="182">
        <v>0</v>
      </c>
      <c r="CK119" s="182">
        <v>0</v>
      </c>
      <c r="CL119" s="177">
        <v>0</v>
      </c>
      <c r="CM119" s="177">
        <f>k.aM.aA</f>
        <v>3.7932294855432789E-7</v>
      </c>
      <c r="CN119" s="177">
        <v>0</v>
      </c>
      <c r="CO119" s="177">
        <v>0</v>
      </c>
      <c r="CP119" s="177">
        <v>0</v>
      </c>
      <c r="CQ119" s="177">
        <v>0</v>
      </c>
      <c r="CR119" s="177">
        <v>0</v>
      </c>
      <c r="CS119" s="182">
        <v>0</v>
      </c>
      <c r="CT119" s="182">
        <v>0</v>
      </c>
      <c r="CU119" s="182">
        <v>0</v>
      </c>
      <c r="CV119" s="182">
        <v>0</v>
      </c>
      <c r="CW119" s="182">
        <v>0</v>
      </c>
      <c r="CX119" s="182">
        <v>0</v>
      </c>
      <c r="CY119" s="182">
        <v>0</v>
      </c>
      <c r="CZ119" s="182">
        <v>0</v>
      </c>
      <c r="DA119" s="182">
        <v>0</v>
      </c>
      <c r="DB119" s="182">
        <v>0</v>
      </c>
      <c r="DC119" s="182">
        <v>0</v>
      </c>
      <c r="DD119" s="182">
        <v>0</v>
      </c>
      <c r="DE119" s="182">
        <v>0</v>
      </c>
      <c r="DF119" s="182">
        <v>0</v>
      </c>
      <c r="DG119" s="182">
        <v>0</v>
      </c>
      <c r="DH119" s="177">
        <v>0</v>
      </c>
      <c r="DI119" s="323">
        <v>0</v>
      </c>
      <c r="DJ119" s="181">
        <f>-k.aAS-SUM(DJ$9:DJ118,DJ120:DJ$163)</f>
        <v>-2.4694101492052353E-5</v>
      </c>
      <c r="DK119" s="177">
        <v>0</v>
      </c>
      <c r="DL119" s="302">
        <v>0</v>
      </c>
      <c r="DM119" s="177">
        <v>0</v>
      </c>
      <c r="DN119" s="177">
        <v>0</v>
      </c>
      <c r="DO119" s="177">
        <v>0</v>
      </c>
      <c r="DP119" s="177">
        <v>0</v>
      </c>
      <c r="DQ119" s="177">
        <v>0</v>
      </c>
      <c r="DR119" s="177">
        <v>0</v>
      </c>
      <c r="DS119" s="177">
        <v>0</v>
      </c>
      <c r="DT119" s="182">
        <v>0</v>
      </c>
      <c r="DU119" s="182">
        <v>0</v>
      </c>
      <c r="DV119" s="182">
        <v>0</v>
      </c>
      <c r="DW119" s="182">
        <v>0</v>
      </c>
      <c r="DX119" s="182">
        <v>0</v>
      </c>
      <c r="DY119" s="182">
        <v>0</v>
      </c>
      <c r="DZ119" s="182">
        <v>0</v>
      </c>
      <c r="EA119" s="182">
        <v>0</v>
      </c>
      <c r="EB119" s="177">
        <v>0</v>
      </c>
      <c r="EC119" s="177">
        <v>0</v>
      </c>
      <c r="ED119" s="177">
        <v>0</v>
      </c>
      <c r="EE119" s="177">
        <v>0</v>
      </c>
      <c r="EF119" s="182">
        <v>0</v>
      </c>
      <c r="EG119" s="182">
        <v>0</v>
      </c>
      <c r="EH119" s="182">
        <v>0</v>
      </c>
      <c r="EI119" s="182">
        <v>0</v>
      </c>
      <c r="EJ119" s="182">
        <v>0</v>
      </c>
      <c r="EK119" s="182">
        <v>0</v>
      </c>
      <c r="EL119" s="182">
        <v>0</v>
      </c>
      <c r="EM119" s="182">
        <v>0</v>
      </c>
      <c r="EN119" s="182">
        <v>0</v>
      </c>
      <c r="EO119" s="182">
        <v>0</v>
      </c>
      <c r="EP119" s="182">
        <v>0</v>
      </c>
      <c r="EQ119" s="182">
        <v>0</v>
      </c>
      <c r="ER119" s="182">
        <v>0</v>
      </c>
      <c r="ES119" s="182">
        <v>0</v>
      </c>
      <c r="ET119" s="182">
        <v>0</v>
      </c>
      <c r="EU119" s="182">
        <v>0</v>
      </c>
      <c r="EV119" s="182">
        <v>0</v>
      </c>
      <c r="EW119" s="182">
        <v>0</v>
      </c>
      <c r="EX119" s="182">
        <v>0</v>
      </c>
      <c r="EY119" s="182">
        <v>0</v>
      </c>
      <c r="EZ119" s="182">
        <v>0</v>
      </c>
      <c r="FA119" s="182">
        <v>0</v>
      </c>
      <c r="FB119" s="183">
        <v>0</v>
      </c>
    </row>
    <row r="120" spans="2:158" ht="12.75" customHeight="1" x14ac:dyDescent="0.3">
      <c r="B120" s="199" t="s">
        <v>3930</v>
      </c>
      <c r="C120" s="340"/>
      <c r="D120" s="182">
        <v>0</v>
      </c>
      <c r="E120" s="182">
        <v>0</v>
      </c>
      <c r="F120" s="182">
        <v>0</v>
      </c>
      <c r="G120" s="182">
        <v>0</v>
      </c>
      <c r="H120" s="182">
        <v>0</v>
      </c>
      <c r="I120" s="182">
        <v>0</v>
      </c>
      <c r="J120" s="182">
        <v>0</v>
      </c>
      <c r="K120" s="182">
        <v>0</v>
      </c>
      <c r="L120" s="182">
        <v>0</v>
      </c>
      <c r="M120" s="182">
        <v>0</v>
      </c>
      <c r="N120" s="182">
        <v>0</v>
      </c>
      <c r="O120" s="182">
        <v>0</v>
      </c>
      <c r="P120" s="182">
        <v>0</v>
      </c>
      <c r="Q120" s="182">
        <v>0</v>
      </c>
      <c r="R120" s="182">
        <v>0</v>
      </c>
      <c r="S120" s="182">
        <v>0</v>
      </c>
      <c r="T120" s="182">
        <v>0</v>
      </c>
      <c r="U120" s="182">
        <v>0</v>
      </c>
      <c r="V120" s="182">
        <v>0</v>
      </c>
      <c r="W120" s="182">
        <v>0</v>
      </c>
      <c r="X120" s="182">
        <v>0</v>
      </c>
      <c r="Y120" s="182">
        <v>0</v>
      </c>
      <c r="Z120" s="182">
        <v>0</v>
      </c>
      <c r="AA120" s="182">
        <v>0</v>
      </c>
      <c r="AB120" s="182">
        <v>0</v>
      </c>
      <c r="AC120" s="182">
        <v>0</v>
      </c>
      <c r="AD120" s="182">
        <v>0</v>
      </c>
      <c r="AE120" s="182">
        <v>0</v>
      </c>
      <c r="AF120" s="182">
        <v>0</v>
      </c>
      <c r="AG120" s="182">
        <v>0</v>
      </c>
      <c r="AH120" s="182">
        <v>0</v>
      </c>
      <c r="AI120" s="182">
        <v>0</v>
      </c>
      <c r="AJ120" s="182">
        <v>0</v>
      </c>
      <c r="AK120" s="182">
        <v>0</v>
      </c>
      <c r="AL120" s="182">
        <v>0</v>
      </c>
      <c r="AM120" s="182">
        <v>0</v>
      </c>
      <c r="AN120" s="182">
        <v>0</v>
      </c>
      <c r="AO120" s="182">
        <v>0</v>
      </c>
      <c r="AP120" s="182">
        <v>0</v>
      </c>
      <c r="AQ120" s="182">
        <v>0</v>
      </c>
      <c r="AR120" s="182">
        <v>0</v>
      </c>
      <c r="AS120" s="182">
        <v>0</v>
      </c>
      <c r="AT120" s="182">
        <v>0</v>
      </c>
      <c r="AU120" s="182">
        <v>0</v>
      </c>
      <c r="AV120" s="182">
        <v>0</v>
      </c>
      <c r="AW120" s="182">
        <v>0</v>
      </c>
      <c r="AX120" s="182">
        <v>0</v>
      </c>
      <c r="AY120" s="182">
        <v>0</v>
      </c>
      <c r="AZ120" s="182">
        <v>0</v>
      </c>
      <c r="BA120" s="182">
        <v>0</v>
      </c>
      <c r="BB120" s="168">
        <v>0</v>
      </c>
      <c r="BC120" s="168">
        <v>0</v>
      </c>
      <c r="BD120" s="168">
        <v>0</v>
      </c>
      <c r="BE120" s="168">
        <v>0</v>
      </c>
      <c r="BF120" s="182">
        <v>0</v>
      </c>
      <c r="BG120" s="182">
        <v>0</v>
      </c>
      <c r="BH120" s="182">
        <v>0</v>
      </c>
      <c r="BI120" s="182">
        <v>0</v>
      </c>
      <c r="BJ120" s="182">
        <v>0</v>
      </c>
      <c r="BK120" s="182">
        <v>0</v>
      </c>
      <c r="BL120" s="182">
        <v>0</v>
      </c>
      <c r="BM120" s="182">
        <v>0</v>
      </c>
      <c r="BN120" s="182">
        <v>0</v>
      </c>
      <c r="BO120" s="182">
        <v>0</v>
      </c>
      <c r="BP120" s="182">
        <v>0</v>
      </c>
      <c r="BQ120" s="182">
        <v>0</v>
      </c>
      <c r="BR120" s="182">
        <v>0</v>
      </c>
      <c r="BS120" s="182">
        <v>0</v>
      </c>
      <c r="BT120" s="182">
        <v>0</v>
      </c>
      <c r="BU120" s="182">
        <v>0</v>
      </c>
      <c r="BV120" s="182">
        <v>0</v>
      </c>
      <c r="BW120" s="182">
        <v>0</v>
      </c>
      <c r="BX120" s="182">
        <v>0</v>
      </c>
      <c r="BY120" s="182">
        <v>0</v>
      </c>
      <c r="BZ120" s="182">
        <v>0</v>
      </c>
      <c r="CA120" s="182">
        <v>0</v>
      </c>
      <c r="CB120" s="182">
        <v>0</v>
      </c>
      <c r="CC120" s="182">
        <v>0</v>
      </c>
      <c r="CD120" s="182">
        <v>0</v>
      </c>
      <c r="CE120" s="182">
        <v>0</v>
      </c>
      <c r="CF120" s="182">
        <v>0</v>
      </c>
      <c r="CG120" s="182">
        <v>0</v>
      </c>
      <c r="CH120" s="182">
        <v>0</v>
      </c>
      <c r="CI120" s="182">
        <v>0</v>
      </c>
      <c r="CJ120" s="182">
        <v>0</v>
      </c>
      <c r="CK120" s="182">
        <v>0</v>
      </c>
      <c r="CL120" s="177">
        <v>0</v>
      </c>
      <c r="CM120" s="177">
        <v>0</v>
      </c>
      <c r="CN120" s="177">
        <f>k.aM.aA</f>
        <v>3.7932294855432789E-7</v>
      </c>
      <c r="CO120" s="177">
        <v>0</v>
      </c>
      <c r="CP120" s="177">
        <v>0</v>
      </c>
      <c r="CQ120" s="177">
        <v>0</v>
      </c>
      <c r="CR120" s="177">
        <v>0</v>
      </c>
      <c r="CS120" s="182">
        <v>0</v>
      </c>
      <c r="CT120" s="182">
        <v>0</v>
      </c>
      <c r="CU120" s="182">
        <v>0</v>
      </c>
      <c r="CV120" s="182">
        <v>0</v>
      </c>
      <c r="CW120" s="182">
        <v>0</v>
      </c>
      <c r="CX120" s="182">
        <v>0</v>
      </c>
      <c r="CY120" s="182">
        <v>0</v>
      </c>
      <c r="CZ120" s="182">
        <v>0</v>
      </c>
      <c r="DA120" s="182">
        <v>0</v>
      </c>
      <c r="DB120" s="182">
        <v>0</v>
      </c>
      <c r="DC120" s="182">
        <v>0</v>
      </c>
      <c r="DD120" s="182">
        <v>0</v>
      </c>
      <c r="DE120" s="182">
        <v>0</v>
      </c>
      <c r="DF120" s="182">
        <v>0</v>
      </c>
      <c r="DG120" s="182">
        <v>0</v>
      </c>
      <c r="DH120" s="182">
        <v>0</v>
      </c>
      <c r="DI120" s="323">
        <v>0</v>
      </c>
      <c r="DJ120" s="177">
        <f>k.aAS.aAA</f>
        <v>2.0613690584752422E-5</v>
      </c>
      <c r="DK120" s="181">
        <f>-k.aAA-SUM(DK$9:DK119,DK121:DK$163)</f>
        <v>-1.8507043887347837E-6</v>
      </c>
      <c r="DL120" s="302">
        <v>0</v>
      </c>
      <c r="DM120" s="177">
        <v>0</v>
      </c>
      <c r="DN120" s="177">
        <v>0</v>
      </c>
      <c r="DO120" s="177">
        <v>0</v>
      </c>
      <c r="DP120" s="177">
        <v>0</v>
      </c>
      <c r="DQ120" s="177">
        <v>0</v>
      </c>
      <c r="DR120" s="177">
        <v>0</v>
      </c>
      <c r="DS120" s="177">
        <v>0</v>
      </c>
      <c r="DT120" s="182">
        <v>0</v>
      </c>
      <c r="DU120" s="182">
        <v>0</v>
      </c>
      <c r="DV120" s="182">
        <v>0</v>
      </c>
      <c r="DW120" s="182">
        <v>0</v>
      </c>
      <c r="DX120" s="182">
        <v>0</v>
      </c>
      <c r="DY120" s="182">
        <v>0</v>
      </c>
      <c r="DZ120" s="182">
        <v>0</v>
      </c>
      <c r="EA120" s="182">
        <v>0</v>
      </c>
      <c r="EB120" s="177">
        <v>0</v>
      </c>
      <c r="EC120" s="177">
        <v>0</v>
      </c>
      <c r="ED120" s="177">
        <v>0</v>
      </c>
      <c r="EE120" s="177">
        <v>0</v>
      </c>
      <c r="EF120" s="182">
        <v>0</v>
      </c>
      <c r="EG120" s="182">
        <v>0</v>
      </c>
      <c r="EH120" s="182">
        <v>0</v>
      </c>
      <c r="EI120" s="182">
        <v>0</v>
      </c>
      <c r="EJ120" s="182">
        <v>0</v>
      </c>
      <c r="EK120" s="182">
        <v>0</v>
      </c>
      <c r="EL120" s="182">
        <v>0</v>
      </c>
      <c r="EM120" s="182">
        <v>0</v>
      </c>
      <c r="EN120" s="182">
        <v>0</v>
      </c>
      <c r="EO120" s="182">
        <v>0</v>
      </c>
      <c r="EP120" s="182">
        <v>0</v>
      </c>
      <c r="EQ120" s="182">
        <v>0</v>
      </c>
      <c r="ER120" s="182">
        <v>0</v>
      </c>
      <c r="ES120" s="182">
        <v>0</v>
      </c>
      <c r="ET120" s="182">
        <v>0</v>
      </c>
      <c r="EU120" s="182">
        <v>0</v>
      </c>
      <c r="EV120" s="182">
        <v>0</v>
      </c>
      <c r="EW120" s="182">
        <v>0</v>
      </c>
      <c r="EX120" s="182">
        <v>0</v>
      </c>
      <c r="EY120" s="182">
        <v>0</v>
      </c>
      <c r="EZ120" s="182">
        <v>0</v>
      </c>
      <c r="FA120" s="182">
        <v>0</v>
      </c>
      <c r="FB120" s="183">
        <v>0</v>
      </c>
    </row>
    <row r="121" spans="2:158" ht="12.75" customHeight="1" x14ac:dyDescent="0.3">
      <c r="B121" s="199" t="s">
        <v>3931</v>
      </c>
      <c r="C121" s="340"/>
      <c r="D121" s="182">
        <v>0</v>
      </c>
      <c r="E121" s="182">
        <v>0</v>
      </c>
      <c r="F121" s="182">
        <v>0</v>
      </c>
      <c r="G121" s="182">
        <v>0</v>
      </c>
      <c r="H121" s="182">
        <v>0</v>
      </c>
      <c r="I121" s="182">
        <v>0</v>
      </c>
      <c r="J121" s="182">
        <v>0</v>
      </c>
      <c r="K121" s="182">
        <v>0</v>
      </c>
      <c r="L121" s="182">
        <v>0</v>
      </c>
      <c r="M121" s="182">
        <v>0</v>
      </c>
      <c r="N121" s="182">
        <v>0</v>
      </c>
      <c r="O121" s="182">
        <v>0</v>
      </c>
      <c r="P121" s="182">
        <v>0</v>
      </c>
      <c r="Q121" s="182">
        <v>0</v>
      </c>
      <c r="R121" s="182">
        <v>0</v>
      </c>
      <c r="S121" s="182">
        <v>0</v>
      </c>
      <c r="T121" s="182">
        <v>0</v>
      </c>
      <c r="U121" s="182">
        <v>0</v>
      </c>
      <c r="V121" s="182">
        <v>0</v>
      </c>
      <c r="W121" s="182">
        <v>0</v>
      </c>
      <c r="X121" s="182">
        <v>0</v>
      </c>
      <c r="Y121" s="182">
        <v>0</v>
      </c>
      <c r="Z121" s="182">
        <v>0</v>
      </c>
      <c r="AA121" s="182">
        <v>0</v>
      </c>
      <c r="AB121" s="182">
        <v>0</v>
      </c>
      <c r="AC121" s="182">
        <v>0</v>
      </c>
      <c r="AD121" s="182">
        <v>0</v>
      </c>
      <c r="AE121" s="182">
        <v>0</v>
      </c>
      <c r="AF121" s="182">
        <v>0</v>
      </c>
      <c r="AG121" s="182">
        <v>0</v>
      </c>
      <c r="AH121" s="182">
        <v>0</v>
      </c>
      <c r="AI121" s="182">
        <v>0</v>
      </c>
      <c r="AJ121" s="182">
        <v>0</v>
      </c>
      <c r="AK121" s="182">
        <v>0</v>
      </c>
      <c r="AL121" s="182">
        <v>0</v>
      </c>
      <c r="AM121" s="182">
        <v>0</v>
      </c>
      <c r="AN121" s="182">
        <v>0</v>
      </c>
      <c r="AO121" s="182">
        <v>0</v>
      </c>
      <c r="AP121" s="182">
        <v>0</v>
      </c>
      <c r="AQ121" s="182">
        <v>0</v>
      </c>
      <c r="AR121" s="182">
        <v>0</v>
      </c>
      <c r="AS121" s="182">
        <v>0</v>
      </c>
      <c r="AT121" s="182">
        <v>0</v>
      </c>
      <c r="AU121" s="182">
        <v>0</v>
      </c>
      <c r="AV121" s="182">
        <v>0</v>
      </c>
      <c r="AW121" s="182">
        <v>0</v>
      </c>
      <c r="AX121" s="182">
        <v>0</v>
      </c>
      <c r="AY121" s="182">
        <v>0</v>
      </c>
      <c r="AZ121" s="182">
        <v>0</v>
      </c>
      <c r="BA121" s="182">
        <v>0</v>
      </c>
      <c r="BB121" s="168">
        <v>0</v>
      </c>
      <c r="BC121" s="168">
        <v>0</v>
      </c>
      <c r="BD121" s="168">
        <v>0</v>
      </c>
      <c r="BE121" s="168">
        <v>0</v>
      </c>
      <c r="BF121" s="182">
        <v>0</v>
      </c>
      <c r="BG121" s="182">
        <v>0</v>
      </c>
      <c r="BH121" s="182">
        <v>0</v>
      </c>
      <c r="BI121" s="182">
        <v>0</v>
      </c>
      <c r="BJ121" s="182">
        <v>0</v>
      </c>
      <c r="BK121" s="182">
        <v>0</v>
      </c>
      <c r="BL121" s="182">
        <v>0</v>
      </c>
      <c r="BM121" s="182">
        <v>0</v>
      </c>
      <c r="BN121" s="182">
        <v>0</v>
      </c>
      <c r="BO121" s="182">
        <v>0</v>
      </c>
      <c r="BP121" s="182">
        <v>0</v>
      </c>
      <c r="BQ121" s="182">
        <v>0</v>
      </c>
      <c r="BR121" s="182">
        <v>0</v>
      </c>
      <c r="BS121" s="182">
        <v>0</v>
      </c>
      <c r="BT121" s="182">
        <v>0</v>
      </c>
      <c r="BU121" s="182">
        <v>0</v>
      </c>
      <c r="BV121" s="182">
        <v>0</v>
      </c>
      <c r="BW121" s="182">
        <v>0</v>
      </c>
      <c r="BX121" s="182">
        <v>0</v>
      </c>
      <c r="BY121" s="182">
        <v>0</v>
      </c>
      <c r="BZ121" s="182">
        <v>0</v>
      </c>
      <c r="CA121" s="182">
        <v>0</v>
      </c>
      <c r="CB121" s="182">
        <v>0</v>
      </c>
      <c r="CC121" s="182">
        <v>0</v>
      </c>
      <c r="CD121" s="182">
        <v>0</v>
      </c>
      <c r="CE121" s="182">
        <v>0</v>
      </c>
      <c r="CF121" s="182">
        <v>0</v>
      </c>
      <c r="CG121" s="182">
        <v>0</v>
      </c>
      <c r="CH121" s="182">
        <v>0</v>
      </c>
      <c r="CI121" s="182">
        <v>0</v>
      </c>
      <c r="CJ121" s="182">
        <v>0</v>
      </c>
      <c r="CK121" s="182">
        <v>0</v>
      </c>
      <c r="CL121" s="177">
        <v>0</v>
      </c>
      <c r="CM121" s="177">
        <v>0</v>
      </c>
      <c r="CN121" s="177">
        <v>0</v>
      </c>
      <c r="CO121" s="177">
        <f>k.aM.aA</f>
        <v>3.7932294855432789E-7</v>
      </c>
      <c r="CP121" s="177">
        <v>0</v>
      </c>
      <c r="CQ121" s="177">
        <v>0</v>
      </c>
      <c r="CR121" s="177">
        <v>0</v>
      </c>
      <c r="CS121" s="182">
        <v>0</v>
      </c>
      <c r="CT121" s="182">
        <v>0</v>
      </c>
      <c r="CU121" s="182">
        <v>0</v>
      </c>
      <c r="CV121" s="182">
        <v>0</v>
      </c>
      <c r="CW121" s="182">
        <v>0</v>
      </c>
      <c r="CX121" s="182">
        <v>0</v>
      </c>
      <c r="CY121" s="182">
        <v>0</v>
      </c>
      <c r="CZ121" s="182">
        <v>0</v>
      </c>
      <c r="DA121" s="182">
        <v>0</v>
      </c>
      <c r="DB121" s="182">
        <v>0</v>
      </c>
      <c r="DC121" s="182">
        <v>0</v>
      </c>
      <c r="DD121" s="182">
        <v>0</v>
      </c>
      <c r="DE121" s="182">
        <v>0</v>
      </c>
      <c r="DF121" s="182">
        <v>0</v>
      </c>
      <c r="DG121" s="182">
        <v>0</v>
      </c>
      <c r="DH121" s="182">
        <v>0</v>
      </c>
      <c r="DI121" s="303">
        <v>0</v>
      </c>
      <c r="DJ121" s="304">
        <f>k.aAS.aAP</f>
        <v>3.986412789197493E-8</v>
      </c>
      <c r="DK121" s="304">
        <v>0</v>
      </c>
      <c r="DL121" s="181">
        <f>-k.aAP-SUM(DL$9:DL120,DL122:DL$163)</f>
        <v>-2.8117535131264688E-5</v>
      </c>
      <c r="DM121" s="176">
        <v>0</v>
      </c>
      <c r="DN121" s="176">
        <v>0</v>
      </c>
      <c r="DO121" s="177">
        <v>0</v>
      </c>
      <c r="DP121" s="177">
        <v>0</v>
      </c>
      <c r="DQ121" s="177">
        <v>0</v>
      </c>
      <c r="DR121" s="177">
        <v>0</v>
      </c>
      <c r="DS121" s="177">
        <v>0</v>
      </c>
      <c r="DT121" s="182">
        <v>0</v>
      </c>
      <c r="DU121" s="182">
        <v>0</v>
      </c>
      <c r="DV121" s="182">
        <v>0</v>
      </c>
      <c r="DW121" s="182">
        <v>0</v>
      </c>
      <c r="DX121" s="182">
        <v>0</v>
      </c>
      <c r="DY121" s="182">
        <v>0</v>
      </c>
      <c r="DZ121" s="182">
        <v>0</v>
      </c>
      <c r="EA121" s="182">
        <v>0</v>
      </c>
      <c r="EB121" s="177">
        <v>0</v>
      </c>
      <c r="EC121" s="177">
        <v>0</v>
      </c>
      <c r="ED121" s="177">
        <v>0</v>
      </c>
      <c r="EE121" s="177">
        <v>0</v>
      </c>
      <c r="EF121" s="182">
        <v>0</v>
      </c>
      <c r="EG121" s="182">
        <v>0</v>
      </c>
      <c r="EH121" s="182">
        <v>0</v>
      </c>
      <c r="EI121" s="182">
        <v>0</v>
      </c>
      <c r="EJ121" s="182">
        <v>0</v>
      </c>
      <c r="EK121" s="182">
        <v>0</v>
      </c>
      <c r="EL121" s="182">
        <v>0</v>
      </c>
      <c r="EM121" s="182">
        <v>0</v>
      </c>
      <c r="EN121" s="182">
        <v>0</v>
      </c>
      <c r="EO121" s="182">
        <v>0</v>
      </c>
      <c r="EP121" s="182">
        <v>0</v>
      </c>
      <c r="EQ121" s="182">
        <v>0</v>
      </c>
      <c r="ER121" s="182">
        <v>0</v>
      </c>
      <c r="ES121" s="182">
        <v>0</v>
      </c>
      <c r="ET121" s="182">
        <v>0</v>
      </c>
      <c r="EU121" s="182">
        <v>0</v>
      </c>
      <c r="EV121" s="182">
        <v>0</v>
      </c>
      <c r="EW121" s="182">
        <v>0</v>
      </c>
      <c r="EX121" s="182">
        <v>0</v>
      </c>
      <c r="EY121" s="182">
        <v>0</v>
      </c>
      <c r="EZ121" s="182">
        <v>0</v>
      </c>
      <c r="FA121" s="182">
        <v>0</v>
      </c>
      <c r="FB121" s="183">
        <v>0</v>
      </c>
    </row>
    <row r="122" spans="2:158" ht="12.75" customHeight="1" x14ac:dyDescent="0.3">
      <c r="B122" s="199" t="s">
        <v>3932</v>
      </c>
      <c r="C122" s="340"/>
      <c r="D122" s="182">
        <v>0</v>
      </c>
      <c r="E122" s="182">
        <v>0</v>
      </c>
      <c r="F122" s="182">
        <v>0</v>
      </c>
      <c r="G122" s="182">
        <v>0</v>
      </c>
      <c r="H122" s="182">
        <v>0</v>
      </c>
      <c r="I122" s="182">
        <v>0</v>
      </c>
      <c r="J122" s="182">
        <v>0</v>
      </c>
      <c r="K122" s="182">
        <v>0</v>
      </c>
      <c r="L122" s="182">
        <v>0</v>
      </c>
      <c r="M122" s="182">
        <v>0</v>
      </c>
      <c r="N122" s="182">
        <v>0</v>
      </c>
      <c r="O122" s="182">
        <v>0</v>
      </c>
      <c r="P122" s="182">
        <v>0</v>
      </c>
      <c r="Q122" s="182">
        <v>0</v>
      </c>
      <c r="R122" s="182">
        <v>0</v>
      </c>
      <c r="S122" s="182">
        <v>0</v>
      </c>
      <c r="T122" s="182">
        <v>0</v>
      </c>
      <c r="U122" s="182">
        <v>0</v>
      </c>
      <c r="V122" s="182">
        <v>0</v>
      </c>
      <c r="W122" s="182">
        <v>0</v>
      </c>
      <c r="X122" s="182">
        <v>0</v>
      </c>
      <c r="Y122" s="182">
        <v>0</v>
      </c>
      <c r="Z122" s="182">
        <v>0</v>
      </c>
      <c r="AA122" s="182">
        <v>0</v>
      </c>
      <c r="AB122" s="182">
        <v>0</v>
      </c>
      <c r="AC122" s="182">
        <v>0</v>
      </c>
      <c r="AD122" s="182">
        <v>0</v>
      </c>
      <c r="AE122" s="182">
        <v>0</v>
      </c>
      <c r="AF122" s="182">
        <v>0</v>
      </c>
      <c r="AG122" s="182">
        <v>0</v>
      </c>
      <c r="AH122" s="182">
        <v>0</v>
      </c>
      <c r="AI122" s="182">
        <v>0</v>
      </c>
      <c r="AJ122" s="182">
        <v>0</v>
      </c>
      <c r="AK122" s="182">
        <v>0</v>
      </c>
      <c r="AL122" s="182">
        <v>0</v>
      </c>
      <c r="AM122" s="182">
        <v>0</v>
      </c>
      <c r="AN122" s="182">
        <v>0</v>
      </c>
      <c r="AO122" s="182">
        <v>0</v>
      </c>
      <c r="AP122" s="182">
        <v>0</v>
      </c>
      <c r="AQ122" s="182">
        <v>0</v>
      </c>
      <c r="AR122" s="182">
        <v>0</v>
      </c>
      <c r="AS122" s="182">
        <v>0</v>
      </c>
      <c r="AT122" s="182">
        <v>0</v>
      </c>
      <c r="AU122" s="182">
        <v>0</v>
      </c>
      <c r="AV122" s="182">
        <v>0</v>
      </c>
      <c r="AW122" s="182">
        <v>0</v>
      </c>
      <c r="AX122" s="182">
        <v>0</v>
      </c>
      <c r="AY122" s="182">
        <v>0</v>
      </c>
      <c r="AZ122" s="182">
        <v>0</v>
      </c>
      <c r="BA122" s="182">
        <v>0</v>
      </c>
      <c r="BB122" s="168">
        <v>0</v>
      </c>
      <c r="BC122" s="168">
        <v>0</v>
      </c>
      <c r="BD122" s="168">
        <v>0</v>
      </c>
      <c r="BE122" s="168">
        <v>0</v>
      </c>
      <c r="BF122" s="182">
        <v>0</v>
      </c>
      <c r="BG122" s="182">
        <v>0</v>
      </c>
      <c r="BH122" s="182">
        <v>0</v>
      </c>
      <c r="BI122" s="182">
        <v>0</v>
      </c>
      <c r="BJ122" s="182">
        <v>0</v>
      </c>
      <c r="BK122" s="182">
        <v>0</v>
      </c>
      <c r="BL122" s="182">
        <v>0</v>
      </c>
      <c r="BM122" s="182">
        <v>0</v>
      </c>
      <c r="BN122" s="182">
        <v>0</v>
      </c>
      <c r="BO122" s="182">
        <v>0</v>
      </c>
      <c r="BP122" s="182">
        <v>0</v>
      </c>
      <c r="BQ122" s="182">
        <v>0</v>
      </c>
      <c r="BR122" s="182">
        <v>0</v>
      </c>
      <c r="BS122" s="182">
        <v>0</v>
      </c>
      <c r="BT122" s="182">
        <v>0</v>
      </c>
      <c r="BU122" s="182">
        <v>0</v>
      </c>
      <c r="BV122" s="182">
        <v>0</v>
      </c>
      <c r="BW122" s="182">
        <v>0</v>
      </c>
      <c r="BX122" s="182">
        <v>0</v>
      </c>
      <c r="BY122" s="182">
        <v>0</v>
      </c>
      <c r="BZ122" s="182">
        <v>0</v>
      </c>
      <c r="CA122" s="182">
        <v>0</v>
      </c>
      <c r="CB122" s="182">
        <v>0</v>
      </c>
      <c r="CC122" s="182">
        <v>0</v>
      </c>
      <c r="CD122" s="182">
        <v>0</v>
      </c>
      <c r="CE122" s="182">
        <v>0</v>
      </c>
      <c r="CF122" s="182">
        <v>0</v>
      </c>
      <c r="CG122" s="182">
        <v>0</v>
      </c>
      <c r="CH122" s="182">
        <v>0</v>
      </c>
      <c r="CI122" s="182">
        <v>0</v>
      </c>
      <c r="CJ122" s="182">
        <v>0</v>
      </c>
      <c r="CK122" s="182">
        <v>0</v>
      </c>
      <c r="CL122" s="177">
        <v>0</v>
      </c>
      <c r="CM122" s="177">
        <v>0</v>
      </c>
      <c r="CN122" s="177">
        <v>0</v>
      </c>
      <c r="CO122" s="177">
        <v>0</v>
      </c>
      <c r="CP122" s="177">
        <v>0</v>
      </c>
      <c r="CQ122" s="177">
        <v>0</v>
      </c>
      <c r="CR122" s="177">
        <v>0</v>
      </c>
      <c r="CS122" s="182">
        <v>0</v>
      </c>
      <c r="CT122" s="182">
        <v>0</v>
      </c>
      <c r="CU122" s="182">
        <v>0</v>
      </c>
      <c r="CV122" s="182">
        <v>0</v>
      </c>
      <c r="CW122" s="182">
        <v>0</v>
      </c>
      <c r="CX122" s="182">
        <v>0</v>
      </c>
      <c r="CY122" s="182">
        <v>0</v>
      </c>
      <c r="CZ122" s="182">
        <v>0</v>
      </c>
      <c r="DA122" s="182">
        <v>0</v>
      </c>
      <c r="DB122" s="182">
        <v>0</v>
      </c>
      <c r="DC122" s="182">
        <v>0</v>
      </c>
      <c r="DD122" s="182">
        <v>0</v>
      </c>
      <c r="DE122" s="182">
        <v>0</v>
      </c>
      <c r="DF122" s="182">
        <v>0</v>
      </c>
      <c r="DG122" s="182">
        <v>0</v>
      </c>
      <c r="DH122" s="182">
        <v>0</v>
      </c>
      <c r="DI122" s="177">
        <v>0</v>
      </c>
      <c r="DJ122" s="177">
        <f>k.aAS.cwAS</f>
        <v>8.4663808498073567E-7</v>
      </c>
      <c r="DK122" s="177">
        <v>0</v>
      </c>
      <c r="DL122" s="176">
        <v>0</v>
      </c>
      <c r="DM122" s="181">
        <f>-SUM(DM$9:DM121,DM123:DM$163)</f>
        <v>-2.642483458058753E-5</v>
      </c>
      <c r="DN122" s="177">
        <v>0</v>
      </c>
      <c r="DO122" s="302">
        <v>0</v>
      </c>
      <c r="DP122" s="177">
        <v>0</v>
      </c>
      <c r="DQ122" s="177">
        <v>0</v>
      </c>
      <c r="DR122" s="177">
        <v>0</v>
      </c>
      <c r="DS122" s="177">
        <v>0</v>
      </c>
      <c r="DT122" s="182">
        <v>0</v>
      </c>
      <c r="DU122" s="182">
        <v>0</v>
      </c>
      <c r="DV122" s="182">
        <v>0</v>
      </c>
      <c r="DW122" s="182">
        <v>0</v>
      </c>
      <c r="DX122" s="182">
        <v>0</v>
      </c>
      <c r="DY122" s="182">
        <v>0</v>
      </c>
      <c r="DZ122" s="182">
        <v>0</v>
      </c>
      <c r="EA122" s="182">
        <v>0</v>
      </c>
      <c r="EB122" s="177">
        <v>0</v>
      </c>
      <c r="EC122" s="177">
        <v>0</v>
      </c>
      <c r="ED122" s="177">
        <v>0</v>
      </c>
      <c r="EE122" s="177">
        <v>0</v>
      </c>
      <c r="EF122" s="182">
        <v>0</v>
      </c>
      <c r="EG122" s="182">
        <v>0</v>
      </c>
      <c r="EH122" s="182">
        <v>0</v>
      </c>
      <c r="EI122" s="182">
        <v>0</v>
      </c>
      <c r="EJ122" s="182">
        <v>0</v>
      </c>
      <c r="EK122" s="182">
        <v>0</v>
      </c>
      <c r="EL122" s="182">
        <v>0</v>
      </c>
      <c r="EM122" s="182">
        <v>0</v>
      </c>
      <c r="EN122" s="182">
        <v>0</v>
      </c>
      <c r="EO122" s="182">
        <v>0</v>
      </c>
      <c r="EP122" s="182">
        <v>0</v>
      </c>
      <c r="EQ122" s="182">
        <v>0</v>
      </c>
      <c r="ER122" s="182">
        <v>0</v>
      </c>
      <c r="ES122" s="182">
        <v>0</v>
      </c>
      <c r="ET122" s="182">
        <v>0</v>
      </c>
      <c r="EU122" s="182">
        <v>0</v>
      </c>
      <c r="EV122" s="182">
        <v>0</v>
      </c>
      <c r="EW122" s="182">
        <v>0</v>
      </c>
      <c r="EX122" s="182">
        <v>0</v>
      </c>
      <c r="EY122" s="182">
        <v>0</v>
      </c>
      <c r="EZ122" s="182">
        <v>0</v>
      </c>
      <c r="FA122" s="182">
        <v>0</v>
      </c>
      <c r="FB122" s="183">
        <v>0</v>
      </c>
    </row>
    <row r="123" spans="2:158" ht="12.75" customHeight="1" x14ac:dyDescent="0.3">
      <c r="B123" s="199" t="s">
        <v>3933</v>
      </c>
      <c r="C123" s="340"/>
      <c r="D123" s="182">
        <v>0</v>
      </c>
      <c r="E123" s="182">
        <v>0</v>
      </c>
      <c r="F123" s="182">
        <v>0</v>
      </c>
      <c r="G123" s="182">
        <v>0</v>
      </c>
      <c r="H123" s="182">
        <v>0</v>
      </c>
      <c r="I123" s="182">
        <v>0</v>
      </c>
      <c r="J123" s="182">
        <v>0</v>
      </c>
      <c r="K123" s="182">
        <v>0</v>
      </c>
      <c r="L123" s="182">
        <v>0</v>
      </c>
      <c r="M123" s="182">
        <v>0</v>
      </c>
      <c r="N123" s="182">
        <v>0</v>
      </c>
      <c r="O123" s="182">
        <v>0</v>
      </c>
      <c r="P123" s="182">
        <v>0</v>
      </c>
      <c r="Q123" s="182">
        <v>0</v>
      </c>
      <c r="R123" s="182">
        <v>0</v>
      </c>
      <c r="S123" s="182">
        <v>0</v>
      </c>
      <c r="T123" s="182">
        <v>0</v>
      </c>
      <c r="U123" s="182">
        <v>0</v>
      </c>
      <c r="V123" s="182">
        <v>0</v>
      </c>
      <c r="W123" s="182">
        <v>0</v>
      </c>
      <c r="X123" s="182">
        <v>0</v>
      </c>
      <c r="Y123" s="182">
        <v>0</v>
      </c>
      <c r="Z123" s="182">
        <v>0</v>
      </c>
      <c r="AA123" s="182">
        <v>0</v>
      </c>
      <c r="AB123" s="182">
        <v>0</v>
      </c>
      <c r="AC123" s="182">
        <v>0</v>
      </c>
      <c r="AD123" s="182">
        <v>0</v>
      </c>
      <c r="AE123" s="182">
        <v>0</v>
      </c>
      <c r="AF123" s="182">
        <v>0</v>
      </c>
      <c r="AG123" s="182">
        <v>0</v>
      </c>
      <c r="AH123" s="182">
        <v>0</v>
      </c>
      <c r="AI123" s="182">
        <v>0</v>
      </c>
      <c r="AJ123" s="182">
        <v>0</v>
      </c>
      <c r="AK123" s="182">
        <v>0</v>
      </c>
      <c r="AL123" s="182">
        <v>0</v>
      </c>
      <c r="AM123" s="182">
        <v>0</v>
      </c>
      <c r="AN123" s="182">
        <v>0</v>
      </c>
      <c r="AO123" s="182">
        <v>0</v>
      </c>
      <c r="AP123" s="182">
        <v>0</v>
      </c>
      <c r="AQ123" s="182">
        <v>0</v>
      </c>
      <c r="AR123" s="182">
        <v>0</v>
      </c>
      <c r="AS123" s="182">
        <v>0</v>
      </c>
      <c r="AT123" s="182">
        <v>0</v>
      </c>
      <c r="AU123" s="182">
        <v>0</v>
      </c>
      <c r="AV123" s="182">
        <v>0</v>
      </c>
      <c r="AW123" s="182">
        <v>0</v>
      </c>
      <c r="AX123" s="182">
        <v>0</v>
      </c>
      <c r="AY123" s="182">
        <v>0</v>
      </c>
      <c r="AZ123" s="182">
        <v>0</v>
      </c>
      <c r="BA123" s="182">
        <v>0</v>
      </c>
      <c r="BB123" s="168">
        <v>0</v>
      </c>
      <c r="BC123" s="168">
        <v>0</v>
      </c>
      <c r="BD123" s="168">
        <v>0</v>
      </c>
      <c r="BE123" s="168">
        <v>0</v>
      </c>
      <c r="BF123" s="182">
        <v>0</v>
      </c>
      <c r="BG123" s="182">
        <v>0</v>
      </c>
      <c r="BH123" s="182">
        <v>0</v>
      </c>
      <c r="BI123" s="182">
        <v>0</v>
      </c>
      <c r="BJ123" s="182">
        <v>0</v>
      </c>
      <c r="BK123" s="182">
        <v>0</v>
      </c>
      <c r="BL123" s="182">
        <v>0</v>
      </c>
      <c r="BM123" s="182">
        <v>0</v>
      </c>
      <c r="BN123" s="182">
        <v>0</v>
      </c>
      <c r="BO123" s="182">
        <v>0</v>
      </c>
      <c r="BP123" s="182">
        <v>0</v>
      </c>
      <c r="BQ123" s="182">
        <v>0</v>
      </c>
      <c r="BR123" s="182">
        <v>0</v>
      </c>
      <c r="BS123" s="182">
        <v>0</v>
      </c>
      <c r="BT123" s="182">
        <v>0</v>
      </c>
      <c r="BU123" s="182">
        <v>0</v>
      </c>
      <c r="BV123" s="182">
        <v>0</v>
      </c>
      <c r="BW123" s="182">
        <v>0</v>
      </c>
      <c r="BX123" s="182">
        <v>0</v>
      </c>
      <c r="BY123" s="182">
        <v>0</v>
      </c>
      <c r="BZ123" s="182">
        <v>0</v>
      </c>
      <c r="CA123" s="182">
        <v>0</v>
      </c>
      <c r="CB123" s="182">
        <v>0</v>
      </c>
      <c r="CC123" s="182">
        <v>0</v>
      </c>
      <c r="CD123" s="182">
        <v>0</v>
      </c>
      <c r="CE123" s="182">
        <v>0</v>
      </c>
      <c r="CF123" s="182">
        <v>0</v>
      </c>
      <c r="CG123" s="182">
        <v>0</v>
      </c>
      <c r="CH123" s="182">
        <v>0</v>
      </c>
      <c r="CI123" s="182">
        <v>0</v>
      </c>
      <c r="CJ123" s="182">
        <v>0</v>
      </c>
      <c r="CK123" s="182">
        <v>0</v>
      </c>
      <c r="CL123" s="177">
        <v>0</v>
      </c>
      <c r="CM123" s="177">
        <v>0</v>
      </c>
      <c r="CN123" s="177">
        <v>0</v>
      </c>
      <c r="CO123" s="177">
        <v>0</v>
      </c>
      <c r="CP123" s="177">
        <v>0</v>
      </c>
      <c r="CQ123" s="177">
        <v>0</v>
      </c>
      <c r="CR123" s="177">
        <v>0</v>
      </c>
      <c r="CS123" s="182">
        <v>0</v>
      </c>
      <c r="CT123" s="182">
        <v>0</v>
      </c>
      <c r="CU123" s="182">
        <v>0</v>
      </c>
      <c r="CV123" s="182">
        <v>0</v>
      </c>
      <c r="CW123" s="182">
        <v>0</v>
      </c>
      <c r="CX123" s="182">
        <v>0</v>
      </c>
      <c r="CY123" s="182">
        <v>0</v>
      </c>
      <c r="CZ123" s="182">
        <v>0</v>
      </c>
      <c r="DA123" s="182">
        <v>0</v>
      </c>
      <c r="DB123" s="182">
        <v>0</v>
      </c>
      <c r="DC123" s="182">
        <v>0</v>
      </c>
      <c r="DD123" s="182">
        <v>0</v>
      </c>
      <c r="DE123" s="182">
        <v>0</v>
      </c>
      <c r="DF123" s="182">
        <v>0</v>
      </c>
      <c r="DG123" s="182">
        <v>0</v>
      </c>
      <c r="DH123" s="182">
        <v>0</v>
      </c>
      <c r="DI123" s="177">
        <v>0</v>
      </c>
      <c r="DJ123" s="177">
        <v>0</v>
      </c>
      <c r="DK123" s="177">
        <f>k.aAA.cwAA</f>
        <v>3.7753418314669891E-7</v>
      </c>
      <c r="DL123" s="176">
        <v>0</v>
      </c>
      <c r="DM123" s="177">
        <v>0</v>
      </c>
      <c r="DN123" s="181">
        <f>-SUM(DN$9:DN122,DN124:DN$163)</f>
        <v>-2.642483458058753E-5</v>
      </c>
      <c r="DO123" s="302">
        <v>0</v>
      </c>
      <c r="DP123" s="177">
        <v>0</v>
      </c>
      <c r="DQ123" s="177">
        <v>0</v>
      </c>
      <c r="DR123" s="177">
        <v>0</v>
      </c>
      <c r="DS123" s="177">
        <v>0</v>
      </c>
      <c r="DT123" s="182">
        <v>0</v>
      </c>
      <c r="DU123" s="182">
        <v>0</v>
      </c>
      <c r="DV123" s="182">
        <v>0</v>
      </c>
      <c r="DW123" s="182">
        <v>0</v>
      </c>
      <c r="DX123" s="182">
        <v>0</v>
      </c>
      <c r="DY123" s="182">
        <v>0</v>
      </c>
      <c r="DZ123" s="182">
        <v>0</v>
      </c>
      <c r="EA123" s="182">
        <v>0</v>
      </c>
      <c r="EB123" s="177">
        <v>0</v>
      </c>
      <c r="EC123" s="177">
        <v>0</v>
      </c>
      <c r="ED123" s="177">
        <v>0</v>
      </c>
      <c r="EE123" s="177">
        <v>0</v>
      </c>
      <c r="EF123" s="182">
        <v>0</v>
      </c>
      <c r="EG123" s="182">
        <v>0</v>
      </c>
      <c r="EH123" s="182">
        <v>0</v>
      </c>
      <c r="EI123" s="182">
        <v>0</v>
      </c>
      <c r="EJ123" s="182">
        <v>0</v>
      </c>
      <c r="EK123" s="182">
        <v>0</v>
      </c>
      <c r="EL123" s="182">
        <v>0</v>
      </c>
      <c r="EM123" s="182">
        <v>0</v>
      </c>
      <c r="EN123" s="182">
        <v>0</v>
      </c>
      <c r="EO123" s="182">
        <v>0</v>
      </c>
      <c r="EP123" s="182">
        <v>0</v>
      </c>
      <c r="EQ123" s="182">
        <v>0</v>
      </c>
      <c r="ER123" s="182">
        <v>0</v>
      </c>
      <c r="ES123" s="182">
        <v>0</v>
      </c>
      <c r="ET123" s="182">
        <v>0</v>
      </c>
      <c r="EU123" s="182">
        <v>0</v>
      </c>
      <c r="EV123" s="182">
        <v>0</v>
      </c>
      <c r="EW123" s="182">
        <v>0</v>
      </c>
      <c r="EX123" s="182">
        <v>0</v>
      </c>
      <c r="EY123" s="182">
        <v>0</v>
      </c>
      <c r="EZ123" s="182">
        <v>0</v>
      </c>
      <c r="FA123" s="182">
        <v>0</v>
      </c>
      <c r="FB123" s="183">
        <v>0</v>
      </c>
    </row>
    <row r="124" spans="2:158" ht="12.75" customHeight="1" x14ac:dyDescent="0.3">
      <c r="B124" s="199" t="s">
        <v>3934</v>
      </c>
      <c r="C124" s="340"/>
      <c r="D124" s="182">
        <v>0</v>
      </c>
      <c r="E124" s="182">
        <v>0</v>
      </c>
      <c r="F124" s="182">
        <v>0</v>
      </c>
      <c r="G124" s="182">
        <v>0</v>
      </c>
      <c r="H124" s="182">
        <v>0</v>
      </c>
      <c r="I124" s="182">
        <v>0</v>
      </c>
      <c r="J124" s="182">
        <v>0</v>
      </c>
      <c r="K124" s="182">
        <v>0</v>
      </c>
      <c r="L124" s="182">
        <v>0</v>
      </c>
      <c r="M124" s="182">
        <v>0</v>
      </c>
      <c r="N124" s="182">
        <v>0</v>
      </c>
      <c r="O124" s="182">
        <v>0</v>
      </c>
      <c r="P124" s="182">
        <v>0</v>
      </c>
      <c r="Q124" s="182">
        <v>0</v>
      </c>
      <c r="R124" s="182">
        <v>0</v>
      </c>
      <c r="S124" s="182">
        <v>0</v>
      </c>
      <c r="T124" s="182">
        <v>0</v>
      </c>
      <c r="U124" s="182">
        <v>0</v>
      </c>
      <c r="V124" s="182">
        <v>0</v>
      </c>
      <c r="W124" s="182">
        <v>0</v>
      </c>
      <c r="X124" s="182">
        <v>0</v>
      </c>
      <c r="Y124" s="182">
        <v>0</v>
      </c>
      <c r="Z124" s="182">
        <v>0</v>
      </c>
      <c r="AA124" s="182">
        <v>0</v>
      </c>
      <c r="AB124" s="182">
        <v>0</v>
      </c>
      <c r="AC124" s="182">
        <v>0</v>
      </c>
      <c r="AD124" s="182">
        <v>0</v>
      </c>
      <c r="AE124" s="182">
        <v>0</v>
      </c>
      <c r="AF124" s="182">
        <v>0</v>
      </c>
      <c r="AG124" s="182">
        <v>0</v>
      </c>
      <c r="AH124" s="182">
        <v>0</v>
      </c>
      <c r="AI124" s="182">
        <v>0</v>
      </c>
      <c r="AJ124" s="182">
        <v>0</v>
      </c>
      <c r="AK124" s="182">
        <v>0</v>
      </c>
      <c r="AL124" s="182">
        <v>0</v>
      </c>
      <c r="AM124" s="182">
        <v>0</v>
      </c>
      <c r="AN124" s="182">
        <v>0</v>
      </c>
      <c r="AO124" s="182">
        <v>0</v>
      </c>
      <c r="AP124" s="182">
        <v>0</v>
      </c>
      <c r="AQ124" s="182">
        <v>0</v>
      </c>
      <c r="AR124" s="182">
        <v>0</v>
      </c>
      <c r="AS124" s="182">
        <v>0</v>
      </c>
      <c r="AT124" s="182">
        <v>0</v>
      </c>
      <c r="AU124" s="182">
        <v>0</v>
      </c>
      <c r="AV124" s="182">
        <v>0</v>
      </c>
      <c r="AW124" s="182">
        <v>0</v>
      </c>
      <c r="AX124" s="182">
        <v>0</v>
      </c>
      <c r="AY124" s="182">
        <v>0</v>
      </c>
      <c r="AZ124" s="182">
        <v>0</v>
      </c>
      <c r="BA124" s="182">
        <v>0</v>
      </c>
      <c r="BB124" s="168">
        <v>0</v>
      </c>
      <c r="BC124" s="168">
        <v>0</v>
      </c>
      <c r="BD124" s="168">
        <v>0</v>
      </c>
      <c r="BE124" s="168">
        <v>0</v>
      </c>
      <c r="BF124" s="182">
        <v>0</v>
      </c>
      <c r="BG124" s="182">
        <v>0</v>
      </c>
      <c r="BH124" s="182">
        <v>0</v>
      </c>
      <c r="BI124" s="182">
        <v>0</v>
      </c>
      <c r="BJ124" s="182">
        <v>0</v>
      </c>
      <c r="BK124" s="182">
        <v>0</v>
      </c>
      <c r="BL124" s="182">
        <v>0</v>
      </c>
      <c r="BM124" s="182">
        <v>0</v>
      </c>
      <c r="BN124" s="182">
        <v>0</v>
      </c>
      <c r="BO124" s="182">
        <v>0</v>
      </c>
      <c r="BP124" s="182">
        <v>0</v>
      </c>
      <c r="BQ124" s="182">
        <v>0</v>
      </c>
      <c r="BR124" s="182">
        <v>0</v>
      </c>
      <c r="BS124" s="182">
        <v>0</v>
      </c>
      <c r="BT124" s="182">
        <v>0</v>
      </c>
      <c r="BU124" s="182">
        <v>0</v>
      </c>
      <c r="BV124" s="182">
        <v>0</v>
      </c>
      <c r="BW124" s="182">
        <v>0</v>
      </c>
      <c r="BX124" s="182">
        <v>0</v>
      </c>
      <c r="BY124" s="182">
        <v>0</v>
      </c>
      <c r="BZ124" s="182">
        <v>0</v>
      </c>
      <c r="CA124" s="182">
        <v>0</v>
      </c>
      <c r="CB124" s="182">
        <v>0</v>
      </c>
      <c r="CC124" s="182">
        <v>0</v>
      </c>
      <c r="CD124" s="182">
        <v>0</v>
      </c>
      <c r="CE124" s="182">
        <v>0</v>
      </c>
      <c r="CF124" s="182">
        <v>0</v>
      </c>
      <c r="CG124" s="182">
        <v>0</v>
      </c>
      <c r="CH124" s="182">
        <v>0</v>
      </c>
      <c r="CI124" s="182">
        <v>0</v>
      </c>
      <c r="CJ124" s="182">
        <v>0</v>
      </c>
      <c r="CK124" s="182">
        <v>0</v>
      </c>
      <c r="CL124" s="177">
        <v>0</v>
      </c>
      <c r="CM124" s="177">
        <v>0</v>
      </c>
      <c r="CN124" s="177">
        <v>0</v>
      </c>
      <c r="CO124" s="177">
        <v>0</v>
      </c>
      <c r="CP124" s="177">
        <v>0</v>
      </c>
      <c r="CQ124" s="177">
        <v>0</v>
      </c>
      <c r="CR124" s="177">
        <v>0</v>
      </c>
      <c r="CS124" s="182">
        <v>0</v>
      </c>
      <c r="CT124" s="182">
        <v>0</v>
      </c>
      <c r="CU124" s="182">
        <v>0</v>
      </c>
      <c r="CV124" s="182">
        <v>0</v>
      </c>
      <c r="CW124" s="182">
        <v>0</v>
      </c>
      <c r="CX124" s="182">
        <v>0</v>
      </c>
      <c r="CY124" s="182">
        <v>0</v>
      </c>
      <c r="CZ124" s="182">
        <v>0</v>
      </c>
      <c r="DA124" s="182">
        <v>0</v>
      </c>
      <c r="DB124" s="182">
        <v>0</v>
      </c>
      <c r="DC124" s="182">
        <v>0</v>
      </c>
      <c r="DD124" s="182">
        <v>0</v>
      </c>
      <c r="DE124" s="182">
        <v>0</v>
      </c>
      <c r="DF124" s="182">
        <v>0</v>
      </c>
      <c r="DG124" s="182">
        <v>0</v>
      </c>
      <c r="DH124" s="182">
        <v>0</v>
      </c>
      <c r="DI124" s="177">
        <v>0</v>
      </c>
      <c r="DJ124" s="177">
        <v>0</v>
      </c>
      <c r="DK124" s="177">
        <v>0</v>
      </c>
      <c r="DL124" s="177">
        <f>k.aAP.cwAP</f>
        <v>2.6424826653137157E-5</v>
      </c>
      <c r="DM124" s="304">
        <v>0</v>
      </c>
      <c r="DN124" s="304">
        <v>0</v>
      </c>
      <c r="DO124" s="181">
        <f>-SUM(DO$9:DO123,DO125:DO$163)</f>
        <v>-2.642483458058753E-5</v>
      </c>
      <c r="DP124" s="177">
        <v>0</v>
      </c>
      <c r="DQ124" s="177">
        <v>0</v>
      </c>
      <c r="DR124" s="177">
        <v>0</v>
      </c>
      <c r="DS124" s="177">
        <v>0</v>
      </c>
      <c r="DT124" s="182">
        <v>0</v>
      </c>
      <c r="DU124" s="182">
        <v>0</v>
      </c>
      <c r="DV124" s="182">
        <v>0</v>
      </c>
      <c r="DW124" s="182">
        <v>0</v>
      </c>
      <c r="DX124" s="182">
        <v>0</v>
      </c>
      <c r="DY124" s="182">
        <v>0</v>
      </c>
      <c r="DZ124" s="182">
        <v>0</v>
      </c>
      <c r="EA124" s="182">
        <v>0</v>
      </c>
      <c r="EB124" s="177">
        <v>0</v>
      </c>
      <c r="EC124" s="177">
        <v>0</v>
      </c>
      <c r="ED124" s="177">
        <v>0</v>
      </c>
      <c r="EE124" s="177">
        <v>0</v>
      </c>
      <c r="EF124" s="182">
        <v>0</v>
      </c>
      <c r="EG124" s="182">
        <v>0</v>
      </c>
      <c r="EH124" s="182">
        <v>0</v>
      </c>
      <c r="EI124" s="182">
        <v>0</v>
      </c>
      <c r="EJ124" s="182">
        <v>0</v>
      </c>
      <c r="EK124" s="182">
        <v>0</v>
      </c>
      <c r="EL124" s="182">
        <v>0</v>
      </c>
      <c r="EM124" s="182">
        <v>0</v>
      </c>
      <c r="EN124" s="182">
        <v>0</v>
      </c>
      <c r="EO124" s="182">
        <v>0</v>
      </c>
      <c r="EP124" s="182">
        <v>0</v>
      </c>
      <c r="EQ124" s="182">
        <v>0</v>
      </c>
      <c r="ER124" s="182">
        <v>0</v>
      </c>
      <c r="ES124" s="182">
        <v>0</v>
      </c>
      <c r="ET124" s="182">
        <v>0</v>
      </c>
      <c r="EU124" s="182">
        <v>0</v>
      </c>
      <c r="EV124" s="182">
        <v>0</v>
      </c>
      <c r="EW124" s="182">
        <v>0</v>
      </c>
      <c r="EX124" s="182">
        <v>0</v>
      </c>
      <c r="EY124" s="182">
        <v>0</v>
      </c>
      <c r="EZ124" s="182">
        <v>0</v>
      </c>
      <c r="FA124" s="182">
        <v>0</v>
      </c>
      <c r="FB124" s="183">
        <v>0</v>
      </c>
    </row>
    <row r="125" spans="2:158" ht="12.75" customHeight="1" x14ac:dyDescent="0.3">
      <c r="B125" s="199" t="s">
        <v>3935</v>
      </c>
      <c r="C125" s="340"/>
      <c r="D125" s="182">
        <v>0</v>
      </c>
      <c r="E125" s="182">
        <v>0</v>
      </c>
      <c r="F125" s="182">
        <v>0</v>
      </c>
      <c r="G125" s="182">
        <v>0</v>
      </c>
      <c r="H125" s="182">
        <v>0</v>
      </c>
      <c r="I125" s="182">
        <v>0</v>
      </c>
      <c r="J125" s="182">
        <v>0</v>
      </c>
      <c r="K125" s="182">
        <v>0</v>
      </c>
      <c r="L125" s="182">
        <v>0</v>
      </c>
      <c r="M125" s="182">
        <v>0</v>
      </c>
      <c r="N125" s="182">
        <v>0</v>
      </c>
      <c r="O125" s="182">
        <v>0</v>
      </c>
      <c r="P125" s="182">
        <v>0</v>
      </c>
      <c r="Q125" s="182">
        <v>0</v>
      </c>
      <c r="R125" s="182">
        <v>0</v>
      </c>
      <c r="S125" s="182">
        <v>0</v>
      </c>
      <c r="T125" s="182">
        <v>0</v>
      </c>
      <c r="U125" s="182">
        <v>0</v>
      </c>
      <c r="V125" s="182">
        <v>0</v>
      </c>
      <c r="W125" s="182">
        <v>0</v>
      </c>
      <c r="X125" s="182">
        <v>0</v>
      </c>
      <c r="Y125" s="182">
        <v>0</v>
      </c>
      <c r="Z125" s="182">
        <v>0</v>
      </c>
      <c r="AA125" s="182">
        <v>0</v>
      </c>
      <c r="AB125" s="182">
        <v>0</v>
      </c>
      <c r="AC125" s="182">
        <v>0</v>
      </c>
      <c r="AD125" s="182">
        <v>0</v>
      </c>
      <c r="AE125" s="182">
        <v>0</v>
      </c>
      <c r="AF125" s="182">
        <v>0</v>
      </c>
      <c r="AG125" s="182">
        <v>0</v>
      </c>
      <c r="AH125" s="182">
        <v>0</v>
      </c>
      <c r="AI125" s="182">
        <v>0</v>
      </c>
      <c r="AJ125" s="182">
        <v>0</v>
      </c>
      <c r="AK125" s="182">
        <v>0</v>
      </c>
      <c r="AL125" s="182">
        <v>0</v>
      </c>
      <c r="AM125" s="182">
        <v>0</v>
      </c>
      <c r="AN125" s="182">
        <v>0</v>
      </c>
      <c r="AO125" s="182">
        <v>0</v>
      </c>
      <c r="AP125" s="182">
        <v>0</v>
      </c>
      <c r="AQ125" s="182">
        <v>0</v>
      </c>
      <c r="AR125" s="182">
        <v>0</v>
      </c>
      <c r="AS125" s="182">
        <v>0</v>
      </c>
      <c r="AT125" s="182">
        <v>0</v>
      </c>
      <c r="AU125" s="182">
        <v>0</v>
      </c>
      <c r="AV125" s="182">
        <v>0</v>
      </c>
      <c r="AW125" s="182">
        <v>0</v>
      </c>
      <c r="AX125" s="182">
        <v>0</v>
      </c>
      <c r="AY125" s="182">
        <v>0</v>
      </c>
      <c r="AZ125" s="182">
        <v>0</v>
      </c>
      <c r="BA125" s="182">
        <v>0</v>
      </c>
      <c r="BB125" s="168">
        <v>0</v>
      </c>
      <c r="BC125" s="168">
        <v>0</v>
      </c>
      <c r="BD125" s="168">
        <v>0</v>
      </c>
      <c r="BE125" s="168">
        <v>0</v>
      </c>
      <c r="BF125" s="182">
        <v>0</v>
      </c>
      <c r="BG125" s="182">
        <v>0</v>
      </c>
      <c r="BH125" s="182">
        <v>0</v>
      </c>
      <c r="BI125" s="182">
        <v>0</v>
      </c>
      <c r="BJ125" s="182">
        <v>0</v>
      </c>
      <c r="BK125" s="182">
        <v>0</v>
      </c>
      <c r="BL125" s="182">
        <v>0</v>
      </c>
      <c r="BM125" s="182">
        <v>0</v>
      </c>
      <c r="BN125" s="182">
        <v>0</v>
      </c>
      <c r="BO125" s="182">
        <v>0</v>
      </c>
      <c r="BP125" s="182">
        <v>0</v>
      </c>
      <c r="BQ125" s="182">
        <v>0</v>
      </c>
      <c r="BR125" s="182">
        <v>0</v>
      </c>
      <c r="BS125" s="182">
        <v>0</v>
      </c>
      <c r="BT125" s="182">
        <v>0</v>
      </c>
      <c r="BU125" s="182">
        <v>0</v>
      </c>
      <c r="BV125" s="182">
        <v>0</v>
      </c>
      <c r="BW125" s="182">
        <v>0</v>
      </c>
      <c r="BX125" s="182">
        <v>0</v>
      </c>
      <c r="BY125" s="182">
        <v>0</v>
      </c>
      <c r="BZ125" s="182">
        <v>0</v>
      </c>
      <c r="CA125" s="182">
        <v>0</v>
      </c>
      <c r="CB125" s="182">
        <v>0</v>
      </c>
      <c r="CC125" s="182">
        <v>0</v>
      </c>
      <c r="CD125" s="182">
        <v>0</v>
      </c>
      <c r="CE125" s="182">
        <v>0</v>
      </c>
      <c r="CF125" s="182">
        <v>0</v>
      </c>
      <c r="CG125" s="182">
        <v>0</v>
      </c>
      <c r="CH125" s="182">
        <v>0</v>
      </c>
      <c r="CI125" s="182">
        <v>0</v>
      </c>
      <c r="CJ125" s="182">
        <v>0</v>
      </c>
      <c r="CK125" s="182">
        <v>0</v>
      </c>
      <c r="CL125" s="182">
        <v>0</v>
      </c>
      <c r="CM125" s="182">
        <v>0</v>
      </c>
      <c r="CN125" s="182">
        <v>0</v>
      </c>
      <c r="CO125" s="182">
        <v>0</v>
      </c>
      <c r="CP125" s="182">
        <v>0</v>
      </c>
      <c r="CQ125" s="182">
        <v>0</v>
      </c>
      <c r="CR125" s="182">
        <v>0</v>
      </c>
      <c r="CS125" s="177">
        <f>k.w2M.w2A</f>
        <v>3.8674157077409421E-8</v>
      </c>
      <c r="CT125" s="177">
        <v>0</v>
      </c>
      <c r="CU125" s="177">
        <v>0</v>
      </c>
      <c r="CV125" s="177">
        <v>0</v>
      </c>
      <c r="CW125" s="182">
        <v>0</v>
      </c>
      <c r="CX125" s="182">
        <v>0</v>
      </c>
      <c r="CY125" s="182">
        <v>0</v>
      </c>
      <c r="CZ125" s="182">
        <v>0</v>
      </c>
      <c r="DA125" s="182">
        <v>0</v>
      </c>
      <c r="DB125" s="182">
        <v>0</v>
      </c>
      <c r="DC125" s="182">
        <v>0</v>
      </c>
      <c r="DD125" s="182">
        <v>0</v>
      </c>
      <c r="DE125" s="182">
        <v>0</v>
      </c>
      <c r="DF125" s="182">
        <v>0</v>
      </c>
      <c r="DG125" s="182">
        <v>0</v>
      </c>
      <c r="DH125" s="182">
        <v>0</v>
      </c>
      <c r="DI125" s="177">
        <f>k.aA.w2A</f>
        <v>1.1265617780280159E-7</v>
      </c>
      <c r="DJ125" s="177">
        <v>0</v>
      </c>
      <c r="DK125" s="177">
        <v>0</v>
      </c>
      <c r="DL125" s="177">
        <v>0</v>
      </c>
      <c r="DM125" s="177">
        <v>0</v>
      </c>
      <c r="DN125" s="177">
        <v>0</v>
      </c>
      <c r="DO125" s="177">
        <v>0</v>
      </c>
      <c r="DP125" s="310">
        <f>-k.w2A-SUM(DP9:DP121,DP126:DP163)</f>
        <v>-3.3786221191703097E-7</v>
      </c>
      <c r="DQ125" s="321">
        <f>kdis.w2S.w2D</f>
        <v>0</v>
      </c>
      <c r="DR125" s="321">
        <f>kdis.w2A.w2D</f>
        <v>0</v>
      </c>
      <c r="DS125" s="321">
        <f>kdis.w2P.w2D</f>
        <v>0</v>
      </c>
      <c r="DT125" s="177">
        <f>k.w3A.w2A</f>
        <v>8.9753746616491718E-9</v>
      </c>
      <c r="DU125" s="177">
        <v>0</v>
      </c>
      <c r="DV125" s="177">
        <v>0</v>
      </c>
      <c r="DW125" s="177">
        <v>0</v>
      </c>
      <c r="DX125" s="29">
        <v>0</v>
      </c>
      <c r="DY125" s="29">
        <v>0</v>
      </c>
      <c r="DZ125" s="29">
        <v>0</v>
      </c>
      <c r="EA125" s="29">
        <v>0</v>
      </c>
      <c r="EB125" s="177">
        <f>k.sA.w2A</f>
        <v>2.1867268711244373E-9</v>
      </c>
      <c r="EC125" s="177">
        <v>0</v>
      </c>
      <c r="ED125" s="177">
        <v>0</v>
      </c>
      <c r="EE125" s="177">
        <v>0</v>
      </c>
      <c r="EF125" s="182">
        <v>0</v>
      </c>
      <c r="EG125" s="182">
        <v>0</v>
      </c>
      <c r="EH125" s="182">
        <v>0</v>
      </c>
      <c r="EI125" s="182">
        <v>0</v>
      </c>
      <c r="EJ125" s="182">
        <v>0</v>
      </c>
      <c r="EK125" s="182">
        <v>0</v>
      </c>
      <c r="EL125" s="182">
        <v>0</v>
      </c>
      <c r="EM125" s="182">
        <v>0</v>
      </c>
      <c r="EN125" s="182">
        <v>0</v>
      </c>
      <c r="EO125" s="182">
        <v>0</v>
      </c>
      <c r="EP125" s="182">
        <v>0</v>
      </c>
      <c r="EQ125" s="182">
        <v>0</v>
      </c>
      <c r="ER125" s="182">
        <v>0</v>
      </c>
      <c r="ES125" s="182">
        <v>0</v>
      </c>
      <c r="ET125" s="182">
        <v>0</v>
      </c>
      <c r="EU125" s="182">
        <v>0</v>
      </c>
      <c r="EV125" s="182">
        <v>0</v>
      </c>
      <c r="EW125" s="182">
        <v>0</v>
      </c>
      <c r="EX125" s="182">
        <v>0</v>
      </c>
      <c r="EY125" s="182">
        <v>0</v>
      </c>
      <c r="EZ125" s="182">
        <v>0</v>
      </c>
      <c r="FA125" s="182">
        <v>0</v>
      </c>
      <c r="FB125" s="183">
        <v>0</v>
      </c>
    </row>
    <row r="126" spans="2:158" ht="12.75" customHeight="1" x14ac:dyDescent="0.3">
      <c r="B126" s="199" t="s">
        <v>3936</v>
      </c>
      <c r="C126" s="340"/>
      <c r="D126" s="182">
        <v>0</v>
      </c>
      <c r="E126" s="182">
        <v>0</v>
      </c>
      <c r="F126" s="182">
        <v>0</v>
      </c>
      <c r="G126" s="182">
        <v>0</v>
      </c>
      <c r="H126" s="182">
        <v>0</v>
      </c>
      <c r="I126" s="182">
        <v>0</v>
      </c>
      <c r="J126" s="182">
        <v>0</v>
      </c>
      <c r="K126" s="182">
        <v>0</v>
      </c>
      <c r="L126" s="182">
        <v>0</v>
      </c>
      <c r="M126" s="182">
        <v>0</v>
      </c>
      <c r="N126" s="182">
        <v>0</v>
      </c>
      <c r="O126" s="182">
        <v>0</v>
      </c>
      <c r="P126" s="182">
        <v>0</v>
      </c>
      <c r="Q126" s="182">
        <v>0</v>
      </c>
      <c r="R126" s="182">
        <v>0</v>
      </c>
      <c r="S126" s="182">
        <v>0</v>
      </c>
      <c r="T126" s="182">
        <v>0</v>
      </c>
      <c r="U126" s="182">
        <v>0</v>
      </c>
      <c r="V126" s="182">
        <v>0</v>
      </c>
      <c r="W126" s="182">
        <v>0</v>
      </c>
      <c r="X126" s="182">
        <v>0</v>
      </c>
      <c r="Y126" s="182">
        <v>0</v>
      </c>
      <c r="Z126" s="182">
        <v>0</v>
      </c>
      <c r="AA126" s="182">
        <v>0</v>
      </c>
      <c r="AB126" s="182">
        <v>0</v>
      </c>
      <c r="AC126" s="182">
        <v>0</v>
      </c>
      <c r="AD126" s="182">
        <v>0</v>
      </c>
      <c r="AE126" s="182">
        <v>0</v>
      </c>
      <c r="AF126" s="182">
        <v>0</v>
      </c>
      <c r="AG126" s="182">
        <v>0</v>
      </c>
      <c r="AH126" s="182">
        <v>0</v>
      </c>
      <c r="AI126" s="182">
        <v>0</v>
      </c>
      <c r="AJ126" s="182">
        <v>0</v>
      </c>
      <c r="AK126" s="182">
        <v>0</v>
      </c>
      <c r="AL126" s="182">
        <v>0</v>
      </c>
      <c r="AM126" s="182">
        <v>0</v>
      </c>
      <c r="AN126" s="182">
        <v>0</v>
      </c>
      <c r="AO126" s="182">
        <v>0</v>
      </c>
      <c r="AP126" s="182">
        <v>0</v>
      </c>
      <c r="AQ126" s="182">
        <v>0</v>
      </c>
      <c r="AR126" s="182">
        <v>0</v>
      </c>
      <c r="AS126" s="182">
        <v>0</v>
      </c>
      <c r="AT126" s="182">
        <v>0</v>
      </c>
      <c r="AU126" s="182">
        <v>0</v>
      </c>
      <c r="AV126" s="182">
        <v>0</v>
      </c>
      <c r="AW126" s="182">
        <v>0</v>
      </c>
      <c r="AX126" s="182">
        <v>0</v>
      </c>
      <c r="AY126" s="182">
        <v>0</v>
      </c>
      <c r="AZ126" s="182">
        <v>0</v>
      </c>
      <c r="BA126" s="182">
        <v>0</v>
      </c>
      <c r="BB126" s="168">
        <v>0</v>
      </c>
      <c r="BC126" s="168">
        <v>0</v>
      </c>
      <c r="BD126" s="168">
        <v>0</v>
      </c>
      <c r="BE126" s="168">
        <v>0</v>
      </c>
      <c r="BF126" s="182">
        <v>0</v>
      </c>
      <c r="BG126" s="182">
        <v>0</v>
      </c>
      <c r="BH126" s="182">
        <v>0</v>
      </c>
      <c r="BI126" s="182">
        <v>0</v>
      </c>
      <c r="BJ126" s="182">
        <v>0</v>
      </c>
      <c r="BK126" s="182">
        <v>0</v>
      </c>
      <c r="BL126" s="182">
        <v>0</v>
      </c>
      <c r="BM126" s="182">
        <v>0</v>
      </c>
      <c r="BN126" s="182">
        <v>0</v>
      </c>
      <c r="BO126" s="182">
        <v>0</v>
      </c>
      <c r="BP126" s="182">
        <v>0</v>
      </c>
      <c r="BQ126" s="182">
        <v>0</v>
      </c>
      <c r="BR126" s="182">
        <v>0</v>
      </c>
      <c r="BS126" s="182">
        <v>0</v>
      </c>
      <c r="BT126" s="182">
        <v>0</v>
      </c>
      <c r="BU126" s="182">
        <v>0</v>
      </c>
      <c r="BV126" s="182">
        <v>0</v>
      </c>
      <c r="BW126" s="182">
        <v>0</v>
      </c>
      <c r="BX126" s="182">
        <v>0</v>
      </c>
      <c r="BY126" s="182">
        <v>0</v>
      </c>
      <c r="BZ126" s="182">
        <v>0</v>
      </c>
      <c r="CA126" s="182">
        <v>0</v>
      </c>
      <c r="CB126" s="182">
        <v>0</v>
      </c>
      <c r="CC126" s="182">
        <v>0</v>
      </c>
      <c r="CD126" s="182">
        <v>0</v>
      </c>
      <c r="CE126" s="182">
        <v>0</v>
      </c>
      <c r="CF126" s="182">
        <v>0</v>
      </c>
      <c r="CG126" s="182">
        <v>0</v>
      </c>
      <c r="CH126" s="182">
        <v>0</v>
      </c>
      <c r="CI126" s="182">
        <v>0</v>
      </c>
      <c r="CJ126" s="182">
        <v>0</v>
      </c>
      <c r="CK126" s="182">
        <v>0</v>
      </c>
      <c r="CL126" s="182">
        <v>0</v>
      </c>
      <c r="CM126" s="182">
        <v>0</v>
      </c>
      <c r="CN126" s="182">
        <v>0</v>
      </c>
      <c r="CO126" s="182">
        <v>0</v>
      </c>
      <c r="CP126" s="182">
        <v>0</v>
      </c>
      <c r="CQ126" s="182">
        <v>0</v>
      </c>
      <c r="CR126" s="182">
        <v>0</v>
      </c>
      <c r="CS126" s="177">
        <v>0</v>
      </c>
      <c r="CT126" s="177">
        <f>k.w2M.w2A</f>
        <v>3.8674157077409421E-8</v>
      </c>
      <c r="CU126" s="177">
        <v>0</v>
      </c>
      <c r="CV126" s="177">
        <v>0</v>
      </c>
      <c r="CW126" s="182">
        <v>0</v>
      </c>
      <c r="CX126" s="182">
        <v>0</v>
      </c>
      <c r="CY126" s="182">
        <v>0</v>
      </c>
      <c r="CZ126" s="182">
        <v>0</v>
      </c>
      <c r="DA126" s="182">
        <v>0</v>
      </c>
      <c r="DB126" s="182">
        <v>0</v>
      </c>
      <c r="DC126" s="182">
        <v>0</v>
      </c>
      <c r="DD126" s="182">
        <v>0</v>
      </c>
      <c r="DE126" s="182">
        <v>0</v>
      </c>
      <c r="DF126" s="182">
        <v>0</v>
      </c>
      <c r="DG126" s="182">
        <v>0</v>
      </c>
      <c r="DH126" s="182">
        <v>0</v>
      </c>
      <c r="DI126" s="177">
        <v>0</v>
      </c>
      <c r="DJ126" s="177">
        <f>k.aAS.w2AS</f>
        <v>1.8974235666317165E-6</v>
      </c>
      <c r="DK126" s="177">
        <v>0</v>
      </c>
      <c r="DL126" s="177">
        <v>0</v>
      </c>
      <c r="DM126" s="177">
        <f>k.cwAS.w2AS</f>
        <v>1.5854900748352518E-5</v>
      </c>
      <c r="DN126" s="177">
        <v>0</v>
      </c>
      <c r="DO126" s="177">
        <v>0</v>
      </c>
      <c r="DP126" s="323">
        <v>0</v>
      </c>
      <c r="DQ126" s="181">
        <f>-k.w2AS-SUM(DQ$9:DQ125,DQ127:DQ$163)</f>
        <v>-2.9550719586836803E-3</v>
      </c>
      <c r="DR126" s="177">
        <v>0</v>
      </c>
      <c r="DS126" s="302">
        <v>0</v>
      </c>
      <c r="DT126" s="176">
        <v>0</v>
      </c>
      <c r="DU126" s="177">
        <f>k.w3A.w2A</f>
        <v>8.9753746616491718E-9</v>
      </c>
      <c r="DV126" s="176">
        <v>0</v>
      </c>
      <c r="DW126" s="177">
        <v>0</v>
      </c>
      <c r="DX126" s="29">
        <v>0</v>
      </c>
      <c r="DY126" s="29">
        <v>0</v>
      </c>
      <c r="DZ126" s="29">
        <v>0</v>
      </c>
      <c r="EA126" s="29">
        <v>0</v>
      </c>
      <c r="EB126" s="177">
        <v>0</v>
      </c>
      <c r="EC126" s="177">
        <f>k.sAS.w2AS</f>
        <v>5.0387931303446822E-8</v>
      </c>
      <c r="ED126" s="177">
        <v>0</v>
      </c>
      <c r="EE126" s="177">
        <v>0</v>
      </c>
      <c r="EF126" s="182">
        <v>0</v>
      </c>
      <c r="EG126" s="182">
        <v>0</v>
      </c>
      <c r="EH126" s="182">
        <v>0</v>
      </c>
      <c r="EI126" s="182">
        <v>0</v>
      </c>
      <c r="EJ126" s="182">
        <v>0</v>
      </c>
      <c r="EK126" s="182">
        <v>0</v>
      </c>
      <c r="EL126" s="182">
        <v>0</v>
      </c>
      <c r="EM126" s="182">
        <v>0</v>
      </c>
      <c r="EN126" s="182">
        <v>0</v>
      </c>
      <c r="EO126" s="182">
        <v>0</v>
      </c>
      <c r="EP126" s="182">
        <v>0</v>
      </c>
      <c r="EQ126" s="182">
        <v>0</v>
      </c>
      <c r="ER126" s="182">
        <v>0</v>
      </c>
      <c r="ES126" s="182">
        <v>0</v>
      </c>
      <c r="ET126" s="182">
        <v>0</v>
      </c>
      <c r="EU126" s="182">
        <v>0</v>
      </c>
      <c r="EV126" s="182">
        <v>0</v>
      </c>
      <c r="EW126" s="182">
        <v>0</v>
      </c>
      <c r="EX126" s="182">
        <v>0</v>
      </c>
      <c r="EY126" s="182">
        <v>0</v>
      </c>
      <c r="EZ126" s="182">
        <v>0</v>
      </c>
      <c r="FA126" s="182">
        <v>0</v>
      </c>
      <c r="FB126" s="183">
        <v>0</v>
      </c>
    </row>
    <row r="127" spans="2:158" ht="12.75" customHeight="1" x14ac:dyDescent="0.3">
      <c r="B127" s="199" t="s">
        <v>3937</v>
      </c>
      <c r="C127" s="340"/>
      <c r="D127" s="182">
        <v>0</v>
      </c>
      <c r="E127" s="182">
        <v>0</v>
      </c>
      <c r="F127" s="182">
        <v>0</v>
      </c>
      <c r="G127" s="182">
        <v>0</v>
      </c>
      <c r="H127" s="182">
        <v>0</v>
      </c>
      <c r="I127" s="182">
        <v>0</v>
      </c>
      <c r="J127" s="182">
        <v>0</v>
      </c>
      <c r="K127" s="182">
        <v>0</v>
      </c>
      <c r="L127" s="182">
        <v>0</v>
      </c>
      <c r="M127" s="182">
        <v>0</v>
      </c>
      <c r="N127" s="182">
        <v>0</v>
      </c>
      <c r="O127" s="182">
        <v>0</v>
      </c>
      <c r="P127" s="182">
        <v>0</v>
      </c>
      <c r="Q127" s="182">
        <v>0</v>
      </c>
      <c r="R127" s="182">
        <v>0</v>
      </c>
      <c r="S127" s="182">
        <v>0</v>
      </c>
      <c r="T127" s="182">
        <v>0</v>
      </c>
      <c r="U127" s="182">
        <v>0</v>
      </c>
      <c r="V127" s="182">
        <v>0</v>
      </c>
      <c r="W127" s="182">
        <v>0</v>
      </c>
      <c r="X127" s="182">
        <v>0</v>
      </c>
      <c r="Y127" s="182">
        <v>0</v>
      </c>
      <c r="Z127" s="182">
        <v>0</v>
      </c>
      <c r="AA127" s="182">
        <v>0</v>
      </c>
      <c r="AB127" s="182">
        <v>0</v>
      </c>
      <c r="AC127" s="182">
        <v>0</v>
      </c>
      <c r="AD127" s="182">
        <v>0</v>
      </c>
      <c r="AE127" s="182">
        <v>0</v>
      </c>
      <c r="AF127" s="182">
        <v>0</v>
      </c>
      <c r="AG127" s="182">
        <v>0</v>
      </c>
      <c r="AH127" s="182">
        <v>0</v>
      </c>
      <c r="AI127" s="182">
        <v>0</v>
      </c>
      <c r="AJ127" s="182">
        <v>0</v>
      </c>
      <c r="AK127" s="182">
        <v>0</v>
      </c>
      <c r="AL127" s="182">
        <v>0</v>
      </c>
      <c r="AM127" s="182">
        <v>0</v>
      </c>
      <c r="AN127" s="182">
        <v>0</v>
      </c>
      <c r="AO127" s="182">
        <v>0</v>
      </c>
      <c r="AP127" s="182">
        <v>0</v>
      </c>
      <c r="AQ127" s="182">
        <v>0</v>
      </c>
      <c r="AR127" s="182">
        <v>0</v>
      </c>
      <c r="AS127" s="182">
        <v>0</v>
      </c>
      <c r="AT127" s="182">
        <v>0</v>
      </c>
      <c r="AU127" s="182">
        <v>0</v>
      </c>
      <c r="AV127" s="182">
        <v>0</v>
      </c>
      <c r="AW127" s="182">
        <v>0</v>
      </c>
      <c r="AX127" s="182">
        <v>0</v>
      </c>
      <c r="AY127" s="182">
        <v>0</v>
      </c>
      <c r="AZ127" s="182">
        <v>0</v>
      </c>
      <c r="BA127" s="182">
        <v>0</v>
      </c>
      <c r="BB127" s="168">
        <v>0</v>
      </c>
      <c r="BC127" s="168">
        <v>0</v>
      </c>
      <c r="BD127" s="168">
        <v>0</v>
      </c>
      <c r="BE127" s="168">
        <v>0</v>
      </c>
      <c r="BF127" s="182">
        <v>0</v>
      </c>
      <c r="BG127" s="182">
        <v>0</v>
      </c>
      <c r="BH127" s="182">
        <v>0</v>
      </c>
      <c r="BI127" s="182">
        <v>0</v>
      </c>
      <c r="BJ127" s="182">
        <v>0</v>
      </c>
      <c r="BK127" s="182">
        <v>0</v>
      </c>
      <c r="BL127" s="182">
        <v>0</v>
      </c>
      <c r="BM127" s="182">
        <v>0</v>
      </c>
      <c r="BN127" s="182">
        <v>0</v>
      </c>
      <c r="BO127" s="182">
        <v>0</v>
      </c>
      <c r="BP127" s="182">
        <v>0</v>
      </c>
      <c r="BQ127" s="182">
        <v>0</v>
      </c>
      <c r="BR127" s="182">
        <v>0</v>
      </c>
      <c r="BS127" s="182">
        <v>0</v>
      </c>
      <c r="BT127" s="182">
        <v>0</v>
      </c>
      <c r="BU127" s="182">
        <v>0</v>
      </c>
      <c r="BV127" s="182">
        <v>0</v>
      </c>
      <c r="BW127" s="182">
        <v>0</v>
      </c>
      <c r="BX127" s="182">
        <v>0</v>
      </c>
      <c r="BY127" s="182">
        <v>0</v>
      </c>
      <c r="BZ127" s="182">
        <v>0</v>
      </c>
      <c r="CA127" s="182">
        <v>0</v>
      </c>
      <c r="CB127" s="182">
        <v>0</v>
      </c>
      <c r="CC127" s="182">
        <v>0</v>
      </c>
      <c r="CD127" s="182">
        <v>0</v>
      </c>
      <c r="CE127" s="182">
        <v>0</v>
      </c>
      <c r="CF127" s="182">
        <v>0</v>
      </c>
      <c r="CG127" s="182">
        <v>0</v>
      </c>
      <c r="CH127" s="182">
        <v>0</v>
      </c>
      <c r="CI127" s="182">
        <v>0</v>
      </c>
      <c r="CJ127" s="182">
        <v>0</v>
      </c>
      <c r="CK127" s="182">
        <v>0</v>
      </c>
      <c r="CL127" s="182">
        <v>0</v>
      </c>
      <c r="CM127" s="182">
        <v>0</v>
      </c>
      <c r="CN127" s="182">
        <v>0</v>
      </c>
      <c r="CO127" s="182">
        <v>0</v>
      </c>
      <c r="CP127" s="182">
        <v>0</v>
      </c>
      <c r="CQ127" s="182">
        <v>0</v>
      </c>
      <c r="CR127" s="182">
        <v>0</v>
      </c>
      <c r="CS127" s="177">
        <v>0</v>
      </c>
      <c r="CT127" s="177">
        <v>0</v>
      </c>
      <c r="CU127" s="177">
        <f>k.w2M.w2A</f>
        <v>3.8674157077409421E-8</v>
      </c>
      <c r="CV127" s="177">
        <v>0</v>
      </c>
      <c r="CW127" s="182">
        <v>0</v>
      </c>
      <c r="CX127" s="182">
        <v>0</v>
      </c>
      <c r="CY127" s="182">
        <v>0</v>
      </c>
      <c r="CZ127" s="182">
        <v>0</v>
      </c>
      <c r="DA127" s="182">
        <v>0</v>
      </c>
      <c r="DB127" s="182">
        <v>0</v>
      </c>
      <c r="DC127" s="182">
        <v>0</v>
      </c>
      <c r="DD127" s="182">
        <v>0</v>
      </c>
      <c r="DE127" s="182">
        <v>0</v>
      </c>
      <c r="DF127" s="182">
        <v>0</v>
      </c>
      <c r="DG127" s="182">
        <v>0</v>
      </c>
      <c r="DH127" s="182">
        <v>0</v>
      </c>
      <c r="DI127" s="177">
        <v>0</v>
      </c>
      <c r="DJ127" s="177">
        <v>0</v>
      </c>
      <c r="DK127" s="177">
        <f>k.aAA.w2AA</f>
        <v>6.7430887520486228E-7</v>
      </c>
      <c r="DL127" s="177">
        <v>0</v>
      </c>
      <c r="DM127" s="177">
        <v>0</v>
      </c>
      <c r="DN127" s="177">
        <f>k.cwAA.w2AA</f>
        <v>1.5854900748352518E-5</v>
      </c>
      <c r="DO127" s="177">
        <v>0</v>
      </c>
      <c r="DP127" s="323">
        <v>0</v>
      </c>
      <c r="DQ127" s="177">
        <f>k.w2AS.w2AA</f>
        <v>2.9206671988249891E-3</v>
      </c>
      <c r="DR127" s="181">
        <f>-k.w2AA-SUM(DR$9:DR126,DR128:DR$163)</f>
        <v>-2.6975216014808141E-7</v>
      </c>
      <c r="DS127" s="302">
        <v>0</v>
      </c>
      <c r="DT127" s="177">
        <v>0</v>
      </c>
      <c r="DU127" s="176">
        <v>0</v>
      </c>
      <c r="DV127" s="177">
        <f>k.w3A.w2A</f>
        <v>8.9753746616491718E-9</v>
      </c>
      <c r="DW127" s="177">
        <v>0</v>
      </c>
      <c r="DX127" s="29">
        <v>0</v>
      </c>
      <c r="DY127" s="29">
        <v>0</v>
      </c>
      <c r="DZ127" s="29">
        <v>0</v>
      </c>
      <c r="EA127" s="29">
        <v>0</v>
      </c>
      <c r="EB127" s="177">
        <v>0</v>
      </c>
      <c r="EC127" s="177">
        <v>0</v>
      </c>
      <c r="ED127" s="177">
        <f>k.sAA.w2AA</f>
        <v>5.0387931303446822E-8</v>
      </c>
      <c r="EE127" s="177">
        <v>0</v>
      </c>
      <c r="EF127" s="182">
        <v>0</v>
      </c>
      <c r="EG127" s="182">
        <v>0</v>
      </c>
      <c r="EH127" s="182">
        <v>0</v>
      </c>
      <c r="EI127" s="182">
        <v>0</v>
      </c>
      <c r="EJ127" s="182">
        <v>0</v>
      </c>
      <c r="EK127" s="182">
        <v>0</v>
      </c>
      <c r="EL127" s="182">
        <v>0</v>
      </c>
      <c r="EM127" s="182">
        <v>0</v>
      </c>
      <c r="EN127" s="182">
        <v>0</v>
      </c>
      <c r="EO127" s="182">
        <v>0</v>
      </c>
      <c r="EP127" s="182">
        <v>0</v>
      </c>
      <c r="EQ127" s="182">
        <v>0</v>
      </c>
      <c r="ER127" s="182">
        <v>0</v>
      </c>
      <c r="ES127" s="182">
        <v>0</v>
      </c>
      <c r="ET127" s="182">
        <v>0</v>
      </c>
      <c r="EU127" s="182">
        <v>0</v>
      </c>
      <c r="EV127" s="182">
        <v>0</v>
      </c>
      <c r="EW127" s="182">
        <v>0</v>
      </c>
      <c r="EX127" s="182">
        <v>0</v>
      </c>
      <c r="EY127" s="182">
        <v>0</v>
      </c>
      <c r="EZ127" s="182">
        <v>0</v>
      </c>
      <c r="FA127" s="182">
        <v>0</v>
      </c>
      <c r="FB127" s="183">
        <v>0</v>
      </c>
    </row>
    <row r="128" spans="2:158" ht="12.75" customHeight="1" x14ac:dyDescent="0.3">
      <c r="B128" s="199" t="s">
        <v>3938</v>
      </c>
      <c r="C128" s="340"/>
      <c r="D128" s="182">
        <v>0</v>
      </c>
      <c r="E128" s="182">
        <v>0</v>
      </c>
      <c r="F128" s="182">
        <v>0</v>
      </c>
      <c r="G128" s="182">
        <v>0</v>
      </c>
      <c r="H128" s="182">
        <v>0</v>
      </c>
      <c r="I128" s="182">
        <v>0</v>
      </c>
      <c r="J128" s="182">
        <v>0</v>
      </c>
      <c r="K128" s="182">
        <v>0</v>
      </c>
      <c r="L128" s="182">
        <v>0</v>
      </c>
      <c r="M128" s="182">
        <v>0</v>
      </c>
      <c r="N128" s="182">
        <v>0</v>
      </c>
      <c r="O128" s="182">
        <v>0</v>
      </c>
      <c r="P128" s="182">
        <v>0</v>
      </c>
      <c r="Q128" s="182">
        <v>0</v>
      </c>
      <c r="R128" s="182">
        <v>0</v>
      </c>
      <c r="S128" s="182">
        <v>0</v>
      </c>
      <c r="T128" s="182">
        <v>0</v>
      </c>
      <c r="U128" s="182">
        <v>0</v>
      </c>
      <c r="V128" s="182">
        <v>0</v>
      </c>
      <c r="W128" s="182">
        <v>0</v>
      </c>
      <c r="X128" s="182">
        <v>0</v>
      </c>
      <c r="Y128" s="182">
        <v>0</v>
      </c>
      <c r="Z128" s="182">
        <v>0</v>
      </c>
      <c r="AA128" s="182">
        <v>0</v>
      </c>
      <c r="AB128" s="182">
        <v>0</v>
      </c>
      <c r="AC128" s="182">
        <v>0</v>
      </c>
      <c r="AD128" s="182">
        <v>0</v>
      </c>
      <c r="AE128" s="182">
        <v>0</v>
      </c>
      <c r="AF128" s="182">
        <v>0</v>
      </c>
      <c r="AG128" s="182">
        <v>0</v>
      </c>
      <c r="AH128" s="182">
        <v>0</v>
      </c>
      <c r="AI128" s="182">
        <v>0</v>
      </c>
      <c r="AJ128" s="182">
        <v>0</v>
      </c>
      <c r="AK128" s="182">
        <v>0</v>
      </c>
      <c r="AL128" s="182">
        <v>0</v>
      </c>
      <c r="AM128" s="182">
        <v>0</v>
      </c>
      <c r="AN128" s="182">
        <v>0</v>
      </c>
      <c r="AO128" s="182">
        <v>0</v>
      </c>
      <c r="AP128" s="182">
        <v>0</v>
      </c>
      <c r="AQ128" s="182">
        <v>0</v>
      </c>
      <c r="AR128" s="182">
        <v>0</v>
      </c>
      <c r="AS128" s="182">
        <v>0</v>
      </c>
      <c r="AT128" s="182">
        <v>0</v>
      </c>
      <c r="AU128" s="182">
        <v>0</v>
      </c>
      <c r="AV128" s="182">
        <v>0</v>
      </c>
      <c r="AW128" s="182">
        <v>0</v>
      </c>
      <c r="AX128" s="182">
        <v>0</v>
      </c>
      <c r="AY128" s="182">
        <v>0</v>
      </c>
      <c r="AZ128" s="182">
        <v>0</v>
      </c>
      <c r="BA128" s="182">
        <v>0</v>
      </c>
      <c r="BB128" s="168">
        <v>0</v>
      </c>
      <c r="BC128" s="168">
        <v>0</v>
      </c>
      <c r="BD128" s="168">
        <v>0</v>
      </c>
      <c r="BE128" s="168">
        <v>0</v>
      </c>
      <c r="BF128" s="182">
        <v>0</v>
      </c>
      <c r="BG128" s="182">
        <v>0</v>
      </c>
      <c r="BH128" s="182">
        <v>0</v>
      </c>
      <c r="BI128" s="182">
        <v>0</v>
      </c>
      <c r="BJ128" s="182">
        <v>0</v>
      </c>
      <c r="BK128" s="182">
        <v>0</v>
      </c>
      <c r="BL128" s="182">
        <v>0</v>
      </c>
      <c r="BM128" s="182">
        <v>0</v>
      </c>
      <c r="BN128" s="182">
        <v>0</v>
      </c>
      <c r="BO128" s="182">
        <v>0</v>
      </c>
      <c r="BP128" s="182">
        <v>0</v>
      </c>
      <c r="BQ128" s="182">
        <v>0</v>
      </c>
      <c r="BR128" s="182">
        <v>0</v>
      </c>
      <c r="BS128" s="182">
        <v>0</v>
      </c>
      <c r="BT128" s="182">
        <v>0</v>
      </c>
      <c r="BU128" s="182">
        <v>0</v>
      </c>
      <c r="BV128" s="182">
        <v>0</v>
      </c>
      <c r="BW128" s="182">
        <v>0</v>
      </c>
      <c r="BX128" s="182">
        <v>0</v>
      </c>
      <c r="BY128" s="182">
        <v>0</v>
      </c>
      <c r="BZ128" s="182">
        <v>0</v>
      </c>
      <c r="CA128" s="182">
        <v>0</v>
      </c>
      <c r="CB128" s="182">
        <v>0</v>
      </c>
      <c r="CC128" s="182">
        <v>0</v>
      </c>
      <c r="CD128" s="182">
        <v>0</v>
      </c>
      <c r="CE128" s="182">
        <v>0</v>
      </c>
      <c r="CF128" s="182">
        <v>0</v>
      </c>
      <c r="CG128" s="182">
        <v>0</v>
      </c>
      <c r="CH128" s="182">
        <v>0</v>
      </c>
      <c r="CI128" s="182">
        <v>0</v>
      </c>
      <c r="CJ128" s="182">
        <v>0</v>
      </c>
      <c r="CK128" s="182">
        <v>0</v>
      </c>
      <c r="CL128" s="182">
        <v>0</v>
      </c>
      <c r="CM128" s="182">
        <v>0</v>
      </c>
      <c r="CN128" s="182">
        <v>0</v>
      </c>
      <c r="CO128" s="182">
        <v>0</v>
      </c>
      <c r="CP128" s="182">
        <v>0</v>
      </c>
      <c r="CQ128" s="182">
        <v>0</v>
      </c>
      <c r="CR128" s="182">
        <v>0</v>
      </c>
      <c r="CS128" s="177">
        <v>0</v>
      </c>
      <c r="CT128" s="177">
        <v>0</v>
      </c>
      <c r="CU128" s="177">
        <v>0</v>
      </c>
      <c r="CV128" s="177">
        <f>k.w2M.w2A</f>
        <v>3.8674157077409421E-8</v>
      </c>
      <c r="CW128" s="182">
        <v>0</v>
      </c>
      <c r="CX128" s="182">
        <v>0</v>
      </c>
      <c r="CY128" s="182">
        <v>0</v>
      </c>
      <c r="CZ128" s="182">
        <v>0</v>
      </c>
      <c r="DA128" s="182">
        <v>0</v>
      </c>
      <c r="DB128" s="182">
        <v>0</v>
      </c>
      <c r="DC128" s="182">
        <v>0</v>
      </c>
      <c r="DD128" s="182">
        <v>0</v>
      </c>
      <c r="DE128" s="182">
        <v>0</v>
      </c>
      <c r="DF128" s="182">
        <v>0</v>
      </c>
      <c r="DG128" s="182">
        <v>0</v>
      </c>
      <c r="DH128" s="182">
        <v>0</v>
      </c>
      <c r="DI128" s="177">
        <v>0</v>
      </c>
      <c r="DJ128" s="177">
        <v>0</v>
      </c>
      <c r="DK128" s="177">
        <v>0</v>
      </c>
      <c r="DL128" s="177">
        <f>k.aAP.w2AP</f>
        <v>6.0000018000005388E-7</v>
      </c>
      <c r="DM128" s="177">
        <v>0</v>
      </c>
      <c r="DN128" s="177">
        <v>0</v>
      </c>
      <c r="DO128" s="177">
        <f>k.cwAP.w2AP</f>
        <v>1.5854900748352518E-5</v>
      </c>
      <c r="DP128" s="303">
        <v>0</v>
      </c>
      <c r="DQ128" s="304">
        <f>k.w2AS.w2AP</f>
        <v>3.4135491587144741E-5</v>
      </c>
      <c r="DR128" s="304">
        <v>0</v>
      </c>
      <c r="DS128" s="181">
        <f>-k.w2AP-SUM(DS$9:DS127,DS129:DS$163)</f>
        <v>-5.6336545127431375E-7</v>
      </c>
      <c r="DT128" s="177">
        <v>0</v>
      </c>
      <c r="DU128" s="177">
        <v>0</v>
      </c>
      <c r="DV128" s="176">
        <v>0</v>
      </c>
      <c r="DW128" s="177">
        <f>k.w3A.w2A</f>
        <v>8.9753746616491718E-9</v>
      </c>
      <c r="DX128" s="29">
        <v>0</v>
      </c>
      <c r="DY128" s="29">
        <v>0</v>
      </c>
      <c r="DZ128" s="29">
        <v>0</v>
      </c>
      <c r="EA128" s="29">
        <v>0</v>
      </c>
      <c r="EB128" s="177">
        <v>0</v>
      </c>
      <c r="EC128" s="177">
        <v>0</v>
      </c>
      <c r="ED128" s="177">
        <v>0</v>
      </c>
      <c r="EE128" s="177">
        <f>k.sAP.w2AP</f>
        <v>1.9025875190258751E-11</v>
      </c>
      <c r="EF128" s="182">
        <v>0</v>
      </c>
      <c r="EG128" s="182">
        <v>0</v>
      </c>
      <c r="EH128" s="182">
        <v>0</v>
      </c>
      <c r="EI128" s="182">
        <v>0</v>
      </c>
      <c r="EJ128" s="182">
        <v>0</v>
      </c>
      <c r="EK128" s="182">
        <v>0</v>
      </c>
      <c r="EL128" s="182">
        <v>0</v>
      </c>
      <c r="EM128" s="182">
        <v>0</v>
      </c>
      <c r="EN128" s="182">
        <v>0</v>
      </c>
      <c r="EO128" s="182">
        <v>0</v>
      </c>
      <c r="EP128" s="182">
        <v>0</v>
      </c>
      <c r="EQ128" s="182">
        <v>0</v>
      </c>
      <c r="ER128" s="182">
        <v>0</v>
      </c>
      <c r="ES128" s="182">
        <v>0</v>
      </c>
      <c r="ET128" s="182">
        <v>0</v>
      </c>
      <c r="EU128" s="182">
        <v>0</v>
      </c>
      <c r="EV128" s="182">
        <v>0</v>
      </c>
      <c r="EW128" s="182">
        <v>0</v>
      </c>
      <c r="EX128" s="182">
        <v>0</v>
      </c>
      <c r="EY128" s="182">
        <v>0</v>
      </c>
      <c r="EZ128" s="182">
        <v>0</v>
      </c>
      <c r="FA128" s="182">
        <v>0</v>
      </c>
      <c r="FB128" s="183">
        <v>0</v>
      </c>
    </row>
    <row r="129" spans="2:158" ht="12.75" customHeight="1" x14ac:dyDescent="0.3">
      <c r="B129" s="199" t="s">
        <v>3939</v>
      </c>
      <c r="C129" s="340"/>
      <c r="D129" s="182">
        <v>0</v>
      </c>
      <c r="E129" s="182">
        <v>0</v>
      </c>
      <c r="F129" s="182">
        <v>0</v>
      </c>
      <c r="G129" s="182">
        <v>0</v>
      </c>
      <c r="H129" s="182">
        <v>0</v>
      </c>
      <c r="I129" s="182">
        <v>0</v>
      </c>
      <c r="J129" s="182">
        <v>0</v>
      </c>
      <c r="K129" s="182">
        <v>0</v>
      </c>
      <c r="L129" s="182">
        <v>0</v>
      </c>
      <c r="M129" s="182">
        <v>0</v>
      </c>
      <c r="N129" s="182">
        <v>0</v>
      </c>
      <c r="O129" s="182">
        <v>0</v>
      </c>
      <c r="P129" s="182">
        <v>0</v>
      </c>
      <c r="Q129" s="182">
        <v>0</v>
      </c>
      <c r="R129" s="182">
        <v>0</v>
      </c>
      <c r="S129" s="182">
        <v>0</v>
      </c>
      <c r="T129" s="182">
        <v>0</v>
      </c>
      <c r="U129" s="182">
        <v>0</v>
      </c>
      <c r="V129" s="182">
        <v>0</v>
      </c>
      <c r="W129" s="182">
        <v>0</v>
      </c>
      <c r="X129" s="182">
        <v>0</v>
      </c>
      <c r="Y129" s="182">
        <v>0</v>
      </c>
      <c r="Z129" s="182">
        <v>0</v>
      </c>
      <c r="AA129" s="182">
        <v>0</v>
      </c>
      <c r="AB129" s="182">
        <v>0</v>
      </c>
      <c r="AC129" s="182">
        <v>0</v>
      </c>
      <c r="AD129" s="182">
        <v>0</v>
      </c>
      <c r="AE129" s="182">
        <v>0</v>
      </c>
      <c r="AF129" s="182">
        <v>0</v>
      </c>
      <c r="AG129" s="182">
        <v>0</v>
      </c>
      <c r="AH129" s="182">
        <v>0</v>
      </c>
      <c r="AI129" s="182">
        <v>0</v>
      </c>
      <c r="AJ129" s="182">
        <v>0</v>
      </c>
      <c r="AK129" s="182">
        <v>0</v>
      </c>
      <c r="AL129" s="182">
        <v>0</v>
      </c>
      <c r="AM129" s="182">
        <v>0</v>
      </c>
      <c r="AN129" s="182">
        <v>0</v>
      </c>
      <c r="AO129" s="182">
        <v>0</v>
      </c>
      <c r="AP129" s="182">
        <v>0</v>
      </c>
      <c r="AQ129" s="182">
        <v>0</v>
      </c>
      <c r="AR129" s="182">
        <v>0</v>
      </c>
      <c r="AS129" s="182">
        <v>0</v>
      </c>
      <c r="AT129" s="182">
        <v>0</v>
      </c>
      <c r="AU129" s="182">
        <v>0</v>
      </c>
      <c r="AV129" s="182">
        <v>0</v>
      </c>
      <c r="AW129" s="182">
        <v>0</v>
      </c>
      <c r="AX129" s="182">
        <v>0</v>
      </c>
      <c r="AY129" s="182">
        <v>0</v>
      </c>
      <c r="AZ129" s="182">
        <v>0</v>
      </c>
      <c r="BA129" s="182">
        <v>0</v>
      </c>
      <c r="BB129" s="168">
        <v>0</v>
      </c>
      <c r="BC129" s="168">
        <v>0</v>
      </c>
      <c r="BD129" s="168">
        <v>0</v>
      </c>
      <c r="BE129" s="168">
        <v>0</v>
      </c>
      <c r="BF129" s="182">
        <v>0</v>
      </c>
      <c r="BG129" s="182">
        <v>0</v>
      </c>
      <c r="BH129" s="182">
        <v>0</v>
      </c>
      <c r="BI129" s="182">
        <v>0</v>
      </c>
      <c r="BJ129" s="182">
        <v>0</v>
      </c>
      <c r="BK129" s="182">
        <v>0</v>
      </c>
      <c r="BL129" s="182">
        <v>0</v>
      </c>
      <c r="BM129" s="182">
        <v>0</v>
      </c>
      <c r="BN129" s="182">
        <v>0</v>
      </c>
      <c r="BO129" s="182">
        <v>0</v>
      </c>
      <c r="BP129" s="182">
        <v>0</v>
      </c>
      <c r="BQ129" s="182">
        <v>0</v>
      </c>
      <c r="BR129" s="182">
        <v>0</v>
      </c>
      <c r="BS129" s="182">
        <v>0</v>
      </c>
      <c r="BT129" s="182">
        <v>0</v>
      </c>
      <c r="BU129" s="182">
        <v>0</v>
      </c>
      <c r="BV129" s="182">
        <v>0</v>
      </c>
      <c r="BW129" s="182">
        <v>0</v>
      </c>
      <c r="BX129" s="182">
        <v>0</v>
      </c>
      <c r="BY129" s="182">
        <v>0</v>
      </c>
      <c r="BZ129" s="182">
        <v>0</v>
      </c>
      <c r="CA129" s="182">
        <v>0</v>
      </c>
      <c r="CB129" s="182">
        <v>0</v>
      </c>
      <c r="CC129" s="182">
        <v>0</v>
      </c>
      <c r="CD129" s="182">
        <v>0</v>
      </c>
      <c r="CE129" s="182">
        <v>0</v>
      </c>
      <c r="CF129" s="182">
        <v>0</v>
      </c>
      <c r="CG129" s="182">
        <v>0</v>
      </c>
      <c r="CH129" s="182">
        <v>0</v>
      </c>
      <c r="CI129" s="182">
        <v>0</v>
      </c>
      <c r="CJ129" s="182">
        <v>0</v>
      </c>
      <c r="CK129" s="182">
        <v>0</v>
      </c>
      <c r="CL129" s="182">
        <v>0</v>
      </c>
      <c r="CM129" s="182">
        <v>0</v>
      </c>
      <c r="CN129" s="182">
        <v>0</v>
      </c>
      <c r="CO129" s="182">
        <v>0</v>
      </c>
      <c r="CP129" s="182">
        <v>0</v>
      </c>
      <c r="CQ129" s="182">
        <v>0</v>
      </c>
      <c r="CR129" s="182">
        <v>0</v>
      </c>
      <c r="CS129" s="182">
        <v>0</v>
      </c>
      <c r="CT129" s="182">
        <v>0</v>
      </c>
      <c r="CU129" s="182">
        <v>0</v>
      </c>
      <c r="CV129" s="182">
        <v>0</v>
      </c>
      <c r="CW129" s="176">
        <f>k.w3M.w3A</f>
        <v>0</v>
      </c>
      <c r="CX129" s="176">
        <v>0</v>
      </c>
      <c r="CY129" s="176">
        <v>0</v>
      </c>
      <c r="CZ129" s="176">
        <v>0</v>
      </c>
      <c r="DA129" s="182">
        <v>0</v>
      </c>
      <c r="DB129" s="182">
        <v>0</v>
      </c>
      <c r="DC129" s="182">
        <v>0</v>
      </c>
      <c r="DD129" s="182">
        <v>0</v>
      </c>
      <c r="DE129" s="182">
        <v>0</v>
      </c>
      <c r="DF129" s="182">
        <v>0</v>
      </c>
      <c r="DG129" s="182">
        <v>0</v>
      </c>
      <c r="DH129" s="182">
        <v>0</v>
      </c>
      <c r="DI129" s="177">
        <v>0</v>
      </c>
      <c r="DJ129" s="182">
        <v>0</v>
      </c>
      <c r="DK129" s="182">
        <v>0</v>
      </c>
      <c r="DL129" s="182">
        <v>0</v>
      </c>
      <c r="DM129" s="182">
        <v>0</v>
      </c>
      <c r="DN129" s="182">
        <v>0</v>
      </c>
      <c r="DO129" s="182">
        <v>0</v>
      </c>
      <c r="DP129" s="177">
        <f>k.w2A.w3A</f>
        <v>2.6926123984947511E-7</v>
      </c>
      <c r="DQ129" s="176">
        <v>0</v>
      </c>
      <c r="DR129" s="177">
        <v>0</v>
      </c>
      <c r="DS129" s="177">
        <v>0</v>
      </c>
      <c r="DT129" s="310">
        <f>-k.w3A-SUM(DT9:DT128,DT130:DT163)</f>
        <v>-2.9854825300722596E-8</v>
      </c>
      <c r="DU129" s="321">
        <f>kdis.w3S.w3D</f>
        <v>0</v>
      </c>
      <c r="DV129" s="321">
        <f>kdis.w3A.w3D</f>
        <v>0</v>
      </c>
      <c r="DW129" s="321">
        <f>kdis.w3P.w3D</f>
        <v>0</v>
      </c>
      <c r="DX129" s="176">
        <f>k.sdA.w3A</f>
        <v>5.5396574926151886E-8</v>
      </c>
      <c r="DY129" s="176">
        <v>0</v>
      </c>
      <c r="DZ129" s="176">
        <v>0</v>
      </c>
      <c r="EA129" s="176">
        <v>0</v>
      </c>
      <c r="EB129" s="182">
        <v>0</v>
      </c>
      <c r="EC129" s="182">
        <v>0</v>
      </c>
      <c r="ED129" s="182">
        <v>0</v>
      </c>
      <c r="EE129" s="182">
        <v>0</v>
      </c>
      <c r="EF129" s="182">
        <v>0</v>
      </c>
      <c r="EG129" s="182">
        <v>0</v>
      </c>
      <c r="EH129" s="182">
        <v>0</v>
      </c>
      <c r="EI129" s="182">
        <v>0</v>
      </c>
      <c r="EJ129" s="182">
        <v>0</v>
      </c>
      <c r="EK129" s="182">
        <v>0</v>
      </c>
      <c r="EL129" s="182">
        <v>0</v>
      </c>
      <c r="EM129" s="182">
        <v>0</v>
      </c>
      <c r="EN129" s="182">
        <v>0</v>
      </c>
      <c r="EO129" s="182">
        <v>0</v>
      </c>
      <c r="EP129" s="182">
        <v>0</v>
      </c>
      <c r="EQ129" s="182">
        <v>0</v>
      </c>
      <c r="ER129" s="182">
        <v>0</v>
      </c>
      <c r="ES129" s="182">
        <v>0</v>
      </c>
      <c r="ET129" s="182">
        <v>0</v>
      </c>
      <c r="EU129" s="182">
        <v>0</v>
      </c>
      <c r="EV129" s="182">
        <v>0</v>
      </c>
      <c r="EW129" s="182">
        <v>0</v>
      </c>
      <c r="EX129" s="182">
        <v>0</v>
      </c>
      <c r="EY129" s="182">
        <v>0</v>
      </c>
      <c r="EZ129" s="182">
        <v>0</v>
      </c>
      <c r="FA129" s="182">
        <v>0</v>
      </c>
      <c r="FB129" s="183">
        <v>0</v>
      </c>
    </row>
    <row r="130" spans="2:158" ht="12.75" customHeight="1" x14ac:dyDescent="0.3">
      <c r="B130" s="199" t="s">
        <v>3940</v>
      </c>
      <c r="C130" s="340"/>
      <c r="D130" s="182">
        <v>0</v>
      </c>
      <c r="E130" s="182">
        <v>0</v>
      </c>
      <c r="F130" s="182">
        <v>0</v>
      </c>
      <c r="G130" s="182">
        <v>0</v>
      </c>
      <c r="H130" s="182">
        <v>0</v>
      </c>
      <c r="I130" s="182">
        <v>0</v>
      </c>
      <c r="J130" s="182">
        <v>0</v>
      </c>
      <c r="K130" s="182">
        <v>0</v>
      </c>
      <c r="L130" s="182">
        <v>0</v>
      </c>
      <c r="M130" s="182">
        <v>0</v>
      </c>
      <c r="N130" s="182">
        <v>0</v>
      </c>
      <c r="O130" s="182">
        <v>0</v>
      </c>
      <c r="P130" s="182">
        <v>0</v>
      </c>
      <c r="Q130" s="182">
        <v>0</v>
      </c>
      <c r="R130" s="182">
        <v>0</v>
      </c>
      <c r="S130" s="182">
        <v>0</v>
      </c>
      <c r="T130" s="182">
        <v>0</v>
      </c>
      <c r="U130" s="182">
        <v>0</v>
      </c>
      <c r="V130" s="182">
        <v>0</v>
      </c>
      <c r="W130" s="182">
        <v>0</v>
      </c>
      <c r="X130" s="182">
        <v>0</v>
      </c>
      <c r="Y130" s="182">
        <v>0</v>
      </c>
      <c r="Z130" s="182">
        <v>0</v>
      </c>
      <c r="AA130" s="182">
        <v>0</v>
      </c>
      <c r="AB130" s="182">
        <v>0</v>
      </c>
      <c r="AC130" s="182">
        <v>0</v>
      </c>
      <c r="AD130" s="182">
        <v>0</v>
      </c>
      <c r="AE130" s="182">
        <v>0</v>
      </c>
      <c r="AF130" s="182">
        <v>0</v>
      </c>
      <c r="AG130" s="182">
        <v>0</v>
      </c>
      <c r="AH130" s="182">
        <v>0</v>
      </c>
      <c r="AI130" s="182">
        <v>0</v>
      </c>
      <c r="AJ130" s="182">
        <v>0</v>
      </c>
      <c r="AK130" s="182">
        <v>0</v>
      </c>
      <c r="AL130" s="182">
        <v>0</v>
      </c>
      <c r="AM130" s="182">
        <v>0</v>
      </c>
      <c r="AN130" s="182">
        <v>0</v>
      </c>
      <c r="AO130" s="182">
        <v>0</v>
      </c>
      <c r="AP130" s="182">
        <v>0</v>
      </c>
      <c r="AQ130" s="182">
        <v>0</v>
      </c>
      <c r="AR130" s="182">
        <v>0</v>
      </c>
      <c r="AS130" s="182">
        <v>0</v>
      </c>
      <c r="AT130" s="182">
        <v>0</v>
      </c>
      <c r="AU130" s="182">
        <v>0</v>
      </c>
      <c r="AV130" s="182">
        <v>0</v>
      </c>
      <c r="AW130" s="182">
        <v>0</v>
      </c>
      <c r="AX130" s="182">
        <v>0</v>
      </c>
      <c r="AY130" s="182">
        <v>0</v>
      </c>
      <c r="AZ130" s="182">
        <v>0</v>
      </c>
      <c r="BA130" s="182">
        <v>0</v>
      </c>
      <c r="BB130" s="168">
        <v>0</v>
      </c>
      <c r="BC130" s="168">
        <v>0</v>
      </c>
      <c r="BD130" s="168">
        <v>0</v>
      </c>
      <c r="BE130" s="168">
        <v>0</v>
      </c>
      <c r="BF130" s="182">
        <v>0</v>
      </c>
      <c r="BG130" s="182">
        <v>0</v>
      </c>
      <c r="BH130" s="182">
        <v>0</v>
      </c>
      <c r="BI130" s="182">
        <v>0</v>
      </c>
      <c r="BJ130" s="182">
        <v>0</v>
      </c>
      <c r="BK130" s="182">
        <v>0</v>
      </c>
      <c r="BL130" s="182">
        <v>0</v>
      </c>
      <c r="BM130" s="182">
        <v>0</v>
      </c>
      <c r="BN130" s="182">
        <v>0</v>
      </c>
      <c r="BO130" s="182">
        <v>0</v>
      </c>
      <c r="BP130" s="182">
        <v>0</v>
      </c>
      <c r="BQ130" s="182">
        <v>0</v>
      </c>
      <c r="BR130" s="182">
        <v>0</v>
      </c>
      <c r="BS130" s="182">
        <v>0</v>
      </c>
      <c r="BT130" s="182">
        <v>0</v>
      </c>
      <c r="BU130" s="182">
        <v>0</v>
      </c>
      <c r="BV130" s="182">
        <v>0</v>
      </c>
      <c r="BW130" s="182">
        <v>0</v>
      </c>
      <c r="BX130" s="182">
        <v>0</v>
      </c>
      <c r="BY130" s="182">
        <v>0</v>
      </c>
      <c r="BZ130" s="182">
        <v>0</v>
      </c>
      <c r="CA130" s="182">
        <v>0</v>
      </c>
      <c r="CB130" s="182">
        <v>0</v>
      </c>
      <c r="CC130" s="182">
        <v>0</v>
      </c>
      <c r="CD130" s="182">
        <v>0</v>
      </c>
      <c r="CE130" s="182">
        <v>0</v>
      </c>
      <c r="CF130" s="182">
        <v>0</v>
      </c>
      <c r="CG130" s="182">
        <v>0</v>
      </c>
      <c r="CH130" s="182">
        <v>0</v>
      </c>
      <c r="CI130" s="182">
        <v>0</v>
      </c>
      <c r="CJ130" s="182">
        <v>0</v>
      </c>
      <c r="CK130" s="182">
        <v>0</v>
      </c>
      <c r="CL130" s="182">
        <v>0</v>
      </c>
      <c r="CM130" s="182">
        <v>0</v>
      </c>
      <c r="CN130" s="182">
        <v>0</v>
      </c>
      <c r="CO130" s="182">
        <v>0</v>
      </c>
      <c r="CP130" s="182">
        <v>0</v>
      </c>
      <c r="CQ130" s="182">
        <v>0</v>
      </c>
      <c r="CR130" s="182">
        <v>0</v>
      </c>
      <c r="CS130" s="182">
        <v>0</v>
      </c>
      <c r="CT130" s="182">
        <v>0</v>
      </c>
      <c r="CU130" s="182">
        <v>0</v>
      </c>
      <c r="CV130" s="182">
        <v>0</v>
      </c>
      <c r="CW130" s="176">
        <v>0</v>
      </c>
      <c r="CX130" s="176">
        <f>k.w3M.w3A</f>
        <v>0</v>
      </c>
      <c r="CY130" s="176">
        <v>0</v>
      </c>
      <c r="CZ130" s="176">
        <v>0</v>
      </c>
      <c r="DA130" s="182">
        <v>0</v>
      </c>
      <c r="DB130" s="182">
        <v>0</v>
      </c>
      <c r="DC130" s="182">
        <v>0</v>
      </c>
      <c r="DD130" s="182">
        <v>0</v>
      </c>
      <c r="DE130" s="182">
        <v>0</v>
      </c>
      <c r="DF130" s="182">
        <v>0</v>
      </c>
      <c r="DG130" s="182">
        <v>0</v>
      </c>
      <c r="DH130" s="182">
        <v>0</v>
      </c>
      <c r="DI130" s="177">
        <v>0</v>
      </c>
      <c r="DJ130" s="182">
        <v>0</v>
      </c>
      <c r="DK130" s="182">
        <v>0</v>
      </c>
      <c r="DL130" s="182">
        <v>0</v>
      </c>
      <c r="DM130" s="182">
        <v>0</v>
      </c>
      <c r="DN130" s="182">
        <v>0</v>
      </c>
      <c r="DO130" s="182">
        <v>0</v>
      </c>
      <c r="DP130" s="177">
        <v>0</v>
      </c>
      <c r="DQ130" s="177">
        <f>k.w2AS.w3AS</f>
        <v>2.6926827154608188E-7</v>
      </c>
      <c r="DR130" s="176">
        <v>0</v>
      </c>
      <c r="DS130" s="177">
        <v>0</v>
      </c>
      <c r="DT130" s="323">
        <v>0</v>
      </c>
      <c r="DU130" s="181">
        <f>-k.w3AS-SUM(DU$9:DU129,DU131:DU$163)</f>
        <v>-2.9548136268054991E-3</v>
      </c>
      <c r="DV130" s="177">
        <v>0</v>
      </c>
      <c r="DW130" s="302">
        <v>0</v>
      </c>
      <c r="DX130" s="176">
        <v>0</v>
      </c>
      <c r="DY130" s="177">
        <f>k.sdAS.w3AS</f>
        <v>9.6429477422628121E-9</v>
      </c>
      <c r="DZ130" s="176">
        <v>0</v>
      </c>
      <c r="EA130" s="176">
        <v>0</v>
      </c>
      <c r="EB130" s="182">
        <v>0</v>
      </c>
      <c r="EC130" s="182">
        <v>0</v>
      </c>
      <c r="ED130" s="182">
        <v>0</v>
      </c>
      <c r="EE130" s="182">
        <v>0</v>
      </c>
      <c r="EF130" s="182">
        <v>0</v>
      </c>
      <c r="EG130" s="182">
        <v>0</v>
      </c>
      <c r="EH130" s="182">
        <v>0</v>
      </c>
      <c r="EI130" s="182">
        <v>0</v>
      </c>
      <c r="EJ130" s="182">
        <v>0</v>
      </c>
      <c r="EK130" s="182">
        <v>0</v>
      </c>
      <c r="EL130" s="182">
        <v>0</v>
      </c>
      <c r="EM130" s="182">
        <v>0</v>
      </c>
      <c r="EN130" s="182">
        <v>0</v>
      </c>
      <c r="EO130" s="182">
        <v>0</v>
      </c>
      <c r="EP130" s="182">
        <v>0</v>
      </c>
      <c r="EQ130" s="182">
        <v>0</v>
      </c>
      <c r="ER130" s="182">
        <v>0</v>
      </c>
      <c r="ES130" s="182">
        <v>0</v>
      </c>
      <c r="ET130" s="182">
        <v>0</v>
      </c>
      <c r="EU130" s="182">
        <v>0</v>
      </c>
      <c r="EV130" s="182">
        <v>0</v>
      </c>
      <c r="EW130" s="182">
        <v>0</v>
      </c>
      <c r="EX130" s="182">
        <v>0</v>
      </c>
      <c r="EY130" s="182">
        <v>0</v>
      </c>
      <c r="EZ130" s="182">
        <v>0</v>
      </c>
      <c r="FA130" s="182">
        <v>0</v>
      </c>
      <c r="FB130" s="183">
        <v>0</v>
      </c>
    </row>
    <row r="131" spans="2:158" ht="12.75" customHeight="1" x14ac:dyDescent="0.3">
      <c r="B131" s="199" t="s">
        <v>3941</v>
      </c>
      <c r="C131" s="340"/>
      <c r="D131" s="182">
        <v>0</v>
      </c>
      <c r="E131" s="182">
        <v>0</v>
      </c>
      <c r="F131" s="182">
        <v>0</v>
      </c>
      <c r="G131" s="182">
        <v>0</v>
      </c>
      <c r="H131" s="182">
        <v>0</v>
      </c>
      <c r="I131" s="182">
        <v>0</v>
      </c>
      <c r="J131" s="182">
        <v>0</v>
      </c>
      <c r="K131" s="182">
        <v>0</v>
      </c>
      <c r="L131" s="182">
        <v>0</v>
      </c>
      <c r="M131" s="182">
        <v>0</v>
      </c>
      <c r="N131" s="182">
        <v>0</v>
      </c>
      <c r="O131" s="182">
        <v>0</v>
      </c>
      <c r="P131" s="182">
        <v>0</v>
      </c>
      <c r="Q131" s="182">
        <v>0</v>
      </c>
      <c r="R131" s="182">
        <v>0</v>
      </c>
      <c r="S131" s="182">
        <v>0</v>
      </c>
      <c r="T131" s="182">
        <v>0</v>
      </c>
      <c r="U131" s="182">
        <v>0</v>
      </c>
      <c r="V131" s="182">
        <v>0</v>
      </c>
      <c r="W131" s="182">
        <v>0</v>
      </c>
      <c r="X131" s="182">
        <v>0</v>
      </c>
      <c r="Y131" s="182">
        <v>0</v>
      </c>
      <c r="Z131" s="182">
        <v>0</v>
      </c>
      <c r="AA131" s="182">
        <v>0</v>
      </c>
      <c r="AB131" s="182">
        <v>0</v>
      </c>
      <c r="AC131" s="182">
        <v>0</v>
      </c>
      <c r="AD131" s="182">
        <v>0</v>
      </c>
      <c r="AE131" s="182">
        <v>0</v>
      </c>
      <c r="AF131" s="182">
        <v>0</v>
      </c>
      <c r="AG131" s="182">
        <v>0</v>
      </c>
      <c r="AH131" s="182">
        <v>0</v>
      </c>
      <c r="AI131" s="182">
        <v>0</v>
      </c>
      <c r="AJ131" s="182">
        <v>0</v>
      </c>
      <c r="AK131" s="182">
        <v>0</v>
      </c>
      <c r="AL131" s="182">
        <v>0</v>
      </c>
      <c r="AM131" s="182">
        <v>0</v>
      </c>
      <c r="AN131" s="182">
        <v>0</v>
      </c>
      <c r="AO131" s="182">
        <v>0</v>
      </c>
      <c r="AP131" s="182">
        <v>0</v>
      </c>
      <c r="AQ131" s="182">
        <v>0</v>
      </c>
      <c r="AR131" s="182">
        <v>0</v>
      </c>
      <c r="AS131" s="182">
        <v>0</v>
      </c>
      <c r="AT131" s="182">
        <v>0</v>
      </c>
      <c r="AU131" s="182">
        <v>0</v>
      </c>
      <c r="AV131" s="182">
        <v>0</v>
      </c>
      <c r="AW131" s="182">
        <v>0</v>
      </c>
      <c r="AX131" s="182">
        <v>0</v>
      </c>
      <c r="AY131" s="182">
        <v>0</v>
      </c>
      <c r="AZ131" s="182">
        <v>0</v>
      </c>
      <c r="BA131" s="182">
        <v>0</v>
      </c>
      <c r="BB131" s="168">
        <v>0</v>
      </c>
      <c r="BC131" s="168">
        <v>0</v>
      </c>
      <c r="BD131" s="168">
        <v>0</v>
      </c>
      <c r="BE131" s="168">
        <v>0</v>
      </c>
      <c r="BF131" s="182">
        <v>0</v>
      </c>
      <c r="BG131" s="182">
        <v>0</v>
      </c>
      <c r="BH131" s="182">
        <v>0</v>
      </c>
      <c r="BI131" s="182">
        <v>0</v>
      </c>
      <c r="BJ131" s="182">
        <v>0</v>
      </c>
      <c r="BK131" s="182">
        <v>0</v>
      </c>
      <c r="BL131" s="182">
        <v>0</v>
      </c>
      <c r="BM131" s="182">
        <v>0</v>
      </c>
      <c r="BN131" s="182">
        <v>0</v>
      </c>
      <c r="BO131" s="182">
        <v>0</v>
      </c>
      <c r="BP131" s="182">
        <v>0</v>
      </c>
      <c r="BQ131" s="182">
        <v>0</v>
      </c>
      <c r="BR131" s="182">
        <v>0</v>
      </c>
      <c r="BS131" s="182">
        <v>0</v>
      </c>
      <c r="BT131" s="182">
        <v>0</v>
      </c>
      <c r="BU131" s="182">
        <v>0</v>
      </c>
      <c r="BV131" s="182">
        <v>0</v>
      </c>
      <c r="BW131" s="182">
        <v>0</v>
      </c>
      <c r="BX131" s="182">
        <v>0</v>
      </c>
      <c r="BY131" s="182">
        <v>0</v>
      </c>
      <c r="BZ131" s="182">
        <v>0</v>
      </c>
      <c r="CA131" s="182">
        <v>0</v>
      </c>
      <c r="CB131" s="182">
        <v>0</v>
      </c>
      <c r="CC131" s="182">
        <v>0</v>
      </c>
      <c r="CD131" s="182">
        <v>0</v>
      </c>
      <c r="CE131" s="182">
        <v>0</v>
      </c>
      <c r="CF131" s="182">
        <v>0</v>
      </c>
      <c r="CG131" s="182">
        <v>0</v>
      </c>
      <c r="CH131" s="182">
        <v>0</v>
      </c>
      <c r="CI131" s="182">
        <v>0</v>
      </c>
      <c r="CJ131" s="182">
        <v>0</v>
      </c>
      <c r="CK131" s="182">
        <v>0</v>
      </c>
      <c r="CL131" s="182">
        <v>0</v>
      </c>
      <c r="CM131" s="182">
        <v>0</v>
      </c>
      <c r="CN131" s="182">
        <v>0</v>
      </c>
      <c r="CO131" s="182">
        <v>0</v>
      </c>
      <c r="CP131" s="182">
        <v>0</v>
      </c>
      <c r="CQ131" s="182">
        <v>0</v>
      </c>
      <c r="CR131" s="182">
        <v>0</v>
      </c>
      <c r="CS131" s="182">
        <v>0</v>
      </c>
      <c r="CT131" s="182">
        <v>0</v>
      </c>
      <c r="CU131" s="182">
        <v>0</v>
      </c>
      <c r="CV131" s="182">
        <v>0</v>
      </c>
      <c r="CW131" s="176">
        <v>0</v>
      </c>
      <c r="CX131" s="176">
        <v>0</v>
      </c>
      <c r="CY131" s="176">
        <f>k.w3M.w3A</f>
        <v>0</v>
      </c>
      <c r="CZ131" s="176">
        <v>0</v>
      </c>
      <c r="DA131" s="182">
        <v>0</v>
      </c>
      <c r="DB131" s="182">
        <v>0</v>
      </c>
      <c r="DC131" s="182">
        <v>0</v>
      </c>
      <c r="DD131" s="182">
        <v>0</v>
      </c>
      <c r="DE131" s="182">
        <v>0</v>
      </c>
      <c r="DF131" s="182">
        <v>0</v>
      </c>
      <c r="DG131" s="182">
        <v>0</v>
      </c>
      <c r="DH131" s="182">
        <v>0</v>
      </c>
      <c r="DI131" s="177">
        <v>0</v>
      </c>
      <c r="DJ131" s="177">
        <v>0</v>
      </c>
      <c r="DK131" s="177">
        <v>0</v>
      </c>
      <c r="DL131" s="177">
        <v>0</v>
      </c>
      <c r="DM131" s="177">
        <v>0</v>
      </c>
      <c r="DN131" s="177">
        <v>0</v>
      </c>
      <c r="DO131" s="177">
        <v>0</v>
      </c>
      <c r="DP131" s="177">
        <v>0</v>
      </c>
      <c r="DQ131" s="177">
        <v>0</v>
      </c>
      <c r="DR131" s="177">
        <f>k.w2AA.w3AA</f>
        <v>2.6975216014808141E-7</v>
      </c>
      <c r="DS131" s="177">
        <v>0</v>
      </c>
      <c r="DT131" s="323">
        <v>0</v>
      </c>
      <c r="DU131" s="177">
        <f>k.w3AS.w3AA</f>
        <v>2.9206671988249891E-3</v>
      </c>
      <c r="DV131" s="181">
        <f>-k.w3AA-SUM(DV$9:DV130,DV132:DV$163)</f>
        <v>-1.0952522985328206E-8</v>
      </c>
      <c r="DW131" s="302">
        <v>0</v>
      </c>
      <c r="DX131" s="177">
        <v>0</v>
      </c>
      <c r="DY131" s="176">
        <v>0</v>
      </c>
      <c r="DZ131" s="177">
        <f>k.sdAA.w3AA</f>
        <v>9.6429477422628121E-9</v>
      </c>
      <c r="EA131" s="176">
        <v>0</v>
      </c>
      <c r="EB131" s="182">
        <v>0</v>
      </c>
      <c r="EC131" s="182">
        <v>0</v>
      </c>
      <c r="ED131" s="182">
        <v>0</v>
      </c>
      <c r="EE131" s="182">
        <v>0</v>
      </c>
      <c r="EF131" s="182">
        <v>0</v>
      </c>
      <c r="EG131" s="182">
        <v>0</v>
      </c>
      <c r="EH131" s="182">
        <v>0</v>
      </c>
      <c r="EI131" s="182">
        <v>0</v>
      </c>
      <c r="EJ131" s="182">
        <v>0</v>
      </c>
      <c r="EK131" s="182">
        <v>0</v>
      </c>
      <c r="EL131" s="182">
        <v>0</v>
      </c>
      <c r="EM131" s="182">
        <v>0</v>
      </c>
      <c r="EN131" s="182">
        <v>0</v>
      </c>
      <c r="EO131" s="182">
        <v>0</v>
      </c>
      <c r="EP131" s="182">
        <v>0</v>
      </c>
      <c r="EQ131" s="182">
        <v>0</v>
      </c>
      <c r="ER131" s="182">
        <v>0</v>
      </c>
      <c r="ES131" s="182">
        <v>0</v>
      </c>
      <c r="ET131" s="182">
        <v>0</v>
      </c>
      <c r="EU131" s="182">
        <v>0</v>
      </c>
      <c r="EV131" s="182">
        <v>0</v>
      </c>
      <c r="EW131" s="182">
        <v>0</v>
      </c>
      <c r="EX131" s="182">
        <v>0</v>
      </c>
      <c r="EY131" s="182">
        <v>0</v>
      </c>
      <c r="EZ131" s="182">
        <v>0</v>
      </c>
      <c r="FA131" s="182">
        <v>0</v>
      </c>
      <c r="FB131" s="183">
        <v>0</v>
      </c>
    </row>
    <row r="132" spans="2:158" ht="12.75" customHeight="1" x14ac:dyDescent="0.3">
      <c r="B132" s="199" t="s">
        <v>3942</v>
      </c>
      <c r="C132" s="340"/>
      <c r="D132" s="182">
        <v>0</v>
      </c>
      <c r="E132" s="182">
        <v>0</v>
      </c>
      <c r="F132" s="182">
        <v>0</v>
      </c>
      <c r="G132" s="182">
        <v>0</v>
      </c>
      <c r="H132" s="182">
        <v>0</v>
      </c>
      <c r="I132" s="182">
        <v>0</v>
      </c>
      <c r="J132" s="182">
        <v>0</v>
      </c>
      <c r="K132" s="182">
        <v>0</v>
      </c>
      <c r="L132" s="182">
        <v>0</v>
      </c>
      <c r="M132" s="182">
        <v>0</v>
      </c>
      <c r="N132" s="182">
        <v>0</v>
      </c>
      <c r="O132" s="182">
        <v>0</v>
      </c>
      <c r="P132" s="182">
        <v>0</v>
      </c>
      <c r="Q132" s="182">
        <v>0</v>
      </c>
      <c r="R132" s="182">
        <v>0</v>
      </c>
      <c r="S132" s="182">
        <v>0</v>
      </c>
      <c r="T132" s="182">
        <v>0</v>
      </c>
      <c r="U132" s="182">
        <v>0</v>
      </c>
      <c r="V132" s="182">
        <v>0</v>
      </c>
      <c r="W132" s="182">
        <v>0</v>
      </c>
      <c r="X132" s="182">
        <v>0</v>
      </c>
      <c r="Y132" s="182">
        <v>0</v>
      </c>
      <c r="Z132" s="182">
        <v>0</v>
      </c>
      <c r="AA132" s="182">
        <v>0</v>
      </c>
      <c r="AB132" s="182">
        <v>0</v>
      </c>
      <c r="AC132" s="182">
        <v>0</v>
      </c>
      <c r="AD132" s="182">
        <v>0</v>
      </c>
      <c r="AE132" s="182">
        <v>0</v>
      </c>
      <c r="AF132" s="182">
        <v>0</v>
      </c>
      <c r="AG132" s="182">
        <v>0</v>
      </c>
      <c r="AH132" s="182">
        <v>0</v>
      </c>
      <c r="AI132" s="182">
        <v>0</v>
      </c>
      <c r="AJ132" s="182">
        <v>0</v>
      </c>
      <c r="AK132" s="182">
        <v>0</v>
      </c>
      <c r="AL132" s="182">
        <v>0</v>
      </c>
      <c r="AM132" s="182">
        <v>0</v>
      </c>
      <c r="AN132" s="182">
        <v>0</v>
      </c>
      <c r="AO132" s="182">
        <v>0</v>
      </c>
      <c r="AP132" s="182">
        <v>0</v>
      </c>
      <c r="AQ132" s="182">
        <v>0</v>
      </c>
      <c r="AR132" s="182">
        <v>0</v>
      </c>
      <c r="AS132" s="182">
        <v>0</v>
      </c>
      <c r="AT132" s="182">
        <v>0</v>
      </c>
      <c r="AU132" s="182">
        <v>0</v>
      </c>
      <c r="AV132" s="182">
        <v>0</v>
      </c>
      <c r="AW132" s="182">
        <v>0</v>
      </c>
      <c r="AX132" s="182">
        <v>0</v>
      </c>
      <c r="AY132" s="182">
        <v>0</v>
      </c>
      <c r="AZ132" s="182">
        <v>0</v>
      </c>
      <c r="BA132" s="182">
        <v>0</v>
      </c>
      <c r="BB132" s="168">
        <v>0</v>
      </c>
      <c r="BC132" s="168">
        <v>0</v>
      </c>
      <c r="BD132" s="168">
        <v>0</v>
      </c>
      <c r="BE132" s="168">
        <v>0</v>
      </c>
      <c r="BF132" s="182">
        <v>0</v>
      </c>
      <c r="BG132" s="182">
        <v>0</v>
      </c>
      <c r="BH132" s="182">
        <v>0</v>
      </c>
      <c r="BI132" s="182">
        <v>0</v>
      </c>
      <c r="BJ132" s="182">
        <v>0</v>
      </c>
      <c r="BK132" s="182">
        <v>0</v>
      </c>
      <c r="BL132" s="182">
        <v>0</v>
      </c>
      <c r="BM132" s="182">
        <v>0</v>
      </c>
      <c r="BN132" s="182">
        <v>0</v>
      </c>
      <c r="BO132" s="182">
        <v>0</v>
      </c>
      <c r="BP132" s="182">
        <v>0</v>
      </c>
      <c r="BQ132" s="182">
        <v>0</v>
      </c>
      <c r="BR132" s="182">
        <v>0</v>
      </c>
      <c r="BS132" s="182">
        <v>0</v>
      </c>
      <c r="BT132" s="182">
        <v>0</v>
      </c>
      <c r="BU132" s="182">
        <v>0</v>
      </c>
      <c r="BV132" s="182">
        <v>0</v>
      </c>
      <c r="BW132" s="182">
        <v>0</v>
      </c>
      <c r="BX132" s="182">
        <v>0</v>
      </c>
      <c r="BY132" s="182">
        <v>0</v>
      </c>
      <c r="BZ132" s="182">
        <v>0</v>
      </c>
      <c r="CA132" s="182">
        <v>0</v>
      </c>
      <c r="CB132" s="182">
        <v>0</v>
      </c>
      <c r="CC132" s="182">
        <v>0</v>
      </c>
      <c r="CD132" s="182">
        <v>0</v>
      </c>
      <c r="CE132" s="182">
        <v>0</v>
      </c>
      <c r="CF132" s="182">
        <v>0</v>
      </c>
      <c r="CG132" s="182">
        <v>0</v>
      </c>
      <c r="CH132" s="182">
        <v>0</v>
      </c>
      <c r="CI132" s="182">
        <v>0</v>
      </c>
      <c r="CJ132" s="182">
        <v>0</v>
      </c>
      <c r="CK132" s="182">
        <v>0</v>
      </c>
      <c r="CL132" s="182">
        <v>0</v>
      </c>
      <c r="CM132" s="182">
        <v>0</v>
      </c>
      <c r="CN132" s="182">
        <v>0</v>
      </c>
      <c r="CO132" s="182">
        <v>0</v>
      </c>
      <c r="CP132" s="182">
        <v>0</v>
      </c>
      <c r="CQ132" s="182">
        <v>0</v>
      </c>
      <c r="CR132" s="182">
        <v>0</v>
      </c>
      <c r="CS132" s="182">
        <v>0</v>
      </c>
      <c r="CT132" s="182">
        <v>0</v>
      </c>
      <c r="CU132" s="182">
        <v>0</v>
      </c>
      <c r="CV132" s="182">
        <v>0</v>
      </c>
      <c r="CW132" s="176">
        <v>0</v>
      </c>
      <c r="CX132" s="176">
        <v>0</v>
      </c>
      <c r="CY132" s="176">
        <v>0</v>
      </c>
      <c r="CZ132" s="176">
        <f>k.w3M.w3A</f>
        <v>0</v>
      </c>
      <c r="DA132" s="182">
        <v>0</v>
      </c>
      <c r="DB132" s="182">
        <v>0</v>
      </c>
      <c r="DC132" s="182">
        <v>0</v>
      </c>
      <c r="DD132" s="182">
        <v>0</v>
      </c>
      <c r="DE132" s="182">
        <v>0</v>
      </c>
      <c r="DF132" s="182">
        <v>0</v>
      </c>
      <c r="DG132" s="182">
        <v>0</v>
      </c>
      <c r="DH132" s="182">
        <v>0</v>
      </c>
      <c r="DI132" s="182">
        <v>0</v>
      </c>
      <c r="DJ132" s="182">
        <v>0</v>
      </c>
      <c r="DK132" s="182">
        <v>0</v>
      </c>
      <c r="DL132" s="182">
        <v>0</v>
      </c>
      <c r="DM132" s="182">
        <v>0</v>
      </c>
      <c r="DN132" s="182">
        <v>0</v>
      </c>
      <c r="DO132" s="182">
        <v>0</v>
      </c>
      <c r="DP132" s="177">
        <v>0</v>
      </c>
      <c r="DQ132" s="177">
        <v>0</v>
      </c>
      <c r="DR132" s="177">
        <v>0</v>
      </c>
      <c r="DS132" s="177">
        <f>k.w2AP.w3AP</f>
        <v>5.6336545127431375E-7</v>
      </c>
      <c r="DT132" s="303">
        <v>0</v>
      </c>
      <c r="DU132" s="304">
        <f>k.w3AS.w3AP</f>
        <v>3.4135491587144741E-5</v>
      </c>
      <c r="DV132" s="304">
        <v>0</v>
      </c>
      <c r="DW132" s="181">
        <f>-k.w3AP-SUM(DW$9:DW131,DW133:DW$163)</f>
        <v>-2.073963268953595E-8</v>
      </c>
      <c r="DX132" s="177">
        <v>0</v>
      </c>
      <c r="DY132" s="177">
        <v>0</v>
      </c>
      <c r="DZ132" s="176">
        <v>0</v>
      </c>
      <c r="EA132" s="177">
        <f>k.sdAP.w3AP</f>
        <v>9.6429477422628121E-9</v>
      </c>
      <c r="EB132" s="182">
        <v>0</v>
      </c>
      <c r="EC132" s="182">
        <v>0</v>
      </c>
      <c r="ED132" s="182">
        <v>0</v>
      </c>
      <c r="EE132" s="182">
        <v>0</v>
      </c>
      <c r="EF132" s="182">
        <v>0</v>
      </c>
      <c r="EG132" s="182">
        <v>0</v>
      </c>
      <c r="EH132" s="182">
        <v>0</v>
      </c>
      <c r="EI132" s="182">
        <v>0</v>
      </c>
      <c r="EJ132" s="182">
        <v>0</v>
      </c>
      <c r="EK132" s="182">
        <v>0</v>
      </c>
      <c r="EL132" s="182">
        <v>0</v>
      </c>
      <c r="EM132" s="182">
        <v>0</v>
      </c>
      <c r="EN132" s="182">
        <v>0</v>
      </c>
      <c r="EO132" s="182">
        <v>0</v>
      </c>
      <c r="EP132" s="182">
        <v>0</v>
      </c>
      <c r="EQ132" s="182">
        <v>0</v>
      </c>
      <c r="ER132" s="182">
        <v>0</v>
      </c>
      <c r="ES132" s="182">
        <v>0</v>
      </c>
      <c r="ET132" s="182">
        <v>0</v>
      </c>
      <c r="EU132" s="182">
        <v>0</v>
      </c>
      <c r="EV132" s="182">
        <v>0</v>
      </c>
      <c r="EW132" s="182">
        <v>0</v>
      </c>
      <c r="EX132" s="182">
        <v>0</v>
      </c>
      <c r="EY132" s="182">
        <v>0</v>
      </c>
      <c r="EZ132" s="182">
        <v>0</v>
      </c>
      <c r="FA132" s="182">
        <v>0</v>
      </c>
      <c r="FB132" s="183">
        <v>0</v>
      </c>
    </row>
    <row r="133" spans="2:158" ht="12.75" customHeight="1" x14ac:dyDescent="0.3">
      <c r="B133" s="199" t="s">
        <v>3943</v>
      </c>
      <c r="C133" s="340"/>
      <c r="D133" s="182">
        <v>0</v>
      </c>
      <c r="E133" s="182">
        <v>0</v>
      </c>
      <c r="F133" s="182">
        <v>0</v>
      </c>
      <c r="G133" s="182">
        <v>0</v>
      </c>
      <c r="H133" s="182">
        <v>0</v>
      </c>
      <c r="I133" s="182">
        <v>0</v>
      </c>
      <c r="J133" s="182">
        <v>0</v>
      </c>
      <c r="K133" s="182">
        <v>0</v>
      </c>
      <c r="L133" s="182">
        <v>0</v>
      </c>
      <c r="M133" s="182">
        <v>0</v>
      </c>
      <c r="N133" s="182">
        <v>0</v>
      </c>
      <c r="O133" s="182">
        <v>0</v>
      </c>
      <c r="P133" s="182">
        <v>0</v>
      </c>
      <c r="Q133" s="182">
        <v>0</v>
      </c>
      <c r="R133" s="182">
        <v>0</v>
      </c>
      <c r="S133" s="182">
        <v>0</v>
      </c>
      <c r="T133" s="182">
        <v>0</v>
      </c>
      <c r="U133" s="182">
        <v>0</v>
      </c>
      <c r="V133" s="182">
        <v>0</v>
      </c>
      <c r="W133" s="182">
        <v>0</v>
      </c>
      <c r="X133" s="182">
        <v>0</v>
      </c>
      <c r="Y133" s="182">
        <v>0</v>
      </c>
      <c r="Z133" s="182">
        <v>0</v>
      </c>
      <c r="AA133" s="182">
        <v>0</v>
      </c>
      <c r="AB133" s="182">
        <v>0</v>
      </c>
      <c r="AC133" s="182">
        <v>0</v>
      </c>
      <c r="AD133" s="182">
        <v>0</v>
      </c>
      <c r="AE133" s="182">
        <v>0</v>
      </c>
      <c r="AF133" s="182">
        <v>0</v>
      </c>
      <c r="AG133" s="182">
        <v>0</v>
      </c>
      <c r="AH133" s="182">
        <v>0</v>
      </c>
      <c r="AI133" s="182">
        <v>0</v>
      </c>
      <c r="AJ133" s="182">
        <v>0</v>
      </c>
      <c r="AK133" s="182">
        <v>0</v>
      </c>
      <c r="AL133" s="182">
        <v>0</v>
      </c>
      <c r="AM133" s="182">
        <v>0</v>
      </c>
      <c r="AN133" s="182">
        <v>0</v>
      </c>
      <c r="AO133" s="182">
        <v>0</v>
      </c>
      <c r="AP133" s="182">
        <v>0</v>
      </c>
      <c r="AQ133" s="182">
        <v>0</v>
      </c>
      <c r="AR133" s="182">
        <v>0</v>
      </c>
      <c r="AS133" s="182">
        <v>0</v>
      </c>
      <c r="AT133" s="182">
        <v>0</v>
      </c>
      <c r="AU133" s="182">
        <v>0</v>
      </c>
      <c r="AV133" s="182">
        <v>0</v>
      </c>
      <c r="AW133" s="182">
        <v>0</v>
      </c>
      <c r="AX133" s="182">
        <v>0</v>
      </c>
      <c r="AY133" s="182">
        <v>0</v>
      </c>
      <c r="AZ133" s="182">
        <v>0</v>
      </c>
      <c r="BA133" s="182">
        <v>0</v>
      </c>
      <c r="BB133" s="168">
        <v>0</v>
      </c>
      <c r="BC133" s="168">
        <v>0</v>
      </c>
      <c r="BD133" s="168">
        <v>0</v>
      </c>
      <c r="BE133" s="168">
        <v>0</v>
      </c>
      <c r="BF133" s="182">
        <v>0</v>
      </c>
      <c r="BG133" s="182">
        <v>0</v>
      </c>
      <c r="BH133" s="182">
        <v>0</v>
      </c>
      <c r="BI133" s="182">
        <v>0</v>
      </c>
      <c r="BJ133" s="182">
        <v>0</v>
      </c>
      <c r="BK133" s="182">
        <v>0</v>
      </c>
      <c r="BL133" s="182">
        <v>0</v>
      </c>
      <c r="BM133" s="182">
        <v>0</v>
      </c>
      <c r="BN133" s="182">
        <v>0</v>
      </c>
      <c r="BO133" s="182">
        <v>0</v>
      </c>
      <c r="BP133" s="182">
        <v>0</v>
      </c>
      <c r="BQ133" s="182">
        <v>0</v>
      </c>
      <c r="BR133" s="182">
        <v>0</v>
      </c>
      <c r="BS133" s="182">
        <v>0</v>
      </c>
      <c r="BT133" s="182">
        <v>0</v>
      </c>
      <c r="BU133" s="182">
        <v>0</v>
      </c>
      <c r="BV133" s="182">
        <v>0</v>
      </c>
      <c r="BW133" s="182">
        <v>0</v>
      </c>
      <c r="BX133" s="182">
        <v>0</v>
      </c>
      <c r="BY133" s="182">
        <v>0</v>
      </c>
      <c r="BZ133" s="182">
        <v>0</v>
      </c>
      <c r="CA133" s="182">
        <v>0</v>
      </c>
      <c r="CB133" s="182">
        <v>0</v>
      </c>
      <c r="CC133" s="182">
        <v>0</v>
      </c>
      <c r="CD133" s="182">
        <v>0</v>
      </c>
      <c r="CE133" s="182">
        <v>0</v>
      </c>
      <c r="CF133" s="182">
        <v>0</v>
      </c>
      <c r="CG133" s="182">
        <v>0</v>
      </c>
      <c r="CH133" s="182">
        <v>0</v>
      </c>
      <c r="CI133" s="182">
        <v>0</v>
      </c>
      <c r="CJ133" s="182">
        <v>0</v>
      </c>
      <c r="CK133" s="182">
        <v>0</v>
      </c>
      <c r="CL133" s="182">
        <v>0</v>
      </c>
      <c r="CM133" s="182">
        <v>0</v>
      </c>
      <c r="CN133" s="182">
        <v>0</v>
      </c>
      <c r="CO133" s="182">
        <v>0</v>
      </c>
      <c r="CP133" s="182">
        <v>0</v>
      </c>
      <c r="CQ133" s="182">
        <v>0</v>
      </c>
      <c r="CR133" s="182">
        <v>0</v>
      </c>
      <c r="CS133" s="182">
        <v>0</v>
      </c>
      <c r="CT133" s="182">
        <v>0</v>
      </c>
      <c r="CU133" s="182">
        <v>0</v>
      </c>
      <c r="CV133" s="182">
        <v>0</v>
      </c>
      <c r="CW133" s="182">
        <v>0</v>
      </c>
      <c r="CX133" s="182">
        <v>0</v>
      </c>
      <c r="CY133" s="182">
        <v>0</v>
      </c>
      <c r="CZ133" s="182">
        <v>0</v>
      </c>
      <c r="DA133" s="182">
        <v>0</v>
      </c>
      <c r="DB133" s="182">
        <v>0</v>
      </c>
      <c r="DC133" s="182">
        <v>0</v>
      </c>
      <c r="DD133" s="182">
        <v>0</v>
      </c>
      <c r="DE133" s="182">
        <v>0</v>
      </c>
      <c r="DF133" s="182">
        <v>0</v>
      </c>
      <c r="DG133" s="182">
        <v>0</v>
      </c>
      <c r="DH133" s="182">
        <v>0</v>
      </c>
      <c r="DI133" s="182">
        <v>0</v>
      </c>
      <c r="DJ133" s="182">
        <v>0</v>
      </c>
      <c r="DK133" s="182">
        <v>0</v>
      </c>
      <c r="DL133" s="182">
        <v>0</v>
      </c>
      <c r="DM133" s="182">
        <v>0</v>
      </c>
      <c r="DN133" s="182">
        <v>0</v>
      </c>
      <c r="DO133" s="182">
        <v>0</v>
      </c>
      <c r="DP133" s="29">
        <v>0</v>
      </c>
      <c r="DQ133" s="29">
        <v>0</v>
      </c>
      <c r="DR133" s="29">
        <v>0</v>
      </c>
      <c r="DS133" s="29">
        <v>0</v>
      </c>
      <c r="DT133" s="176">
        <f>k.w3A.sdA</f>
        <v>1.4992283931314811E-11</v>
      </c>
      <c r="DU133" s="176">
        <v>0</v>
      </c>
      <c r="DV133" s="177">
        <v>0</v>
      </c>
      <c r="DW133" s="177">
        <v>0</v>
      </c>
      <c r="DX133" s="310">
        <f>-k.sdA-SUM(DX9:DX132,DX134:DX163)</f>
        <v>-5.7502331586314119E-8</v>
      </c>
      <c r="DY133" s="321">
        <f>kdis.sd2S.sd2D</f>
        <v>0</v>
      </c>
      <c r="DZ133" s="321">
        <f>kdis.sd2A.sd2D</f>
        <v>0</v>
      </c>
      <c r="EA133" s="321">
        <f>kdis.sd2P.sd2D</f>
        <v>0</v>
      </c>
      <c r="EB133" s="182">
        <v>0</v>
      </c>
      <c r="EC133" s="182">
        <v>0</v>
      </c>
      <c r="ED133" s="182">
        <v>0</v>
      </c>
      <c r="EE133" s="182">
        <v>0</v>
      </c>
      <c r="EF133" s="182">
        <v>0</v>
      </c>
      <c r="EG133" s="182">
        <v>0</v>
      </c>
      <c r="EH133" s="182">
        <v>0</v>
      </c>
      <c r="EI133" s="182">
        <v>0</v>
      </c>
      <c r="EJ133" s="182">
        <v>0</v>
      </c>
      <c r="EK133" s="182">
        <v>0</v>
      </c>
      <c r="EL133" s="182">
        <v>0</v>
      </c>
      <c r="EM133" s="182">
        <v>0</v>
      </c>
      <c r="EN133" s="182">
        <v>0</v>
      </c>
      <c r="EO133" s="182">
        <v>0</v>
      </c>
      <c r="EP133" s="182">
        <v>0</v>
      </c>
      <c r="EQ133" s="182">
        <v>0</v>
      </c>
      <c r="ER133" s="182">
        <v>0</v>
      </c>
      <c r="ES133" s="182">
        <v>0</v>
      </c>
      <c r="ET133" s="182">
        <v>0</v>
      </c>
      <c r="EU133" s="182">
        <v>0</v>
      </c>
      <c r="EV133" s="182">
        <v>0</v>
      </c>
      <c r="EW133" s="182">
        <v>0</v>
      </c>
      <c r="EX133" s="182">
        <v>0</v>
      </c>
      <c r="EY133" s="182">
        <v>0</v>
      </c>
      <c r="EZ133" s="182">
        <v>0</v>
      </c>
      <c r="FA133" s="182">
        <v>0</v>
      </c>
      <c r="FB133" s="183">
        <v>0</v>
      </c>
    </row>
    <row r="134" spans="2:158" ht="12.75" customHeight="1" x14ac:dyDescent="0.3">
      <c r="B134" s="199" t="s">
        <v>3944</v>
      </c>
      <c r="C134" s="340"/>
      <c r="D134" s="182">
        <v>0</v>
      </c>
      <c r="E134" s="182">
        <v>0</v>
      </c>
      <c r="F134" s="182">
        <v>0</v>
      </c>
      <c r="G134" s="182">
        <v>0</v>
      </c>
      <c r="H134" s="182">
        <v>0</v>
      </c>
      <c r="I134" s="182">
        <v>0</v>
      </c>
      <c r="J134" s="182">
        <v>0</v>
      </c>
      <c r="K134" s="182">
        <v>0</v>
      </c>
      <c r="L134" s="182">
        <v>0</v>
      </c>
      <c r="M134" s="182">
        <v>0</v>
      </c>
      <c r="N134" s="182">
        <v>0</v>
      </c>
      <c r="O134" s="182">
        <v>0</v>
      </c>
      <c r="P134" s="182">
        <v>0</v>
      </c>
      <c r="Q134" s="182">
        <v>0</v>
      </c>
      <c r="R134" s="182">
        <v>0</v>
      </c>
      <c r="S134" s="182">
        <v>0</v>
      </c>
      <c r="T134" s="182">
        <v>0</v>
      </c>
      <c r="U134" s="182">
        <v>0</v>
      </c>
      <c r="V134" s="182">
        <v>0</v>
      </c>
      <c r="W134" s="182">
        <v>0</v>
      </c>
      <c r="X134" s="182">
        <v>0</v>
      </c>
      <c r="Y134" s="182">
        <v>0</v>
      </c>
      <c r="Z134" s="182">
        <v>0</v>
      </c>
      <c r="AA134" s="182">
        <v>0</v>
      </c>
      <c r="AB134" s="182">
        <v>0</v>
      </c>
      <c r="AC134" s="182">
        <v>0</v>
      </c>
      <c r="AD134" s="182">
        <v>0</v>
      </c>
      <c r="AE134" s="182">
        <v>0</v>
      </c>
      <c r="AF134" s="182">
        <v>0</v>
      </c>
      <c r="AG134" s="182">
        <v>0</v>
      </c>
      <c r="AH134" s="182">
        <v>0</v>
      </c>
      <c r="AI134" s="182">
        <v>0</v>
      </c>
      <c r="AJ134" s="182">
        <v>0</v>
      </c>
      <c r="AK134" s="182">
        <v>0</v>
      </c>
      <c r="AL134" s="182">
        <v>0</v>
      </c>
      <c r="AM134" s="182">
        <v>0</v>
      </c>
      <c r="AN134" s="182">
        <v>0</v>
      </c>
      <c r="AO134" s="182">
        <v>0</v>
      </c>
      <c r="AP134" s="182">
        <v>0</v>
      </c>
      <c r="AQ134" s="182">
        <v>0</v>
      </c>
      <c r="AR134" s="182">
        <v>0</v>
      </c>
      <c r="AS134" s="182">
        <v>0</v>
      </c>
      <c r="AT134" s="182">
        <v>0</v>
      </c>
      <c r="AU134" s="182">
        <v>0</v>
      </c>
      <c r="AV134" s="182">
        <v>0</v>
      </c>
      <c r="AW134" s="182">
        <v>0</v>
      </c>
      <c r="AX134" s="182">
        <v>0</v>
      </c>
      <c r="AY134" s="182">
        <v>0</v>
      </c>
      <c r="AZ134" s="182">
        <v>0</v>
      </c>
      <c r="BA134" s="182">
        <v>0</v>
      </c>
      <c r="BB134" s="168">
        <v>0</v>
      </c>
      <c r="BC134" s="168">
        <v>0</v>
      </c>
      <c r="BD134" s="168">
        <v>0</v>
      </c>
      <c r="BE134" s="168">
        <v>0</v>
      </c>
      <c r="BF134" s="182">
        <v>0</v>
      </c>
      <c r="BG134" s="182">
        <v>0</v>
      </c>
      <c r="BH134" s="182">
        <v>0</v>
      </c>
      <c r="BI134" s="182">
        <v>0</v>
      </c>
      <c r="BJ134" s="182">
        <v>0</v>
      </c>
      <c r="BK134" s="182">
        <v>0</v>
      </c>
      <c r="BL134" s="182">
        <v>0</v>
      </c>
      <c r="BM134" s="182">
        <v>0</v>
      </c>
      <c r="BN134" s="182">
        <v>0</v>
      </c>
      <c r="BO134" s="182">
        <v>0</v>
      </c>
      <c r="BP134" s="182">
        <v>0</v>
      </c>
      <c r="BQ134" s="182">
        <v>0</v>
      </c>
      <c r="BR134" s="182">
        <v>0</v>
      </c>
      <c r="BS134" s="182">
        <v>0</v>
      </c>
      <c r="BT134" s="182">
        <v>0</v>
      </c>
      <c r="BU134" s="182">
        <v>0</v>
      </c>
      <c r="BV134" s="182">
        <v>0</v>
      </c>
      <c r="BW134" s="182">
        <v>0</v>
      </c>
      <c r="BX134" s="182">
        <v>0</v>
      </c>
      <c r="BY134" s="182">
        <v>0</v>
      </c>
      <c r="BZ134" s="182">
        <v>0</v>
      </c>
      <c r="CA134" s="182">
        <v>0</v>
      </c>
      <c r="CB134" s="182">
        <v>0</v>
      </c>
      <c r="CC134" s="182">
        <v>0</v>
      </c>
      <c r="CD134" s="182">
        <v>0</v>
      </c>
      <c r="CE134" s="182">
        <v>0</v>
      </c>
      <c r="CF134" s="182">
        <v>0</v>
      </c>
      <c r="CG134" s="182">
        <v>0</v>
      </c>
      <c r="CH134" s="182">
        <v>0</v>
      </c>
      <c r="CI134" s="182">
        <v>0</v>
      </c>
      <c r="CJ134" s="182">
        <v>0</v>
      </c>
      <c r="CK134" s="182">
        <v>0</v>
      </c>
      <c r="CL134" s="182">
        <v>0</v>
      </c>
      <c r="CM134" s="182">
        <v>0</v>
      </c>
      <c r="CN134" s="182">
        <v>0</v>
      </c>
      <c r="CO134" s="182">
        <v>0</v>
      </c>
      <c r="CP134" s="182">
        <v>0</v>
      </c>
      <c r="CQ134" s="182">
        <v>0</v>
      </c>
      <c r="CR134" s="182">
        <v>0</v>
      </c>
      <c r="CS134" s="182">
        <v>0</v>
      </c>
      <c r="CT134" s="182">
        <v>0</v>
      </c>
      <c r="CU134" s="182">
        <v>0</v>
      </c>
      <c r="CV134" s="182">
        <v>0</v>
      </c>
      <c r="CW134" s="182">
        <v>0</v>
      </c>
      <c r="CX134" s="182">
        <v>0</v>
      </c>
      <c r="CY134" s="182">
        <v>0</v>
      </c>
      <c r="CZ134" s="182">
        <v>0</v>
      </c>
      <c r="DA134" s="182">
        <v>0</v>
      </c>
      <c r="DB134" s="182">
        <v>0</v>
      </c>
      <c r="DC134" s="182">
        <v>0</v>
      </c>
      <c r="DD134" s="182">
        <v>0</v>
      </c>
      <c r="DE134" s="182">
        <v>0</v>
      </c>
      <c r="DF134" s="182">
        <v>0</v>
      </c>
      <c r="DG134" s="182">
        <v>0</v>
      </c>
      <c r="DH134" s="182">
        <v>0</v>
      </c>
      <c r="DI134" s="182">
        <v>0</v>
      </c>
      <c r="DJ134" s="182">
        <v>0</v>
      </c>
      <c r="DK134" s="182">
        <v>0</v>
      </c>
      <c r="DL134" s="182">
        <v>0</v>
      </c>
      <c r="DM134" s="182">
        <v>0</v>
      </c>
      <c r="DN134" s="182">
        <v>0</v>
      </c>
      <c r="DO134" s="182">
        <v>0</v>
      </c>
      <c r="DP134" s="29">
        <v>0</v>
      </c>
      <c r="DQ134" s="29">
        <v>0</v>
      </c>
      <c r="DR134" s="29">
        <v>0</v>
      </c>
      <c r="DS134" s="29">
        <v>0</v>
      </c>
      <c r="DT134" s="176">
        <v>0</v>
      </c>
      <c r="DU134" s="177">
        <f>k.w3AS.sdAS</f>
        <v>2.3438988689288094E-13</v>
      </c>
      <c r="DV134" s="177">
        <v>0</v>
      </c>
      <c r="DW134" s="177">
        <v>0</v>
      </c>
      <c r="DX134" s="323">
        <v>0</v>
      </c>
      <c r="DY134" s="181">
        <f>-k.sdAS-SUM(DY$9:DY133,DY135:DY$163)</f>
        <v>-1.4604130674687542E-2</v>
      </c>
      <c r="DZ134" s="177">
        <v>0</v>
      </c>
      <c r="EA134" s="302">
        <v>0</v>
      </c>
      <c r="EB134" s="182">
        <v>0</v>
      </c>
      <c r="EC134" s="182">
        <v>0</v>
      </c>
      <c r="ED134" s="182">
        <v>0</v>
      </c>
      <c r="EE134" s="182">
        <v>0</v>
      </c>
      <c r="EF134" s="182">
        <v>0</v>
      </c>
      <c r="EG134" s="182">
        <v>0</v>
      </c>
      <c r="EH134" s="182">
        <v>0</v>
      </c>
      <c r="EI134" s="182">
        <v>0</v>
      </c>
      <c r="EJ134" s="182">
        <v>0</v>
      </c>
      <c r="EK134" s="182">
        <v>0</v>
      </c>
      <c r="EL134" s="182">
        <v>0</v>
      </c>
      <c r="EM134" s="182">
        <v>0</v>
      </c>
      <c r="EN134" s="182">
        <v>0</v>
      </c>
      <c r="EO134" s="182">
        <v>0</v>
      </c>
      <c r="EP134" s="182">
        <v>0</v>
      </c>
      <c r="EQ134" s="182">
        <v>0</v>
      </c>
      <c r="ER134" s="182">
        <v>0</v>
      </c>
      <c r="ES134" s="182">
        <v>0</v>
      </c>
      <c r="ET134" s="182">
        <v>0</v>
      </c>
      <c r="EU134" s="182">
        <v>0</v>
      </c>
      <c r="EV134" s="182">
        <v>0</v>
      </c>
      <c r="EW134" s="182">
        <v>0</v>
      </c>
      <c r="EX134" s="182">
        <v>0</v>
      </c>
      <c r="EY134" s="182">
        <v>0</v>
      </c>
      <c r="EZ134" s="182">
        <v>0</v>
      </c>
      <c r="FA134" s="182">
        <v>0</v>
      </c>
      <c r="FB134" s="183">
        <v>0</v>
      </c>
    </row>
    <row r="135" spans="2:158" ht="12.75" customHeight="1" x14ac:dyDescent="0.3">
      <c r="B135" s="199" t="s">
        <v>3945</v>
      </c>
      <c r="C135" s="340"/>
      <c r="D135" s="182">
        <v>0</v>
      </c>
      <c r="E135" s="182">
        <v>0</v>
      </c>
      <c r="F135" s="182">
        <v>0</v>
      </c>
      <c r="G135" s="182">
        <v>0</v>
      </c>
      <c r="H135" s="182">
        <v>0</v>
      </c>
      <c r="I135" s="182">
        <v>0</v>
      </c>
      <c r="J135" s="182">
        <v>0</v>
      </c>
      <c r="K135" s="182">
        <v>0</v>
      </c>
      <c r="L135" s="182">
        <v>0</v>
      </c>
      <c r="M135" s="182">
        <v>0</v>
      </c>
      <c r="N135" s="182">
        <v>0</v>
      </c>
      <c r="O135" s="182">
        <v>0</v>
      </c>
      <c r="P135" s="182">
        <v>0</v>
      </c>
      <c r="Q135" s="182">
        <v>0</v>
      </c>
      <c r="R135" s="182">
        <v>0</v>
      </c>
      <c r="S135" s="182">
        <v>0</v>
      </c>
      <c r="T135" s="182">
        <v>0</v>
      </c>
      <c r="U135" s="182">
        <v>0</v>
      </c>
      <c r="V135" s="182">
        <v>0</v>
      </c>
      <c r="W135" s="182">
        <v>0</v>
      </c>
      <c r="X135" s="182">
        <v>0</v>
      </c>
      <c r="Y135" s="182">
        <v>0</v>
      </c>
      <c r="Z135" s="182">
        <v>0</v>
      </c>
      <c r="AA135" s="182">
        <v>0</v>
      </c>
      <c r="AB135" s="182">
        <v>0</v>
      </c>
      <c r="AC135" s="182">
        <v>0</v>
      </c>
      <c r="AD135" s="182">
        <v>0</v>
      </c>
      <c r="AE135" s="182">
        <v>0</v>
      </c>
      <c r="AF135" s="182">
        <v>0</v>
      </c>
      <c r="AG135" s="182">
        <v>0</v>
      </c>
      <c r="AH135" s="182">
        <v>0</v>
      </c>
      <c r="AI135" s="182">
        <v>0</v>
      </c>
      <c r="AJ135" s="182">
        <v>0</v>
      </c>
      <c r="AK135" s="182">
        <v>0</v>
      </c>
      <c r="AL135" s="182">
        <v>0</v>
      </c>
      <c r="AM135" s="182">
        <v>0</v>
      </c>
      <c r="AN135" s="182">
        <v>0</v>
      </c>
      <c r="AO135" s="182">
        <v>0</v>
      </c>
      <c r="AP135" s="182">
        <v>0</v>
      </c>
      <c r="AQ135" s="182">
        <v>0</v>
      </c>
      <c r="AR135" s="182">
        <v>0</v>
      </c>
      <c r="AS135" s="182">
        <v>0</v>
      </c>
      <c r="AT135" s="182">
        <v>0</v>
      </c>
      <c r="AU135" s="182">
        <v>0</v>
      </c>
      <c r="AV135" s="182">
        <v>0</v>
      </c>
      <c r="AW135" s="182">
        <v>0</v>
      </c>
      <c r="AX135" s="182">
        <v>0</v>
      </c>
      <c r="AY135" s="182">
        <v>0</v>
      </c>
      <c r="AZ135" s="182">
        <v>0</v>
      </c>
      <c r="BA135" s="182">
        <v>0</v>
      </c>
      <c r="BB135" s="168">
        <v>0</v>
      </c>
      <c r="BC135" s="168">
        <v>0</v>
      </c>
      <c r="BD135" s="168">
        <v>0</v>
      </c>
      <c r="BE135" s="168">
        <v>0</v>
      </c>
      <c r="BF135" s="182">
        <v>0</v>
      </c>
      <c r="BG135" s="182">
        <v>0</v>
      </c>
      <c r="BH135" s="182">
        <v>0</v>
      </c>
      <c r="BI135" s="182">
        <v>0</v>
      </c>
      <c r="BJ135" s="182">
        <v>0</v>
      </c>
      <c r="BK135" s="182">
        <v>0</v>
      </c>
      <c r="BL135" s="182">
        <v>0</v>
      </c>
      <c r="BM135" s="182">
        <v>0</v>
      </c>
      <c r="BN135" s="182">
        <v>0</v>
      </c>
      <c r="BO135" s="182">
        <v>0</v>
      </c>
      <c r="BP135" s="182">
        <v>0</v>
      </c>
      <c r="BQ135" s="182">
        <v>0</v>
      </c>
      <c r="BR135" s="182">
        <v>0</v>
      </c>
      <c r="BS135" s="182">
        <v>0</v>
      </c>
      <c r="BT135" s="182">
        <v>0</v>
      </c>
      <c r="BU135" s="182">
        <v>0</v>
      </c>
      <c r="BV135" s="182">
        <v>0</v>
      </c>
      <c r="BW135" s="182">
        <v>0</v>
      </c>
      <c r="BX135" s="182">
        <v>0</v>
      </c>
      <c r="BY135" s="182">
        <v>0</v>
      </c>
      <c r="BZ135" s="182">
        <v>0</v>
      </c>
      <c r="CA135" s="182">
        <v>0</v>
      </c>
      <c r="CB135" s="182">
        <v>0</v>
      </c>
      <c r="CC135" s="182">
        <v>0</v>
      </c>
      <c r="CD135" s="182">
        <v>0</v>
      </c>
      <c r="CE135" s="182">
        <v>0</v>
      </c>
      <c r="CF135" s="182">
        <v>0</v>
      </c>
      <c r="CG135" s="182">
        <v>0</v>
      </c>
      <c r="CH135" s="182">
        <v>0</v>
      </c>
      <c r="CI135" s="182">
        <v>0</v>
      </c>
      <c r="CJ135" s="182">
        <v>0</v>
      </c>
      <c r="CK135" s="182">
        <v>0</v>
      </c>
      <c r="CL135" s="182">
        <v>0</v>
      </c>
      <c r="CM135" s="182">
        <v>0</v>
      </c>
      <c r="CN135" s="182">
        <v>0</v>
      </c>
      <c r="CO135" s="182">
        <v>0</v>
      </c>
      <c r="CP135" s="182">
        <v>0</v>
      </c>
      <c r="CQ135" s="182">
        <v>0</v>
      </c>
      <c r="CR135" s="182">
        <v>0</v>
      </c>
      <c r="CS135" s="182">
        <v>0</v>
      </c>
      <c r="CT135" s="182">
        <v>0</v>
      </c>
      <c r="CU135" s="182">
        <v>0</v>
      </c>
      <c r="CV135" s="182">
        <v>0</v>
      </c>
      <c r="CW135" s="182">
        <v>0</v>
      </c>
      <c r="CX135" s="182">
        <v>0</v>
      </c>
      <c r="CY135" s="182">
        <v>0</v>
      </c>
      <c r="CZ135" s="182">
        <v>0</v>
      </c>
      <c r="DA135" s="182">
        <v>0</v>
      </c>
      <c r="DB135" s="182">
        <v>0</v>
      </c>
      <c r="DC135" s="182">
        <v>0</v>
      </c>
      <c r="DD135" s="182">
        <v>0</v>
      </c>
      <c r="DE135" s="182">
        <v>0</v>
      </c>
      <c r="DF135" s="182">
        <v>0</v>
      </c>
      <c r="DG135" s="182">
        <v>0</v>
      </c>
      <c r="DH135" s="182">
        <v>0</v>
      </c>
      <c r="DI135" s="182">
        <v>0</v>
      </c>
      <c r="DJ135" s="182">
        <v>0</v>
      </c>
      <c r="DK135" s="182">
        <v>0</v>
      </c>
      <c r="DL135" s="182">
        <v>0</v>
      </c>
      <c r="DM135" s="182">
        <v>0</v>
      </c>
      <c r="DN135" s="182">
        <v>0</v>
      </c>
      <c r="DO135" s="182">
        <v>0</v>
      </c>
      <c r="DP135" s="29">
        <v>0</v>
      </c>
      <c r="DQ135" s="29">
        <v>0</v>
      </c>
      <c r="DR135" s="29">
        <v>0</v>
      </c>
      <c r="DS135" s="29">
        <v>0</v>
      </c>
      <c r="DT135" s="176">
        <v>0</v>
      </c>
      <c r="DU135" s="177">
        <v>0</v>
      </c>
      <c r="DV135" s="177">
        <f>k.w3AA.sdAA</f>
        <v>1.6364009953543896E-11</v>
      </c>
      <c r="DW135" s="177">
        <v>0</v>
      </c>
      <c r="DX135" s="323">
        <v>0</v>
      </c>
      <c r="DY135" s="177">
        <f>k.sdAS.sdAA</f>
        <v>2.9168040957322223E-3</v>
      </c>
      <c r="DZ135" s="181">
        <f>-k.sdAA-SUM(DZ$9:DZ134,DZ136:DZ$163)</f>
        <v>-9.6450617283950635E-9</v>
      </c>
      <c r="EA135" s="302">
        <v>0</v>
      </c>
      <c r="EB135" s="177">
        <v>0</v>
      </c>
      <c r="EC135" s="182">
        <v>0</v>
      </c>
      <c r="ED135" s="182">
        <v>0</v>
      </c>
      <c r="EE135" s="182">
        <v>0</v>
      </c>
      <c r="EF135" s="182">
        <v>0</v>
      </c>
      <c r="EG135" s="182">
        <v>0</v>
      </c>
      <c r="EH135" s="182">
        <v>0</v>
      </c>
      <c r="EI135" s="182">
        <v>0</v>
      </c>
      <c r="EJ135" s="182">
        <v>0</v>
      </c>
      <c r="EK135" s="182">
        <v>0</v>
      </c>
      <c r="EL135" s="182">
        <v>0</v>
      </c>
      <c r="EM135" s="182">
        <v>0</v>
      </c>
      <c r="EN135" s="182">
        <v>0</v>
      </c>
      <c r="EO135" s="182">
        <v>0</v>
      </c>
      <c r="EP135" s="182">
        <v>0</v>
      </c>
      <c r="EQ135" s="182">
        <v>0</v>
      </c>
      <c r="ER135" s="182">
        <v>0</v>
      </c>
      <c r="ES135" s="182">
        <v>0</v>
      </c>
      <c r="ET135" s="182">
        <v>0</v>
      </c>
      <c r="EU135" s="182">
        <v>0</v>
      </c>
      <c r="EV135" s="182">
        <v>0</v>
      </c>
      <c r="EW135" s="182">
        <v>0</v>
      </c>
      <c r="EX135" s="182">
        <v>0</v>
      </c>
      <c r="EY135" s="182">
        <v>0</v>
      </c>
      <c r="EZ135" s="182">
        <v>0</v>
      </c>
      <c r="FA135" s="182">
        <v>0</v>
      </c>
      <c r="FB135" s="183">
        <v>0</v>
      </c>
    </row>
    <row r="136" spans="2:158" ht="12.75" customHeight="1" x14ac:dyDescent="0.3">
      <c r="B136" s="199" t="s">
        <v>3946</v>
      </c>
      <c r="C136" s="340"/>
      <c r="D136" s="182">
        <v>0</v>
      </c>
      <c r="E136" s="182">
        <v>0</v>
      </c>
      <c r="F136" s="182">
        <v>0</v>
      </c>
      <c r="G136" s="182">
        <v>0</v>
      </c>
      <c r="H136" s="182">
        <v>0</v>
      </c>
      <c r="I136" s="182">
        <v>0</v>
      </c>
      <c r="J136" s="182">
        <v>0</v>
      </c>
      <c r="K136" s="182">
        <v>0</v>
      </c>
      <c r="L136" s="182">
        <v>0</v>
      </c>
      <c r="M136" s="182">
        <v>0</v>
      </c>
      <c r="N136" s="182">
        <v>0</v>
      </c>
      <c r="O136" s="182">
        <v>0</v>
      </c>
      <c r="P136" s="182">
        <v>0</v>
      </c>
      <c r="Q136" s="182">
        <v>0</v>
      </c>
      <c r="R136" s="182">
        <v>0</v>
      </c>
      <c r="S136" s="182">
        <v>0</v>
      </c>
      <c r="T136" s="182">
        <v>0</v>
      </c>
      <c r="U136" s="182">
        <v>0</v>
      </c>
      <c r="V136" s="182">
        <v>0</v>
      </c>
      <c r="W136" s="182">
        <v>0</v>
      </c>
      <c r="X136" s="182">
        <v>0</v>
      </c>
      <c r="Y136" s="182">
        <v>0</v>
      </c>
      <c r="Z136" s="182">
        <v>0</v>
      </c>
      <c r="AA136" s="182">
        <v>0</v>
      </c>
      <c r="AB136" s="182">
        <v>0</v>
      </c>
      <c r="AC136" s="182">
        <v>0</v>
      </c>
      <c r="AD136" s="182">
        <v>0</v>
      </c>
      <c r="AE136" s="182">
        <v>0</v>
      </c>
      <c r="AF136" s="182">
        <v>0</v>
      </c>
      <c r="AG136" s="182">
        <v>0</v>
      </c>
      <c r="AH136" s="182">
        <v>0</v>
      </c>
      <c r="AI136" s="182">
        <v>0</v>
      </c>
      <c r="AJ136" s="182">
        <v>0</v>
      </c>
      <c r="AK136" s="182">
        <v>0</v>
      </c>
      <c r="AL136" s="182">
        <v>0</v>
      </c>
      <c r="AM136" s="182">
        <v>0</v>
      </c>
      <c r="AN136" s="182">
        <v>0</v>
      </c>
      <c r="AO136" s="182">
        <v>0</v>
      </c>
      <c r="AP136" s="182">
        <v>0</v>
      </c>
      <c r="AQ136" s="182">
        <v>0</v>
      </c>
      <c r="AR136" s="182">
        <v>0</v>
      </c>
      <c r="AS136" s="182">
        <v>0</v>
      </c>
      <c r="AT136" s="182">
        <v>0</v>
      </c>
      <c r="AU136" s="182">
        <v>0</v>
      </c>
      <c r="AV136" s="182">
        <v>0</v>
      </c>
      <c r="AW136" s="182">
        <v>0</v>
      </c>
      <c r="AX136" s="182">
        <v>0</v>
      </c>
      <c r="AY136" s="182">
        <v>0</v>
      </c>
      <c r="AZ136" s="182">
        <v>0</v>
      </c>
      <c r="BA136" s="182">
        <v>0</v>
      </c>
      <c r="BB136" s="168">
        <v>0</v>
      </c>
      <c r="BC136" s="168">
        <v>0</v>
      </c>
      <c r="BD136" s="168">
        <v>0</v>
      </c>
      <c r="BE136" s="168">
        <v>0</v>
      </c>
      <c r="BF136" s="182">
        <v>0</v>
      </c>
      <c r="BG136" s="182">
        <v>0</v>
      </c>
      <c r="BH136" s="182">
        <v>0</v>
      </c>
      <c r="BI136" s="182">
        <v>0</v>
      </c>
      <c r="BJ136" s="182">
        <v>0</v>
      </c>
      <c r="BK136" s="182">
        <v>0</v>
      </c>
      <c r="BL136" s="182">
        <v>0</v>
      </c>
      <c r="BM136" s="182">
        <v>0</v>
      </c>
      <c r="BN136" s="182">
        <v>0</v>
      </c>
      <c r="BO136" s="182">
        <v>0</v>
      </c>
      <c r="BP136" s="182">
        <v>0</v>
      </c>
      <c r="BQ136" s="182">
        <v>0</v>
      </c>
      <c r="BR136" s="182">
        <v>0</v>
      </c>
      <c r="BS136" s="182">
        <v>0</v>
      </c>
      <c r="BT136" s="182">
        <v>0</v>
      </c>
      <c r="BU136" s="182">
        <v>0</v>
      </c>
      <c r="BV136" s="182">
        <v>0</v>
      </c>
      <c r="BW136" s="182">
        <v>0</v>
      </c>
      <c r="BX136" s="182">
        <v>0</v>
      </c>
      <c r="BY136" s="182">
        <v>0</v>
      </c>
      <c r="BZ136" s="182">
        <v>0</v>
      </c>
      <c r="CA136" s="182">
        <v>0</v>
      </c>
      <c r="CB136" s="182">
        <v>0</v>
      </c>
      <c r="CC136" s="182">
        <v>0</v>
      </c>
      <c r="CD136" s="182">
        <v>0</v>
      </c>
      <c r="CE136" s="182">
        <v>0</v>
      </c>
      <c r="CF136" s="182">
        <v>0</v>
      </c>
      <c r="CG136" s="182">
        <v>0</v>
      </c>
      <c r="CH136" s="182">
        <v>0</v>
      </c>
      <c r="CI136" s="182">
        <v>0</v>
      </c>
      <c r="CJ136" s="182">
        <v>0</v>
      </c>
      <c r="CK136" s="182">
        <v>0</v>
      </c>
      <c r="CL136" s="182">
        <v>0</v>
      </c>
      <c r="CM136" s="182">
        <v>0</v>
      </c>
      <c r="CN136" s="182">
        <v>0</v>
      </c>
      <c r="CO136" s="182">
        <v>0</v>
      </c>
      <c r="CP136" s="182">
        <v>0</v>
      </c>
      <c r="CQ136" s="182">
        <v>0</v>
      </c>
      <c r="CR136" s="182">
        <v>0</v>
      </c>
      <c r="CS136" s="182">
        <v>0</v>
      </c>
      <c r="CT136" s="182">
        <v>0</v>
      </c>
      <c r="CU136" s="182">
        <v>0</v>
      </c>
      <c r="CV136" s="182">
        <v>0</v>
      </c>
      <c r="CW136" s="182">
        <v>0</v>
      </c>
      <c r="CX136" s="182">
        <v>0</v>
      </c>
      <c r="CY136" s="182">
        <v>0</v>
      </c>
      <c r="CZ136" s="182">
        <v>0</v>
      </c>
      <c r="DA136" s="182">
        <v>0</v>
      </c>
      <c r="DB136" s="182">
        <v>0</v>
      </c>
      <c r="DC136" s="182">
        <v>0</v>
      </c>
      <c r="DD136" s="182">
        <v>0</v>
      </c>
      <c r="DE136" s="182">
        <v>0</v>
      </c>
      <c r="DF136" s="182">
        <v>0</v>
      </c>
      <c r="DG136" s="182">
        <v>0</v>
      </c>
      <c r="DH136" s="182">
        <v>0</v>
      </c>
      <c r="DI136" s="182">
        <v>0</v>
      </c>
      <c r="DJ136" s="182">
        <v>0</v>
      </c>
      <c r="DK136" s="182">
        <v>0</v>
      </c>
      <c r="DL136" s="182">
        <v>0</v>
      </c>
      <c r="DM136" s="182">
        <v>0</v>
      </c>
      <c r="DN136" s="182">
        <v>0</v>
      </c>
      <c r="DO136" s="182">
        <v>0</v>
      </c>
      <c r="DP136" s="29">
        <v>0</v>
      </c>
      <c r="DQ136" s="29">
        <v>0</v>
      </c>
      <c r="DR136" s="29">
        <v>0</v>
      </c>
      <c r="DS136" s="29">
        <v>0</v>
      </c>
      <c r="DT136" s="176">
        <v>0</v>
      </c>
      <c r="DU136" s="177">
        <v>0</v>
      </c>
      <c r="DV136" s="177">
        <v>0</v>
      </c>
      <c r="DW136" s="177">
        <f>k.w3AP.sdAP</f>
        <v>9.803473714161288E-9</v>
      </c>
      <c r="DX136" s="303">
        <v>0</v>
      </c>
      <c r="DY136" s="304">
        <f>k.sdAS.sdAP</f>
        <v>1.1687316933893591E-2</v>
      </c>
      <c r="DZ136" s="304">
        <v>0</v>
      </c>
      <c r="EA136" s="181">
        <f>-k.sdAP-SUM(EA$9:EA135,EA137:EA$163)</f>
        <v>-9.6450617283950635E-9</v>
      </c>
      <c r="EB136" s="177">
        <v>0</v>
      </c>
      <c r="EC136" s="177">
        <v>0</v>
      </c>
      <c r="ED136" s="182">
        <v>0</v>
      </c>
      <c r="EE136" s="182">
        <v>0</v>
      </c>
      <c r="EF136" s="182">
        <v>0</v>
      </c>
      <c r="EG136" s="182">
        <v>0</v>
      </c>
      <c r="EH136" s="182">
        <v>0</v>
      </c>
      <c r="EI136" s="182">
        <v>0</v>
      </c>
      <c r="EJ136" s="182">
        <v>0</v>
      </c>
      <c r="EK136" s="182">
        <v>0</v>
      </c>
      <c r="EL136" s="182">
        <v>0</v>
      </c>
      <c r="EM136" s="182">
        <v>0</v>
      </c>
      <c r="EN136" s="182">
        <v>0</v>
      </c>
      <c r="EO136" s="182">
        <v>0</v>
      </c>
      <c r="EP136" s="182">
        <v>0</v>
      </c>
      <c r="EQ136" s="182">
        <v>0</v>
      </c>
      <c r="ER136" s="182">
        <v>0</v>
      </c>
      <c r="ES136" s="182">
        <v>0</v>
      </c>
      <c r="ET136" s="182">
        <v>0</v>
      </c>
      <c r="EU136" s="182">
        <v>0</v>
      </c>
      <c r="EV136" s="182">
        <v>0</v>
      </c>
      <c r="EW136" s="182">
        <v>0</v>
      </c>
      <c r="EX136" s="182">
        <v>0</v>
      </c>
      <c r="EY136" s="182">
        <v>0</v>
      </c>
      <c r="EZ136" s="182">
        <v>0</v>
      </c>
      <c r="FA136" s="182">
        <v>0</v>
      </c>
      <c r="FB136" s="183">
        <v>0</v>
      </c>
    </row>
    <row r="137" spans="2:158" ht="12.75" customHeight="1" x14ac:dyDescent="0.3">
      <c r="B137" s="199" t="s">
        <v>3947</v>
      </c>
      <c r="C137" s="340"/>
      <c r="D137" s="182">
        <v>0</v>
      </c>
      <c r="E137" s="182">
        <v>0</v>
      </c>
      <c r="F137" s="182">
        <v>0</v>
      </c>
      <c r="G137" s="182">
        <v>0</v>
      </c>
      <c r="H137" s="182">
        <v>0</v>
      </c>
      <c r="I137" s="182">
        <v>0</v>
      </c>
      <c r="J137" s="182">
        <v>0</v>
      </c>
      <c r="K137" s="182">
        <v>0</v>
      </c>
      <c r="L137" s="182">
        <v>0</v>
      </c>
      <c r="M137" s="182">
        <v>0</v>
      </c>
      <c r="N137" s="182">
        <v>0</v>
      </c>
      <c r="O137" s="182">
        <v>0</v>
      </c>
      <c r="P137" s="182">
        <v>0</v>
      </c>
      <c r="Q137" s="182">
        <v>0</v>
      </c>
      <c r="R137" s="182">
        <v>0</v>
      </c>
      <c r="S137" s="182">
        <v>0</v>
      </c>
      <c r="T137" s="182">
        <v>0</v>
      </c>
      <c r="U137" s="182">
        <v>0</v>
      </c>
      <c r="V137" s="182">
        <v>0</v>
      </c>
      <c r="W137" s="182">
        <v>0</v>
      </c>
      <c r="X137" s="182">
        <v>0</v>
      </c>
      <c r="Y137" s="182">
        <v>0</v>
      </c>
      <c r="Z137" s="182">
        <v>0</v>
      </c>
      <c r="AA137" s="182">
        <v>0</v>
      </c>
      <c r="AB137" s="182">
        <v>0</v>
      </c>
      <c r="AC137" s="182">
        <v>0</v>
      </c>
      <c r="AD137" s="182">
        <v>0</v>
      </c>
      <c r="AE137" s="182">
        <v>0</v>
      </c>
      <c r="AF137" s="182">
        <v>0</v>
      </c>
      <c r="AG137" s="182">
        <v>0</v>
      </c>
      <c r="AH137" s="182">
        <v>0</v>
      </c>
      <c r="AI137" s="182">
        <v>0</v>
      </c>
      <c r="AJ137" s="182">
        <v>0</v>
      </c>
      <c r="AK137" s="182">
        <v>0</v>
      </c>
      <c r="AL137" s="182">
        <v>0</v>
      </c>
      <c r="AM137" s="182">
        <v>0</v>
      </c>
      <c r="AN137" s="182">
        <v>0</v>
      </c>
      <c r="AO137" s="182">
        <v>0</v>
      </c>
      <c r="AP137" s="182">
        <v>0</v>
      </c>
      <c r="AQ137" s="182">
        <v>0</v>
      </c>
      <c r="AR137" s="182">
        <v>0</v>
      </c>
      <c r="AS137" s="182">
        <v>0</v>
      </c>
      <c r="AT137" s="182">
        <v>0</v>
      </c>
      <c r="AU137" s="182">
        <v>0</v>
      </c>
      <c r="AV137" s="182">
        <v>0</v>
      </c>
      <c r="AW137" s="182">
        <v>0</v>
      </c>
      <c r="AX137" s="182">
        <v>0</v>
      </c>
      <c r="AY137" s="182">
        <v>0</v>
      </c>
      <c r="AZ137" s="182">
        <v>0</v>
      </c>
      <c r="BA137" s="182">
        <v>0</v>
      </c>
      <c r="BB137" s="168">
        <v>0</v>
      </c>
      <c r="BC137" s="168">
        <v>0</v>
      </c>
      <c r="BD137" s="168">
        <v>0</v>
      </c>
      <c r="BE137" s="168">
        <v>0</v>
      </c>
      <c r="BF137" s="182">
        <v>0</v>
      </c>
      <c r="BG137" s="182">
        <v>0</v>
      </c>
      <c r="BH137" s="182">
        <v>0</v>
      </c>
      <c r="BI137" s="182">
        <v>0</v>
      </c>
      <c r="BJ137" s="182">
        <v>0</v>
      </c>
      <c r="BK137" s="182">
        <v>0</v>
      </c>
      <c r="BL137" s="182">
        <v>0</v>
      </c>
      <c r="BM137" s="182">
        <v>0</v>
      </c>
      <c r="BN137" s="182">
        <v>0</v>
      </c>
      <c r="BO137" s="182">
        <v>0</v>
      </c>
      <c r="BP137" s="182">
        <v>0</v>
      </c>
      <c r="BQ137" s="182">
        <v>0</v>
      </c>
      <c r="BR137" s="182">
        <v>0</v>
      </c>
      <c r="BS137" s="182">
        <v>0</v>
      </c>
      <c r="BT137" s="182">
        <v>0</v>
      </c>
      <c r="BU137" s="182">
        <v>0</v>
      </c>
      <c r="BV137" s="182">
        <v>0</v>
      </c>
      <c r="BW137" s="182">
        <v>0</v>
      </c>
      <c r="BX137" s="182">
        <v>0</v>
      </c>
      <c r="BY137" s="182">
        <v>0</v>
      </c>
      <c r="BZ137" s="182">
        <v>0</v>
      </c>
      <c r="CA137" s="182">
        <v>0</v>
      </c>
      <c r="CB137" s="182">
        <v>0</v>
      </c>
      <c r="CC137" s="182">
        <v>0</v>
      </c>
      <c r="CD137" s="182">
        <v>0</v>
      </c>
      <c r="CE137" s="182">
        <v>0</v>
      </c>
      <c r="CF137" s="182">
        <v>0</v>
      </c>
      <c r="CG137" s="182">
        <v>0</v>
      </c>
      <c r="CH137" s="182">
        <v>0</v>
      </c>
      <c r="CI137" s="182">
        <v>0</v>
      </c>
      <c r="CJ137" s="182">
        <v>0</v>
      </c>
      <c r="CK137" s="182">
        <v>0</v>
      </c>
      <c r="CL137" s="182">
        <v>0</v>
      </c>
      <c r="CM137" s="182">
        <v>0</v>
      </c>
      <c r="CN137" s="182">
        <v>0</v>
      </c>
      <c r="CO137" s="182">
        <v>0</v>
      </c>
      <c r="CP137" s="182">
        <v>0</v>
      </c>
      <c r="CQ137" s="182">
        <v>0</v>
      </c>
      <c r="CR137" s="182">
        <v>0</v>
      </c>
      <c r="CS137" s="182">
        <v>0</v>
      </c>
      <c r="CT137" s="182">
        <v>0</v>
      </c>
      <c r="CU137" s="182">
        <v>0</v>
      </c>
      <c r="CV137" s="182">
        <v>0</v>
      </c>
      <c r="CW137" s="182">
        <v>0</v>
      </c>
      <c r="CX137" s="182">
        <v>0</v>
      </c>
      <c r="CY137" s="182">
        <v>0</v>
      </c>
      <c r="CZ137" s="182">
        <v>0</v>
      </c>
      <c r="DA137" s="182">
        <v>0</v>
      </c>
      <c r="DB137" s="182">
        <v>0</v>
      </c>
      <c r="DC137" s="182">
        <v>0</v>
      </c>
      <c r="DD137" s="182">
        <v>0</v>
      </c>
      <c r="DE137" s="182">
        <v>0</v>
      </c>
      <c r="DF137" s="182">
        <v>0</v>
      </c>
      <c r="DG137" s="182">
        <v>0</v>
      </c>
      <c r="DH137" s="182">
        <v>0</v>
      </c>
      <c r="DI137" s="177">
        <f>k.aA.sA</f>
        <v>4.5147475223446605E-10</v>
      </c>
      <c r="DJ137" s="177">
        <v>0</v>
      </c>
      <c r="DK137" s="177">
        <v>0</v>
      </c>
      <c r="DL137" s="177">
        <v>0</v>
      </c>
      <c r="DM137" s="177">
        <v>0</v>
      </c>
      <c r="DN137" s="177">
        <v>0</v>
      </c>
      <c r="DO137" s="177">
        <v>0</v>
      </c>
      <c r="DP137" s="182">
        <v>0</v>
      </c>
      <c r="DQ137" s="182">
        <v>0</v>
      </c>
      <c r="DR137" s="182">
        <v>0</v>
      </c>
      <c r="DS137" s="182">
        <v>0</v>
      </c>
      <c r="DT137" s="182">
        <v>0</v>
      </c>
      <c r="DU137" s="182">
        <v>0</v>
      </c>
      <c r="DV137" s="182">
        <v>0</v>
      </c>
      <c r="DW137" s="182">
        <v>0</v>
      </c>
      <c r="DX137" s="182">
        <v>0</v>
      </c>
      <c r="DY137" s="182">
        <v>0</v>
      </c>
      <c r="DZ137" s="177">
        <v>0</v>
      </c>
      <c r="EA137" s="177">
        <v>0</v>
      </c>
      <c r="EB137" s="310">
        <f>-k.sA-SUM(EB9:EB136,EB138:EB163)</f>
        <v>-3.5676131640046325E-8</v>
      </c>
      <c r="EC137" s="321">
        <f>kdis.s1S.s1D</f>
        <v>0</v>
      </c>
      <c r="ED137" s="321">
        <f>kdis.s1A.s1D</f>
        <v>0</v>
      </c>
      <c r="EE137" s="322">
        <f>kdis.s1P.s1D</f>
        <v>0</v>
      </c>
      <c r="EF137" s="182">
        <v>0</v>
      </c>
      <c r="EG137" s="182">
        <v>0</v>
      </c>
      <c r="EH137" s="182">
        <v>0</v>
      </c>
      <c r="EI137" s="182">
        <v>0</v>
      </c>
      <c r="EJ137" s="182">
        <v>0</v>
      </c>
      <c r="EK137" s="182">
        <v>0</v>
      </c>
      <c r="EL137" s="182">
        <v>0</v>
      </c>
      <c r="EM137" s="182">
        <v>0</v>
      </c>
      <c r="EN137" s="182">
        <v>0</v>
      </c>
      <c r="EO137" s="182">
        <v>0</v>
      </c>
      <c r="EP137" s="182">
        <v>0</v>
      </c>
      <c r="EQ137" s="182">
        <v>0</v>
      </c>
      <c r="ER137" s="182">
        <v>0</v>
      </c>
      <c r="ES137" s="182">
        <v>0</v>
      </c>
      <c r="ET137" s="182">
        <v>0</v>
      </c>
      <c r="EU137" s="182">
        <v>0</v>
      </c>
      <c r="EV137" s="182">
        <v>0</v>
      </c>
      <c r="EW137" s="182">
        <v>0</v>
      </c>
      <c r="EX137" s="182">
        <v>0</v>
      </c>
      <c r="EY137" s="182">
        <v>0</v>
      </c>
      <c r="EZ137" s="182">
        <v>0</v>
      </c>
      <c r="FA137" s="182">
        <v>0</v>
      </c>
      <c r="FB137" s="183">
        <v>0</v>
      </c>
    </row>
    <row r="138" spans="2:158" ht="12.75" customHeight="1" x14ac:dyDescent="0.3">
      <c r="B138" s="199" t="s">
        <v>3948</v>
      </c>
      <c r="C138" s="340"/>
      <c r="D138" s="182">
        <v>0</v>
      </c>
      <c r="E138" s="182">
        <v>0</v>
      </c>
      <c r="F138" s="182">
        <v>0</v>
      </c>
      <c r="G138" s="182">
        <v>0</v>
      </c>
      <c r="H138" s="182">
        <v>0</v>
      </c>
      <c r="I138" s="182">
        <v>0</v>
      </c>
      <c r="J138" s="182">
        <v>0</v>
      </c>
      <c r="K138" s="182">
        <v>0</v>
      </c>
      <c r="L138" s="182">
        <v>0</v>
      </c>
      <c r="M138" s="182">
        <v>0</v>
      </c>
      <c r="N138" s="182">
        <v>0</v>
      </c>
      <c r="O138" s="182">
        <v>0</v>
      </c>
      <c r="P138" s="182">
        <v>0</v>
      </c>
      <c r="Q138" s="182">
        <v>0</v>
      </c>
      <c r="R138" s="182">
        <v>0</v>
      </c>
      <c r="S138" s="182">
        <v>0</v>
      </c>
      <c r="T138" s="182">
        <v>0</v>
      </c>
      <c r="U138" s="182">
        <v>0</v>
      </c>
      <c r="V138" s="182">
        <v>0</v>
      </c>
      <c r="W138" s="182">
        <v>0</v>
      </c>
      <c r="X138" s="182">
        <v>0</v>
      </c>
      <c r="Y138" s="182">
        <v>0</v>
      </c>
      <c r="Z138" s="182">
        <v>0</v>
      </c>
      <c r="AA138" s="182">
        <v>0</v>
      </c>
      <c r="AB138" s="182">
        <v>0</v>
      </c>
      <c r="AC138" s="182">
        <v>0</v>
      </c>
      <c r="AD138" s="182">
        <v>0</v>
      </c>
      <c r="AE138" s="182">
        <v>0</v>
      </c>
      <c r="AF138" s="182">
        <v>0</v>
      </c>
      <c r="AG138" s="182">
        <v>0</v>
      </c>
      <c r="AH138" s="182">
        <v>0</v>
      </c>
      <c r="AI138" s="182">
        <v>0</v>
      </c>
      <c r="AJ138" s="182">
        <v>0</v>
      </c>
      <c r="AK138" s="182">
        <v>0</v>
      </c>
      <c r="AL138" s="182">
        <v>0</v>
      </c>
      <c r="AM138" s="182">
        <v>0</v>
      </c>
      <c r="AN138" s="182">
        <v>0</v>
      </c>
      <c r="AO138" s="182">
        <v>0</v>
      </c>
      <c r="AP138" s="182">
        <v>0</v>
      </c>
      <c r="AQ138" s="182">
        <v>0</v>
      </c>
      <c r="AR138" s="182">
        <v>0</v>
      </c>
      <c r="AS138" s="182">
        <v>0</v>
      </c>
      <c r="AT138" s="182">
        <v>0</v>
      </c>
      <c r="AU138" s="182">
        <v>0</v>
      </c>
      <c r="AV138" s="182">
        <v>0</v>
      </c>
      <c r="AW138" s="182">
        <v>0</v>
      </c>
      <c r="AX138" s="182">
        <v>0</v>
      </c>
      <c r="AY138" s="182">
        <v>0</v>
      </c>
      <c r="AZ138" s="182">
        <v>0</v>
      </c>
      <c r="BA138" s="182">
        <v>0</v>
      </c>
      <c r="BB138" s="168">
        <v>0</v>
      </c>
      <c r="BC138" s="168">
        <v>0</v>
      </c>
      <c r="BD138" s="168">
        <v>0</v>
      </c>
      <c r="BE138" s="168">
        <v>0</v>
      </c>
      <c r="BF138" s="182">
        <v>0</v>
      </c>
      <c r="BG138" s="182">
        <v>0</v>
      </c>
      <c r="BH138" s="182">
        <v>0</v>
      </c>
      <c r="BI138" s="182">
        <v>0</v>
      </c>
      <c r="BJ138" s="182">
        <v>0</v>
      </c>
      <c r="BK138" s="182">
        <v>0</v>
      </c>
      <c r="BL138" s="182">
        <v>0</v>
      </c>
      <c r="BM138" s="182">
        <v>0</v>
      </c>
      <c r="BN138" s="182">
        <v>0</v>
      </c>
      <c r="BO138" s="182">
        <v>0</v>
      </c>
      <c r="BP138" s="182">
        <v>0</v>
      </c>
      <c r="BQ138" s="182">
        <v>0</v>
      </c>
      <c r="BR138" s="182">
        <v>0</v>
      </c>
      <c r="BS138" s="182">
        <v>0</v>
      </c>
      <c r="BT138" s="182">
        <v>0</v>
      </c>
      <c r="BU138" s="182">
        <v>0</v>
      </c>
      <c r="BV138" s="182">
        <v>0</v>
      </c>
      <c r="BW138" s="182">
        <v>0</v>
      </c>
      <c r="BX138" s="182">
        <v>0</v>
      </c>
      <c r="BY138" s="182">
        <v>0</v>
      </c>
      <c r="BZ138" s="182">
        <v>0</v>
      </c>
      <c r="CA138" s="182">
        <v>0</v>
      </c>
      <c r="CB138" s="182">
        <v>0</v>
      </c>
      <c r="CC138" s="182">
        <v>0</v>
      </c>
      <c r="CD138" s="182">
        <v>0</v>
      </c>
      <c r="CE138" s="182">
        <v>0</v>
      </c>
      <c r="CF138" s="182">
        <v>0</v>
      </c>
      <c r="CG138" s="182">
        <v>0</v>
      </c>
      <c r="CH138" s="182">
        <v>0</v>
      </c>
      <c r="CI138" s="182">
        <v>0</v>
      </c>
      <c r="CJ138" s="182">
        <v>0</v>
      </c>
      <c r="CK138" s="182">
        <v>0</v>
      </c>
      <c r="CL138" s="182">
        <v>0</v>
      </c>
      <c r="CM138" s="182">
        <v>0</v>
      </c>
      <c r="CN138" s="182">
        <v>0</v>
      </c>
      <c r="CO138" s="182">
        <v>0</v>
      </c>
      <c r="CP138" s="182">
        <v>0</v>
      </c>
      <c r="CQ138" s="182">
        <v>0</v>
      </c>
      <c r="CR138" s="182">
        <v>0</v>
      </c>
      <c r="CS138" s="182">
        <v>0</v>
      </c>
      <c r="CT138" s="182">
        <v>0</v>
      </c>
      <c r="CU138" s="182">
        <v>0</v>
      </c>
      <c r="CV138" s="182">
        <v>0</v>
      </c>
      <c r="CW138" s="182">
        <v>0</v>
      </c>
      <c r="CX138" s="182">
        <v>0</v>
      </c>
      <c r="CY138" s="182">
        <v>0</v>
      </c>
      <c r="CZ138" s="182">
        <v>0</v>
      </c>
      <c r="DA138" s="182">
        <v>0</v>
      </c>
      <c r="DB138" s="182">
        <v>0</v>
      </c>
      <c r="DC138" s="182">
        <v>0</v>
      </c>
      <c r="DD138" s="182">
        <v>0</v>
      </c>
      <c r="DE138" s="182">
        <v>0</v>
      </c>
      <c r="DF138" s="182">
        <v>0</v>
      </c>
      <c r="DG138" s="182">
        <v>0</v>
      </c>
      <c r="DH138" s="182">
        <v>0</v>
      </c>
      <c r="DI138" s="177">
        <v>0</v>
      </c>
      <c r="DJ138" s="177">
        <f>k.aAS.sAS</f>
        <v>6.0377694966806459E-7</v>
      </c>
      <c r="DK138" s="177">
        <v>0</v>
      </c>
      <c r="DL138" s="177">
        <v>0</v>
      </c>
      <c r="DM138" s="177">
        <f>k.cwAS.sAS</f>
        <v>1.0569933832235011E-5</v>
      </c>
      <c r="DN138" s="177">
        <v>0</v>
      </c>
      <c r="DO138" s="177">
        <v>0</v>
      </c>
      <c r="DP138" s="182">
        <v>0</v>
      </c>
      <c r="DQ138" s="182">
        <v>0</v>
      </c>
      <c r="DR138" s="182">
        <v>0</v>
      </c>
      <c r="DS138" s="182">
        <v>0</v>
      </c>
      <c r="DT138" s="182">
        <v>0</v>
      </c>
      <c r="DU138" s="182">
        <v>0</v>
      </c>
      <c r="DV138" s="182">
        <v>0</v>
      </c>
      <c r="DW138" s="182">
        <v>0</v>
      </c>
      <c r="DX138" s="182">
        <v>0</v>
      </c>
      <c r="DY138" s="182">
        <v>0</v>
      </c>
      <c r="DZ138" s="182">
        <v>0</v>
      </c>
      <c r="EA138" s="177">
        <v>0</v>
      </c>
      <c r="EB138" s="323">
        <v>0</v>
      </c>
      <c r="EC138" s="181">
        <f>-k.sAS-SUM(EC$9:EC137,EC139:EC$163)</f>
        <v>-1.9494875715794675E-2</v>
      </c>
      <c r="ED138" s="177">
        <v>0</v>
      </c>
      <c r="EE138" s="302">
        <v>0</v>
      </c>
      <c r="EF138" s="182">
        <v>0</v>
      </c>
      <c r="EG138" s="182">
        <v>0</v>
      </c>
      <c r="EH138" s="182">
        <v>0</v>
      </c>
      <c r="EI138" s="182">
        <v>0</v>
      </c>
      <c r="EJ138" s="182">
        <v>0</v>
      </c>
      <c r="EK138" s="182">
        <v>0</v>
      </c>
      <c r="EL138" s="182">
        <v>0</v>
      </c>
      <c r="EM138" s="182">
        <v>0</v>
      </c>
      <c r="EN138" s="182">
        <v>0</v>
      </c>
      <c r="EO138" s="182">
        <v>0</v>
      </c>
      <c r="EP138" s="182">
        <v>0</v>
      </c>
      <c r="EQ138" s="182">
        <v>0</v>
      </c>
      <c r="ER138" s="182">
        <v>0</v>
      </c>
      <c r="ES138" s="182">
        <v>0</v>
      </c>
      <c r="ET138" s="182">
        <v>0</v>
      </c>
      <c r="EU138" s="182">
        <v>0</v>
      </c>
      <c r="EV138" s="182">
        <v>0</v>
      </c>
      <c r="EW138" s="182">
        <v>0</v>
      </c>
      <c r="EX138" s="182">
        <v>0</v>
      </c>
      <c r="EY138" s="182">
        <v>0</v>
      </c>
      <c r="EZ138" s="182">
        <v>0</v>
      </c>
      <c r="FA138" s="182">
        <v>0</v>
      </c>
      <c r="FB138" s="183">
        <v>0</v>
      </c>
    </row>
    <row r="139" spans="2:158" ht="12.75" customHeight="1" x14ac:dyDescent="0.3">
      <c r="B139" s="199" t="s">
        <v>3949</v>
      </c>
      <c r="C139" s="340"/>
      <c r="D139" s="182">
        <v>0</v>
      </c>
      <c r="E139" s="182">
        <v>0</v>
      </c>
      <c r="F139" s="182">
        <v>0</v>
      </c>
      <c r="G139" s="182">
        <v>0</v>
      </c>
      <c r="H139" s="182">
        <v>0</v>
      </c>
      <c r="I139" s="182">
        <v>0</v>
      </c>
      <c r="J139" s="182">
        <v>0</v>
      </c>
      <c r="K139" s="182">
        <v>0</v>
      </c>
      <c r="L139" s="182">
        <v>0</v>
      </c>
      <c r="M139" s="182">
        <v>0</v>
      </c>
      <c r="N139" s="182">
        <v>0</v>
      </c>
      <c r="O139" s="182">
        <v>0</v>
      </c>
      <c r="P139" s="182">
        <v>0</v>
      </c>
      <c r="Q139" s="182">
        <v>0</v>
      </c>
      <c r="R139" s="182">
        <v>0</v>
      </c>
      <c r="S139" s="182">
        <v>0</v>
      </c>
      <c r="T139" s="182">
        <v>0</v>
      </c>
      <c r="U139" s="182">
        <v>0</v>
      </c>
      <c r="V139" s="182">
        <v>0</v>
      </c>
      <c r="W139" s="182">
        <v>0</v>
      </c>
      <c r="X139" s="182">
        <v>0</v>
      </c>
      <c r="Y139" s="182">
        <v>0</v>
      </c>
      <c r="Z139" s="182">
        <v>0</v>
      </c>
      <c r="AA139" s="182">
        <v>0</v>
      </c>
      <c r="AB139" s="182">
        <v>0</v>
      </c>
      <c r="AC139" s="182">
        <v>0</v>
      </c>
      <c r="AD139" s="182">
        <v>0</v>
      </c>
      <c r="AE139" s="182">
        <v>0</v>
      </c>
      <c r="AF139" s="182">
        <v>0</v>
      </c>
      <c r="AG139" s="182">
        <v>0</v>
      </c>
      <c r="AH139" s="182">
        <v>0</v>
      </c>
      <c r="AI139" s="182">
        <v>0</v>
      </c>
      <c r="AJ139" s="182">
        <v>0</v>
      </c>
      <c r="AK139" s="182">
        <v>0</v>
      </c>
      <c r="AL139" s="182">
        <v>0</v>
      </c>
      <c r="AM139" s="182">
        <v>0</v>
      </c>
      <c r="AN139" s="182">
        <v>0</v>
      </c>
      <c r="AO139" s="182">
        <v>0</v>
      </c>
      <c r="AP139" s="182">
        <v>0</v>
      </c>
      <c r="AQ139" s="182">
        <v>0</v>
      </c>
      <c r="AR139" s="182">
        <v>0</v>
      </c>
      <c r="AS139" s="182">
        <v>0</v>
      </c>
      <c r="AT139" s="182">
        <v>0</v>
      </c>
      <c r="AU139" s="182">
        <v>0</v>
      </c>
      <c r="AV139" s="182">
        <v>0</v>
      </c>
      <c r="AW139" s="182">
        <v>0</v>
      </c>
      <c r="AX139" s="182">
        <v>0</v>
      </c>
      <c r="AY139" s="182">
        <v>0</v>
      </c>
      <c r="AZ139" s="182">
        <v>0</v>
      </c>
      <c r="BA139" s="182">
        <v>0</v>
      </c>
      <c r="BB139" s="168">
        <v>0</v>
      </c>
      <c r="BC139" s="168">
        <v>0</v>
      </c>
      <c r="BD139" s="168">
        <v>0</v>
      </c>
      <c r="BE139" s="168">
        <v>0</v>
      </c>
      <c r="BF139" s="182">
        <v>0</v>
      </c>
      <c r="BG139" s="182">
        <v>0</v>
      </c>
      <c r="BH139" s="182">
        <v>0</v>
      </c>
      <c r="BI139" s="182">
        <v>0</v>
      </c>
      <c r="BJ139" s="182">
        <v>0</v>
      </c>
      <c r="BK139" s="182">
        <v>0</v>
      </c>
      <c r="BL139" s="182">
        <v>0</v>
      </c>
      <c r="BM139" s="182">
        <v>0</v>
      </c>
      <c r="BN139" s="182">
        <v>0</v>
      </c>
      <c r="BO139" s="182">
        <v>0</v>
      </c>
      <c r="BP139" s="182">
        <v>0</v>
      </c>
      <c r="BQ139" s="182">
        <v>0</v>
      </c>
      <c r="BR139" s="182">
        <v>0</v>
      </c>
      <c r="BS139" s="182">
        <v>0</v>
      </c>
      <c r="BT139" s="182">
        <v>0</v>
      </c>
      <c r="BU139" s="182">
        <v>0</v>
      </c>
      <c r="BV139" s="182">
        <v>0</v>
      </c>
      <c r="BW139" s="182">
        <v>0</v>
      </c>
      <c r="BX139" s="182">
        <v>0</v>
      </c>
      <c r="BY139" s="182">
        <v>0</v>
      </c>
      <c r="BZ139" s="182">
        <v>0</v>
      </c>
      <c r="CA139" s="182">
        <v>0</v>
      </c>
      <c r="CB139" s="182">
        <v>0</v>
      </c>
      <c r="CC139" s="182">
        <v>0</v>
      </c>
      <c r="CD139" s="182">
        <v>0</v>
      </c>
      <c r="CE139" s="182">
        <v>0</v>
      </c>
      <c r="CF139" s="182">
        <v>0</v>
      </c>
      <c r="CG139" s="182">
        <v>0</v>
      </c>
      <c r="CH139" s="182">
        <v>0</v>
      </c>
      <c r="CI139" s="182">
        <v>0</v>
      </c>
      <c r="CJ139" s="182">
        <v>0</v>
      </c>
      <c r="CK139" s="182">
        <v>0</v>
      </c>
      <c r="CL139" s="182">
        <v>0</v>
      </c>
      <c r="CM139" s="182">
        <v>0</v>
      </c>
      <c r="CN139" s="182">
        <v>0</v>
      </c>
      <c r="CO139" s="182">
        <v>0</v>
      </c>
      <c r="CP139" s="182">
        <v>0</v>
      </c>
      <c r="CQ139" s="182">
        <v>0</v>
      </c>
      <c r="CR139" s="182">
        <v>0</v>
      </c>
      <c r="CS139" s="182">
        <v>0</v>
      </c>
      <c r="CT139" s="182">
        <v>0</v>
      </c>
      <c r="CU139" s="182">
        <v>0</v>
      </c>
      <c r="CV139" s="182">
        <v>0</v>
      </c>
      <c r="CW139" s="182">
        <v>0</v>
      </c>
      <c r="CX139" s="182">
        <v>0</v>
      </c>
      <c r="CY139" s="182">
        <v>0</v>
      </c>
      <c r="CZ139" s="182">
        <v>0</v>
      </c>
      <c r="DA139" s="182">
        <v>0</v>
      </c>
      <c r="DB139" s="182">
        <v>0</v>
      </c>
      <c r="DC139" s="182">
        <v>0</v>
      </c>
      <c r="DD139" s="182">
        <v>0</v>
      </c>
      <c r="DE139" s="182">
        <v>0</v>
      </c>
      <c r="DF139" s="182">
        <v>0</v>
      </c>
      <c r="DG139" s="182">
        <v>0</v>
      </c>
      <c r="DH139" s="182">
        <v>0</v>
      </c>
      <c r="DI139" s="177">
        <v>0</v>
      </c>
      <c r="DJ139" s="177">
        <v>0</v>
      </c>
      <c r="DK139" s="177">
        <f>k.aAA.sAA</f>
        <v>1.0615315225578244E-7</v>
      </c>
      <c r="DL139" s="177">
        <v>0</v>
      </c>
      <c r="DM139" s="177">
        <v>0</v>
      </c>
      <c r="DN139" s="177">
        <f>k.cwAA.sAA</f>
        <v>1.0569933832235011E-5</v>
      </c>
      <c r="DO139" s="177">
        <v>0</v>
      </c>
      <c r="DP139" s="182">
        <v>0</v>
      </c>
      <c r="DQ139" s="182">
        <v>0</v>
      </c>
      <c r="DR139" s="182">
        <v>0</v>
      </c>
      <c r="DS139" s="182">
        <v>0</v>
      </c>
      <c r="DT139" s="182">
        <v>0</v>
      </c>
      <c r="DU139" s="182">
        <v>0</v>
      </c>
      <c r="DV139" s="182">
        <v>0</v>
      </c>
      <c r="DW139" s="182">
        <v>0</v>
      </c>
      <c r="DX139" s="182">
        <v>0</v>
      </c>
      <c r="DY139" s="182">
        <v>0</v>
      </c>
      <c r="DZ139" s="182">
        <v>0</v>
      </c>
      <c r="EA139" s="182">
        <v>0</v>
      </c>
      <c r="EB139" s="323">
        <v>0</v>
      </c>
      <c r="EC139" s="177">
        <f>k.sAS.sAA</f>
        <v>1.4584020478661116E-2</v>
      </c>
      <c r="ED139" s="181">
        <f>-k.sAA-SUM(ED$9:ED138,ED140:ED$163)</f>
        <v>-5.0727314318624363E-8</v>
      </c>
      <c r="EE139" s="302">
        <v>0</v>
      </c>
      <c r="EF139" s="177">
        <v>0</v>
      </c>
      <c r="EG139" s="182">
        <v>0</v>
      </c>
      <c r="EH139" s="182">
        <v>0</v>
      </c>
      <c r="EI139" s="182">
        <v>0</v>
      </c>
      <c r="EJ139" s="182">
        <v>0</v>
      </c>
      <c r="EK139" s="182">
        <v>0</v>
      </c>
      <c r="EL139" s="182">
        <v>0</v>
      </c>
      <c r="EM139" s="182">
        <v>0</v>
      </c>
      <c r="EN139" s="182">
        <v>0</v>
      </c>
      <c r="EO139" s="182">
        <v>0</v>
      </c>
      <c r="EP139" s="182">
        <v>0</v>
      </c>
      <c r="EQ139" s="182">
        <v>0</v>
      </c>
      <c r="ER139" s="182">
        <v>0</v>
      </c>
      <c r="ES139" s="182">
        <v>0</v>
      </c>
      <c r="ET139" s="182">
        <v>0</v>
      </c>
      <c r="EU139" s="182">
        <v>0</v>
      </c>
      <c r="EV139" s="182">
        <v>0</v>
      </c>
      <c r="EW139" s="182">
        <v>0</v>
      </c>
      <c r="EX139" s="182">
        <v>0</v>
      </c>
      <c r="EY139" s="182">
        <v>0</v>
      </c>
      <c r="EZ139" s="182">
        <v>0</v>
      </c>
      <c r="FA139" s="182">
        <v>0</v>
      </c>
      <c r="FB139" s="183">
        <v>0</v>
      </c>
    </row>
    <row r="140" spans="2:158" ht="12.75" customHeight="1" x14ac:dyDescent="0.3">
      <c r="B140" s="199" t="s">
        <v>3950</v>
      </c>
      <c r="C140" s="340"/>
      <c r="D140" s="182">
        <v>0</v>
      </c>
      <c r="E140" s="182">
        <v>0</v>
      </c>
      <c r="F140" s="182">
        <v>0</v>
      </c>
      <c r="G140" s="182">
        <v>0</v>
      </c>
      <c r="H140" s="182">
        <v>0</v>
      </c>
      <c r="I140" s="182">
        <v>0</v>
      </c>
      <c r="J140" s="182">
        <v>0</v>
      </c>
      <c r="K140" s="182">
        <v>0</v>
      </c>
      <c r="L140" s="182">
        <v>0</v>
      </c>
      <c r="M140" s="182">
        <v>0</v>
      </c>
      <c r="N140" s="182">
        <v>0</v>
      </c>
      <c r="O140" s="182">
        <v>0</v>
      </c>
      <c r="P140" s="182">
        <v>0</v>
      </c>
      <c r="Q140" s="182">
        <v>0</v>
      </c>
      <c r="R140" s="182">
        <v>0</v>
      </c>
      <c r="S140" s="182">
        <v>0</v>
      </c>
      <c r="T140" s="182">
        <v>0</v>
      </c>
      <c r="U140" s="182">
        <v>0</v>
      </c>
      <c r="V140" s="182">
        <v>0</v>
      </c>
      <c r="W140" s="182">
        <v>0</v>
      </c>
      <c r="X140" s="182">
        <v>0</v>
      </c>
      <c r="Y140" s="182">
        <v>0</v>
      </c>
      <c r="Z140" s="182">
        <v>0</v>
      </c>
      <c r="AA140" s="182">
        <v>0</v>
      </c>
      <c r="AB140" s="182">
        <v>0</v>
      </c>
      <c r="AC140" s="182">
        <v>0</v>
      </c>
      <c r="AD140" s="182">
        <v>0</v>
      </c>
      <c r="AE140" s="182">
        <v>0</v>
      </c>
      <c r="AF140" s="182">
        <v>0</v>
      </c>
      <c r="AG140" s="182">
        <v>0</v>
      </c>
      <c r="AH140" s="182">
        <v>0</v>
      </c>
      <c r="AI140" s="182">
        <v>0</v>
      </c>
      <c r="AJ140" s="182">
        <v>0</v>
      </c>
      <c r="AK140" s="182">
        <v>0</v>
      </c>
      <c r="AL140" s="182">
        <v>0</v>
      </c>
      <c r="AM140" s="182">
        <v>0</v>
      </c>
      <c r="AN140" s="182">
        <v>0</v>
      </c>
      <c r="AO140" s="182">
        <v>0</v>
      </c>
      <c r="AP140" s="182">
        <v>0</v>
      </c>
      <c r="AQ140" s="182">
        <v>0</v>
      </c>
      <c r="AR140" s="182">
        <v>0</v>
      </c>
      <c r="AS140" s="182">
        <v>0</v>
      </c>
      <c r="AT140" s="182">
        <v>0</v>
      </c>
      <c r="AU140" s="182">
        <v>0</v>
      </c>
      <c r="AV140" s="182">
        <v>0</v>
      </c>
      <c r="AW140" s="182">
        <v>0</v>
      </c>
      <c r="AX140" s="182">
        <v>0</v>
      </c>
      <c r="AY140" s="182">
        <v>0</v>
      </c>
      <c r="AZ140" s="182">
        <v>0</v>
      </c>
      <c r="BA140" s="182">
        <v>0</v>
      </c>
      <c r="BB140" s="168">
        <v>0</v>
      </c>
      <c r="BC140" s="168">
        <v>0</v>
      </c>
      <c r="BD140" s="168">
        <v>0</v>
      </c>
      <c r="BE140" s="168">
        <v>0</v>
      </c>
      <c r="BF140" s="182">
        <v>0</v>
      </c>
      <c r="BG140" s="182">
        <v>0</v>
      </c>
      <c r="BH140" s="182">
        <v>0</v>
      </c>
      <c r="BI140" s="182">
        <v>0</v>
      </c>
      <c r="BJ140" s="182">
        <v>0</v>
      </c>
      <c r="BK140" s="182">
        <v>0</v>
      </c>
      <c r="BL140" s="182">
        <v>0</v>
      </c>
      <c r="BM140" s="182">
        <v>0</v>
      </c>
      <c r="BN140" s="182">
        <v>0</v>
      </c>
      <c r="BO140" s="182">
        <v>0</v>
      </c>
      <c r="BP140" s="182">
        <v>0</v>
      </c>
      <c r="BQ140" s="182">
        <v>0</v>
      </c>
      <c r="BR140" s="182">
        <v>0</v>
      </c>
      <c r="BS140" s="182">
        <v>0</v>
      </c>
      <c r="BT140" s="182">
        <v>0</v>
      </c>
      <c r="BU140" s="182">
        <v>0</v>
      </c>
      <c r="BV140" s="182">
        <v>0</v>
      </c>
      <c r="BW140" s="182">
        <v>0</v>
      </c>
      <c r="BX140" s="182">
        <v>0</v>
      </c>
      <c r="BY140" s="182">
        <v>0</v>
      </c>
      <c r="BZ140" s="182">
        <v>0</v>
      </c>
      <c r="CA140" s="182">
        <v>0</v>
      </c>
      <c r="CB140" s="182">
        <v>0</v>
      </c>
      <c r="CC140" s="182">
        <v>0</v>
      </c>
      <c r="CD140" s="182">
        <v>0</v>
      </c>
      <c r="CE140" s="182">
        <v>0</v>
      </c>
      <c r="CF140" s="182">
        <v>0</v>
      </c>
      <c r="CG140" s="182">
        <v>0</v>
      </c>
      <c r="CH140" s="182">
        <v>0</v>
      </c>
      <c r="CI140" s="182">
        <v>0</v>
      </c>
      <c r="CJ140" s="182">
        <v>0</v>
      </c>
      <c r="CK140" s="182">
        <v>0</v>
      </c>
      <c r="CL140" s="182">
        <v>0</v>
      </c>
      <c r="CM140" s="182">
        <v>0</v>
      </c>
      <c r="CN140" s="182">
        <v>0</v>
      </c>
      <c r="CO140" s="182">
        <v>0</v>
      </c>
      <c r="CP140" s="182">
        <v>0</v>
      </c>
      <c r="CQ140" s="182">
        <v>0</v>
      </c>
      <c r="CR140" s="182">
        <v>0</v>
      </c>
      <c r="CS140" s="182">
        <v>0</v>
      </c>
      <c r="CT140" s="182">
        <v>0</v>
      </c>
      <c r="CU140" s="182">
        <v>0</v>
      </c>
      <c r="CV140" s="182">
        <v>0</v>
      </c>
      <c r="CW140" s="182">
        <v>0</v>
      </c>
      <c r="CX140" s="182">
        <v>0</v>
      </c>
      <c r="CY140" s="182">
        <v>0</v>
      </c>
      <c r="CZ140" s="182">
        <v>0</v>
      </c>
      <c r="DA140" s="182">
        <v>0</v>
      </c>
      <c r="DB140" s="182">
        <v>0</v>
      </c>
      <c r="DC140" s="182">
        <v>0</v>
      </c>
      <c r="DD140" s="182">
        <v>0</v>
      </c>
      <c r="DE140" s="182">
        <v>0</v>
      </c>
      <c r="DF140" s="182">
        <v>0</v>
      </c>
      <c r="DG140" s="182">
        <v>0</v>
      </c>
      <c r="DH140" s="182">
        <v>0</v>
      </c>
      <c r="DI140" s="177">
        <v>0</v>
      </c>
      <c r="DJ140" s="177">
        <v>0</v>
      </c>
      <c r="DK140" s="177">
        <v>0</v>
      </c>
      <c r="DL140" s="177">
        <f>k.aAP.sAP</f>
        <v>4.0000012000003599E-7</v>
      </c>
      <c r="DM140" s="177">
        <v>0</v>
      </c>
      <c r="DN140" s="177">
        <v>0</v>
      </c>
      <c r="DO140" s="177">
        <f>k.cwAP.sAP</f>
        <v>1.0569933832235011E-5</v>
      </c>
      <c r="DP140" s="182">
        <v>0</v>
      </c>
      <c r="DQ140" s="182">
        <v>0</v>
      </c>
      <c r="DR140" s="182">
        <v>0</v>
      </c>
      <c r="DS140" s="182">
        <v>0</v>
      </c>
      <c r="DT140" s="182">
        <v>0</v>
      </c>
      <c r="DU140" s="182">
        <v>0</v>
      </c>
      <c r="DV140" s="182">
        <v>0</v>
      </c>
      <c r="DW140" s="182">
        <v>0</v>
      </c>
      <c r="DX140" s="182">
        <v>0</v>
      </c>
      <c r="DY140" s="182">
        <v>0</v>
      </c>
      <c r="DZ140" s="182">
        <v>0</v>
      </c>
      <c r="EA140" s="182">
        <v>0</v>
      </c>
      <c r="EB140" s="303">
        <v>0</v>
      </c>
      <c r="EC140" s="304">
        <f>k.sAS.sAP</f>
        <v>4.9108045098192436E-3</v>
      </c>
      <c r="ED140" s="304">
        <v>0</v>
      </c>
      <c r="EE140" s="181">
        <f>-k.sAP-SUM(EE$9:EE139,EE141:EE$163)</f>
        <v>-1.9025875190258751E-11</v>
      </c>
      <c r="EF140" s="177">
        <v>0</v>
      </c>
      <c r="EG140" s="177">
        <v>0</v>
      </c>
      <c r="EH140" s="182">
        <v>0</v>
      </c>
      <c r="EI140" s="182">
        <v>0</v>
      </c>
      <c r="EJ140" s="182">
        <v>0</v>
      </c>
      <c r="EK140" s="182">
        <v>0</v>
      </c>
      <c r="EL140" s="182">
        <v>0</v>
      </c>
      <c r="EM140" s="182">
        <v>0</v>
      </c>
      <c r="EN140" s="182">
        <v>0</v>
      </c>
      <c r="EO140" s="182">
        <v>0</v>
      </c>
      <c r="EP140" s="182">
        <v>0</v>
      </c>
      <c r="EQ140" s="182">
        <v>0</v>
      </c>
      <c r="ER140" s="182">
        <v>0</v>
      </c>
      <c r="ES140" s="182">
        <v>0</v>
      </c>
      <c r="ET140" s="182">
        <v>0</v>
      </c>
      <c r="EU140" s="182">
        <v>0</v>
      </c>
      <c r="EV140" s="182">
        <v>0</v>
      </c>
      <c r="EW140" s="182">
        <v>0</v>
      </c>
      <c r="EX140" s="182">
        <v>0</v>
      </c>
      <c r="EY140" s="182">
        <v>0</v>
      </c>
      <c r="EZ140" s="182">
        <v>0</v>
      </c>
      <c r="FA140" s="182">
        <v>0</v>
      </c>
      <c r="FB140" s="183">
        <v>0</v>
      </c>
    </row>
    <row r="141" spans="2:158" ht="12.75" customHeight="1" x14ac:dyDescent="0.3">
      <c r="B141" s="199" t="s">
        <v>3951</v>
      </c>
      <c r="C141" s="340"/>
      <c r="D141" s="182">
        <v>0</v>
      </c>
      <c r="E141" s="182">
        <v>0</v>
      </c>
      <c r="F141" s="182">
        <v>0</v>
      </c>
      <c r="G141" s="182">
        <v>0</v>
      </c>
      <c r="H141" s="182">
        <v>0</v>
      </c>
      <c r="I141" s="182">
        <v>0</v>
      </c>
      <c r="J141" s="182">
        <v>0</v>
      </c>
      <c r="K141" s="182">
        <v>0</v>
      </c>
      <c r="L141" s="182">
        <v>0</v>
      </c>
      <c r="M141" s="182">
        <v>0</v>
      </c>
      <c r="N141" s="182">
        <v>0</v>
      </c>
      <c r="O141" s="182">
        <v>0</v>
      </c>
      <c r="P141" s="182">
        <v>0</v>
      </c>
      <c r="Q141" s="182">
        <v>0</v>
      </c>
      <c r="R141" s="182">
        <v>0</v>
      </c>
      <c r="S141" s="182">
        <v>0</v>
      </c>
      <c r="T141" s="182">
        <v>0</v>
      </c>
      <c r="U141" s="182">
        <v>0</v>
      </c>
      <c r="V141" s="182">
        <v>0</v>
      </c>
      <c r="W141" s="182">
        <v>0</v>
      </c>
      <c r="X141" s="182">
        <v>0</v>
      </c>
      <c r="Y141" s="182">
        <v>0</v>
      </c>
      <c r="Z141" s="182">
        <v>0</v>
      </c>
      <c r="AA141" s="182">
        <v>0</v>
      </c>
      <c r="AB141" s="182">
        <v>0</v>
      </c>
      <c r="AC141" s="182">
        <v>0</v>
      </c>
      <c r="AD141" s="182">
        <v>0</v>
      </c>
      <c r="AE141" s="182">
        <v>0</v>
      </c>
      <c r="AF141" s="182">
        <v>0</v>
      </c>
      <c r="AG141" s="182">
        <v>0</v>
      </c>
      <c r="AH141" s="182">
        <v>0</v>
      </c>
      <c r="AI141" s="182">
        <v>0</v>
      </c>
      <c r="AJ141" s="182">
        <v>0</v>
      </c>
      <c r="AK141" s="182">
        <v>0</v>
      </c>
      <c r="AL141" s="182">
        <v>0</v>
      </c>
      <c r="AM141" s="182">
        <v>0</v>
      </c>
      <c r="AN141" s="182">
        <v>0</v>
      </c>
      <c r="AO141" s="182">
        <v>0</v>
      </c>
      <c r="AP141" s="182">
        <v>0</v>
      </c>
      <c r="AQ141" s="182">
        <v>0</v>
      </c>
      <c r="AR141" s="182">
        <v>0</v>
      </c>
      <c r="AS141" s="182">
        <v>0</v>
      </c>
      <c r="AT141" s="182">
        <v>0</v>
      </c>
      <c r="AU141" s="182">
        <v>0</v>
      </c>
      <c r="AV141" s="182">
        <v>0</v>
      </c>
      <c r="AW141" s="182">
        <v>0</v>
      </c>
      <c r="AX141" s="182">
        <v>0</v>
      </c>
      <c r="AY141" s="182">
        <v>0</v>
      </c>
      <c r="AZ141" s="182">
        <v>0</v>
      </c>
      <c r="BA141" s="182">
        <v>0</v>
      </c>
      <c r="BB141" s="168">
        <v>0</v>
      </c>
      <c r="BC141" s="168">
        <v>0</v>
      </c>
      <c r="BD141" s="168">
        <v>0</v>
      </c>
      <c r="BE141" s="168">
        <v>0</v>
      </c>
      <c r="BF141" s="182">
        <v>0</v>
      </c>
      <c r="BG141" s="182">
        <v>0</v>
      </c>
      <c r="BH141" s="182">
        <v>0</v>
      </c>
      <c r="BI141" s="182">
        <v>0</v>
      </c>
      <c r="BJ141" s="182">
        <v>0</v>
      </c>
      <c r="BK141" s="182">
        <v>0</v>
      </c>
      <c r="BL141" s="182">
        <v>0</v>
      </c>
      <c r="BM141" s="182">
        <v>0</v>
      </c>
      <c r="BN141" s="182">
        <v>0</v>
      </c>
      <c r="BO141" s="182">
        <v>0</v>
      </c>
      <c r="BP141" s="182">
        <v>0</v>
      </c>
      <c r="BQ141" s="182">
        <v>0</v>
      </c>
      <c r="BR141" s="182">
        <v>0</v>
      </c>
      <c r="BS141" s="182">
        <v>0</v>
      </c>
      <c r="BT141" s="182">
        <v>0</v>
      </c>
      <c r="BU141" s="182">
        <v>0</v>
      </c>
      <c r="BV141" s="182">
        <v>0</v>
      </c>
      <c r="BW141" s="182">
        <v>0</v>
      </c>
      <c r="BX141" s="182">
        <v>0</v>
      </c>
      <c r="BY141" s="182">
        <v>0</v>
      </c>
      <c r="BZ141" s="182">
        <v>0</v>
      </c>
      <c r="CA141" s="182">
        <v>0</v>
      </c>
      <c r="CB141" s="182">
        <v>0</v>
      </c>
      <c r="CC141" s="182">
        <v>0</v>
      </c>
      <c r="CD141" s="182">
        <v>0</v>
      </c>
      <c r="CE141" s="182">
        <v>0</v>
      </c>
      <c r="CF141" s="182">
        <v>0</v>
      </c>
      <c r="CG141" s="182">
        <v>0</v>
      </c>
      <c r="CH141" s="182">
        <v>0</v>
      </c>
      <c r="CI141" s="182">
        <v>0</v>
      </c>
      <c r="CJ141" s="182">
        <v>0</v>
      </c>
      <c r="CK141" s="182">
        <v>0</v>
      </c>
      <c r="CL141" s="177">
        <f>k.aM.aT</f>
        <v>6.5700661937293134E-7</v>
      </c>
      <c r="CM141" s="177">
        <v>0</v>
      </c>
      <c r="CN141" s="177">
        <v>0</v>
      </c>
      <c r="CO141" s="177">
        <v>0</v>
      </c>
      <c r="CP141" s="177">
        <v>0</v>
      </c>
      <c r="CQ141" s="177">
        <v>0</v>
      </c>
      <c r="CR141" s="177">
        <v>0</v>
      </c>
      <c r="CS141" s="182">
        <v>0</v>
      </c>
      <c r="CT141" s="182">
        <v>0</v>
      </c>
      <c r="CU141" s="182">
        <v>0</v>
      </c>
      <c r="CV141" s="182">
        <v>0</v>
      </c>
      <c r="CW141" s="182">
        <v>0</v>
      </c>
      <c r="CX141" s="182">
        <v>0</v>
      </c>
      <c r="CY141" s="182">
        <v>0</v>
      </c>
      <c r="CZ141" s="182">
        <v>0</v>
      </c>
      <c r="DA141" s="182">
        <v>0</v>
      </c>
      <c r="DB141" s="182">
        <v>0</v>
      </c>
      <c r="DC141" s="182">
        <v>0</v>
      </c>
      <c r="DD141" s="182">
        <v>0</v>
      </c>
      <c r="DE141" s="182">
        <v>0</v>
      </c>
      <c r="DF141" s="182">
        <v>0</v>
      </c>
      <c r="DG141" s="182">
        <v>0</v>
      </c>
      <c r="DH141" s="182">
        <v>0</v>
      </c>
      <c r="DI141" s="182">
        <v>0</v>
      </c>
      <c r="DJ141" s="182">
        <v>0</v>
      </c>
      <c r="DK141" s="182">
        <v>0</v>
      </c>
      <c r="DL141" s="182">
        <v>0</v>
      </c>
      <c r="DM141" s="182">
        <v>0</v>
      </c>
      <c r="DN141" s="182">
        <v>0</v>
      </c>
      <c r="DO141" s="182">
        <v>0</v>
      </c>
      <c r="DP141" s="182">
        <v>0</v>
      </c>
      <c r="DQ141" s="182">
        <v>0</v>
      </c>
      <c r="DR141" s="182">
        <v>0</v>
      </c>
      <c r="DS141" s="182">
        <v>0</v>
      </c>
      <c r="DT141" s="182">
        <v>0</v>
      </c>
      <c r="DU141" s="182">
        <v>0</v>
      </c>
      <c r="DV141" s="182">
        <v>0</v>
      </c>
      <c r="DW141" s="182">
        <v>0</v>
      </c>
      <c r="DX141" s="182">
        <v>0</v>
      </c>
      <c r="DY141" s="182">
        <v>0</v>
      </c>
      <c r="DZ141" s="182">
        <v>0</v>
      </c>
      <c r="EA141" s="182">
        <v>0</v>
      </c>
      <c r="EB141" s="182">
        <v>0</v>
      </c>
      <c r="EC141" s="182">
        <v>0</v>
      </c>
      <c r="ED141" s="177">
        <v>0</v>
      </c>
      <c r="EE141" s="177">
        <v>0</v>
      </c>
      <c r="EF141" s="310">
        <f>-k.aT-SUM(EF9:EF140,EF142:EF163)</f>
        <v>-6.620911684961753E-7</v>
      </c>
      <c r="EG141" s="321">
        <v>0</v>
      </c>
      <c r="EH141" s="321">
        <v>0</v>
      </c>
      <c r="EI141" s="322">
        <v>0</v>
      </c>
      <c r="EJ141" s="177">
        <v>0</v>
      </c>
      <c r="EK141" s="177">
        <v>0</v>
      </c>
      <c r="EL141" s="177">
        <v>0</v>
      </c>
      <c r="EM141" s="177">
        <f>k.w2T.aT</f>
        <v>5.1526365085130869E-8</v>
      </c>
      <c r="EN141" s="177">
        <v>0</v>
      </c>
      <c r="EO141" s="177">
        <v>0</v>
      </c>
      <c r="EP141" s="177">
        <v>0</v>
      </c>
      <c r="EQ141" s="182">
        <v>0</v>
      </c>
      <c r="ER141" s="182">
        <v>0</v>
      </c>
      <c r="ES141" s="182">
        <v>0</v>
      </c>
      <c r="ET141" s="182">
        <v>0</v>
      </c>
      <c r="EU141" s="182">
        <v>0</v>
      </c>
      <c r="EV141" s="182">
        <v>0</v>
      </c>
      <c r="EW141" s="182">
        <v>0</v>
      </c>
      <c r="EX141" s="182">
        <v>0</v>
      </c>
      <c r="EY141" s="177">
        <f>k.sT.aT</f>
        <v>2.7155790041888986E-7</v>
      </c>
      <c r="EZ141" s="177">
        <v>0</v>
      </c>
      <c r="FA141" s="177">
        <v>0</v>
      </c>
      <c r="FB141" s="184">
        <v>0</v>
      </c>
    </row>
    <row r="142" spans="2:158" ht="12.75" customHeight="1" x14ac:dyDescent="0.3">
      <c r="B142" s="199" t="s">
        <v>3952</v>
      </c>
      <c r="C142" s="340"/>
      <c r="D142" s="182">
        <v>0</v>
      </c>
      <c r="E142" s="182">
        <v>0</v>
      </c>
      <c r="F142" s="182">
        <v>0</v>
      </c>
      <c r="G142" s="182">
        <v>0</v>
      </c>
      <c r="H142" s="182">
        <v>0</v>
      </c>
      <c r="I142" s="182">
        <v>0</v>
      </c>
      <c r="J142" s="182">
        <v>0</v>
      </c>
      <c r="K142" s="182">
        <v>0</v>
      </c>
      <c r="L142" s="182">
        <v>0</v>
      </c>
      <c r="M142" s="182">
        <v>0</v>
      </c>
      <c r="N142" s="182">
        <v>0</v>
      </c>
      <c r="O142" s="182">
        <v>0</v>
      </c>
      <c r="P142" s="182">
        <v>0</v>
      </c>
      <c r="Q142" s="182">
        <v>0</v>
      </c>
      <c r="R142" s="182">
        <v>0</v>
      </c>
      <c r="S142" s="182">
        <v>0</v>
      </c>
      <c r="T142" s="182">
        <v>0</v>
      </c>
      <c r="U142" s="182">
        <v>0</v>
      </c>
      <c r="V142" s="182">
        <v>0</v>
      </c>
      <c r="W142" s="182">
        <v>0</v>
      </c>
      <c r="X142" s="182">
        <v>0</v>
      </c>
      <c r="Y142" s="182">
        <v>0</v>
      </c>
      <c r="Z142" s="182">
        <v>0</v>
      </c>
      <c r="AA142" s="182">
        <v>0</v>
      </c>
      <c r="AB142" s="182">
        <v>0</v>
      </c>
      <c r="AC142" s="182">
        <v>0</v>
      </c>
      <c r="AD142" s="182">
        <v>0</v>
      </c>
      <c r="AE142" s="182">
        <v>0</v>
      </c>
      <c r="AF142" s="182">
        <v>0</v>
      </c>
      <c r="AG142" s="182">
        <v>0</v>
      </c>
      <c r="AH142" s="182">
        <v>0</v>
      </c>
      <c r="AI142" s="182">
        <v>0</v>
      </c>
      <c r="AJ142" s="182">
        <v>0</v>
      </c>
      <c r="AK142" s="182">
        <v>0</v>
      </c>
      <c r="AL142" s="182">
        <v>0</v>
      </c>
      <c r="AM142" s="182">
        <v>0</v>
      </c>
      <c r="AN142" s="182">
        <v>0</v>
      </c>
      <c r="AO142" s="182">
        <v>0</v>
      </c>
      <c r="AP142" s="182">
        <v>0</v>
      </c>
      <c r="AQ142" s="182">
        <v>0</v>
      </c>
      <c r="AR142" s="182">
        <v>0</v>
      </c>
      <c r="AS142" s="182">
        <v>0</v>
      </c>
      <c r="AT142" s="182">
        <v>0</v>
      </c>
      <c r="AU142" s="182">
        <v>0</v>
      </c>
      <c r="AV142" s="182">
        <v>0</v>
      </c>
      <c r="AW142" s="182">
        <v>0</v>
      </c>
      <c r="AX142" s="182">
        <v>0</v>
      </c>
      <c r="AY142" s="182">
        <v>0</v>
      </c>
      <c r="AZ142" s="182">
        <v>0</v>
      </c>
      <c r="BA142" s="182">
        <v>0</v>
      </c>
      <c r="BB142" s="168">
        <v>0</v>
      </c>
      <c r="BC142" s="168">
        <v>0</v>
      </c>
      <c r="BD142" s="168">
        <v>0</v>
      </c>
      <c r="BE142" s="168">
        <v>0</v>
      </c>
      <c r="BF142" s="182">
        <v>0</v>
      </c>
      <c r="BG142" s="182">
        <v>0</v>
      </c>
      <c r="BH142" s="182">
        <v>0</v>
      </c>
      <c r="BI142" s="182">
        <v>0</v>
      </c>
      <c r="BJ142" s="182">
        <v>0</v>
      </c>
      <c r="BK142" s="182">
        <v>0</v>
      </c>
      <c r="BL142" s="182">
        <v>0</v>
      </c>
      <c r="BM142" s="182">
        <v>0</v>
      </c>
      <c r="BN142" s="182">
        <v>0</v>
      </c>
      <c r="BO142" s="182">
        <v>0</v>
      </c>
      <c r="BP142" s="182">
        <v>0</v>
      </c>
      <c r="BQ142" s="182">
        <v>0</v>
      </c>
      <c r="BR142" s="182">
        <v>0</v>
      </c>
      <c r="BS142" s="182">
        <v>0</v>
      </c>
      <c r="BT142" s="182">
        <v>0</v>
      </c>
      <c r="BU142" s="182">
        <v>0</v>
      </c>
      <c r="BV142" s="182">
        <v>0</v>
      </c>
      <c r="BW142" s="182">
        <v>0</v>
      </c>
      <c r="BX142" s="182">
        <v>0</v>
      </c>
      <c r="BY142" s="182">
        <v>0</v>
      </c>
      <c r="BZ142" s="182">
        <v>0</v>
      </c>
      <c r="CA142" s="182">
        <v>0</v>
      </c>
      <c r="CB142" s="182">
        <v>0</v>
      </c>
      <c r="CC142" s="182">
        <v>0</v>
      </c>
      <c r="CD142" s="182">
        <v>0</v>
      </c>
      <c r="CE142" s="182">
        <v>0</v>
      </c>
      <c r="CF142" s="182">
        <v>0</v>
      </c>
      <c r="CG142" s="182">
        <v>0</v>
      </c>
      <c r="CH142" s="182">
        <v>0</v>
      </c>
      <c r="CI142" s="182">
        <v>0</v>
      </c>
      <c r="CJ142" s="182">
        <v>0</v>
      </c>
      <c r="CK142" s="182">
        <v>0</v>
      </c>
      <c r="CL142" s="177">
        <v>0</v>
      </c>
      <c r="CM142" s="177">
        <f>k.aM.aT</f>
        <v>6.5700661937293134E-7</v>
      </c>
      <c r="CN142" s="177">
        <v>0</v>
      </c>
      <c r="CO142" s="177">
        <v>0</v>
      </c>
      <c r="CP142" s="177">
        <v>0</v>
      </c>
      <c r="CQ142" s="177">
        <v>0</v>
      </c>
      <c r="CR142" s="177">
        <v>0</v>
      </c>
      <c r="CS142" s="182">
        <v>0</v>
      </c>
      <c r="CT142" s="182">
        <v>0</v>
      </c>
      <c r="CU142" s="182">
        <v>0</v>
      </c>
      <c r="CV142" s="182">
        <v>0</v>
      </c>
      <c r="CW142" s="182">
        <v>0</v>
      </c>
      <c r="CX142" s="182">
        <v>0</v>
      </c>
      <c r="CY142" s="182">
        <v>0</v>
      </c>
      <c r="CZ142" s="182">
        <v>0</v>
      </c>
      <c r="DA142" s="182">
        <v>0</v>
      </c>
      <c r="DB142" s="182">
        <v>0</v>
      </c>
      <c r="DC142" s="182">
        <v>0</v>
      </c>
      <c r="DD142" s="182">
        <v>0</v>
      </c>
      <c r="DE142" s="182">
        <v>0</v>
      </c>
      <c r="DF142" s="182">
        <v>0</v>
      </c>
      <c r="DG142" s="182">
        <v>0</v>
      </c>
      <c r="DH142" s="182">
        <v>0</v>
      </c>
      <c r="DI142" s="182">
        <v>0</v>
      </c>
      <c r="DJ142" s="182">
        <v>0</v>
      </c>
      <c r="DK142" s="182">
        <v>0</v>
      </c>
      <c r="DL142" s="182">
        <v>0</v>
      </c>
      <c r="DM142" s="182">
        <v>0</v>
      </c>
      <c r="DN142" s="182">
        <v>0</v>
      </c>
      <c r="DO142" s="182">
        <v>0</v>
      </c>
      <c r="DP142" s="182">
        <v>0</v>
      </c>
      <c r="DQ142" s="182">
        <v>0</v>
      </c>
      <c r="DR142" s="182">
        <v>0</v>
      </c>
      <c r="DS142" s="182">
        <v>0</v>
      </c>
      <c r="DT142" s="182">
        <v>0</v>
      </c>
      <c r="DU142" s="182">
        <v>0</v>
      </c>
      <c r="DV142" s="182">
        <v>0</v>
      </c>
      <c r="DW142" s="182">
        <v>0</v>
      </c>
      <c r="DX142" s="182">
        <v>0</v>
      </c>
      <c r="DY142" s="182">
        <v>0</v>
      </c>
      <c r="DZ142" s="182">
        <v>0</v>
      </c>
      <c r="EA142" s="182">
        <v>0</v>
      </c>
      <c r="EB142" s="182">
        <v>0</v>
      </c>
      <c r="EC142" s="182">
        <v>0</v>
      </c>
      <c r="ED142" s="182">
        <v>0</v>
      </c>
      <c r="EE142" s="177">
        <v>0</v>
      </c>
      <c r="EF142" s="323">
        <v>0</v>
      </c>
      <c r="EG142" s="181">
        <f>-k.aTS-SUM(EG$9:EG141,EG143:EG$163)</f>
        <v>-2.6846955723565246E-5</v>
      </c>
      <c r="EH142" s="177">
        <v>0</v>
      </c>
      <c r="EI142" s="302">
        <v>0</v>
      </c>
      <c r="EJ142" s="177">
        <v>0</v>
      </c>
      <c r="EK142" s="177">
        <v>0</v>
      </c>
      <c r="EL142" s="177">
        <v>0</v>
      </c>
      <c r="EM142" s="177">
        <v>0</v>
      </c>
      <c r="EN142" s="177">
        <v>0</v>
      </c>
      <c r="EO142" s="177">
        <v>0</v>
      </c>
      <c r="EP142" s="177">
        <v>0</v>
      </c>
      <c r="EQ142" s="182">
        <v>0</v>
      </c>
      <c r="ER142" s="182">
        <v>0</v>
      </c>
      <c r="ES142" s="182">
        <v>0</v>
      </c>
      <c r="ET142" s="182">
        <v>0</v>
      </c>
      <c r="EU142" s="182">
        <v>0</v>
      </c>
      <c r="EV142" s="182">
        <v>0</v>
      </c>
      <c r="EW142" s="182">
        <v>0</v>
      </c>
      <c r="EX142" s="182">
        <v>0</v>
      </c>
      <c r="EY142" s="177">
        <v>0</v>
      </c>
      <c r="EZ142" s="177">
        <v>0</v>
      </c>
      <c r="FA142" s="177">
        <v>0</v>
      </c>
      <c r="FB142" s="184">
        <v>0</v>
      </c>
    </row>
    <row r="143" spans="2:158" ht="12.75" customHeight="1" x14ac:dyDescent="0.3">
      <c r="B143" s="199" t="s">
        <v>3953</v>
      </c>
      <c r="C143" s="340"/>
      <c r="D143" s="182">
        <v>0</v>
      </c>
      <c r="E143" s="182">
        <v>0</v>
      </c>
      <c r="F143" s="182">
        <v>0</v>
      </c>
      <c r="G143" s="182">
        <v>0</v>
      </c>
      <c r="H143" s="182">
        <v>0</v>
      </c>
      <c r="I143" s="182">
        <v>0</v>
      </c>
      <c r="J143" s="182">
        <v>0</v>
      </c>
      <c r="K143" s="182">
        <v>0</v>
      </c>
      <c r="L143" s="182">
        <v>0</v>
      </c>
      <c r="M143" s="182">
        <v>0</v>
      </c>
      <c r="N143" s="182">
        <v>0</v>
      </c>
      <c r="O143" s="182">
        <v>0</v>
      </c>
      <c r="P143" s="182">
        <v>0</v>
      </c>
      <c r="Q143" s="182">
        <v>0</v>
      </c>
      <c r="R143" s="182">
        <v>0</v>
      </c>
      <c r="S143" s="182">
        <v>0</v>
      </c>
      <c r="T143" s="182">
        <v>0</v>
      </c>
      <c r="U143" s="182">
        <v>0</v>
      </c>
      <c r="V143" s="182">
        <v>0</v>
      </c>
      <c r="W143" s="182">
        <v>0</v>
      </c>
      <c r="X143" s="182">
        <v>0</v>
      </c>
      <c r="Y143" s="182">
        <v>0</v>
      </c>
      <c r="Z143" s="182">
        <v>0</v>
      </c>
      <c r="AA143" s="182">
        <v>0</v>
      </c>
      <c r="AB143" s="182">
        <v>0</v>
      </c>
      <c r="AC143" s="182">
        <v>0</v>
      </c>
      <c r="AD143" s="182">
        <v>0</v>
      </c>
      <c r="AE143" s="182">
        <v>0</v>
      </c>
      <c r="AF143" s="182">
        <v>0</v>
      </c>
      <c r="AG143" s="182">
        <v>0</v>
      </c>
      <c r="AH143" s="182">
        <v>0</v>
      </c>
      <c r="AI143" s="182">
        <v>0</v>
      </c>
      <c r="AJ143" s="182">
        <v>0</v>
      </c>
      <c r="AK143" s="182">
        <v>0</v>
      </c>
      <c r="AL143" s="182">
        <v>0</v>
      </c>
      <c r="AM143" s="182">
        <v>0</v>
      </c>
      <c r="AN143" s="182">
        <v>0</v>
      </c>
      <c r="AO143" s="182">
        <v>0</v>
      </c>
      <c r="AP143" s="182">
        <v>0</v>
      </c>
      <c r="AQ143" s="182">
        <v>0</v>
      </c>
      <c r="AR143" s="182">
        <v>0</v>
      </c>
      <c r="AS143" s="182">
        <v>0</v>
      </c>
      <c r="AT143" s="182">
        <v>0</v>
      </c>
      <c r="AU143" s="182">
        <v>0</v>
      </c>
      <c r="AV143" s="182">
        <v>0</v>
      </c>
      <c r="AW143" s="182">
        <v>0</v>
      </c>
      <c r="AX143" s="182">
        <v>0</v>
      </c>
      <c r="AY143" s="182">
        <v>0</v>
      </c>
      <c r="AZ143" s="182">
        <v>0</v>
      </c>
      <c r="BA143" s="182">
        <v>0</v>
      </c>
      <c r="BB143" s="168">
        <v>0</v>
      </c>
      <c r="BC143" s="168">
        <v>0</v>
      </c>
      <c r="BD143" s="168">
        <v>0</v>
      </c>
      <c r="BE143" s="168">
        <v>0</v>
      </c>
      <c r="BF143" s="182">
        <v>0</v>
      </c>
      <c r="BG143" s="182">
        <v>0</v>
      </c>
      <c r="BH143" s="182">
        <v>0</v>
      </c>
      <c r="BI143" s="182">
        <v>0</v>
      </c>
      <c r="BJ143" s="182">
        <v>0</v>
      </c>
      <c r="BK143" s="182">
        <v>0</v>
      </c>
      <c r="BL143" s="182">
        <v>0</v>
      </c>
      <c r="BM143" s="182">
        <v>0</v>
      </c>
      <c r="BN143" s="182">
        <v>0</v>
      </c>
      <c r="BO143" s="182">
        <v>0</v>
      </c>
      <c r="BP143" s="182">
        <v>0</v>
      </c>
      <c r="BQ143" s="182">
        <v>0</v>
      </c>
      <c r="BR143" s="182">
        <v>0</v>
      </c>
      <c r="BS143" s="182">
        <v>0</v>
      </c>
      <c r="BT143" s="182">
        <v>0</v>
      </c>
      <c r="BU143" s="182">
        <v>0</v>
      </c>
      <c r="BV143" s="182">
        <v>0</v>
      </c>
      <c r="BW143" s="182">
        <v>0</v>
      </c>
      <c r="BX143" s="182">
        <v>0</v>
      </c>
      <c r="BY143" s="182">
        <v>0</v>
      </c>
      <c r="BZ143" s="182">
        <v>0</v>
      </c>
      <c r="CA143" s="182">
        <v>0</v>
      </c>
      <c r="CB143" s="182">
        <v>0</v>
      </c>
      <c r="CC143" s="182">
        <v>0</v>
      </c>
      <c r="CD143" s="182">
        <v>0</v>
      </c>
      <c r="CE143" s="182">
        <v>0</v>
      </c>
      <c r="CF143" s="182">
        <v>0</v>
      </c>
      <c r="CG143" s="182">
        <v>0</v>
      </c>
      <c r="CH143" s="182">
        <v>0</v>
      </c>
      <c r="CI143" s="182">
        <v>0</v>
      </c>
      <c r="CJ143" s="182">
        <v>0</v>
      </c>
      <c r="CK143" s="182">
        <v>0</v>
      </c>
      <c r="CL143" s="177">
        <v>0</v>
      </c>
      <c r="CM143" s="177">
        <v>0</v>
      </c>
      <c r="CN143" s="177">
        <f>k.aM.aT</f>
        <v>6.5700661937293134E-7</v>
      </c>
      <c r="CO143" s="177">
        <v>0</v>
      </c>
      <c r="CP143" s="177">
        <v>0</v>
      </c>
      <c r="CQ143" s="177">
        <v>0</v>
      </c>
      <c r="CR143" s="177">
        <v>0</v>
      </c>
      <c r="CS143" s="182">
        <v>0</v>
      </c>
      <c r="CT143" s="182">
        <v>0</v>
      </c>
      <c r="CU143" s="182">
        <v>0</v>
      </c>
      <c r="CV143" s="182">
        <v>0</v>
      </c>
      <c r="CW143" s="182">
        <v>0</v>
      </c>
      <c r="CX143" s="182">
        <v>0</v>
      </c>
      <c r="CY143" s="182">
        <v>0</v>
      </c>
      <c r="CZ143" s="182">
        <v>0</v>
      </c>
      <c r="DA143" s="182">
        <v>0</v>
      </c>
      <c r="DB143" s="182">
        <v>0</v>
      </c>
      <c r="DC143" s="182">
        <v>0</v>
      </c>
      <c r="DD143" s="182">
        <v>0</v>
      </c>
      <c r="DE143" s="182">
        <v>0</v>
      </c>
      <c r="DF143" s="182">
        <v>0</v>
      </c>
      <c r="DG143" s="182">
        <v>0</v>
      </c>
      <c r="DH143" s="182">
        <v>0</v>
      </c>
      <c r="DI143" s="182">
        <v>0</v>
      </c>
      <c r="DJ143" s="182">
        <v>0</v>
      </c>
      <c r="DK143" s="182">
        <v>0</v>
      </c>
      <c r="DL143" s="182">
        <v>0</v>
      </c>
      <c r="DM143" s="182">
        <v>0</v>
      </c>
      <c r="DN143" s="182">
        <v>0</v>
      </c>
      <c r="DO143" s="182">
        <v>0</v>
      </c>
      <c r="DP143" s="182">
        <v>0</v>
      </c>
      <c r="DQ143" s="182">
        <v>0</v>
      </c>
      <c r="DR143" s="182">
        <v>0</v>
      </c>
      <c r="DS143" s="182">
        <v>0</v>
      </c>
      <c r="DT143" s="182">
        <v>0</v>
      </c>
      <c r="DU143" s="182">
        <v>0</v>
      </c>
      <c r="DV143" s="182">
        <v>0</v>
      </c>
      <c r="DW143" s="182">
        <v>0</v>
      </c>
      <c r="DX143" s="182">
        <v>0</v>
      </c>
      <c r="DY143" s="182">
        <v>0</v>
      </c>
      <c r="DZ143" s="182">
        <v>0</v>
      </c>
      <c r="EA143" s="182">
        <v>0</v>
      </c>
      <c r="EB143" s="182">
        <v>0</v>
      </c>
      <c r="EC143" s="182">
        <v>0</v>
      </c>
      <c r="ED143" s="182">
        <v>0</v>
      </c>
      <c r="EE143" s="182">
        <v>0</v>
      </c>
      <c r="EF143" s="323">
        <v>0</v>
      </c>
      <c r="EG143" s="177">
        <f>k.aTS.aTA</f>
        <v>2.1924663233747587E-5</v>
      </c>
      <c r="EH143" s="181">
        <f>-k.aTA-SUM(EH$9:EH142,EH144:EH$163)</f>
        <v>-2.1331642748724354E-6</v>
      </c>
      <c r="EI143" s="302">
        <v>0</v>
      </c>
      <c r="EJ143" s="177">
        <v>0</v>
      </c>
      <c r="EK143" s="177">
        <v>0</v>
      </c>
      <c r="EL143" s="177">
        <v>0</v>
      </c>
      <c r="EM143" s="177">
        <v>0</v>
      </c>
      <c r="EN143" s="177">
        <v>0</v>
      </c>
      <c r="EO143" s="177">
        <v>0</v>
      </c>
      <c r="EP143" s="177">
        <v>0</v>
      </c>
      <c r="EQ143" s="182">
        <v>0</v>
      </c>
      <c r="ER143" s="182">
        <v>0</v>
      </c>
      <c r="ES143" s="182">
        <v>0</v>
      </c>
      <c r="ET143" s="182">
        <v>0</v>
      </c>
      <c r="EU143" s="182">
        <v>0</v>
      </c>
      <c r="EV143" s="182">
        <v>0</v>
      </c>
      <c r="EW143" s="182">
        <v>0</v>
      </c>
      <c r="EX143" s="182">
        <v>0</v>
      </c>
      <c r="EY143" s="177">
        <v>0</v>
      </c>
      <c r="EZ143" s="177">
        <v>0</v>
      </c>
      <c r="FA143" s="177">
        <v>0</v>
      </c>
      <c r="FB143" s="184">
        <v>0</v>
      </c>
    </row>
    <row r="144" spans="2:158" ht="12.75" customHeight="1" x14ac:dyDescent="0.3">
      <c r="B144" s="199" t="s">
        <v>3954</v>
      </c>
      <c r="C144" s="340"/>
      <c r="D144" s="182">
        <v>0</v>
      </c>
      <c r="E144" s="182">
        <v>0</v>
      </c>
      <c r="F144" s="182">
        <v>0</v>
      </c>
      <c r="G144" s="182">
        <v>0</v>
      </c>
      <c r="H144" s="182">
        <v>0</v>
      </c>
      <c r="I144" s="182">
        <v>0</v>
      </c>
      <c r="J144" s="182">
        <v>0</v>
      </c>
      <c r="K144" s="182">
        <v>0</v>
      </c>
      <c r="L144" s="182">
        <v>0</v>
      </c>
      <c r="M144" s="182">
        <v>0</v>
      </c>
      <c r="N144" s="182">
        <v>0</v>
      </c>
      <c r="O144" s="182">
        <v>0</v>
      </c>
      <c r="P144" s="182">
        <v>0</v>
      </c>
      <c r="Q144" s="182">
        <v>0</v>
      </c>
      <c r="R144" s="182">
        <v>0</v>
      </c>
      <c r="S144" s="182">
        <v>0</v>
      </c>
      <c r="T144" s="182">
        <v>0</v>
      </c>
      <c r="U144" s="182">
        <v>0</v>
      </c>
      <c r="V144" s="182">
        <v>0</v>
      </c>
      <c r="W144" s="182">
        <v>0</v>
      </c>
      <c r="X144" s="182">
        <v>0</v>
      </c>
      <c r="Y144" s="182">
        <v>0</v>
      </c>
      <c r="Z144" s="182">
        <v>0</v>
      </c>
      <c r="AA144" s="182">
        <v>0</v>
      </c>
      <c r="AB144" s="182">
        <v>0</v>
      </c>
      <c r="AC144" s="182">
        <v>0</v>
      </c>
      <c r="AD144" s="182">
        <v>0</v>
      </c>
      <c r="AE144" s="182">
        <v>0</v>
      </c>
      <c r="AF144" s="182">
        <v>0</v>
      </c>
      <c r="AG144" s="182">
        <v>0</v>
      </c>
      <c r="AH144" s="182">
        <v>0</v>
      </c>
      <c r="AI144" s="182">
        <v>0</v>
      </c>
      <c r="AJ144" s="182">
        <v>0</v>
      </c>
      <c r="AK144" s="182">
        <v>0</v>
      </c>
      <c r="AL144" s="182">
        <v>0</v>
      </c>
      <c r="AM144" s="182">
        <v>0</v>
      </c>
      <c r="AN144" s="182">
        <v>0</v>
      </c>
      <c r="AO144" s="182">
        <v>0</v>
      </c>
      <c r="AP144" s="182">
        <v>0</v>
      </c>
      <c r="AQ144" s="182">
        <v>0</v>
      </c>
      <c r="AR144" s="182">
        <v>0</v>
      </c>
      <c r="AS144" s="182">
        <v>0</v>
      </c>
      <c r="AT144" s="182">
        <v>0</v>
      </c>
      <c r="AU144" s="182">
        <v>0</v>
      </c>
      <c r="AV144" s="182">
        <v>0</v>
      </c>
      <c r="AW144" s="182">
        <v>0</v>
      </c>
      <c r="AX144" s="182">
        <v>0</v>
      </c>
      <c r="AY144" s="182">
        <v>0</v>
      </c>
      <c r="AZ144" s="182">
        <v>0</v>
      </c>
      <c r="BA144" s="182">
        <v>0</v>
      </c>
      <c r="BB144" s="168">
        <v>0</v>
      </c>
      <c r="BC144" s="168">
        <v>0</v>
      </c>
      <c r="BD144" s="168">
        <v>0</v>
      </c>
      <c r="BE144" s="168">
        <v>0</v>
      </c>
      <c r="BF144" s="182">
        <v>0</v>
      </c>
      <c r="BG144" s="182">
        <v>0</v>
      </c>
      <c r="BH144" s="182">
        <v>0</v>
      </c>
      <c r="BI144" s="182">
        <v>0</v>
      </c>
      <c r="BJ144" s="182">
        <v>0</v>
      </c>
      <c r="BK144" s="182">
        <v>0</v>
      </c>
      <c r="BL144" s="182">
        <v>0</v>
      </c>
      <c r="BM144" s="182">
        <v>0</v>
      </c>
      <c r="BN144" s="182">
        <v>0</v>
      </c>
      <c r="BO144" s="182">
        <v>0</v>
      </c>
      <c r="BP144" s="182">
        <v>0</v>
      </c>
      <c r="BQ144" s="182">
        <v>0</v>
      </c>
      <c r="BR144" s="182">
        <v>0</v>
      </c>
      <c r="BS144" s="182">
        <v>0</v>
      </c>
      <c r="BT144" s="182">
        <v>0</v>
      </c>
      <c r="BU144" s="182">
        <v>0</v>
      </c>
      <c r="BV144" s="182">
        <v>0</v>
      </c>
      <c r="BW144" s="182">
        <v>0</v>
      </c>
      <c r="BX144" s="182">
        <v>0</v>
      </c>
      <c r="BY144" s="182">
        <v>0</v>
      </c>
      <c r="BZ144" s="182">
        <v>0</v>
      </c>
      <c r="CA144" s="182">
        <v>0</v>
      </c>
      <c r="CB144" s="182">
        <v>0</v>
      </c>
      <c r="CC144" s="182">
        <v>0</v>
      </c>
      <c r="CD144" s="182">
        <v>0</v>
      </c>
      <c r="CE144" s="182">
        <v>0</v>
      </c>
      <c r="CF144" s="182">
        <v>0</v>
      </c>
      <c r="CG144" s="182">
        <v>0</v>
      </c>
      <c r="CH144" s="182">
        <v>0</v>
      </c>
      <c r="CI144" s="182">
        <v>0</v>
      </c>
      <c r="CJ144" s="182">
        <v>0</v>
      </c>
      <c r="CK144" s="182">
        <v>0</v>
      </c>
      <c r="CL144" s="177">
        <v>0</v>
      </c>
      <c r="CM144" s="177">
        <v>0</v>
      </c>
      <c r="CN144" s="177">
        <v>0</v>
      </c>
      <c r="CO144" s="177">
        <f>k.aM.aT</f>
        <v>6.5700661937293134E-7</v>
      </c>
      <c r="CP144" s="177">
        <v>0</v>
      </c>
      <c r="CQ144" s="177">
        <v>0</v>
      </c>
      <c r="CR144" s="177">
        <v>0</v>
      </c>
      <c r="CS144" s="182">
        <v>0</v>
      </c>
      <c r="CT144" s="182">
        <v>0</v>
      </c>
      <c r="CU144" s="182">
        <v>0</v>
      </c>
      <c r="CV144" s="182">
        <v>0</v>
      </c>
      <c r="CW144" s="182">
        <v>0</v>
      </c>
      <c r="CX144" s="182">
        <v>0</v>
      </c>
      <c r="CY144" s="182">
        <v>0</v>
      </c>
      <c r="CZ144" s="182">
        <v>0</v>
      </c>
      <c r="DA144" s="182">
        <v>0</v>
      </c>
      <c r="DB144" s="182">
        <v>0</v>
      </c>
      <c r="DC144" s="182">
        <v>0</v>
      </c>
      <c r="DD144" s="182">
        <v>0</v>
      </c>
      <c r="DE144" s="182">
        <v>0</v>
      </c>
      <c r="DF144" s="182">
        <v>0</v>
      </c>
      <c r="DG144" s="182">
        <v>0</v>
      </c>
      <c r="DH144" s="182">
        <v>0</v>
      </c>
      <c r="DI144" s="182">
        <v>0</v>
      </c>
      <c r="DJ144" s="182">
        <v>0</v>
      </c>
      <c r="DK144" s="182">
        <v>0</v>
      </c>
      <c r="DL144" s="182">
        <v>0</v>
      </c>
      <c r="DM144" s="182">
        <v>0</v>
      </c>
      <c r="DN144" s="182">
        <v>0</v>
      </c>
      <c r="DO144" s="182">
        <v>0</v>
      </c>
      <c r="DP144" s="182">
        <v>0</v>
      </c>
      <c r="DQ144" s="182">
        <v>0</v>
      </c>
      <c r="DR144" s="182">
        <v>0</v>
      </c>
      <c r="DS144" s="182">
        <v>0</v>
      </c>
      <c r="DT144" s="182">
        <v>0</v>
      </c>
      <c r="DU144" s="182">
        <v>0</v>
      </c>
      <c r="DV144" s="182">
        <v>0</v>
      </c>
      <c r="DW144" s="182">
        <v>0</v>
      </c>
      <c r="DX144" s="182">
        <v>0</v>
      </c>
      <c r="DY144" s="182">
        <v>0</v>
      </c>
      <c r="DZ144" s="182">
        <v>0</v>
      </c>
      <c r="EA144" s="182">
        <v>0</v>
      </c>
      <c r="EB144" s="182">
        <v>0</v>
      </c>
      <c r="EC144" s="182">
        <v>0</v>
      </c>
      <c r="ED144" s="182">
        <v>0</v>
      </c>
      <c r="EE144" s="182">
        <v>0</v>
      </c>
      <c r="EF144" s="303">
        <v>0</v>
      </c>
      <c r="EG144" s="304">
        <f>k.aTS.aTP</f>
        <v>4.4764613174394406E-8</v>
      </c>
      <c r="EH144" s="304">
        <v>0</v>
      </c>
      <c r="EI144" s="181">
        <f>-k.aTP-SUM(EI$9:EI143,EI145:EI$163)</f>
        <v>-1.3880918897696037E-4</v>
      </c>
      <c r="EJ144" s="176">
        <v>0</v>
      </c>
      <c r="EK144" s="176">
        <v>0</v>
      </c>
      <c r="EL144" s="177">
        <v>0</v>
      </c>
      <c r="EM144" s="177">
        <v>0</v>
      </c>
      <c r="EN144" s="177">
        <v>0</v>
      </c>
      <c r="EO144" s="177">
        <v>0</v>
      </c>
      <c r="EP144" s="177">
        <v>0</v>
      </c>
      <c r="EQ144" s="182">
        <v>0</v>
      </c>
      <c r="ER144" s="182">
        <v>0</v>
      </c>
      <c r="ES144" s="182">
        <v>0</v>
      </c>
      <c r="ET144" s="182">
        <v>0</v>
      </c>
      <c r="EU144" s="182">
        <v>0</v>
      </c>
      <c r="EV144" s="182">
        <v>0</v>
      </c>
      <c r="EW144" s="182">
        <v>0</v>
      </c>
      <c r="EX144" s="182">
        <v>0</v>
      </c>
      <c r="EY144" s="177">
        <v>0</v>
      </c>
      <c r="EZ144" s="177">
        <v>0</v>
      </c>
      <c r="FA144" s="177">
        <v>0</v>
      </c>
      <c r="FB144" s="184">
        <v>0</v>
      </c>
    </row>
    <row r="145" spans="2:158" ht="12.75" customHeight="1" x14ac:dyDescent="0.3">
      <c r="B145" s="199" t="s">
        <v>3955</v>
      </c>
      <c r="C145" s="340"/>
      <c r="D145" s="182">
        <v>0</v>
      </c>
      <c r="E145" s="182">
        <v>0</v>
      </c>
      <c r="F145" s="182">
        <v>0</v>
      </c>
      <c r="G145" s="182">
        <v>0</v>
      </c>
      <c r="H145" s="182">
        <v>0</v>
      </c>
      <c r="I145" s="182">
        <v>0</v>
      </c>
      <c r="J145" s="182">
        <v>0</v>
      </c>
      <c r="K145" s="182">
        <v>0</v>
      </c>
      <c r="L145" s="182">
        <v>0</v>
      </c>
      <c r="M145" s="182">
        <v>0</v>
      </c>
      <c r="N145" s="182">
        <v>0</v>
      </c>
      <c r="O145" s="182">
        <v>0</v>
      </c>
      <c r="P145" s="182">
        <v>0</v>
      </c>
      <c r="Q145" s="182">
        <v>0</v>
      </c>
      <c r="R145" s="182">
        <v>0</v>
      </c>
      <c r="S145" s="182">
        <v>0</v>
      </c>
      <c r="T145" s="182">
        <v>0</v>
      </c>
      <c r="U145" s="182">
        <v>0</v>
      </c>
      <c r="V145" s="182">
        <v>0</v>
      </c>
      <c r="W145" s="182">
        <v>0</v>
      </c>
      <c r="X145" s="182">
        <v>0</v>
      </c>
      <c r="Y145" s="182">
        <v>0</v>
      </c>
      <c r="Z145" s="182">
        <v>0</v>
      </c>
      <c r="AA145" s="182">
        <v>0</v>
      </c>
      <c r="AB145" s="182">
        <v>0</v>
      </c>
      <c r="AC145" s="182">
        <v>0</v>
      </c>
      <c r="AD145" s="182">
        <v>0</v>
      </c>
      <c r="AE145" s="182">
        <v>0</v>
      </c>
      <c r="AF145" s="182">
        <v>0</v>
      </c>
      <c r="AG145" s="182">
        <v>0</v>
      </c>
      <c r="AH145" s="182">
        <v>0</v>
      </c>
      <c r="AI145" s="182">
        <v>0</v>
      </c>
      <c r="AJ145" s="182">
        <v>0</v>
      </c>
      <c r="AK145" s="182">
        <v>0</v>
      </c>
      <c r="AL145" s="182">
        <v>0</v>
      </c>
      <c r="AM145" s="182">
        <v>0</v>
      </c>
      <c r="AN145" s="182">
        <v>0</v>
      </c>
      <c r="AO145" s="182">
        <v>0</v>
      </c>
      <c r="AP145" s="182">
        <v>0</v>
      </c>
      <c r="AQ145" s="182">
        <v>0</v>
      </c>
      <c r="AR145" s="182">
        <v>0</v>
      </c>
      <c r="AS145" s="182">
        <v>0</v>
      </c>
      <c r="AT145" s="182">
        <v>0</v>
      </c>
      <c r="AU145" s="182">
        <v>0</v>
      </c>
      <c r="AV145" s="182">
        <v>0</v>
      </c>
      <c r="AW145" s="182">
        <v>0</v>
      </c>
      <c r="AX145" s="182">
        <v>0</v>
      </c>
      <c r="AY145" s="182">
        <v>0</v>
      </c>
      <c r="AZ145" s="182">
        <v>0</v>
      </c>
      <c r="BA145" s="182">
        <v>0</v>
      </c>
      <c r="BB145" s="168">
        <v>0</v>
      </c>
      <c r="BC145" s="168">
        <v>0</v>
      </c>
      <c r="BD145" s="168">
        <v>0</v>
      </c>
      <c r="BE145" s="168">
        <v>0</v>
      </c>
      <c r="BF145" s="182">
        <v>0</v>
      </c>
      <c r="BG145" s="182">
        <v>0</v>
      </c>
      <c r="BH145" s="182">
        <v>0</v>
      </c>
      <c r="BI145" s="182">
        <v>0</v>
      </c>
      <c r="BJ145" s="182">
        <v>0</v>
      </c>
      <c r="BK145" s="182">
        <v>0</v>
      </c>
      <c r="BL145" s="182">
        <v>0</v>
      </c>
      <c r="BM145" s="182">
        <v>0</v>
      </c>
      <c r="BN145" s="182">
        <v>0</v>
      </c>
      <c r="BO145" s="182">
        <v>0</v>
      </c>
      <c r="BP145" s="182">
        <v>0</v>
      </c>
      <c r="BQ145" s="182">
        <v>0</v>
      </c>
      <c r="BR145" s="182">
        <v>0</v>
      </c>
      <c r="BS145" s="182">
        <v>0</v>
      </c>
      <c r="BT145" s="182">
        <v>0</v>
      </c>
      <c r="BU145" s="182">
        <v>0</v>
      </c>
      <c r="BV145" s="182">
        <v>0</v>
      </c>
      <c r="BW145" s="182">
        <v>0</v>
      </c>
      <c r="BX145" s="182">
        <v>0</v>
      </c>
      <c r="BY145" s="182">
        <v>0</v>
      </c>
      <c r="BZ145" s="182">
        <v>0</v>
      </c>
      <c r="CA145" s="182">
        <v>0</v>
      </c>
      <c r="CB145" s="182">
        <v>0</v>
      </c>
      <c r="CC145" s="182">
        <v>0</v>
      </c>
      <c r="CD145" s="182">
        <v>0</v>
      </c>
      <c r="CE145" s="182">
        <v>0</v>
      </c>
      <c r="CF145" s="182">
        <v>0</v>
      </c>
      <c r="CG145" s="182">
        <v>0</v>
      </c>
      <c r="CH145" s="182">
        <v>0</v>
      </c>
      <c r="CI145" s="182">
        <v>0</v>
      </c>
      <c r="CJ145" s="182">
        <v>0</v>
      </c>
      <c r="CK145" s="182">
        <v>0</v>
      </c>
      <c r="CL145" s="177">
        <v>0</v>
      </c>
      <c r="CM145" s="177">
        <v>0</v>
      </c>
      <c r="CN145" s="177">
        <v>0</v>
      </c>
      <c r="CO145" s="177">
        <v>0</v>
      </c>
      <c r="CP145" s="177">
        <v>0</v>
      </c>
      <c r="CQ145" s="177">
        <v>0</v>
      </c>
      <c r="CR145" s="177">
        <v>0</v>
      </c>
      <c r="CS145" s="182">
        <v>0</v>
      </c>
      <c r="CT145" s="182">
        <v>0</v>
      </c>
      <c r="CU145" s="182">
        <v>0</v>
      </c>
      <c r="CV145" s="182">
        <v>0</v>
      </c>
      <c r="CW145" s="182">
        <v>0</v>
      </c>
      <c r="CX145" s="182">
        <v>0</v>
      </c>
      <c r="CY145" s="182">
        <v>0</v>
      </c>
      <c r="CZ145" s="182">
        <v>0</v>
      </c>
      <c r="DA145" s="182">
        <v>0</v>
      </c>
      <c r="DB145" s="182">
        <v>0</v>
      </c>
      <c r="DC145" s="182">
        <v>0</v>
      </c>
      <c r="DD145" s="182">
        <v>0</v>
      </c>
      <c r="DE145" s="182">
        <v>0</v>
      </c>
      <c r="DF145" s="182">
        <v>0</v>
      </c>
      <c r="DG145" s="182">
        <v>0</v>
      </c>
      <c r="DH145" s="182">
        <v>0</v>
      </c>
      <c r="DI145" s="182">
        <v>0</v>
      </c>
      <c r="DJ145" s="182">
        <v>0</v>
      </c>
      <c r="DK145" s="182">
        <v>0</v>
      </c>
      <c r="DL145" s="182">
        <v>0</v>
      </c>
      <c r="DM145" s="182">
        <v>0</v>
      </c>
      <c r="DN145" s="182">
        <v>0</v>
      </c>
      <c r="DO145" s="182">
        <v>0</v>
      </c>
      <c r="DP145" s="182">
        <v>0</v>
      </c>
      <c r="DQ145" s="182">
        <v>0</v>
      </c>
      <c r="DR145" s="182">
        <v>0</v>
      </c>
      <c r="DS145" s="182">
        <v>0</v>
      </c>
      <c r="DT145" s="182">
        <v>0</v>
      </c>
      <c r="DU145" s="182">
        <v>0</v>
      </c>
      <c r="DV145" s="182">
        <v>0</v>
      </c>
      <c r="DW145" s="182">
        <v>0</v>
      </c>
      <c r="DX145" s="182">
        <v>0</v>
      </c>
      <c r="DY145" s="182">
        <v>0</v>
      </c>
      <c r="DZ145" s="182">
        <v>0</v>
      </c>
      <c r="EA145" s="182">
        <v>0</v>
      </c>
      <c r="EB145" s="182">
        <v>0</v>
      </c>
      <c r="EC145" s="182">
        <v>0</v>
      </c>
      <c r="ED145" s="182">
        <v>0</v>
      </c>
      <c r="EE145" s="182">
        <v>0</v>
      </c>
      <c r="EF145" s="177">
        <v>0</v>
      </c>
      <c r="EG145" s="177">
        <f>k.aTS.cwTS</f>
        <v>1.6964369979482456E-6</v>
      </c>
      <c r="EH145" s="177">
        <v>0</v>
      </c>
      <c r="EI145" s="176">
        <v>0</v>
      </c>
      <c r="EJ145" s="181">
        <f>-SUM(EJ$9:EJ144,EJ146:EJ$163)</f>
        <v>-1.3740913981905514E-4</v>
      </c>
      <c r="EK145" s="177">
        <v>0</v>
      </c>
      <c r="EL145" s="302">
        <v>0</v>
      </c>
      <c r="EM145" s="177">
        <v>0</v>
      </c>
      <c r="EN145" s="177">
        <v>0</v>
      </c>
      <c r="EO145" s="177">
        <v>0</v>
      </c>
      <c r="EP145" s="177">
        <v>0</v>
      </c>
      <c r="EQ145" s="182">
        <v>0</v>
      </c>
      <c r="ER145" s="182">
        <v>0</v>
      </c>
      <c r="ES145" s="182">
        <v>0</v>
      </c>
      <c r="ET145" s="182">
        <v>0</v>
      </c>
      <c r="EU145" s="182">
        <v>0</v>
      </c>
      <c r="EV145" s="182">
        <v>0</v>
      </c>
      <c r="EW145" s="182">
        <v>0</v>
      </c>
      <c r="EX145" s="182">
        <v>0</v>
      </c>
      <c r="EY145" s="177">
        <v>0</v>
      </c>
      <c r="EZ145" s="177">
        <v>0</v>
      </c>
      <c r="FA145" s="177">
        <v>0</v>
      </c>
      <c r="FB145" s="184">
        <v>0</v>
      </c>
    </row>
    <row r="146" spans="2:158" ht="12.75" customHeight="1" x14ac:dyDescent="0.3">
      <c r="B146" s="199" t="s">
        <v>3956</v>
      </c>
      <c r="C146" s="340"/>
      <c r="D146" s="182">
        <v>0</v>
      </c>
      <c r="E146" s="182">
        <v>0</v>
      </c>
      <c r="F146" s="182">
        <v>0</v>
      </c>
      <c r="G146" s="182">
        <v>0</v>
      </c>
      <c r="H146" s="182">
        <v>0</v>
      </c>
      <c r="I146" s="182">
        <v>0</v>
      </c>
      <c r="J146" s="182">
        <v>0</v>
      </c>
      <c r="K146" s="182">
        <v>0</v>
      </c>
      <c r="L146" s="182">
        <v>0</v>
      </c>
      <c r="M146" s="182">
        <v>0</v>
      </c>
      <c r="N146" s="182">
        <v>0</v>
      </c>
      <c r="O146" s="182">
        <v>0</v>
      </c>
      <c r="P146" s="182">
        <v>0</v>
      </c>
      <c r="Q146" s="182">
        <v>0</v>
      </c>
      <c r="R146" s="182">
        <v>0</v>
      </c>
      <c r="S146" s="182">
        <v>0</v>
      </c>
      <c r="T146" s="182">
        <v>0</v>
      </c>
      <c r="U146" s="182">
        <v>0</v>
      </c>
      <c r="V146" s="182">
        <v>0</v>
      </c>
      <c r="W146" s="182">
        <v>0</v>
      </c>
      <c r="X146" s="182">
        <v>0</v>
      </c>
      <c r="Y146" s="182">
        <v>0</v>
      </c>
      <c r="Z146" s="182">
        <v>0</v>
      </c>
      <c r="AA146" s="182">
        <v>0</v>
      </c>
      <c r="AB146" s="182">
        <v>0</v>
      </c>
      <c r="AC146" s="182">
        <v>0</v>
      </c>
      <c r="AD146" s="182">
        <v>0</v>
      </c>
      <c r="AE146" s="182">
        <v>0</v>
      </c>
      <c r="AF146" s="182">
        <v>0</v>
      </c>
      <c r="AG146" s="182">
        <v>0</v>
      </c>
      <c r="AH146" s="182">
        <v>0</v>
      </c>
      <c r="AI146" s="182">
        <v>0</v>
      </c>
      <c r="AJ146" s="182">
        <v>0</v>
      </c>
      <c r="AK146" s="182">
        <v>0</v>
      </c>
      <c r="AL146" s="182">
        <v>0</v>
      </c>
      <c r="AM146" s="182">
        <v>0</v>
      </c>
      <c r="AN146" s="182">
        <v>0</v>
      </c>
      <c r="AO146" s="182">
        <v>0</v>
      </c>
      <c r="AP146" s="182">
        <v>0</v>
      </c>
      <c r="AQ146" s="182">
        <v>0</v>
      </c>
      <c r="AR146" s="182">
        <v>0</v>
      </c>
      <c r="AS146" s="182">
        <v>0</v>
      </c>
      <c r="AT146" s="182">
        <v>0</v>
      </c>
      <c r="AU146" s="182">
        <v>0</v>
      </c>
      <c r="AV146" s="182">
        <v>0</v>
      </c>
      <c r="AW146" s="182">
        <v>0</v>
      </c>
      <c r="AX146" s="182">
        <v>0</v>
      </c>
      <c r="AY146" s="182">
        <v>0</v>
      </c>
      <c r="AZ146" s="182">
        <v>0</v>
      </c>
      <c r="BA146" s="182">
        <v>0</v>
      </c>
      <c r="BB146" s="168">
        <v>0</v>
      </c>
      <c r="BC146" s="168">
        <v>0</v>
      </c>
      <c r="BD146" s="168">
        <v>0</v>
      </c>
      <c r="BE146" s="168">
        <v>0</v>
      </c>
      <c r="BF146" s="182">
        <v>0</v>
      </c>
      <c r="BG146" s="182">
        <v>0</v>
      </c>
      <c r="BH146" s="182">
        <v>0</v>
      </c>
      <c r="BI146" s="182">
        <v>0</v>
      </c>
      <c r="BJ146" s="182">
        <v>0</v>
      </c>
      <c r="BK146" s="182">
        <v>0</v>
      </c>
      <c r="BL146" s="182">
        <v>0</v>
      </c>
      <c r="BM146" s="182">
        <v>0</v>
      </c>
      <c r="BN146" s="182">
        <v>0</v>
      </c>
      <c r="BO146" s="182">
        <v>0</v>
      </c>
      <c r="BP146" s="182">
        <v>0</v>
      </c>
      <c r="BQ146" s="182">
        <v>0</v>
      </c>
      <c r="BR146" s="182">
        <v>0</v>
      </c>
      <c r="BS146" s="182">
        <v>0</v>
      </c>
      <c r="BT146" s="182">
        <v>0</v>
      </c>
      <c r="BU146" s="182">
        <v>0</v>
      </c>
      <c r="BV146" s="182">
        <v>0</v>
      </c>
      <c r="BW146" s="182">
        <v>0</v>
      </c>
      <c r="BX146" s="182">
        <v>0</v>
      </c>
      <c r="BY146" s="182">
        <v>0</v>
      </c>
      <c r="BZ146" s="182">
        <v>0</v>
      </c>
      <c r="CA146" s="182">
        <v>0</v>
      </c>
      <c r="CB146" s="182">
        <v>0</v>
      </c>
      <c r="CC146" s="182">
        <v>0</v>
      </c>
      <c r="CD146" s="182">
        <v>0</v>
      </c>
      <c r="CE146" s="182">
        <v>0</v>
      </c>
      <c r="CF146" s="182">
        <v>0</v>
      </c>
      <c r="CG146" s="182">
        <v>0</v>
      </c>
      <c r="CH146" s="182">
        <v>0</v>
      </c>
      <c r="CI146" s="182">
        <v>0</v>
      </c>
      <c r="CJ146" s="182">
        <v>0</v>
      </c>
      <c r="CK146" s="182">
        <v>0</v>
      </c>
      <c r="CL146" s="177">
        <v>0</v>
      </c>
      <c r="CM146" s="177">
        <v>0</v>
      </c>
      <c r="CN146" s="177">
        <v>0</v>
      </c>
      <c r="CO146" s="177">
        <v>0</v>
      </c>
      <c r="CP146" s="177">
        <v>0</v>
      </c>
      <c r="CQ146" s="177">
        <v>0</v>
      </c>
      <c r="CR146" s="177">
        <v>0</v>
      </c>
      <c r="CS146" s="182">
        <v>0</v>
      </c>
      <c r="CT146" s="182">
        <v>0</v>
      </c>
      <c r="CU146" s="182">
        <v>0</v>
      </c>
      <c r="CV146" s="182">
        <v>0</v>
      </c>
      <c r="CW146" s="182">
        <v>0</v>
      </c>
      <c r="CX146" s="182">
        <v>0</v>
      </c>
      <c r="CY146" s="182">
        <v>0</v>
      </c>
      <c r="CZ146" s="182">
        <v>0</v>
      </c>
      <c r="DA146" s="182">
        <v>0</v>
      </c>
      <c r="DB146" s="182">
        <v>0</v>
      </c>
      <c r="DC146" s="182">
        <v>0</v>
      </c>
      <c r="DD146" s="182">
        <v>0</v>
      </c>
      <c r="DE146" s="182">
        <v>0</v>
      </c>
      <c r="DF146" s="182">
        <v>0</v>
      </c>
      <c r="DG146" s="182">
        <v>0</v>
      </c>
      <c r="DH146" s="182">
        <v>0</v>
      </c>
      <c r="DI146" s="182">
        <v>0</v>
      </c>
      <c r="DJ146" s="182">
        <v>0</v>
      </c>
      <c r="DK146" s="182">
        <v>0</v>
      </c>
      <c r="DL146" s="182">
        <v>0</v>
      </c>
      <c r="DM146" s="182">
        <v>0</v>
      </c>
      <c r="DN146" s="182">
        <v>0</v>
      </c>
      <c r="DO146" s="182">
        <v>0</v>
      </c>
      <c r="DP146" s="182">
        <v>0</v>
      </c>
      <c r="DQ146" s="182">
        <v>0</v>
      </c>
      <c r="DR146" s="182">
        <v>0</v>
      </c>
      <c r="DS146" s="182">
        <v>0</v>
      </c>
      <c r="DT146" s="182">
        <v>0</v>
      </c>
      <c r="DU146" s="182">
        <v>0</v>
      </c>
      <c r="DV146" s="182">
        <v>0</v>
      </c>
      <c r="DW146" s="182">
        <v>0</v>
      </c>
      <c r="DX146" s="182">
        <v>0</v>
      </c>
      <c r="DY146" s="182">
        <v>0</v>
      </c>
      <c r="DZ146" s="182">
        <v>0</v>
      </c>
      <c r="EA146" s="182">
        <v>0</v>
      </c>
      <c r="EB146" s="182">
        <v>0</v>
      </c>
      <c r="EC146" s="182">
        <v>0</v>
      </c>
      <c r="ED146" s="182">
        <v>0</v>
      </c>
      <c r="EE146" s="182">
        <v>0</v>
      </c>
      <c r="EF146" s="177">
        <v>0</v>
      </c>
      <c r="EG146" s="177">
        <v>0</v>
      </c>
      <c r="EH146" s="177">
        <f>k.aTA.cwTA</f>
        <v>8.146935238140783E-7</v>
      </c>
      <c r="EI146" s="176">
        <v>0</v>
      </c>
      <c r="EJ146" s="177">
        <v>0</v>
      </c>
      <c r="EK146" s="181">
        <f>-SUM(EK$9:EK145,EK147:EK$163)</f>
        <v>-1.3740913981905514E-4</v>
      </c>
      <c r="EL146" s="302">
        <v>0</v>
      </c>
      <c r="EM146" s="177">
        <v>0</v>
      </c>
      <c r="EN146" s="177">
        <v>0</v>
      </c>
      <c r="EO146" s="177">
        <v>0</v>
      </c>
      <c r="EP146" s="177">
        <v>0</v>
      </c>
      <c r="EQ146" s="182">
        <v>0</v>
      </c>
      <c r="ER146" s="182">
        <v>0</v>
      </c>
      <c r="ES146" s="182">
        <v>0</v>
      </c>
      <c r="ET146" s="182">
        <v>0</v>
      </c>
      <c r="EU146" s="182">
        <v>0</v>
      </c>
      <c r="EV146" s="182">
        <v>0</v>
      </c>
      <c r="EW146" s="182">
        <v>0</v>
      </c>
      <c r="EX146" s="182">
        <v>0</v>
      </c>
      <c r="EY146" s="177">
        <v>0</v>
      </c>
      <c r="EZ146" s="177">
        <v>0</v>
      </c>
      <c r="FA146" s="177">
        <v>0</v>
      </c>
      <c r="FB146" s="184">
        <v>0</v>
      </c>
    </row>
    <row r="147" spans="2:158" ht="12.75" customHeight="1" x14ac:dyDescent="0.3">
      <c r="B147" s="199" t="s">
        <v>3957</v>
      </c>
      <c r="C147" s="340"/>
      <c r="D147" s="182">
        <v>0</v>
      </c>
      <c r="E147" s="182">
        <v>0</v>
      </c>
      <c r="F147" s="182">
        <v>0</v>
      </c>
      <c r="G147" s="182">
        <v>0</v>
      </c>
      <c r="H147" s="182">
        <v>0</v>
      </c>
      <c r="I147" s="182">
        <v>0</v>
      </c>
      <c r="J147" s="182">
        <v>0</v>
      </c>
      <c r="K147" s="182">
        <v>0</v>
      </c>
      <c r="L147" s="182">
        <v>0</v>
      </c>
      <c r="M147" s="182">
        <v>0</v>
      </c>
      <c r="N147" s="182">
        <v>0</v>
      </c>
      <c r="O147" s="182">
        <v>0</v>
      </c>
      <c r="P147" s="182">
        <v>0</v>
      </c>
      <c r="Q147" s="182">
        <v>0</v>
      </c>
      <c r="R147" s="182">
        <v>0</v>
      </c>
      <c r="S147" s="182">
        <v>0</v>
      </c>
      <c r="T147" s="182">
        <v>0</v>
      </c>
      <c r="U147" s="182">
        <v>0</v>
      </c>
      <c r="V147" s="182">
        <v>0</v>
      </c>
      <c r="W147" s="182">
        <v>0</v>
      </c>
      <c r="X147" s="182">
        <v>0</v>
      </c>
      <c r="Y147" s="182">
        <v>0</v>
      </c>
      <c r="Z147" s="182">
        <v>0</v>
      </c>
      <c r="AA147" s="182">
        <v>0</v>
      </c>
      <c r="AB147" s="182">
        <v>0</v>
      </c>
      <c r="AC147" s="182">
        <v>0</v>
      </c>
      <c r="AD147" s="182">
        <v>0</v>
      </c>
      <c r="AE147" s="182">
        <v>0</v>
      </c>
      <c r="AF147" s="182">
        <v>0</v>
      </c>
      <c r="AG147" s="182">
        <v>0</v>
      </c>
      <c r="AH147" s="182">
        <v>0</v>
      </c>
      <c r="AI147" s="182">
        <v>0</v>
      </c>
      <c r="AJ147" s="182">
        <v>0</v>
      </c>
      <c r="AK147" s="182">
        <v>0</v>
      </c>
      <c r="AL147" s="182">
        <v>0</v>
      </c>
      <c r="AM147" s="182">
        <v>0</v>
      </c>
      <c r="AN147" s="182">
        <v>0</v>
      </c>
      <c r="AO147" s="182">
        <v>0</v>
      </c>
      <c r="AP147" s="182">
        <v>0</v>
      </c>
      <c r="AQ147" s="182">
        <v>0</v>
      </c>
      <c r="AR147" s="182">
        <v>0</v>
      </c>
      <c r="AS147" s="182">
        <v>0</v>
      </c>
      <c r="AT147" s="182">
        <v>0</v>
      </c>
      <c r="AU147" s="182">
        <v>0</v>
      </c>
      <c r="AV147" s="182">
        <v>0</v>
      </c>
      <c r="AW147" s="182">
        <v>0</v>
      </c>
      <c r="AX147" s="182">
        <v>0</v>
      </c>
      <c r="AY147" s="182">
        <v>0</v>
      </c>
      <c r="AZ147" s="182">
        <v>0</v>
      </c>
      <c r="BA147" s="182">
        <v>0</v>
      </c>
      <c r="BB147" s="168">
        <v>0</v>
      </c>
      <c r="BC147" s="168">
        <v>0</v>
      </c>
      <c r="BD147" s="168">
        <v>0</v>
      </c>
      <c r="BE147" s="168">
        <v>0</v>
      </c>
      <c r="BF147" s="182">
        <v>0</v>
      </c>
      <c r="BG147" s="182">
        <v>0</v>
      </c>
      <c r="BH147" s="182">
        <v>0</v>
      </c>
      <c r="BI147" s="182">
        <v>0</v>
      </c>
      <c r="BJ147" s="182">
        <v>0</v>
      </c>
      <c r="BK147" s="182">
        <v>0</v>
      </c>
      <c r="BL147" s="182">
        <v>0</v>
      </c>
      <c r="BM147" s="182">
        <v>0</v>
      </c>
      <c r="BN147" s="182">
        <v>0</v>
      </c>
      <c r="BO147" s="182">
        <v>0</v>
      </c>
      <c r="BP147" s="182">
        <v>0</v>
      </c>
      <c r="BQ147" s="182">
        <v>0</v>
      </c>
      <c r="BR147" s="182">
        <v>0</v>
      </c>
      <c r="BS147" s="182">
        <v>0</v>
      </c>
      <c r="BT147" s="182">
        <v>0</v>
      </c>
      <c r="BU147" s="182">
        <v>0</v>
      </c>
      <c r="BV147" s="182">
        <v>0</v>
      </c>
      <c r="BW147" s="182">
        <v>0</v>
      </c>
      <c r="BX147" s="182">
        <v>0</v>
      </c>
      <c r="BY147" s="182">
        <v>0</v>
      </c>
      <c r="BZ147" s="182">
        <v>0</v>
      </c>
      <c r="CA147" s="182">
        <v>0</v>
      </c>
      <c r="CB147" s="182">
        <v>0</v>
      </c>
      <c r="CC147" s="182">
        <v>0</v>
      </c>
      <c r="CD147" s="182">
        <v>0</v>
      </c>
      <c r="CE147" s="182">
        <v>0</v>
      </c>
      <c r="CF147" s="182">
        <v>0</v>
      </c>
      <c r="CG147" s="182">
        <v>0</v>
      </c>
      <c r="CH147" s="182">
        <v>0</v>
      </c>
      <c r="CI147" s="182">
        <v>0</v>
      </c>
      <c r="CJ147" s="182">
        <v>0</v>
      </c>
      <c r="CK147" s="182">
        <v>0</v>
      </c>
      <c r="CL147" s="177">
        <v>0</v>
      </c>
      <c r="CM147" s="177">
        <v>0</v>
      </c>
      <c r="CN147" s="177">
        <v>0</v>
      </c>
      <c r="CO147" s="177">
        <v>0</v>
      </c>
      <c r="CP147" s="177">
        <v>0</v>
      </c>
      <c r="CQ147" s="177">
        <v>0</v>
      </c>
      <c r="CR147" s="177">
        <v>0</v>
      </c>
      <c r="CS147" s="182">
        <v>0</v>
      </c>
      <c r="CT147" s="182">
        <v>0</v>
      </c>
      <c r="CU147" s="182">
        <v>0</v>
      </c>
      <c r="CV147" s="182">
        <v>0</v>
      </c>
      <c r="CW147" s="182">
        <v>0</v>
      </c>
      <c r="CX147" s="182">
        <v>0</v>
      </c>
      <c r="CY147" s="182">
        <v>0</v>
      </c>
      <c r="CZ147" s="182">
        <v>0</v>
      </c>
      <c r="DA147" s="182">
        <v>0</v>
      </c>
      <c r="DB147" s="182">
        <v>0</v>
      </c>
      <c r="DC147" s="182">
        <v>0</v>
      </c>
      <c r="DD147" s="182">
        <v>0</v>
      </c>
      <c r="DE147" s="182">
        <v>0</v>
      </c>
      <c r="DF147" s="182">
        <v>0</v>
      </c>
      <c r="DG147" s="182">
        <v>0</v>
      </c>
      <c r="DH147" s="182">
        <v>0</v>
      </c>
      <c r="DI147" s="182">
        <v>0</v>
      </c>
      <c r="DJ147" s="182">
        <v>0</v>
      </c>
      <c r="DK147" s="182">
        <v>0</v>
      </c>
      <c r="DL147" s="182">
        <v>0</v>
      </c>
      <c r="DM147" s="182">
        <v>0</v>
      </c>
      <c r="DN147" s="182">
        <v>0</v>
      </c>
      <c r="DO147" s="182">
        <v>0</v>
      </c>
      <c r="DP147" s="182">
        <v>0</v>
      </c>
      <c r="DQ147" s="182">
        <v>0</v>
      </c>
      <c r="DR147" s="182">
        <v>0</v>
      </c>
      <c r="DS147" s="182">
        <v>0</v>
      </c>
      <c r="DT147" s="182">
        <v>0</v>
      </c>
      <c r="DU147" s="182">
        <v>0</v>
      </c>
      <c r="DV147" s="182">
        <v>0</v>
      </c>
      <c r="DW147" s="182">
        <v>0</v>
      </c>
      <c r="DX147" s="182">
        <v>0</v>
      </c>
      <c r="DY147" s="182">
        <v>0</v>
      </c>
      <c r="DZ147" s="182">
        <v>0</v>
      </c>
      <c r="EA147" s="182">
        <v>0</v>
      </c>
      <c r="EB147" s="182">
        <v>0</v>
      </c>
      <c r="EC147" s="182">
        <v>0</v>
      </c>
      <c r="ED147" s="182">
        <v>0</v>
      </c>
      <c r="EE147" s="182">
        <v>0</v>
      </c>
      <c r="EF147" s="177">
        <v>0</v>
      </c>
      <c r="EG147" s="177">
        <v>0</v>
      </c>
      <c r="EH147" s="177">
        <v>0</v>
      </c>
      <c r="EI147" s="176">
        <f>k.aTP.cwTP</f>
        <v>1.374090985963132E-4</v>
      </c>
      <c r="EJ147" s="304">
        <v>0</v>
      </c>
      <c r="EK147" s="304">
        <v>0</v>
      </c>
      <c r="EL147" s="181">
        <f>-SUM(EL$9:EL146,EL148:EL$163)</f>
        <v>-1.3740913981905514E-4</v>
      </c>
      <c r="EM147" s="177">
        <v>0</v>
      </c>
      <c r="EN147" s="177">
        <v>0</v>
      </c>
      <c r="EO147" s="177">
        <v>0</v>
      </c>
      <c r="EP147" s="177">
        <v>0</v>
      </c>
      <c r="EQ147" s="182">
        <v>0</v>
      </c>
      <c r="ER147" s="182">
        <v>0</v>
      </c>
      <c r="ES147" s="182">
        <v>0</v>
      </c>
      <c r="ET147" s="182">
        <v>0</v>
      </c>
      <c r="EU147" s="182">
        <v>0</v>
      </c>
      <c r="EV147" s="182">
        <v>0</v>
      </c>
      <c r="EW147" s="182">
        <v>0</v>
      </c>
      <c r="EX147" s="182">
        <v>0</v>
      </c>
      <c r="EY147" s="177">
        <v>0</v>
      </c>
      <c r="EZ147" s="177">
        <v>0</v>
      </c>
      <c r="FA147" s="177">
        <v>0</v>
      </c>
      <c r="FB147" s="184">
        <v>0</v>
      </c>
    </row>
    <row r="148" spans="2:158" ht="12.75" customHeight="1" x14ac:dyDescent="0.3">
      <c r="B148" s="199" t="s">
        <v>3958</v>
      </c>
      <c r="C148" s="340"/>
      <c r="D148" s="182">
        <v>0</v>
      </c>
      <c r="E148" s="182">
        <v>0</v>
      </c>
      <c r="F148" s="182">
        <v>0</v>
      </c>
      <c r="G148" s="182">
        <v>0</v>
      </c>
      <c r="H148" s="182">
        <v>0</v>
      </c>
      <c r="I148" s="182">
        <v>0</v>
      </c>
      <c r="J148" s="182">
        <v>0</v>
      </c>
      <c r="K148" s="182">
        <v>0</v>
      </c>
      <c r="L148" s="182">
        <v>0</v>
      </c>
      <c r="M148" s="182">
        <v>0</v>
      </c>
      <c r="N148" s="182">
        <v>0</v>
      </c>
      <c r="O148" s="182">
        <v>0</v>
      </c>
      <c r="P148" s="182">
        <v>0</v>
      </c>
      <c r="Q148" s="182">
        <v>0</v>
      </c>
      <c r="R148" s="182">
        <v>0</v>
      </c>
      <c r="S148" s="182">
        <v>0</v>
      </c>
      <c r="T148" s="182">
        <v>0</v>
      </c>
      <c r="U148" s="182">
        <v>0</v>
      </c>
      <c r="V148" s="182">
        <v>0</v>
      </c>
      <c r="W148" s="182">
        <v>0</v>
      </c>
      <c r="X148" s="182">
        <v>0</v>
      </c>
      <c r="Y148" s="182">
        <v>0</v>
      </c>
      <c r="Z148" s="182">
        <v>0</v>
      </c>
      <c r="AA148" s="182">
        <v>0</v>
      </c>
      <c r="AB148" s="182">
        <v>0</v>
      </c>
      <c r="AC148" s="182">
        <v>0</v>
      </c>
      <c r="AD148" s="182">
        <v>0</v>
      </c>
      <c r="AE148" s="182">
        <v>0</v>
      </c>
      <c r="AF148" s="182">
        <v>0</v>
      </c>
      <c r="AG148" s="182">
        <v>0</v>
      </c>
      <c r="AH148" s="182">
        <v>0</v>
      </c>
      <c r="AI148" s="182">
        <v>0</v>
      </c>
      <c r="AJ148" s="182">
        <v>0</v>
      </c>
      <c r="AK148" s="182">
        <v>0</v>
      </c>
      <c r="AL148" s="182">
        <v>0</v>
      </c>
      <c r="AM148" s="182">
        <v>0</v>
      </c>
      <c r="AN148" s="182">
        <v>0</v>
      </c>
      <c r="AO148" s="182">
        <v>0</v>
      </c>
      <c r="AP148" s="182">
        <v>0</v>
      </c>
      <c r="AQ148" s="182">
        <v>0</v>
      </c>
      <c r="AR148" s="182">
        <v>0</v>
      </c>
      <c r="AS148" s="182">
        <v>0</v>
      </c>
      <c r="AT148" s="182">
        <v>0</v>
      </c>
      <c r="AU148" s="182">
        <v>0</v>
      </c>
      <c r="AV148" s="182">
        <v>0</v>
      </c>
      <c r="AW148" s="182">
        <v>0</v>
      </c>
      <c r="AX148" s="182">
        <v>0</v>
      </c>
      <c r="AY148" s="182">
        <v>0</v>
      </c>
      <c r="AZ148" s="182">
        <v>0</v>
      </c>
      <c r="BA148" s="182">
        <v>0</v>
      </c>
      <c r="BB148" s="168">
        <v>0</v>
      </c>
      <c r="BC148" s="168">
        <v>0</v>
      </c>
      <c r="BD148" s="168">
        <v>0</v>
      </c>
      <c r="BE148" s="168">
        <v>0</v>
      </c>
      <c r="BF148" s="182">
        <v>0</v>
      </c>
      <c r="BG148" s="182">
        <v>0</v>
      </c>
      <c r="BH148" s="182">
        <v>0</v>
      </c>
      <c r="BI148" s="182">
        <v>0</v>
      </c>
      <c r="BJ148" s="182">
        <v>0</v>
      </c>
      <c r="BK148" s="182">
        <v>0</v>
      </c>
      <c r="BL148" s="182">
        <v>0</v>
      </c>
      <c r="BM148" s="182">
        <v>0</v>
      </c>
      <c r="BN148" s="182">
        <v>0</v>
      </c>
      <c r="BO148" s="182">
        <v>0</v>
      </c>
      <c r="BP148" s="182">
        <v>0</v>
      </c>
      <c r="BQ148" s="182">
        <v>0</v>
      </c>
      <c r="BR148" s="182">
        <v>0</v>
      </c>
      <c r="BS148" s="182">
        <v>0</v>
      </c>
      <c r="BT148" s="182">
        <v>0</v>
      </c>
      <c r="BU148" s="182">
        <v>0</v>
      </c>
      <c r="BV148" s="182">
        <v>0</v>
      </c>
      <c r="BW148" s="182">
        <v>0</v>
      </c>
      <c r="BX148" s="182">
        <v>0</v>
      </c>
      <c r="BY148" s="182">
        <v>0</v>
      </c>
      <c r="BZ148" s="182">
        <v>0</v>
      </c>
      <c r="CA148" s="182">
        <v>0</v>
      </c>
      <c r="CB148" s="182">
        <v>0</v>
      </c>
      <c r="CC148" s="182">
        <v>0</v>
      </c>
      <c r="CD148" s="182">
        <v>0</v>
      </c>
      <c r="CE148" s="182">
        <v>0</v>
      </c>
      <c r="CF148" s="182">
        <v>0</v>
      </c>
      <c r="CG148" s="182">
        <v>0</v>
      </c>
      <c r="CH148" s="182">
        <v>0</v>
      </c>
      <c r="CI148" s="182">
        <v>0</v>
      </c>
      <c r="CJ148" s="182">
        <v>0</v>
      </c>
      <c r="CK148" s="182">
        <v>0</v>
      </c>
      <c r="CL148" s="182">
        <v>0</v>
      </c>
      <c r="CM148" s="182">
        <v>0</v>
      </c>
      <c r="CN148" s="182">
        <v>0</v>
      </c>
      <c r="CO148" s="182">
        <v>0</v>
      </c>
      <c r="CP148" s="182">
        <v>0</v>
      </c>
      <c r="CQ148" s="182">
        <v>0</v>
      </c>
      <c r="CR148" s="182">
        <v>0</v>
      </c>
      <c r="CS148" s="177">
        <f>k.w2M.w2T</f>
        <v>0</v>
      </c>
      <c r="CT148" s="177">
        <v>0</v>
      </c>
      <c r="CU148" s="177">
        <v>0</v>
      </c>
      <c r="CV148" s="177">
        <v>0</v>
      </c>
      <c r="CW148" s="182">
        <v>0</v>
      </c>
      <c r="CX148" s="182">
        <v>0</v>
      </c>
      <c r="CY148" s="182">
        <v>0</v>
      </c>
      <c r="CZ148" s="182">
        <v>0</v>
      </c>
      <c r="DA148" s="182">
        <v>0</v>
      </c>
      <c r="DB148" s="182">
        <v>0</v>
      </c>
      <c r="DC148" s="182">
        <v>0</v>
      </c>
      <c r="DD148" s="182">
        <v>0</v>
      </c>
      <c r="DE148" s="182">
        <v>0</v>
      </c>
      <c r="DF148" s="182">
        <v>0</v>
      </c>
      <c r="DG148" s="182">
        <v>0</v>
      </c>
      <c r="DH148" s="182">
        <v>0</v>
      </c>
      <c r="DI148" s="182">
        <v>0</v>
      </c>
      <c r="DJ148" s="182">
        <v>0</v>
      </c>
      <c r="DK148" s="182">
        <v>0</v>
      </c>
      <c r="DL148" s="182">
        <v>0</v>
      </c>
      <c r="DM148" s="182">
        <v>0</v>
      </c>
      <c r="DN148" s="182">
        <v>0</v>
      </c>
      <c r="DO148" s="182">
        <v>0</v>
      </c>
      <c r="DP148" s="182">
        <v>0</v>
      </c>
      <c r="DQ148" s="182">
        <v>0</v>
      </c>
      <c r="DR148" s="182">
        <v>0</v>
      </c>
      <c r="DS148" s="182">
        <v>0</v>
      </c>
      <c r="DT148" s="182">
        <v>0</v>
      </c>
      <c r="DU148" s="182">
        <v>0</v>
      </c>
      <c r="DV148" s="182">
        <v>0</v>
      </c>
      <c r="DW148" s="182">
        <v>0</v>
      </c>
      <c r="DX148" s="182">
        <v>0</v>
      </c>
      <c r="DY148" s="182">
        <v>0</v>
      </c>
      <c r="DZ148" s="182">
        <v>0</v>
      </c>
      <c r="EA148" s="182">
        <v>0</v>
      </c>
      <c r="EB148" s="182">
        <v>0</v>
      </c>
      <c r="EC148" s="182">
        <v>0</v>
      </c>
      <c r="ED148" s="182">
        <v>0</v>
      </c>
      <c r="EE148" s="182">
        <v>0</v>
      </c>
      <c r="EF148" s="177">
        <f>k.aT.w2T</f>
        <v>2.1486454213464019E-8</v>
      </c>
      <c r="EG148" s="177">
        <v>0</v>
      </c>
      <c r="EH148" s="177">
        <v>0</v>
      </c>
      <c r="EI148" s="177">
        <v>0</v>
      </c>
      <c r="EJ148" s="177">
        <v>0</v>
      </c>
      <c r="EK148" s="177">
        <v>0</v>
      </c>
      <c r="EL148" s="177">
        <v>0</v>
      </c>
      <c r="EM148" s="310">
        <f>-k.w2T-SUM(EM9:EM144,EM149:EM163)</f>
        <v>-5.094481785654053E-7</v>
      </c>
      <c r="EN148" s="321">
        <f>kdis.w2S.w2D</f>
        <v>0</v>
      </c>
      <c r="EO148" s="321">
        <f>kdis.w2A.w2D</f>
        <v>0</v>
      </c>
      <c r="EP148" s="321">
        <f>kdis.w2P.w2D</f>
        <v>0</v>
      </c>
      <c r="EQ148" s="176">
        <f>k.w3T.w2T</f>
        <v>7.5748144375595357E-9</v>
      </c>
      <c r="ER148" s="176">
        <v>0</v>
      </c>
      <c r="ES148" s="176">
        <v>0</v>
      </c>
      <c r="ET148" s="176">
        <v>0</v>
      </c>
      <c r="EU148" s="29">
        <v>0</v>
      </c>
      <c r="EV148" s="29">
        <v>0</v>
      </c>
      <c r="EW148" s="29">
        <v>0</v>
      </c>
      <c r="EX148" s="29">
        <v>0</v>
      </c>
      <c r="EY148" s="177">
        <f>k.sT.w2T</f>
        <v>1.1255665341427853E-8</v>
      </c>
      <c r="EZ148" s="177">
        <v>0</v>
      </c>
      <c r="FA148" s="177">
        <v>0</v>
      </c>
      <c r="FB148" s="184">
        <v>0</v>
      </c>
    </row>
    <row r="149" spans="2:158" ht="12.75" customHeight="1" x14ac:dyDescent="0.3">
      <c r="B149" s="199" t="s">
        <v>3959</v>
      </c>
      <c r="C149" s="340"/>
      <c r="D149" s="182">
        <v>0</v>
      </c>
      <c r="E149" s="182">
        <v>0</v>
      </c>
      <c r="F149" s="182">
        <v>0</v>
      </c>
      <c r="G149" s="182">
        <v>0</v>
      </c>
      <c r="H149" s="182">
        <v>0</v>
      </c>
      <c r="I149" s="182">
        <v>0</v>
      </c>
      <c r="J149" s="182">
        <v>0</v>
      </c>
      <c r="K149" s="182">
        <v>0</v>
      </c>
      <c r="L149" s="182">
        <v>0</v>
      </c>
      <c r="M149" s="182">
        <v>0</v>
      </c>
      <c r="N149" s="182">
        <v>0</v>
      </c>
      <c r="O149" s="182">
        <v>0</v>
      </c>
      <c r="P149" s="182">
        <v>0</v>
      </c>
      <c r="Q149" s="182">
        <v>0</v>
      </c>
      <c r="R149" s="182">
        <v>0</v>
      </c>
      <c r="S149" s="182">
        <v>0</v>
      </c>
      <c r="T149" s="182">
        <v>0</v>
      </c>
      <c r="U149" s="182">
        <v>0</v>
      </c>
      <c r="V149" s="182">
        <v>0</v>
      </c>
      <c r="W149" s="182">
        <v>0</v>
      </c>
      <c r="X149" s="182">
        <v>0</v>
      </c>
      <c r="Y149" s="182">
        <v>0</v>
      </c>
      <c r="Z149" s="182">
        <v>0</v>
      </c>
      <c r="AA149" s="182">
        <v>0</v>
      </c>
      <c r="AB149" s="182">
        <v>0</v>
      </c>
      <c r="AC149" s="182">
        <v>0</v>
      </c>
      <c r="AD149" s="182">
        <v>0</v>
      </c>
      <c r="AE149" s="182">
        <v>0</v>
      </c>
      <c r="AF149" s="182">
        <v>0</v>
      </c>
      <c r="AG149" s="182">
        <v>0</v>
      </c>
      <c r="AH149" s="182">
        <v>0</v>
      </c>
      <c r="AI149" s="182">
        <v>0</v>
      </c>
      <c r="AJ149" s="182">
        <v>0</v>
      </c>
      <c r="AK149" s="182">
        <v>0</v>
      </c>
      <c r="AL149" s="182">
        <v>0</v>
      </c>
      <c r="AM149" s="182">
        <v>0</v>
      </c>
      <c r="AN149" s="182">
        <v>0</v>
      </c>
      <c r="AO149" s="182">
        <v>0</v>
      </c>
      <c r="AP149" s="182">
        <v>0</v>
      </c>
      <c r="AQ149" s="182">
        <v>0</v>
      </c>
      <c r="AR149" s="182">
        <v>0</v>
      </c>
      <c r="AS149" s="182">
        <v>0</v>
      </c>
      <c r="AT149" s="182">
        <v>0</v>
      </c>
      <c r="AU149" s="182">
        <v>0</v>
      </c>
      <c r="AV149" s="182">
        <v>0</v>
      </c>
      <c r="AW149" s="182">
        <v>0</v>
      </c>
      <c r="AX149" s="182">
        <v>0</v>
      </c>
      <c r="AY149" s="182">
        <v>0</v>
      </c>
      <c r="AZ149" s="182">
        <v>0</v>
      </c>
      <c r="BA149" s="182">
        <v>0</v>
      </c>
      <c r="BB149" s="168">
        <v>0</v>
      </c>
      <c r="BC149" s="168">
        <v>0</v>
      </c>
      <c r="BD149" s="168">
        <v>0</v>
      </c>
      <c r="BE149" s="168">
        <v>0</v>
      </c>
      <c r="BF149" s="182">
        <v>0</v>
      </c>
      <c r="BG149" s="182">
        <v>0</v>
      </c>
      <c r="BH149" s="182">
        <v>0</v>
      </c>
      <c r="BI149" s="182">
        <v>0</v>
      </c>
      <c r="BJ149" s="182">
        <v>0</v>
      </c>
      <c r="BK149" s="182">
        <v>0</v>
      </c>
      <c r="BL149" s="182">
        <v>0</v>
      </c>
      <c r="BM149" s="182">
        <v>0</v>
      </c>
      <c r="BN149" s="182">
        <v>0</v>
      </c>
      <c r="BO149" s="182">
        <v>0</v>
      </c>
      <c r="BP149" s="182">
        <v>0</v>
      </c>
      <c r="BQ149" s="182">
        <v>0</v>
      </c>
      <c r="BR149" s="182">
        <v>0</v>
      </c>
      <c r="BS149" s="182">
        <v>0</v>
      </c>
      <c r="BT149" s="182">
        <v>0</v>
      </c>
      <c r="BU149" s="182">
        <v>0</v>
      </c>
      <c r="BV149" s="182">
        <v>0</v>
      </c>
      <c r="BW149" s="182">
        <v>0</v>
      </c>
      <c r="BX149" s="182">
        <v>0</v>
      </c>
      <c r="BY149" s="182">
        <v>0</v>
      </c>
      <c r="BZ149" s="182">
        <v>0</v>
      </c>
      <c r="CA149" s="182">
        <v>0</v>
      </c>
      <c r="CB149" s="182">
        <v>0</v>
      </c>
      <c r="CC149" s="182">
        <v>0</v>
      </c>
      <c r="CD149" s="182">
        <v>0</v>
      </c>
      <c r="CE149" s="182">
        <v>0</v>
      </c>
      <c r="CF149" s="182">
        <v>0</v>
      </c>
      <c r="CG149" s="182">
        <v>0</v>
      </c>
      <c r="CH149" s="182">
        <v>0</v>
      </c>
      <c r="CI149" s="182">
        <v>0</v>
      </c>
      <c r="CJ149" s="182">
        <v>0</v>
      </c>
      <c r="CK149" s="182">
        <v>0</v>
      </c>
      <c r="CL149" s="182">
        <v>0</v>
      </c>
      <c r="CM149" s="182">
        <v>0</v>
      </c>
      <c r="CN149" s="182">
        <v>0</v>
      </c>
      <c r="CO149" s="182">
        <v>0</v>
      </c>
      <c r="CP149" s="182">
        <v>0</v>
      </c>
      <c r="CQ149" s="182">
        <v>0</v>
      </c>
      <c r="CR149" s="182">
        <v>0</v>
      </c>
      <c r="CS149" s="177">
        <v>0</v>
      </c>
      <c r="CT149" s="177">
        <v>0</v>
      </c>
      <c r="CU149" s="177">
        <v>0</v>
      </c>
      <c r="CV149" s="177">
        <v>0</v>
      </c>
      <c r="CW149" s="182">
        <v>0</v>
      </c>
      <c r="CX149" s="182">
        <v>0</v>
      </c>
      <c r="CY149" s="182">
        <v>0</v>
      </c>
      <c r="CZ149" s="182">
        <v>0</v>
      </c>
      <c r="DA149" s="182">
        <v>0</v>
      </c>
      <c r="DB149" s="182">
        <v>0</v>
      </c>
      <c r="DC149" s="182">
        <v>0</v>
      </c>
      <c r="DD149" s="182">
        <v>0</v>
      </c>
      <c r="DE149" s="182">
        <v>0</v>
      </c>
      <c r="DF149" s="182">
        <v>0</v>
      </c>
      <c r="DG149" s="182">
        <v>0</v>
      </c>
      <c r="DH149" s="182">
        <v>0</v>
      </c>
      <c r="DI149" s="182">
        <v>0</v>
      </c>
      <c r="DJ149" s="182">
        <v>0</v>
      </c>
      <c r="DK149" s="182">
        <v>0</v>
      </c>
      <c r="DL149" s="182">
        <v>0</v>
      </c>
      <c r="DM149" s="182">
        <v>0</v>
      </c>
      <c r="DN149" s="182">
        <v>0</v>
      </c>
      <c r="DO149" s="182">
        <v>0</v>
      </c>
      <c r="DP149" s="182">
        <v>0</v>
      </c>
      <c r="DQ149" s="182">
        <v>0</v>
      </c>
      <c r="DR149" s="182">
        <v>0</v>
      </c>
      <c r="DS149" s="182">
        <v>0</v>
      </c>
      <c r="DT149" s="182">
        <v>0</v>
      </c>
      <c r="DU149" s="182">
        <v>0</v>
      </c>
      <c r="DV149" s="182">
        <v>0</v>
      </c>
      <c r="DW149" s="182">
        <v>0</v>
      </c>
      <c r="DX149" s="182">
        <v>0</v>
      </c>
      <c r="DY149" s="182">
        <v>0</v>
      </c>
      <c r="DZ149" s="182">
        <v>0</v>
      </c>
      <c r="EA149" s="182">
        <v>0</v>
      </c>
      <c r="EB149" s="182">
        <v>0</v>
      </c>
      <c r="EC149" s="182">
        <v>0</v>
      </c>
      <c r="ED149" s="182">
        <v>0</v>
      </c>
      <c r="EE149" s="182">
        <v>0</v>
      </c>
      <c r="EF149" s="177">
        <v>0</v>
      </c>
      <c r="EG149" s="177">
        <f>k.aTS.w2TS</f>
        <v>2.2932442254001529E-6</v>
      </c>
      <c r="EH149" s="177">
        <v>0</v>
      </c>
      <c r="EI149" s="177">
        <v>0</v>
      </c>
      <c r="EJ149" s="177">
        <f>k.cwTS.w2TS</f>
        <v>9.6186397873338595E-5</v>
      </c>
      <c r="EK149" s="177">
        <v>0</v>
      </c>
      <c r="EL149" s="177">
        <v>0</v>
      </c>
      <c r="EM149" s="323">
        <v>0</v>
      </c>
      <c r="EN149" s="181">
        <f>-k.w2TS-SUM(EN$9:EN148,EN150:EN$163)</f>
        <v>-3.3448950366532842E-3</v>
      </c>
      <c r="EO149" s="177">
        <v>0</v>
      </c>
      <c r="EP149" s="302">
        <v>0</v>
      </c>
      <c r="EQ149" s="176">
        <v>0</v>
      </c>
      <c r="ER149" s="176">
        <f>k.w3T.w2T</f>
        <v>7.5748144375595357E-9</v>
      </c>
      <c r="ES149" s="177">
        <v>0</v>
      </c>
      <c r="ET149" s="177">
        <v>0</v>
      </c>
      <c r="EU149" s="29">
        <v>0</v>
      </c>
      <c r="EV149" s="29">
        <v>0</v>
      </c>
      <c r="EW149" s="29">
        <v>0</v>
      </c>
      <c r="EX149" s="29">
        <v>0</v>
      </c>
      <c r="EY149" s="177">
        <v>0</v>
      </c>
      <c r="EZ149" s="177">
        <f>k.sTS.w2TS</f>
        <v>2.6193733410212437E-7</v>
      </c>
      <c r="FA149" s="177">
        <v>0</v>
      </c>
      <c r="FB149" s="184">
        <v>0</v>
      </c>
    </row>
    <row r="150" spans="2:158" ht="12.75" customHeight="1" x14ac:dyDescent="0.3">
      <c r="B150" s="199" t="s">
        <v>3960</v>
      </c>
      <c r="C150" s="340"/>
      <c r="D150" s="182">
        <v>0</v>
      </c>
      <c r="E150" s="182">
        <v>0</v>
      </c>
      <c r="F150" s="182">
        <v>0</v>
      </c>
      <c r="G150" s="182">
        <v>0</v>
      </c>
      <c r="H150" s="182">
        <v>0</v>
      </c>
      <c r="I150" s="182">
        <v>0</v>
      </c>
      <c r="J150" s="182">
        <v>0</v>
      </c>
      <c r="K150" s="182">
        <v>0</v>
      </c>
      <c r="L150" s="182">
        <v>0</v>
      </c>
      <c r="M150" s="182">
        <v>0</v>
      </c>
      <c r="N150" s="182">
        <v>0</v>
      </c>
      <c r="O150" s="182">
        <v>0</v>
      </c>
      <c r="P150" s="182">
        <v>0</v>
      </c>
      <c r="Q150" s="182">
        <v>0</v>
      </c>
      <c r="R150" s="182">
        <v>0</v>
      </c>
      <c r="S150" s="182">
        <v>0</v>
      </c>
      <c r="T150" s="182">
        <v>0</v>
      </c>
      <c r="U150" s="182">
        <v>0</v>
      </c>
      <c r="V150" s="182">
        <v>0</v>
      </c>
      <c r="W150" s="182">
        <v>0</v>
      </c>
      <c r="X150" s="182">
        <v>0</v>
      </c>
      <c r="Y150" s="182">
        <v>0</v>
      </c>
      <c r="Z150" s="182">
        <v>0</v>
      </c>
      <c r="AA150" s="182">
        <v>0</v>
      </c>
      <c r="AB150" s="182">
        <v>0</v>
      </c>
      <c r="AC150" s="182">
        <v>0</v>
      </c>
      <c r="AD150" s="182">
        <v>0</v>
      </c>
      <c r="AE150" s="182">
        <v>0</v>
      </c>
      <c r="AF150" s="182">
        <v>0</v>
      </c>
      <c r="AG150" s="182">
        <v>0</v>
      </c>
      <c r="AH150" s="182">
        <v>0</v>
      </c>
      <c r="AI150" s="182">
        <v>0</v>
      </c>
      <c r="AJ150" s="182">
        <v>0</v>
      </c>
      <c r="AK150" s="182">
        <v>0</v>
      </c>
      <c r="AL150" s="182">
        <v>0</v>
      </c>
      <c r="AM150" s="182">
        <v>0</v>
      </c>
      <c r="AN150" s="182">
        <v>0</v>
      </c>
      <c r="AO150" s="182">
        <v>0</v>
      </c>
      <c r="AP150" s="182">
        <v>0</v>
      </c>
      <c r="AQ150" s="182">
        <v>0</v>
      </c>
      <c r="AR150" s="182">
        <v>0</v>
      </c>
      <c r="AS150" s="182">
        <v>0</v>
      </c>
      <c r="AT150" s="182">
        <v>0</v>
      </c>
      <c r="AU150" s="182">
        <v>0</v>
      </c>
      <c r="AV150" s="182">
        <v>0</v>
      </c>
      <c r="AW150" s="182">
        <v>0</v>
      </c>
      <c r="AX150" s="182">
        <v>0</v>
      </c>
      <c r="AY150" s="182">
        <v>0</v>
      </c>
      <c r="AZ150" s="182">
        <v>0</v>
      </c>
      <c r="BA150" s="182">
        <v>0</v>
      </c>
      <c r="BB150" s="168">
        <v>0</v>
      </c>
      <c r="BC150" s="168">
        <v>0</v>
      </c>
      <c r="BD150" s="168">
        <v>0</v>
      </c>
      <c r="BE150" s="168">
        <v>0</v>
      </c>
      <c r="BF150" s="182">
        <v>0</v>
      </c>
      <c r="BG150" s="182">
        <v>0</v>
      </c>
      <c r="BH150" s="182">
        <v>0</v>
      </c>
      <c r="BI150" s="182">
        <v>0</v>
      </c>
      <c r="BJ150" s="182">
        <v>0</v>
      </c>
      <c r="BK150" s="182">
        <v>0</v>
      </c>
      <c r="BL150" s="182">
        <v>0</v>
      </c>
      <c r="BM150" s="182">
        <v>0</v>
      </c>
      <c r="BN150" s="182">
        <v>0</v>
      </c>
      <c r="BO150" s="182">
        <v>0</v>
      </c>
      <c r="BP150" s="182">
        <v>0</v>
      </c>
      <c r="BQ150" s="182">
        <v>0</v>
      </c>
      <c r="BR150" s="182">
        <v>0</v>
      </c>
      <c r="BS150" s="182">
        <v>0</v>
      </c>
      <c r="BT150" s="182">
        <v>0</v>
      </c>
      <c r="BU150" s="182">
        <v>0</v>
      </c>
      <c r="BV150" s="182">
        <v>0</v>
      </c>
      <c r="BW150" s="182">
        <v>0</v>
      </c>
      <c r="BX150" s="182">
        <v>0</v>
      </c>
      <c r="BY150" s="182">
        <v>0</v>
      </c>
      <c r="BZ150" s="182">
        <v>0</v>
      </c>
      <c r="CA150" s="182">
        <v>0</v>
      </c>
      <c r="CB150" s="182">
        <v>0</v>
      </c>
      <c r="CC150" s="182">
        <v>0</v>
      </c>
      <c r="CD150" s="182">
        <v>0</v>
      </c>
      <c r="CE150" s="182">
        <v>0</v>
      </c>
      <c r="CF150" s="182">
        <v>0</v>
      </c>
      <c r="CG150" s="182">
        <v>0</v>
      </c>
      <c r="CH150" s="182">
        <v>0</v>
      </c>
      <c r="CI150" s="182">
        <v>0</v>
      </c>
      <c r="CJ150" s="182">
        <v>0</v>
      </c>
      <c r="CK150" s="182">
        <v>0</v>
      </c>
      <c r="CL150" s="182">
        <v>0</v>
      </c>
      <c r="CM150" s="182">
        <v>0</v>
      </c>
      <c r="CN150" s="182">
        <v>0</v>
      </c>
      <c r="CO150" s="182">
        <v>0</v>
      </c>
      <c r="CP150" s="182">
        <v>0</v>
      </c>
      <c r="CQ150" s="182">
        <v>0</v>
      </c>
      <c r="CR150" s="182">
        <v>0</v>
      </c>
      <c r="CS150" s="177">
        <v>0</v>
      </c>
      <c r="CT150" s="177">
        <v>0</v>
      </c>
      <c r="CU150" s="177">
        <v>0</v>
      </c>
      <c r="CV150" s="177">
        <v>0</v>
      </c>
      <c r="CW150" s="182">
        <v>0</v>
      </c>
      <c r="CX150" s="182">
        <v>0</v>
      </c>
      <c r="CY150" s="182">
        <v>0</v>
      </c>
      <c r="CZ150" s="182">
        <v>0</v>
      </c>
      <c r="DA150" s="182">
        <v>0</v>
      </c>
      <c r="DB150" s="182">
        <v>0</v>
      </c>
      <c r="DC150" s="182">
        <v>0</v>
      </c>
      <c r="DD150" s="182">
        <v>0</v>
      </c>
      <c r="DE150" s="182">
        <v>0</v>
      </c>
      <c r="DF150" s="182">
        <v>0</v>
      </c>
      <c r="DG150" s="182">
        <v>0</v>
      </c>
      <c r="DH150" s="182">
        <v>0</v>
      </c>
      <c r="DI150" s="182">
        <v>0</v>
      </c>
      <c r="DJ150" s="182">
        <v>0</v>
      </c>
      <c r="DK150" s="182">
        <v>0</v>
      </c>
      <c r="DL150" s="182">
        <v>0</v>
      </c>
      <c r="DM150" s="182">
        <v>0</v>
      </c>
      <c r="DN150" s="182">
        <v>0</v>
      </c>
      <c r="DO150" s="182">
        <v>0</v>
      </c>
      <c r="DP150" s="182">
        <v>0</v>
      </c>
      <c r="DQ150" s="182">
        <v>0</v>
      </c>
      <c r="DR150" s="182">
        <v>0</v>
      </c>
      <c r="DS150" s="182">
        <v>0</v>
      </c>
      <c r="DT150" s="182">
        <v>0</v>
      </c>
      <c r="DU150" s="182">
        <v>0</v>
      </c>
      <c r="DV150" s="182">
        <v>0</v>
      </c>
      <c r="DW150" s="182">
        <v>0</v>
      </c>
      <c r="DX150" s="182">
        <v>0</v>
      </c>
      <c r="DY150" s="182">
        <v>0</v>
      </c>
      <c r="DZ150" s="182">
        <v>0</v>
      </c>
      <c r="EA150" s="182">
        <v>0</v>
      </c>
      <c r="EB150" s="182">
        <v>0</v>
      </c>
      <c r="EC150" s="182">
        <v>0</v>
      </c>
      <c r="ED150" s="182">
        <v>0</v>
      </c>
      <c r="EE150" s="182">
        <v>0</v>
      </c>
      <c r="EF150" s="177">
        <v>0</v>
      </c>
      <c r="EG150" s="177">
        <v>0</v>
      </c>
      <c r="EH150" s="177">
        <f>k.aTA.w2TA</f>
        <v>8.2924761578139136E-7</v>
      </c>
      <c r="EI150" s="177">
        <v>0</v>
      </c>
      <c r="EJ150" s="177">
        <v>0</v>
      </c>
      <c r="EK150" s="177">
        <f>k.cwTA.w2TA</f>
        <v>9.6186397873338595E-5</v>
      </c>
      <c r="EL150" s="177">
        <v>0</v>
      </c>
      <c r="EM150" s="323">
        <v>0</v>
      </c>
      <c r="EN150" s="177">
        <f>k.w2TS.w2TA</f>
        <v>3.3087984420170817E-3</v>
      </c>
      <c r="EO150" s="181">
        <f>-k.w2TA-SUM(EO$9:EO149,EO151:EO$163)</f>
        <v>-2.4454207611446804E-7</v>
      </c>
      <c r="EP150" s="302">
        <v>0</v>
      </c>
      <c r="EQ150" s="177">
        <v>0</v>
      </c>
      <c r="ER150" s="177">
        <v>0</v>
      </c>
      <c r="ES150" s="176">
        <f>k.w3T.w2T</f>
        <v>7.5748144375595357E-9</v>
      </c>
      <c r="ET150" s="177">
        <v>0</v>
      </c>
      <c r="EU150" s="29">
        <v>0</v>
      </c>
      <c r="EV150" s="29">
        <v>0</v>
      </c>
      <c r="EW150" s="29">
        <v>0</v>
      </c>
      <c r="EX150" s="29">
        <v>0</v>
      </c>
      <c r="EY150" s="177">
        <v>0</v>
      </c>
      <c r="EZ150" s="177">
        <v>0</v>
      </c>
      <c r="FA150" s="177">
        <f>k.sTA.w2TA</f>
        <v>2.6193733410212437E-7</v>
      </c>
      <c r="FB150" s="184">
        <v>0</v>
      </c>
    </row>
    <row r="151" spans="2:158" ht="12.75" customHeight="1" x14ac:dyDescent="0.3">
      <c r="B151" s="199" t="s">
        <v>3961</v>
      </c>
      <c r="C151" s="340"/>
      <c r="D151" s="182">
        <v>0</v>
      </c>
      <c r="E151" s="182">
        <v>0</v>
      </c>
      <c r="F151" s="182">
        <v>0</v>
      </c>
      <c r="G151" s="182">
        <v>0</v>
      </c>
      <c r="H151" s="182">
        <v>0</v>
      </c>
      <c r="I151" s="182">
        <v>0</v>
      </c>
      <c r="J151" s="182">
        <v>0</v>
      </c>
      <c r="K151" s="182">
        <v>0</v>
      </c>
      <c r="L151" s="182">
        <v>0</v>
      </c>
      <c r="M151" s="182">
        <v>0</v>
      </c>
      <c r="N151" s="182">
        <v>0</v>
      </c>
      <c r="O151" s="182">
        <v>0</v>
      </c>
      <c r="P151" s="182">
        <v>0</v>
      </c>
      <c r="Q151" s="182">
        <v>0</v>
      </c>
      <c r="R151" s="182">
        <v>0</v>
      </c>
      <c r="S151" s="182">
        <v>0</v>
      </c>
      <c r="T151" s="182">
        <v>0</v>
      </c>
      <c r="U151" s="182">
        <v>0</v>
      </c>
      <c r="V151" s="182">
        <v>0</v>
      </c>
      <c r="W151" s="182">
        <v>0</v>
      </c>
      <c r="X151" s="182">
        <v>0</v>
      </c>
      <c r="Y151" s="182">
        <v>0</v>
      </c>
      <c r="Z151" s="182">
        <v>0</v>
      </c>
      <c r="AA151" s="182">
        <v>0</v>
      </c>
      <c r="AB151" s="182">
        <v>0</v>
      </c>
      <c r="AC151" s="182">
        <v>0</v>
      </c>
      <c r="AD151" s="182">
        <v>0</v>
      </c>
      <c r="AE151" s="182">
        <v>0</v>
      </c>
      <c r="AF151" s="182">
        <v>0</v>
      </c>
      <c r="AG151" s="182">
        <v>0</v>
      </c>
      <c r="AH151" s="182">
        <v>0</v>
      </c>
      <c r="AI151" s="182">
        <v>0</v>
      </c>
      <c r="AJ151" s="182">
        <v>0</v>
      </c>
      <c r="AK151" s="182">
        <v>0</v>
      </c>
      <c r="AL151" s="182">
        <v>0</v>
      </c>
      <c r="AM151" s="182">
        <v>0</v>
      </c>
      <c r="AN151" s="182">
        <v>0</v>
      </c>
      <c r="AO151" s="182">
        <v>0</v>
      </c>
      <c r="AP151" s="182">
        <v>0</v>
      </c>
      <c r="AQ151" s="182">
        <v>0</v>
      </c>
      <c r="AR151" s="182">
        <v>0</v>
      </c>
      <c r="AS151" s="182">
        <v>0</v>
      </c>
      <c r="AT151" s="182">
        <v>0</v>
      </c>
      <c r="AU151" s="182">
        <v>0</v>
      </c>
      <c r="AV151" s="182">
        <v>0</v>
      </c>
      <c r="AW151" s="182">
        <v>0</v>
      </c>
      <c r="AX151" s="182">
        <v>0</v>
      </c>
      <c r="AY151" s="182">
        <v>0</v>
      </c>
      <c r="AZ151" s="182">
        <v>0</v>
      </c>
      <c r="BA151" s="182">
        <v>0</v>
      </c>
      <c r="BB151" s="168">
        <v>0</v>
      </c>
      <c r="BC151" s="168">
        <v>0</v>
      </c>
      <c r="BD151" s="168">
        <v>0</v>
      </c>
      <c r="BE151" s="168">
        <v>0</v>
      </c>
      <c r="BF151" s="182">
        <v>0</v>
      </c>
      <c r="BG151" s="182">
        <v>0</v>
      </c>
      <c r="BH151" s="182">
        <v>0</v>
      </c>
      <c r="BI151" s="182">
        <v>0</v>
      </c>
      <c r="BJ151" s="182">
        <v>0</v>
      </c>
      <c r="BK151" s="182">
        <v>0</v>
      </c>
      <c r="BL151" s="182">
        <v>0</v>
      </c>
      <c r="BM151" s="182">
        <v>0</v>
      </c>
      <c r="BN151" s="182">
        <v>0</v>
      </c>
      <c r="BO151" s="182">
        <v>0</v>
      </c>
      <c r="BP151" s="182">
        <v>0</v>
      </c>
      <c r="BQ151" s="182">
        <v>0</v>
      </c>
      <c r="BR151" s="182">
        <v>0</v>
      </c>
      <c r="BS151" s="182">
        <v>0</v>
      </c>
      <c r="BT151" s="182">
        <v>0</v>
      </c>
      <c r="BU151" s="182">
        <v>0</v>
      </c>
      <c r="BV151" s="182">
        <v>0</v>
      </c>
      <c r="BW151" s="182">
        <v>0</v>
      </c>
      <c r="BX151" s="182">
        <v>0</v>
      </c>
      <c r="BY151" s="182">
        <v>0</v>
      </c>
      <c r="BZ151" s="182">
        <v>0</v>
      </c>
      <c r="CA151" s="182">
        <v>0</v>
      </c>
      <c r="CB151" s="182">
        <v>0</v>
      </c>
      <c r="CC151" s="182">
        <v>0</v>
      </c>
      <c r="CD151" s="182">
        <v>0</v>
      </c>
      <c r="CE151" s="182">
        <v>0</v>
      </c>
      <c r="CF151" s="182">
        <v>0</v>
      </c>
      <c r="CG151" s="182">
        <v>0</v>
      </c>
      <c r="CH151" s="182">
        <v>0</v>
      </c>
      <c r="CI151" s="182">
        <v>0</v>
      </c>
      <c r="CJ151" s="182">
        <v>0</v>
      </c>
      <c r="CK151" s="182">
        <v>0</v>
      </c>
      <c r="CL151" s="182">
        <v>0</v>
      </c>
      <c r="CM151" s="182">
        <v>0</v>
      </c>
      <c r="CN151" s="182">
        <v>0</v>
      </c>
      <c r="CO151" s="182">
        <v>0</v>
      </c>
      <c r="CP151" s="182">
        <v>0</v>
      </c>
      <c r="CQ151" s="182">
        <v>0</v>
      </c>
      <c r="CR151" s="182">
        <v>0</v>
      </c>
      <c r="CS151" s="177">
        <v>0</v>
      </c>
      <c r="CT151" s="177">
        <v>0</v>
      </c>
      <c r="CU151" s="177">
        <v>0</v>
      </c>
      <c r="CV151" s="177">
        <v>0</v>
      </c>
      <c r="CW151" s="182">
        <v>0</v>
      </c>
      <c r="CX151" s="182">
        <v>0</v>
      </c>
      <c r="CY151" s="182">
        <v>0</v>
      </c>
      <c r="CZ151" s="182">
        <v>0</v>
      </c>
      <c r="DA151" s="182">
        <v>0</v>
      </c>
      <c r="DB151" s="182">
        <v>0</v>
      </c>
      <c r="DC151" s="182">
        <v>0</v>
      </c>
      <c r="DD151" s="182">
        <v>0</v>
      </c>
      <c r="DE151" s="182">
        <v>0</v>
      </c>
      <c r="DF151" s="182">
        <v>0</v>
      </c>
      <c r="DG151" s="182">
        <v>0</v>
      </c>
      <c r="DH151" s="182">
        <v>0</v>
      </c>
      <c r="DI151" s="182">
        <v>0</v>
      </c>
      <c r="DJ151" s="182">
        <v>0</v>
      </c>
      <c r="DK151" s="182">
        <v>0</v>
      </c>
      <c r="DL151" s="182">
        <v>0</v>
      </c>
      <c r="DM151" s="182">
        <v>0</v>
      </c>
      <c r="DN151" s="182">
        <v>0</v>
      </c>
      <c r="DO151" s="182">
        <v>0</v>
      </c>
      <c r="DP151" s="182">
        <v>0</v>
      </c>
      <c r="DQ151" s="182">
        <v>0</v>
      </c>
      <c r="DR151" s="182">
        <v>0</v>
      </c>
      <c r="DS151" s="182">
        <v>0</v>
      </c>
      <c r="DT151" s="182">
        <v>0</v>
      </c>
      <c r="DU151" s="182">
        <v>0</v>
      </c>
      <c r="DV151" s="182">
        <v>0</v>
      </c>
      <c r="DW151" s="182">
        <v>0</v>
      </c>
      <c r="DX151" s="182">
        <v>0</v>
      </c>
      <c r="DY151" s="182">
        <v>0</v>
      </c>
      <c r="DZ151" s="182">
        <v>0</v>
      </c>
      <c r="EA151" s="182">
        <v>0</v>
      </c>
      <c r="EB151" s="182">
        <v>0</v>
      </c>
      <c r="EC151" s="182">
        <v>0</v>
      </c>
      <c r="ED151" s="182">
        <v>0</v>
      </c>
      <c r="EE151" s="182">
        <v>0</v>
      </c>
      <c r="EF151" s="177">
        <v>0</v>
      </c>
      <c r="EG151" s="177">
        <v>0</v>
      </c>
      <c r="EH151" s="177">
        <v>0</v>
      </c>
      <c r="EI151" s="177">
        <f>k.aTP.w2TP</f>
        <v>7.0000021000006299E-7</v>
      </c>
      <c r="EJ151" s="177">
        <v>0</v>
      </c>
      <c r="EK151" s="177">
        <v>0</v>
      </c>
      <c r="EL151" s="177">
        <f>k.cwTP.w2TP</f>
        <v>9.6186397873338595E-5</v>
      </c>
      <c r="EM151" s="303">
        <v>0</v>
      </c>
      <c r="EN151" s="304">
        <f>k.w2TS.w2TP</f>
        <v>3.5852536448689996E-5</v>
      </c>
      <c r="EO151" s="304">
        <v>0</v>
      </c>
      <c r="EP151" s="181">
        <f>-k.w2TP-SUM(EP$9:EP150,EP152:EP$163)</f>
        <v>-5.3815536724070037E-7</v>
      </c>
      <c r="EQ151" s="177">
        <v>0</v>
      </c>
      <c r="ER151" s="177">
        <v>0</v>
      </c>
      <c r="ES151" s="177">
        <v>0</v>
      </c>
      <c r="ET151" s="176">
        <f>k.w3T.w2T</f>
        <v>7.5748144375595357E-9</v>
      </c>
      <c r="EU151" s="29">
        <v>0</v>
      </c>
      <c r="EV151" s="29">
        <v>0</v>
      </c>
      <c r="EW151" s="29">
        <v>0</v>
      </c>
      <c r="EX151" s="29">
        <v>0</v>
      </c>
      <c r="EY151" s="177">
        <v>0</v>
      </c>
      <c r="EZ151" s="177">
        <v>0</v>
      </c>
      <c r="FA151" s="177">
        <v>0</v>
      </c>
      <c r="FB151" s="184">
        <f>k.sTP.w2TP</f>
        <v>1.9025875190258751E-11</v>
      </c>
    </row>
    <row r="152" spans="2:158" ht="12.75" customHeight="1" x14ac:dyDescent="0.3">
      <c r="B152" s="199" t="s">
        <v>3962</v>
      </c>
      <c r="C152" s="340"/>
      <c r="D152" s="182">
        <v>0</v>
      </c>
      <c r="E152" s="182">
        <v>0</v>
      </c>
      <c r="F152" s="182">
        <v>0</v>
      </c>
      <c r="G152" s="182">
        <v>0</v>
      </c>
      <c r="H152" s="182">
        <v>0</v>
      </c>
      <c r="I152" s="182">
        <v>0</v>
      </c>
      <c r="J152" s="182">
        <v>0</v>
      </c>
      <c r="K152" s="182">
        <v>0</v>
      </c>
      <c r="L152" s="182">
        <v>0</v>
      </c>
      <c r="M152" s="182">
        <v>0</v>
      </c>
      <c r="N152" s="182">
        <v>0</v>
      </c>
      <c r="O152" s="182">
        <v>0</v>
      </c>
      <c r="P152" s="182">
        <v>0</v>
      </c>
      <c r="Q152" s="182">
        <v>0</v>
      </c>
      <c r="R152" s="182">
        <v>0</v>
      </c>
      <c r="S152" s="182">
        <v>0</v>
      </c>
      <c r="T152" s="182">
        <v>0</v>
      </c>
      <c r="U152" s="182">
        <v>0</v>
      </c>
      <c r="V152" s="182">
        <v>0</v>
      </c>
      <c r="W152" s="182">
        <v>0</v>
      </c>
      <c r="X152" s="182">
        <v>0</v>
      </c>
      <c r="Y152" s="182">
        <v>0</v>
      </c>
      <c r="Z152" s="182">
        <v>0</v>
      </c>
      <c r="AA152" s="182">
        <v>0</v>
      </c>
      <c r="AB152" s="182">
        <v>0</v>
      </c>
      <c r="AC152" s="182">
        <v>0</v>
      </c>
      <c r="AD152" s="182">
        <v>0</v>
      </c>
      <c r="AE152" s="182">
        <v>0</v>
      </c>
      <c r="AF152" s="182">
        <v>0</v>
      </c>
      <c r="AG152" s="182">
        <v>0</v>
      </c>
      <c r="AH152" s="182">
        <v>0</v>
      </c>
      <c r="AI152" s="182">
        <v>0</v>
      </c>
      <c r="AJ152" s="182">
        <v>0</v>
      </c>
      <c r="AK152" s="182">
        <v>0</v>
      </c>
      <c r="AL152" s="182">
        <v>0</v>
      </c>
      <c r="AM152" s="182">
        <v>0</v>
      </c>
      <c r="AN152" s="182">
        <v>0</v>
      </c>
      <c r="AO152" s="182">
        <v>0</v>
      </c>
      <c r="AP152" s="182">
        <v>0</v>
      </c>
      <c r="AQ152" s="182">
        <v>0</v>
      </c>
      <c r="AR152" s="182">
        <v>0</v>
      </c>
      <c r="AS152" s="182">
        <v>0</v>
      </c>
      <c r="AT152" s="182">
        <v>0</v>
      </c>
      <c r="AU152" s="182">
        <v>0</v>
      </c>
      <c r="AV152" s="182">
        <v>0</v>
      </c>
      <c r="AW152" s="182">
        <v>0</v>
      </c>
      <c r="AX152" s="182">
        <v>0</v>
      </c>
      <c r="AY152" s="182">
        <v>0</v>
      </c>
      <c r="AZ152" s="182">
        <v>0</v>
      </c>
      <c r="BA152" s="182">
        <v>0</v>
      </c>
      <c r="BB152" s="168">
        <v>0</v>
      </c>
      <c r="BC152" s="168">
        <v>0</v>
      </c>
      <c r="BD152" s="168">
        <v>0</v>
      </c>
      <c r="BE152" s="168">
        <v>0</v>
      </c>
      <c r="BF152" s="182">
        <v>0</v>
      </c>
      <c r="BG152" s="182">
        <v>0</v>
      </c>
      <c r="BH152" s="182">
        <v>0</v>
      </c>
      <c r="BI152" s="182">
        <v>0</v>
      </c>
      <c r="BJ152" s="182">
        <v>0</v>
      </c>
      <c r="BK152" s="182">
        <v>0</v>
      </c>
      <c r="BL152" s="182">
        <v>0</v>
      </c>
      <c r="BM152" s="182">
        <v>0</v>
      </c>
      <c r="BN152" s="182">
        <v>0</v>
      </c>
      <c r="BO152" s="182">
        <v>0</v>
      </c>
      <c r="BP152" s="182">
        <v>0</v>
      </c>
      <c r="BQ152" s="182">
        <v>0</v>
      </c>
      <c r="BR152" s="182">
        <v>0</v>
      </c>
      <c r="BS152" s="182">
        <v>0</v>
      </c>
      <c r="BT152" s="182">
        <v>0</v>
      </c>
      <c r="BU152" s="182">
        <v>0</v>
      </c>
      <c r="BV152" s="182">
        <v>0</v>
      </c>
      <c r="BW152" s="182">
        <v>0</v>
      </c>
      <c r="BX152" s="182">
        <v>0</v>
      </c>
      <c r="BY152" s="182">
        <v>0</v>
      </c>
      <c r="BZ152" s="182">
        <v>0</v>
      </c>
      <c r="CA152" s="182">
        <v>0</v>
      </c>
      <c r="CB152" s="182">
        <v>0</v>
      </c>
      <c r="CC152" s="182">
        <v>0</v>
      </c>
      <c r="CD152" s="182">
        <v>0</v>
      </c>
      <c r="CE152" s="182">
        <v>0</v>
      </c>
      <c r="CF152" s="182">
        <v>0</v>
      </c>
      <c r="CG152" s="182">
        <v>0</v>
      </c>
      <c r="CH152" s="182">
        <v>0</v>
      </c>
      <c r="CI152" s="182">
        <v>0</v>
      </c>
      <c r="CJ152" s="182">
        <v>0</v>
      </c>
      <c r="CK152" s="182">
        <v>0</v>
      </c>
      <c r="CL152" s="182">
        <v>0</v>
      </c>
      <c r="CM152" s="182">
        <v>0</v>
      </c>
      <c r="CN152" s="182">
        <v>0</v>
      </c>
      <c r="CO152" s="182">
        <v>0</v>
      </c>
      <c r="CP152" s="182">
        <v>0</v>
      </c>
      <c r="CQ152" s="182">
        <v>0</v>
      </c>
      <c r="CR152" s="182">
        <v>0</v>
      </c>
      <c r="CS152" s="182">
        <v>0</v>
      </c>
      <c r="CT152" s="182">
        <v>0</v>
      </c>
      <c r="CU152" s="182">
        <v>0</v>
      </c>
      <c r="CV152" s="182">
        <v>0</v>
      </c>
      <c r="CW152" s="176">
        <f>k.w3M.w3T</f>
        <v>1.2891385692469807E-9</v>
      </c>
      <c r="CX152" s="176">
        <v>0</v>
      </c>
      <c r="CY152" s="176">
        <v>0</v>
      </c>
      <c r="CZ152" s="176">
        <v>0</v>
      </c>
      <c r="DA152" s="182">
        <v>0</v>
      </c>
      <c r="DB152" s="182">
        <v>0</v>
      </c>
      <c r="DC152" s="182">
        <v>0</v>
      </c>
      <c r="DD152" s="182">
        <v>0</v>
      </c>
      <c r="DE152" s="182">
        <v>0</v>
      </c>
      <c r="DF152" s="182">
        <v>0</v>
      </c>
      <c r="DG152" s="182">
        <v>0</v>
      </c>
      <c r="DH152" s="182">
        <v>0</v>
      </c>
      <c r="DI152" s="182">
        <v>0</v>
      </c>
      <c r="DJ152" s="182">
        <v>0</v>
      </c>
      <c r="DK152" s="182">
        <v>0</v>
      </c>
      <c r="DL152" s="182">
        <v>0</v>
      </c>
      <c r="DM152" s="182">
        <v>0</v>
      </c>
      <c r="DN152" s="182">
        <v>0</v>
      </c>
      <c r="DO152" s="182">
        <v>0</v>
      </c>
      <c r="DP152" s="182">
        <v>0</v>
      </c>
      <c r="DQ152" s="182">
        <v>0</v>
      </c>
      <c r="DR152" s="182">
        <v>0</v>
      </c>
      <c r="DS152" s="182">
        <v>0</v>
      </c>
      <c r="DT152" s="182">
        <v>0</v>
      </c>
      <c r="DU152" s="182">
        <v>0</v>
      </c>
      <c r="DV152" s="182">
        <v>0</v>
      </c>
      <c r="DW152" s="182">
        <v>0</v>
      </c>
      <c r="DX152" s="182">
        <v>0</v>
      </c>
      <c r="DY152" s="182">
        <v>0</v>
      </c>
      <c r="DZ152" s="182">
        <v>0</v>
      </c>
      <c r="EA152" s="182">
        <v>0</v>
      </c>
      <c r="EB152" s="182">
        <v>0</v>
      </c>
      <c r="EC152" s="182">
        <v>0</v>
      </c>
      <c r="ED152" s="182">
        <v>0</v>
      </c>
      <c r="EE152" s="182">
        <v>0</v>
      </c>
      <c r="EF152" s="182">
        <v>0</v>
      </c>
      <c r="EG152" s="182">
        <v>0</v>
      </c>
      <c r="EH152" s="182">
        <v>0</v>
      </c>
      <c r="EI152" s="182">
        <v>0</v>
      </c>
      <c r="EJ152" s="182">
        <v>0</v>
      </c>
      <c r="EK152" s="182">
        <v>0</v>
      </c>
      <c r="EL152" s="182">
        <v>0</v>
      </c>
      <c r="EM152" s="176">
        <f>k.w2T.w3T</f>
        <v>2.2724443312678606E-7</v>
      </c>
      <c r="EN152" s="176">
        <v>0</v>
      </c>
      <c r="EO152" s="176">
        <v>0</v>
      </c>
      <c r="EP152" s="176">
        <v>0</v>
      </c>
      <c r="EQ152" s="310">
        <f>-k.w3T-SUM(EQ9:EQ151,EQ153:EQ163)</f>
        <v>-2.2146046438590362E-7</v>
      </c>
      <c r="ER152" s="321">
        <f>kdis.w3S.w3D</f>
        <v>0</v>
      </c>
      <c r="ES152" s="321">
        <f>kdis.w3A.w3D</f>
        <v>0</v>
      </c>
      <c r="ET152" s="321">
        <f>kdis.w3P.w3D</f>
        <v>0</v>
      </c>
      <c r="EU152" s="182">
        <f>k.sdT.w3T</f>
        <v>5.5396574926151886E-8</v>
      </c>
      <c r="EV152" s="182">
        <v>0</v>
      </c>
      <c r="EW152" s="182">
        <v>0</v>
      </c>
      <c r="EX152" s="182">
        <v>0</v>
      </c>
      <c r="EY152" s="182">
        <v>0</v>
      </c>
      <c r="EZ152" s="182">
        <v>0</v>
      </c>
      <c r="FA152" s="182">
        <v>0</v>
      </c>
      <c r="FB152" s="183">
        <v>0</v>
      </c>
    </row>
    <row r="153" spans="2:158" ht="12.75" customHeight="1" x14ac:dyDescent="0.3">
      <c r="B153" s="199" t="s">
        <v>3963</v>
      </c>
      <c r="C153" s="340"/>
      <c r="D153" s="182">
        <v>0</v>
      </c>
      <c r="E153" s="182">
        <v>0</v>
      </c>
      <c r="F153" s="182">
        <v>0</v>
      </c>
      <c r="G153" s="182">
        <v>0</v>
      </c>
      <c r="H153" s="182">
        <v>0</v>
      </c>
      <c r="I153" s="182">
        <v>0</v>
      </c>
      <c r="J153" s="182">
        <v>0</v>
      </c>
      <c r="K153" s="182">
        <v>0</v>
      </c>
      <c r="L153" s="182">
        <v>0</v>
      </c>
      <c r="M153" s="182">
        <v>0</v>
      </c>
      <c r="N153" s="182">
        <v>0</v>
      </c>
      <c r="O153" s="182">
        <v>0</v>
      </c>
      <c r="P153" s="182">
        <v>0</v>
      </c>
      <c r="Q153" s="182">
        <v>0</v>
      </c>
      <c r="R153" s="182">
        <v>0</v>
      </c>
      <c r="S153" s="182">
        <v>0</v>
      </c>
      <c r="T153" s="182">
        <v>0</v>
      </c>
      <c r="U153" s="182">
        <v>0</v>
      </c>
      <c r="V153" s="182">
        <v>0</v>
      </c>
      <c r="W153" s="182">
        <v>0</v>
      </c>
      <c r="X153" s="182">
        <v>0</v>
      </c>
      <c r="Y153" s="182">
        <v>0</v>
      </c>
      <c r="Z153" s="182">
        <v>0</v>
      </c>
      <c r="AA153" s="182">
        <v>0</v>
      </c>
      <c r="AB153" s="182">
        <v>0</v>
      </c>
      <c r="AC153" s="182">
        <v>0</v>
      </c>
      <c r="AD153" s="182">
        <v>0</v>
      </c>
      <c r="AE153" s="182">
        <v>0</v>
      </c>
      <c r="AF153" s="182">
        <v>0</v>
      </c>
      <c r="AG153" s="182">
        <v>0</v>
      </c>
      <c r="AH153" s="182">
        <v>0</v>
      </c>
      <c r="AI153" s="182">
        <v>0</v>
      </c>
      <c r="AJ153" s="182">
        <v>0</v>
      </c>
      <c r="AK153" s="182">
        <v>0</v>
      </c>
      <c r="AL153" s="182">
        <v>0</v>
      </c>
      <c r="AM153" s="182">
        <v>0</v>
      </c>
      <c r="AN153" s="182">
        <v>0</v>
      </c>
      <c r="AO153" s="182">
        <v>0</v>
      </c>
      <c r="AP153" s="182">
        <v>0</v>
      </c>
      <c r="AQ153" s="182">
        <v>0</v>
      </c>
      <c r="AR153" s="182">
        <v>0</v>
      </c>
      <c r="AS153" s="182">
        <v>0</v>
      </c>
      <c r="AT153" s="182">
        <v>0</v>
      </c>
      <c r="AU153" s="182">
        <v>0</v>
      </c>
      <c r="AV153" s="182">
        <v>0</v>
      </c>
      <c r="AW153" s="182">
        <v>0</v>
      </c>
      <c r="AX153" s="182">
        <v>0</v>
      </c>
      <c r="AY153" s="182">
        <v>0</v>
      </c>
      <c r="AZ153" s="182">
        <v>0</v>
      </c>
      <c r="BA153" s="182">
        <v>0</v>
      </c>
      <c r="BB153" s="168">
        <v>0</v>
      </c>
      <c r="BC153" s="168">
        <v>0</v>
      </c>
      <c r="BD153" s="168">
        <v>0</v>
      </c>
      <c r="BE153" s="168">
        <v>0</v>
      </c>
      <c r="BF153" s="182">
        <v>0</v>
      </c>
      <c r="BG153" s="182">
        <v>0</v>
      </c>
      <c r="BH153" s="182">
        <v>0</v>
      </c>
      <c r="BI153" s="182">
        <v>0</v>
      </c>
      <c r="BJ153" s="182">
        <v>0</v>
      </c>
      <c r="BK153" s="182">
        <v>0</v>
      </c>
      <c r="BL153" s="182">
        <v>0</v>
      </c>
      <c r="BM153" s="182">
        <v>0</v>
      </c>
      <c r="BN153" s="182">
        <v>0</v>
      </c>
      <c r="BO153" s="182">
        <v>0</v>
      </c>
      <c r="BP153" s="182">
        <v>0</v>
      </c>
      <c r="BQ153" s="182">
        <v>0</v>
      </c>
      <c r="BR153" s="182">
        <v>0</v>
      </c>
      <c r="BS153" s="182">
        <v>0</v>
      </c>
      <c r="BT153" s="182">
        <v>0</v>
      </c>
      <c r="BU153" s="182">
        <v>0</v>
      </c>
      <c r="BV153" s="182">
        <v>0</v>
      </c>
      <c r="BW153" s="182">
        <v>0</v>
      </c>
      <c r="BX153" s="182">
        <v>0</v>
      </c>
      <c r="BY153" s="182">
        <v>0</v>
      </c>
      <c r="BZ153" s="182">
        <v>0</v>
      </c>
      <c r="CA153" s="182">
        <v>0</v>
      </c>
      <c r="CB153" s="182">
        <v>0</v>
      </c>
      <c r="CC153" s="182">
        <v>0</v>
      </c>
      <c r="CD153" s="182">
        <v>0</v>
      </c>
      <c r="CE153" s="182">
        <v>0</v>
      </c>
      <c r="CF153" s="182">
        <v>0</v>
      </c>
      <c r="CG153" s="182">
        <v>0</v>
      </c>
      <c r="CH153" s="182">
        <v>0</v>
      </c>
      <c r="CI153" s="182">
        <v>0</v>
      </c>
      <c r="CJ153" s="182">
        <v>0</v>
      </c>
      <c r="CK153" s="182">
        <v>0</v>
      </c>
      <c r="CL153" s="182">
        <v>0</v>
      </c>
      <c r="CM153" s="182">
        <v>0</v>
      </c>
      <c r="CN153" s="182">
        <v>0</v>
      </c>
      <c r="CO153" s="182">
        <v>0</v>
      </c>
      <c r="CP153" s="182">
        <v>0</v>
      </c>
      <c r="CQ153" s="182">
        <v>0</v>
      </c>
      <c r="CR153" s="182">
        <v>0</v>
      </c>
      <c r="CS153" s="182">
        <v>0</v>
      </c>
      <c r="CT153" s="182">
        <v>0</v>
      </c>
      <c r="CU153" s="182">
        <v>0</v>
      </c>
      <c r="CV153" s="182">
        <v>0</v>
      </c>
      <c r="CW153" s="176">
        <v>0</v>
      </c>
      <c r="CX153" s="176">
        <f>k.w3M.w3T</f>
        <v>1.2891385692469807E-9</v>
      </c>
      <c r="CY153" s="177">
        <v>0</v>
      </c>
      <c r="CZ153" s="177">
        <v>0</v>
      </c>
      <c r="DA153" s="182">
        <v>0</v>
      </c>
      <c r="DB153" s="182">
        <v>0</v>
      </c>
      <c r="DC153" s="182">
        <v>0</v>
      </c>
      <c r="DD153" s="182">
        <v>0</v>
      </c>
      <c r="DE153" s="182">
        <v>0</v>
      </c>
      <c r="DF153" s="182">
        <v>0</v>
      </c>
      <c r="DG153" s="182">
        <v>0</v>
      </c>
      <c r="DH153" s="182">
        <v>0</v>
      </c>
      <c r="DI153" s="182">
        <v>0</v>
      </c>
      <c r="DJ153" s="182">
        <v>0</v>
      </c>
      <c r="DK153" s="182">
        <v>0</v>
      </c>
      <c r="DL153" s="182">
        <v>0</v>
      </c>
      <c r="DM153" s="182">
        <v>0</v>
      </c>
      <c r="DN153" s="182">
        <v>0</v>
      </c>
      <c r="DO153" s="182">
        <v>0</v>
      </c>
      <c r="DP153" s="182">
        <v>0</v>
      </c>
      <c r="DQ153" s="182">
        <v>0</v>
      </c>
      <c r="DR153" s="182">
        <v>0</v>
      </c>
      <c r="DS153" s="182">
        <v>0</v>
      </c>
      <c r="DT153" s="182">
        <v>0</v>
      </c>
      <c r="DU153" s="182">
        <v>0</v>
      </c>
      <c r="DV153" s="182">
        <v>0</v>
      </c>
      <c r="DW153" s="182">
        <v>0</v>
      </c>
      <c r="DX153" s="182">
        <v>0</v>
      </c>
      <c r="DY153" s="182">
        <v>0</v>
      </c>
      <c r="DZ153" s="182">
        <v>0</v>
      </c>
      <c r="EA153" s="182">
        <v>0</v>
      </c>
      <c r="EB153" s="182">
        <v>0</v>
      </c>
      <c r="EC153" s="182">
        <v>0</v>
      </c>
      <c r="ED153" s="182">
        <v>0</v>
      </c>
      <c r="EE153" s="182">
        <v>0</v>
      </c>
      <c r="EF153" s="182">
        <v>0</v>
      </c>
      <c r="EG153" s="182">
        <v>0</v>
      </c>
      <c r="EH153" s="182">
        <v>0</v>
      </c>
      <c r="EI153" s="182">
        <v>0</v>
      </c>
      <c r="EJ153" s="182">
        <v>0</v>
      </c>
      <c r="EK153" s="182">
        <v>0</v>
      </c>
      <c r="EL153" s="182">
        <v>0</v>
      </c>
      <c r="EM153" s="176">
        <v>0</v>
      </c>
      <c r="EN153" s="177">
        <f>k.w2TS.w3TS</f>
        <v>2.2725146482339286E-7</v>
      </c>
      <c r="EO153" s="177">
        <v>0</v>
      </c>
      <c r="EP153" s="177">
        <v>0</v>
      </c>
      <c r="EQ153" s="323">
        <v>0</v>
      </c>
      <c r="ER153" s="181">
        <f>-k.w3TS-SUM(ER$9:ER152,ER154:ER$163)</f>
        <v>-3.3446585535145991E-3</v>
      </c>
      <c r="ES153" s="177">
        <v>0</v>
      </c>
      <c r="ET153" s="302">
        <v>0</v>
      </c>
      <c r="EU153" s="182">
        <v>0</v>
      </c>
      <c r="EV153" s="177">
        <f>k.sdTS.w3TS</f>
        <v>9.6429477422628121E-9</v>
      </c>
      <c r="EW153" s="177">
        <v>0</v>
      </c>
      <c r="EX153" s="177">
        <v>0</v>
      </c>
      <c r="EY153" s="182">
        <v>0</v>
      </c>
      <c r="EZ153" s="182">
        <v>0</v>
      </c>
      <c r="FA153" s="182">
        <v>0</v>
      </c>
      <c r="FB153" s="183">
        <v>0</v>
      </c>
    </row>
    <row r="154" spans="2:158" ht="12.75" customHeight="1" x14ac:dyDescent="0.3">
      <c r="B154" s="199" t="s">
        <v>3964</v>
      </c>
      <c r="C154" s="340"/>
      <c r="D154" s="182">
        <v>0</v>
      </c>
      <c r="E154" s="182">
        <v>0</v>
      </c>
      <c r="F154" s="182">
        <v>0</v>
      </c>
      <c r="G154" s="182">
        <v>0</v>
      </c>
      <c r="H154" s="182">
        <v>0</v>
      </c>
      <c r="I154" s="182">
        <v>0</v>
      </c>
      <c r="J154" s="182">
        <v>0</v>
      </c>
      <c r="K154" s="182">
        <v>0</v>
      </c>
      <c r="L154" s="182">
        <v>0</v>
      </c>
      <c r="M154" s="182">
        <v>0</v>
      </c>
      <c r="N154" s="182">
        <v>0</v>
      </c>
      <c r="O154" s="182">
        <v>0</v>
      </c>
      <c r="P154" s="182">
        <v>0</v>
      </c>
      <c r="Q154" s="182">
        <v>0</v>
      </c>
      <c r="R154" s="182">
        <v>0</v>
      </c>
      <c r="S154" s="182">
        <v>0</v>
      </c>
      <c r="T154" s="182">
        <v>0</v>
      </c>
      <c r="U154" s="182">
        <v>0</v>
      </c>
      <c r="V154" s="182">
        <v>0</v>
      </c>
      <c r="W154" s="182">
        <v>0</v>
      </c>
      <c r="X154" s="182">
        <v>0</v>
      </c>
      <c r="Y154" s="182">
        <v>0</v>
      </c>
      <c r="Z154" s="182">
        <v>0</v>
      </c>
      <c r="AA154" s="182">
        <v>0</v>
      </c>
      <c r="AB154" s="182">
        <v>0</v>
      </c>
      <c r="AC154" s="182">
        <v>0</v>
      </c>
      <c r="AD154" s="182">
        <v>0</v>
      </c>
      <c r="AE154" s="182">
        <v>0</v>
      </c>
      <c r="AF154" s="182">
        <v>0</v>
      </c>
      <c r="AG154" s="182">
        <v>0</v>
      </c>
      <c r="AH154" s="182">
        <v>0</v>
      </c>
      <c r="AI154" s="182">
        <v>0</v>
      </c>
      <c r="AJ154" s="182">
        <v>0</v>
      </c>
      <c r="AK154" s="182">
        <v>0</v>
      </c>
      <c r="AL154" s="182">
        <v>0</v>
      </c>
      <c r="AM154" s="182">
        <v>0</v>
      </c>
      <c r="AN154" s="182">
        <v>0</v>
      </c>
      <c r="AO154" s="182">
        <v>0</v>
      </c>
      <c r="AP154" s="182">
        <v>0</v>
      </c>
      <c r="AQ154" s="182">
        <v>0</v>
      </c>
      <c r="AR154" s="182">
        <v>0</v>
      </c>
      <c r="AS154" s="182">
        <v>0</v>
      </c>
      <c r="AT154" s="182">
        <v>0</v>
      </c>
      <c r="AU154" s="182">
        <v>0</v>
      </c>
      <c r="AV154" s="182">
        <v>0</v>
      </c>
      <c r="AW154" s="182">
        <v>0</v>
      </c>
      <c r="AX154" s="182">
        <v>0</v>
      </c>
      <c r="AY154" s="182">
        <v>0</v>
      </c>
      <c r="AZ154" s="182">
        <v>0</v>
      </c>
      <c r="BA154" s="182">
        <v>0</v>
      </c>
      <c r="BB154" s="168">
        <v>0</v>
      </c>
      <c r="BC154" s="168">
        <v>0</v>
      </c>
      <c r="BD154" s="168">
        <v>0</v>
      </c>
      <c r="BE154" s="168">
        <v>0</v>
      </c>
      <c r="BF154" s="182">
        <v>0</v>
      </c>
      <c r="BG154" s="182">
        <v>0</v>
      </c>
      <c r="BH154" s="182">
        <v>0</v>
      </c>
      <c r="BI154" s="182">
        <v>0</v>
      </c>
      <c r="BJ154" s="182">
        <v>0</v>
      </c>
      <c r="BK154" s="182">
        <v>0</v>
      </c>
      <c r="BL154" s="182">
        <v>0</v>
      </c>
      <c r="BM154" s="182">
        <v>0</v>
      </c>
      <c r="BN154" s="182">
        <v>0</v>
      </c>
      <c r="BO154" s="182">
        <v>0</v>
      </c>
      <c r="BP154" s="182">
        <v>0</v>
      </c>
      <c r="BQ154" s="182">
        <v>0</v>
      </c>
      <c r="BR154" s="182">
        <v>0</v>
      </c>
      <c r="BS154" s="182">
        <v>0</v>
      </c>
      <c r="BT154" s="182">
        <v>0</v>
      </c>
      <c r="BU154" s="182">
        <v>0</v>
      </c>
      <c r="BV154" s="182">
        <v>0</v>
      </c>
      <c r="BW154" s="182">
        <v>0</v>
      </c>
      <c r="BX154" s="182">
        <v>0</v>
      </c>
      <c r="BY154" s="182">
        <v>0</v>
      </c>
      <c r="BZ154" s="182">
        <v>0</v>
      </c>
      <c r="CA154" s="182">
        <v>0</v>
      </c>
      <c r="CB154" s="182">
        <v>0</v>
      </c>
      <c r="CC154" s="182">
        <v>0</v>
      </c>
      <c r="CD154" s="182">
        <v>0</v>
      </c>
      <c r="CE154" s="182">
        <v>0</v>
      </c>
      <c r="CF154" s="182">
        <v>0</v>
      </c>
      <c r="CG154" s="182">
        <v>0</v>
      </c>
      <c r="CH154" s="182">
        <v>0</v>
      </c>
      <c r="CI154" s="182">
        <v>0</v>
      </c>
      <c r="CJ154" s="182">
        <v>0</v>
      </c>
      <c r="CK154" s="182">
        <v>0</v>
      </c>
      <c r="CL154" s="182">
        <v>0</v>
      </c>
      <c r="CM154" s="182">
        <v>0</v>
      </c>
      <c r="CN154" s="182">
        <v>0</v>
      </c>
      <c r="CO154" s="182">
        <v>0</v>
      </c>
      <c r="CP154" s="182">
        <v>0</v>
      </c>
      <c r="CQ154" s="182">
        <v>0</v>
      </c>
      <c r="CR154" s="182">
        <v>0</v>
      </c>
      <c r="CS154" s="182">
        <v>0</v>
      </c>
      <c r="CT154" s="182">
        <v>0</v>
      </c>
      <c r="CU154" s="182">
        <v>0</v>
      </c>
      <c r="CV154" s="182">
        <v>0</v>
      </c>
      <c r="CW154" s="176">
        <v>0</v>
      </c>
      <c r="CX154" s="177">
        <v>0</v>
      </c>
      <c r="CY154" s="176">
        <f>k.w3M.w3T</f>
        <v>1.2891385692469807E-9</v>
      </c>
      <c r="CZ154" s="177">
        <v>0</v>
      </c>
      <c r="DA154" s="182">
        <v>0</v>
      </c>
      <c r="DB154" s="182">
        <v>0</v>
      </c>
      <c r="DC154" s="182">
        <v>0</v>
      </c>
      <c r="DD154" s="182">
        <v>0</v>
      </c>
      <c r="DE154" s="182">
        <v>0</v>
      </c>
      <c r="DF154" s="182">
        <v>0</v>
      </c>
      <c r="DG154" s="182">
        <v>0</v>
      </c>
      <c r="DH154" s="182">
        <v>0</v>
      </c>
      <c r="DI154" s="182">
        <v>0</v>
      </c>
      <c r="DJ154" s="182">
        <v>0</v>
      </c>
      <c r="DK154" s="182">
        <v>0</v>
      </c>
      <c r="DL154" s="182">
        <v>0</v>
      </c>
      <c r="DM154" s="182">
        <v>0</v>
      </c>
      <c r="DN154" s="182">
        <v>0</v>
      </c>
      <c r="DO154" s="182">
        <v>0</v>
      </c>
      <c r="DP154" s="182">
        <v>0</v>
      </c>
      <c r="DQ154" s="182">
        <v>0</v>
      </c>
      <c r="DR154" s="182">
        <v>0</v>
      </c>
      <c r="DS154" s="182">
        <v>0</v>
      </c>
      <c r="DT154" s="182">
        <v>0</v>
      </c>
      <c r="DU154" s="182">
        <v>0</v>
      </c>
      <c r="DV154" s="182">
        <v>0</v>
      </c>
      <c r="DW154" s="182">
        <v>0</v>
      </c>
      <c r="DX154" s="182">
        <v>0</v>
      </c>
      <c r="DY154" s="182">
        <v>0</v>
      </c>
      <c r="DZ154" s="182">
        <v>0</v>
      </c>
      <c r="EA154" s="182">
        <v>0</v>
      </c>
      <c r="EB154" s="182">
        <v>0</v>
      </c>
      <c r="EC154" s="182">
        <v>0</v>
      </c>
      <c r="ED154" s="182">
        <v>0</v>
      </c>
      <c r="EE154" s="182">
        <v>0</v>
      </c>
      <c r="EF154" s="182">
        <v>0</v>
      </c>
      <c r="EG154" s="182">
        <v>0</v>
      </c>
      <c r="EH154" s="182">
        <v>0</v>
      </c>
      <c r="EI154" s="182">
        <v>0</v>
      </c>
      <c r="EJ154" s="182">
        <v>0</v>
      </c>
      <c r="EK154" s="182">
        <v>0</v>
      </c>
      <c r="EL154" s="182">
        <v>0</v>
      </c>
      <c r="EM154" s="176">
        <v>0</v>
      </c>
      <c r="EN154" s="177">
        <v>0</v>
      </c>
      <c r="EO154" s="177">
        <f>k.w2TA.w3TA</f>
        <v>2.2773535342539239E-7</v>
      </c>
      <c r="EP154" s="177">
        <v>0</v>
      </c>
      <c r="EQ154" s="323">
        <v>0</v>
      </c>
      <c r="ER154" s="177">
        <f>k.w3TS.w3TA</f>
        <v>3.3087984420170817E-3</v>
      </c>
      <c r="ES154" s="181">
        <f>-k.w3TA-SUM(ES$9:ES153,ES155:ES$163)</f>
        <v>-7.5911784475130796E-9</v>
      </c>
      <c r="ET154" s="302">
        <v>0</v>
      </c>
      <c r="EU154" s="177">
        <v>0</v>
      </c>
      <c r="EV154" s="177">
        <v>0</v>
      </c>
      <c r="EW154" s="177">
        <f>k.sdTA.w3TA</f>
        <v>9.6429477422628121E-9</v>
      </c>
      <c r="EX154" s="177">
        <v>0</v>
      </c>
      <c r="EY154" s="182">
        <v>0</v>
      </c>
      <c r="EZ154" s="182">
        <v>0</v>
      </c>
      <c r="FA154" s="182">
        <v>0</v>
      </c>
      <c r="FB154" s="183">
        <v>0</v>
      </c>
    </row>
    <row r="155" spans="2:158" ht="12.75" customHeight="1" x14ac:dyDescent="0.3">
      <c r="B155" s="199" t="s">
        <v>3965</v>
      </c>
      <c r="C155" s="340"/>
      <c r="D155" s="182">
        <v>0</v>
      </c>
      <c r="E155" s="182">
        <v>0</v>
      </c>
      <c r="F155" s="182">
        <v>0</v>
      </c>
      <c r="G155" s="182">
        <v>0</v>
      </c>
      <c r="H155" s="182">
        <v>0</v>
      </c>
      <c r="I155" s="182">
        <v>0</v>
      </c>
      <c r="J155" s="182">
        <v>0</v>
      </c>
      <c r="K155" s="182">
        <v>0</v>
      </c>
      <c r="L155" s="182">
        <v>0</v>
      </c>
      <c r="M155" s="182">
        <v>0</v>
      </c>
      <c r="N155" s="182">
        <v>0</v>
      </c>
      <c r="O155" s="182">
        <v>0</v>
      </c>
      <c r="P155" s="182">
        <v>0</v>
      </c>
      <c r="Q155" s="182">
        <v>0</v>
      </c>
      <c r="R155" s="182">
        <v>0</v>
      </c>
      <c r="S155" s="182">
        <v>0</v>
      </c>
      <c r="T155" s="182">
        <v>0</v>
      </c>
      <c r="U155" s="182">
        <v>0</v>
      </c>
      <c r="V155" s="182">
        <v>0</v>
      </c>
      <c r="W155" s="182">
        <v>0</v>
      </c>
      <c r="X155" s="182">
        <v>0</v>
      </c>
      <c r="Y155" s="182">
        <v>0</v>
      </c>
      <c r="Z155" s="182">
        <v>0</v>
      </c>
      <c r="AA155" s="182">
        <v>0</v>
      </c>
      <c r="AB155" s="182">
        <v>0</v>
      </c>
      <c r="AC155" s="182">
        <v>0</v>
      </c>
      <c r="AD155" s="182">
        <v>0</v>
      </c>
      <c r="AE155" s="182">
        <v>0</v>
      </c>
      <c r="AF155" s="182">
        <v>0</v>
      </c>
      <c r="AG155" s="182">
        <v>0</v>
      </c>
      <c r="AH155" s="182">
        <v>0</v>
      </c>
      <c r="AI155" s="182">
        <v>0</v>
      </c>
      <c r="AJ155" s="182">
        <v>0</v>
      </c>
      <c r="AK155" s="182">
        <v>0</v>
      </c>
      <c r="AL155" s="182">
        <v>0</v>
      </c>
      <c r="AM155" s="182">
        <v>0</v>
      </c>
      <c r="AN155" s="182">
        <v>0</v>
      </c>
      <c r="AO155" s="182">
        <v>0</v>
      </c>
      <c r="AP155" s="182">
        <v>0</v>
      </c>
      <c r="AQ155" s="182">
        <v>0</v>
      </c>
      <c r="AR155" s="182">
        <v>0</v>
      </c>
      <c r="AS155" s="182">
        <v>0</v>
      </c>
      <c r="AT155" s="182">
        <v>0</v>
      </c>
      <c r="AU155" s="182">
        <v>0</v>
      </c>
      <c r="AV155" s="182">
        <v>0</v>
      </c>
      <c r="AW155" s="182">
        <v>0</v>
      </c>
      <c r="AX155" s="182">
        <v>0</v>
      </c>
      <c r="AY155" s="182">
        <v>0</v>
      </c>
      <c r="AZ155" s="182">
        <v>0</v>
      </c>
      <c r="BA155" s="182">
        <v>0</v>
      </c>
      <c r="BB155" s="168">
        <v>0</v>
      </c>
      <c r="BC155" s="168">
        <v>0</v>
      </c>
      <c r="BD155" s="168">
        <v>0</v>
      </c>
      <c r="BE155" s="168">
        <v>0</v>
      </c>
      <c r="BF155" s="182">
        <v>0</v>
      </c>
      <c r="BG155" s="182">
        <v>0</v>
      </c>
      <c r="BH155" s="182">
        <v>0</v>
      </c>
      <c r="BI155" s="182">
        <v>0</v>
      </c>
      <c r="BJ155" s="182">
        <v>0</v>
      </c>
      <c r="BK155" s="182">
        <v>0</v>
      </c>
      <c r="BL155" s="182">
        <v>0</v>
      </c>
      <c r="BM155" s="182">
        <v>0</v>
      </c>
      <c r="BN155" s="182">
        <v>0</v>
      </c>
      <c r="BO155" s="182">
        <v>0</v>
      </c>
      <c r="BP155" s="182">
        <v>0</v>
      </c>
      <c r="BQ155" s="182">
        <v>0</v>
      </c>
      <c r="BR155" s="182">
        <v>0</v>
      </c>
      <c r="BS155" s="182">
        <v>0</v>
      </c>
      <c r="BT155" s="182">
        <v>0</v>
      </c>
      <c r="BU155" s="182">
        <v>0</v>
      </c>
      <c r="BV155" s="182">
        <v>0</v>
      </c>
      <c r="BW155" s="182">
        <v>0</v>
      </c>
      <c r="BX155" s="182">
        <v>0</v>
      </c>
      <c r="BY155" s="182">
        <v>0</v>
      </c>
      <c r="BZ155" s="182">
        <v>0</v>
      </c>
      <c r="CA155" s="182">
        <v>0</v>
      </c>
      <c r="CB155" s="182">
        <v>0</v>
      </c>
      <c r="CC155" s="182">
        <v>0</v>
      </c>
      <c r="CD155" s="182">
        <v>0</v>
      </c>
      <c r="CE155" s="182">
        <v>0</v>
      </c>
      <c r="CF155" s="182">
        <v>0</v>
      </c>
      <c r="CG155" s="182">
        <v>0</v>
      </c>
      <c r="CH155" s="182">
        <v>0</v>
      </c>
      <c r="CI155" s="182">
        <v>0</v>
      </c>
      <c r="CJ155" s="182">
        <v>0</v>
      </c>
      <c r="CK155" s="182">
        <v>0</v>
      </c>
      <c r="CL155" s="182">
        <v>0</v>
      </c>
      <c r="CM155" s="182">
        <v>0</v>
      </c>
      <c r="CN155" s="182">
        <v>0</v>
      </c>
      <c r="CO155" s="182">
        <v>0</v>
      </c>
      <c r="CP155" s="182">
        <v>0</v>
      </c>
      <c r="CQ155" s="182">
        <v>0</v>
      </c>
      <c r="CR155" s="182">
        <v>0</v>
      </c>
      <c r="CS155" s="182">
        <v>0</v>
      </c>
      <c r="CT155" s="182">
        <v>0</v>
      </c>
      <c r="CU155" s="182">
        <v>0</v>
      </c>
      <c r="CV155" s="182">
        <v>0</v>
      </c>
      <c r="CW155" s="176">
        <v>0</v>
      </c>
      <c r="CX155" s="177">
        <v>0</v>
      </c>
      <c r="CY155" s="177">
        <v>0</v>
      </c>
      <c r="CZ155" s="176">
        <f>k.w3M.w3T</f>
        <v>1.2891385692469807E-9</v>
      </c>
      <c r="DA155" s="182">
        <v>0</v>
      </c>
      <c r="DB155" s="182">
        <v>0</v>
      </c>
      <c r="DC155" s="182">
        <v>0</v>
      </c>
      <c r="DD155" s="182">
        <v>0</v>
      </c>
      <c r="DE155" s="182">
        <v>0</v>
      </c>
      <c r="DF155" s="182">
        <v>0</v>
      </c>
      <c r="DG155" s="182">
        <v>0</v>
      </c>
      <c r="DH155" s="182">
        <v>0</v>
      </c>
      <c r="DI155" s="182">
        <v>0</v>
      </c>
      <c r="DJ155" s="182">
        <v>0</v>
      </c>
      <c r="DK155" s="182">
        <v>0</v>
      </c>
      <c r="DL155" s="182">
        <v>0</v>
      </c>
      <c r="DM155" s="182">
        <v>0</v>
      </c>
      <c r="DN155" s="182">
        <v>0</v>
      </c>
      <c r="DO155" s="182">
        <v>0</v>
      </c>
      <c r="DP155" s="182">
        <v>0</v>
      </c>
      <c r="DQ155" s="182">
        <v>0</v>
      </c>
      <c r="DR155" s="182">
        <v>0</v>
      </c>
      <c r="DS155" s="182">
        <v>0</v>
      </c>
      <c r="DT155" s="182">
        <v>0</v>
      </c>
      <c r="DU155" s="182">
        <v>0</v>
      </c>
      <c r="DV155" s="182">
        <v>0</v>
      </c>
      <c r="DW155" s="182">
        <v>0</v>
      </c>
      <c r="DX155" s="182">
        <v>0</v>
      </c>
      <c r="DY155" s="182">
        <v>0</v>
      </c>
      <c r="DZ155" s="182">
        <v>0</v>
      </c>
      <c r="EA155" s="182">
        <v>0</v>
      </c>
      <c r="EB155" s="182">
        <v>0</v>
      </c>
      <c r="EC155" s="182">
        <v>0</v>
      </c>
      <c r="ED155" s="182">
        <v>0</v>
      </c>
      <c r="EE155" s="182">
        <v>0</v>
      </c>
      <c r="EF155" s="182">
        <v>0</v>
      </c>
      <c r="EG155" s="182">
        <v>0</v>
      </c>
      <c r="EH155" s="182">
        <v>0</v>
      </c>
      <c r="EI155" s="182">
        <v>0</v>
      </c>
      <c r="EJ155" s="182">
        <v>0</v>
      </c>
      <c r="EK155" s="182">
        <v>0</v>
      </c>
      <c r="EL155" s="182">
        <v>0</v>
      </c>
      <c r="EM155" s="176">
        <v>0</v>
      </c>
      <c r="EN155" s="177">
        <v>0</v>
      </c>
      <c r="EO155" s="177">
        <v>0</v>
      </c>
      <c r="EP155" s="177">
        <f>k.w2TP.w3TP</f>
        <v>5.2134864455162475E-7</v>
      </c>
      <c r="EQ155" s="303">
        <v>0</v>
      </c>
      <c r="ER155" s="304">
        <f>k.w3TS.w3TP</f>
        <v>3.5852536448689996E-5</v>
      </c>
      <c r="ES155" s="304">
        <v>0</v>
      </c>
      <c r="ET155" s="181">
        <f>-k.w3TP-SUM(ET$9:ET154,ET156:ET$163)</f>
        <v>-1.7378288151720824E-8</v>
      </c>
      <c r="EU155" s="177">
        <v>0</v>
      </c>
      <c r="EV155" s="177">
        <v>0</v>
      </c>
      <c r="EW155" s="177">
        <v>0</v>
      </c>
      <c r="EX155" s="177">
        <f>k.sdTP.w3TP</f>
        <v>9.6429477422628121E-9</v>
      </c>
      <c r="EY155" s="182">
        <v>0</v>
      </c>
      <c r="EZ155" s="182">
        <v>0</v>
      </c>
      <c r="FA155" s="182">
        <v>0</v>
      </c>
      <c r="FB155" s="183">
        <v>0</v>
      </c>
    </row>
    <row r="156" spans="2:158" ht="12.75" customHeight="1" x14ac:dyDescent="0.3">
      <c r="B156" s="199" t="s">
        <v>3966</v>
      </c>
      <c r="C156" s="340"/>
      <c r="D156" s="182">
        <v>0</v>
      </c>
      <c r="E156" s="182">
        <v>0</v>
      </c>
      <c r="F156" s="182">
        <v>0</v>
      </c>
      <c r="G156" s="182">
        <v>0</v>
      </c>
      <c r="H156" s="182">
        <v>0</v>
      </c>
      <c r="I156" s="182">
        <v>0</v>
      </c>
      <c r="J156" s="182">
        <v>0</v>
      </c>
      <c r="K156" s="182">
        <v>0</v>
      </c>
      <c r="L156" s="182">
        <v>0</v>
      </c>
      <c r="M156" s="182">
        <v>0</v>
      </c>
      <c r="N156" s="182">
        <v>0</v>
      </c>
      <c r="O156" s="182">
        <v>0</v>
      </c>
      <c r="P156" s="182">
        <v>0</v>
      </c>
      <c r="Q156" s="182">
        <v>0</v>
      </c>
      <c r="R156" s="182">
        <v>0</v>
      </c>
      <c r="S156" s="182">
        <v>0</v>
      </c>
      <c r="T156" s="182">
        <v>0</v>
      </c>
      <c r="U156" s="182">
        <v>0</v>
      </c>
      <c r="V156" s="182">
        <v>0</v>
      </c>
      <c r="W156" s="182">
        <v>0</v>
      </c>
      <c r="X156" s="182">
        <v>0</v>
      </c>
      <c r="Y156" s="182">
        <v>0</v>
      </c>
      <c r="Z156" s="182">
        <v>0</v>
      </c>
      <c r="AA156" s="182">
        <v>0</v>
      </c>
      <c r="AB156" s="182">
        <v>0</v>
      </c>
      <c r="AC156" s="182">
        <v>0</v>
      </c>
      <c r="AD156" s="182">
        <v>0</v>
      </c>
      <c r="AE156" s="182">
        <v>0</v>
      </c>
      <c r="AF156" s="182">
        <v>0</v>
      </c>
      <c r="AG156" s="182">
        <v>0</v>
      </c>
      <c r="AH156" s="182">
        <v>0</v>
      </c>
      <c r="AI156" s="182">
        <v>0</v>
      </c>
      <c r="AJ156" s="182">
        <v>0</v>
      </c>
      <c r="AK156" s="182">
        <v>0</v>
      </c>
      <c r="AL156" s="182">
        <v>0</v>
      </c>
      <c r="AM156" s="182">
        <v>0</v>
      </c>
      <c r="AN156" s="182">
        <v>0</v>
      </c>
      <c r="AO156" s="182">
        <v>0</v>
      </c>
      <c r="AP156" s="182">
        <v>0</v>
      </c>
      <c r="AQ156" s="182">
        <v>0</v>
      </c>
      <c r="AR156" s="182">
        <v>0</v>
      </c>
      <c r="AS156" s="182">
        <v>0</v>
      </c>
      <c r="AT156" s="182">
        <v>0</v>
      </c>
      <c r="AU156" s="182">
        <v>0</v>
      </c>
      <c r="AV156" s="182">
        <v>0</v>
      </c>
      <c r="AW156" s="182">
        <v>0</v>
      </c>
      <c r="AX156" s="182">
        <v>0</v>
      </c>
      <c r="AY156" s="182">
        <v>0</v>
      </c>
      <c r="AZ156" s="182">
        <v>0</v>
      </c>
      <c r="BA156" s="182">
        <v>0</v>
      </c>
      <c r="BB156" s="168">
        <v>0</v>
      </c>
      <c r="BC156" s="168">
        <v>0</v>
      </c>
      <c r="BD156" s="168">
        <v>0</v>
      </c>
      <c r="BE156" s="168">
        <v>0</v>
      </c>
      <c r="BF156" s="182">
        <v>0</v>
      </c>
      <c r="BG156" s="182">
        <v>0</v>
      </c>
      <c r="BH156" s="182">
        <v>0</v>
      </c>
      <c r="BI156" s="182">
        <v>0</v>
      </c>
      <c r="BJ156" s="182">
        <v>0</v>
      </c>
      <c r="BK156" s="182">
        <v>0</v>
      </c>
      <c r="BL156" s="182">
        <v>0</v>
      </c>
      <c r="BM156" s="182">
        <v>0</v>
      </c>
      <c r="BN156" s="182">
        <v>0</v>
      </c>
      <c r="BO156" s="182">
        <v>0</v>
      </c>
      <c r="BP156" s="182">
        <v>0</v>
      </c>
      <c r="BQ156" s="182">
        <v>0</v>
      </c>
      <c r="BR156" s="182">
        <v>0</v>
      </c>
      <c r="BS156" s="182">
        <v>0</v>
      </c>
      <c r="BT156" s="182">
        <v>0</v>
      </c>
      <c r="BU156" s="182">
        <v>0</v>
      </c>
      <c r="BV156" s="182">
        <v>0</v>
      </c>
      <c r="BW156" s="182">
        <v>0</v>
      </c>
      <c r="BX156" s="182">
        <v>0</v>
      </c>
      <c r="BY156" s="182">
        <v>0</v>
      </c>
      <c r="BZ156" s="182">
        <v>0</v>
      </c>
      <c r="CA156" s="182">
        <v>0</v>
      </c>
      <c r="CB156" s="182">
        <v>0</v>
      </c>
      <c r="CC156" s="182">
        <v>0</v>
      </c>
      <c r="CD156" s="182">
        <v>0</v>
      </c>
      <c r="CE156" s="182">
        <v>0</v>
      </c>
      <c r="CF156" s="182">
        <v>0</v>
      </c>
      <c r="CG156" s="182">
        <v>0</v>
      </c>
      <c r="CH156" s="182">
        <v>0</v>
      </c>
      <c r="CI156" s="182">
        <v>0</v>
      </c>
      <c r="CJ156" s="182">
        <v>0</v>
      </c>
      <c r="CK156" s="182">
        <v>0</v>
      </c>
      <c r="CL156" s="182">
        <v>0</v>
      </c>
      <c r="CM156" s="182">
        <v>0</v>
      </c>
      <c r="CN156" s="182">
        <v>0</v>
      </c>
      <c r="CO156" s="182">
        <v>0</v>
      </c>
      <c r="CP156" s="182">
        <v>0</v>
      </c>
      <c r="CQ156" s="182">
        <v>0</v>
      </c>
      <c r="CR156" s="182">
        <v>0</v>
      </c>
      <c r="CS156" s="182">
        <v>0</v>
      </c>
      <c r="CT156" s="182">
        <v>0</v>
      </c>
      <c r="CU156" s="182">
        <v>0</v>
      </c>
      <c r="CV156" s="182">
        <v>0</v>
      </c>
      <c r="CW156" s="182">
        <v>0</v>
      </c>
      <c r="CX156" s="182">
        <v>0</v>
      </c>
      <c r="CY156" s="182">
        <v>0</v>
      </c>
      <c r="CZ156" s="182">
        <v>0</v>
      </c>
      <c r="DA156" s="182">
        <v>0</v>
      </c>
      <c r="DB156" s="182">
        <v>0</v>
      </c>
      <c r="DC156" s="182">
        <v>0</v>
      </c>
      <c r="DD156" s="182">
        <v>0</v>
      </c>
      <c r="DE156" s="182">
        <v>0</v>
      </c>
      <c r="DF156" s="182">
        <v>0</v>
      </c>
      <c r="DG156" s="182">
        <v>0</v>
      </c>
      <c r="DH156" s="182">
        <v>0</v>
      </c>
      <c r="DI156" s="182">
        <v>0</v>
      </c>
      <c r="DJ156" s="182">
        <v>0</v>
      </c>
      <c r="DK156" s="182">
        <v>0</v>
      </c>
      <c r="DL156" s="182">
        <v>0</v>
      </c>
      <c r="DM156" s="182">
        <v>0</v>
      </c>
      <c r="DN156" s="182">
        <v>0</v>
      </c>
      <c r="DO156" s="182">
        <v>0</v>
      </c>
      <c r="DP156" s="182">
        <v>0</v>
      </c>
      <c r="DQ156" s="182">
        <v>0</v>
      </c>
      <c r="DR156" s="182">
        <v>0</v>
      </c>
      <c r="DS156" s="182">
        <v>0</v>
      </c>
      <c r="DT156" s="182">
        <v>0</v>
      </c>
      <c r="DU156" s="182">
        <v>0</v>
      </c>
      <c r="DV156" s="182">
        <v>0</v>
      </c>
      <c r="DW156" s="182">
        <v>0</v>
      </c>
      <c r="DX156" s="182">
        <v>0</v>
      </c>
      <c r="DY156" s="182">
        <v>0</v>
      </c>
      <c r="DZ156" s="182">
        <v>0</v>
      </c>
      <c r="EA156" s="182">
        <v>0</v>
      </c>
      <c r="EB156" s="182">
        <v>0</v>
      </c>
      <c r="EC156" s="182">
        <v>0</v>
      </c>
      <c r="ED156" s="182">
        <v>0</v>
      </c>
      <c r="EE156" s="182">
        <v>0</v>
      </c>
      <c r="EF156" s="182">
        <v>0</v>
      </c>
      <c r="EG156" s="182">
        <v>0</v>
      </c>
      <c r="EH156" s="182">
        <v>0</v>
      </c>
      <c r="EI156" s="182">
        <v>0</v>
      </c>
      <c r="EJ156" s="182">
        <v>0</v>
      </c>
      <c r="EK156" s="182">
        <v>0</v>
      </c>
      <c r="EL156" s="182">
        <v>0</v>
      </c>
      <c r="EM156" s="29">
        <v>0</v>
      </c>
      <c r="EN156" s="29">
        <v>0</v>
      </c>
      <c r="EO156" s="29">
        <v>0</v>
      </c>
      <c r="EP156" s="29">
        <v>0</v>
      </c>
      <c r="EQ156" s="182">
        <f>k.w3T.sdT</f>
        <v>1.4992283931314811E-11</v>
      </c>
      <c r="ER156" s="182">
        <v>0</v>
      </c>
      <c r="ES156" s="177">
        <v>0</v>
      </c>
      <c r="ET156" s="177">
        <v>0</v>
      </c>
      <c r="EU156" s="310">
        <f>-k.sdT-SUM(EU9:EU155,EU157:EU163)</f>
        <v>-7.919868891228413E-8</v>
      </c>
      <c r="EV156" s="321">
        <f>kdis.sd2S.sd2D</f>
        <v>0</v>
      </c>
      <c r="EW156" s="321">
        <f>kdis.sd2A.sd2D</f>
        <v>0</v>
      </c>
      <c r="EX156" s="321">
        <f>kdis.sd2P.sd2D</f>
        <v>0</v>
      </c>
      <c r="EY156" s="182">
        <v>0</v>
      </c>
      <c r="EZ156" s="182">
        <v>0</v>
      </c>
      <c r="FA156" s="182">
        <v>0</v>
      </c>
      <c r="FB156" s="183">
        <v>0</v>
      </c>
    </row>
    <row r="157" spans="2:158" ht="12.75" customHeight="1" x14ac:dyDescent="0.3">
      <c r="B157" s="199" t="s">
        <v>3967</v>
      </c>
      <c r="C157" s="340"/>
      <c r="D157" s="182">
        <v>0</v>
      </c>
      <c r="E157" s="182">
        <v>0</v>
      </c>
      <c r="F157" s="182">
        <v>0</v>
      </c>
      <c r="G157" s="182">
        <v>0</v>
      </c>
      <c r="H157" s="182">
        <v>0</v>
      </c>
      <c r="I157" s="182">
        <v>0</v>
      </c>
      <c r="J157" s="182">
        <v>0</v>
      </c>
      <c r="K157" s="182">
        <v>0</v>
      </c>
      <c r="L157" s="182">
        <v>0</v>
      </c>
      <c r="M157" s="182">
        <v>0</v>
      </c>
      <c r="N157" s="182">
        <v>0</v>
      </c>
      <c r="O157" s="182">
        <v>0</v>
      </c>
      <c r="P157" s="182">
        <v>0</v>
      </c>
      <c r="Q157" s="182">
        <v>0</v>
      </c>
      <c r="R157" s="182">
        <v>0</v>
      </c>
      <c r="S157" s="182">
        <v>0</v>
      </c>
      <c r="T157" s="182">
        <v>0</v>
      </c>
      <c r="U157" s="182">
        <v>0</v>
      </c>
      <c r="V157" s="182">
        <v>0</v>
      </c>
      <c r="W157" s="182">
        <v>0</v>
      </c>
      <c r="X157" s="182">
        <v>0</v>
      </c>
      <c r="Y157" s="182">
        <v>0</v>
      </c>
      <c r="Z157" s="182">
        <v>0</v>
      </c>
      <c r="AA157" s="182">
        <v>0</v>
      </c>
      <c r="AB157" s="182">
        <v>0</v>
      </c>
      <c r="AC157" s="182">
        <v>0</v>
      </c>
      <c r="AD157" s="182">
        <v>0</v>
      </c>
      <c r="AE157" s="182">
        <v>0</v>
      </c>
      <c r="AF157" s="182">
        <v>0</v>
      </c>
      <c r="AG157" s="182">
        <v>0</v>
      </c>
      <c r="AH157" s="182">
        <v>0</v>
      </c>
      <c r="AI157" s="182">
        <v>0</v>
      </c>
      <c r="AJ157" s="182">
        <v>0</v>
      </c>
      <c r="AK157" s="182">
        <v>0</v>
      </c>
      <c r="AL157" s="182">
        <v>0</v>
      </c>
      <c r="AM157" s="182">
        <v>0</v>
      </c>
      <c r="AN157" s="182">
        <v>0</v>
      </c>
      <c r="AO157" s="182">
        <v>0</v>
      </c>
      <c r="AP157" s="182">
        <v>0</v>
      </c>
      <c r="AQ157" s="182">
        <v>0</v>
      </c>
      <c r="AR157" s="182">
        <v>0</v>
      </c>
      <c r="AS157" s="182">
        <v>0</v>
      </c>
      <c r="AT157" s="182">
        <v>0</v>
      </c>
      <c r="AU157" s="182">
        <v>0</v>
      </c>
      <c r="AV157" s="182">
        <v>0</v>
      </c>
      <c r="AW157" s="182">
        <v>0</v>
      </c>
      <c r="AX157" s="182">
        <v>0</v>
      </c>
      <c r="AY157" s="182">
        <v>0</v>
      </c>
      <c r="AZ157" s="182">
        <v>0</v>
      </c>
      <c r="BA157" s="182">
        <v>0</v>
      </c>
      <c r="BB157" s="168">
        <v>0</v>
      </c>
      <c r="BC157" s="168">
        <v>0</v>
      </c>
      <c r="BD157" s="168">
        <v>0</v>
      </c>
      <c r="BE157" s="168">
        <v>0</v>
      </c>
      <c r="BF157" s="182">
        <v>0</v>
      </c>
      <c r="BG157" s="182">
        <v>0</v>
      </c>
      <c r="BH157" s="182">
        <v>0</v>
      </c>
      <c r="BI157" s="182">
        <v>0</v>
      </c>
      <c r="BJ157" s="182">
        <v>0</v>
      </c>
      <c r="BK157" s="182">
        <v>0</v>
      </c>
      <c r="BL157" s="182">
        <v>0</v>
      </c>
      <c r="BM157" s="182">
        <v>0</v>
      </c>
      <c r="BN157" s="182">
        <v>0</v>
      </c>
      <c r="BO157" s="182">
        <v>0</v>
      </c>
      <c r="BP157" s="182">
        <v>0</v>
      </c>
      <c r="BQ157" s="182">
        <v>0</v>
      </c>
      <c r="BR157" s="182">
        <v>0</v>
      </c>
      <c r="BS157" s="182">
        <v>0</v>
      </c>
      <c r="BT157" s="182">
        <v>0</v>
      </c>
      <c r="BU157" s="182">
        <v>0</v>
      </c>
      <c r="BV157" s="182">
        <v>0</v>
      </c>
      <c r="BW157" s="182">
        <v>0</v>
      </c>
      <c r="BX157" s="182">
        <v>0</v>
      </c>
      <c r="BY157" s="182">
        <v>0</v>
      </c>
      <c r="BZ157" s="182">
        <v>0</v>
      </c>
      <c r="CA157" s="182">
        <v>0</v>
      </c>
      <c r="CB157" s="182">
        <v>0</v>
      </c>
      <c r="CC157" s="182">
        <v>0</v>
      </c>
      <c r="CD157" s="182">
        <v>0</v>
      </c>
      <c r="CE157" s="182">
        <v>0</v>
      </c>
      <c r="CF157" s="182">
        <v>0</v>
      </c>
      <c r="CG157" s="182">
        <v>0</v>
      </c>
      <c r="CH157" s="182">
        <v>0</v>
      </c>
      <c r="CI157" s="182">
        <v>0</v>
      </c>
      <c r="CJ157" s="182">
        <v>0</v>
      </c>
      <c r="CK157" s="182">
        <v>0</v>
      </c>
      <c r="CL157" s="182">
        <v>0</v>
      </c>
      <c r="CM157" s="182">
        <v>0</v>
      </c>
      <c r="CN157" s="182">
        <v>0</v>
      </c>
      <c r="CO157" s="182">
        <v>0</v>
      </c>
      <c r="CP157" s="182">
        <v>0</v>
      </c>
      <c r="CQ157" s="182">
        <v>0</v>
      </c>
      <c r="CR157" s="182">
        <v>0</v>
      </c>
      <c r="CS157" s="182">
        <v>0</v>
      </c>
      <c r="CT157" s="182">
        <v>0</v>
      </c>
      <c r="CU157" s="182">
        <v>0</v>
      </c>
      <c r="CV157" s="182">
        <v>0</v>
      </c>
      <c r="CW157" s="182">
        <v>0</v>
      </c>
      <c r="CX157" s="182">
        <v>0</v>
      </c>
      <c r="CY157" s="182">
        <v>0</v>
      </c>
      <c r="CZ157" s="182">
        <v>0</v>
      </c>
      <c r="DA157" s="182">
        <v>0</v>
      </c>
      <c r="DB157" s="182">
        <v>0</v>
      </c>
      <c r="DC157" s="182">
        <v>0</v>
      </c>
      <c r="DD157" s="182">
        <v>0</v>
      </c>
      <c r="DE157" s="182">
        <v>0</v>
      </c>
      <c r="DF157" s="182">
        <v>0</v>
      </c>
      <c r="DG157" s="182">
        <v>0</v>
      </c>
      <c r="DH157" s="182">
        <v>0</v>
      </c>
      <c r="DI157" s="182">
        <v>0</v>
      </c>
      <c r="DJ157" s="182">
        <v>0</v>
      </c>
      <c r="DK157" s="182">
        <v>0</v>
      </c>
      <c r="DL157" s="182">
        <v>0</v>
      </c>
      <c r="DM157" s="182">
        <v>0</v>
      </c>
      <c r="DN157" s="182">
        <v>0</v>
      </c>
      <c r="DO157" s="182">
        <v>0</v>
      </c>
      <c r="DP157" s="182">
        <v>0</v>
      </c>
      <c r="DQ157" s="182">
        <v>0</v>
      </c>
      <c r="DR157" s="182">
        <v>0</v>
      </c>
      <c r="DS157" s="182">
        <v>0</v>
      </c>
      <c r="DT157" s="182">
        <v>0</v>
      </c>
      <c r="DU157" s="182">
        <v>0</v>
      </c>
      <c r="DV157" s="182">
        <v>0</v>
      </c>
      <c r="DW157" s="182">
        <v>0</v>
      </c>
      <c r="DX157" s="182">
        <v>0</v>
      </c>
      <c r="DY157" s="182">
        <v>0</v>
      </c>
      <c r="DZ157" s="182">
        <v>0</v>
      </c>
      <c r="EA157" s="182">
        <v>0</v>
      </c>
      <c r="EB157" s="182">
        <v>0</v>
      </c>
      <c r="EC157" s="182">
        <v>0</v>
      </c>
      <c r="ED157" s="182">
        <v>0</v>
      </c>
      <c r="EE157" s="182">
        <v>0</v>
      </c>
      <c r="EF157" s="182">
        <v>0</v>
      </c>
      <c r="EG157" s="182">
        <v>0</v>
      </c>
      <c r="EH157" s="182">
        <v>0</v>
      </c>
      <c r="EI157" s="182">
        <v>0</v>
      </c>
      <c r="EJ157" s="182">
        <v>0</v>
      </c>
      <c r="EK157" s="182">
        <v>0</v>
      </c>
      <c r="EL157" s="182">
        <v>0</v>
      </c>
      <c r="EM157" s="29">
        <v>0</v>
      </c>
      <c r="EN157" s="29">
        <v>0</v>
      </c>
      <c r="EO157" s="29">
        <v>0</v>
      </c>
      <c r="EP157" s="29">
        <v>0</v>
      </c>
      <c r="EQ157" s="182">
        <v>0</v>
      </c>
      <c r="ER157" s="177">
        <f>k.w3TS.sdTS</f>
        <v>2.3438988689288094E-13</v>
      </c>
      <c r="ES157" s="177">
        <v>0</v>
      </c>
      <c r="ET157" s="177">
        <v>0</v>
      </c>
      <c r="EU157" s="323">
        <v>0</v>
      </c>
      <c r="EV157" s="181">
        <f>-k.sdTS-SUM(EV$9:EV156,EV158:EV$163)</f>
        <v>-1.4915126598096885E-2</v>
      </c>
      <c r="EW157" s="177">
        <v>0</v>
      </c>
      <c r="EX157" s="302">
        <v>0</v>
      </c>
      <c r="EY157" s="182">
        <v>0</v>
      </c>
      <c r="EZ157" s="182">
        <v>0</v>
      </c>
      <c r="FA157" s="182">
        <v>0</v>
      </c>
      <c r="FB157" s="183">
        <v>0</v>
      </c>
    </row>
    <row r="158" spans="2:158" ht="12.75" customHeight="1" x14ac:dyDescent="0.3">
      <c r="B158" s="199" t="s">
        <v>3968</v>
      </c>
      <c r="C158" s="340"/>
      <c r="D158" s="182">
        <v>0</v>
      </c>
      <c r="E158" s="182">
        <v>0</v>
      </c>
      <c r="F158" s="182">
        <v>0</v>
      </c>
      <c r="G158" s="182">
        <v>0</v>
      </c>
      <c r="H158" s="182">
        <v>0</v>
      </c>
      <c r="I158" s="182">
        <v>0</v>
      </c>
      <c r="J158" s="182">
        <v>0</v>
      </c>
      <c r="K158" s="182">
        <v>0</v>
      </c>
      <c r="L158" s="182">
        <v>0</v>
      </c>
      <c r="M158" s="182">
        <v>0</v>
      </c>
      <c r="N158" s="182">
        <v>0</v>
      </c>
      <c r="O158" s="182">
        <v>0</v>
      </c>
      <c r="P158" s="182">
        <v>0</v>
      </c>
      <c r="Q158" s="182">
        <v>0</v>
      </c>
      <c r="R158" s="182">
        <v>0</v>
      </c>
      <c r="S158" s="182">
        <v>0</v>
      </c>
      <c r="T158" s="182">
        <v>0</v>
      </c>
      <c r="U158" s="182">
        <v>0</v>
      </c>
      <c r="V158" s="182">
        <v>0</v>
      </c>
      <c r="W158" s="182">
        <v>0</v>
      </c>
      <c r="X158" s="182">
        <v>0</v>
      </c>
      <c r="Y158" s="182">
        <v>0</v>
      </c>
      <c r="Z158" s="182">
        <v>0</v>
      </c>
      <c r="AA158" s="182">
        <v>0</v>
      </c>
      <c r="AB158" s="182">
        <v>0</v>
      </c>
      <c r="AC158" s="182">
        <v>0</v>
      </c>
      <c r="AD158" s="182">
        <v>0</v>
      </c>
      <c r="AE158" s="182">
        <v>0</v>
      </c>
      <c r="AF158" s="182">
        <v>0</v>
      </c>
      <c r="AG158" s="182">
        <v>0</v>
      </c>
      <c r="AH158" s="182">
        <v>0</v>
      </c>
      <c r="AI158" s="182">
        <v>0</v>
      </c>
      <c r="AJ158" s="182">
        <v>0</v>
      </c>
      <c r="AK158" s="182">
        <v>0</v>
      </c>
      <c r="AL158" s="182">
        <v>0</v>
      </c>
      <c r="AM158" s="182">
        <v>0</v>
      </c>
      <c r="AN158" s="182">
        <v>0</v>
      </c>
      <c r="AO158" s="182">
        <v>0</v>
      </c>
      <c r="AP158" s="182">
        <v>0</v>
      </c>
      <c r="AQ158" s="182">
        <v>0</v>
      </c>
      <c r="AR158" s="182">
        <v>0</v>
      </c>
      <c r="AS158" s="182">
        <v>0</v>
      </c>
      <c r="AT158" s="182">
        <v>0</v>
      </c>
      <c r="AU158" s="182">
        <v>0</v>
      </c>
      <c r="AV158" s="182">
        <v>0</v>
      </c>
      <c r="AW158" s="182">
        <v>0</v>
      </c>
      <c r="AX158" s="182">
        <v>0</v>
      </c>
      <c r="AY158" s="182">
        <v>0</v>
      </c>
      <c r="AZ158" s="182">
        <v>0</v>
      </c>
      <c r="BA158" s="182">
        <v>0</v>
      </c>
      <c r="BB158" s="168">
        <v>0</v>
      </c>
      <c r="BC158" s="168">
        <v>0</v>
      </c>
      <c r="BD158" s="168">
        <v>0</v>
      </c>
      <c r="BE158" s="168">
        <v>0</v>
      </c>
      <c r="BF158" s="182">
        <v>0</v>
      </c>
      <c r="BG158" s="182">
        <v>0</v>
      </c>
      <c r="BH158" s="182">
        <v>0</v>
      </c>
      <c r="BI158" s="182">
        <v>0</v>
      </c>
      <c r="BJ158" s="182">
        <v>0</v>
      </c>
      <c r="BK158" s="182">
        <v>0</v>
      </c>
      <c r="BL158" s="182">
        <v>0</v>
      </c>
      <c r="BM158" s="182">
        <v>0</v>
      </c>
      <c r="BN158" s="182">
        <v>0</v>
      </c>
      <c r="BO158" s="182">
        <v>0</v>
      </c>
      <c r="BP158" s="182">
        <v>0</v>
      </c>
      <c r="BQ158" s="182">
        <v>0</v>
      </c>
      <c r="BR158" s="182">
        <v>0</v>
      </c>
      <c r="BS158" s="182">
        <v>0</v>
      </c>
      <c r="BT158" s="182">
        <v>0</v>
      </c>
      <c r="BU158" s="182">
        <v>0</v>
      </c>
      <c r="BV158" s="182">
        <v>0</v>
      </c>
      <c r="BW158" s="182">
        <v>0</v>
      </c>
      <c r="BX158" s="182">
        <v>0</v>
      </c>
      <c r="BY158" s="182">
        <v>0</v>
      </c>
      <c r="BZ158" s="182">
        <v>0</v>
      </c>
      <c r="CA158" s="182">
        <v>0</v>
      </c>
      <c r="CB158" s="182">
        <v>0</v>
      </c>
      <c r="CC158" s="182">
        <v>0</v>
      </c>
      <c r="CD158" s="182">
        <v>0</v>
      </c>
      <c r="CE158" s="182">
        <v>0</v>
      </c>
      <c r="CF158" s="182">
        <v>0</v>
      </c>
      <c r="CG158" s="182">
        <v>0</v>
      </c>
      <c r="CH158" s="182">
        <v>0</v>
      </c>
      <c r="CI158" s="182">
        <v>0</v>
      </c>
      <c r="CJ158" s="182">
        <v>0</v>
      </c>
      <c r="CK158" s="182">
        <v>0</v>
      </c>
      <c r="CL158" s="182">
        <v>0</v>
      </c>
      <c r="CM158" s="182">
        <v>0</v>
      </c>
      <c r="CN158" s="182">
        <v>0</v>
      </c>
      <c r="CO158" s="182">
        <v>0</v>
      </c>
      <c r="CP158" s="182">
        <v>0</v>
      </c>
      <c r="CQ158" s="182">
        <v>0</v>
      </c>
      <c r="CR158" s="182">
        <v>0</v>
      </c>
      <c r="CS158" s="182">
        <v>0</v>
      </c>
      <c r="CT158" s="182">
        <v>0</v>
      </c>
      <c r="CU158" s="182">
        <v>0</v>
      </c>
      <c r="CV158" s="182">
        <v>0</v>
      </c>
      <c r="CW158" s="182">
        <v>0</v>
      </c>
      <c r="CX158" s="182">
        <v>0</v>
      </c>
      <c r="CY158" s="182">
        <v>0</v>
      </c>
      <c r="CZ158" s="182">
        <v>0</v>
      </c>
      <c r="DA158" s="182">
        <v>0</v>
      </c>
      <c r="DB158" s="182">
        <v>0</v>
      </c>
      <c r="DC158" s="182">
        <v>0</v>
      </c>
      <c r="DD158" s="182">
        <v>0</v>
      </c>
      <c r="DE158" s="182">
        <v>0</v>
      </c>
      <c r="DF158" s="182">
        <v>0</v>
      </c>
      <c r="DG158" s="182">
        <v>0</v>
      </c>
      <c r="DH158" s="182">
        <v>0</v>
      </c>
      <c r="DI158" s="182">
        <v>0</v>
      </c>
      <c r="DJ158" s="182">
        <v>0</v>
      </c>
      <c r="DK158" s="182">
        <v>0</v>
      </c>
      <c r="DL158" s="182">
        <v>0</v>
      </c>
      <c r="DM158" s="182">
        <v>0</v>
      </c>
      <c r="DN158" s="182">
        <v>0</v>
      </c>
      <c r="DO158" s="182">
        <v>0</v>
      </c>
      <c r="DP158" s="182">
        <v>0</v>
      </c>
      <c r="DQ158" s="182">
        <v>0</v>
      </c>
      <c r="DR158" s="182">
        <v>0</v>
      </c>
      <c r="DS158" s="182">
        <v>0</v>
      </c>
      <c r="DT158" s="182">
        <v>0</v>
      </c>
      <c r="DU158" s="182">
        <v>0</v>
      </c>
      <c r="DV158" s="182">
        <v>0</v>
      </c>
      <c r="DW158" s="182">
        <v>0</v>
      </c>
      <c r="DX158" s="182">
        <v>0</v>
      </c>
      <c r="DY158" s="182">
        <v>0</v>
      </c>
      <c r="DZ158" s="182">
        <v>0</v>
      </c>
      <c r="EA158" s="182">
        <v>0</v>
      </c>
      <c r="EB158" s="182">
        <v>0</v>
      </c>
      <c r="EC158" s="182">
        <v>0</v>
      </c>
      <c r="ED158" s="182">
        <v>0</v>
      </c>
      <c r="EE158" s="182">
        <v>0</v>
      </c>
      <c r="EF158" s="182">
        <v>0</v>
      </c>
      <c r="EG158" s="182">
        <v>0</v>
      </c>
      <c r="EH158" s="182">
        <v>0</v>
      </c>
      <c r="EI158" s="182">
        <v>0</v>
      </c>
      <c r="EJ158" s="182">
        <v>0</v>
      </c>
      <c r="EK158" s="182">
        <v>0</v>
      </c>
      <c r="EL158" s="182">
        <v>0</v>
      </c>
      <c r="EM158" s="29">
        <v>0</v>
      </c>
      <c r="EN158" s="29">
        <v>0</v>
      </c>
      <c r="EO158" s="29">
        <v>0</v>
      </c>
      <c r="EP158" s="29">
        <v>0</v>
      </c>
      <c r="EQ158" s="182">
        <v>0</v>
      </c>
      <c r="ER158" s="177">
        <v>0</v>
      </c>
      <c r="ES158" s="177">
        <f>k.w3TA.sdTA</f>
        <v>1.6364009953543896E-11</v>
      </c>
      <c r="ET158" s="177">
        <v>0</v>
      </c>
      <c r="EU158" s="323">
        <v>0</v>
      </c>
      <c r="EV158" s="177">
        <f>k.sdTS.sdTA</f>
        <v>3.304935338924315E-3</v>
      </c>
      <c r="EW158" s="181">
        <f>-k.sdTA-SUM(EW$9:EW157,EW159:EW$163)</f>
        <v>-9.6442161339421632E-9</v>
      </c>
      <c r="EX158" s="302">
        <v>0</v>
      </c>
      <c r="EY158" s="177">
        <v>0</v>
      </c>
      <c r="EZ158" s="182">
        <v>0</v>
      </c>
      <c r="FA158" s="182">
        <v>0</v>
      </c>
      <c r="FB158" s="183">
        <v>0</v>
      </c>
    </row>
    <row r="159" spans="2:158" ht="12.75" customHeight="1" x14ac:dyDescent="0.3">
      <c r="B159" s="199" t="s">
        <v>3969</v>
      </c>
      <c r="C159" s="340"/>
      <c r="D159" s="182">
        <v>0</v>
      </c>
      <c r="E159" s="182">
        <v>0</v>
      </c>
      <c r="F159" s="182">
        <v>0</v>
      </c>
      <c r="G159" s="182">
        <v>0</v>
      </c>
      <c r="H159" s="182">
        <v>0</v>
      </c>
      <c r="I159" s="182">
        <v>0</v>
      </c>
      <c r="J159" s="182">
        <v>0</v>
      </c>
      <c r="K159" s="182">
        <v>0</v>
      </c>
      <c r="L159" s="182">
        <v>0</v>
      </c>
      <c r="M159" s="182">
        <v>0</v>
      </c>
      <c r="N159" s="182">
        <v>0</v>
      </c>
      <c r="O159" s="182">
        <v>0</v>
      </c>
      <c r="P159" s="182">
        <v>0</v>
      </c>
      <c r="Q159" s="182">
        <v>0</v>
      </c>
      <c r="R159" s="182">
        <v>0</v>
      </c>
      <c r="S159" s="182">
        <v>0</v>
      </c>
      <c r="T159" s="182">
        <v>0</v>
      </c>
      <c r="U159" s="182">
        <v>0</v>
      </c>
      <c r="V159" s="182">
        <v>0</v>
      </c>
      <c r="W159" s="182">
        <v>0</v>
      </c>
      <c r="X159" s="182">
        <v>0</v>
      </c>
      <c r="Y159" s="182">
        <v>0</v>
      </c>
      <c r="Z159" s="182">
        <v>0</v>
      </c>
      <c r="AA159" s="182">
        <v>0</v>
      </c>
      <c r="AB159" s="182">
        <v>0</v>
      </c>
      <c r="AC159" s="182">
        <v>0</v>
      </c>
      <c r="AD159" s="182">
        <v>0</v>
      </c>
      <c r="AE159" s="182">
        <v>0</v>
      </c>
      <c r="AF159" s="182">
        <v>0</v>
      </c>
      <c r="AG159" s="182">
        <v>0</v>
      </c>
      <c r="AH159" s="182">
        <v>0</v>
      </c>
      <c r="AI159" s="182">
        <v>0</v>
      </c>
      <c r="AJ159" s="182">
        <v>0</v>
      </c>
      <c r="AK159" s="182">
        <v>0</v>
      </c>
      <c r="AL159" s="182">
        <v>0</v>
      </c>
      <c r="AM159" s="182">
        <v>0</v>
      </c>
      <c r="AN159" s="182">
        <v>0</v>
      </c>
      <c r="AO159" s="182">
        <v>0</v>
      </c>
      <c r="AP159" s="182">
        <v>0</v>
      </c>
      <c r="AQ159" s="182">
        <v>0</v>
      </c>
      <c r="AR159" s="182">
        <v>0</v>
      </c>
      <c r="AS159" s="182">
        <v>0</v>
      </c>
      <c r="AT159" s="182">
        <v>0</v>
      </c>
      <c r="AU159" s="182">
        <v>0</v>
      </c>
      <c r="AV159" s="182">
        <v>0</v>
      </c>
      <c r="AW159" s="182">
        <v>0</v>
      </c>
      <c r="AX159" s="182">
        <v>0</v>
      </c>
      <c r="AY159" s="182">
        <v>0</v>
      </c>
      <c r="AZ159" s="182">
        <v>0</v>
      </c>
      <c r="BA159" s="182">
        <v>0</v>
      </c>
      <c r="BB159" s="168">
        <v>0</v>
      </c>
      <c r="BC159" s="168">
        <v>0</v>
      </c>
      <c r="BD159" s="168">
        <v>0</v>
      </c>
      <c r="BE159" s="168">
        <v>0</v>
      </c>
      <c r="BF159" s="182">
        <v>0</v>
      </c>
      <c r="BG159" s="182">
        <v>0</v>
      </c>
      <c r="BH159" s="182">
        <v>0</v>
      </c>
      <c r="BI159" s="182">
        <v>0</v>
      </c>
      <c r="BJ159" s="182">
        <v>0</v>
      </c>
      <c r="BK159" s="182">
        <v>0</v>
      </c>
      <c r="BL159" s="182">
        <v>0</v>
      </c>
      <c r="BM159" s="182">
        <v>0</v>
      </c>
      <c r="BN159" s="182">
        <v>0</v>
      </c>
      <c r="BO159" s="182">
        <v>0</v>
      </c>
      <c r="BP159" s="182">
        <v>0</v>
      </c>
      <c r="BQ159" s="182">
        <v>0</v>
      </c>
      <c r="BR159" s="182">
        <v>0</v>
      </c>
      <c r="BS159" s="182">
        <v>0</v>
      </c>
      <c r="BT159" s="182">
        <v>0</v>
      </c>
      <c r="BU159" s="182">
        <v>0</v>
      </c>
      <c r="BV159" s="182">
        <v>0</v>
      </c>
      <c r="BW159" s="182">
        <v>0</v>
      </c>
      <c r="BX159" s="182">
        <v>0</v>
      </c>
      <c r="BY159" s="182">
        <v>0</v>
      </c>
      <c r="BZ159" s="182">
        <v>0</v>
      </c>
      <c r="CA159" s="182">
        <v>0</v>
      </c>
      <c r="CB159" s="182">
        <v>0</v>
      </c>
      <c r="CC159" s="182">
        <v>0</v>
      </c>
      <c r="CD159" s="182">
        <v>0</v>
      </c>
      <c r="CE159" s="182">
        <v>0</v>
      </c>
      <c r="CF159" s="182">
        <v>0</v>
      </c>
      <c r="CG159" s="182">
        <v>0</v>
      </c>
      <c r="CH159" s="182">
        <v>0</v>
      </c>
      <c r="CI159" s="182">
        <v>0</v>
      </c>
      <c r="CJ159" s="182">
        <v>0</v>
      </c>
      <c r="CK159" s="182">
        <v>0</v>
      </c>
      <c r="CL159" s="182">
        <v>0</v>
      </c>
      <c r="CM159" s="182">
        <v>0</v>
      </c>
      <c r="CN159" s="182">
        <v>0</v>
      </c>
      <c r="CO159" s="182">
        <v>0</v>
      </c>
      <c r="CP159" s="182">
        <v>0</v>
      </c>
      <c r="CQ159" s="182">
        <v>0</v>
      </c>
      <c r="CR159" s="182">
        <v>0</v>
      </c>
      <c r="CS159" s="182">
        <v>0</v>
      </c>
      <c r="CT159" s="182">
        <v>0</v>
      </c>
      <c r="CU159" s="182">
        <v>0</v>
      </c>
      <c r="CV159" s="182">
        <v>0</v>
      </c>
      <c r="CW159" s="182">
        <v>0</v>
      </c>
      <c r="CX159" s="182">
        <v>0</v>
      </c>
      <c r="CY159" s="182">
        <v>0</v>
      </c>
      <c r="CZ159" s="182">
        <v>0</v>
      </c>
      <c r="DA159" s="182">
        <v>0</v>
      </c>
      <c r="DB159" s="182">
        <v>0</v>
      </c>
      <c r="DC159" s="182">
        <v>0</v>
      </c>
      <c r="DD159" s="182">
        <v>0</v>
      </c>
      <c r="DE159" s="182">
        <v>0</v>
      </c>
      <c r="DF159" s="182">
        <v>0</v>
      </c>
      <c r="DG159" s="182">
        <v>0</v>
      </c>
      <c r="DH159" s="182">
        <v>0</v>
      </c>
      <c r="DI159" s="182">
        <v>0</v>
      </c>
      <c r="DJ159" s="182">
        <v>0</v>
      </c>
      <c r="DK159" s="182">
        <v>0</v>
      </c>
      <c r="DL159" s="182">
        <v>0</v>
      </c>
      <c r="DM159" s="182">
        <v>0</v>
      </c>
      <c r="DN159" s="182">
        <v>0</v>
      </c>
      <c r="DO159" s="182">
        <v>0</v>
      </c>
      <c r="DP159" s="182">
        <v>0</v>
      </c>
      <c r="DQ159" s="182">
        <v>0</v>
      </c>
      <c r="DR159" s="182">
        <v>0</v>
      </c>
      <c r="DS159" s="182">
        <v>0</v>
      </c>
      <c r="DT159" s="182">
        <v>0</v>
      </c>
      <c r="DU159" s="182">
        <v>0</v>
      </c>
      <c r="DV159" s="182">
        <v>0</v>
      </c>
      <c r="DW159" s="182">
        <v>0</v>
      </c>
      <c r="DX159" s="182">
        <v>0</v>
      </c>
      <c r="DY159" s="182">
        <v>0</v>
      </c>
      <c r="DZ159" s="182">
        <v>0</v>
      </c>
      <c r="EA159" s="182">
        <v>0</v>
      </c>
      <c r="EB159" s="182">
        <v>0</v>
      </c>
      <c r="EC159" s="182">
        <v>0</v>
      </c>
      <c r="ED159" s="182">
        <v>0</v>
      </c>
      <c r="EE159" s="182">
        <v>0</v>
      </c>
      <c r="EF159" s="182">
        <v>0</v>
      </c>
      <c r="EG159" s="182">
        <v>0</v>
      </c>
      <c r="EH159" s="182">
        <v>0</v>
      </c>
      <c r="EI159" s="182">
        <v>0</v>
      </c>
      <c r="EJ159" s="182">
        <v>0</v>
      </c>
      <c r="EK159" s="182">
        <v>0</v>
      </c>
      <c r="EL159" s="182">
        <v>0</v>
      </c>
      <c r="EM159" s="29">
        <v>0</v>
      </c>
      <c r="EN159" s="29">
        <v>0</v>
      </c>
      <c r="EO159" s="29">
        <v>0</v>
      </c>
      <c r="EP159" s="29">
        <v>0</v>
      </c>
      <c r="EQ159" s="182">
        <v>0</v>
      </c>
      <c r="ER159" s="177">
        <v>0</v>
      </c>
      <c r="ES159" s="177">
        <v>0</v>
      </c>
      <c r="ET159" s="177">
        <f>k.w3TP.sdTP</f>
        <v>9.8034737141612897E-9</v>
      </c>
      <c r="EU159" s="303">
        <v>0</v>
      </c>
      <c r="EV159" s="304">
        <f>k.sdTS.sdTP</f>
        <v>1.1610181614956437E-2</v>
      </c>
      <c r="EW159" s="304">
        <v>0</v>
      </c>
      <c r="EX159" s="181">
        <f>-k.sdTP-SUM(EX$9:EX158,EX160:EX$163)</f>
        <v>-9.6442161339421632E-9</v>
      </c>
      <c r="EY159" s="177">
        <v>0</v>
      </c>
      <c r="EZ159" s="177">
        <v>0</v>
      </c>
      <c r="FA159" s="182">
        <v>0</v>
      </c>
      <c r="FB159" s="183">
        <v>0</v>
      </c>
    </row>
    <row r="160" spans="2:158" ht="12.75" customHeight="1" x14ac:dyDescent="0.3">
      <c r="B160" s="199" t="s">
        <v>3970</v>
      </c>
      <c r="C160" s="340"/>
      <c r="D160" s="29">
        <v>0</v>
      </c>
      <c r="E160" s="29">
        <v>0</v>
      </c>
      <c r="F160" s="29">
        <v>0</v>
      </c>
      <c r="G160" s="29">
        <v>0</v>
      </c>
      <c r="H160" s="29">
        <v>0</v>
      </c>
      <c r="I160" s="29">
        <v>0</v>
      </c>
      <c r="J160" s="29">
        <v>0</v>
      </c>
      <c r="K160" s="29">
        <v>0</v>
      </c>
      <c r="L160" s="29">
        <v>0</v>
      </c>
      <c r="M160" s="29">
        <v>0</v>
      </c>
      <c r="N160" s="29">
        <v>0</v>
      </c>
      <c r="O160" s="29">
        <v>0</v>
      </c>
      <c r="P160" s="29">
        <v>0</v>
      </c>
      <c r="Q160" s="29">
        <v>0</v>
      </c>
      <c r="R160" s="29">
        <v>0</v>
      </c>
      <c r="S160" s="182">
        <v>0</v>
      </c>
      <c r="T160" s="182">
        <v>0</v>
      </c>
      <c r="U160" s="182">
        <v>0</v>
      </c>
      <c r="V160" s="182">
        <v>0</v>
      </c>
      <c r="W160" s="182">
        <v>0</v>
      </c>
      <c r="X160" s="182">
        <v>0</v>
      </c>
      <c r="Y160" s="182">
        <v>0</v>
      </c>
      <c r="Z160" s="182">
        <v>0</v>
      </c>
      <c r="AA160" s="182">
        <v>0</v>
      </c>
      <c r="AB160" s="182">
        <v>0</v>
      </c>
      <c r="AC160" s="182">
        <v>0</v>
      </c>
      <c r="AD160" s="182">
        <v>0</v>
      </c>
      <c r="AE160" s="182">
        <v>0</v>
      </c>
      <c r="AF160" s="182">
        <v>0</v>
      </c>
      <c r="AG160" s="182">
        <v>0</v>
      </c>
      <c r="AH160" s="182">
        <v>0</v>
      </c>
      <c r="AI160" s="182">
        <v>0</v>
      </c>
      <c r="AJ160" s="182">
        <v>0</v>
      </c>
      <c r="AK160" s="182">
        <v>0</v>
      </c>
      <c r="AL160" s="182">
        <v>0</v>
      </c>
      <c r="AM160" s="182">
        <v>0</v>
      </c>
      <c r="AN160" s="182">
        <v>0</v>
      </c>
      <c r="AO160" s="182">
        <v>0</v>
      </c>
      <c r="AP160" s="182">
        <v>0</v>
      </c>
      <c r="AQ160" s="182">
        <v>0</v>
      </c>
      <c r="AR160" s="182">
        <v>0</v>
      </c>
      <c r="AS160" s="182">
        <v>0</v>
      </c>
      <c r="AT160" s="182">
        <v>0</v>
      </c>
      <c r="AU160" s="182">
        <v>0</v>
      </c>
      <c r="AV160" s="182">
        <v>0</v>
      </c>
      <c r="AW160" s="182">
        <v>0</v>
      </c>
      <c r="AX160" s="182">
        <v>0</v>
      </c>
      <c r="AY160" s="182">
        <v>0</v>
      </c>
      <c r="AZ160" s="182">
        <v>0</v>
      </c>
      <c r="BA160" s="182">
        <v>0</v>
      </c>
      <c r="BB160" s="168">
        <v>0</v>
      </c>
      <c r="BC160" s="168">
        <v>0</v>
      </c>
      <c r="BD160" s="168">
        <v>0</v>
      </c>
      <c r="BE160" s="168">
        <v>0</v>
      </c>
      <c r="BF160" s="182">
        <v>0</v>
      </c>
      <c r="BG160" s="182">
        <v>0</v>
      </c>
      <c r="BH160" s="182">
        <v>0</v>
      </c>
      <c r="BI160" s="182">
        <v>0</v>
      </c>
      <c r="BJ160" s="182">
        <v>0</v>
      </c>
      <c r="BK160" s="182">
        <v>0</v>
      </c>
      <c r="BL160" s="182">
        <v>0</v>
      </c>
      <c r="BM160" s="182">
        <v>0</v>
      </c>
      <c r="BN160" s="182">
        <v>0</v>
      </c>
      <c r="BO160" s="182">
        <v>0</v>
      </c>
      <c r="BP160" s="182">
        <v>0</v>
      </c>
      <c r="BQ160" s="182">
        <v>0</v>
      </c>
      <c r="BR160" s="182">
        <v>0</v>
      </c>
      <c r="BS160" s="182">
        <v>0</v>
      </c>
      <c r="BT160" s="182">
        <v>0</v>
      </c>
      <c r="BU160" s="182">
        <v>0</v>
      </c>
      <c r="BV160" s="182">
        <v>0</v>
      </c>
      <c r="BW160" s="182">
        <v>0</v>
      </c>
      <c r="BX160" s="182">
        <v>0</v>
      </c>
      <c r="BY160" s="182">
        <v>0</v>
      </c>
      <c r="BZ160" s="182">
        <v>0</v>
      </c>
      <c r="CA160" s="182">
        <v>0</v>
      </c>
      <c r="CB160" s="182">
        <v>0</v>
      </c>
      <c r="CC160" s="182">
        <v>0</v>
      </c>
      <c r="CD160" s="182">
        <v>0</v>
      </c>
      <c r="CE160" s="182">
        <v>0</v>
      </c>
      <c r="CF160" s="182">
        <v>0</v>
      </c>
      <c r="CG160" s="182">
        <v>0</v>
      </c>
      <c r="CH160" s="182">
        <v>0</v>
      </c>
      <c r="CI160" s="182">
        <v>0</v>
      </c>
      <c r="CJ160" s="182">
        <v>0</v>
      </c>
      <c r="CK160" s="182">
        <v>0</v>
      </c>
      <c r="CL160" s="182">
        <v>0</v>
      </c>
      <c r="CM160" s="182">
        <v>0</v>
      </c>
      <c r="CN160" s="182">
        <v>0</v>
      </c>
      <c r="CO160" s="182">
        <v>0</v>
      </c>
      <c r="CP160" s="182">
        <v>0</v>
      </c>
      <c r="CQ160" s="182">
        <v>0</v>
      </c>
      <c r="CR160" s="182">
        <v>0</v>
      </c>
      <c r="CS160" s="182">
        <v>0</v>
      </c>
      <c r="CT160" s="182">
        <v>0</v>
      </c>
      <c r="CU160" s="182">
        <v>0</v>
      </c>
      <c r="CV160" s="182">
        <v>0</v>
      </c>
      <c r="CW160" s="182">
        <v>0</v>
      </c>
      <c r="CX160" s="182">
        <v>0</v>
      </c>
      <c r="CY160" s="182">
        <v>0</v>
      </c>
      <c r="CZ160" s="182">
        <v>0</v>
      </c>
      <c r="DA160" s="182">
        <v>0</v>
      </c>
      <c r="DB160" s="182">
        <v>0</v>
      </c>
      <c r="DC160" s="182">
        <v>0</v>
      </c>
      <c r="DD160" s="182">
        <v>0</v>
      </c>
      <c r="DE160" s="182">
        <v>0</v>
      </c>
      <c r="DF160" s="182">
        <v>0</v>
      </c>
      <c r="DG160" s="182">
        <v>0</v>
      </c>
      <c r="DH160" s="182">
        <v>0</v>
      </c>
      <c r="DI160" s="182">
        <v>0</v>
      </c>
      <c r="DJ160" s="182">
        <v>0</v>
      </c>
      <c r="DK160" s="182">
        <v>0</v>
      </c>
      <c r="DL160" s="182">
        <v>0</v>
      </c>
      <c r="DM160" s="182">
        <v>0</v>
      </c>
      <c r="DN160" s="182">
        <v>0</v>
      </c>
      <c r="DO160" s="182">
        <v>0</v>
      </c>
      <c r="DP160" s="182">
        <v>0</v>
      </c>
      <c r="DQ160" s="182">
        <v>0</v>
      </c>
      <c r="DR160" s="182">
        <v>0</v>
      </c>
      <c r="DS160" s="182">
        <v>0</v>
      </c>
      <c r="DT160" s="182">
        <v>0</v>
      </c>
      <c r="DU160" s="182">
        <v>0</v>
      </c>
      <c r="DV160" s="182">
        <v>0</v>
      </c>
      <c r="DW160" s="182">
        <v>0</v>
      </c>
      <c r="DX160" s="182">
        <v>0</v>
      </c>
      <c r="DY160" s="182">
        <v>0</v>
      </c>
      <c r="DZ160" s="182">
        <v>0</v>
      </c>
      <c r="EA160" s="182">
        <v>0</v>
      </c>
      <c r="EB160" s="182">
        <v>0</v>
      </c>
      <c r="EC160" s="182">
        <v>0</v>
      </c>
      <c r="ED160" s="182">
        <v>0</v>
      </c>
      <c r="EE160" s="182">
        <v>0</v>
      </c>
      <c r="EF160" s="177">
        <f>k.aT.sT</f>
        <v>5.1464208392854672E-10</v>
      </c>
      <c r="EG160" s="177">
        <v>0</v>
      </c>
      <c r="EH160" s="177">
        <v>0</v>
      </c>
      <c r="EI160" s="177">
        <v>0</v>
      </c>
      <c r="EJ160" s="177">
        <v>0</v>
      </c>
      <c r="EK160" s="177">
        <v>0</v>
      </c>
      <c r="EL160" s="177">
        <v>0</v>
      </c>
      <c r="EM160" s="182">
        <v>0</v>
      </c>
      <c r="EN160" s="182">
        <v>0</v>
      </c>
      <c r="EO160" s="182">
        <v>0</v>
      </c>
      <c r="EP160" s="182">
        <v>0</v>
      </c>
      <c r="EQ160" s="182">
        <v>0</v>
      </c>
      <c r="ER160" s="182">
        <v>0</v>
      </c>
      <c r="ES160" s="182">
        <v>0</v>
      </c>
      <c r="ET160" s="177">
        <v>0</v>
      </c>
      <c r="EU160" s="182">
        <v>0</v>
      </c>
      <c r="EV160" s="182">
        <v>0</v>
      </c>
      <c r="EW160" s="177">
        <v>0</v>
      </c>
      <c r="EX160" s="177">
        <v>0</v>
      </c>
      <c r="EY160" s="310">
        <f>-k.sT-SUM(EY9:EY159,EY161:EY163)</f>
        <v>-3.8988924293298044E-7</v>
      </c>
      <c r="EZ160" s="321">
        <f>kdis.s1S.s1D</f>
        <v>0</v>
      </c>
      <c r="FA160" s="321">
        <f>kdis.s1A.s1D</f>
        <v>0</v>
      </c>
      <c r="FB160" s="324">
        <f>kdis.s1P.s1D</f>
        <v>0</v>
      </c>
    </row>
    <row r="161" spans="2:160" ht="12.75" customHeight="1" x14ac:dyDescent="0.3">
      <c r="B161" s="199" t="s">
        <v>3971</v>
      </c>
      <c r="C161" s="340"/>
      <c r="D161" s="29">
        <v>0</v>
      </c>
      <c r="E161" s="29">
        <v>0</v>
      </c>
      <c r="F161" s="29">
        <v>0</v>
      </c>
      <c r="G161" s="29">
        <v>0</v>
      </c>
      <c r="H161" s="29">
        <v>0</v>
      </c>
      <c r="I161" s="29">
        <v>0</v>
      </c>
      <c r="J161" s="29">
        <v>0</v>
      </c>
      <c r="K161" s="29">
        <v>0</v>
      </c>
      <c r="L161" s="29">
        <v>0</v>
      </c>
      <c r="M161" s="29">
        <v>0</v>
      </c>
      <c r="N161" s="29">
        <v>0</v>
      </c>
      <c r="O161" s="29">
        <v>0</v>
      </c>
      <c r="P161" s="29">
        <v>0</v>
      </c>
      <c r="Q161" s="29">
        <v>0</v>
      </c>
      <c r="R161" s="29">
        <v>0</v>
      </c>
      <c r="S161" s="182">
        <v>0</v>
      </c>
      <c r="T161" s="182">
        <v>0</v>
      </c>
      <c r="U161" s="182">
        <v>0</v>
      </c>
      <c r="V161" s="182">
        <v>0</v>
      </c>
      <c r="W161" s="182">
        <v>0</v>
      </c>
      <c r="X161" s="182">
        <v>0</v>
      </c>
      <c r="Y161" s="182">
        <v>0</v>
      </c>
      <c r="Z161" s="182">
        <v>0</v>
      </c>
      <c r="AA161" s="182">
        <v>0</v>
      </c>
      <c r="AB161" s="182">
        <v>0</v>
      </c>
      <c r="AC161" s="182">
        <v>0</v>
      </c>
      <c r="AD161" s="182">
        <v>0</v>
      </c>
      <c r="AE161" s="182">
        <v>0</v>
      </c>
      <c r="AF161" s="182">
        <v>0</v>
      </c>
      <c r="AG161" s="182">
        <v>0</v>
      </c>
      <c r="AH161" s="182">
        <v>0</v>
      </c>
      <c r="AI161" s="182">
        <v>0</v>
      </c>
      <c r="AJ161" s="182">
        <v>0</v>
      </c>
      <c r="AK161" s="182">
        <v>0</v>
      </c>
      <c r="AL161" s="182">
        <v>0</v>
      </c>
      <c r="AM161" s="182">
        <v>0</v>
      </c>
      <c r="AN161" s="182">
        <v>0</v>
      </c>
      <c r="AO161" s="182">
        <v>0</v>
      </c>
      <c r="AP161" s="182">
        <v>0</v>
      </c>
      <c r="AQ161" s="182">
        <v>0</v>
      </c>
      <c r="AR161" s="182">
        <v>0</v>
      </c>
      <c r="AS161" s="182">
        <v>0</v>
      </c>
      <c r="AT161" s="182">
        <v>0</v>
      </c>
      <c r="AU161" s="182">
        <v>0</v>
      </c>
      <c r="AV161" s="182">
        <v>0</v>
      </c>
      <c r="AW161" s="182">
        <v>0</v>
      </c>
      <c r="AX161" s="182">
        <v>0</v>
      </c>
      <c r="AY161" s="182">
        <v>0</v>
      </c>
      <c r="AZ161" s="182">
        <v>0</v>
      </c>
      <c r="BA161" s="182">
        <v>0</v>
      </c>
      <c r="BB161" s="168">
        <v>0</v>
      </c>
      <c r="BC161" s="168">
        <v>0</v>
      </c>
      <c r="BD161" s="168">
        <v>0</v>
      </c>
      <c r="BE161" s="168">
        <v>0</v>
      </c>
      <c r="BF161" s="182">
        <v>0</v>
      </c>
      <c r="BG161" s="182">
        <v>0</v>
      </c>
      <c r="BH161" s="182">
        <v>0</v>
      </c>
      <c r="BI161" s="182">
        <v>0</v>
      </c>
      <c r="BJ161" s="182">
        <v>0</v>
      </c>
      <c r="BK161" s="182">
        <v>0</v>
      </c>
      <c r="BL161" s="182">
        <v>0</v>
      </c>
      <c r="BM161" s="182">
        <v>0</v>
      </c>
      <c r="BN161" s="182">
        <v>0</v>
      </c>
      <c r="BO161" s="182">
        <v>0</v>
      </c>
      <c r="BP161" s="182">
        <v>0</v>
      </c>
      <c r="BQ161" s="182">
        <v>0</v>
      </c>
      <c r="BR161" s="182">
        <v>0</v>
      </c>
      <c r="BS161" s="182">
        <v>0</v>
      </c>
      <c r="BT161" s="182">
        <v>0</v>
      </c>
      <c r="BU161" s="182">
        <v>0</v>
      </c>
      <c r="BV161" s="182">
        <v>0</v>
      </c>
      <c r="BW161" s="182">
        <v>0</v>
      </c>
      <c r="BX161" s="182">
        <v>0</v>
      </c>
      <c r="BY161" s="182">
        <v>0</v>
      </c>
      <c r="BZ161" s="182">
        <v>0</v>
      </c>
      <c r="CA161" s="182">
        <v>0</v>
      </c>
      <c r="CB161" s="182">
        <v>0</v>
      </c>
      <c r="CC161" s="182">
        <v>0</v>
      </c>
      <c r="CD161" s="182">
        <v>0</v>
      </c>
      <c r="CE161" s="182">
        <v>0</v>
      </c>
      <c r="CF161" s="182">
        <v>0</v>
      </c>
      <c r="CG161" s="182">
        <v>0</v>
      </c>
      <c r="CH161" s="182">
        <v>0</v>
      </c>
      <c r="CI161" s="182">
        <v>0</v>
      </c>
      <c r="CJ161" s="182">
        <v>0</v>
      </c>
      <c r="CK161" s="182">
        <v>0</v>
      </c>
      <c r="CL161" s="182">
        <v>0</v>
      </c>
      <c r="CM161" s="182">
        <v>0</v>
      </c>
      <c r="CN161" s="182">
        <v>0</v>
      </c>
      <c r="CO161" s="182">
        <v>0</v>
      </c>
      <c r="CP161" s="182">
        <v>0</v>
      </c>
      <c r="CQ161" s="182">
        <v>0</v>
      </c>
      <c r="CR161" s="182">
        <v>0</v>
      </c>
      <c r="CS161" s="182">
        <v>0</v>
      </c>
      <c r="CT161" s="182">
        <v>0</v>
      </c>
      <c r="CU161" s="182">
        <v>0</v>
      </c>
      <c r="CV161" s="182">
        <v>0</v>
      </c>
      <c r="CW161" s="182">
        <v>0</v>
      </c>
      <c r="CX161" s="182">
        <v>0</v>
      </c>
      <c r="CY161" s="182">
        <v>0</v>
      </c>
      <c r="CZ161" s="182">
        <v>0</v>
      </c>
      <c r="DA161" s="182">
        <v>0</v>
      </c>
      <c r="DB161" s="182">
        <v>0</v>
      </c>
      <c r="DC161" s="182">
        <v>0</v>
      </c>
      <c r="DD161" s="182">
        <v>0</v>
      </c>
      <c r="DE161" s="182">
        <v>0</v>
      </c>
      <c r="DF161" s="182">
        <v>0</v>
      </c>
      <c r="DG161" s="182">
        <v>0</v>
      </c>
      <c r="DH161" s="182">
        <v>0</v>
      </c>
      <c r="DI161" s="182">
        <v>0</v>
      </c>
      <c r="DJ161" s="182">
        <v>0</v>
      </c>
      <c r="DK161" s="182">
        <v>0</v>
      </c>
      <c r="DL161" s="182">
        <v>0</v>
      </c>
      <c r="DM161" s="182">
        <v>0</v>
      </c>
      <c r="DN161" s="182">
        <v>0</v>
      </c>
      <c r="DO161" s="182">
        <v>0</v>
      </c>
      <c r="DP161" s="182">
        <v>0</v>
      </c>
      <c r="DQ161" s="182">
        <v>0</v>
      </c>
      <c r="DR161" s="182">
        <v>0</v>
      </c>
      <c r="DS161" s="182">
        <v>0</v>
      </c>
      <c r="DT161" s="182">
        <v>0</v>
      </c>
      <c r="DU161" s="182">
        <v>0</v>
      </c>
      <c r="DV161" s="182">
        <v>0</v>
      </c>
      <c r="DW161" s="182">
        <v>0</v>
      </c>
      <c r="DX161" s="182">
        <v>0</v>
      </c>
      <c r="DY161" s="182">
        <v>0</v>
      </c>
      <c r="DZ161" s="182">
        <v>0</v>
      </c>
      <c r="EA161" s="182">
        <v>0</v>
      </c>
      <c r="EB161" s="182">
        <v>0</v>
      </c>
      <c r="EC161" s="182">
        <v>0</v>
      </c>
      <c r="ED161" s="182">
        <v>0</v>
      </c>
      <c r="EE161" s="182">
        <v>0</v>
      </c>
      <c r="EF161" s="177">
        <v>0</v>
      </c>
      <c r="EG161" s="177">
        <f>k.aTS.sTS</f>
        <v>4.8775657264778764E-7</v>
      </c>
      <c r="EH161" s="177">
        <v>0</v>
      </c>
      <c r="EI161" s="177">
        <v>0</v>
      </c>
      <c r="EJ161" s="177">
        <f>k.cwTS.sTS</f>
        <v>4.1222741945716548E-5</v>
      </c>
      <c r="EK161" s="177">
        <v>0</v>
      </c>
      <c r="EL161" s="177">
        <v>0</v>
      </c>
      <c r="EM161" s="182">
        <v>0</v>
      </c>
      <c r="EN161" s="182">
        <v>0</v>
      </c>
      <c r="EO161" s="182">
        <v>0</v>
      </c>
      <c r="EP161" s="182">
        <v>0</v>
      </c>
      <c r="EQ161" s="182">
        <v>0</v>
      </c>
      <c r="ER161" s="182">
        <v>0</v>
      </c>
      <c r="ES161" s="182">
        <v>0</v>
      </c>
      <c r="ET161" s="177">
        <v>0</v>
      </c>
      <c r="EU161" s="182">
        <v>0</v>
      </c>
      <c r="EV161" s="182">
        <v>0</v>
      </c>
      <c r="EW161" s="182">
        <v>0</v>
      </c>
      <c r="EX161" s="177">
        <v>0</v>
      </c>
      <c r="EY161" s="323">
        <v>0</v>
      </c>
      <c r="EZ161" s="181">
        <f>-k.sTS-SUM(EZ$9:EZ160,EZ162:EZ$163)</f>
        <v>-2.1403334002562748E-2</v>
      </c>
      <c r="FA161" s="177">
        <v>0</v>
      </c>
      <c r="FB161" s="184">
        <v>0</v>
      </c>
    </row>
    <row r="162" spans="2:160" ht="12.75" customHeight="1" x14ac:dyDescent="0.3">
      <c r="B162" s="199" t="s">
        <v>3972</v>
      </c>
      <c r="C162" s="340"/>
      <c r="D162" s="29">
        <v>0</v>
      </c>
      <c r="E162" s="29">
        <v>0</v>
      </c>
      <c r="F162" s="29">
        <v>0</v>
      </c>
      <c r="G162" s="29">
        <v>0</v>
      </c>
      <c r="H162" s="29">
        <v>0</v>
      </c>
      <c r="I162" s="29">
        <v>0</v>
      </c>
      <c r="J162" s="29">
        <v>0</v>
      </c>
      <c r="K162" s="29">
        <v>0</v>
      </c>
      <c r="L162" s="29">
        <v>0</v>
      </c>
      <c r="M162" s="29">
        <v>0</v>
      </c>
      <c r="N162" s="29">
        <v>0</v>
      </c>
      <c r="O162" s="29">
        <v>0</v>
      </c>
      <c r="P162" s="29">
        <v>0</v>
      </c>
      <c r="Q162" s="29">
        <v>0</v>
      </c>
      <c r="R162" s="29">
        <v>0</v>
      </c>
      <c r="S162" s="182">
        <v>0</v>
      </c>
      <c r="T162" s="182">
        <v>0</v>
      </c>
      <c r="U162" s="182">
        <v>0</v>
      </c>
      <c r="V162" s="182">
        <v>0</v>
      </c>
      <c r="W162" s="182">
        <v>0</v>
      </c>
      <c r="X162" s="182">
        <v>0</v>
      </c>
      <c r="Y162" s="182">
        <v>0</v>
      </c>
      <c r="Z162" s="182">
        <v>0</v>
      </c>
      <c r="AA162" s="182">
        <v>0</v>
      </c>
      <c r="AB162" s="182">
        <v>0</v>
      </c>
      <c r="AC162" s="182">
        <v>0</v>
      </c>
      <c r="AD162" s="182">
        <v>0</v>
      </c>
      <c r="AE162" s="182">
        <v>0</v>
      </c>
      <c r="AF162" s="182">
        <v>0</v>
      </c>
      <c r="AG162" s="182">
        <v>0</v>
      </c>
      <c r="AH162" s="182">
        <v>0</v>
      </c>
      <c r="AI162" s="182">
        <v>0</v>
      </c>
      <c r="AJ162" s="182">
        <v>0</v>
      </c>
      <c r="AK162" s="182">
        <v>0</v>
      </c>
      <c r="AL162" s="182">
        <v>0</v>
      </c>
      <c r="AM162" s="182">
        <v>0</v>
      </c>
      <c r="AN162" s="182">
        <v>0</v>
      </c>
      <c r="AO162" s="182">
        <v>0</v>
      </c>
      <c r="AP162" s="182">
        <v>0</v>
      </c>
      <c r="AQ162" s="182">
        <v>0</v>
      </c>
      <c r="AR162" s="182">
        <v>0</v>
      </c>
      <c r="AS162" s="182">
        <v>0</v>
      </c>
      <c r="AT162" s="182">
        <v>0</v>
      </c>
      <c r="AU162" s="182">
        <v>0</v>
      </c>
      <c r="AV162" s="182">
        <v>0</v>
      </c>
      <c r="AW162" s="182">
        <v>0</v>
      </c>
      <c r="AX162" s="182">
        <v>0</v>
      </c>
      <c r="AY162" s="182">
        <v>0</v>
      </c>
      <c r="AZ162" s="182">
        <v>0</v>
      </c>
      <c r="BA162" s="182">
        <v>0</v>
      </c>
      <c r="BB162" s="168">
        <v>0</v>
      </c>
      <c r="BC162" s="168">
        <v>0</v>
      </c>
      <c r="BD162" s="168">
        <v>0</v>
      </c>
      <c r="BE162" s="168">
        <v>0</v>
      </c>
      <c r="BF162" s="182">
        <v>0</v>
      </c>
      <c r="BG162" s="182">
        <v>0</v>
      </c>
      <c r="BH162" s="182">
        <v>0</v>
      </c>
      <c r="BI162" s="182">
        <v>0</v>
      </c>
      <c r="BJ162" s="182">
        <v>0</v>
      </c>
      <c r="BK162" s="182">
        <v>0</v>
      </c>
      <c r="BL162" s="182">
        <v>0</v>
      </c>
      <c r="BM162" s="182">
        <v>0</v>
      </c>
      <c r="BN162" s="182">
        <v>0</v>
      </c>
      <c r="BO162" s="182">
        <v>0</v>
      </c>
      <c r="BP162" s="182">
        <v>0</v>
      </c>
      <c r="BQ162" s="182">
        <v>0</v>
      </c>
      <c r="BR162" s="182">
        <v>0</v>
      </c>
      <c r="BS162" s="182">
        <v>0</v>
      </c>
      <c r="BT162" s="182">
        <v>0</v>
      </c>
      <c r="BU162" s="182">
        <v>0</v>
      </c>
      <c r="BV162" s="182">
        <v>0</v>
      </c>
      <c r="BW162" s="182">
        <v>0</v>
      </c>
      <c r="BX162" s="182">
        <v>0</v>
      </c>
      <c r="BY162" s="182">
        <v>0</v>
      </c>
      <c r="BZ162" s="182">
        <v>0</v>
      </c>
      <c r="CA162" s="182">
        <v>0</v>
      </c>
      <c r="CB162" s="182">
        <v>0</v>
      </c>
      <c r="CC162" s="182">
        <v>0</v>
      </c>
      <c r="CD162" s="182">
        <v>0</v>
      </c>
      <c r="CE162" s="182">
        <v>0</v>
      </c>
      <c r="CF162" s="182">
        <v>0</v>
      </c>
      <c r="CG162" s="182">
        <v>0</v>
      </c>
      <c r="CH162" s="182">
        <v>0</v>
      </c>
      <c r="CI162" s="182">
        <v>0</v>
      </c>
      <c r="CJ162" s="182">
        <v>0</v>
      </c>
      <c r="CK162" s="182">
        <v>0</v>
      </c>
      <c r="CL162" s="182">
        <v>0</v>
      </c>
      <c r="CM162" s="182">
        <v>0</v>
      </c>
      <c r="CN162" s="182">
        <v>0</v>
      </c>
      <c r="CO162" s="182">
        <v>0</v>
      </c>
      <c r="CP162" s="182">
        <v>0</v>
      </c>
      <c r="CQ162" s="182">
        <v>0</v>
      </c>
      <c r="CR162" s="182">
        <v>0</v>
      </c>
      <c r="CS162" s="182">
        <v>0</v>
      </c>
      <c r="CT162" s="182">
        <v>0</v>
      </c>
      <c r="CU162" s="182">
        <v>0</v>
      </c>
      <c r="CV162" s="182">
        <v>0</v>
      </c>
      <c r="CW162" s="182">
        <v>0</v>
      </c>
      <c r="CX162" s="182">
        <v>0</v>
      </c>
      <c r="CY162" s="182">
        <v>0</v>
      </c>
      <c r="CZ162" s="182">
        <v>0</v>
      </c>
      <c r="DA162" s="182">
        <v>0</v>
      </c>
      <c r="DB162" s="182">
        <v>0</v>
      </c>
      <c r="DC162" s="182">
        <v>0</v>
      </c>
      <c r="DD162" s="182">
        <v>0</v>
      </c>
      <c r="DE162" s="182">
        <v>0</v>
      </c>
      <c r="DF162" s="182">
        <v>0</v>
      </c>
      <c r="DG162" s="182">
        <v>0</v>
      </c>
      <c r="DH162" s="182">
        <v>0</v>
      </c>
      <c r="DI162" s="182">
        <v>0</v>
      </c>
      <c r="DJ162" s="182">
        <v>0</v>
      </c>
      <c r="DK162" s="182">
        <v>0</v>
      </c>
      <c r="DL162" s="182">
        <v>0</v>
      </c>
      <c r="DM162" s="182">
        <v>0</v>
      </c>
      <c r="DN162" s="182">
        <v>0</v>
      </c>
      <c r="DO162" s="182">
        <v>0</v>
      </c>
      <c r="DP162" s="182">
        <v>0</v>
      </c>
      <c r="DQ162" s="182">
        <v>0</v>
      </c>
      <c r="DR162" s="182">
        <v>0</v>
      </c>
      <c r="DS162" s="182">
        <v>0</v>
      </c>
      <c r="DT162" s="182">
        <v>0</v>
      </c>
      <c r="DU162" s="182">
        <v>0</v>
      </c>
      <c r="DV162" s="182">
        <v>0</v>
      </c>
      <c r="DW162" s="182">
        <v>0</v>
      </c>
      <c r="DX162" s="182">
        <v>0</v>
      </c>
      <c r="DY162" s="182">
        <v>0</v>
      </c>
      <c r="DZ162" s="182">
        <v>0</v>
      </c>
      <c r="EA162" s="182">
        <v>0</v>
      </c>
      <c r="EB162" s="182">
        <v>0</v>
      </c>
      <c r="EC162" s="182">
        <v>0</v>
      </c>
      <c r="ED162" s="182">
        <v>0</v>
      </c>
      <c r="EE162" s="182">
        <v>0</v>
      </c>
      <c r="EF162" s="177">
        <v>0</v>
      </c>
      <c r="EG162" s="177">
        <v>0</v>
      </c>
      <c r="EH162" s="177">
        <f>k.aTA.sTA</f>
        <v>8.9133054629889677E-8</v>
      </c>
      <c r="EI162" s="177">
        <v>0</v>
      </c>
      <c r="EJ162" s="177">
        <v>0</v>
      </c>
      <c r="EK162" s="177">
        <f>k.cwTA.sTA</f>
        <v>4.1222741945716548E-5</v>
      </c>
      <c r="EL162" s="177">
        <v>0</v>
      </c>
      <c r="EM162" s="182">
        <v>0</v>
      </c>
      <c r="EN162" s="182">
        <v>0</v>
      </c>
      <c r="EO162" s="182">
        <v>0</v>
      </c>
      <c r="EP162" s="182">
        <v>0</v>
      </c>
      <c r="EQ162" s="182">
        <v>0</v>
      </c>
      <c r="ER162" s="182">
        <v>0</v>
      </c>
      <c r="ES162" s="182">
        <v>0</v>
      </c>
      <c r="ET162" s="177">
        <v>0</v>
      </c>
      <c r="EU162" s="177">
        <v>0</v>
      </c>
      <c r="EV162" s="177">
        <v>0</v>
      </c>
      <c r="EW162" s="177">
        <v>0</v>
      </c>
      <c r="EX162" s="177">
        <v>0</v>
      </c>
      <c r="EY162" s="323">
        <v>0</v>
      </c>
      <c r="EZ162" s="177">
        <f>k.sTS.sTA</f>
        <v>1.6524676694621581E-2</v>
      </c>
      <c r="FA162" s="181">
        <f>-k.sTA-SUM(FA$9:FA161,FA163)</f>
        <v>-2.6370212578104759E-7</v>
      </c>
      <c r="FB162" s="184">
        <v>0</v>
      </c>
    </row>
    <row r="163" spans="2:160" ht="12.75" customHeight="1" x14ac:dyDescent="0.3">
      <c r="B163" s="296" t="s">
        <v>3973</v>
      </c>
      <c r="C163" s="341"/>
      <c r="D163" s="260">
        <v>0</v>
      </c>
      <c r="E163" s="260">
        <v>0</v>
      </c>
      <c r="F163" s="260">
        <v>0</v>
      </c>
      <c r="G163" s="260">
        <v>0</v>
      </c>
      <c r="H163" s="260">
        <v>0</v>
      </c>
      <c r="I163" s="260">
        <v>0</v>
      </c>
      <c r="J163" s="260">
        <v>0</v>
      </c>
      <c r="K163" s="260">
        <v>0</v>
      </c>
      <c r="L163" s="260">
        <v>0</v>
      </c>
      <c r="M163" s="260">
        <v>0</v>
      </c>
      <c r="N163" s="260">
        <v>0</v>
      </c>
      <c r="O163" s="260">
        <v>0</v>
      </c>
      <c r="P163" s="260">
        <v>0</v>
      </c>
      <c r="Q163" s="260">
        <v>0</v>
      </c>
      <c r="R163" s="260">
        <v>0</v>
      </c>
      <c r="S163" s="185">
        <v>0</v>
      </c>
      <c r="T163" s="185">
        <v>0</v>
      </c>
      <c r="U163" s="185">
        <v>0</v>
      </c>
      <c r="V163" s="185">
        <v>0</v>
      </c>
      <c r="W163" s="185">
        <v>0</v>
      </c>
      <c r="X163" s="185">
        <v>0</v>
      </c>
      <c r="Y163" s="185">
        <v>0</v>
      </c>
      <c r="Z163" s="185">
        <v>0</v>
      </c>
      <c r="AA163" s="185">
        <v>0</v>
      </c>
      <c r="AB163" s="185">
        <v>0</v>
      </c>
      <c r="AC163" s="185">
        <v>0</v>
      </c>
      <c r="AD163" s="185">
        <v>0</v>
      </c>
      <c r="AE163" s="185">
        <v>0</v>
      </c>
      <c r="AF163" s="185">
        <v>0</v>
      </c>
      <c r="AG163" s="185">
        <v>0</v>
      </c>
      <c r="AH163" s="185">
        <v>0</v>
      </c>
      <c r="AI163" s="185">
        <v>0</v>
      </c>
      <c r="AJ163" s="185">
        <v>0</v>
      </c>
      <c r="AK163" s="185">
        <v>0</v>
      </c>
      <c r="AL163" s="185">
        <v>0</v>
      </c>
      <c r="AM163" s="185">
        <v>0</v>
      </c>
      <c r="AN163" s="185">
        <v>0</v>
      </c>
      <c r="AO163" s="185">
        <v>0</v>
      </c>
      <c r="AP163" s="185">
        <v>0</v>
      </c>
      <c r="AQ163" s="185">
        <v>0</v>
      </c>
      <c r="AR163" s="185">
        <v>0</v>
      </c>
      <c r="AS163" s="185">
        <v>0</v>
      </c>
      <c r="AT163" s="185">
        <v>0</v>
      </c>
      <c r="AU163" s="185">
        <v>0</v>
      </c>
      <c r="AV163" s="185">
        <v>0</v>
      </c>
      <c r="AW163" s="185">
        <v>0</v>
      </c>
      <c r="AX163" s="185">
        <v>0</v>
      </c>
      <c r="AY163" s="185">
        <v>0</v>
      </c>
      <c r="AZ163" s="185">
        <v>0</v>
      </c>
      <c r="BA163" s="185">
        <v>0</v>
      </c>
      <c r="BB163" s="185">
        <v>0</v>
      </c>
      <c r="BC163" s="185">
        <v>0</v>
      </c>
      <c r="BD163" s="185">
        <v>0</v>
      </c>
      <c r="BE163" s="185">
        <v>0</v>
      </c>
      <c r="BF163" s="185">
        <v>0</v>
      </c>
      <c r="BG163" s="185">
        <v>0</v>
      </c>
      <c r="BH163" s="185">
        <v>0</v>
      </c>
      <c r="BI163" s="185">
        <v>0</v>
      </c>
      <c r="BJ163" s="185">
        <v>0</v>
      </c>
      <c r="BK163" s="185">
        <v>0</v>
      </c>
      <c r="BL163" s="185">
        <v>0</v>
      </c>
      <c r="BM163" s="185">
        <v>0</v>
      </c>
      <c r="BN163" s="185">
        <v>0</v>
      </c>
      <c r="BO163" s="185">
        <v>0</v>
      </c>
      <c r="BP163" s="185">
        <v>0</v>
      </c>
      <c r="BQ163" s="185">
        <v>0</v>
      </c>
      <c r="BR163" s="185">
        <v>0</v>
      </c>
      <c r="BS163" s="185">
        <v>0</v>
      </c>
      <c r="BT163" s="185">
        <v>0</v>
      </c>
      <c r="BU163" s="185">
        <v>0</v>
      </c>
      <c r="BV163" s="185">
        <v>0</v>
      </c>
      <c r="BW163" s="185">
        <v>0</v>
      </c>
      <c r="BX163" s="185">
        <v>0</v>
      </c>
      <c r="BY163" s="185">
        <v>0</v>
      </c>
      <c r="BZ163" s="185">
        <v>0</v>
      </c>
      <c r="CA163" s="185">
        <v>0</v>
      </c>
      <c r="CB163" s="185">
        <v>0</v>
      </c>
      <c r="CC163" s="185">
        <v>0</v>
      </c>
      <c r="CD163" s="185">
        <v>0</v>
      </c>
      <c r="CE163" s="185">
        <v>0</v>
      </c>
      <c r="CF163" s="185">
        <v>0</v>
      </c>
      <c r="CG163" s="185">
        <v>0</v>
      </c>
      <c r="CH163" s="185">
        <v>0</v>
      </c>
      <c r="CI163" s="185">
        <v>0</v>
      </c>
      <c r="CJ163" s="185">
        <v>0</v>
      </c>
      <c r="CK163" s="185">
        <v>0</v>
      </c>
      <c r="CL163" s="185">
        <v>0</v>
      </c>
      <c r="CM163" s="185">
        <v>0</v>
      </c>
      <c r="CN163" s="185">
        <v>0</v>
      </c>
      <c r="CO163" s="185">
        <v>0</v>
      </c>
      <c r="CP163" s="185">
        <v>0</v>
      </c>
      <c r="CQ163" s="185">
        <v>0</v>
      </c>
      <c r="CR163" s="185">
        <v>0</v>
      </c>
      <c r="CS163" s="185">
        <v>0</v>
      </c>
      <c r="CT163" s="185">
        <v>0</v>
      </c>
      <c r="CU163" s="185">
        <v>0</v>
      </c>
      <c r="CV163" s="185">
        <v>0</v>
      </c>
      <c r="CW163" s="185">
        <v>0</v>
      </c>
      <c r="CX163" s="185">
        <v>0</v>
      </c>
      <c r="CY163" s="185">
        <v>0</v>
      </c>
      <c r="CZ163" s="185">
        <v>0</v>
      </c>
      <c r="DA163" s="185">
        <v>0</v>
      </c>
      <c r="DB163" s="185">
        <v>0</v>
      </c>
      <c r="DC163" s="185">
        <v>0</v>
      </c>
      <c r="DD163" s="185">
        <v>0</v>
      </c>
      <c r="DE163" s="185">
        <v>0</v>
      </c>
      <c r="DF163" s="185">
        <v>0</v>
      </c>
      <c r="DG163" s="185">
        <v>0</v>
      </c>
      <c r="DH163" s="185">
        <v>0</v>
      </c>
      <c r="DI163" s="185">
        <v>0</v>
      </c>
      <c r="DJ163" s="185">
        <v>0</v>
      </c>
      <c r="DK163" s="185">
        <v>0</v>
      </c>
      <c r="DL163" s="185">
        <v>0</v>
      </c>
      <c r="DM163" s="185">
        <v>0</v>
      </c>
      <c r="DN163" s="185">
        <v>0</v>
      </c>
      <c r="DO163" s="185">
        <v>0</v>
      </c>
      <c r="DP163" s="185">
        <v>0</v>
      </c>
      <c r="DQ163" s="185">
        <v>0</v>
      </c>
      <c r="DR163" s="185">
        <v>0</v>
      </c>
      <c r="DS163" s="185">
        <v>0</v>
      </c>
      <c r="DT163" s="185">
        <v>0</v>
      </c>
      <c r="DU163" s="185">
        <v>0</v>
      </c>
      <c r="DV163" s="185">
        <v>0</v>
      </c>
      <c r="DW163" s="185">
        <v>0</v>
      </c>
      <c r="DX163" s="185">
        <v>0</v>
      </c>
      <c r="DY163" s="185">
        <v>0</v>
      </c>
      <c r="DZ163" s="185">
        <v>0</v>
      </c>
      <c r="EA163" s="185">
        <v>0</v>
      </c>
      <c r="EB163" s="185">
        <v>0</v>
      </c>
      <c r="EC163" s="185">
        <v>0</v>
      </c>
      <c r="ED163" s="185">
        <v>0</v>
      </c>
      <c r="EE163" s="185">
        <v>0</v>
      </c>
      <c r="EF163" s="174">
        <v>0</v>
      </c>
      <c r="EG163" s="174">
        <v>0</v>
      </c>
      <c r="EH163" s="174">
        <v>0</v>
      </c>
      <c r="EI163" s="174">
        <f>k.aTP.sTP</f>
        <v>3.0000009000002699E-7</v>
      </c>
      <c r="EJ163" s="174">
        <v>0</v>
      </c>
      <c r="EK163" s="174">
        <v>0</v>
      </c>
      <c r="EL163" s="174">
        <f>k.cwTP.sTP</f>
        <v>4.1222741945716548E-5</v>
      </c>
      <c r="EM163" s="185">
        <v>0</v>
      </c>
      <c r="EN163" s="185">
        <v>0</v>
      </c>
      <c r="EO163" s="185">
        <v>0</v>
      </c>
      <c r="EP163" s="185">
        <v>0</v>
      </c>
      <c r="EQ163" s="185">
        <v>0</v>
      </c>
      <c r="ER163" s="185">
        <v>0</v>
      </c>
      <c r="ES163" s="185">
        <v>0</v>
      </c>
      <c r="ET163" s="185">
        <v>0</v>
      </c>
      <c r="EU163" s="185">
        <v>0</v>
      </c>
      <c r="EV163" s="185">
        <v>0</v>
      </c>
      <c r="EW163" s="185">
        <v>0</v>
      </c>
      <c r="EX163" s="174">
        <v>0</v>
      </c>
      <c r="EY163" s="325">
        <v>0</v>
      </c>
      <c r="EZ163" s="174">
        <f>k.sTS.sTP</f>
        <v>4.8783936058153874E-3</v>
      </c>
      <c r="FA163" s="174">
        <v>0</v>
      </c>
      <c r="FB163" s="342">
        <f>-k.sTP-SUM(FB$9:FB162)</f>
        <v>-1.9025875190258751E-11</v>
      </c>
    </row>
    <row r="164" spans="2:160" ht="12.75" customHeight="1" x14ac:dyDescent="0.3">
      <c r="B164" s="175"/>
      <c r="C164" s="528"/>
      <c r="D164" s="528"/>
      <c r="E164" s="528"/>
      <c r="F164" s="528"/>
      <c r="G164" s="528"/>
      <c r="H164" s="528"/>
      <c r="I164" s="528"/>
      <c r="J164" s="528"/>
      <c r="K164" s="528"/>
      <c r="L164" s="528"/>
      <c r="M164" s="528"/>
      <c r="N164" s="528"/>
      <c r="O164" s="528"/>
      <c r="P164" s="528"/>
      <c r="Q164" s="528"/>
      <c r="R164" s="528"/>
      <c r="S164" s="528"/>
      <c r="T164" s="528"/>
      <c r="U164" s="528"/>
      <c r="V164" s="528"/>
      <c r="W164" s="528"/>
      <c r="X164" s="528"/>
      <c r="Y164" s="528"/>
      <c r="Z164" s="528"/>
      <c r="AA164" s="528"/>
      <c r="AB164" s="528"/>
      <c r="AC164" s="528"/>
      <c r="AD164" s="528"/>
      <c r="AE164" s="528"/>
      <c r="AF164" s="528"/>
      <c r="AG164" s="528"/>
      <c r="AH164" s="528"/>
      <c r="AI164" s="528"/>
      <c r="AJ164" s="528"/>
      <c r="AK164" s="528"/>
      <c r="AL164" s="528"/>
      <c r="AM164" s="528"/>
      <c r="AN164" s="528"/>
      <c r="AO164" s="528"/>
      <c r="AP164" s="528"/>
      <c r="AQ164" s="528"/>
      <c r="AR164" s="528"/>
      <c r="AS164" s="528"/>
      <c r="AT164" s="528"/>
      <c r="AU164" s="528"/>
      <c r="AV164" s="528"/>
      <c r="AW164" s="528"/>
      <c r="AX164" s="528"/>
      <c r="AY164" s="528"/>
      <c r="AZ164" s="528"/>
      <c r="BA164" s="528"/>
      <c r="BB164" s="528"/>
      <c r="BC164" s="528"/>
      <c r="BD164" s="528"/>
      <c r="BE164" s="528"/>
      <c r="BF164" s="528"/>
      <c r="BG164" s="528"/>
      <c r="BH164" s="528"/>
      <c r="BI164" s="528"/>
      <c r="BJ164" s="528"/>
      <c r="BK164" s="528"/>
      <c r="BL164" s="528"/>
      <c r="BM164" s="528"/>
      <c r="BN164" s="528"/>
      <c r="BO164" s="528"/>
      <c r="BP164" s="528"/>
      <c r="BQ164" s="528"/>
      <c r="BR164" s="528"/>
      <c r="BS164" s="528"/>
      <c r="BT164" s="528"/>
      <c r="BU164" s="528"/>
      <c r="BV164" s="528"/>
      <c r="BW164" s="528"/>
      <c r="BX164" s="528"/>
      <c r="BY164" s="528"/>
      <c r="BZ164" s="528"/>
      <c r="CA164" s="528"/>
      <c r="CB164" s="528"/>
      <c r="CC164" s="528"/>
      <c r="CD164" s="528"/>
      <c r="CE164" s="528"/>
      <c r="CF164" s="528"/>
      <c r="CG164" s="528"/>
      <c r="CH164" s="528"/>
      <c r="CI164" s="528"/>
      <c r="CJ164" s="528"/>
      <c r="CK164" s="528"/>
      <c r="CL164" s="528"/>
      <c r="CM164" s="528"/>
      <c r="CN164" s="528"/>
      <c r="CO164" s="528"/>
      <c r="CP164" s="528"/>
      <c r="CQ164" s="528"/>
      <c r="CR164" s="528"/>
      <c r="CS164" s="528"/>
      <c r="CT164" s="528"/>
      <c r="CU164" s="528"/>
      <c r="CV164" s="528"/>
      <c r="CW164" s="528"/>
      <c r="CX164" s="528"/>
      <c r="CY164" s="528"/>
      <c r="CZ164" s="528"/>
      <c r="DA164" s="528"/>
      <c r="DB164" s="528"/>
      <c r="DC164" s="528"/>
      <c r="DD164" s="528"/>
      <c r="DE164" s="528"/>
      <c r="DF164" s="528"/>
      <c r="DG164" s="528"/>
      <c r="DH164" s="528"/>
      <c r="DI164" s="528"/>
      <c r="DJ164" s="528"/>
      <c r="DK164" s="528"/>
      <c r="DL164" s="528"/>
      <c r="DM164" s="528"/>
      <c r="DN164" s="528"/>
      <c r="DO164" s="528"/>
      <c r="DP164" s="528"/>
      <c r="DQ164" s="528"/>
      <c r="DR164" s="528"/>
      <c r="DS164" s="528"/>
      <c r="DT164" s="528"/>
      <c r="DU164" s="528"/>
      <c r="DV164" s="528"/>
      <c r="DW164" s="528"/>
      <c r="DX164" s="528"/>
      <c r="DY164" s="528"/>
      <c r="DZ164" s="528"/>
      <c r="EA164" s="528"/>
      <c r="EB164" s="528"/>
      <c r="EC164" s="528"/>
      <c r="ED164" s="528"/>
      <c r="EE164" s="528"/>
      <c r="EF164" s="528"/>
      <c r="EG164" s="528"/>
      <c r="EH164" s="528"/>
      <c r="EI164" s="528"/>
      <c r="EJ164" s="528"/>
      <c r="EK164" s="528"/>
      <c r="EL164" s="528"/>
      <c r="EM164" s="528"/>
      <c r="EN164" s="528"/>
      <c r="EO164" s="528"/>
      <c r="EP164" s="528"/>
      <c r="EQ164" s="528"/>
      <c r="ER164" s="528"/>
      <c r="ES164" s="528"/>
      <c r="ET164" s="528"/>
      <c r="EU164" s="528"/>
      <c r="EV164" s="528"/>
      <c r="EW164" s="528"/>
      <c r="EX164" s="528"/>
      <c r="EY164" s="528"/>
      <c r="EZ164" s="528"/>
      <c r="FA164" s="528"/>
      <c r="FB164" s="528"/>
    </row>
    <row r="165" spans="2:160" ht="12.75" customHeight="1" x14ac:dyDescent="0.3">
      <c r="B165" s="165"/>
      <c r="K165"/>
      <c r="L165"/>
      <c r="M165"/>
      <c r="N165"/>
      <c r="BB165"/>
      <c r="BC165"/>
      <c r="BD165"/>
      <c r="BE165"/>
    </row>
    <row r="166" spans="2:160" s="277" customFormat="1" ht="12.75" customHeight="1" x14ac:dyDescent="0.3"/>
    <row r="167" spans="2:160" ht="12.75" customHeight="1" x14ac:dyDescent="0.3">
      <c r="B167" s="178" t="s">
        <v>3974</v>
      </c>
      <c r="C167" s="330"/>
      <c r="D167" s="179" t="s">
        <v>3504</v>
      </c>
      <c r="E167" s="179" t="s">
        <v>3505</v>
      </c>
      <c r="F167" s="179" t="s">
        <v>3506</v>
      </c>
      <c r="G167" s="179" t="s">
        <v>3507</v>
      </c>
      <c r="H167" s="179" t="s">
        <v>3508</v>
      </c>
      <c r="I167" s="179" t="s">
        <v>3509</v>
      </c>
      <c r="J167" s="179" t="s">
        <v>3510</v>
      </c>
      <c r="K167" s="179" t="s">
        <v>3511</v>
      </c>
      <c r="L167" s="179" t="s">
        <v>3512</v>
      </c>
      <c r="M167" s="179" t="s">
        <v>3513</v>
      </c>
      <c r="N167" s="179" t="s">
        <v>3514</v>
      </c>
      <c r="O167" s="179" t="s">
        <v>3515</v>
      </c>
      <c r="P167" s="179" t="s">
        <v>3516</v>
      </c>
      <c r="Q167" s="179" t="s">
        <v>3517</v>
      </c>
      <c r="R167" s="179" t="s">
        <v>3518</v>
      </c>
      <c r="S167" s="179" t="s">
        <v>3519</v>
      </c>
      <c r="T167" s="179" t="s">
        <v>3520</v>
      </c>
      <c r="U167" s="179" t="s">
        <v>3521</v>
      </c>
      <c r="V167" s="179" t="s">
        <v>3522</v>
      </c>
      <c r="W167" s="179" t="s">
        <v>3523</v>
      </c>
      <c r="X167" s="179" t="s">
        <v>3524</v>
      </c>
      <c r="Y167" s="179" t="s">
        <v>3525</v>
      </c>
      <c r="Z167" s="179" t="s">
        <v>3526</v>
      </c>
      <c r="AA167" s="179" t="s">
        <v>3527</v>
      </c>
      <c r="AB167" s="179" t="s">
        <v>3528</v>
      </c>
      <c r="AC167" s="179" t="s">
        <v>3529</v>
      </c>
      <c r="AD167" s="179" t="s">
        <v>3530</v>
      </c>
      <c r="AE167" s="179" t="s">
        <v>3531</v>
      </c>
      <c r="AF167" s="179" t="s">
        <v>3532</v>
      </c>
      <c r="AG167" s="179" t="s">
        <v>3533</v>
      </c>
      <c r="AH167" s="179" t="s">
        <v>3534</v>
      </c>
      <c r="AI167" s="179" t="s">
        <v>3535</v>
      </c>
      <c r="AJ167" s="179" t="s">
        <v>3536</v>
      </c>
      <c r="AK167" s="179" t="s">
        <v>3537</v>
      </c>
      <c r="AL167" s="179" t="s">
        <v>3538</v>
      </c>
      <c r="AM167" s="179" t="s">
        <v>3539</v>
      </c>
      <c r="AN167" s="179" t="s">
        <v>3540</v>
      </c>
      <c r="AO167" s="179" t="s">
        <v>3541</v>
      </c>
      <c r="AP167" s="179" t="s">
        <v>3542</v>
      </c>
      <c r="AQ167" s="179" t="s">
        <v>3543</v>
      </c>
      <c r="AR167" s="179" t="s">
        <v>3544</v>
      </c>
      <c r="AS167" s="179" t="s">
        <v>3545</v>
      </c>
      <c r="AT167" s="179" t="s">
        <v>3546</v>
      </c>
      <c r="AU167" s="179" t="s">
        <v>3547</v>
      </c>
      <c r="AV167" s="179" t="s">
        <v>3548</v>
      </c>
      <c r="AW167" s="179" t="s">
        <v>3549</v>
      </c>
      <c r="AX167" s="179" t="s">
        <v>3550</v>
      </c>
      <c r="AY167" s="179" t="s">
        <v>3551</v>
      </c>
      <c r="AZ167" s="179" t="s">
        <v>3552</v>
      </c>
      <c r="BA167" s="179" t="s">
        <v>3553</v>
      </c>
      <c r="BB167" s="179" t="s">
        <v>3554</v>
      </c>
      <c r="BC167" s="179" t="s">
        <v>3555</v>
      </c>
      <c r="BD167" s="179" t="s">
        <v>3556</v>
      </c>
      <c r="BE167" s="179" t="s">
        <v>3557</v>
      </c>
      <c r="BF167" s="179" t="s">
        <v>3558</v>
      </c>
      <c r="BG167" s="179" t="s">
        <v>3559</v>
      </c>
      <c r="BH167" s="179" t="s">
        <v>3560</v>
      </c>
      <c r="BI167" s="179" t="s">
        <v>3561</v>
      </c>
      <c r="BJ167" s="179" t="s">
        <v>3562</v>
      </c>
      <c r="BK167" s="179" t="s">
        <v>3563</v>
      </c>
      <c r="BL167" s="179" t="s">
        <v>3564</v>
      </c>
      <c r="BM167" s="179" t="s">
        <v>3565</v>
      </c>
      <c r="BN167" s="179" t="s">
        <v>3566</v>
      </c>
      <c r="BO167" s="179" t="s">
        <v>3567</v>
      </c>
      <c r="BP167" s="179" t="s">
        <v>3568</v>
      </c>
      <c r="BQ167" s="179" t="s">
        <v>3569</v>
      </c>
      <c r="BR167" s="179" t="s">
        <v>3570</v>
      </c>
      <c r="BS167" s="179" t="s">
        <v>3571</v>
      </c>
      <c r="BT167" s="179" t="s">
        <v>3572</v>
      </c>
      <c r="BU167" s="179" t="s">
        <v>3573</v>
      </c>
      <c r="BV167" s="179" t="s">
        <v>3574</v>
      </c>
      <c r="BW167" s="179" t="s">
        <v>3575</v>
      </c>
      <c r="BX167" s="179" t="s">
        <v>3576</v>
      </c>
      <c r="BY167" s="179" t="s">
        <v>3577</v>
      </c>
      <c r="BZ167" s="179" t="s">
        <v>3578</v>
      </c>
      <c r="CA167" s="179" t="s">
        <v>3579</v>
      </c>
      <c r="CB167" s="179" t="s">
        <v>3580</v>
      </c>
      <c r="CC167" s="179" t="s">
        <v>3581</v>
      </c>
      <c r="CD167" s="179" t="s">
        <v>3582</v>
      </c>
      <c r="CE167" s="179" t="s">
        <v>3583</v>
      </c>
      <c r="CF167" s="179" t="s">
        <v>3584</v>
      </c>
      <c r="CG167" s="179" t="s">
        <v>3585</v>
      </c>
      <c r="CH167" s="179" t="s">
        <v>3586</v>
      </c>
      <c r="CI167" s="179" t="s">
        <v>3587</v>
      </c>
      <c r="CJ167" s="179" t="s">
        <v>3588</v>
      </c>
      <c r="CK167" s="179" t="s">
        <v>3589</v>
      </c>
      <c r="CL167" s="179" t="s">
        <v>3590</v>
      </c>
      <c r="CM167" s="179" t="s">
        <v>3591</v>
      </c>
      <c r="CN167" s="179" t="s">
        <v>3592</v>
      </c>
      <c r="CO167" s="179" t="s">
        <v>3593</v>
      </c>
      <c r="CP167" s="179" t="s">
        <v>3594</v>
      </c>
      <c r="CQ167" s="179" t="s">
        <v>3595</v>
      </c>
      <c r="CR167" s="179" t="s">
        <v>3596</v>
      </c>
      <c r="CS167" s="179" t="s">
        <v>3597</v>
      </c>
      <c r="CT167" s="179" t="s">
        <v>3598</v>
      </c>
      <c r="CU167" s="179" t="s">
        <v>3599</v>
      </c>
      <c r="CV167" s="179" t="s">
        <v>3600</v>
      </c>
      <c r="CW167" s="179" t="s">
        <v>3601</v>
      </c>
      <c r="CX167" s="179" t="s">
        <v>3602</v>
      </c>
      <c r="CY167" s="179" t="s">
        <v>3603</v>
      </c>
      <c r="CZ167" s="179" t="s">
        <v>3604</v>
      </c>
      <c r="DA167" s="179" t="s">
        <v>3605</v>
      </c>
      <c r="DB167" s="179" t="s">
        <v>3606</v>
      </c>
      <c r="DC167" s="179" t="s">
        <v>3607</v>
      </c>
      <c r="DD167" s="179" t="s">
        <v>3608</v>
      </c>
      <c r="DE167" s="179" t="s">
        <v>3609</v>
      </c>
      <c r="DF167" s="179" t="s">
        <v>3610</v>
      </c>
      <c r="DG167" s="179" t="s">
        <v>3611</v>
      </c>
      <c r="DH167" s="179" t="s">
        <v>3612</v>
      </c>
      <c r="DI167" s="179" t="s">
        <v>3613</v>
      </c>
      <c r="DJ167" s="179" t="s">
        <v>3614</v>
      </c>
      <c r="DK167" s="179" t="s">
        <v>3615</v>
      </c>
      <c r="DL167" s="179" t="s">
        <v>3616</v>
      </c>
      <c r="DM167" s="179" t="s">
        <v>3617</v>
      </c>
      <c r="DN167" s="179" t="s">
        <v>3618</v>
      </c>
      <c r="DO167" s="179" t="s">
        <v>3619</v>
      </c>
      <c r="DP167" s="179" t="s">
        <v>3620</v>
      </c>
      <c r="DQ167" s="179" t="s">
        <v>3621</v>
      </c>
      <c r="DR167" s="179" t="s">
        <v>3622</v>
      </c>
      <c r="DS167" s="179" t="s">
        <v>3623</v>
      </c>
      <c r="DT167" s="179" t="s">
        <v>3624</v>
      </c>
      <c r="DU167" s="179" t="s">
        <v>3625</v>
      </c>
      <c r="DV167" s="179" t="s">
        <v>3626</v>
      </c>
      <c r="DW167" s="179" t="s">
        <v>3627</v>
      </c>
      <c r="DX167" s="179" t="s">
        <v>3628</v>
      </c>
      <c r="DY167" s="179" t="s">
        <v>3629</v>
      </c>
      <c r="DZ167" s="179" t="s">
        <v>3630</v>
      </c>
      <c r="EA167" s="179" t="s">
        <v>3631</v>
      </c>
      <c r="EB167" s="179" t="s">
        <v>3632</v>
      </c>
      <c r="EC167" s="179" t="s">
        <v>3633</v>
      </c>
      <c r="ED167" s="179" t="s">
        <v>3634</v>
      </c>
      <c r="EE167" s="179" t="s">
        <v>3635</v>
      </c>
      <c r="EF167" s="179" t="s">
        <v>3636</v>
      </c>
      <c r="EG167" s="179" t="s">
        <v>3637</v>
      </c>
      <c r="EH167" s="179" t="s">
        <v>3638</v>
      </c>
      <c r="EI167" s="179" t="s">
        <v>3639</v>
      </c>
      <c r="EJ167" s="179" t="s">
        <v>3640</v>
      </c>
      <c r="EK167" s="179" t="s">
        <v>3641</v>
      </c>
      <c r="EL167" s="179" t="s">
        <v>3642</v>
      </c>
      <c r="EM167" s="179" t="s">
        <v>3643</v>
      </c>
      <c r="EN167" s="179" t="s">
        <v>3644</v>
      </c>
      <c r="EO167" s="179" t="s">
        <v>3645</v>
      </c>
      <c r="EP167" s="179" t="s">
        <v>3646</v>
      </c>
      <c r="EQ167" s="179" t="s">
        <v>3647</v>
      </c>
      <c r="ER167" s="179" t="s">
        <v>3648</v>
      </c>
      <c r="ES167" s="179" t="s">
        <v>3649</v>
      </c>
      <c r="ET167" s="179" t="s">
        <v>3650</v>
      </c>
      <c r="EU167" s="179" t="s">
        <v>3651</v>
      </c>
      <c r="EV167" s="179" t="s">
        <v>3652</v>
      </c>
      <c r="EW167" s="179" t="s">
        <v>3653</v>
      </c>
      <c r="EX167" s="179" t="s">
        <v>3654</v>
      </c>
      <c r="EY167" s="179" t="s">
        <v>3655</v>
      </c>
      <c r="EZ167" s="179" t="s">
        <v>3656</v>
      </c>
      <c r="FA167" s="179" t="s">
        <v>3657</v>
      </c>
      <c r="FB167" s="186" t="s">
        <v>3658</v>
      </c>
      <c r="FC167" s="576"/>
      <c r="FD167" s="576"/>
    </row>
    <row r="168" spans="2:160" ht="12.75" customHeight="1" x14ac:dyDescent="0.3">
      <c r="B168" s="180" t="s">
        <v>3975</v>
      </c>
      <c r="C168" s="278">
        <f>SUM(D168:FB168)</f>
        <v>145725478714951.41</v>
      </c>
      <c r="D168" s="177">
        <f t="array" ref="D168:FB168">TRANSPOSE(MMULT(MINVERSE(D9:FB163),-TRANSPOSE(D5:FB5)))</f>
        <v>0</v>
      </c>
      <c r="E168" s="177">
        <v>65520.138142617616</v>
      </c>
      <c r="F168" s="177">
        <v>166998.71568718788</v>
      </c>
      <c r="G168" s="177">
        <v>33.403766653259076</v>
      </c>
      <c r="H168" s="177">
        <v>399.57007081922279</v>
      </c>
      <c r="I168" s="177">
        <v>394.66533118602337</v>
      </c>
      <c r="J168" s="177">
        <v>33.403756632129067</v>
      </c>
      <c r="K168" s="177">
        <v>0</v>
      </c>
      <c r="L168" s="177">
        <v>4.6195468820558201</v>
      </c>
      <c r="M168" s="177">
        <v>52556740.757892102</v>
      </c>
      <c r="N168" s="177">
        <v>152511.67237851795</v>
      </c>
      <c r="O168" s="177">
        <v>0</v>
      </c>
      <c r="P168" s="177">
        <v>11518.810401888897</v>
      </c>
      <c r="Q168" s="177">
        <v>48890218.45957014</v>
      </c>
      <c r="R168" s="177">
        <v>789619.36210161215</v>
      </c>
      <c r="S168" s="177">
        <v>0</v>
      </c>
      <c r="T168" s="177">
        <v>1.1668042518081512</v>
      </c>
      <c r="U168" s="177">
        <v>5217861.999287216</v>
      </c>
      <c r="V168" s="177">
        <v>34949.839733456334</v>
      </c>
      <c r="W168" s="177">
        <v>0</v>
      </c>
      <c r="X168" s="177">
        <v>6.0018954035879741E-8</v>
      </c>
      <c r="Y168" s="177">
        <v>8911188.0081984848</v>
      </c>
      <c r="Z168" s="177">
        <v>15491751.369649358</v>
      </c>
      <c r="AA168" s="177">
        <v>0</v>
      </c>
      <c r="AB168" s="177">
        <v>4.9883181272522168E-3</v>
      </c>
      <c r="AC168" s="177">
        <v>27202658.819620527</v>
      </c>
      <c r="AD168" s="177">
        <v>263206509.94648492</v>
      </c>
      <c r="AE168" s="177">
        <v>0</v>
      </c>
      <c r="AF168" s="177">
        <v>1.5159629361909E-8</v>
      </c>
      <c r="AG168" s="177">
        <v>2612904.9995718077</v>
      </c>
      <c r="AH168" s="177">
        <v>10484952.629685337</v>
      </c>
      <c r="AI168" s="177">
        <v>0</v>
      </c>
      <c r="AJ168" s="177">
        <v>1.7305450505798252</v>
      </c>
      <c r="AK168" s="177">
        <v>334057.94978068245</v>
      </c>
      <c r="AL168" s="177">
        <v>480169603.25515068</v>
      </c>
      <c r="AM168" s="177">
        <v>0</v>
      </c>
      <c r="AN168" s="177">
        <v>108.0856753040166</v>
      </c>
      <c r="AO168" s="177">
        <v>27127065.241831895</v>
      </c>
      <c r="AP168" s="177">
        <v>111433269651.04095</v>
      </c>
      <c r="AQ168" s="177">
        <v>0</v>
      </c>
      <c r="AR168" s="177">
        <v>0.64094261132586106</v>
      </c>
      <c r="AS168" s="177">
        <v>123725.16658543792</v>
      </c>
      <c r="AT168" s="177">
        <v>177840593.79820395</v>
      </c>
      <c r="AU168" s="177">
        <v>0</v>
      </c>
      <c r="AV168" s="177">
        <v>23652.444545881935</v>
      </c>
      <c r="AW168" s="177">
        <v>824772.68160015973</v>
      </c>
      <c r="AX168" s="177">
        <v>17.35681119738566</v>
      </c>
      <c r="AY168" s="177">
        <v>144.24281160204842</v>
      </c>
      <c r="AZ168" s="177">
        <v>1949.1717777437052</v>
      </c>
      <c r="BA168" s="177">
        <v>17.356805990342298</v>
      </c>
      <c r="BB168" s="177">
        <v>0</v>
      </c>
      <c r="BC168" s="177">
        <v>0.81037416077225555</v>
      </c>
      <c r="BD168" s="177">
        <v>6012168.9374376992</v>
      </c>
      <c r="BE168" s="177">
        <v>1677.9766048638774</v>
      </c>
      <c r="BF168" s="177">
        <v>0</v>
      </c>
      <c r="BG168" s="177">
        <v>7.5097262931351247</v>
      </c>
      <c r="BH168" s="177">
        <v>2763058.5182070038</v>
      </c>
      <c r="BI168" s="177">
        <v>5431.5350118662054</v>
      </c>
      <c r="BJ168" s="177">
        <v>0</v>
      </c>
      <c r="BK168" s="177">
        <v>27.806457654474794</v>
      </c>
      <c r="BL168" s="177">
        <v>216604792186.64771</v>
      </c>
      <c r="BM168" s="177">
        <v>2964282.9635438621</v>
      </c>
      <c r="BN168" s="177">
        <v>0</v>
      </c>
      <c r="BO168" s="177">
        <v>3.8506064088938984E-9</v>
      </c>
      <c r="BP168" s="177">
        <v>1026882.8240067333</v>
      </c>
      <c r="BQ168" s="177">
        <v>171698.25177294516</v>
      </c>
      <c r="BR168" s="177">
        <v>0</v>
      </c>
      <c r="BS168" s="177">
        <v>1.1894296222177356E-6</v>
      </c>
      <c r="BT168" s="177">
        <v>1562620.6357671835</v>
      </c>
      <c r="BU168" s="177">
        <v>1840247.8421965605</v>
      </c>
      <c r="BV168" s="177">
        <v>0</v>
      </c>
      <c r="BW168" s="177">
        <v>6.6063225736223195E-9</v>
      </c>
      <c r="BX168" s="177">
        <v>5512442131.2316628</v>
      </c>
      <c r="BY168" s="177">
        <v>45194532.089945689</v>
      </c>
      <c r="BZ168" s="177">
        <v>0</v>
      </c>
      <c r="CA168" s="177">
        <v>0.30380872220273919</v>
      </c>
      <c r="CB168" s="177">
        <v>374449.77812334645</v>
      </c>
      <c r="CC168" s="177">
        <v>87027019.292002991</v>
      </c>
      <c r="CD168" s="177">
        <v>0</v>
      </c>
      <c r="CE168" s="177">
        <v>0.67513301852260099</v>
      </c>
      <c r="CF168" s="177">
        <v>1828707.6099689733</v>
      </c>
      <c r="CG168" s="177">
        <v>773576100.40315104</v>
      </c>
      <c r="CH168" s="177">
        <v>0</v>
      </c>
      <c r="CI168" s="177">
        <v>0.11252174896397749</v>
      </c>
      <c r="CJ168" s="177">
        <v>138685.10300864678</v>
      </c>
      <c r="CK168" s="177">
        <v>32232229.367408514</v>
      </c>
      <c r="CL168" s="177">
        <v>0</v>
      </c>
      <c r="CM168" s="177">
        <v>1239.8869134427248</v>
      </c>
      <c r="CN168" s="177">
        <v>522239.17851659388</v>
      </c>
      <c r="CO168" s="177">
        <v>1.0147324492074712</v>
      </c>
      <c r="CP168" s="177">
        <v>21.918665901893526</v>
      </c>
      <c r="CQ168" s="177">
        <v>4307.6230650128027</v>
      </c>
      <c r="CR168" s="177">
        <v>1.0147321447877364</v>
      </c>
      <c r="CS168" s="177">
        <v>0</v>
      </c>
      <c r="CT168" s="177">
        <v>0.88043408450598759</v>
      </c>
      <c r="CU168" s="177">
        <v>1131300255895.5859</v>
      </c>
      <c r="CV168" s="177">
        <v>14064312.722208343</v>
      </c>
      <c r="CW168" s="177">
        <v>0</v>
      </c>
      <c r="CX168" s="177">
        <v>6.8544495037476465E-5</v>
      </c>
      <c r="CY168" s="177">
        <v>33996889242249.656</v>
      </c>
      <c r="CZ168" s="177">
        <v>852790946.44526649</v>
      </c>
      <c r="DA168" s="177">
        <v>0</v>
      </c>
      <c r="DB168" s="177">
        <v>1.0856639861394499E-15</v>
      </c>
      <c r="DC168" s="177">
        <v>57679820991.905197</v>
      </c>
      <c r="DD168" s="177">
        <v>866797316.86300504</v>
      </c>
      <c r="DE168" s="177">
        <v>0</v>
      </c>
      <c r="DF168" s="177">
        <v>8.6616275687745298E-2</v>
      </c>
      <c r="DG168" s="177">
        <v>1654768.3013996477</v>
      </c>
      <c r="DH168" s="177">
        <v>24261461.088240441</v>
      </c>
      <c r="DI168" s="177">
        <v>0</v>
      </c>
      <c r="DJ168" s="177">
        <v>19.045744994301085</v>
      </c>
      <c r="DK168" s="177">
        <v>107251.00634546437</v>
      </c>
      <c r="DL168" s="177">
        <v>4.0691807213416649E-2</v>
      </c>
      <c r="DM168" s="177">
        <v>0.61021585659621491</v>
      </c>
      <c r="DN168" s="177">
        <v>1532.3055646313164</v>
      </c>
      <c r="DO168" s="177">
        <v>4.0691795005874477E-2</v>
      </c>
      <c r="DP168" s="177">
        <v>0</v>
      </c>
      <c r="DQ168" s="177">
        <v>1.5514631904266742E-2</v>
      </c>
      <c r="DR168" s="177">
        <v>904626657764.8866</v>
      </c>
      <c r="DS168" s="177">
        <v>5380203.9609102877</v>
      </c>
      <c r="DT168" s="177">
        <v>0</v>
      </c>
      <c r="DU168" s="177">
        <v>1.4138279580942901E-6</v>
      </c>
      <c r="DV168" s="177">
        <v>22313585197369.133</v>
      </c>
      <c r="DW168" s="177">
        <v>277101460.35096389</v>
      </c>
      <c r="DX168" s="177">
        <v>0</v>
      </c>
      <c r="DY168" s="177">
        <v>2.2691318132210804E-17</v>
      </c>
      <c r="DZ168" s="177">
        <v>37857687234.289734</v>
      </c>
      <c r="EA168" s="177">
        <v>281652617.59899753</v>
      </c>
      <c r="EB168" s="177">
        <v>0</v>
      </c>
      <c r="EC168" s="177">
        <v>9.2072005516172901E-4</v>
      </c>
      <c r="ED168" s="177">
        <v>543983.63102583447</v>
      </c>
      <c r="EE168" s="177">
        <v>261110.85340285095</v>
      </c>
      <c r="EF168" s="177">
        <v>0</v>
      </c>
      <c r="EG168" s="177">
        <v>30.342878268715793</v>
      </c>
      <c r="EH168" s="177">
        <v>161159.57810582904</v>
      </c>
      <c r="EI168" s="177">
        <v>1.4588177909855247E-2</v>
      </c>
      <c r="EJ168" s="177">
        <v>0.37460958846749903</v>
      </c>
      <c r="EK168" s="177">
        <v>955.50896218637627</v>
      </c>
      <c r="EL168" s="177">
        <v>1.4588173533401876E-2</v>
      </c>
      <c r="EM168" s="177">
        <v>0</v>
      </c>
      <c r="EN168" s="177">
        <v>3.1575384657823419E-2</v>
      </c>
      <c r="EO168" s="177">
        <v>2607694543139.1592</v>
      </c>
      <c r="EP168" s="177">
        <v>65058270.910968103</v>
      </c>
      <c r="EQ168" s="177">
        <v>0</v>
      </c>
      <c r="ER168" s="177">
        <v>2.1454030850666317E-6</v>
      </c>
      <c r="ES168" s="177">
        <v>84185660736480.453</v>
      </c>
      <c r="ET168" s="177">
        <v>4622086510.3033962</v>
      </c>
      <c r="EU168" s="177">
        <v>0</v>
      </c>
      <c r="EV168" s="177">
        <v>3.3714818519379428E-17</v>
      </c>
      <c r="EW168" s="177">
        <v>142843645466.32394</v>
      </c>
      <c r="EX168" s="177">
        <v>4698412289.7105713</v>
      </c>
      <c r="EY168" s="177">
        <v>0</v>
      </c>
      <c r="EZ168" s="177">
        <v>1.4129748524591326E-3</v>
      </c>
      <c r="FA168" s="177">
        <v>203929.69395980774</v>
      </c>
      <c r="FB168" s="184">
        <v>394136.32109636697</v>
      </c>
    </row>
    <row r="169" spans="2:160" ht="12.75" customHeight="1" x14ac:dyDescent="0.3">
      <c r="B169" s="180" t="s">
        <v>3976</v>
      </c>
      <c r="C169" s="278"/>
      <c r="D169" s="177">
        <f t="shared" ref="D169:AI169" si="0">D168*Molweight</f>
        <v>0</v>
      </c>
      <c r="E169" s="177">
        <f t="shared" si="0"/>
        <v>9631.4603069647892</v>
      </c>
      <c r="F169" s="177">
        <f t="shared" si="0"/>
        <v>24548.811206016617</v>
      </c>
      <c r="G169" s="177">
        <f t="shared" si="0"/>
        <v>4.9103536980290841</v>
      </c>
      <c r="H169" s="177">
        <f t="shared" si="0"/>
        <v>58.736800410425744</v>
      </c>
      <c r="I169" s="177">
        <f t="shared" si="0"/>
        <v>58.015803684345428</v>
      </c>
      <c r="J169" s="177">
        <f t="shared" si="0"/>
        <v>4.9103522249229723</v>
      </c>
      <c r="K169" s="177">
        <f t="shared" si="0"/>
        <v>0</v>
      </c>
      <c r="L169" s="177">
        <f t="shared" si="0"/>
        <v>0.67907339166220548</v>
      </c>
      <c r="M169" s="177">
        <f t="shared" si="0"/>
        <v>7725840.8914101385</v>
      </c>
      <c r="N169" s="177">
        <f t="shared" si="0"/>
        <v>22419.215839642136</v>
      </c>
      <c r="O169" s="177">
        <f t="shared" si="0"/>
        <v>0</v>
      </c>
      <c r="P169" s="177">
        <f t="shared" si="0"/>
        <v>1693.2651290776678</v>
      </c>
      <c r="Q169" s="177">
        <f t="shared" si="0"/>
        <v>7186862.1135568097</v>
      </c>
      <c r="R169" s="177">
        <f t="shared" si="0"/>
        <v>116074.04622893698</v>
      </c>
      <c r="S169" s="177">
        <f t="shared" si="0"/>
        <v>0</v>
      </c>
      <c r="T169" s="177">
        <f t="shared" si="0"/>
        <v>0.17152022501579822</v>
      </c>
      <c r="U169" s="177">
        <f t="shared" si="0"/>
        <v>767025.71389522066</v>
      </c>
      <c r="V169" s="177">
        <f t="shared" si="0"/>
        <v>5137.6264408180805</v>
      </c>
      <c r="W169" s="177">
        <f t="shared" si="0"/>
        <v>0</v>
      </c>
      <c r="X169" s="177">
        <f t="shared" si="0"/>
        <v>8.8227862432743213E-9</v>
      </c>
      <c r="Y169" s="177">
        <f t="shared" si="0"/>
        <v>1309944.6372051772</v>
      </c>
      <c r="Z169" s="177">
        <f t="shared" si="0"/>
        <v>2277287.4513384555</v>
      </c>
      <c r="AA169" s="177">
        <f t="shared" si="0"/>
        <v>0</v>
      </c>
      <c r="AB169" s="177">
        <f t="shared" si="0"/>
        <v>7.3328276470607584E-4</v>
      </c>
      <c r="AC169" s="177">
        <f t="shared" si="0"/>
        <v>3998790.8464842173</v>
      </c>
      <c r="AD169" s="177">
        <f t="shared" si="0"/>
        <v>38691356.962133281</v>
      </c>
      <c r="AE169" s="177">
        <f t="shared" si="0"/>
        <v>0</v>
      </c>
      <c r="AF169" s="177">
        <f t="shared" si="0"/>
        <v>2.2284655162006227E-9</v>
      </c>
      <c r="AG169" s="177">
        <f t="shared" si="0"/>
        <v>384097.03493705572</v>
      </c>
      <c r="AH169" s="177">
        <f t="shared" si="0"/>
        <v>1541288.0365637443</v>
      </c>
      <c r="AI169" s="177">
        <f t="shared" si="0"/>
        <v>0</v>
      </c>
      <c r="AJ169" s="177">
        <f t="shared" ref="AJ169:BO169" si="1">AJ168*Molweight</f>
        <v>0.25439012243523429</v>
      </c>
      <c r="AK169" s="177">
        <f t="shared" si="1"/>
        <v>49106.518617760317</v>
      </c>
      <c r="AL169" s="177">
        <f t="shared" si="1"/>
        <v>70584931.678507149</v>
      </c>
      <c r="AM169" s="177">
        <f t="shared" si="1"/>
        <v>0</v>
      </c>
      <c r="AN169" s="177">
        <f t="shared" si="1"/>
        <v>15.88859426969044</v>
      </c>
      <c r="AO169" s="177">
        <f t="shared" si="1"/>
        <v>3987678.5905492883</v>
      </c>
      <c r="AP169" s="177">
        <f t="shared" si="1"/>
        <v>16380690638.70302</v>
      </c>
      <c r="AQ169" s="177">
        <f t="shared" si="1"/>
        <v>0</v>
      </c>
      <c r="AR169" s="177">
        <f t="shared" si="1"/>
        <v>9.4218563864901572E-2</v>
      </c>
      <c r="AS169" s="177">
        <f t="shared" si="1"/>
        <v>18187.599488059375</v>
      </c>
      <c r="AT169" s="177">
        <f t="shared" si="1"/>
        <v>26142567.288335979</v>
      </c>
      <c r="AU169" s="177">
        <f t="shared" si="1"/>
        <v>0</v>
      </c>
      <c r="AV169" s="177">
        <f t="shared" si="1"/>
        <v>3476.9093482446442</v>
      </c>
      <c r="AW169" s="177">
        <f t="shared" si="1"/>
        <v>121241.58419522348</v>
      </c>
      <c r="AX169" s="177">
        <f t="shared" si="1"/>
        <v>2.551451246015692</v>
      </c>
      <c r="AY169" s="177">
        <f t="shared" si="1"/>
        <v>21.203693305501115</v>
      </c>
      <c r="AZ169" s="177">
        <f t="shared" si="1"/>
        <v>286.52825132832464</v>
      </c>
      <c r="BA169" s="177">
        <f t="shared" si="1"/>
        <v>2.5514504805803178</v>
      </c>
      <c r="BB169" s="177">
        <f t="shared" si="1"/>
        <v>0</v>
      </c>
      <c r="BC169" s="177">
        <f t="shared" si="1"/>
        <v>0.11912500163352156</v>
      </c>
      <c r="BD169" s="177">
        <f t="shared" si="1"/>
        <v>883788.83380334172</v>
      </c>
      <c r="BE169" s="177">
        <f t="shared" si="1"/>
        <v>246.66256091498997</v>
      </c>
      <c r="BF169" s="177">
        <f t="shared" si="1"/>
        <v>0</v>
      </c>
      <c r="BG169" s="177">
        <f t="shared" si="1"/>
        <v>1.1039297650908633</v>
      </c>
      <c r="BH169" s="177">
        <f t="shared" si="1"/>
        <v>406169.60217642953</v>
      </c>
      <c r="BI169" s="177">
        <f t="shared" si="1"/>
        <v>798.43564674433219</v>
      </c>
      <c r="BJ169" s="177">
        <f t="shared" si="1"/>
        <v>0</v>
      </c>
      <c r="BK169" s="177">
        <f t="shared" si="1"/>
        <v>4.0875492752077944</v>
      </c>
      <c r="BL169" s="177">
        <f t="shared" si="1"/>
        <v>31840904451.43721</v>
      </c>
      <c r="BM169" s="177">
        <f t="shared" si="1"/>
        <v>435749.59564094769</v>
      </c>
      <c r="BN169" s="177">
        <f t="shared" si="1"/>
        <v>0</v>
      </c>
      <c r="BO169" s="177">
        <f t="shared" si="1"/>
        <v>5.6603914210740302E-10</v>
      </c>
      <c r="BP169" s="177">
        <f t="shared" ref="BP169:CU169" si="2">BP168*Molweight</f>
        <v>150951.77512898977</v>
      </c>
      <c r="BQ169" s="177">
        <f t="shared" si="2"/>
        <v>25239.643010622938</v>
      </c>
      <c r="BR169" s="177">
        <f t="shared" si="2"/>
        <v>0</v>
      </c>
      <c r="BS169" s="177">
        <f t="shared" si="2"/>
        <v>1.7484615446600712E-7</v>
      </c>
      <c r="BT169" s="177">
        <f t="shared" si="2"/>
        <v>229705.23345777596</v>
      </c>
      <c r="BU169" s="177">
        <f t="shared" si="2"/>
        <v>270516.43280289439</v>
      </c>
      <c r="BV169" s="177">
        <f t="shared" si="2"/>
        <v>0</v>
      </c>
      <c r="BW169" s="177">
        <f t="shared" si="2"/>
        <v>9.7112941832248086E-10</v>
      </c>
      <c r="BX169" s="177">
        <f t="shared" si="2"/>
        <v>810328993.29105437</v>
      </c>
      <c r="BY169" s="177">
        <f t="shared" si="2"/>
        <v>6643596.2172220163</v>
      </c>
      <c r="BZ169" s="177">
        <f t="shared" si="2"/>
        <v>0</v>
      </c>
      <c r="CA169" s="177">
        <f t="shared" si="2"/>
        <v>4.4659882163802657E-2</v>
      </c>
      <c r="CB169" s="177">
        <f t="shared" si="2"/>
        <v>55044.117384131925</v>
      </c>
      <c r="CC169" s="177">
        <f t="shared" si="2"/>
        <v>12792971.835924439</v>
      </c>
      <c r="CD169" s="177">
        <f t="shared" si="2"/>
        <v>0</v>
      </c>
      <c r="CE169" s="177">
        <f t="shared" si="2"/>
        <v>9.9244553722822343E-2</v>
      </c>
      <c r="CF169" s="177">
        <f t="shared" si="2"/>
        <v>268820.01866543904</v>
      </c>
      <c r="CG169" s="177">
        <f t="shared" si="2"/>
        <v>113715686.7592632</v>
      </c>
      <c r="CH169" s="177">
        <f t="shared" si="2"/>
        <v>0</v>
      </c>
      <c r="CI169" s="177">
        <f t="shared" si="2"/>
        <v>1.6540697097704688E-2</v>
      </c>
      <c r="CJ169" s="177">
        <f t="shared" si="2"/>
        <v>20386.710142271077</v>
      </c>
      <c r="CK169" s="177">
        <f t="shared" si="2"/>
        <v>4738137.7170090517</v>
      </c>
      <c r="CL169" s="177">
        <f t="shared" si="2"/>
        <v>0</v>
      </c>
      <c r="CM169" s="177">
        <f t="shared" si="2"/>
        <v>182.26337627608052</v>
      </c>
      <c r="CN169" s="177">
        <f t="shared" si="2"/>
        <v>76769.159241939298</v>
      </c>
      <c r="CO169" s="177">
        <f t="shared" si="2"/>
        <v>0.14916567003349826</v>
      </c>
      <c r="CP169" s="177">
        <f t="shared" si="2"/>
        <v>3.2220438875783479</v>
      </c>
      <c r="CQ169" s="177">
        <f t="shared" si="2"/>
        <v>633.22059055688192</v>
      </c>
      <c r="CR169" s="177">
        <f t="shared" si="2"/>
        <v>0.14916562528379726</v>
      </c>
      <c r="CS169" s="177">
        <f t="shared" si="2"/>
        <v>0</v>
      </c>
      <c r="CT169" s="177">
        <f t="shared" si="2"/>
        <v>0.12942381042238016</v>
      </c>
      <c r="CU169" s="177">
        <f t="shared" si="2"/>
        <v>166301137616.65112</v>
      </c>
      <c r="CV169" s="177">
        <f t="shared" ref="CV169:EA169" si="3">CV168*Molweight</f>
        <v>2067453.9701646264</v>
      </c>
      <c r="CW169" s="177">
        <f t="shared" si="3"/>
        <v>0</v>
      </c>
      <c r="CX169" s="177">
        <f t="shared" si="3"/>
        <v>1.0076040770509041E-5</v>
      </c>
      <c r="CY169" s="177">
        <f t="shared" si="3"/>
        <v>4997542718610.6992</v>
      </c>
      <c r="CZ169" s="177">
        <f t="shared" si="3"/>
        <v>125360269.12745416</v>
      </c>
      <c r="DA169" s="177">
        <f t="shared" si="3"/>
        <v>0</v>
      </c>
      <c r="DB169" s="177">
        <f t="shared" si="3"/>
        <v>1.5959260596249912E-16</v>
      </c>
      <c r="DC169" s="177">
        <f t="shared" si="3"/>
        <v>8478933685.8100634</v>
      </c>
      <c r="DD169" s="177">
        <f t="shared" si="3"/>
        <v>127419205.57886173</v>
      </c>
      <c r="DE169" s="177">
        <f t="shared" si="3"/>
        <v>0</v>
      </c>
      <c r="DF169" s="177">
        <f t="shared" si="3"/>
        <v>1.2732592526098558E-2</v>
      </c>
      <c r="DG169" s="177">
        <f t="shared" si="3"/>
        <v>243250.9403057482</v>
      </c>
      <c r="DH169" s="177">
        <f t="shared" si="3"/>
        <v>3566434.7799713444</v>
      </c>
      <c r="DI169" s="177">
        <f t="shared" si="3"/>
        <v>0</v>
      </c>
      <c r="DJ169" s="177">
        <f t="shared" si="3"/>
        <v>2.7997245141622593</v>
      </c>
      <c r="DK169" s="177">
        <f t="shared" si="3"/>
        <v>15765.89793278326</v>
      </c>
      <c r="DL169" s="177">
        <f t="shared" si="3"/>
        <v>5.9816956603722469E-3</v>
      </c>
      <c r="DM169" s="177">
        <f t="shared" si="3"/>
        <v>8.9701730919643591E-2</v>
      </c>
      <c r="DN169" s="177">
        <f t="shared" si="3"/>
        <v>225.24891800080351</v>
      </c>
      <c r="DO169" s="177">
        <f t="shared" si="3"/>
        <v>5.9816938658635481E-3</v>
      </c>
      <c r="DP169" s="177">
        <f t="shared" si="3"/>
        <v>0</v>
      </c>
      <c r="DQ169" s="177">
        <f t="shared" si="3"/>
        <v>2.2806508899272109E-3</v>
      </c>
      <c r="DR169" s="177">
        <f t="shared" si="3"/>
        <v>132980118691.43832</v>
      </c>
      <c r="DS169" s="177">
        <f t="shared" si="3"/>
        <v>790889.98225381225</v>
      </c>
      <c r="DT169" s="177">
        <f t="shared" si="3"/>
        <v>0</v>
      </c>
      <c r="DU169" s="177">
        <f t="shared" si="3"/>
        <v>2.0783270983986063E-7</v>
      </c>
      <c r="DV169" s="177">
        <f t="shared" si="3"/>
        <v>3280097024013.2622</v>
      </c>
      <c r="DW169" s="177">
        <f t="shared" si="3"/>
        <v>40733914.671591692</v>
      </c>
      <c r="DX169" s="177">
        <f t="shared" si="3"/>
        <v>0</v>
      </c>
      <c r="DY169" s="177">
        <f t="shared" si="3"/>
        <v>3.3356237654349878E-18</v>
      </c>
      <c r="DZ169" s="177">
        <f t="shared" si="3"/>
        <v>5565080023.4405909</v>
      </c>
      <c r="EA169" s="177">
        <f t="shared" si="3"/>
        <v>41402934.787052631</v>
      </c>
      <c r="EB169" s="177">
        <f t="shared" ref="EB169:FB169" si="4">EB168*Molweight</f>
        <v>0</v>
      </c>
      <c r="EC169" s="177">
        <f t="shared" si="4"/>
        <v>1.3534584810877417E-4</v>
      </c>
      <c r="ED169" s="177">
        <f t="shared" si="4"/>
        <v>79965.593760797667</v>
      </c>
      <c r="EE169" s="177">
        <f t="shared" si="4"/>
        <v>38383.295450219084</v>
      </c>
      <c r="EF169" s="177">
        <f t="shared" si="4"/>
        <v>0</v>
      </c>
      <c r="EG169" s="177">
        <f t="shared" si="4"/>
        <v>4.4604031055012214</v>
      </c>
      <c r="EH169" s="177">
        <f t="shared" si="4"/>
        <v>23690.457981556869</v>
      </c>
      <c r="EI169" s="177">
        <f t="shared" si="4"/>
        <v>2.1444621527487214E-3</v>
      </c>
      <c r="EJ169" s="177">
        <f t="shared" si="4"/>
        <v>5.5067609504722358E-2</v>
      </c>
      <c r="EK169" s="177">
        <f t="shared" si="4"/>
        <v>140.45981744139729</v>
      </c>
      <c r="EL169" s="177">
        <f t="shared" si="4"/>
        <v>2.1444615094100756E-3</v>
      </c>
      <c r="EM169" s="177">
        <f t="shared" si="4"/>
        <v>0</v>
      </c>
      <c r="EN169" s="177">
        <f t="shared" si="4"/>
        <v>4.6415815447000425E-3</v>
      </c>
      <c r="EO169" s="177">
        <f t="shared" si="4"/>
        <v>383331097841.45636</v>
      </c>
      <c r="EP169" s="177">
        <f t="shared" si="4"/>
        <v>9563565.8239123113</v>
      </c>
      <c r="EQ169" s="177">
        <f t="shared" si="4"/>
        <v>0</v>
      </c>
      <c r="ER169" s="177">
        <f t="shared" si="4"/>
        <v>3.1537425350479486E-7</v>
      </c>
      <c r="ES169" s="177">
        <f t="shared" si="4"/>
        <v>12375292128262.625</v>
      </c>
      <c r="ET169" s="177">
        <f t="shared" si="4"/>
        <v>679446717.0145992</v>
      </c>
      <c r="EU169" s="177">
        <f t="shared" si="4"/>
        <v>0</v>
      </c>
      <c r="EV169" s="177">
        <f t="shared" si="4"/>
        <v>4.9560783223487759E-18</v>
      </c>
      <c r="EW169" s="177">
        <f t="shared" si="4"/>
        <v>20998015883.549618</v>
      </c>
      <c r="EX169" s="177">
        <f t="shared" si="4"/>
        <v>690666606.58745396</v>
      </c>
      <c r="EY169" s="177">
        <f t="shared" si="4"/>
        <v>0</v>
      </c>
      <c r="EZ169" s="177">
        <f t="shared" si="4"/>
        <v>2.0770730331149247E-4</v>
      </c>
      <c r="FA169" s="177">
        <f t="shared" si="4"/>
        <v>29977.665012091737</v>
      </c>
      <c r="FB169" s="177">
        <f t="shared" si="4"/>
        <v>57938.039201165942</v>
      </c>
    </row>
    <row r="170" spans="2:160" ht="12.75" customHeight="1" x14ac:dyDescent="0.3">
      <c r="B170" s="180" t="s">
        <v>3977</v>
      </c>
      <c r="C170" s="180"/>
      <c r="D170" s="187">
        <f>D171*8.314*TEMP.R</f>
        <v>0</v>
      </c>
      <c r="E170" s="187"/>
      <c r="F170" s="187"/>
      <c r="G170" s="187"/>
      <c r="H170" s="187"/>
      <c r="I170" s="187"/>
      <c r="J170" s="187"/>
      <c r="K170" s="370">
        <f>K171*KawD.R*8.314*TEMP.R</f>
        <v>0</v>
      </c>
      <c r="L170" s="187"/>
      <c r="M170" s="187"/>
      <c r="N170" s="187"/>
      <c r="O170" s="187">
        <f>O171*KawD.R*8.314*TEMP.R</f>
        <v>0</v>
      </c>
      <c r="P170" s="187"/>
      <c r="Q170" s="187"/>
      <c r="R170" s="187"/>
      <c r="S170" s="187">
        <f>S171*KawD.R*8.314*TEMP.R</f>
        <v>0</v>
      </c>
      <c r="T170" s="187"/>
      <c r="U170" s="187"/>
      <c r="V170" s="187"/>
      <c r="W170" s="187"/>
      <c r="X170" s="187"/>
      <c r="Y170" s="187"/>
      <c r="Z170" s="187"/>
      <c r="AA170" s="187">
        <f>AA171*KawD.R/Ksdw1.R*8.314*TEMP.R</f>
        <v>0</v>
      </c>
      <c r="AB170" s="187"/>
      <c r="AC170" s="187"/>
      <c r="AD170" s="187"/>
      <c r="AE170" s="187">
        <f>AE171*KawD.R/Ksdw2.R*8.314*TEMP.R</f>
        <v>0</v>
      </c>
      <c r="AF170" s="187"/>
      <c r="AG170" s="187"/>
      <c r="AH170" s="187"/>
      <c r="AI170" s="187">
        <f>AI171*KawD.R/Ks1w.R*8.314*TEMP.R</f>
        <v>0</v>
      </c>
      <c r="AJ170" s="187"/>
      <c r="AK170" s="187"/>
      <c r="AL170" s="187"/>
      <c r="AM170" s="187">
        <f>AM171*KawD.R/Ks2w.R*8.314*TEMP.R</f>
        <v>0</v>
      </c>
      <c r="AN170" s="187"/>
      <c r="AO170" s="187"/>
      <c r="AP170" s="187"/>
      <c r="AQ170" s="187">
        <f>AQ171*KawD.R/Ks3w.R*8.314*TEMP.R</f>
        <v>0</v>
      </c>
      <c r="AR170" s="187"/>
      <c r="AS170" s="187"/>
      <c r="AT170" s="187"/>
      <c r="AU170" s="187">
        <f>AU171*8.314*TEMP.C</f>
        <v>0</v>
      </c>
      <c r="AV170" s="187"/>
      <c r="AW170" s="187"/>
      <c r="AX170" s="187"/>
      <c r="AY170" s="187"/>
      <c r="AZ170" s="187"/>
      <c r="BA170" s="187"/>
      <c r="BB170" s="187">
        <f>BB171*Kaw.C*8.314*TEMP.C</f>
        <v>0</v>
      </c>
      <c r="BC170" s="187"/>
      <c r="BD170" s="187"/>
      <c r="BE170" s="187"/>
      <c r="BF170" s="187">
        <f>BF171*Kaw.C*8.314*TEMP.C</f>
        <v>0</v>
      </c>
      <c r="BG170" s="187"/>
      <c r="BH170" s="187"/>
      <c r="BI170" s="187"/>
      <c r="BJ170" s="187">
        <f>BJ171*Kaw.C*8.314*TEMP.C</f>
        <v>0</v>
      </c>
      <c r="BK170" s="187"/>
      <c r="BL170" s="187"/>
      <c r="BM170" s="187"/>
      <c r="BN170" s="187"/>
      <c r="BO170" s="187"/>
      <c r="BP170" s="187"/>
      <c r="BQ170" s="187"/>
      <c r="BR170" s="187">
        <f>BR171*Kaw.C/Ksdw1.C*8.314*TEMP.C</f>
        <v>0</v>
      </c>
      <c r="BS170" s="187"/>
      <c r="BT170" s="187"/>
      <c r="BU170" s="187"/>
      <c r="BV170" s="187">
        <f>BV171*Kaw.C/Ksdw2.C*8.314*TEMP.C</f>
        <v>0</v>
      </c>
      <c r="BW170" s="187"/>
      <c r="BX170" s="187"/>
      <c r="BY170" s="187"/>
      <c r="BZ170" s="187">
        <f>BZ171*Kaw.C/Ks1w.C*8.314*TEMP.C</f>
        <v>0</v>
      </c>
      <c r="CA170" s="187"/>
      <c r="CB170" s="187"/>
      <c r="CC170" s="187"/>
      <c r="CD170" s="187">
        <f>CD171*Kaw.C/Ks2w.C*8.314*TEMP.C</f>
        <v>0</v>
      </c>
      <c r="CE170" s="187"/>
      <c r="CF170" s="187"/>
      <c r="CG170" s="187"/>
      <c r="CH170" s="187">
        <f>CH171*Kaw.C/Ks3w.C*8.314*TEMP.C</f>
        <v>0</v>
      </c>
      <c r="CI170" s="187"/>
      <c r="CJ170" s="187"/>
      <c r="CK170" s="187"/>
      <c r="CL170" s="187">
        <f>CL171*8.314*TEMP.M</f>
        <v>0</v>
      </c>
      <c r="CM170" s="187"/>
      <c r="CN170" s="187"/>
      <c r="CO170" s="187"/>
      <c r="CP170" s="187"/>
      <c r="CQ170" s="187"/>
      <c r="CR170" s="187"/>
      <c r="CS170" s="187">
        <f>CS171*Kaw.M*8.314*TEMP.M</f>
        <v>0</v>
      </c>
      <c r="CT170" s="187"/>
      <c r="CU170" s="187"/>
      <c r="CV170" s="187"/>
      <c r="CW170" s="187">
        <f>CW171*Kaw.M*8.314*TEMP.M</f>
        <v>0</v>
      </c>
      <c r="CX170" s="187"/>
      <c r="CY170" s="187"/>
      <c r="CZ170" s="187"/>
      <c r="DA170" s="187">
        <f>DA171*Kaw.M/Ksdw.M*8.314*TEMP.M</f>
        <v>0</v>
      </c>
      <c r="DB170" s="187"/>
      <c r="DC170" s="187"/>
      <c r="DD170" s="187"/>
      <c r="DE170" s="177">
        <f>DE171*Kaw.M/Kslw.M*8.314*TEMP.M</f>
        <v>0</v>
      </c>
      <c r="DF170" s="177"/>
      <c r="DG170" s="177"/>
      <c r="DH170" s="177"/>
      <c r="DI170" s="187">
        <f>DI171*8.314*TEMP.A</f>
        <v>0</v>
      </c>
      <c r="DJ170" s="187"/>
      <c r="DK170" s="187"/>
      <c r="DL170" s="187"/>
      <c r="DM170" s="187"/>
      <c r="DN170" s="187"/>
      <c r="DO170" s="187"/>
      <c r="DP170" s="187">
        <f>DP171*Kaw.A*8.314*TEMP.A</f>
        <v>0</v>
      </c>
      <c r="DQ170" s="187"/>
      <c r="DR170" s="187"/>
      <c r="DS170" s="187"/>
      <c r="DT170" s="187">
        <f>DT171*Kaw.A*8.314*TEMP.A</f>
        <v>0</v>
      </c>
      <c r="DU170" s="187"/>
      <c r="DV170" s="187"/>
      <c r="DW170" s="187"/>
      <c r="DX170" s="187">
        <f>DX171*Kaw.A/Ksdw.A*8.314*TEMP.A</f>
        <v>0</v>
      </c>
      <c r="DY170" s="187"/>
      <c r="DZ170" s="187"/>
      <c r="EA170" s="187"/>
      <c r="EB170" s="177">
        <f>EB171*Kaw.A/Kslw.A*8.314*TEMP.A</f>
        <v>0</v>
      </c>
      <c r="EC170" s="177"/>
      <c r="ED170" s="177"/>
      <c r="EE170" s="177"/>
      <c r="EF170" s="187">
        <f>EF171*8.314*TEMP.T</f>
        <v>0</v>
      </c>
      <c r="EG170" s="187"/>
      <c r="EH170" s="187"/>
      <c r="EI170" s="187"/>
      <c r="EJ170" s="187"/>
      <c r="EK170" s="187"/>
      <c r="EL170" s="187"/>
      <c r="EM170" s="187">
        <f>EM171*Kaw.T*8.314*TEMP.T</f>
        <v>0</v>
      </c>
      <c r="EN170" s="187"/>
      <c r="EO170" s="187"/>
      <c r="EP170" s="187"/>
      <c r="EQ170" s="187">
        <f>EQ171*Kaw.T*8.314*TEMP.T</f>
        <v>0</v>
      </c>
      <c r="ER170" s="187"/>
      <c r="ES170" s="187"/>
      <c r="ET170" s="187"/>
      <c r="EU170" s="187">
        <f>EU171*Kaw.T/Ksdw.T*8.314*TEMP.T</f>
        <v>0</v>
      </c>
      <c r="EV170" s="187"/>
      <c r="EW170" s="187"/>
      <c r="EX170" s="187"/>
      <c r="EY170" s="187">
        <f>EY171*Kaw.T/Kslw.T*8.314*TEMP.T</f>
        <v>0</v>
      </c>
      <c r="EZ170" s="187"/>
      <c r="FA170" s="187"/>
      <c r="FB170" s="188"/>
    </row>
    <row r="171" spans="2:160" ht="12.75" customHeight="1" x14ac:dyDescent="0.3">
      <c r="B171" s="180" t="s">
        <v>3978</v>
      </c>
      <c r="C171" s="331"/>
      <c r="D171" s="177">
        <f>D168/D4</f>
        <v>0</v>
      </c>
      <c r="E171" s="177">
        <f t="shared" ref="E171:AI171" si="5">E168/E4</f>
        <v>2.8540383237646448E-10</v>
      </c>
      <c r="F171" s="177">
        <f t="shared" si="5"/>
        <v>7.2744158987157563E-10</v>
      </c>
      <c r="G171" s="177">
        <f>G168/G4</f>
        <v>1.4550584429320939E-13</v>
      </c>
      <c r="H171" s="177">
        <f t="shared" si="5"/>
        <v>5.8017190209272409E-6</v>
      </c>
      <c r="I171" s="177">
        <f t="shared" si="5"/>
        <v>5.7305026729052614E-6</v>
      </c>
      <c r="J171" s="177">
        <f t="shared" si="5"/>
        <v>4.8501933547152011E-7</v>
      </c>
      <c r="K171" s="29">
        <f t="shared" si="5"/>
        <v>0</v>
      </c>
      <c r="L171" s="177">
        <f t="shared" si="5"/>
        <v>8.0842575702074995E-11</v>
      </c>
      <c r="M171" s="177">
        <f t="shared" si="5"/>
        <v>9.1974871169255988E-4</v>
      </c>
      <c r="N171" s="177">
        <f t="shared" si="5"/>
        <v>2.6689709476924871E-6</v>
      </c>
      <c r="O171" s="177">
        <f t="shared" si="5"/>
        <v>0</v>
      </c>
      <c r="P171" s="177">
        <f t="shared" si="5"/>
        <v>6.1084982397217469E-7</v>
      </c>
      <c r="Q171" s="177">
        <f t="shared" si="5"/>
        <v>2.5926793043743717E-3</v>
      </c>
      <c r="R171" s="177">
        <f t="shared" si="5"/>
        <v>4.187401576344159E-5</v>
      </c>
      <c r="S171" s="177">
        <f t="shared" si="5"/>
        <v>0</v>
      </c>
      <c r="T171" s="177">
        <f t="shared" si="5"/>
        <v>1.1668042518081497E-10</v>
      </c>
      <c r="U171" s="177">
        <f t="shared" si="5"/>
        <v>5.2178619992872103E-4</v>
      </c>
      <c r="V171" s="177">
        <f t="shared" si="5"/>
        <v>3.4949839733456294E-6</v>
      </c>
      <c r="W171" s="177">
        <f t="shared" si="5"/>
        <v>0</v>
      </c>
      <c r="X171" s="177">
        <f t="shared" si="5"/>
        <v>3.5011275341400732E-15</v>
      </c>
      <c r="Y171" s="177">
        <f t="shared" si="5"/>
        <v>0.51982254936917849</v>
      </c>
      <c r="Z171" s="177">
        <f t="shared" si="5"/>
        <v>0.90369114463253319</v>
      </c>
      <c r="AA171" s="177">
        <f t="shared" si="5"/>
        <v>0</v>
      </c>
      <c r="AB171" s="177">
        <f t="shared" si="5"/>
        <v>2.6453367523520899E-11</v>
      </c>
      <c r="AC171" s="177">
        <f t="shared" si="5"/>
        <v>0.14425742565235253</v>
      </c>
      <c r="AD171" s="177">
        <f t="shared" si="5"/>
        <v>1.3958008219561937</v>
      </c>
      <c r="AE171" s="177">
        <f t="shared" si="5"/>
        <v>0</v>
      </c>
      <c r="AF171" s="177">
        <f t="shared" si="5"/>
        <v>5.053209787302995E-16</v>
      </c>
      <c r="AG171" s="177">
        <f t="shared" si="5"/>
        <v>8.7096833319060166E-2</v>
      </c>
      <c r="AH171" s="177">
        <f t="shared" si="5"/>
        <v>0.34949842098951089</v>
      </c>
      <c r="AI171" s="177">
        <f t="shared" si="5"/>
        <v>0</v>
      </c>
      <c r="AJ171" s="177">
        <f t="shared" ref="AJ171:BO171" si="6">AJ168/AJ4</f>
        <v>5.6082829008694149E-10</v>
      </c>
      <c r="AK171" s="177">
        <f t="shared" si="6"/>
        <v>1.0826019738849186E-4</v>
      </c>
      <c r="AL171" s="177">
        <f t="shared" si="6"/>
        <v>0.15561149214525435</v>
      </c>
      <c r="AM171" s="177">
        <f t="shared" si="6"/>
        <v>0</v>
      </c>
      <c r="AN171" s="177">
        <f t="shared" si="6"/>
        <v>3.9406482078435713E-9</v>
      </c>
      <c r="AO171" s="177">
        <f t="shared" si="6"/>
        <v>9.8901376827783953E-4</v>
      </c>
      <c r="AP171" s="177">
        <f t="shared" si="6"/>
        <v>4.0626966812151259</v>
      </c>
      <c r="AQ171" s="177">
        <f t="shared" si="6"/>
        <v>0</v>
      </c>
      <c r="AR171" s="177">
        <f t="shared" si="6"/>
        <v>5.6082829008694149E-10</v>
      </c>
      <c r="AS171" s="177">
        <f t="shared" si="6"/>
        <v>1.0826019738849186E-4</v>
      </c>
      <c r="AT171" s="177">
        <f t="shared" si="6"/>
        <v>0.15561149214525435</v>
      </c>
      <c r="AU171" s="177">
        <f t="shared" si="6"/>
        <v>0</v>
      </c>
      <c r="AV171" s="177">
        <f t="shared" si="6"/>
        <v>3.2854049576855129E-12</v>
      </c>
      <c r="AW171" s="177">
        <f t="shared" si="6"/>
        <v>1.1456372942070888E-10</v>
      </c>
      <c r="AX171" s="177">
        <f t="shared" si="6"/>
        <v>2.4109200825684038E-15</v>
      </c>
      <c r="AY171" s="177">
        <f t="shared" si="6"/>
        <v>6.6786056359993454E-8</v>
      </c>
      <c r="AZ171" s="177">
        <f t="shared" si="6"/>
        <v>9.0248862149780132E-7</v>
      </c>
      <c r="BA171" s="177">
        <f t="shared" si="6"/>
        <v>8.0363978643079286E-9</v>
      </c>
      <c r="BB171" s="177">
        <f t="shared" si="6"/>
        <v>0</v>
      </c>
      <c r="BC171" s="177">
        <f t="shared" si="6"/>
        <v>9.2990402401975483E-13</v>
      </c>
      <c r="BD171" s="177">
        <f t="shared" si="6"/>
        <v>6.8989614410732554E-6</v>
      </c>
      <c r="BE171" s="177">
        <f t="shared" si="6"/>
        <v>1.9254774801641811E-9</v>
      </c>
      <c r="BF171" s="177">
        <f t="shared" si="6"/>
        <v>0</v>
      </c>
      <c r="BG171" s="177">
        <f t="shared" si="6"/>
        <v>2.6113357288726633E-11</v>
      </c>
      <c r="BH171" s="177">
        <f t="shared" si="6"/>
        <v>9.6079046664531759E-6</v>
      </c>
      <c r="BI171" s="177">
        <f t="shared" si="6"/>
        <v>1.8886921953566621E-8</v>
      </c>
      <c r="BJ171" s="177">
        <f t="shared" si="6"/>
        <v>0</v>
      </c>
      <c r="BK171" s="177">
        <f t="shared" si="6"/>
        <v>3.7440597260300902E-14</v>
      </c>
      <c r="BL171" s="177">
        <f t="shared" si="6"/>
        <v>2.9165213669733172E-4</v>
      </c>
      <c r="BM171" s="177">
        <f t="shared" si="6"/>
        <v>3.9913219433672316E-9</v>
      </c>
      <c r="BN171" s="177">
        <f t="shared" si="6"/>
        <v>0</v>
      </c>
      <c r="BO171" s="177">
        <f t="shared" si="6"/>
        <v>1.4728564359021635E-17</v>
      </c>
      <c r="BP171" s="177">
        <f t="shared" ref="BP171:CU171" si="7">BP168/BP4</f>
        <v>3.9278254270868548E-3</v>
      </c>
      <c r="BQ171" s="177">
        <f t="shared" si="7"/>
        <v>6.5674558317056113E-4</v>
      </c>
      <c r="BR171" s="177">
        <f t="shared" si="7"/>
        <v>0</v>
      </c>
      <c r="BS171" s="177">
        <f t="shared" si="7"/>
        <v>4.1359697387586267E-16</v>
      </c>
      <c r="BT171" s="177">
        <f t="shared" si="7"/>
        <v>5.4336562180471208E-4</v>
      </c>
      <c r="BU171" s="177">
        <f t="shared" si="7"/>
        <v>6.399041393428097E-4</v>
      </c>
      <c r="BV171" s="177">
        <f t="shared" si="7"/>
        <v>0</v>
      </c>
      <c r="BW171" s="177">
        <f t="shared" si="7"/>
        <v>5.9301491743189503E-20</v>
      </c>
      <c r="BX171" s="177">
        <f t="shared" si="7"/>
        <v>4.948230091507682E-2</v>
      </c>
      <c r="BY171" s="177">
        <f t="shared" si="7"/>
        <v>4.056876033075232E-4</v>
      </c>
      <c r="BZ171" s="177">
        <f t="shared" si="7"/>
        <v>0</v>
      </c>
      <c r="CA171" s="177">
        <f t="shared" si="7"/>
        <v>6.4559330872316248E-12</v>
      </c>
      <c r="CB171" s="177">
        <f t="shared" si="7"/>
        <v>7.9570550001518601E-6</v>
      </c>
      <c r="CC171" s="177">
        <f t="shared" si="7"/>
        <v>1.8493235126918336E-3</v>
      </c>
      <c r="CD171" s="177">
        <f t="shared" si="7"/>
        <v>0</v>
      </c>
      <c r="CE171" s="177">
        <f t="shared" si="7"/>
        <v>1.6139893075093351E-12</v>
      </c>
      <c r="CF171" s="177">
        <f t="shared" si="7"/>
        <v>4.3717525999686659E-6</v>
      </c>
      <c r="CG171" s="177">
        <f t="shared" si="7"/>
        <v>1.8493297177608814E-3</v>
      </c>
      <c r="CH171" s="177">
        <f t="shared" si="7"/>
        <v>0</v>
      </c>
      <c r="CI171" s="177">
        <f t="shared" si="7"/>
        <v>6.4559330872316281E-12</v>
      </c>
      <c r="CJ171" s="177">
        <f t="shared" si="7"/>
        <v>7.9570550001518584E-6</v>
      </c>
      <c r="CK171" s="177">
        <f t="shared" si="7"/>
        <v>1.849323512691834E-3</v>
      </c>
      <c r="CL171" s="177">
        <f t="shared" si="7"/>
        <v>0</v>
      </c>
      <c r="CM171" s="177">
        <f t="shared" si="7"/>
        <v>1.5983865211395654E-14</v>
      </c>
      <c r="CN171" s="177">
        <f t="shared" si="7"/>
        <v>6.7323886936926119E-12</v>
      </c>
      <c r="CO171" s="177">
        <f t="shared" si="7"/>
        <v>1.308131130179143E-17</v>
      </c>
      <c r="CP171" s="177">
        <f t="shared" si="7"/>
        <v>9.4187353591438086E-10</v>
      </c>
      <c r="CQ171" s="177">
        <f t="shared" si="7"/>
        <v>1.8510415669411028E-7</v>
      </c>
      <c r="CR171" s="177">
        <f t="shared" si="7"/>
        <v>4.360435792466013E-11</v>
      </c>
      <c r="CS171" s="177">
        <f t="shared" si="7"/>
        <v>0</v>
      </c>
      <c r="CT171" s="177">
        <f t="shared" si="7"/>
        <v>2.2700030720326483E-16</v>
      </c>
      <c r="CU171" s="177">
        <f t="shared" si="7"/>
        <v>2.9168055865479576E-4</v>
      </c>
      <c r="CV171" s="177">
        <f t="shared" ref="CV171:EA171" si="8">CV168/CV4</f>
        <v>3.6261695960299545E-9</v>
      </c>
      <c r="CW171" s="177">
        <f t="shared" si="8"/>
        <v>0</v>
      </c>
      <c r="CX171" s="177">
        <f t="shared" si="8"/>
        <v>5.8908901508246112E-22</v>
      </c>
      <c r="CY171" s="177">
        <f t="shared" si="8"/>
        <v>2.9217800771067859E-4</v>
      </c>
      <c r="CZ171" s="177">
        <f t="shared" si="8"/>
        <v>7.3291046704481952E-9</v>
      </c>
      <c r="DA171" s="177">
        <f t="shared" si="8"/>
        <v>0</v>
      </c>
      <c r="DB171" s="177">
        <f t="shared" si="8"/>
        <v>9.3304754518318942E-28</v>
      </c>
      <c r="DC171" s="177">
        <f t="shared" si="8"/>
        <v>4.9571521271951087E-2</v>
      </c>
      <c r="DD171" s="177">
        <f t="shared" si="8"/>
        <v>7.44947901925264E-4</v>
      </c>
      <c r="DE171" s="177">
        <f t="shared" si="8"/>
        <v>0</v>
      </c>
      <c r="DF171" s="177">
        <f t="shared" si="8"/>
        <v>4.4664152685440805E-14</v>
      </c>
      <c r="DG171" s="177">
        <f t="shared" si="8"/>
        <v>8.532902562006393E-7</v>
      </c>
      <c r="DH171" s="177">
        <f t="shared" si="8"/>
        <v>1.2510554094054231E-5</v>
      </c>
      <c r="DI171" s="177">
        <f t="shared" si="8"/>
        <v>0</v>
      </c>
      <c r="DJ171" s="177">
        <f t="shared" si="8"/>
        <v>4.481353107770893E-16</v>
      </c>
      <c r="DK171" s="177">
        <f t="shared" si="8"/>
        <v>2.5235538475476687E-12</v>
      </c>
      <c r="DL171" s="177">
        <f t="shared" si="8"/>
        <v>9.5745457461088174E-19</v>
      </c>
      <c r="DM171" s="177">
        <f t="shared" si="8"/>
        <v>4.7860081542041321E-11</v>
      </c>
      <c r="DN171" s="177">
        <f t="shared" si="8"/>
        <v>1.2018086465279402E-7</v>
      </c>
      <c r="DO171" s="177">
        <f t="shared" si="8"/>
        <v>3.1915142912483641E-12</v>
      </c>
      <c r="DP171" s="177">
        <f t="shared" si="8"/>
        <v>0</v>
      </c>
      <c r="DQ171" s="177">
        <f t="shared" si="8"/>
        <v>6.0841693742222522E-18</v>
      </c>
      <c r="DR171" s="177">
        <f t="shared" si="8"/>
        <v>3.547555520646614E-4</v>
      </c>
      <c r="DS171" s="177">
        <f t="shared" si="8"/>
        <v>2.1098839062393284E-9</v>
      </c>
      <c r="DT171" s="177">
        <f t="shared" si="8"/>
        <v>0</v>
      </c>
      <c r="DU171" s="177">
        <f t="shared" si="8"/>
        <v>1.8481411216918827E-23</v>
      </c>
      <c r="DV171" s="177">
        <f t="shared" si="8"/>
        <v>2.916808522531913E-4</v>
      </c>
      <c r="DW171" s="177">
        <f t="shared" si="8"/>
        <v>3.6222413117773058E-9</v>
      </c>
      <c r="DX171" s="177">
        <f t="shared" si="8"/>
        <v>0</v>
      </c>
      <c r="DY171" s="177">
        <f t="shared" si="8"/>
        <v>2.9661853767595822E-29</v>
      </c>
      <c r="DZ171" s="177">
        <f t="shared" si="8"/>
        <v>4.9487172855280696E-2</v>
      </c>
      <c r="EA171" s="177">
        <f t="shared" si="8"/>
        <v>3.6817335633855888E-4</v>
      </c>
      <c r="EB171" s="177">
        <f t="shared" ref="EB171:FB171" si="9">EB168/EB4</f>
        <v>0</v>
      </c>
      <c r="EC171" s="177">
        <f t="shared" si="9"/>
        <v>1.0832000648961517E-15</v>
      </c>
      <c r="ED171" s="177">
        <f t="shared" si="9"/>
        <v>6.3998074238333464E-7</v>
      </c>
      <c r="EE171" s="177">
        <f t="shared" si="9"/>
        <v>3.071892392974717E-7</v>
      </c>
      <c r="EF171" s="177">
        <f t="shared" si="9"/>
        <v>0</v>
      </c>
      <c r="EG171" s="177">
        <f t="shared" si="9"/>
        <v>2.3798343036534904E-16</v>
      </c>
      <c r="EH171" s="177">
        <f t="shared" si="9"/>
        <v>1.2639970702252312E-12</v>
      </c>
      <c r="EI171" s="177">
        <f t="shared" si="9"/>
        <v>1.1441711597105831E-19</v>
      </c>
      <c r="EJ171" s="177">
        <f t="shared" si="9"/>
        <v>9.7937176692917468E-12</v>
      </c>
      <c r="EK171" s="177">
        <f t="shared" si="9"/>
        <v>2.4980633956579109E-8</v>
      </c>
      <c r="EL171" s="177">
        <f t="shared" si="9"/>
        <v>3.813902721530784E-13</v>
      </c>
      <c r="EM171" s="177">
        <f t="shared" si="9"/>
        <v>0</v>
      </c>
      <c r="EN171" s="177">
        <f t="shared" si="9"/>
        <v>3.5378582249662097E-18</v>
      </c>
      <c r="EO171" s="177">
        <f t="shared" si="9"/>
        <v>2.9217866029570416E-4</v>
      </c>
      <c r="EP171" s="177">
        <f t="shared" si="9"/>
        <v>7.2894421188759789E-9</v>
      </c>
      <c r="EQ171" s="177">
        <f t="shared" si="9"/>
        <v>0</v>
      </c>
      <c r="ER171" s="177">
        <f t="shared" si="9"/>
        <v>8.0127099348893816E-24</v>
      </c>
      <c r="ES171" s="177">
        <f t="shared" si="9"/>
        <v>3.1441890097658437E-4</v>
      </c>
      <c r="ET171" s="177">
        <f t="shared" si="9"/>
        <v>1.7262694716352554E-8</v>
      </c>
      <c r="EU171" s="177">
        <f t="shared" si="9"/>
        <v>0</v>
      </c>
      <c r="EV171" s="177">
        <f t="shared" si="9"/>
        <v>1.2591902341504922E-29</v>
      </c>
      <c r="EW171" s="177">
        <f t="shared" si="9"/>
        <v>5.3349634161092042E-2</v>
      </c>
      <c r="EX171" s="177">
        <f t="shared" si="9"/>
        <v>1.7547758318246765E-3</v>
      </c>
      <c r="EY171" s="177">
        <f t="shared" si="9"/>
        <v>0</v>
      </c>
      <c r="EZ171" s="177">
        <f t="shared" si="9"/>
        <v>7.3881038037078809E-16</v>
      </c>
      <c r="FA171" s="177">
        <f t="shared" si="9"/>
        <v>1.0662990533846154E-7</v>
      </c>
      <c r="FB171" s="184">
        <f t="shared" si="9"/>
        <v>2.0608435090006111E-7</v>
      </c>
    </row>
    <row r="172" spans="2:160" ht="12.75" customHeight="1" x14ac:dyDescent="0.3">
      <c r="B172" s="189" t="s">
        <v>3979</v>
      </c>
      <c r="C172" s="374">
        <f>SUM(D172:FB172)</f>
        <v>1.0000000000000002</v>
      </c>
      <c r="D172" s="190">
        <f t="shared" ref="D172:AI172" si="10">D168/SUM($D$168:$FB$168)</f>
        <v>0</v>
      </c>
      <c r="E172" s="190">
        <f t="shared" si="10"/>
        <v>4.4961346993259363E-10</v>
      </c>
      <c r="F172" s="190">
        <f t="shared" si="10"/>
        <v>1.1459815892171356E-9</v>
      </c>
      <c r="G172" s="190">
        <f t="shared" si="10"/>
        <v>2.2922392808603522E-13</v>
      </c>
      <c r="H172" s="190">
        <f t="shared" si="10"/>
        <v>2.7419369237469314E-12</v>
      </c>
      <c r="I172" s="190">
        <f t="shared" si="10"/>
        <v>2.7082795312548922E-12</v>
      </c>
      <c r="J172" s="190">
        <f t="shared" si="10"/>
        <v>2.2922385931885669E-13</v>
      </c>
      <c r="K172" s="190">
        <f t="shared" si="10"/>
        <v>0</v>
      </c>
      <c r="L172" s="190">
        <f t="shared" si="10"/>
        <v>3.1700337667731783E-14</v>
      </c>
      <c r="M172" s="190">
        <f t="shared" si="10"/>
        <v>3.6065581133342187E-7</v>
      </c>
      <c r="N172" s="190">
        <f t="shared" si="10"/>
        <v>1.0465683401654201E-9</v>
      </c>
      <c r="O172" s="190">
        <f t="shared" si="10"/>
        <v>0</v>
      </c>
      <c r="P172" s="190">
        <f t="shared" si="10"/>
        <v>7.9044587833679006E-11</v>
      </c>
      <c r="Q172" s="190">
        <f t="shared" si="10"/>
        <v>3.3549533609838137E-7</v>
      </c>
      <c r="R172" s="190">
        <f t="shared" si="10"/>
        <v>5.4185401829844691E-9</v>
      </c>
      <c r="S172" s="190">
        <f t="shared" si="10"/>
        <v>0</v>
      </c>
      <c r="T172" s="190">
        <f t="shared" si="10"/>
        <v>8.0068651144423187E-15</v>
      </c>
      <c r="U172" s="190">
        <f t="shared" si="10"/>
        <v>3.5806106422156255E-8</v>
      </c>
      <c r="V172" s="190">
        <f t="shared" si="10"/>
        <v>2.398334185734295E-10</v>
      </c>
      <c r="W172" s="190">
        <f t="shared" si="10"/>
        <v>0</v>
      </c>
      <c r="X172" s="190">
        <f t="shared" si="10"/>
        <v>4.1186314545091154E-22</v>
      </c>
      <c r="Y172" s="190">
        <f t="shared" si="10"/>
        <v>6.1150514561900005E-8</v>
      </c>
      <c r="Z172" s="190">
        <f t="shared" si="10"/>
        <v>1.0630777477116572E-7</v>
      </c>
      <c r="AA172" s="190">
        <f t="shared" si="10"/>
        <v>0</v>
      </c>
      <c r="AB172" s="190">
        <f t="shared" si="10"/>
        <v>3.4230926336565303E-17</v>
      </c>
      <c r="AC172" s="190">
        <f t="shared" si="10"/>
        <v>1.8667057442186011E-7</v>
      </c>
      <c r="AD172" s="190">
        <f t="shared" si="10"/>
        <v>1.8061804446793695E-6</v>
      </c>
      <c r="AE172" s="190">
        <f t="shared" si="10"/>
        <v>0</v>
      </c>
      <c r="AF172" s="190">
        <f t="shared" si="10"/>
        <v>1.0402868115851058E-22</v>
      </c>
      <c r="AG172" s="190">
        <f t="shared" si="10"/>
        <v>1.7930323664832977E-8</v>
      </c>
      <c r="AH172" s="190">
        <f t="shared" si="10"/>
        <v>7.1950030441791112E-8</v>
      </c>
      <c r="AI172" s="190">
        <f t="shared" si="10"/>
        <v>0</v>
      </c>
      <c r="AJ172" s="190">
        <f t="shared" ref="AJ172:BO172" si="11">AJ168/SUM($D$168:$FB$168)</f>
        <v>1.1875377359129386E-14</v>
      </c>
      <c r="AK172" s="190">
        <f t="shared" si="11"/>
        <v>2.2923784689300745E-9</v>
      </c>
      <c r="AL172" s="190">
        <f t="shared" si="11"/>
        <v>3.2950284843077709E-6</v>
      </c>
      <c r="AM172" s="190">
        <f t="shared" si="11"/>
        <v>0</v>
      </c>
      <c r="AN172" s="190">
        <f t="shared" si="11"/>
        <v>7.4170746431678754E-13</v>
      </c>
      <c r="AO172" s="190">
        <f t="shared" si="11"/>
        <v>1.8615183481328077E-7</v>
      </c>
      <c r="AP172" s="190">
        <f t="shared" si="11"/>
        <v>7.6467938643050705E-4</v>
      </c>
      <c r="AQ172" s="190">
        <f t="shared" si="11"/>
        <v>0</v>
      </c>
      <c r="AR172" s="190">
        <f t="shared" si="11"/>
        <v>4.3982879107886608E-15</v>
      </c>
      <c r="AS172" s="190">
        <f t="shared" si="11"/>
        <v>8.4902906256669405E-10</v>
      </c>
      <c r="AT172" s="190">
        <f t="shared" si="11"/>
        <v>1.2203809201139893E-6</v>
      </c>
      <c r="AU172" s="190">
        <f t="shared" si="11"/>
        <v>0</v>
      </c>
      <c r="AV172" s="190">
        <f t="shared" si="11"/>
        <v>1.6230823020418871E-10</v>
      </c>
      <c r="AW172" s="190">
        <f t="shared" si="11"/>
        <v>5.65976992406022E-9</v>
      </c>
      <c r="AX172" s="190">
        <f t="shared" si="11"/>
        <v>1.1910622185250613E-13</v>
      </c>
      <c r="AY172" s="190">
        <f t="shared" si="11"/>
        <v>9.8982561508133254E-13</v>
      </c>
      <c r="AZ172" s="190">
        <f t="shared" si="11"/>
        <v>1.33756416169091E-11</v>
      </c>
      <c r="BA172" s="190">
        <f t="shared" si="11"/>
        <v>1.1910618612063955E-13</v>
      </c>
      <c r="BB172" s="190">
        <f t="shared" si="11"/>
        <v>0</v>
      </c>
      <c r="BC172" s="190">
        <f t="shared" si="11"/>
        <v>5.5609641355675393E-15</v>
      </c>
      <c r="BD172" s="190">
        <f t="shared" si="11"/>
        <v>4.1256813773780056E-8</v>
      </c>
      <c r="BE172" s="190">
        <f t="shared" si="11"/>
        <v>1.1514641225822354E-11</v>
      </c>
      <c r="BF172" s="190">
        <f t="shared" si="11"/>
        <v>0</v>
      </c>
      <c r="BG172" s="190">
        <f t="shared" si="11"/>
        <v>5.1533378784259423E-14</v>
      </c>
      <c r="BH172" s="190">
        <f t="shared" si="11"/>
        <v>1.8960709839984313E-8</v>
      </c>
      <c r="BI172" s="190">
        <f t="shared" si="11"/>
        <v>3.7272377210649924E-11</v>
      </c>
      <c r="BJ172" s="190">
        <f t="shared" si="11"/>
        <v>0</v>
      </c>
      <c r="BK172" s="190">
        <f t="shared" si="11"/>
        <v>1.9081397364194664E-13</v>
      </c>
      <c r="BL172" s="190">
        <f t="shared" si="11"/>
        <v>1.4863892992270822E-3</v>
      </c>
      <c r="BM172" s="190">
        <f t="shared" si="11"/>
        <v>2.0341555846539327E-8</v>
      </c>
      <c r="BN172" s="190">
        <f t="shared" si="11"/>
        <v>0</v>
      </c>
      <c r="BO172" s="190">
        <f t="shared" si="11"/>
        <v>2.6423700528209874E-23</v>
      </c>
      <c r="BP172" s="190">
        <f t="shared" ref="BP172:CU172" si="12">BP168/SUM($D$168:$FB$168)</f>
        <v>7.0466937769707617E-9</v>
      </c>
      <c r="BQ172" s="190">
        <f t="shared" si="12"/>
        <v>1.1782308302366137E-9</v>
      </c>
      <c r="BR172" s="190">
        <f t="shared" si="12"/>
        <v>0</v>
      </c>
      <c r="BS172" s="190">
        <f t="shared" si="12"/>
        <v>8.1621253380428963E-21</v>
      </c>
      <c r="BT172" s="190">
        <f t="shared" si="12"/>
        <v>1.0723043420730647E-8</v>
      </c>
      <c r="BU172" s="190">
        <f t="shared" si="12"/>
        <v>1.2628181828081045E-8</v>
      </c>
      <c r="BV172" s="190">
        <f t="shared" si="12"/>
        <v>0</v>
      </c>
      <c r="BW172" s="190">
        <f t="shared" si="12"/>
        <v>4.5334025538147105E-23</v>
      </c>
      <c r="BX172" s="190">
        <f t="shared" si="12"/>
        <v>3.7827579499768608E-5</v>
      </c>
      <c r="BY172" s="190">
        <f t="shared" si="12"/>
        <v>3.1013473064891527E-7</v>
      </c>
      <c r="BZ172" s="190">
        <f t="shared" si="12"/>
        <v>0</v>
      </c>
      <c r="CA172" s="190">
        <f t="shared" si="12"/>
        <v>2.0848016756013475E-15</v>
      </c>
      <c r="CB172" s="190">
        <f t="shared" si="12"/>
        <v>2.569555999577773E-9</v>
      </c>
      <c r="CC172" s="190">
        <f t="shared" si="12"/>
        <v>5.9719837642279111E-7</v>
      </c>
      <c r="CD172" s="190">
        <f t="shared" si="12"/>
        <v>0</v>
      </c>
      <c r="CE172" s="190">
        <f t="shared" si="12"/>
        <v>4.6329099377549853E-15</v>
      </c>
      <c r="CF172" s="190">
        <f t="shared" si="12"/>
        <v>1.2548990239009923E-8</v>
      </c>
      <c r="CG172" s="190">
        <f t="shared" si="12"/>
        <v>5.3084478241194635E-6</v>
      </c>
      <c r="CH172" s="190">
        <f t="shared" si="12"/>
        <v>0</v>
      </c>
      <c r="CI172" s="190">
        <f t="shared" si="12"/>
        <v>7.7214876874123986E-16</v>
      </c>
      <c r="CJ172" s="190">
        <f t="shared" si="12"/>
        <v>9.5168740725102663E-10</v>
      </c>
      <c r="CK172" s="190">
        <f t="shared" si="12"/>
        <v>2.2118458386029301E-7</v>
      </c>
      <c r="CL172" s="190">
        <f t="shared" si="12"/>
        <v>0</v>
      </c>
      <c r="CM172" s="190">
        <f t="shared" si="12"/>
        <v>8.5083742690461487E-12</v>
      </c>
      <c r="CN172" s="190">
        <f t="shared" si="12"/>
        <v>3.5837190800253123E-9</v>
      </c>
      <c r="CO172" s="190">
        <f t="shared" si="12"/>
        <v>6.9633152565746884E-15</v>
      </c>
      <c r="CP172" s="190">
        <f t="shared" si="12"/>
        <v>1.5041066322223497E-13</v>
      </c>
      <c r="CQ172" s="190">
        <f t="shared" si="12"/>
        <v>2.9559848442418199E-11</v>
      </c>
      <c r="CR172" s="190">
        <f t="shared" si="12"/>
        <v>6.9633131675801117E-15</v>
      </c>
      <c r="CS172" s="190">
        <f t="shared" si="12"/>
        <v>0</v>
      </c>
      <c r="CT172" s="190">
        <f t="shared" si="12"/>
        <v>6.0417306038031579E-15</v>
      </c>
      <c r="CU172" s="190">
        <f t="shared" si="12"/>
        <v>7.7632289553735724E-3</v>
      </c>
      <c r="CV172" s="190">
        <f t="shared" ref="CV172:EA172" si="13">CV168/SUM($D$168:$FB$168)</f>
        <v>9.6512379621130368E-8</v>
      </c>
      <c r="CW172" s="190">
        <f t="shared" si="13"/>
        <v>0</v>
      </c>
      <c r="CX172" s="190">
        <f t="shared" si="13"/>
        <v>4.7036726619065693E-19</v>
      </c>
      <c r="CY172" s="190">
        <f t="shared" si="13"/>
        <v>0.23329406457981039</v>
      </c>
      <c r="CZ172" s="190">
        <f t="shared" si="13"/>
        <v>5.8520373648137501E-6</v>
      </c>
      <c r="DA172" s="190">
        <f t="shared" si="13"/>
        <v>0</v>
      </c>
      <c r="DB172" s="190">
        <f t="shared" si="13"/>
        <v>7.4500629245698332E-30</v>
      </c>
      <c r="DC172" s="190">
        <f t="shared" si="13"/>
        <v>3.9581150462185622E-4</v>
      </c>
      <c r="DD172" s="190">
        <f t="shared" si="13"/>
        <v>5.9481521317114181E-6</v>
      </c>
      <c r="DE172" s="190">
        <f t="shared" si="13"/>
        <v>0</v>
      </c>
      <c r="DF172" s="190">
        <f t="shared" si="13"/>
        <v>5.943797642769966E-16</v>
      </c>
      <c r="DG172" s="190">
        <f t="shared" si="13"/>
        <v>1.1355380788533782E-8</v>
      </c>
      <c r="DH172" s="190">
        <f t="shared" si="13"/>
        <v>1.6648743447051872E-7</v>
      </c>
      <c r="DI172" s="190">
        <f t="shared" si="13"/>
        <v>0</v>
      </c>
      <c r="DJ172" s="190">
        <f t="shared" si="13"/>
        <v>1.3069605371862125E-13</v>
      </c>
      <c r="DK172" s="190">
        <f t="shared" si="13"/>
        <v>7.3597978398310412E-10</v>
      </c>
      <c r="DL172" s="190">
        <f t="shared" si="13"/>
        <v>2.7923605104782323E-16</v>
      </c>
      <c r="DM172" s="190">
        <f t="shared" si="13"/>
        <v>4.187434222054176E-15</v>
      </c>
      <c r="DN172" s="190">
        <f t="shared" si="13"/>
        <v>1.0515014794554949E-11</v>
      </c>
      <c r="DO172" s="190">
        <f t="shared" si="13"/>
        <v>2.7923596727700787E-16</v>
      </c>
      <c r="DP172" s="190">
        <f t="shared" si="13"/>
        <v>0</v>
      </c>
      <c r="DQ172" s="190">
        <f t="shared" si="13"/>
        <v>1.064647859871806E-16</v>
      </c>
      <c r="DR172" s="190">
        <f t="shared" si="13"/>
        <v>6.2077453149726528E-3</v>
      </c>
      <c r="DS172" s="190">
        <f t="shared" si="13"/>
        <v>3.6920132349911982E-8</v>
      </c>
      <c r="DT172" s="190">
        <f t="shared" si="13"/>
        <v>0</v>
      </c>
      <c r="DU172" s="190">
        <f t="shared" si="13"/>
        <v>9.7019956328970469E-21</v>
      </c>
      <c r="DV172" s="190">
        <f t="shared" si="13"/>
        <v>0.1531206855118038</v>
      </c>
      <c r="DW172" s="190">
        <f t="shared" si="13"/>
        <v>1.9015306231588542E-6</v>
      </c>
      <c r="DX172" s="190">
        <f t="shared" si="13"/>
        <v>0</v>
      </c>
      <c r="DY172" s="190">
        <f t="shared" si="13"/>
        <v>1.5571277124844111E-31</v>
      </c>
      <c r="DZ172" s="190">
        <f t="shared" si="13"/>
        <v>2.5978770197311791E-4</v>
      </c>
      <c r="EA172" s="190">
        <f t="shared" si="13"/>
        <v>1.9327616562504386E-6</v>
      </c>
      <c r="EB172" s="190">
        <f t="shared" ref="EB172:FB172" si="14">EB168/SUM($D$168:$FB$168)</f>
        <v>0</v>
      </c>
      <c r="EC172" s="190">
        <f t="shared" si="14"/>
        <v>6.3181817159284674E-18</v>
      </c>
      <c r="ED172" s="190">
        <f t="shared" si="14"/>
        <v>3.7329342529723453E-9</v>
      </c>
      <c r="EE172" s="190">
        <f t="shared" si="14"/>
        <v>1.7917995926683548E-9</v>
      </c>
      <c r="EF172" s="190">
        <f t="shared" si="14"/>
        <v>0</v>
      </c>
      <c r="EG172" s="190">
        <f t="shared" si="14"/>
        <v>2.0821944478266873E-13</v>
      </c>
      <c r="EH172" s="190">
        <f t="shared" si="14"/>
        <v>1.1059121543259278E-9</v>
      </c>
      <c r="EI172" s="190">
        <f t="shared" si="14"/>
        <v>1.0010725673024331E-16</v>
      </c>
      <c r="EJ172" s="190">
        <f t="shared" si="14"/>
        <v>2.5706526529946075E-15</v>
      </c>
      <c r="EK172" s="190">
        <f t="shared" si="14"/>
        <v>6.5569107791741382E-12</v>
      </c>
      <c r="EL172" s="190">
        <f t="shared" si="14"/>
        <v>1.001072266980663E-16</v>
      </c>
      <c r="EM172" s="190">
        <f t="shared" si="14"/>
        <v>0</v>
      </c>
      <c r="EN172" s="190">
        <f t="shared" si="14"/>
        <v>2.1667717228492996E-16</v>
      </c>
      <c r="EO172" s="190">
        <f t="shared" si="14"/>
        <v>1.7894568377023353E-2</v>
      </c>
      <c r="EP172" s="190">
        <f t="shared" si="14"/>
        <v>4.4644403631177186E-7</v>
      </c>
      <c r="EQ172" s="190">
        <f t="shared" si="14"/>
        <v>0</v>
      </c>
      <c r="ER172" s="190">
        <f t="shared" si="14"/>
        <v>1.4722223622014519E-20</v>
      </c>
      <c r="ES172" s="190">
        <f t="shared" si="14"/>
        <v>0.57770035465900327</v>
      </c>
      <c r="ET172" s="190">
        <f t="shared" si="14"/>
        <v>3.1717765150351649E-5</v>
      </c>
      <c r="EU172" s="190">
        <f t="shared" si="14"/>
        <v>0</v>
      </c>
      <c r="EV172" s="190">
        <f t="shared" si="14"/>
        <v>2.313584337940507E-31</v>
      </c>
      <c r="EW172" s="190">
        <f t="shared" si="14"/>
        <v>9.8022423206950296E-4</v>
      </c>
      <c r="EX172" s="190">
        <f t="shared" si="14"/>
        <v>3.2241529286041833E-5</v>
      </c>
      <c r="EY172" s="190">
        <f t="shared" si="14"/>
        <v>0</v>
      </c>
      <c r="EZ172" s="190">
        <f t="shared" si="14"/>
        <v>9.6961414360696947E-18</v>
      </c>
      <c r="FA172" s="190">
        <f t="shared" si="14"/>
        <v>1.3994100122924118E-9</v>
      </c>
      <c r="FB172" s="329">
        <f t="shared" si="14"/>
        <v>2.7046493487067109E-9</v>
      </c>
    </row>
    <row r="173" spans="2:160" ht="12.75" customHeight="1" x14ac:dyDescent="0.3">
      <c r="B173" s="165"/>
      <c r="C173" s="531"/>
      <c r="D173" s="191"/>
      <c r="E173" s="191"/>
      <c r="F173" s="191"/>
      <c r="G173" s="191"/>
      <c r="H173" s="191"/>
      <c r="I173" s="191"/>
      <c r="J173" s="191"/>
      <c r="K173" s="191"/>
      <c r="L173" s="191"/>
      <c r="M173" s="191"/>
      <c r="N173" s="191"/>
      <c r="O173" s="191"/>
      <c r="P173" s="191"/>
      <c r="Q173" s="191"/>
      <c r="R173" s="191"/>
      <c r="S173" s="191"/>
      <c r="T173" s="191"/>
      <c r="U173" s="191"/>
      <c r="V173" s="191"/>
      <c r="W173" s="191"/>
      <c r="X173" s="191"/>
      <c r="Y173" s="191"/>
      <c r="Z173" s="191"/>
      <c r="AA173" s="191"/>
      <c r="AB173" s="191"/>
      <c r="AC173" s="191"/>
      <c r="AD173" s="191"/>
      <c r="AE173" s="191"/>
      <c r="AF173" s="191"/>
      <c r="AG173" s="191"/>
      <c r="AH173" s="191"/>
      <c r="AI173" s="191"/>
      <c r="AJ173" s="191"/>
      <c r="AK173" s="191"/>
      <c r="AL173" s="191"/>
      <c r="AM173" s="191"/>
      <c r="AN173" s="191"/>
      <c r="AO173" s="191"/>
      <c r="AP173" s="191"/>
      <c r="AQ173" s="191"/>
      <c r="AR173" s="191"/>
      <c r="AS173" s="191"/>
      <c r="AT173" s="191"/>
      <c r="AU173" s="191"/>
      <c r="AV173" s="191"/>
      <c r="AW173" s="191"/>
      <c r="AX173" s="191"/>
      <c r="AY173" s="191"/>
      <c r="AZ173" s="191"/>
      <c r="BA173" s="191"/>
      <c r="BB173" s="416"/>
      <c r="BC173" s="191"/>
      <c r="BD173" s="191"/>
      <c r="BE173" s="191"/>
      <c r="BF173" s="192"/>
      <c r="BG173" s="192"/>
      <c r="BH173" s="192"/>
      <c r="BI173" s="192"/>
      <c r="BJ173" s="191"/>
      <c r="BK173" s="191"/>
      <c r="BL173" s="191"/>
      <c r="BM173" s="191"/>
      <c r="BN173" s="191"/>
      <c r="BO173" s="191"/>
      <c r="BP173" s="191"/>
      <c r="BQ173" s="191"/>
      <c r="BR173" s="191"/>
      <c r="BS173" s="191"/>
      <c r="BT173" s="191"/>
      <c r="BU173" s="191"/>
      <c r="BV173" s="191"/>
      <c r="BW173" s="191"/>
      <c r="BX173" s="191"/>
      <c r="BY173" s="191"/>
      <c r="BZ173" s="191"/>
      <c r="CA173" s="191"/>
      <c r="CB173" s="191"/>
      <c r="CC173" s="191"/>
      <c r="CD173" s="191"/>
      <c r="CE173" s="191"/>
      <c r="CF173" s="191"/>
      <c r="CG173" s="191"/>
      <c r="CH173" s="191"/>
      <c r="CI173" s="191"/>
      <c r="CJ173" s="191"/>
      <c r="CK173" s="191"/>
      <c r="CL173" s="191"/>
      <c r="CM173" s="191"/>
      <c r="CN173" s="191"/>
      <c r="CO173" s="191"/>
      <c r="CP173" s="191"/>
      <c r="CQ173" s="191"/>
      <c r="CR173" s="191"/>
      <c r="CS173" s="191"/>
      <c r="CT173" s="191"/>
      <c r="CU173" s="191"/>
      <c r="CV173" s="191"/>
      <c r="CW173" s="191"/>
      <c r="CX173" s="191"/>
      <c r="CY173" s="191"/>
      <c r="CZ173" s="191"/>
      <c r="DA173" s="191"/>
      <c r="DB173" s="191"/>
      <c r="DC173" s="191"/>
      <c r="DD173" s="191"/>
      <c r="DE173" s="191"/>
      <c r="DF173" s="191"/>
      <c r="DG173" s="191"/>
      <c r="DH173" s="191"/>
      <c r="DI173" s="191"/>
      <c r="DJ173" s="191"/>
      <c r="DK173" s="191"/>
      <c r="DL173" s="191"/>
      <c r="DM173" s="191"/>
      <c r="DN173" s="191"/>
      <c r="DO173" s="191"/>
      <c r="DP173" s="191"/>
      <c r="DQ173" s="191"/>
      <c r="DR173" s="191"/>
      <c r="DS173" s="191"/>
      <c r="DT173" s="191"/>
      <c r="DU173" s="191"/>
      <c r="DV173" s="191"/>
      <c r="DW173" s="191"/>
      <c r="DX173" s="191"/>
      <c r="DY173" s="191"/>
      <c r="DZ173" s="191"/>
      <c r="EA173" s="191"/>
      <c r="EB173" s="191"/>
      <c r="EC173" s="191"/>
      <c r="ED173" s="191"/>
      <c r="EE173" s="191"/>
      <c r="EF173" s="191"/>
      <c r="EG173" s="191"/>
      <c r="EH173" s="191"/>
      <c r="EI173" s="191"/>
      <c r="EJ173" s="191"/>
      <c r="EK173" s="191"/>
      <c r="EL173" s="191"/>
      <c r="EM173" s="191"/>
      <c r="EN173" s="191"/>
      <c r="EO173" s="191"/>
      <c r="EP173" s="191"/>
      <c r="EQ173" s="191"/>
      <c r="ER173" s="191"/>
      <c r="ES173" s="191"/>
      <c r="ET173" s="191"/>
    </row>
    <row r="174" spans="2:160" ht="12.75" customHeight="1" x14ac:dyDescent="0.3">
      <c r="C174" s="525"/>
      <c r="O174" s="168"/>
      <c r="P174" s="168"/>
      <c r="Q174" s="168"/>
      <c r="R174" s="168"/>
      <c r="BF174" s="168"/>
      <c r="BG174" s="168"/>
      <c r="BH174" s="168"/>
      <c r="BI174" s="168"/>
    </row>
    <row r="175" spans="2:160" ht="12.75" customHeight="1" x14ac:dyDescent="0.3">
      <c r="B175" s="178" t="s">
        <v>3980</v>
      </c>
      <c r="C175" s="186" t="s">
        <v>3981</v>
      </c>
      <c r="D175" s="179" t="s">
        <v>3664</v>
      </c>
      <c r="E175" s="179" t="s">
        <v>3665</v>
      </c>
      <c r="F175" s="179" t="s">
        <v>3666</v>
      </c>
      <c r="G175" s="179" t="s">
        <v>3667</v>
      </c>
      <c r="H175" s="179" t="s">
        <v>3668</v>
      </c>
      <c r="I175" s="179" t="s">
        <v>3669</v>
      </c>
      <c r="J175" s="179" t="s">
        <v>3670</v>
      </c>
      <c r="K175" s="179" t="s">
        <v>3671</v>
      </c>
      <c r="L175" s="179" t="s">
        <v>3672</v>
      </c>
      <c r="M175" s="179" t="s">
        <v>3673</v>
      </c>
      <c r="N175" s="179" t="s">
        <v>3674</v>
      </c>
      <c r="O175" s="179" t="s">
        <v>3675</v>
      </c>
      <c r="P175" s="179" t="s">
        <v>3676</v>
      </c>
      <c r="Q175" s="179" t="s">
        <v>3677</v>
      </c>
      <c r="R175" s="179" t="s">
        <v>3678</v>
      </c>
      <c r="S175" s="179" t="s">
        <v>3679</v>
      </c>
      <c r="T175" s="179" t="s">
        <v>3680</v>
      </c>
      <c r="U175" s="179" t="s">
        <v>3681</v>
      </c>
      <c r="V175" s="179" t="s">
        <v>3682</v>
      </c>
      <c r="W175" s="179" t="s">
        <v>3683</v>
      </c>
      <c r="X175" s="179" t="s">
        <v>3684</v>
      </c>
      <c r="Y175" s="179" t="s">
        <v>3685</v>
      </c>
      <c r="Z175" s="179" t="s">
        <v>3686</v>
      </c>
      <c r="AA175" s="179" t="s">
        <v>3687</v>
      </c>
      <c r="AB175" s="179" t="s">
        <v>3688</v>
      </c>
      <c r="AC175" s="179" t="s">
        <v>3689</v>
      </c>
      <c r="AD175" s="179" t="s">
        <v>3690</v>
      </c>
      <c r="AE175" s="179" t="s">
        <v>3691</v>
      </c>
      <c r="AF175" s="179" t="s">
        <v>3692</v>
      </c>
      <c r="AG175" s="179" t="s">
        <v>3693</v>
      </c>
      <c r="AH175" s="179" t="s">
        <v>3694</v>
      </c>
      <c r="AI175" s="179" t="s">
        <v>3695</v>
      </c>
      <c r="AJ175" s="179" t="s">
        <v>3696</v>
      </c>
      <c r="AK175" s="179" t="s">
        <v>3697</v>
      </c>
      <c r="AL175" s="179" t="s">
        <v>3698</v>
      </c>
      <c r="AM175" s="179" t="s">
        <v>3699</v>
      </c>
      <c r="AN175" s="179" t="s">
        <v>3700</v>
      </c>
      <c r="AO175" s="179" t="s">
        <v>3701</v>
      </c>
      <c r="AP175" s="179" t="s">
        <v>3702</v>
      </c>
      <c r="AQ175" s="179" t="s">
        <v>3703</v>
      </c>
      <c r="AR175" s="179" t="s">
        <v>3704</v>
      </c>
      <c r="AS175" s="179" t="s">
        <v>3705</v>
      </c>
      <c r="AT175" s="179" t="s">
        <v>3706</v>
      </c>
      <c r="AU175" s="179" t="s">
        <v>3707</v>
      </c>
      <c r="AV175" s="179" t="s">
        <v>3708</v>
      </c>
      <c r="AW175" s="179" t="s">
        <v>3709</v>
      </c>
      <c r="AX175" s="179" t="s">
        <v>3710</v>
      </c>
      <c r="AY175" s="179" t="s">
        <v>3711</v>
      </c>
      <c r="AZ175" s="179" t="s">
        <v>3712</v>
      </c>
      <c r="BA175" s="179" t="s">
        <v>3713</v>
      </c>
      <c r="BB175" s="179" t="s">
        <v>3714</v>
      </c>
      <c r="BC175" s="179" t="s">
        <v>3715</v>
      </c>
      <c r="BD175" s="179" t="s">
        <v>3716</v>
      </c>
      <c r="BE175" s="179" t="s">
        <v>3717</v>
      </c>
      <c r="BF175" s="179" t="s">
        <v>3718</v>
      </c>
      <c r="BG175" s="179" t="s">
        <v>3719</v>
      </c>
      <c r="BH175" s="179" t="s">
        <v>3720</v>
      </c>
      <c r="BI175" s="179" t="s">
        <v>3721</v>
      </c>
      <c r="BJ175" s="179" t="s">
        <v>3722</v>
      </c>
      <c r="BK175" s="179" t="s">
        <v>3723</v>
      </c>
      <c r="BL175" s="179" t="s">
        <v>3724</v>
      </c>
      <c r="BM175" s="179" t="s">
        <v>3725</v>
      </c>
      <c r="BN175" s="179" t="s">
        <v>3726</v>
      </c>
      <c r="BO175" s="179" t="s">
        <v>3727</v>
      </c>
      <c r="BP175" s="179" t="s">
        <v>3728</v>
      </c>
      <c r="BQ175" s="179" t="s">
        <v>3729</v>
      </c>
      <c r="BR175" s="179" t="s">
        <v>3730</v>
      </c>
      <c r="BS175" s="179" t="s">
        <v>3731</v>
      </c>
      <c r="BT175" s="179" t="s">
        <v>3732</v>
      </c>
      <c r="BU175" s="179" t="s">
        <v>3733</v>
      </c>
      <c r="BV175" s="179" t="s">
        <v>3734</v>
      </c>
      <c r="BW175" s="179" t="s">
        <v>3735</v>
      </c>
      <c r="BX175" s="179" t="s">
        <v>3736</v>
      </c>
      <c r="BY175" s="179" t="s">
        <v>3737</v>
      </c>
      <c r="BZ175" s="179" t="s">
        <v>3738</v>
      </c>
      <c r="CA175" s="179" t="s">
        <v>3739</v>
      </c>
      <c r="CB175" s="179" t="s">
        <v>3740</v>
      </c>
      <c r="CC175" s="179" t="s">
        <v>3741</v>
      </c>
      <c r="CD175" s="179" t="s">
        <v>3742</v>
      </c>
      <c r="CE175" s="179" t="s">
        <v>3743</v>
      </c>
      <c r="CF175" s="179" t="s">
        <v>3744</v>
      </c>
      <c r="CG175" s="179" t="s">
        <v>3745</v>
      </c>
      <c r="CH175" s="179" t="s">
        <v>3746</v>
      </c>
      <c r="CI175" s="179" t="s">
        <v>3747</v>
      </c>
      <c r="CJ175" s="179" t="s">
        <v>3748</v>
      </c>
      <c r="CK175" s="179" t="s">
        <v>3749</v>
      </c>
      <c r="CL175" s="179" t="s">
        <v>3750</v>
      </c>
      <c r="CM175" s="179" t="s">
        <v>3751</v>
      </c>
      <c r="CN175" s="179" t="s">
        <v>3752</v>
      </c>
      <c r="CO175" s="179" t="s">
        <v>3753</v>
      </c>
      <c r="CP175" s="179" t="s">
        <v>3754</v>
      </c>
      <c r="CQ175" s="179" t="s">
        <v>3755</v>
      </c>
      <c r="CR175" s="179" t="s">
        <v>3756</v>
      </c>
      <c r="CS175" s="179" t="s">
        <v>3757</v>
      </c>
      <c r="CT175" s="179" t="s">
        <v>3758</v>
      </c>
      <c r="CU175" s="179" t="s">
        <v>3759</v>
      </c>
      <c r="CV175" s="179" t="s">
        <v>3760</v>
      </c>
      <c r="CW175" s="179" t="s">
        <v>3761</v>
      </c>
      <c r="CX175" s="179" t="s">
        <v>3762</v>
      </c>
      <c r="CY175" s="179" t="s">
        <v>3763</v>
      </c>
      <c r="CZ175" s="179" t="s">
        <v>3764</v>
      </c>
      <c r="DA175" s="179" t="s">
        <v>3765</v>
      </c>
      <c r="DB175" s="179" t="s">
        <v>3766</v>
      </c>
      <c r="DC175" s="179" t="s">
        <v>3767</v>
      </c>
      <c r="DD175" s="179" t="s">
        <v>3768</v>
      </c>
      <c r="DE175" s="179" t="s">
        <v>3769</v>
      </c>
      <c r="DF175" s="179" t="s">
        <v>3770</v>
      </c>
      <c r="DG175" s="179" t="s">
        <v>3771</v>
      </c>
      <c r="DH175" s="179" t="s">
        <v>3772</v>
      </c>
      <c r="DI175" s="179" t="s">
        <v>3773</v>
      </c>
      <c r="DJ175" s="179" t="s">
        <v>3774</v>
      </c>
      <c r="DK175" s="179" t="s">
        <v>3775</v>
      </c>
      <c r="DL175" s="179" t="s">
        <v>3776</v>
      </c>
      <c r="DM175" s="179" t="s">
        <v>3777</v>
      </c>
      <c r="DN175" s="179" t="s">
        <v>3778</v>
      </c>
      <c r="DO175" s="179" t="s">
        <v>3779</v>
      </c>
      <c r="DP175" s="179" t="s">
        <v>3780</v>
      </c>
      <c r="DQ175" s="179" t="s">
        <v>3781</v>
      </c>
      <c r="DR175" s="179" t="s">
        <v>3782</v>
      </c>
      <c r="DS175" s="179" t="s">
        <v>3783</v>
      </c>
      <c r="DT175" s="179" t="s">
        <v>3784</v>
      </c>
      <c r="DU175" s="179" t="s">
        <v>3785</v>
      </c>
      <c r="DV175" s="179" t="s">
        <v>3786</v>
      </c>
      <c r="DW175" s="179" t="s">
        <v>3787</v>
      </c>
      <c r="DX175" s="179" t="s">
        <v>3788</v>
      </c>
      <c r="DY175" s="179" t="s">
        <v>3789</v>
      </c>
      <c r="DZ175" s="179" t="s">
        <v>3790</v>
      </c>
      <c r="EA175" s="179" t="s">
        <v>3791</v>
      </c>
      <c r="EB175" s="179" t="s">
        <v>3792</v>
      </c>
      <c r="EC175" s="179" t="s">
        <v>3793</v>
      </c>
      <c r="ED175" s="179" t="s">
        <v>3794</v>
      </c>
      <c r="EE175" s="179" t="s">
        <v>3795</v>
      </c>
      <c r="EF175" s="179" t="s">
        <v>3796</v>
      </c>
      <c r="EG175" s="179" t="s">
        <v>3797</v>
      </c>
      <c r="EH175" s="179" t="s">
        <v>3798</v>
      </c>
      <c r="EI175" s="179" t="s">
        <v>3799</v>
      </c>
      <c r="EJ175" s="179" t="s">
        <v>3800</v>
      </c>
      <c r="EK175" s="179" t="s">
        <v>3801</v>
      </c>
      <c r="EL175" s="179" t="s">
        <v>3802</v>
      </c>
      <c r="EM175" s="179" t="s">
        <v>3803</v>
      </c>
      <c r="EN175" s="179" t="s">
        <v>3804</v>
      </c>
      <c r="EO175" s="179" t="s">
        <v>3805</v>
      </c>
      <c r="EP175" s="179" t="s">
        <v>3806</v>
      </c>
      <c r="EQ175" s="179" t="s">
        <v>3807</v>
      </c>
      <c r="ER175" s="179" t="s">
        <v>3808</v>
      </c>
      <c r="ES175" s="179" t="s">
        <v>3809</v>
      </c>
      <c r="ET175" s="179" t="s">
        <v>3810</v>
      </c>
      <c r="EU175" s="179" t="s">
        <v>3811</v>
      </c>
      <c r="EV175" s="179" t="s">
        <v>3812</v>
      </c>
      <c r="EW175" s="179" t="s">
        <v>3813</v>
      </c>
      <c r="EX175" s="179" t="s">
        <v>3814</v>
      </c>
      <c r="EY175" s="179" t="s">
        <v>3815</v>
      </c>
      <c r="EZ175" s="179" t="s">
        <v>3816</v>
      </c>
      <c r="FA175" s="179" t="s">
        <v>3817</v>
      </c>
      <c r="FB175" s="186" t="s">
        <v>3818</v>
      </c>
    </row>
    <row r="176" spans="2:160" ht="12.75" customHeight="1" x14ac:dyDescent="0.3">
      <c r="B176" s="180" t="s">
        <v>3819</v>
      </c>
      <c r="C176" s="193">
        <f t="array" ref="C176:C330">TRANSPOSE(D5:FB5)</f>
        <v>0</v>
      </c>
      <c r="D176" s="181">
        <f>C176+SUM(E176:FB176)-SUM(D177:D330)-D331</f>
        <v>0</v>
      </c>
      <c r="E176" s="176">
        <f t="shared" ref="E176:AJ176" si="15">E9*E$168</f>
        <v>0</v>
      </c>
      <c r="F176" s="176">
        <f t="shared" si="15"/>
        <v>0</v>
      </c>
      <c r="G176" s="176">
        <f t="shared" si="15"/>
        <v>0</v>
      </c>
      <c r="H176" s="176">
        <f t="shared" si="15"/>
        <v>0</v>
      </c>
      <c r="I176" s="176">
        <f t="shared" si="15"/>
        <v>0</v>
      </c>
      <c r="J176" s="176">
        <f t="shared" si="15"/>
        <v>0</v>
      </c>
      <c r="K176" s="176">
        <f t="shared" si="15"/>
        <v>0</v>
      </c>
      <c r="L176" s="176">
        <f t="shared" si="15"/>
        <v>0</v>
      </c>
      <c r="M176" s="176">
        <f t="shared" si="15"/>
        <v>0</v>
      </c>
      <c r="N176" s="176">
        <f t="shared" si="15"/>
        <v>0</v>
      </c>
      <c r="O176" s="176">
        <f t="shared" si="15"/>
        <v>0</v>
      </c>
      <c r="P176" s="176">
        <f t="shared" si="15"/>
        <v>0</v>
      </c>
      <c r="Q176" s="176">
        <f t="shared" si="15"/>
        <v>0</v>
      </c>
      <c r="R176" s="176">
        <f t="shared" si="15"/>
        <v>0</v>
      </c>
      <c r="S176" s="176">
        <f t="shared" si="15"/>
        <v>0</v>
      </c>
      <c r="T176" s="176">
        <f t="shared" si="15"/>
        <v>0</v>
      </c>
      <c r="U176" s="176">
        <f t="shared" si="15"/>
        <v>0</v>
      </c>
      <c r="V176" s="176">
        <f t="shared" si="15"/>
        <v>0</v>
      </c>
      <c r="W176" s="176">
        <f t="shared" si="15"/>
        <v>0</v>
      </c>
      <c r="X176" s="176">
        <f t="shared" si="15"/>
        <v>0</v>
      </c>
      <c r="Y176" s="176">
        <f t="shared" si="15"/>
        <v>0</v>
      </c>
      <c r="Z176" s="176">
        <f t="shared" si="15"/>
        <v>0</v>
      </c>
      <c r="AA176" s="176">
        <f t="shared" si="15"/>
        <v>0</v>
      </c>
      <c r="AB176" s="176">
        <f t="shared" si="15"/>
        <v>0</v>
      </c>
      <c r="AC176" s="176">
        <f t="shared" si="15"/>
        <v>0</v>
      </c>
      <c r="AD176" s="176">
        <f t="shared" si="15"/>
        <v>0</v>
      </c>
      <c r="AE176" s="176">
        <f t="shared" si="15"/>
        <v>0</v>
      </c>
      <c r="AF176" s="176">
        <f t="shared" si="15"/>
        <v>0</v>
      </c>
      <c r="AG176" s="176">
        <f t="shared" si="15"/>
        <v>0</v>
      </c>
      <c r="AH176" s="176">
        <f t="shared" si="15"/>
        <v>0</v>
      </c>
      <c r="AI176" s="176">
        <f t="shared" si="15"/>
        <v>0</v>
      </c>
      <c r="AJ176" s="176">
        <f t="shared" si="15"/>
        <v>0</v>
      </c>
      <c r="AK176" s="176">
        <f t="shared" ref="AK176:BP176" si="16">AK9*AK$168</f>
        <v>0</v>
      </c>
      <c r="AL176" s="176">
        <f t="shared" si="16"/>
        <v>0</v>
      </c>
      <c r="AM176" s="176">
        <f t="shared" si="16"/>
        <v>0</v>
      </c>
      <c r="AN176" s="176">
        <f t="shared" si="16"/>
        <v>0</v>
      </c>
      <c r="AO176" s="176">
        <f t="shared" si="16"/>
        <v>0</v>
      </c>
      <c r="AP176" s="176">
        <f t="shared" si="16"/>
        <v>0</v>
      </c>
      <c r="AQ176" s="176">
        <f t="shared" si="16"/>
        <v>0</v>
      </c>
      <c r="AR176" s="176">
        <f t="shared" si="16"/>
        <v>0</v>
      </c>
      <c r="AS176" s="176">
        <f t="shared" si="16"/>
        <v>0</v>
      </c>
      <c r="AT176" s="176">
        <f t="shared" si="16"/>
        <v>0</v>
      </c>
      <c r="AU176" s="176">
        <f t="shared" si="16"/>
        <v>0</v>
      </c>
      <c r="AV176" s="176">
        <f t="shared" si="16"/>
        <v>0</v>
      </c>
      <c r="AW176" s="176">
        <f t="shared" si="16"/>
        <v>0</v>
      </c>
      <c r="AX176" s="176">
        <f t="shared" si="16"/>
        <v>0</v>
      </c>
      <c r="AY176" s="176">
        <f t="shared" si="16"/>
        <v>0</v>
      </c>
      <c r="AZ176" s="176">
        <f t="shared" si="16"/>
        <v>0</v>
      </c>
      <c r="BA176" s="176">
        <f t="shared" si="16"/>
        <v>0</v>
      </c>
      <c r="BB176" s="176">
        <f t="shared" si="16"/>
        <v>0</v>
      </c>
      <c r="BC176" s="176">
        <f t="shared" si="16"/>
        <v>0</v>
      </c>
      <c r="BD176" s="176">
        <f t="shared" si="16"/>
        <v>0</v>
      </c>
      <c r="BE176" s="176">
        <f t="shared" si="16"/>
        <v>0</v>
      </c>
      <c r="BF176" s="176">
        <f t="shared" si="16"/>
        <v>0</v>
      </c>
      <c r="BG176" s="176">
        <f t="shared" si="16"/>
        <v>0</v>
      </c>
      <c r="BH176" s="176">
        <f t="shared" si="16"/>
        <v>0</v>
      </c>
      <c r="BI176" s="176">
        <f t="shared" si="16"/>
        <v>0</v>
      </c>
      <c r="BJ176" s="176">
        <f t="shared" si="16"/>
        <v>0</v>
      </c>
      <c r="BK176" s="176">
        <f t="shared" si="16"/>
        <v>0</v>
      </c>
      <c r="BL176" s="176">
        <f t="shared" si="16"/>
        <v>0</v>
      </c>
      <c r="BM176" s="176">
        <f t="shared" si="16"/>
        <v>0</v>
      </c>
      <c r="BN176" s="176">
        <f t="shared" si="16"/>
        <v>0</v>
      </c>
      <c r="BO176" s="176">
        <f t="shared" si="16"/>
        <v>0</v>
      </c>
      <c r="BP176" s="176">
        <f t="shared" si="16"/>
        <v>0</v>
      </c>
      <c r="BQ176" s="176">
        <f t="shared" ref="BQ176:CV176" si="17">BQ9*BQ$168</f>
        <v>0</v>
      </c>
      <c r="BR176" s="176">
        <f t="shared" si="17"/>
        <v>0</v>
      </c>
      <c r="BS176" s="176">
        <f t="shared" si="17"/>
        <v>0</v>
      </c>
      <c r="BT176" s="176">
        <f t="shared" si="17"/>
        <v>0</v>
      </c>
      <c r="BU176" s="176">
        <f t="shared" si="17"/>
        <v>0</v>
      </c>
      <c r="BV176" s="176">
        <f t="shared" si="17"/>
        <v>0</v>
      </c>
      <c r="BW176" s="176">
        <f t="shared" si="17"/>
        <v>0</v>
      </c>
      <c r="BX176" s="176">
        <f t="shared" si="17"/>
        <v>0</v>
      </c>
      <c r="BY176" s="176">
        <f t="shared" si="17"/>
        <v>0</v>
      </c>
      <c r="BZ176" s="176">
        <f t="shared" si="17"/>
        <v>0</v>
      </c>
      <c r="CA176" s="176">
        <f t="shared" si="17"/>
        <v>0</v>
      </c>
      <c r="CB176" s="176">
        <f t="shared" si="17"/>
        <v>0</v>
      </c>
      <c r="CC176" s="176">
        <f t="shared" si="17"/>
        <v>0</v>
      </c>
      <c r="CD176" s="176">
        <f t="shared" si="17"/>
        <v>0</v>
      </c>
      <c r="CE176" s="176">
        <f t="shared" si="17"/>
        <v>0</v>
      </c>
      <c r="CF176" s="176">
        <f t="shared" si="17"/>
        <v>0</v>
      </c>
      <c r="CG176" s="176">
        <f t="shared" si="17"/>
        <v>0</v>
      </c>
      <c r="CH176" s="176">
        <f t="shared" si="17"/>
        <v>0</v>
      </c>
      <c r="CI176" s="176">
        <f t="shared" si="17"/>
        <v>0</v>
      </c>
      <c r="CJ176" s="176">
        <f t="shared" si="17"/>
        <v>0</v>
      </c>
      <c r="CK176" s="176">
        <f t="shared" si="17"/>
        <v>0</v>
      </c>
      <c r="CL176" s="176">
        <f t="shared" si="17"/>
        <v>0</v>
      </c>
      <c r="CM176" s="176">
        <f t="shared" si="17"/>
        <v>0</v>
      </c>
      <c r="CN176" s="176">
        <f t="shared" si="17"/>
        <v>0</v>
      </c>
      <c r="CO176" s="176">
        <f t="shared" si="17"/>
        <v>0</v>
      </c>
      <c r="CP176" s="176">
        <f t="shared" si="17"/>
        <v>0</v>
      </c>
      <c r="CQ176" s="176">
        <f t="shared" si="17"/>
        <v>0</v>
      </c>
      <c r="CR176" s="176">
        <f t="shared" si="17"/>
        <v>0</v>
      </c>
      <c r="CS176" s="176">
        <f t="shared" si="17"/>
        <v>0</v>
      </c>
      <c r="CT176" s="176">
        <f t="shared" si="17"/>
        <v>0</v>
      </c>
      <c r="CU176" s="176">
        <f t="shared" si="17"/>
        <v>0</v>
      </c>
      <c r="CV176" s="176">
        <f t="shared" si="17"/>
        <v>0</v>
      </c>
      <c r="CW176" s="176">
        <f t="shared" ref="CW176:EB176" si="18">CW9*CW$168</f>
        <v>0</v>
      </c>
      <c r="CX176" s="176">
        <f t="shared" si="18"/>
        <v>0</v>
      </c>
      <c r="CY176" s="176">
        <f t="shared" si="18"/>
        <v>0</v>
      </c>
      <c r="CZ176" s="176">
        <f t="shared" si="18"/>
        <v>0</v>
      </c>
      <c r="DA176" s="176">
        <f t="shared" si="18"/>
        <v>0</v>
      </c>
      <c r="DB176" s="176">
        <f t="shared" si="18"/>
        <v>0</v>
      </c>
      <c r="DC176" s="176">
        <f t="shared" si="18"/>
        <v>0</v>
      </c>
      <c r="DD176" s="176">
        <f t="shared" si="18"/>
        <v>0</v>
      </c>
      <c r="DE176" s="176">
        <f t="shared" si="18"/>
        <v>0</v>
      </c>
      <c r="DF176" s="176">
        <f t="shared" si="18"/>
        <v>0</v>
      </c>
      <c r="DG176" s="176">
        <f t="shared" si="18"/>
        <v>0</v>
      </c>
      <c r="DH176" s="176">
        <f t="shared" si="18"/>
        <v>0</v>
      </c>
      <c r="DI176" s="176">
        <f t="shared" si="18"/>
        <v>0</v>
      </c>
      <c r="DJ176" s="176">
        <f t="shared" si="18"/>
        <v>0</v>
      </c>
      <c r="DK176" s="176">
        <f t="shared" si="18"/>
        <v>0</v>
      </c>
      <c r="DL176" s="176">
        <f t="shared" si="18"/>
        <v>0</v>
      </c>
      <c r="DM176" s="176">
        <f t="shared" si="18"/>
        <v>0</v>
      </c>
      <c r="DN176" s="176">
        <f t="shared" si="18"/>
        <v>0</v>
      </c>
      <c r="DO176" s="176">
        <f t="shared" si="18"/>
        <v>0</v>
      </c>
      <c r="DP176" s="176">
        <f t="shared" si="18"/>
        <v>0</v>
      </c>
      <c r="DQ176" s="176">
        <f t="shared" si="18"/>
        <v>0</v>
      </c>
      <c r="DR176" s="176">
        <f t="shared" si="18"/>
        <v>0</v>
      </c>
      <c r="DS176" s="176">
        <f t="shared" si="18"/>
        <v>0</v>
      </c>
      <c r="DT176" s="176">
        <f t="shared" si="18"/>
        <v>0</v>
      </c>
      <c r="DU176" s="176">
        <f t="shared" si="18"/>
        <v>0</v>
      </c>
      <c r="DV176" s="176">
        <f t="shared" si="18"/>
        <v>0</v>
      </c>
      <c r="DW176" s="176">
        <f t="shared" si="18"/>
        <v>0</v>
      </c>
      <c r="DX176" s="176">
        <f t="shared" si="18"/>
        <v>0</v>
      </c>
      <c r="DY176" s="176">
        <f t="shared" si="18"/>
        <v>0</v>
      </c>
      <c r="DZ176" s="176">
        <f t="shared" si="18"/>
        <v>0</v>
      </c>
      <c r="EA176" s="176">
        <f t="shared" si="18"/>
        <v>0</v>
      </c>
      <c r="EB176" s="176">
        <f t="shared" si="18"/>
        <v>0</v>
      </c>
      <c r="EC176" s="176">
        <f t="shared" ref="EC176:FB176" si="19">EC9*EC$168</f>
        <v>0</v>
      </c>
      <c r="ED176" s="176">
        <f t="shared" si="19"/>
        <v>0</v>
      </c>
      <c r="EE176" s="176">
        <f t="shared" si="19"/>
        <v>0</v>
      </c>
      <c r="EF176" s="176">
        <f t="shared" si="19"/>
        <v>0</v>
      </c>
      <c r="EG176" s="176">
        <f t="shared" si="19"/>
        <v>0</v>
      </c>
      <c r="EH176" s="176">
        <f t="shared" si="19"/>
        <v>0</v>
      </c>
      <c r="EI176" s="176">
        <f t="shared" si="19"/>
        <v>0</v>
      </c>
      <c r="EJ176" s="176">
        <f t="shared" si="19"/>
        <v>0</v>
      </c>
      <c r="EK176" s="176">
        <f t="shared" si="19"/>
        <v>0</v>
      </c>
      <c r="EL176" s="176">
        <f t="shared" si="19"/>
        <v>0</v>
      </c>
      <c r="EM176" s="176">
        <f t="shared" si="19"/>
        <v>0</v>
      </c>
      <c r="EN176" s="176">
        <f t="shared" si="19"/>
        <v>0</v>
      </c>
      <c r="EO176" s="176">
        <f t="shared" si="19"/>
        <v>0</v>
      </c>
      <c r="EP176" s="176">
        <f t="shared" si="19"/>
        <v>0</v>
      </c>
      <c r="EQ176" s="176">
        <f t="shared" si="19"/>
        <v>0</v>
      </c>
      <c r="ER176" s="176">
        <f t="shared" si="19"/>
        <v>0</v>
      </c>
      <c r="ES176" s="176">
        <f t="shared" si="19"/>
        <v>0</v>
      </c>
      <c r="ET176" s="176">
        <f t="shared" si="19"/>
        <v>0</v>
      </c>
      <c r="EU176" s="176">
        <f t="shared" si="19"/>
        <v>0</v>
      </c>
      <c r="EV176" s="176">
        <f t="shared" si="19"/>
        <v>0</v>
      </c>
      <c r="EW176" s="176">
        <f t="shared" si="19"/>
        <v>0</v>
      </c>
      <c r="EX176" s="176">
        <f t="shared" si="19"/>
        <v>0</v>
      </c>
      <c r="EY176" s="176">
        <f t="shared" si="19"/>
        <v>0</v>
      </c>
      <c r="EZ176" s="176">
        <f t="shared" si="19"/>
        <v>0</v>
      </c>
      <c r="FA176" s="176">
        <f t="shared" si="19"/>
        <v>0</v>
      </c>
      <c r="FB176" s="345">
        <f t="shared" si="19"/>
        <v>0</v>
      </c>
    </row>
    <row r="177" spans="2:158" ht="12.75" customHeight="1" x14ac:dyDescent="0.3">
      <c r="B177" s="180" t="s">
        <v>3820</v>
      </c>
      <c r="C177" s="193">
        <v>2.1571287063785434</v>
      </c>
      <c r="D177" s="182">
        <f t="shared" ref="D177:D208" si="20">D10*D$168</f>
        <v>0</v>
      </c>
      <c r="E177" s="181">
        <f>$C177+SUM($D177:D177,F177:$FB177)-SUM(E$176:E176,E178:E$330)-E$331</f>
        <v>-1.1347869800955313E-16</v>
      </c>
      <c r="F177" s="176">
        <f t="shared" ref="F177:AK177" si="21">F10*F$168</f>
        <v>0</v>
      </c>
      <c r="G177" s="176">
        <f t="shared" si="21"/>
        <v>0</v>
      </c>
      <c r="H177" s="176">
        <f t="shared" si="21"/>
        <v>0</v>
      </c>
      <c r="I177" s="176">
        <f t="shared" si="21"/>
        <v>0</v>
      </c>
      <c r="J177" s="176">
        <f t="shared" si="21"/>
        <v>0</v>
      </c>
      <c r="K177" s="176">
        <f t="shared" si="21"/>
        <v>0</v>
      </c>
      <c r="L177" s="176">
        <f t="shared" si="21"/>
        <v>0</v>
      </c>
      <c r="M177" s="176">
        <f t="shared" si="21"/>
        <v>0</v>
      </c>
      <c r="N177" s="176">
        <f t="shared" si="21"/>
        <v>0</v>
      </c>
      <c r="O177" s="176">
        <f t="shared" si="21"/>
        <v>0</v>
      </c>
      <c r="P177" s="176">
        <f t="shared" si="21"/>
        <v>0</v>
      </c>
      <c r="Q177" s="176">
        <f t="shared" si="21"/>
        <v>0</v>
      </c>
      <c r="R177" s="176">
        <f t="shared" si="21"/>
        <v>0</v>
      </c>
      <c r="S177" s="176">
        <f t="shared" si="21"/>
        <v>0</v>
      </c>
      <c r="T177" s="176">
        <f t="shared" si="21"/>
        <v>0</v>
      </c>
      <c r="U177" s="176">
        <f t="shared" si="21"/>
        <v>0</v>
      </c>
      <c r="V177" s="176">
        <f t="shared" si="21"/>
        <v>0</v>
      </c>
      <c r="W177" s="176">
        <f t="shared" si="21"/>
        <v>0</v>
      </c>
      <c r="X177" s="176">
        <f t="shared" si="21"/>
        <v>0</v>
      </c>
      <c r="Y177" s="176">
        <f t="shared" si="21"/>
        <v>0</v>
      </c>
      <c r="Z177" s="176">
        <f t="shared" si="21"/>
        <v>0</v>
      </c>
      <c r="AA177" s="176">
        <f t="shared" si="21"/>
        <v>0</v>
      </c>
      <c r="AB177" s="176">
        <f t="shared" si="21"/>
        <v>0</v>
      </c>
      <c r="AC177" s="176">
        <f t="shared" si="21"/>
        <v>0</v>
      </c>
      <c r="AD177" s="176">
        <f t="shared" si="21"/>
        <v>0</v>
      </c>
      <c r="AE177" s="176">
        <f t="shared" si="21"/>
        <v>0</v>
      </c>
      <c r="AF177" s="176">
        <f t="shared" si="21"/>
        <v>0</v>
      </c>
      <c r="AG177" s="176">
        <f t="shared" si="21"/>
        <v>0</v>
      </c>
      <c r="AH177" s="176">
        <f t="shared" si="21"/>
        <v>0</v>
      </c>
      <c r="AI177" s="176">
        <f t="shared" si="21"/>
        <v>0</v>
      </c>
      <c r="AJ177" s="176">
        <f t="shared" si="21"/>
        <v>0</v>
      </c>
      <c r="AK177" s="176">
        <f t="shared" si="21"/>
        <v>0</v>
      </c>
      <c r="AL177" s="176">
        <f t="shared" ref="AL177:BQ177" si="22">AL10*AL$168</f>
        <v>0</v>
      </c>
      <c r="AM177" s="176">
        <f t="shared" si="22"/>
        <v>0</v>
      </c>
      <c r="AN177" s="176">
        <f t="shared" si="22"/>
        <v>0</v>
      </c>
      <c r="AO177" s="176">
        <f t="shared" si="22"/>
        <v>0</v>
      </c>
      <c r="AP177" s="176">
        <f t="shared" si="22"/>
        <v>0</v>
      </c>
      <c r="AQ177" s="176">
        <f t="shared" si="22"/>
        <v>0</v>
      </c>
      <c r="AR177" s="176">
        <f t="shared" si="22"/>
        <v>0</v>
      </c>
      <c r="AS177" s="176">
        <f t="shared" si="22"/>
        <v>0</v>
      </c>
      <c r="AT177" s="176">
        <f t="shared" si="22"/>
        <v>0</v>
      </c>
      <c r="AU177" s="176">
        <f t="shared" si="22"/>
        <v>0</v>
      </c>
      <c r="AV177" s="176">
        <f t="shared" si="22"/>
        <v>7.1049560470973459E-3</v>
      </c>
      <c r="AW177" s="176">
        <f t="shared" si="22"/>
        <v>0</v>
      </c>
      <c r="AX177" s="176">
        <f t="shared" si="22"/>
        <v>0</v>
      </c>
      <c r="AY177" s="176">
        <f t="shared" si="22"/>
        <v>0</v>
      </c>
      <c r="AZ177" s="176">
        <f t="shared" si="22"/>
        <v>0</v>
      </c>
      <c r="BA177" s="176">
        <f t="shared" si="22"/>
        <v>0</v>
      </c>
      <c r="BB177" s="176">
        <f t="shared" si="22"/>
        <v>0</v>
      </c>
      <c r="BC177" s="176">
        <f t="shared" si="22"/>
        <v>0</v>
      </c>
      <c r="BD177" s="176">
        <f t="shared" si="22"/>
        <v>0</v>
      </c>
      <c r="BE177" s="176">
        <f t="shared" si="22"/>
        <v>0</v>
      </c>
      <c r="BF177" s="176">
        <f t="shared" si="22"/>
        <v>0</v>
      </c>
      <c r="BG177" s="176">
        <f t="shared" si="22"/>
        <v>0</v>
      </c>
      <c r="BH177" s="176">
        <f t="shared" si="22"/>
        <v>0</v>
      </c>
      <c r="BI177" s="176">
        <f t="shared" si="22"/>
        <v>0</v>
      </c>
      <c r="BJ177" s="176">
        <f t="shared" si="22"/>
        <v>0</v>
      </c>
      <c r="BK177" s="176">
        <f t="shared" si="22"/>
        <v>0</v>
      </c>
      <c r="BL177" s="176">
        <f t="shared" si="22"/>
        <v>0</v>
      </c>
      <c r="BM177" s="176">
        <f t="shared" si="22"/>
        <v>0</v>
      </c>
      <c r="BN177" s="176">
        <f t="shared" si="22"/>
        <v>0</v>
      </c>
      <c r="BO177" s="176">
        <f t="shared" si="22"/>
        <v>0</v>
      </c>
      <c r="BP177" s="176">
        <f t="shared" si="22"/>
        <v>0</v>
      </c>
      <c r="BQ177" s="176">
        <f t="shared" si="22"/>
        <v>0</v>
      </c>
      <c r="BR177" s="176">
        <f t="shared" ref="BR177:CW177" si="23">BR10*BR$168</f>
        <v>0</v>
      </c>
      <c r="BS177" s="176">
        <f t="shared" si="23"/>
        <v>0</v>
      </c>
      <c r="BT177" s="176">
        <f t="shared" si="23"/>
        <v>0</v>
      </c>
      <c r="BU177" s="176">
        <f t="shared" si="23"/>
        <v>0</v>
      </c>
      <c r="BV177" s="176">
        <f t="shared" si="23"/>
        <v>0</v>
      </c>
      <c r="BW177" s="176">
        <f t="shared" si="23"/>
        <v>0</v>
      </c>
      <c r="BX177" s="176">
        <f t="shared" si="23"/>
        <v>0</v>
      </c>
      <c r="BY177" s="176">
        <f t="shared" si="23"/>
        <v>0</v>
      </c>
      <c r="BZ177" s="176">
        <f t="shared" si="23"/>
        <v>0</v>
      </c>
      <c r="CA177" s="176">
        <f t="shared" si="23"/>
        <v>0</v>
      </c>
      <c r="CB177" s="176">
        <f t="shared" si="23"/>
        <v>0</v>
      </c>
      <c r="CC177" s="176">
        <f t="shared" si="23"/>
        <v>0</v>
      </c>
      <c r="CD177" s="176">
        <f t="shared" si="23"/>
        <v>0</v>
      </c>
      <c r="CE177" s="176">
        <f t="shared" si="23"/>
        <v>0</v>
      </c>
      <c r="CF177" s="176">
        <f t="shared" si="23"/>
        <v>0</v>
      </c>
      <c r="CG177" s="176">
        <f t="shared" si="23"/>
        <v>0</v>
      </c>
      <c r="CH177" s="176">
        <f t="shared" si="23"/>
        <v>0</v>
      </c>
      <c r="CI177" s="176">
        <f t="shared" si="23"/>
        <v>0</v>
      </c>
      <c r="CJ177" s="176">
        <f t="shared" si="23"/>
        <v>0</v>
      </c>
      <c r="CK177" s="176">
        <f t="shared" si="23"/>
        <v>0</v>
      </c>
      <c r="CL177" s="176">
        <f t="shared" si="23"/>
        <v>0</v>
      </c>
      <c r="CM177" s="176">
        <f t="shared" si="23"/>
        <v>0</v>
      </c>
      <c r="CN177" s="176">
        <f t="shared" si="23"/>
        <v>0</v>
      </c>
      <c r="CO177" s="176">
        <f t="shared" si="23"/>
        <v>0</v>
      </c>
      <c r="CP177" s="176">
        <f t="shared" si="23"/>
        <v>0</v>
      </c>
      <c r="CQ177" s="176">
        <f t="shared" si="23"/>
        <v>0</v>
      </c>
      <c r="CR177" s="176">
        <f t="shared" si="23"/>
        <v>0</v>
      </c>
      <c r="CS177" s="176">
        <f t="shared" si="23"/>
        <v>0</v>
      </c>
      <c r="CT177" s="176">
        <f t="shared" si="23"/>
        <v>0</v>
      </c>
      <c r="CU177" s="176">
        <f t="shared" si="23"/>
        <v>0</v>
      </c>
      <c r="CV177" s="176">
        <f t="shared" si="23"/>
        <v>0</v>
      </c>
      <c r="CW177" s="176">
        <f t="shared" si="23"/>
        <v>0</v>
      </c>
      <c r="CX177" s="176">
        <f t="shared" ref="CX177:EC177" si="24">CX10*CX$168</f>
        <v>0</v>
      </c>
      <c r="CY177" s="176">
        <f t="shared" si="24"/>
        <v>0</v>
      </c>
      <c r="CZ177" s="176">
        <f t="shared" si="24"/>
        <v>0</v>
      </c>
      <c r="DA177" s="176">
        <f t="shared" si="24"/>
        <v>0</v>
      </c>
      <c r="DB177" s="176">
        <f t="shared" si="24"/>
        <v>0</v>
      </c>
      <c r="DC177" s="176">
        <f t="shared" si="24"/>
        <v>0</v>
      </c>
      <c r="DD177" s="176">
        <f t="shared" si="24"/>
        <v>0</v>
      </c>
      <c r="DE177" s="176">
        <f t="shared" si="24"/>
        <v>0</v>
      </c>
      <c r="DF177" s="176">
        <f t="shared" si="24"/>
        <v>0</v>
      </c>
      <c r="DG177" s="176">
        <f t="shared" si="24"/>
        <v>0</v>
      </c>
      <c r="DH177" s="176">
        <f t="shared" si="24"/>
        <v>0</v>
      </c>
      <c r="DI177" s="176">
        <f t="shared" si="24"/>
        <v>0</v>
      </c>
      <c r="DJ177" s="176">
        <f t="shared" si="24"/>
        <v>0</v>
      </c>
      <c r="DK177" s="176">
        <f t="shared" si="24"/>
        <v>0</v>
      </c>
      <c r="DL177" s="176">
        <f t="shared" si="24"/>
        <v>0</v>
      </c>
      <c r="DM177" s="176">
        <f t="shared" si="24"/>
        <v>0</v>
      </c>
      <c r="DN177" s="176">
        <f t="shared" si="24"/>
        <v>0</v>
      </c>
      <c r="DO177" s="176">
        <f t="shared" si="24"/>
        <v>0</v>
      </c>
      <c r="DP177" s="176">
        <f t="shared" si="24"/>
        <v>0</v>
      </c>
      <c r="DQ177" s="176">
        <f t="shared" si="24"/>
        <v>0</v>
      </c>
      <c r="DR177" s="176">
        <f t="shared" si="24"/>
        <v>0</v>
      </c>
      <c r="DS177" s="176">
        <f t="shared" si="24"/>
        <v>0</v>
      </c>
      <c r="DT177" s="176">
        <f t="shared" si="24"/>
        <v>0</v>
      </c>
      <c r="DU177" s="176">
        <f t="shared" si="24"/>
        <v>0</v>
      </c>
      <c r="DV177" s="176">
        <f t="shared" si="24"/>
        <v>0</v>
      </c>
      <c r="DW177" s="176">
        <f t="shared" si="24"/>
        <v>0</v>
      </c>
      <c r="DX177" s="176">
        <f t="shared" si="24"/>
        <v>0</v>
      </c>
      <c r="DY177" s="176">
        <f t="shared" si="24"/>
        <v>0</v>
      </c>
      <c r="DZ177" s="176">
        <f t="shared" si="24"/>
        <v>0</v>
      </c>
      <c r="EA177" s="176">
        <f t="shared" si="24"/>
        <v>0</v>
      </c>
      <c r="EB177" s="176">
        <f t="shared" si="24"/>
        <v>0</v>
      </c>
      <c r="EC177" s="176">
        <f t="shared" si="24"/>
        <v>0</v>
      </c>
      <c r="ED177" s="176">
        <f t="shared" ref="ED177:FB177" si="25">ED10*ED$168</f>
        <v>0</v>
      </c>
      <c r="EE177" s="176">
        <f t="shared" si="25"/>
        <v>0</v>
      </c>
      <c r="EF177" s="182">
        <f t="shared" si="25"/>
        <v>0</v>
      </c>
      <c r="EG177" s="182">
        <f t="shared" si="25"/>
        <v>0</v>
      </c>
      <c r="EH177" s="182">
        <f t="shared" si="25"/>
        <v>0</v>
      </c>
      <c r="EI177" s="182">
        <f t="shared" si="25"/>
        <v>0</v>
      </c>
      <c r="EJ177" s="182">
        <f t="shared" si="25"/>
        <v>0</v>
      </c>
      <c r="EK177" s="182">
        <f t="shared" si="25"/>
        <v>0</v>
      </c>
      <c r="EL177" s="182">
        <f t="shared" si="25"/>
        <v>0</v>
      </c>
      <c r="EM177" s="182">
        <f t="shared" si="25"/>
        <v>0</v>
      </c>
      <c r="EN177" s="182">
        <f t="shared" si="25"/>
        <v>0</v>
      </c>
      <c r="EO177" s="182">
        <f t="shared" si="25"/>
        <v>0</v>
      </c>
      <c r="EP177" s="182">
        <f t="shared" si="25"/>
        <v>0</v>
      </c>
      <c r="EQ177" s="182">
        <f t="shared" si="25"/>
        <v>0</v>
      </c>
      <c r="ER177" s="182">
        <f t="shared" si="25"/>
        <v>0</v>
      </c>
      <c r="ES177" s="182">
        <f t="shared" si="25"/>
        <v>0</v>
      </c>
      <c r="ET177" s="182">
        <f t="shared" si="25"/>
        <v>0</v>
      </c>
      <c r="EU177" s="182">
        <f t="shared" si="25"/>
        <v>0</v>
      </c>
      <c r="EV177" s="182">
        <f t="shared" si="25"/>
        <v>0</v>
      </c>
      <c r="EW177" s="182">
        <f t="shared" si="25"/>
        <v>0</v>
      </c>
      <c r="EX177" s="182">
        <f t="shared" si="25"/>
        <v>0</v>
      </c>
      <c r="EY177" s="182">
        <f t="shared" si="25"/>
        <v>0</v>
      </c>
      <c r="EZ177" s="182">
        <f t="shared" si="25"/>
        <v>0</v>
      </c>
      <c r="FA177" s="182">
        <f t="shared" si="25"/>
        <v>0</v>
      </c>
      <c r="FB177" s="183">
        <f t="shared" si="25"/>
        <v>0</v>
      </c>
    </row>
    <row r="178" spans="2:158" ht="12.75" customHeight="1" x14ac:dyDescent="0.3">
      <c r="B178" s="180" t="s">
        <v>3821</v>
      </c>
      <c r="C178" s="193">
        <v>0</v>
      </c>
      <c r="D178" s="182">
        <f t="shared" si="20"/>
        <v>0</v>
      </c>
      <c r="E178" s="182">
        <f t="shared" ref="E178:E209" si="26">E11*E$168</f>
        <v>1.4057057823398327</v>
      </c>
      <c r="F178" s="181">
        <f>$C178+SUM($D178:E178,G178:$FB178)-SUM(F$176:F177,F179:F$330)-F$331</f>
        <v>-3.8184245262223859E-16</v>
      </c>
      <c r="G178" s="176">
        <f t="shared" ref="G178:AL178" si="27">G11*G$168</f>
        <v>0</v>
      </c>
      <c r="H178" s="176">
        <f t="shared" si="27"/>
        <v>0</v>
      </c>
      <c r="I178" s="176">
        <f t="shared" si="27"/>
        <v>0</v>
      </c>
      <c r="J178" s="176">
        <f t="shared" si="27"/>
        <v>0</v>
      </c>
      <c r="K178" s="176">
        <f t="shared" si="27"/>
        <v>0</v>
      </c>
      <c r="L178" s="176">
        <f t="shared" si="27"/>
        <v>0</v>
      </c>
      <c r="M178" s="176">
        <f t="shared" si="27"/>
        <v>0</v>
      </c>
      <c r="N178" s="176">
        <f t="shared" si="27"/>
        <v>0</v>
      </c>
      <c r="O178" s="176">
        <f t="shared" si="27"/>
        <v>0</v>
      </c>
      <c r="P178" s="176">
        <f t="shared" si="27"/>
        <v>0</v>
      </c>
      <c r="Q178" s="176">
        <f t="shared" si="27"/>
        <v>0</v>
      </c>
      <c r="R178" s="176">
        <f t="shared" si="27"/>
        <v>0</v>
      </c>
      <c r="S178" s="176">
        <f t="shared" si="27"/>
        <v>0</v>
      </c>
      <c r="T178" s="176">
        <f t="shared" si="27"/>
        <v>0</v>
      </c>
      <c r="U178" s="176">
        <f t="shared" si="27"/>
        <v>0</v>
      </c>
      <c r="V178" s="176">
        <f t="shared" si="27"/>
        <v>0</v>
      </c>
      <c r="W178" s="176">
        <f t="shared" si="27"/>
        <v>0</v>
      </c>
      <c r="X178" s="176">
        <f t="shared" si="27"/>
        <v>0</v>
      </c>
      <c r="Y178" s="176">
        <f t="shared" si="27"/>
        <v>0</v>
      </c>
      <c r="Z178" s="176">
        <f t="shared" si="27"/>
        <v>0</v>
      </c>
      <c r="AA178" s="176">
        <f t="shared" si="27"/>
        <v>0</v>
      </c>
      <c r="AB178" s="176">
        <f t="shared" si="27"/>
        <v>0</v>
      </c>
      <c r="AC178" s="176">
        <f t="shared" si="27"/>
        <v>0</v>
      </c>
      <c r="AD178" s="176">
        <f t="shared" si="27"/>
        <v>0</v>
      </c>
      <c r="AE178" s="176">
        <f t="shared" si="27"/>
        <v>0</v>
      </c>
      <c r="AF178" s="176">
        <f t="shared" si="27"/>
        <v>0</v>
      </c>
      <c r="AG178" s="176">
        <f t="shared" si="27"/>
        <v>0</v>
      </c>
      <c r="AH178" s="176">
        <f t="shared" si="27"/>
        <v>0</v>
      </c>
      <c r="AI178" s="176">
        <f t="shared" si="27"/>
        <v>0</v>
      </c>
      <c r="AJ178" s="176">
        <f t="shared" si="27"/>
        <v>0</v>
      </c>
      <c r="AK178" s="176">
        <f t="shared" si="27"/>
        <v>0</v>
      </c>
      <c r="AL178" s="176">
        <f t="shared" si="27"/>
        <v>0</v>
      </c>
      <c r="AM178" s="176">
        <f t="shared" ref="AM178:BR178" si="28">AM11*AM$168</f>
        <v>0</v>
      </c>
      <c r="AN178" s="176">
        <f t="shared" si="28"/>
        <v>0</v>
      </c>
      <c r="AO178" s="176">
        <f t="shared" si="28"/>
        <v>0</v>
      </c>
      <c r="AP178" s="176">
        <f t="shared" si="28"/>
        <v>0</v>
      </c>
      <c r="AQ178" s="176">
        <f t="shared" si="28"/>
        <v>0</v>
      </c>
      <c r="AR178" s="176">
        <f t="shared" si="28"/>
        <v>0</v>
      </c>
      <c r="AS178" s="176">
        <f t="shared" si="28"/>
        <v>0</v>
      </c>
      <c r="AT178" s="176">
        <f t="shared" si="28"/>
        <v>0</v>
      </c>
      <c r="AU178" s="176">
        <f t="shared" si="28"/>
        <v>0</v>
      </c>
      <c r="AV178" s="176">
        <f t="shared" si="28"/>
        <v>0</v>
      </c>
      <c r="AW178" s="176">
        <f t="shared" si="28"/>
        <v>0.24775340410367913</v>
      </c>
      <c r="AX178" s="176">
        <f t="shared" si="28"/>
        <v>0</v>
      </c>
      <c r="AY178" s="176">
        <f t="shared" si="28"/>
        <v>0</v>
      </c>
      <c r="AZ178" s="176">
        <f t="shared" si="28"/>
        <v>0</v>
      </c>
      <c r="BA178" s="176">
        <f t="shared" si="28"/>
        <v>0</v>
      </c>
      <c r="BB178" s="176">
        <f t="shared" si="28"/>
        <v>0</v>
      </c>
      <c r="BC178" s="176">
        <f t="shared" si="28"/>
        <v>0</v>
      </c>
      <c r="BD178" s="176">
        <f t="shared" si="28"/>
        <v>0</v>
      </c>
      <c r="BE178" s="176">
        <f t="shared" si="28"/>
        <v>0</v>
      </c>
      <c r="BF178" s="176">
        <f t="shared" si="28"/>
        <v>0</v>
      </c>
      <c r="BG178" s="176">
        <f t="shared" si="28"/>
        <v>0</v>
      </c>
      <c r="BH178" s="176">
        <f t="shared" si="28"/>
        <v>0</v>
      </c>
      <c r="BI178" s="176">
        <f t="shared" si="28"/>
        <v>0</v>
      </c>
      <c r="BJ178" s="176">
        <f t="shared" si="28"/>
        <v>0</v>
      </c>
      <c r="BK178" s="176">
        <f t="shared" si="28"/>
        <v>0</v>
      </c>
      <c r="BL178" s="176">
        <f t="shared" si="28"/>
        <v>0</v>
      </c>
      <c r="BM178" s="176">
        <f t="shared" si="28"/>
        <v>0</v>
      </c>
      <c r="BN178" s="176">
        <f t="shared" si="28"/>
        <v>0</v>
      </c>
      <c r="BO178" s="176">
        <f t="shared" si="28"/>
        <v>0</v>
      </c>
      <c r="BP178" s="176">
        <f t="shared" si="28"/>
        <v>0</v>
      </c>
      <c r="BQ178" s="176">
        <f t="shared" si="28"/>
        <v>0</v>
      </c>
      <c r="BR178" s="176">
        <f t="shared" si="28"/>
        <v>0</v>
      </c>
      <c r="BS178" s="176">
        <f t="shared" ref="BS178:CX178" si="29">BS11*BS$168</f>
        <v>0</v>
      </c>
      <c r="BT178" s="176">
        <f t="shared" si="29"/>
        <v>0</v>
      </c>
      <c r="BU178" s="176">
        <f t="shared" si="29"/>
        <v>0</v>
      </c>
      <c r="BV178" s="176">
        <f t="shared" si="29"/>
        <v>0</v>
      </c>
      <c r="BW178" s="176">
        <f t="shared" si="29"/>
        <v>0</v>
      </c>
      <c r="BX178" s="176">
        <f t="shared" si="29"/>
        <v>0</v>
      </c>
      <c r="BY178" s="176">
        <f t="shared" si="29"/>
        <v>0</v>
      </c>
      <c r="BZ178" s="176">
        <f t="shared" si="29"/>
        <v>0</v>
      </c>
      <c r="CA178" s="176">
        <f t="shared" si="29"/>
        <v>0</v>
      </c>
      <c r="CB178" s="176">
        <f t="shared" si="29"/>
        <v>0</v>
      </c>
      <c r="CC178" s="176">
        <f t="shared" si="29"/>
        <v>0</v>
      </c>
      <c r="CD178" s="176">
        <f t="shared" si="29"/>
        <v>0</v>
      </c>
      <c r="CE178" s="176">
        <f t="shared" si="29"/>
        <v>0</v>
      </c>
      <c r="CF178" s="176">
        <f t="shared" si="29"/>
        <v>0</v>
      </c>
      <c r="CG178" s="176">
        <f t="shared" si="29"/>
        <v>0</v>
      </c>
      <c r="CH178" s="176">
        <f t="shared" si="29"/>
        <v>0</v>
      </c>
      <c r="CI178" s="176">
        <f t="shared" si="29"/>
        <v>0</v>
      </c>
      <c r="CJ178" s="176">
        <f t="shared" si="29"/>
        <v>0</v>
      </c>
      <c r="CK178" s="176">
        <f t="shared" si="29"/>
        <v>0</v>
      </c>
      <c r="CL178" s="176">
        <f t="shared" si="29"/>
        <v>0</v>
      </c>
      <c r="CM178" s="176">
        <f t="shared" si="29"/>
        <v>0</v>
      </c>
      <c r="CN178" s="176">
        <f t="shared" si="29"/>
        <v>0</v>
      </c>
      <c r="CO178" s="176">
        <f t="shared" si="29"/>
        <v>0</v>
      </c>
      <c r="CP178" s="176">
        <f t="shared" si="29"/>
        <v>0</v>
      </c>
      <c r="CQ178" s="176">
        <f t="shared" si="29"/>
        <v>0</v>
      </c>
      <c r="CR178" s="176">
        <f t="shared" si="29"/>
        <v>0</v>
      </c>
      <c r="CS178" s="176">
        <f t="shared" si="29"/>
        <v>0</v>
      </c>
      <c r="CT178" s="176">
        <f t="shared" si="29"/>
        <v>0</v>
      </c>
      <c r="CU178" s="176">
        <f t="shared" si="29"/>
        <v>0</v>
      </c>
      <c r="CV178" s="176">
        <f t="shared" si="29"/>
        <v>0</v>
      </c>
      <c r="CW178" s="176">
        <f t="shared" si="29"/>
        <v>0</v>
      </c>
      <c r="CX178" s="176">
        <f t="shared" si="29"/>
        <v>0</v>
      </c>
      <c r="CY178" s="176">
        <f t="shared" ref="CY178:ED178" si="30">CY11*CY$168</f>
        <v>0</v>
      </c>
      <c r="CZ178" s="176">
        <f t="shared" si="30"/>
        <v>0</v>
      </c>
      <c r="DA178" s="176">
        <f t="shared" si="30"/>
        <v>0</v>
      </c>
      <c r="DB178" s="176">
        <f t="shared" si="30"/>
        <v>0</v>
      </c>
      <c r="DC178" s="176">
        <f t="shared" si="30"/>
        <v>0</v>
      </c>
      <c r="DD178" s="176">
        <f t="shared" si="30"/>
        <v>0</v>
      </c>
      <c r="DE178" s="176">
        <f t="shared" si="30"/>
        <v>0</v>
      </c>
      <c r="DF178" s="176">
        <f t="shared" si="30"/>
        <v>0</v>
      </c>
      <c r="DG178" s="176">
        <f t="shared" si="30"/>
        <v>0</v>
      </c>
      <c r="DH178" s="176">
        <f t="shared" si="30"/>
        <v>0</v>
      </c>
      <c r="DI178" s="176">
        <f t="shared" si="30"/>
        <v>0</v>
      </c>
      <c r="DJ178" s="176">
        <f t="shared" si="30"/>
        <v>0</v>
      </c>
      <c r="DK178" s="176">
        <f t="shared" si="30"/>
        <v>0</v>
      </c>
      <c r="DL178" s="176">
        <f t="shared" si="30"/>
        <v>0</v>
      </c>
      <c r="DM178" s="176">
        <f t="shared" si="30"/>
        <v>0</v>
      </c>
      <c r="DN178" s="176">
        <f t="shared" si="30"/>
        <v>0</v>
      </c>
      <c r="DO178" s="176">
        <f t="shared" si="30"/>
        <v>0</v>
      </c>
      <c r="DP178" s="176">
        <f t="shared" si="30"/>
        <v>0</v>
      </c>
      <c r="DQ178" s="176">
        <f t="shared" si="30"/>
        <v>0</v>
      </c>
      <c r="DR178" s="176">
        <f t="shared" si="30"/>
        <v>0</v>
      </c>
      <c r="DS178" s="176">
        <f t="shared" si="30"/>
        <v>0</v>
      </c>
      <c r="DT178" s="176">
        <f t="shared" si="30"/>
        <v>0</v>
      </c>
      <c r="DU178" s="176">
        <f t="shared" si="30"/>
        <v>0</v>
      </c>
      <c r="DV178" s="176">
        <f t="shared" si="30"/>
        <v>0</v>
      </c>
      <c r="DW178" s="176">
        <f t="shared" si="30"/>
        <v>0</v>
      </c>
      <c r="DX178" s="176">
        <f t="shared" si="30"/>
        <v>0</v>
      </c>
      <c r="DY178" s="176">
        <f t="shared" si="30"/>
        <v>0</v>
      </c>
      <c r="DZ178" s="176">
        <f t="shared" si="30"/>
        <v>0</v>
      </c>
      <c r="EA178" s="176">
        <f t="shared" si="30"/>
        <v>0</v>
      </c>
      <c r="EB178" s="176">
        <f t="shared" si="30"/>
        <v>0</v>
      </c>
      <c r="EC178" s="176">
        <f t="shared" si="30"/>
        <v>0</v>
      </c>
      <c r="ED178" s="176">
        <f t="shared" si="30"/>
        <v>0</v>
      </c>
      <c r="EE178" s="176">
        <f t="shared" ref="EE178:FB178" si="31">EE11*EE$168</f>
        <v>0</v>
      </c>
      <c r="EF178" s="182">
        <f t="shared" si="31"/>
        <v>0</v>
      </c>
      <c r="EG178" s="182">
        <f t="shared" si="31"/>
        <v>0</v>
      </c>
      <c r="EH178" s="182">
        <f t="shared" si="31"/>
        <v>0</v>
      </c>
      <c r="EI178" s="182">
        <f t="shared" si="31"/>
        <v>0</v>
      </c>
      <c r="EJ178" s="182">
        <f t="shared" si="31"/>
        <v>0</v>
      </c>
      <c r="EK178" s="182">
        <f t="shared" si="31"/>
        <v>0</v>
      </c>
      <c r="EL178" s="182">
        <f t="shared" si="31"/>
        <v>0</v>
      </c>
      <c r="EM178" s="182">
        <f t="shared" si="31"/>
        <v>0</v>
      </c>
      <c r="EN178" s="182">
        <f t="shared" si="31"/>
        <v>0</v>
      </c>
      <c r="EO178" s="182">
        <f t="shared" si="31"/>
        <v>0</v>
      </c>
      <c r="EP178" s="182">
        <f t="shared" si="31"/>
        <v>0</v>
      </c>
      <c r="EQ178" s="182">
        <f t="shared" si="31"/>
        <v>0</v>
      </c>
      <c r="ER178" s="182">
        <f t="shared" si="31"/>
        <v>0</v>
      </c>
      <c r="ES178" s="182">
        <f t="shared" si="31"/>
        <v>0</v>
      </c>
      <c r="ET178" s="182">
        <f t="shared" si="31"/>
        <v>0</v>
      </c>
      <c r="EU178" s="182">
        <f t="shared" si="31"/>
        <v>0</v>
      </c>
      <c r="EV178" s="182">
        <f t="shared" si="31"/>
        <v>0</v>
      </c>
      <c r="EW178" s="182">
        <f t="shared" si="31"/>
        <v>0</v>
      </c>
      <c r="EX178" s="182">
        <f t="shared" si="31"/>
        <v>0</v>
      </c>
      <c r="EY178" s="182">
        <f t="shared" si="31"/>
        <v>0</v>
      </c>
      <c r="EZ178" s="182">
        <f t="shared" si="31"/>
        <v>0</v>
      </c>
      <c r="FA178" s="182">
        <f t="shared" si="31"/>
        <v>0</v>
      </c>
      <c r="FB178" s="183">
        <f t="shared" si="31"/>
        <v>0</v>
      </c>
    </row>
    <row r="179" spans="2:158" ht="12.75" customHeight="1" x14ac:dyDescent="0.3">
      <c r="B179" s="180" t="s">
        <v>3822</v>
      </c>
      <c r="C179" s="193">
        <v>0</v>
      </c>
      <c r="D179" s="182">
        <f t="shared" si="20"/>
        <v>0</v>
      </c>
      <c r="E179" s="182">
        <f t="shared" si="26"/>
        <v>2.8143989334854223E-3</v>
      </c>
      <c r="F179" s="176">
        <f t="shared" ref="F179:F210" si="32">F12*F$168</f>
        <v>0</v>
      </c>
      <c r="G179" s="181">
        <f>$C179+SUM($D179:F179,H179:$FB179)-SUM(G$176:G178,G180:G$330)-G$331</f>
        <v>4.0246969012135093E-19</v>
      </c>
      <c r="H179" s="176">
        <f t="shared" ref="H179:AM179" si="33">H12*H$168</f>
        <v>0</v>
      </c>
      <c r="I179" s="176">
        <f t="shared" si="33"/>
        <v>0</v>
      </c>
      <c r="J179" s="176">
        <f t="shared" si="33"/>
        <v>0</v>
      </c>
      <c r="K179" s="176">
        <f t="shared" si="33"/>
        <v>0</v>
      </c>
      <c r="L179" s="176">
        <f t="shared" si="33"/>
        <v>0</v>
      </c>
      <c r="M179" s="176">
        <f t="shared" si="33"/>
        <v>0</v>
      </c>
      <c r="N179" s="176">
        <f t="shared" si="33"/>
        <v>0</v>
      </c>
      <c r="O179" s="176">
        <f t="shared" si="33"/>
        <v>0</v>
      </c>
      <c r="P179" s="176">
        <f t="shared" si="33"/>
        <v>0</v>
      </c>
      <c r="Q179" s="176">
        <f t="shared" si="33"/>
        <v>0</v>
      </c>
      <c r="R179" s="176">
        <f t="shared" si="33"/>
        <v>0</v>
      </c>
      <c r="S179" s="176">
        <f t="shared" si="33"/>
        <v>0</v>
      </c>
      <c r="T179" s="176">
        <f t="shared" si="33"/>
        <v>0</v>
      </c>
      <c r="U179" s="176">
        <f t="shared" si="33"/>
        <v>0</v>
      </c>
      <c r="V179" s="176">
        <f t="shared" si="33"/>
        <v>0</v>
      </c>
      <c r="W179" s="176">
        <f t="shared" si="33"/>
        <v>0</v>
      </c>
      <c r="X179" s="176">
        <f t="shared" si="33"/>
        <v>0</v>
      </c>
      <c r="Y179" s="176">
        <f t="shared" si="33"/>
        <v>0</v>
      </c>
      <c r="Z179" s="176">
        <f t="shared" si="33"/>
        <v>0</v>
      </c>
      <c r="AA179" s="176">
        <f t="shared" si="33"/>
        <v>0</v>
      </c>
      <c r="AB179" s="176">
        <f t="shared" si="33"/>
        <v>0</v>
      </c>
      <c r="AC179" s="176">
        <f t="shared" si="33"/>
        <v>0</v>
      </c>
      <c r="AD179" s="176">
        <f t="shared" si="33"/>
        <v>0</v>
      </c>
      <c r="AE179" s="176">
        <f t="shared" si="33"/>
        <v>0</v>
      </c>
      <c r="AF179" s="176">
        <f t="shared" si="33"/>
        <v>0</v>
      </c>
      <c r="AG179" s="176">
        <f t="shared" si="33"/>
        <v>0</v>
      </c>
      <c r="AH179" s="176">
        <f t="shared" si="33"/>
        <v>0</v>
      </c>
      <c r="AI179" s="176">
        <f t="shared" si="33"/>
        <v>0</v>
      </c>
      <c r="AJ179" s="176">
        <f t="shared" si="33"/>
        <v>0</v>
      </c>
      <c r="AK179" s="176">
        <f t="shared" si="33"/>
        <v>0</v>
      </c>
      <c r="AL179" s="176">
        <f t="shared" si="33"/>
        <v>0</v>
      </c>
      <c r="AM179" s="176">
        <f t="shared" si="33"/>
        <v>0</v>
      </c>
      <c r="AN179" s="176">
        <f t="shared" ref="AN179:BS179" si="34">AN12*AN$168</f>
        <v>0</v>
      </c>
      <c r="AO179" s="176">
        <f t="shared" si="34"/>
        <v>0</v>
      </c>
      <c r="AP179" s="176">
        <f t="shared" si="34"/>
        <v>0</v>
      </c>
      <c r="AQ179" s="176">
        <f t="shared" si="34"/>
        <v>0</v>
      </c>
      <c r="AR179" s="176">
        <f t="shared" si="34"/>
        <v>0</v>
      </c>
      <c r="AS179" s="176">
        <f t="shared" si="34"/>
        <v>0</v>
      </c>
      <c r="AT179" s="176">
        <f t="shared" si="34"/>
        <v>0</v>
      </c>
      <c r="AU179" s="176">
        <f t="shared" si="34"/>
        <v>0</v>
      </c>
      <c r="AV179" s="176">
        <f t="shared" si="34"/>
        <v>0</v>
      </c>
      <c r="AW179" s="176">
        <f t="shared" si="34"/>
        <v>0</v>
      </c>
      <c r="AX179" s="176">
        <f t="shared" si="34"/>
        <v>5.2138112166787842E-6</v>
      </c>
      <c r="AY179" s="176">
        <f t="shared" si="34"/>
        <v>0</v>
      </c>
      <c r="AZ179" s="176">
        <f t="shared" si="34"/>
        <v>0</v>
      </c>
      <c r="BA179" s="176">
        <f t="shared" si="34"/>
        <v>0</v>
      </c>
      <c r="BB179" s="176">
        <f t="shared" si="34"/>
        <v>0</v>
      </c>
      <c r="BC179" s="176">
        <f t="shared" si="34"/>
        <v>0</v>
      </c>
      <c r="BD179" s="176">
        <f t="shared" si="34"/>
        <v>0</v>
      </c>
      <c r="BE179" s="176">
        <f t="shared" si="34"/>
        <v>0</v>
      </c>
      <c r="BF179" s="176">
        <f t="shared" si="34"/>
        <v>0</v>
      </c>
      <c r="BG179" s="176">
        <f t="shared" si="34"/>
        <v>0</v>
      </c>
      <c r="BH179" s="176">
        <f t="shared" si="34"/>
        <v>0</v>
      </c>
      <c r="BI179" s="176">
        <f t="shared" si="34"/>
        <v>0</v>
      </c>
      <c r="BJ179" s="176">
        <f t="shared" si="34"/>
        <v>0</v>
      </c>
      <c r="BK179" s="176">
        <f t="shared" si="34"/>
        <v>0</v>
      </c>
      <c r="BL179" s="176">
        <f t="shared" si="34"/>
        <v>0</v>
      </c>
      <c r="BM179" s="176">
        <f t="shared" si="34"/>
        <v>0</v>
      </c>
      <c r="BN179" s="176">
        <f t="shared" si="34"/>
        <v>0</v>
      </c>
      <c r="BO179" s="176">
        <f t="shared" si="34"/>
        <v>0</v>
      </c>
      <c r="BP179" s="176">
        <f t="shared" si="34"/>
        <v>0</v>
      </c>
      <c r="BQ179" s="176">
        <f t="shared" si="34"/>
        <v>0</v>
      </c>
      <c r="BR179" s="176">
        <f t="shared" si="34"/>
        <v>0</v>
      </c>
      <c r="BS179" s="176">
        <f t="shared" si="34"/>
        <v>0</v>
      </c>
      <c r="BT179" s="176">
        <f t="shared" ref="BT179:CY179" si="35">BT12*BT$168</f>
        <v>0</v>
      </c>
      <c r="BU179" s="176">
        <f t="shared" si="35"/>
        <v>0</v>
      </c>
      <c r="BV179" s="176">
        <f t="shared" si="35"/>
        <v>0</v>
      </c>
      <c r="BW179" s="176">
        <f t="shared" si="35"/>
        <v>0</v>
      </c>
      <c r="BX179" s="176">
        <f t="shared" si="35"/>
        <v>0</v>
      </c>
      <c r="BY179" s="176">
        <f t="shared" si="35"/>
        <v>0</v>
      </c>
      <c r="BZ179" s="176">
        <f t="shared" si="35"/>
        <v>0</v>
      </c>
      <c r="CA179" s="176">
        <f t="shared" si="35"/>
        <v>0</v>
      </c>
      <c r="CB179" s="176">
        <f t="shared" si="35"/>
        <v>0</v>
      </c>
      <c r="CC179" s="176">
        <f t="shared" si="35"/>
        <v>0</v>
      </c>
      <c r="CD179" s="176">
        <f t="shared" si="35"/>
        <v>0</v>
      </c>
      <c r="CE179" s="176">
        <f t="shared" si="35"/>
        <v>0</v>
      </c>
      <c r="CF179" s="176">
        <f t="shared" si="35"/>
        <v>0</v>
      </c>
      <c r="CG179" s="176">
        <f t="shared" si="35"/>
        <v>0</v>
      </c>
      <c r="CH179" s="176">
        <f t="shared" si="35"/>
        <v>0</v>
      </c>
      <c r="CI179" s="176">
        <f t="shared" si="35"/>
        <v>0</v>
      </c>
      <c r="CJ179" s="176">
        <f t="shared" si="35"/>
        <v>0</v>
      </c>
      <c r="CK179" s="176">
        <f t="shared" si="35"/>
        <v>0</v>
      </c>
      <c r="CL179" s="176">
        <f t="shared" si="35"/>
        <v>0</v>
      </c>
      <c r="CM179" s="176">
        <f t="shared" si="35"/>
        <v>0</v>
      </c>
      <c r="CN179" s="176">
        <f t="shared" si="35"/>
        <v>0</v>
      </c>
      <c r="CO179" s="176">
        <f t="shared" si="35"/>
        <v>0</v>
      </c>
      <c r="CP179" s="176">
        <f t="shared" si="35"/>
        <v>0</v>
      </c>
      <c r="CQ179" s="176">
        <f t="shared" si="35"/>
        <v>0</v>
      </c>
      <c r="CR179" s="176">
        <f t="shared" si="35"/>
        <v>0</v>
      </c>
      <c r="CS179" s="176">
        <f t="shared" si="35"/>
        <v>0</v>
      </c>
      <c r="CT179" s="176">
        <f t="shared" si="35"/>
        <v>0</v>
      </c>
      <c r="CU179" s="176">
        <f t="shared" si="35"/>
        <v>0</v>
      </c>
      <c r="CV179" s="176">
        <f t="shared" si="35"/>
        <v>0</v>
      </c>
      <c r="CW179" s="176">
        <f t="shared" si="35"/>
        <v>0</v>
      </c>
      <c r="CX179" s="176">
        <f t="shared" si="35"/>
        <v>0</v>
      </c>
      <c r="CY179" s="176">
        <f t="shared" si="35"/>
        <v>0</v>
      </c>
      <c r="CZ179" s="176">
        <f t="shared" ref="CZ179:EE179" si="36">CZ12*CZ$168</f>
        <v>0</v>
      </c>
      <c r="DA179" s="176">
        <f t="shared" si="36"/>
        <v>0</v>
      </c>
      <c r="DB179" s="176">
        <f t="shared" si="36"/>
        <v>0</v>
      </c>
      <c r="DC179" s="176">
        <f t="shared" si="36"/>
        <v>0</v>
      </c>
      <c r="DD179" s="176">
        <f t="shared" si="36"/>
        <v>0</v>
      </c>
      <c r="DE179" s="176">
        <f t="shared" si="36"/>
        <v>0</v>
      </c>
      <c r="DF179" s="176">
        <f t="shared" si="36"/>
        <v>0</v>
      </c>
      <c r="DG179" s="176">
        <f t="shared" si="36"/>
        <v>0</v>
      </c>
      <c r="DH179" s="176">
        <f t="shared" si="36"/>
        <v>0</v>
      </c>
      <c r="DI179" s="176">
        <f t="shared" si="36"/>
        <v>0</v>
      </c>
      <c r="DJ179" s="176">
        <f t="shared" si="36"/>
        <v>0</v>
      </c>
      <c r="DK179" s="176">
        <f t="shared" si="36"/>
        <v>0</v>
      </c>
      <c r="DL179" s="176">
        <f t="shared" si="36"/>
        <v>0</v>
      </c>
      <c r="DM179" s="176">
        <f t="shared" si="36"/>
        <v>0</v>
      </c>
      <c r="DN179" s="176">
        <f t="shared" si="36"/>
        <v>0</v>
      </c>
      <c r="DO179" s="176">
        <f t="shared" si="36"/>
        <v>0</v>
      </c>
      <c r="DP179" s="176">
        <f t="shared" si="36"/>
        <v>0</v>
      </c>
      <c r="DQ179" s="176">
        <f t="shared" si="36"/>
        <v>0</v>
      </c>
      <c r="DR179" s="176">
        <f t="shared" si="36"/>
        <v>0</v>
      </c>
      <c r="DS179" s="176">
        <f t="shared" si="36"/>
        <v>0</v>
      </c>
      <c r="DT179" s="176">
        <f t="shared" si="36"/>
        <v>0</v>
      </c>
      <c r="DU179" s="176">
        <f t="shared" si="36"/>
        <v>0</v>
      </c>
      <c r="DV179" s="176">
        <f t="shared" si="36"/>
        <v>0</v>
      </c>
      <c r="DW179" s="176">
        <f t="shared" si="36"/>
        <v>0</v>
      </c>
      <c r="DX179" s="176">
        <f t="shared" si="36"/>
        <v>0</v>
      </c>
      <c r="DY179" s="176">
        <f t="shared" si="36"/>
        <v>0</v>
      </c>
      <c r="DZ179" s="176">
        <f t="shared" si="36"/>
        <v>0</v>
      </c>
      <c r="EA179" s="176">
        <f t="shared" si="36"/>
        <v>0</v>
      </c>
      <c r="EB179" s="176">
        <f t="shared" si="36"/>
        <v>0</v>
      </c>
      <c r="EC179" s="176">
        <f t="shared" si="36"/>
        <v>0</v>
      </c>
      <c r="ED179" s="176">
        <f t="shared" si="36"/>
        <v>0</v>
      </c>
      <c r="EE179" s="176">
        <f t="shared" si="36"/>
        <v>0</v>
      </c>
      <c r="EF179" s="182">
        <f t="shared" ref="EF179:FB179" si="37">EF12*EF$168</f>
        <v>0</v>
      </c>
      <c r="EG179" s="182">
        <f t="shared" si="37"/>
        <v>0</v>
      </c>
      <c r="EH179" s="182">
        <f t="shared" si="37"/>
        <v>0</v>
      </c>
      <c r="EI179" s="182">
        <f t="shared" si="37"/>
        <v>0</v>
      </c>
      <c r="EJ179" s="182">
        <f t="shared" si="37"/>
        <v>0</v>
      </c>
      <c r="EK179" s="182">
        <f t="shared" si="37"/>
        <v>0</v>
      </c>
      <c r="EL179" s="182">
        <f t="shared" si="37"/>
        <v>0</v>
      </c>
      <c r="EM179" s="182">
        <f t="shared" si="37"/>
        <v>0</v>
      </c>
      <c r="EN179" s="182">
        <f t="shared" si="37"/>
        <v>0</v>
      </c>
      <c r="EO179" s="182">
        <f t="shared" si="37"/>
        <v>0</v>
      </c>
      <c r="EP179" s="182">
        <f t="shared" si="37"/>
        <v>0</v>
      </c>
      <c r="EQ179" s="182">
        <f t="shared" si="37"/>
        <v>0</v>
      </c>
      <c r="ER179" s="182">
        <f t="shared" si="37"/>
        <v>0</v>
      </c>
      <c r="ES179" s="182">
        <f t="shared" si="37"/>
        <v>0</v>
      </c>
      <c r="ET179" s="182">
        <f t="shared" si="37"/>
        <v>0</v>
      </c>
      <c r="EU179" s="182">
        <f t="shared" si="37"/>
        <v>0</v>
      </c>
      <c r="EV179" s="182">
        <f t="shared" si="37"/>
        <v>0</v>
      </c>
      <c r="EW179" s="182">
        <f t="shared" si="37"/>
        <v>0</v>
      </c>
      <c r="EX179" s="182">
        <f t="shared" si="37"/>
        <v>0</v>
      </c>
      <c r="EY179" s="182">
        <f t="shared" si="37"/>
        <v>0</v>
      </c>
      <c r="EZ179" s="182">
        <f t="shared" si="37"/>
        <v>0</v>
      </c>
      <c r="FA179" s="182">
        <f t="shared" si="37"/>
        <v>0</v>
      </c>
      <c r="FB179" s="183">
        <f t="shared" si="37"/>
        <v>0</v>
      </c>
    </row>
    <row r="180" spans="2:158" ht="12.75" customHeight="1" x14ac:dyDescent="0.3">
      <c r="B180" s="180" t="s">
        <v>3823</v>
      </c>
      <c r="C180" s="193">
        <v>0</v>
      </c>
      <c r="D180" s="182">
        <f t="shared" si="20"/>
        <v>0</v>
      </c>
      <c r="E180" s="182">
        <f t="shared" si="26"/>
        <v>2.9564004469304499E-2</v>
      </c>
      <c r="F180" s="182">
        <f t="shared" si="32"/>
        <v>0</v>
      </c>
      <c r="G180" s="182">
        <f t="shared" ref="G180:G211" si="38">G13*G$168</f>
        <v>0</v>
      </c>
      <c r="H180" s="181">
        <f>$C180+SUM($D180:G180,I180:$FB180)-SUM(H$176:H179,H181:H$330)-H$331</f>
        <v>0</v>
      </c>
      <c r="I180" s="176">
        <f t="shared" ref="I180:AN180" si="39">I13*I$168</f>
        <v>0</v>
      </c>
      <c r="J180" s="176">
        <f t="shared" si="39"/>
        <v>0</v>
      </c>
      <c r="K180" s="176">
        <f t="shared" si="39"/>
        <v>0</v>
      </c>
      <c r="L180" s="176">
        <f t="shared" si="39"/>
        <v>0</v>
      </c>
      <c r="M180" s="176">
        <f t="shared" si="39"/>
        <v>0</v>
      </c>
      <c r="N180" s="176">
        <f t="shared" si="39"/>
        <v>0</v>
      </c>
      <c r="O180" s="176">
        <f t="shared" si="39"/>
        <v>0</v>
      </c>
      <c r="P180" s="176">
        <f t="shared" si="39"/>
        <v>0</v>
      </c>
      <c r="Q180" s="176">
        <f t="shared" si="39"/>
        <v>0</v>
      </c>
      <c r="R180" s="176">
        <f t="shared" si="39"/>
        <v>0</v>
      </c>
      <c r="S180" s="176">
        <f t="shared" si="39"/>
        <v>0</v>
      </c>
      <c r="T180" s="176">
        <f t="shared" si="39"/>
        <v>0</v>
      </c>
      <c r="U180" s="176">
        <f t="shared" si="39"/>
        <v>0</v>
      </c>
      <c r="V180" s="176">
        <f t="shared" si="39"/>
        <v>0</v>
      </c>
      <c r="W180" s="176">
        <f t="shared" si="39"/>
        <v>0</v>
      </c>
      <c r="X180" s="176">
        <f t="shared" si="39"/>
        <v>0</v>
      </c>
      <c r="Y180" s="176">
        <f t="shared" si="39"/>
        <v>0</v>
      </c>
      <c r="Z180" s="176">
        <f t="shared" si="39"/>
        <v>0</v>
      </c>
      <c r="AA180" s="176">
        <f t="shared" si="39"/>
        <v>0</v>
      </c>
      <c r="AB180" s="176">
        <f t="shared" si="39"/>
        <v>0</v>
      </c>
      <c r="AC180" s="176">
        <f t="shared" si="39"/>
        <v>0</v>
      </c>
      <c r="AD180" s="176">
        <f t="shared" si="39"/>
        <v>0</v>
      </c>
      <c r="AE180" s="176">
        <f t="shared" si="39"/>
        <v>0</v>
      </c>
      <c r="AF180" s="176">
        <f t="shared" si="39"/>
        <v>0</v>
      </c>
      <c r="AG180" s="176">
        <f t="shared" si="39"/>
        <v>0</v>
      </c>
      <c r="AH180" s="176">
        <f t="shared" si="39"/>
        <v>0</v>
      </c>
      <c r="AI180" s="176">
        <f t="shared" si="39"/>
        <v>0</v>
      </c>
      <c r="AJ180" s="176">
        <f t="shared" si="39"/>
        <v>0</v>
      </c>
      <c r="AK180" s="176">
        <f t="shared" si="39"/>
        <v>0</v>
      </c>
      <c r="AL180" s="176">
        <f t="shared" si="39"/>
        <v>0</v>
      </c>
      <c r="AM180" s="176">
        <f t="shared" si="39"/>
        <v>0</v>
      </c>
      <c r="AN180" s="176">
        <f t="shared" si="39"/>
        <v>0</v>
      </c>
      <c r="AO180" s="176">
        <f t="shared" ref="AO180:BT180" si="40">AO13*AO$168</f>
        <v>0</v>
      </c>
      <c r="AP180" s="176">
        <f t="shared" si="40"/>
        <v>0</v>
      </c>
      <c r="AQ180" s="176">
        <f t="shared" si="40"/>
        <v>0</v>
      </c>
      <c r="AR180" s="176">
        <f t="shared" si="40"/>
        <v>0</v>
      </c>
      <c r="AS180" s="176">
        <f t="shared" si="40"/>
        <v>0</v>
      </c>
      <c r="AT180" s="176">
        <f t="shared" si="40"/>
        <v>0</v>
      </c>
      <c r="AU180" s="176">
        <f t="shared" si="40"/>
        <v>0</v>
      </c>
      <c r="AV180" s="176">
        <f t="shared" si="40"/>
        <v>0</v>
      </c>
      <c r="AW180" s="176">
        <f t="shared" si="40"/>
        <v>0</v>
      </c>
      <c r="AX180" s="176">
        <f t="shared" si="40"/>
        <v>0</v>
      </c>
      <c r="AY180" s="176">
        <f t="shared" si="40"/>
        <v>0</v>
      </c>
      <c r="AZ180" s="176">
        <f t="shared" si="40"/>
        <v>0</v>
      </c>
      <c r="BA180" s="176">
        <f t="shared" si="40"/>
        <v>0</v>
      </c>
      <c r="BB180" s="176">
        <f t="shared" si="40"/>
        <v>0</v>
      </c>
      <c r="BC180" s="176">
        <f t="shared" si="40"/>
        <v>0</v>
      </c>
      <c r="BD180" s="176">
        <f t="shared" si="40"/>
        <v>0</v>
      </c>
      <c r="BE180" s="176">
        <f t="shared" si="40"/>
        <v>0</v>
      </c>
      <c r="BF180" s="176">
        <f t="shared" si="40"/>
        <v>0</v>
      </c>
      <c r="BG180" s="176">
        <f t="shared" si="40"/>
        <v>0</v>
      </c>
      <c r="BH180" s="176">
        <f t="shared" si="40"/>
        <v>0</v>
      </c>
      <c r="BI180" s="176">
        <f t="shared" si="40"/>
        <v>0</v>
      </c>
      <c r="BJ180" s="176">
        <f t="shared" si="40"/>
        <v>0</v>
      </c>
      <c r="BK180" s="176">
        <f t="shared" si="40"/>
        <v>0</v>
      </c>
      <c r="BL180" s="176">
        <f t="shared" si="40"/>
        <v>0</v>
      </c>
      <c r="BM180" s="176">
        <f t="shared" si="40"/>
        <v>0</v>
      </c>
      <c r="BN180" s="176">
        <f t="shared" si="40"/>
        <v>0</v>
      </c>
      <c r="BO180" s="176">
        <f t="shared" si="40"/>
        <v>0</v>
      </c>
      <c r="BP180" s="176">
        <f t="shared" si="40"/>
        <v>0</v>
      </c>
      <c r="BQ180" s="176">
        <f t="shared" si="40"/>
        <v>0</v>
      </c>
      <c r="BR180" s="176">
        <f t="shared" si="40"/>
        <v>0</v>
      </c>
      <c r="BS180" s="176">
        <f t="shared" si="40"/>
        <v>0</v>
      </c>
      <c r="BT180" s="176">
        <f t="shared" si="40"/>
        <v>0</v>
      </c>
      <c r="BU180" s="176">
        <f t="shared" ref="BU180:CZ180" si="41">BU13*BU$168</f>
        <v>0</v>
      </c>
      <c r="BV180" s="176">
        <f t="shared" si="41"/>
        <v>0</v>
      </c>
      <c r="BW180" s="176">
        <f t="shared" si="41"/>
        <v>0</v>
      </c>
      <c r="BX180" s="176">
        <f t="shared" si="41"/>
        <v>0</v>
      </c>
      <c r="BY180" s="176">
        <f t="shared" si="41"/>
        <v>0</v>
      </c>
      <c r="BZ180" s="176">
        <f t="shared" si="41"/>
        <v>0</v>
      </c>
      <c r="CA180" s="176">
        <f t="shared" si="41"/>
        <v>0</v>
      </c>
      <c r="CB180" s="176">
        <f t="shared" si="41"/>
        <v>0</v>
      </c>
      <c r="CC180" s="176">
        <f t="shared" si="41"/>
        <v>0</v>
      </c>
      <c r="CD180" s="176">
        <f t="shared" si="41"/>
        <v>0</v>
      </c>
      <c r="CE180" s="176">
        <f t="shared" si="41"/>
        <v>0</v>
      </c>
      <c r="CF180" s="176">
        <f t="shared" si="41"/>
        <v>0</v>
      </c>
      <c r="CG180" s="176">
        <f t="shared" si="41"/>
        <v>0</v>
      </c>
      <c r="CH180" s="176">
        <f t="shared" si="41"/>
        <v>0</v>
      </c>
      <c r="CI180" s="176">
        <f t="shared" si="41"/>
        <v>0</v>
      </c>
      <c r="CJ180" s="176">
        <f t="shared" si="41"/>
        <v>0</v>
      </c>
      <c r="CK180" s="176">
        <f t="shared" si="41"/>
        <v>0</v>
      </c>
      <c r="CL180" s="176">
        <f t="shared" si="41"/>
        <v>0</v>
      </c>
      <c r="CM180" s="176">
        <f t="shared" si="41"/>
        <v>0</v>
      </c>
      <c r="CN180" s="176">
        <f t="shared" si="41"/>
        <v>0</v>
      </c>
      <c r="CO180" s="176">
        <f t="shared" si="41"/>
        <v>0</v>
      </c>
      <c r="CP180" s="176">
        <f t="shared" si="41"/>
        <v>0</v>
      </c>
      <c r="CQ180" s="176">
        <f t="shared" si="41"/>
        <v>0</v>
      </c>
      <c r="CR180" s="176">
        <f t="shared" si="41"/>
        <v>0</v>
      </c>
      <c r="CS180" s="176">
        <f t="shared" si="41"/>
        <v>0</v>
      </c>
      <c r="CT180" s="176">
        <f t="shared" si="41"/>
        <v>0</v>
      </c>
      <c r="CU180" s="176">
        <f t="shared" si="41"/>
        <v>0</v>
      </c>
      <c r="CV180" s="176">
        <f t="shared" si="41"/>
        <v>0</v>
      </c>
      <c r="CW180" s="176">
        <f t="shared" si="41"/>
        <v>0</v>
      </c>
      <c r="CX180" s="176">
        <f t="shared" si="41"/>
        <v>0</v>
      </c>
      <c r="CY180" s="176">
        <f t="shared" si="41"/>
        <v>0</v>
      </c>
      <c r="CZ180" s="176">
        <f t="shared" si="41"/>
        <v>0</v>
      </c>
      <c r="DA180" s="176">
        <f t="shared" ref="DA180:EF180" si="42">DA13*DA$168</f>
        <v>0</v>
      </c>
      <c r="DB180" s="176">
        <f t="shared" si="42"/>
        <v>0</v>
      </c>
      <c r="DC180" s="176">
        <f t="shared" si="42"/>
        <v>0</v>
      </c>
      <c r="DD180" s="176">
        <f t="shared" si="42"/>
        <v>0</v>
      </c>
      <c r="DE180" s="176">
        <f t="shared" si="42"/>
        <v>0</v>
      </c>
      <c r="DF180" s="176">
        <f t="shared" si="42"/>
        <v>0</v>
      </c>
      <c r="DG180" s="176">
        <f t="shared" si="42"/>
        <v>0</v>
      </c>
      <c r="DH180" s="176">
        <f t="shared" si="42"/>
        <v>0</v>
      </c>
      <c r="DI180" s="176">
        <f t="shared" si="42"/>
        <v>0</v>
      </c>
      <c r="DJ180" s="176">
        <f t="shared" si="42"/>
        <v>0</v>
      </c>
      <c r="DK180" s="176">
        <f t="shared" si="42"/>
        <v>0</v>
      </c>
      <c r="DL180" s="176">
        <f t="shared" si="42"/>
        <v>0</v>
      </c>
      <c r="DM180" s="176">
        <f t="shared" si="42"/>
        <v>0</v>
      </c>
      <c r="DN180" s="176">
        <f t="shared" si="42"/>
        <v>0</v>
      </c>
      <c r="DO180" s="176">
        <f t="shared" si="42"/>
        <v>0</v>
      </c>
      <c r="DP180" s="176">
        <f t="shared" si="42"/>
        <v>0</v>
      </c>
      <c r="DQ180" s="176">
        <f t="shared" si="42"/>
        <v>0</v>
      </c>
      <c r="DR180" s="176">
        <f t="shared" si="42"/>
        <v>0</v>
      </c>
      <c r="DS180" s="176">
        <f t="shared" si="42"/>
        <v>0</v>
      </c>
      <c r="DT180" s="176">
        <f t="shared" si="42"/>
        <v>0</v>
      </c>
      <c r="DU180" s="176">
        <f t="shared" si="42"/>
        <v>0</v>
      </c>
      <c r="DV180" s="176">
        <f t="shared" si="42"/>
        <v>0</v>
      </c>
      <c r="DW180" s="176">
        <f t="shared" si="42"/>
        <v>0</v>
      </c>
      <c r="DX180" s="176">
        <f t="shared" si="42"/>
        <v>0</v>
      </c>
      <c r="DY180" s="176">
        <f t="shared" si="42"/>
        <v>0</v>
      </c>
      <c r="DZ180" s="176">
        <f t="shared" si="42"/>
        <v>0</v>
      </c>
      <c r="EA180" s="176">
        <f t="shared" si="42"/>
        <v>0</v>
      </c>
      <c r="EB180" s="176">
        <f t="shared" si="42"/>
        <v>0</v>
      </c>
      <c r="EC180" s="176">
        <f t="shared" si="42"/>
        <v>0</v>
      </c>
      <c r="ED180" s="176">
        <f t="shared" si="42"/>
        <v>0</v>
      </c>
      <c r="EE180" s="176">
        <f t="shared" si="42"/>
        <v>0</v>
      </c>
      <c r="EF180" s="182">
        <f t="shared" si="42"/>
        <v>0</v>
      </c>
      <c r="EG180" s="182">
        <f t="shared" ref="EG180:FB180" si="43">EG13*EG$168</f>
        <v>0</v>
      </c>
      <c r="EH180" s="182">
        <f t="shared" si="43"/>
        <v>0</v>
      </c>
      <c r="EI180" s="182">
        <f t="shared" si="43"/>
        <v>0</v>
      </c>
      <c r="EJ180" s="182">
        <f t="shared" si="43"/>
        <v>0</v>
      </c>
      <c r="EK180" s="182">
        <f t="shared" si="43"/>
        <v>0</v>
      </c>
      <c r="EL180" s="182">
        <f t="shared" si="43"/>
        <v>0</v>
      </c>
      <c r="EM180" s="182">
        <f t="shared" si="43"/>
        <v>0</v>
      </c>
      <c r="EN180" s="182">
        <f t="shared" si="43"/>
        <v>0</v>
      </c>
      <c r="EO180" s="182">
        <f t="shared" si="43"/>
        <v>0</v>
      </c>
      <c r="EP180" s="182">
        <f t="shared" si="43"/>
        <v>0</v>
      </c>
      <c r="EQ180" s="182">
        <f t="shared" si="43"/>
        <v>0</v>
      </c>
      <c r="ER180" s="182">
        <f t="shared" si="43"/>
        <v>0</v>
      </c>
      <c r="ES180" s="182">
        <f t="shared" si="43"/>
        <v>0</v>
      </c>
      <c r="ET180" s="182">
        <f t="shared" si="43"/>
        <v>0</v>
      </c>
      <c r="EU180" s="182">
        <f t="shared" si="43"/>
        <v>0</v>
      </c>
      <c r="EV180" s="182">
        <f t="shared" si="43"/>
        <v>0</v>
      </c>
      <c r="EW180" s="182">
        <f t="shared" si="43"/>
        <v>0</v>
      </c>
      <c r="EX180" s="182">
        <f t="shared" si="43"/>
        <v>0</v>
      </c>
      <c r="EY180" s="182">
        <f t="shared" si="43"/>
        <v>0</v>
      </c>
      <c r="EZ180" s="182">
        <f t="shared" si="43"/>
        <v>0</v>
      </c>
      <c r="FA180" s="182">
        <f t="shared" si="43"/>
        <v>0</v>
      </c>
      <c r="FB180" s="183">
        <f t="shared" si="43"/>
        <v>0</v>
      </c>
    </row>
    <row r="181" spans="2:158" ht="12.75" customHeight="1" x14ac:dyDescent="0.3">
      <c r="B181" s="180" t="s">
        <v>3824</v>
      </c>
      <c r="C181" s="193">
        <v>0</v>
      </c>
      <c r="D181" s="182">
        <f t="shared" si="20"/>
        <v>0</v>
      </c>
      <c r="E181" s="182">
        <f t="shared" si="26"/>
        <v>0</v>
      </c>
      <c r="F181" s="182">
        <f t="shared" si="32"/>
        <v>2.9201105055593698E-2</v>
      </c>
      <c r="G181" s="182">
        <f t="shared" si="38"/>
        <v>0</v>
      </c>
      <c r="H181" s="182">
        <f t="shared" ref="H181:H212" si="44">H14*H$168</f>
        <v>0</v>
      </c>
      <c r="I181" s="181">
        <f>$C181+SUM($D181:H181,J181:$FB181)-SUM(I$176:I180,I182:I$330)-I$331</f>
        <v>6.9388939039072284E-18</v>
      </c>
      <c r="J181" s="176">
        <f t="shared" ref="J181:AO181" si="45">J14*J$168</f>
        <v>0</v>
      </c>
      <c r="K181" s="176">
        <f t="shared" si="45"/>
        <v>0</v>
      </c>
      <c r="L181" s="176">
        <f t="shared" si="45"/>
        <v>0</v>
      </c>
      <c r="M181" s="176">
        <f t="shared" si="45"/>
        <v>0</v>
      </c>
      <c r="N181" s="176">
        <f t="shared" si="45"/>
        <v>0</v>
      </c>
      <c r="O181" s="176">
        <f t="shared" si="45"/>
        <v>0</v>
      </c>
      <c r="P181" s="176">
        <f t="shared" si="45"/>
        <v>0</v>
      </c>
      <c r="Q181" s="176">
        <f t="shared" si="45"/>
        <v>0</v>
      </c>
      <c r="R181" s="176">
        <f t="shared" si="45"/>
        <v>0</v>
      </c>
      <c r="S181" s="176">
        <f t="shared" si="45"/>
        <v>0</v>
      </c>
      <c r="T181" s="176">
        <f t="shared" si="45"/>
        <v>0</v>
      </c>
      <c r="U181" s="176">
        <f t="shared" si="45"/>
        <v>0</v>
      </c>
      <c r="V181" s="176">
        <f t="shared" si="45"/>
        <v>0</v>
      </c>
      <c r="W181" s="176">
        <f t="shared" si="45"/>
        <v>0</v>
      </c>
      <c r="X181" s="176">
        <f t="shared" si="45"/>
        <v>0</v>
      </c>
      <c r="Y181" s="176">
        <f t="shared" si="45"/>
        <v>0</v>
      </c>
      <c r="Z181" s="176">
        <f t="shared" si="45"/>
        <v>0</v>
      </c>
      <c r="AA181" s="176">
        <f t="shared" si="45"/>
        <v>0</v>
      </c>
      <c r="AB181" s="176">
        <f t="shared" si="45"/>
        <v>0</v>
      </c>
      <c r="AC181" s="176">
        <f t="shared" si="45"/>
        <v>0</v>
      </c>
      <c r="AD181" s="176">
        <f t="shared" si="45"/>
        <v>0</v>
      </c>
      <c r="AE181" s="176">
        <f t="shared" si="45"/>
        <v>0</v>
      </c>
      <c r="AF181" s="176">
        <f t="shared" si="45"/>
        <v>0</v>
      </c>
      <c r="AG181" s="176">
        <f t="shared" si="45"/>
        <v>0</v>
      </c>
      <c r="AH181" s="176">
        <f t="shared" si="45"/>
        <v>0</v>
      </c>
      <c r="AI181" s="176">
        <f t="shared" si="45"/>
        <v>0</v>
      </c>
      <c r="AJ181" s="176">
        <f t="shared" si="45"/>
        <v>0</v>
      </c>
      <c r="AK181" s="176">
        <f t="shared" si="45"/>
        <v>0</v>
      </c>
      <c r="AL181" s="176">
        <f t="shared" si="45"/>
        <v>0</v>
      </c>
      <c r="AM181" s="176">
        <f t="shared" si="45"/>
        <v>0</v>
      </c>
      <c r="AN181" s="176">
        <f t="shared" si="45"/>
        <v>0</v>
      </c>
      <c r="AO181" s="176">
        <f t="shared" si="45"/>
        <v>0</v>
      </c>
      <c r="AP181" s="176">
        <f t="shared" ref="AP181:BU181" si="46">AP14*AP$168</f>
        <v>0</v>
      </c>
      <c r="AQ181" s="176">
        <f t="shared" si="46"/>
        <v>0</v>
      </c>
      <c r="AR181" s="176">
        <f t="shared" si="46"/>
        <v>0</v>
      </c>
      <c r="AS181" s="176">
        <f t="shared" si="46"/>
        <v>0</v>
      </c>
      <c r="AT181" s="176">
        <f t="shared" si="46"/>
        <v>0</v>
      </c>
      <c r="AU181" s="176">
        <f t="shared" si="46"/>
        <v>0</v>
      </c>
      <c r="AV181" s="176">
        <f t="shared" si="46"/>
        <v>0</v>
      </c>
      <c r="AW181" s="176">
        <f t="shared" si="46"/>
        <v>0</v>
      </c>
      <c r="AX181" s="176">
        <f t="shared" si="46"/>
        <v>0</v>
      </c>
      <c r="AY181" s="176">
        <f t="shared" si="46"/>
        <v>0</v>
      </c>
      <c r="AZ181" s="176">
        <f t="shared" si="46"/>
        <v>0</v>
      </c>
      <c r="BA181" s="176">
        <f t="shared" si="46"/>
        <v>0</v>
      </c>
      <c r="BB181" s="176">
        <f t="shared" si="46"/>
        <v>0</v>
      </c>
      <c r="BC181" s="176">
        <f t="shared" si="46"/>
        <v>0</v>
      </c>
      <c r="BD181" s="176">
        <f t="shared" si="46"/>
        <v>0</v>
      </c>
      <c r="BE181" s="176">
        <f t="shared" si="46"/>
        <v>0</v>
      </c>
      <c r="BF181" s="176">
        <f t="shared" si="46"/>
        <v>0</v>
      </c>
      <c r="BG181" s="176">
        <f t="shared" si="46"/>
        <v>0</v>
      </c>
      <c r="BH181" s="176">
        <f t="shared" si="46"/>
        <v>0</v>
      </c>
      <c r="BI181" s="176">
        <f t="shared" si="46"/>
        <v>0</v>
      </c>
      <c r="BJ181" s="176">
        <f t="shared" si="46"/>
        <v>0</v>
      </c>
      <c r="BK181" s="176">
        <f t="shared" si="46"/>
        <v>0</v>
      </c>
      <c r="BL181" s="176">
        <f t="shared" si="46"/>
        <v>0</v>
      </c>
      <c r="BM181" s="176">
        <f t="shared" si="46"/>
        <v>0</v>
      </c>
      <c r="BN181" s="176">
        <f t="shared" si="46"/>
        <v>0</v>
      </c>
      <c r="BO181" s="176">
        <f t="shared" si="46"/>
        <v>0</v>
      </c>
      <c r="BP181" s="176">
        <f t="shared" si="46"/>
        <v>0</v>
      </c>
      <c r="BQ181" s="176">
        <f t="shared" si="46"/>
        <v>0</v>
      </c>
      <c r="BR181" s="176">
        <f t="shared" si="46"/>
        <v>0</v>
      </c>
      <c r="BS181" s="176">
        <f t="shared" si="46"/>
        <v>0</v>
      </c>
      <c r="BT181" s="176">
        <f t="shared" si="46"/>
        <v>0</v>
      </c>
      <c r="BU181" s="176">
        <f t="shared" si="46"/>
        <v>0</v>
      </c>
      <c r="BV181" s="176">
        <f t="shared" ref="BV181:DA181" si="47">BV14*BV$168</f>
        <v>0</v>
      </c>
      <c r="BW181" s="176">
        <f t="shared" si="47"/>
        <v>0</v>
      </c>
      <c r="BX181" s="176">
        <f t="shared" si="47"/>
        <v>0</v>
      </c>
      <c r="BY181" s="176">
        <f t="shared" si="47"/>
        <v>0</v>
      </c>
      <c r="BZ181" s="176">
        <f t="shared" si="47"/>
        <v>0</v>
      </c>
      <c r="CA181" s="176">
        <f t="shared" si="47"/>
        <v>0</v>
      </c>
      <c r="CB181" s="176">
        <f t="shared" si="47"/>
        <v>0</v>
      </c>
      <c r="CC181" s="176">
        <f t="shared" si="47"/>
        <v>0</v>
      </c>
      <c r="CD181" s="176">
        <f t="shared" si="47"/>
        <v>0</v>
      </c>
      <c r="CE181" s="176">
        <f t="shared" si="47"/>
        <v>0</v>
      </c>
      <c r="CF181" s="176">
        <f t="shared" si="47"/>
        <v>0</v>
      </c>
      <c r="CG181" s="176">
        <f t="shared" si="47"/>
        <v>0</v>
      </c>
      <c r="CH181" s="176">
        <f t="shared" si="47"/>
        <v>0</v>
      </c>
      <c r="CI181" s="176">
        <f t="shared" si="47"/>
        <v>0</v>
      </c>
      <c r="CJ181" s="176">
        <f t="shared" si="47"/>
        <v>0</v>
      </c>
      <c r="CK181" s="176">
        <f t="shared" si="47"/>
        <v>0</v>
      </c>
      <c r="CL181" s="176">
        <f t="shared" si="47"/>
        <v>0</v>
      </c>
      <c r="CM181" s="176">
        <f t="shared" si="47"/>
        <v>0</v>
      </c>
      <c r="CN181" s="176">
        <f t="shared" si="47"/>
        <v>0</v>
      </c>
      <c r="CO181" s="176">
        <f t="shared" si="47"/>
        <v>0</v>
      </c>
      <c r="CP181" s="176">
        <f t="shared" si="47"/>
        <v>0</v>
      </c>
      <c r="CQ181" s="176">
        <f t="shared" si="47"/>
        <v>0</v>
      </c>
      <c r="CR181" s="176">
        <f t="shared" si="47"/>
        <v>0</v>
      </c>
      <c r="CS181" s="176">
        <f t="shared" si="47"/>
        <v>0</v>
      </c>
      <c r="CT181" s="176">
        <f t="shared" si="47"/>
        <v>0</v>
      </c>
      <c r="CU181" s="176">
        <f t="shared" si="47"/>
        <v>0</v>
      </c>
      <c r="CV181" s="176">
        <f t="shared" si="47"/>
        <v>0</v>
      </c>
      <c r="CW181" s="176">
        <f t="shared" si="47"/>
        <v>0</v>
      </c>
      <c r="CX181" s="176">
        <f t="shared" si="47"/>
        <v>0</v>
      </c>
      <c r="CY181" s="176">
        <f t="shared" si="47"/>
        <v>0</v>
      </c>
      <c r="CZ181" s="176">
        <f t="shared" si="47"/>
        <v>0</v>
      </c>
      <c r="DA181" s="176">
        <f t="shared" si="47"/>
        <v>0</v>
      </c>
      <c r="DB181" s="176">
        <f t="shared" ref="DB181:EG181" si="48">DB14*DB$168</f>
        <v>0</v>
      </c>
      <c r="DC181" s="176">
        <f t="shared" si="48"/>
        <v>0</v>
      </c>
      <c r="DD181" s="176">
        <f t="shared" si="48"/>
        <v>0</v>
      </c>
      <c r="DE181" s="176">
        <f t="shared" si="48"/>
        <v>0</v>
      </c>
      <c r="DF181" s="176">
        <f t="shared" si="48"/>
        <v>0</v>
      </c>
      <c r="DG181" s="176">
        <f t="shared" si="48"/>
        <v>0</v>
      </c>
      <c r="DH181" s="176">
        <f t="shared" si="48"/>
        <v>0</v>
      </c>
      <c r="DI181" s="176">
        <f t="shared" si="48"/>
        <v>0</v>
      </c>
      <c r="DJ181" s="176">
        <f t="shared" si="48"/>
        <v>0</v>
      </c>
      <c r="DK181" s="176">
        <f t="shared" si="48"/>
        <v>0</v>
      </c>
      <c r="DL181" s="176">
        <f t="shared" si="48"/>
        <v>0</v>
      </c>
      <c r="DM181" s="176">
        <f t="shared" si="48"/>
        <v>0</v>
      </c>
      <c r="DN181" s="176">
        <f t="shared" si="48"/>
        <v>0</v>
      </c>
      <c r="DO181" s="176">
        <f t="shared" si="48"/>
        <v>0</v>
      </c>
      <c r="DP181" s="176">
        <f t="shared" si="48"/>
        <v>0</v>
      </c>
      <c r="DQ181" s="176">
        <f t="shared" si="48"/>
        <v>0</v>
      </c>
      <c r="DR181" s="176">
        <f t="shared" si="48"/>
        <v>0</v>
      </c>
      <c r="DS181" s="176">
        <f t="shared" si="48"/>
        <v>0</v>
      </c>
      <c r="DT181" s="176">
        <f t="shared" si="48"/>
        <v>0</v>
      </c>
      <c r="DU181" s="176">
        <f t="shared" si="48"/>
        <v>0</v>
      </c>
      <c r="DV181" s="176">
        <f t="shared" si="48"/>
        <v>0</v>
      </c>
      <c r="DW181" s="176">
        <f t="shared" si="48"/>
        <v>0</v>
      </c>
      <c r="DX181" s="176">
        <f t="shared" si="48"/>
        <v>0</v>
      </c>
      <c r="DY181" s="176">
        <f t="shared" si="48"/>
        <v>0</v>
      </c>
      <c r="DZ181" s="176">
        <f t="shared" si="48"/>
        <v>0</v>
      </c>
      <c r="EA181" s="176">
        <f t="shared" si="48"/>
        <v>0</v>
      </c>
      <c r="EB181" s="176">
        <f t="shared" si="48"/>
        <v>0</v>
      </c>
      <c r="EC181" s="176">
        <f t="shared" si="48"/>
        <v>0</v>
      </c>
      <c r="ED181" s="176">
        <f t="shared" si="48"/>
        <v>0</v>
      </c>
      <c r="EE181" s="176">
        <f t="shared" si="48"/>
        <v>0</v>
      </c>
      <c r="EF181" s="182">
        <f t="shared" si="48"/>
        <v>0</v>
      </c>
      <c r="EG181" s="182">
        <f t="shared" si="48"/>
        <v>0</v>
      </c>
      <c r="EH181" s="182">
        <f t="shared" ref="EH181:FB181" si="49">EH14*EH$168</f>
        <v>0</v>
      </c>
      <c r="EI181" s="182">
        <f t="shared" si="49"/>
        <v>0</v>
      </c>
      <c r="EJ181" s="182">
        <f t="shared" si="49"/>
        <v>0</v>
      </c>
      <c r="EK181" s="182">
        <f t="shared" si="49"/>
        <v>0</v>
      </c>
      <c r="EL181" s="182">
        <f t="shared" si="49"/>
        <v>0</v>
      </c>
      <c r="EM181" s="182">
        <f t="shared" si="49"/>
        <v>0</v>
      </c>
      <c r="EN181" s="182">
        <f t="shared" si="49"/>
        <v>0</v>
      </c>
      <c r="EO181" s="182">
        <f t="shared" si="49"/>
        <v>0</v>
      </c>
      <c r="EP181" s="182">
        <f t="shared" si="49"/>
        <v>0</v>
      </c>
      <c r="EQ181" s="182">
        <f t="shared" si="49"/>
        <v>0</v>
      </c>
      <c r="ER181" s="182">
        <f t="shared" si="49"/>
        <v>0</v>
      </c>
      <c r="ES181" s="182">
        <f t="shared" si="49"/>
        <v>0</v>
      </c>
      <c r="ET181" s="182">
        <f t="shared" si="49"/>
        <v>0</v>
      </c>
      <c r="EU181" s="182">
        <f t="shared" si="49"/>
        <v>0</v>
      </c>
      <c r="EV181" s="182">
        <f t="shared" si="49"/>
        <v>0</v>
      </c>
      <c r="EW181" s="182">
        <f t="shared" si="49"/>
        <v>0</v>
      </c>
      <c r="EX181" s="182">
        <f t="shared" si="49"/>
        <v>0</v>
      </c>
      <c r="EY181" s="182">
        <f t="shared" si="49"/>
        <v>0</v>
      </c>
      <c r="EZ181" s="182">
        <f t="shared" si="49"/>
        <v>0</v>
      </c>
      <c r="FA181" s="182">
        <f t="shared" si="49"/>
        <v>0</v>
      </c>
      <c r="FB181" s="183">
        <f t="shared" si="49"/>
        <v>0</v>
      </c>
    </row>
    <row r="182" spans="2:158" ht="12.75" customHeight="1" x14ac:dyDescent="0.3">
      <c r="B182" s="180" t="s">
        <v>3825</v>
      </c>
      <c r="C182" s="193">
        <v>0</v>
      </c>
      <c r="D182" s="182">
        <f t="shared" si="20"/>
        <v>0</v>
      </c>
      <c r="E182" s="182">
        <f t="shared" si="26"/>
        <v>0</v>
      </c>
      <c r="F182" s="182">
        <f t="shared" si="32"/>
        <v>0</v>
      </c>
      <c r="G182" s="182">
        <f t="shared" si="38"/>
        <v>2.4715284814478006E-3</v>
      </c>
      <c r="H182" s="182">
        <f t="shared" si="44"/>
        <v>0</v>
      </c>
      <c r="I182" s="176">
        <f t="shared" ref="I182:I213" si="50">I15*I$168</f>
        <v>0</v>
      </c>
      <c r="J182" s="181">
        <f>$C182+SUM($D182:I182,K182:$FB182)-SUM(J$176:J181,J183:J$330)-J$331</f>
        <v>1.3010426069826053E-18</v>
      </c>
      <c r="K182" s="176">
        <f t="shared" ref="K182:AP182" si="51">K15*K$168</f>
        <v>0</v>
      </c>
      <c r="L182" s="176">
        <f t="shared" si="51"/>
        <v>0</v>
      </c>
      <c r="M182" s="176">
        <f t="shared" si="51"/>
        <v>0</v>
      </c>
      <c r="N182" s="176">
        <f t="shared" si="51"/>
        <v>0</v>
      </c>
      <c r="O182" s="176">
        <f t="shared" si="51"/>
        <v>0</v>
      </c>
      <c r="P182" s="176">
        <f t="shared" si="51"/>
        <v>0</v>
      </c>
      <c r="Q182" s="176">
        <f t="shared" si="51"/>
        <v>0</v>
      </c>
      <c r="R182" s="176">
        <f t="shared" si="51"/>
        <v>0</v>
      </c>
      <c r="S182" s="176">
        <f t="shared" si="51"/>
        <v>0</v>
      </c>
      <c r="T182" s="176">
        <f t="shared" si="51"/>
        <v>0</v>
      </c>
      <c r="U182" s="176">
        <f t="shared" si="51"/>
        <v>0</v>
      </c>
      <c r="V182" s="176">
        <f t="shared" si="51"/>
        <v>0</v>
      </c>
      <c r="W182" s="176">
        <f t="shared" si="51"/>
        <v>0</v>
      </c>
      <c r="X182" s="176">
        <f t="shared" si="51"/>
        <v>0</v>
      </c>
      <c r="Y182" s="176">
        <f t="shared" si="51"/>
        <v>0</v>
      </c>
      <c r="Z182" s="176">
        <f t="shared" si="51"/>
        <v>0</v>
      </c>
      <c r="AA182" s="176">
        <f t="shared" si="51"/>
        <v>0</v>
      </c>
      <c r="AB182" s="176">
        <f t="shared" si="51"/>
        <v>0</v>
      </c>
      <c r="AC182" s="176">
        <f t="shared" si="51"/>
        <v>0</v>
      </c>
      <c r="AD182" s="176">
        <f t="shared" si="51"/>
        <v>0</v>
      </c>
      <c r="AE182" s="176">
        <f t="shared" si="51"/>
        <v>0</v>
      </c>
      <c r="AF182" s="176">
        <f t="shared" si="51"/>
        <v>0</v>
      </c>
      <c r="AG182" s="176">
        <f t="shared" si="51"/>
        <v>0</v>
      </c>
      <c r="AH182" s="176">
        <f t="shared" si="51"/>
        <v>0</v>
      </c>
      <c r="AI182" s="176">
        <f t="shared" si="51"/>
        <v>0</v>
      </c>
      <c r="AJ182" s="176">
        <f t="shared" si="51"/>
        <v>0</v>
      </c>
      <c r="AK182" s="176">
        <f t="shared" si="51"/>
        <v>0</v>
      </c>
      <c r="AL182" s="176">
        <f t="shared" si="51"/>
        <v>0</v>
      </c>
      <c r="AM182" s="176">
        <f t="shared" si="51"/>
        <v>0</v>
      </c>
      <c r="AN182" s="176">
        <f t="shared" si="51"/>
        <v>0</v>
      </c>
      <c r="AO182" s="176">
        <f t="shared" si="51"/>
        <v>0</v>
      </c>
      <c r="AP182" s="176">
        <f t="shared" si="51"/>
        <v>0</v>
      </c>
      <c r="AQ182" s="176">
        <f t="shared" ref="AQ182:BV182" si="52">AQ15*AQ$168</f>
        <v>0</v>
      </c>
      <c r="AR182" s="176">
        <f t="shared" si="52"/>
        <v>0</v>
      </c>
      <c r="AS182" s="176">
        <f t="shared" si="52"/>
        <v>0</v>
      </c>
      <c r="AT182" s="176">
        <f t="shared" si="52"/>
        <v>0</v>
      </c>
      <c r="AU182" s="176">
        <f t="shared" si="52"/>
        <v>0</v>
      </c>
      <c r="AV182" s="176">
        <f t="shared" si="52"/>
        <v>0</v>
      </c>
      <c r="AW182" s="176">
        <f t="shared" si="52"/>
        <v>0</v>
      </c>
      <c r="AX182" s="176">
        <f t="shared" si="52"/>
        <v>0</v>
      </c>
      <c r="AY182" s="176">
        <f t="shared" si="52"/>
        <v>0</v>
      </c>
      <c r="AZ182" s="176">
        <f t="shared" si="52"/>
        <v>0</v>
      </c>
      <c r="BA182" s="176">
        <f t="shared" si="52"/>
        <v>0</v>
      </c>
      <c r="BB182" s="176">
        <f t="shared" si="52"/>
        <v>0</v>
      </c>
      <c r="BC182" s="176">
        <f t="shared" si="52"/>
        <v>0</v>
      </c>
      <c r="BD182" s="176">
        <f t="shared" si="52"/>
        <v>0</v>
      </c>
      <c r="BE182" s="176">
        <f t="shared" si="52"/>
        <v>0</v>
      </c>
      <c r="BF182" s="176">
        <f t="shared" si="52"/>
        <v>0</v>
      </c>
      <c r="BG182" s="176">
        <f t="shared" si="52"/>
        <v>0</v>
      </c>
      <c r="BH182" s="176">
        <f t="shared" si="52"/>
        <v>0</v>
      </c>
      <c r="BI182" s="176">
        <f t="shared" si="52"/>
        <v>0</v>
      </c>
      <c r="BJ182" s="176">
        <f t="shared" si="52"/>
        <v>0</v>
      </c>
      <c r="BK182" s="176">
        <f t="shared" si="52"/>
        <v>0</v>
      </c>
      <c r="BL182" s="176">
        <f t="shared" si="52"/>
        <v>0</v>
      </c>
      <c r="BM182" s="176">
        <f t="shared" si="52"/>
        <v>0</v>
      </c>
      <c r="BN182" s="176">
        <f t="shared" si="52"/>
        <v>0</v>
      </c>
      <c r="BO182" s="176">
        <f t="shared" si="52"/>
        <v>0</v>
      </c>
      <c r="BP182" s="176">
        <f t="shared" si="52"/>
        <v>0</v>
      </c>
      <c r="BQ182" s="176">
        <f t="shared" si="52"/>
        <v>0</v>
      </c>
      <c r="BR182" s="176">
        <f t="shared" si="52"/>
        <v>0</v>
      </c>
      <c r="BS182" s="176">
        <f t="shared" si="52"/>
        <v>0</v>
      </c>
      <c r="BT182" s="176">
        <f t="shared" si="52"/>
        <v>0</v>
      </c>
      <c r="BU182" s="176">
        <f t="shared" si="52"/>
        <v>0</v>
      </c>
      <c r="BV182" s="176">
        <f t="shared" si="52"/>
        <v>0</v>
      </c>
      <c r="BW182" s="176">
        <f t="shared" ref="BW182:DB182" si="53">BW15*BW$168</f>
        <v>0</v>
      </c>
      <c r="BX182" s="176">
        <f t="shared" si="53"/>
        <v>0</v>
      </c>
      <c r="BY182" s="176">
        <f t="shared" si="53"/>
        <v>0</v>
      </c>
      <c r="BZ182" s="176">
        <f t="shared" si="53"/>
        <v>0</v>
      </c>
      <c r="CA182" s="176">
        <f t="shared" si="53"/>
        <v>0</v>
      </c>
      <c r="CB182" s="176">
        <f t="shared" si="53"/>
        <v>0</v>
      </c>
      <c r="CC182" s="176">
        <f t="shared" si="53"/>
        <v>0</v>
      </c>
      <c r="CD182" s="176">
        <f t="shared" si="53"/>
        <v>0</v>
      </c>
      <c r="CE182" s="176">
        <f t="shared" si="53"/>
        <v>0</v>
      </c>
      <c r="CF182" s="176">
        <f t="shared" si="53"/>
        <v>0</v>
      </c>
      <c r="CG182" s="176">
        <f t="shared" si="53"/>
        <v>0</v>
      </c>
      <c r="CH182" s="176">
        <f t="shared" si="53"/>
        <v>0</v>
      </c>
      <c r="CI182" s="176">
        <f t="shared" si="53"/>
        <v>0</v>
      </c>
      <c r="CJ182" s="176">
        <f t="shared" si="53"/>
        <v>0</v>
      </c>
      <c r="CK182" s="176">
        <f t="shared" si="53"/>
        <v>0</v>
      </c>
      <c r="CL182" s="176">
        <f t="shared" si="53"/>
        <v>0</v>
      </c>
      <c r="CM182" s="176">
        <f t="shared" si="53"/>
        <v>0</v>
      </c>
      <c r="CN182" s="176">
        <f t="shared" si="53"/>
        <v>0</v>
      </c>
      <c r="CO182" s="176">
        <f t="shared" si="53"/>
        <v>0</v>
      </c>
      <c r="CP182" s="176">
        <f t="shared" si="53"/>
        <v>0</v>
      </c>
      <c r="CQ182" s="176">
        <f t="shared" si="53"/>
        <v>0</v>
      </c>
      <c r="CR182" s="176">
        <f t="shared" si="53"/>
        <v>0</v>
      </c>
      <c r="CS182" s="176">
        <f t="shared" si="53"/>
        <v>0</v>
      </c>
      <c r="CT182" s="176">
        <f t="shared" si="53"/>
        <v>0</v>
      </c>
      <c r="CU182" s="176">
        <f t="shared" si="53"/>
        <v>0</v>
      </c>
      <c r="CV182" s="176">
        <f t="shared" si="53"/>
        <v>0</v>
      </c>
      <c r="CW182" s="176">
        <f t="shared" si="53"/>
        <v>0</v>
      </c>
      <c r="CX182" s="176">
        <f t="shared" si="53"/>
        <v>0</v>
      </c>
      <c r="CY182" s="176">
        <f t="shared" si="53"/>
        <v>0</v>
      </c>
      <c r="CZ182" s="176">
        <f t="shared" si="53"/>
        <v>0</v>
      </c>
      <c r="DA182" s="176">
        <f t="shared" si="53"/>
        <v>0</v>
      </c>
      <c r="DB182" s="176">
        <f t="shared" si="53"/>
        <v>0</v>
      </c>
      <c r="DC182" s="176">
        <f t="shared" ref="DC182:EH182" si="54">DC15*DC$168</f>
        <v>0</v>
      </c>
      <c r="DD182" s="176">
        <f t="shared" si="54"/>
        <v>0</v>
      </c>
      <c r="DE182" s="176">
        <f t="shared" si="54"/>
        <v>0</v>
      </c>
      <c r="DF182" s="176">
        <f t="shared" si="54"/>
        <v>0</v>
      </c>
      <c r="DG182" s="176">
        <f t="shared" si="54"/>
        <v>0</v>
      </c>
      <c r="DH182" s="176">
        <f t="shared" si="54"/>
        <v>0</v>
      </c>
      <c r="DI182" s="176">
        <f t="shared" si="54"/>
        <v>0</v>
      </c>
      <c r="DJ182" s="176">
        <f t="shared" si="54"/>
        <v>0</v>
      </c>
      <c r="DK182" s="176">
        <f t="shared" si="54"/>
        <v>0</v>
      </c>
      <c r="DL182" s="176">
        <f t="shared" si="54"/>
        <v>0</v>
      </c>
      <c r="DM182" s="176">
        <f t="shared" si="54"/>
        <v>0</v>
      </c>
      <c r="DN182" s="176">
        <f t="shared" si="54"/>
        <v>0</v>
      </c>
      <c r="DO182" s="176">
        <f t="shared" si="54"/>
        <v>0</v>
      </c>
      <c r="DP182" s="176">
        <f t="shared" si="54"/>
        <v>0</v>
      </c>
      <c r="DQ182" s="176">
        <f t="shared" si="54"/>
        <v>0</v>
      </c>
      <c r="DR182" s="176">
        <f t="shared" si="54"/>
        <v>0</v>
      </c>
      <c r="DS182" s="176">
        <f t="shared" si="54"/>
        <v>0</v>
      </c>
      <c r="DT182" s="176">
        <f t="shared" si="54"/>
        <v>0</v>
      </c>
      <c r="DU182" s="176">
        <f t="shared" si="54"/>
        <v>0</v>
      </c>
      <c r="DV182" s="176">
        <f t="shared" si="54"/>
        <v>0</v>
      </c>
      <c r="DW182" s="176">
        <f t="shared" si="54"/>
        <v>0</v>
      </c>
      <c r="DX182" s="176">
        <f t="shared" si="54"/>
        <v>0</v>
      </c>
      <c r="DY182" s="176">
        <f t="shared" si="54"/>
        <v>0</v>
      </c>
      <c r="DZ182" s="176">
        <f t="shared" si="54"/>
        <v>0</v>
      </c>
      <c r="EA182" s="176">
        <f t="shared" si="54"/>
        <v>0</v>
      </c>
      <c r="EB182" s="176">
        <f t="shared" si="54"/>
        <v>0</v>
      </c>
      <c r="EC182" s="176">
        <f t="shared" si="54"/>
        <v>0</v>
      </c>
      <c r="ED182" s="176">
        <f t="shared" si="54"/>
        <v>0</v>
      </c>
      <c r="EE182" s="176">
        <f t="shared" si="54"/>
        <v>0</v>
      </c>
      <c r="EF182" s="182">
        <f t="shared" si="54"/>
        <v>0</v>
      </c>
      <c r="EG182" s="182">
        <f t="shared" si="54"/>
        <v>0</v>
      </c>
      <c r="EH182" s="182">
        <f t="shared" si="54"/>
        <v>0</v>
      </c>
      <c r="EI182" s="182">
        <f t="shared" ref="EI182:FB182" si="55">EI15*EI$168</f>
        <v>0</v>
      </c>
      <c r="EJ182" s="182">
        <f t="shared" si="55"/>
        <v>0</v>
      </c>
      <c r="EK182" s="182">
        <f t="shared" si="55"/>
        <v>0</v>
      </c>
      <c r="EL182" s="182">
        <f t="shared" si="55"/>
        <v>0</v>
      </c>
      <c r="EM182" s="182">
        <f t="shared" si="55"/>
        <v>0</v>
      </c>
      <c r="EN182" s="182">
        <f t="shared" si="55"/>
        <v>0</v>
      </c>
      <c r="EO182" s="182">
        <f t="shared" si="55"/>
        <v>0</v>
      </c>
      <c r="EP182" s="182">
        <f t="shared" si="55"/>
        <v>0</v>
      </c>
      <c r="EQ182" s="182">
        <f t="shared" si="55"/>
        <v>0</v>
      </c>
      <c r="ER182" s="182">
        <f t="shared" si="55"/>
        <v>0</v>
      </c>
      <c r="ES182" s="182">
        <f t="shared" si="55"/>
        <v>0</v>
      </c>
      <c r="ET182" s="182">
        <f t="shared" si="55"/>
        <v>0</v>
      </c>
      <c r="EU182" s="182">
        <f t="shared" si="55"/>
        <v>0</v>
      </c>
      <c r="EV182" s="182">
        <f t="shared" si="55"/>
        <v>0</v>
      </c>
      <c r="EW182" s="182">
        <f t="shared" si="55"/>
        <v>0</v>
      </c>
      <c r="EX182" s="182">
        <f t="shared" si="55"/>
        <v>0</v>
      </c>
      <c r="EY182" s="182">
        <f t="shared" si="55"/>
        <v>0</v>
      </c>
      <c r="EZ182" s="182">
        <f t="shared" si="55"/>
        <v>0</v>
      </c>
      <c r="FA182" s="182">
        <f t="shared" si="55"/>
        <v>0</v>
      </c>
      <c r="FB182" s="183">
        <f t="shared" si="55"/>
        <v>0</v>
      </c>
    </row>
    <row r="183" spans="2:158" ht="12.75" customHeight="1" x14ac:dyDescent="0.3">
      <c r="B183" s="180" t="s">
        <v>3826</v>
      </c>
      <c r="C183" s="193">
        <v>0</v>
      </c>
      <c r="D183" s="182">
        <f t="shared" si="20"/>
        <v>0</v>
      </c>
      <c r="E183" s="182">
        <f t="shared" si="26"/>
        <v>0</v>
      </c>
      <c r="F183" s="182">
        <f t="shared" si="32"/>
        <v>0</v>
      </c>
      <c r="G183" s="182">
        <f t="shared" si="38"/>
        <v>0</v>
      </c>
      <c r="H183" s="182">
        <f t="shared" si="44"/>
        <v>0</v>
      </c>
      <c r="I183" s="176">
        <f t="shared" si="50"/>
        <v>0</v>
      </c>
      <c r="J183" s="182">
        <f t="shared" ref="J183:J214" si="56">J16*J$168</f>
        <v>0</v>
      </c>
      <c r="K183" s="181">
        <f>$C183+SUM($D183:J183,L183:$FB183)-SUM(K$176:K182,K184:K$330)-K$331</f>
        <v>0</v>
      </c>
      <c r="L183" s="176">
        <f t="shared" ref="L183:AQ183" si="57">L16*L$168</f>
        <v>0</v>
      </c>
      <c r="M183" s="176">
        <f t="shared" si="57"/>
        <v>0</v>
      </c>
      <c r="N183" s="176">
        <f t="shared" si="57"/>
        <v>0</v>
      </c>
      <c r="O183" s="176">
        <f t="shared" si="57"/>
        <v>0</v>
      </c>
      <c r="P183" s="176">
        <f t="shared" si="57"/>
        <v>0</v>
      </c>
      <c r="Q183" s="176">
        <f t="shared" si="57"/>
        <v>0</v>
      </c>
      <c r="R183" s="176">
        <f t="shared" si="57"/>
        <v>0</v>
      </c>
      <c r="S183" s="176">
        <f t="shared" si="57"/>
        <v>0</v>
      </c>
      <c r="T183" s="176">
        <f t="shared" si="57"/>
        <v>0</v>
      </c>
      <c r="U183" s="176">
        <f t="shared" si="57"/>
        <v>0</v>
      </c>
      <c r="V183" s="176">
        <f t="shared" si="57"/>
        <v>0</v>
      </c>
      <c r="W183" s="176">
        <f t="shared" si="57"/>
        <v>0</v>
      </c>
      <c r="X183" s="176">
        <f t="shared" si="57"/>
        <v>0</v>
      </c>
      <c r="Y183" s="176">
        <f t="shared" si="57"/>
        <v>0</v>
      </c>
      <c r="Z183" s="176">
        <f t="shared" si="57"/>
        <v>0</v>
      </c>
      <c r="AA183" s="176">
        <f t="shared" si="57"/>
        <v>0</v>
      </c>
      <c r="AB183" s="176">
        <f t="shared" si="57"/>
        <v>0</v>
      </c>
      <c r="AC183" s="176">
        <f t="shared" si="57"/>
        <v>0</v>
      </c>
      <c r="AD183" s="176">
        <f t="shared" si="57"/>
        <v>0</v>
      </c>
      <c r="AE183" s="176">
        <f t="shared" si="57"/>
        <v>0</v>
      </c>
      <c r="AF183" s="176">
        <f t="shared" si="57"/>
        <v>0</v>
      </c>
      <c r="AG183" s="176">
        <f t="shared" si="57"/>
        <v>0</v>
      </c>
      <c r="AH183" s="176">
        <f t="shared" si="57"/>
        <v>0</v>
      </c>
      <c r="AI183" s="176">
        <f t="shared" si="57"/>
        <v>0</v>
      </c>
      <c r="AJ183" s="176">
        <f t="shared" si="57"/>
        <v>0</v>
      </c>
      <c r="AK183" s="176">
        <f t="shared" si="57"/>
        <v>0</v>
      </c>
      <c r="AL183" s="176">
        <f t="shared" si="57"/>
        <v>0</v>
      </c>
      <c r="AM183" s="176">
        <f t="shared" si="57"/>
        <v>0</v>
      </c>
      <c r="AN183" s="176">
        <f t="shared" si="57"/>
        <v>0</v>
      </c>
      <c r="AO183" s="176">
        <f t="shared" si="57"/>
        <v>0</v>
      </c>
      <c r="AP183" s="176">
        <f t="shared" si="57"/>
        <v>0</v>
      </c>
      <c r="AQ183" s="176">
        <f t="shared" si="57"/>
        <v>0</v>
      </c>
      <c r="AR183" s="176">
        <f t="shared" ref="AR183:BW183" si="58">AR16*AR$168</f>
        <v>0</v>
      </c>
      <c r="AS183" s="176">
        <f t="shared" si="58"/>
        <v>0</v>
      </c>
      <c r="AT183" s="176">
        <f t="shared" si="58"/>
        <v>0</v>
      </c>
      <c r="AU183" s="176">
        <f t="shared" si="58"/>
        <v>0</v>
      </c>
      <c r="AV183" s="176">
        <f t="shared" si="58"/>
        <v>0</v>
      </c>
      <c r="AW183" s="176">
        <f t="shared" si="58"/>
        <v>0</v>
      </c>
      <c r="AX183" s="176">
        <f t="shared" si="58"/>
        <v>0</v>
      </c>
      <c r="AY183" s="176">
        <f t="shared" si="58"/>
        <v>0</v>
      </c>
      <c r="AZ183" s="176">
        <f t="shared" si="58"/>
        <v>0</v>
      </c>
      <c r="BA183" s="176">
        <f t="shared" si="58"/>
        <v>0</v>
      </c>
      <c r="BB183" s="176">
        <f t="shared" si="58"/>
        <v>0</v>
      </c>
      <c r="BC183" s="176">
        <f t="shared" si="58"/>
        <v>0</v>
      </c>
      <c r="BD183" s="176">
        <f t="shared" si="58"/>
        <v>0</v>
      </c>
      <c r="BE183" s="176">
        <f t="shared" si="58"/>
        <v>0</v>
      </c>
      <c r="BF183" s="176">
        <f t="shared" si="58"/>
        <v>0</v>
      </c>
      <c r="BG183" s="176">
        <f t="shared" si="58"/>
        <v>0</v>
      </c>
      <c r="BH183" s="176">
        <f t="shared" si="58"/>
        <v>0</v>
      </c>
      <c r="BI183" s="176">
        <f t="shared" si="58"/>
        <v>0</v>
      </c>
      <c r="BJ183" s="176">
        <f t="shared" si="58"/>
        <v>0</v>
      </c>
      <c r="BK183" s="176">
        <f t="shared" si="58"/>
        <v>0</v>
      </c>
      <c r="BL183" s="176">
        <f t="shared" si="58"/>
        <v>0</v>
      </c>
      <c r="BM183" s="176">
        <f t="shared" si="58"/>
        <v>0</v>
      </c>
      <c r="BN183" s="176">
        <f t="shared" si="58"/>
        <v>0</v>
      </c>
      <c r="BO183" s="176">
        <f t="shared" si="58"/>
        <v>0</v>
      </c>
      <c r="BP183" s="176">
        <f t="shared" si="58"/>
        <v>0</v>
      </c>
      <c r="BQ183" s="176">
        <f t="shared" si="58"/>
        <v>0</v>
      </c>
      <c r="BR183" s="176">
        <f t="shared" si="58"/>
        <v>0</v>
      </c>
      <c r="BS183" s="176">
        <f t="shared" si="58"/>
        <v>0</v>
      </c>
      <c r="BT183" s="176">
        <f t="shared" si="58"/>
        <v>0</v>
      </c>
      <c r="BU183" s="176">
        <f t="shared" si="58"/>
        <v>0</v>
      </c>
      <c r="BV183" s="176">
        <f t="shared" si="58"/>
        <v>0</v>
      </c>
      <c r="BW183" s="176">
        <f t="shared" si="58"/>
        <v>0</v>
      </c>
      <c r="BX183" s="176">
        <f t="shared" ref="BX183:DC183" si="59">BX16*BX$168</f>
        <v>0</v>
      </c>
      <c r="BY183" s="176">
        <f t="shared" si="59"/>
        <v>0</v>
      </c>
      <c r="BZ183" s="176">
        <f t="shared" si="59"/>
        <v>0</v>
      </c>
      <c r="CA183" s="176">
        <f t="shared" si="59"/>
        <v>0</v>
      </c>
      <c r="CB183" s="176">
        <f t="shared" si="59"/>
        <v>0</v>
      </c>
      <c r="CC183" s="176">
        <f t="shared" si="59"/>
        <v>0</v>
      </c>
      <c r="CD183" s="176">
        <f t="shared" si="59"/>
        <v>0</v>
      </c>
      <c r="CE183" s="176">
        <f t="shared" si="59"/>
        <v>0</v>
      </c>
      <c r="CF183" s="176">
        <f t="shared" si="59"/>
        <v>0</v>
      </c>
      <c r="CG183" s="176">
        <f t="shared" si="59"/>
        <v>0</v>
      </c>
      <c r="CH183" s="176">
        <f t="shared" si="59"/>
        <v>0</v>
      </c>
      <c r="CI183" s="176">
        <f t="shared" si="59"/>
        <v>0</v>
      </c>
      <c r="CJ183" s="176">
        <f t="shared" si="59"/>
        <v>0</v>
      </c>
      <c r="CK183" s="176">
        <f t="shared" si="59"/>
        <v>0</v>
      </c>
      <c r="CL183" s="176">
        <f t="shared" si="59"/>
        <v>0</v>
      </c>
      <c r="CM183" s="176">
        <f t="shared" si="59"/>
        <v>0</v>
      </c>
      <c r="CN183" s="176">
        <f t="shared" si="59"/>
        <v>0</v>
      </c>
      <c r="CO183" s="176">
        <f t="shared" si="59"/>
        <v>0</v>
      </c>
      <c r="CP183" s="176">
        <f t="shared" si="59"/>
        <v>0</v>
      </c>
      <c r="CQ183" s="176">
        <f t="shared" si="59"/>
        <v>0</v>
      </c>
      <c r="CR183" s="176">
        <f t="shared" si="59"/>
        <v>0</v>
      </c>
      <c r="CS183" s="176">
        <f t="shared" si="59"/>
        <v>0</v>
      </c>
      <c r="CT183" s="176">
        <f t="shared" si="59"/>
        <v>0</v>
      </c>
      <c r="CU183" s="176">
        <f t="shared" si="59"/>
        <v>0</v>
      </c>
      <c r="CV183" s="176">
        <f t="shared" si="59"/>
        <v>0</v>
      </c>
      <c r="CW183" s="176">
        <f t="shared" si="59"/>
        <v>0</v>
      </c>
      <c r="CX183" s="176">
        <f t="shared" si="59"/>
        <v>0</v>
      </c>
      <c r="CY183" s="176">
        <f t="shared" si="59"/>
        <v>0</v>
      </c>
      <c r="CZ183" s="176">
        <f t="shared" si="59"/>
        <v>0</v>
      </c>
      <c r="DA183" s="176">
        <f t="shared" si="59"/>
        <v>0</v>
      </c>
      <c r="DB183" s="176">
        <f t="shared" si="59"/>
        <v>0</v>
      </c>
      <c r="DC183" s="176">
        <f t="shared" si="59"/>
        <v>0</v>
      </c>
      <c r="DD183" s="176">
        <f t="shared" ref="DD183:EI183" si="60">DD16*DD$168</f>
        <v>0</v>
      </c>
      <c r="DE183" s="176">
        <f t="shared" si="60"/>
        <v>0</v>
      </c>
      <c r="DF183" s="176">
        <f t="shared" si="60"/>
        <v>0</v>
      </c>
      <c r="DG183" s="176">
        <f t="shared" si="60"/>
        <v>0</v>
      </c>
      <c r="DH183" s="176">
        <f t="shared" si="60"/>
        <v>0</v>
      </c>
      <c r="DI183" s="176">
        <f t="shared" si="60"/>
        <v>0</v>
      </c>
      <c r="DJ183" s="176">
        <f t="shared" si="60"/>
        <v>0</v>
      </c>
      <c r="DK183" s="176">
        <f t="shared" si="60"/>
        <v>0</v>
      </c>
      <c r="DL183" s="176">
        <f t="shared" si="60"/>
        <v>0</v>
      </c>
      <c r="DM183" s="176">
        <f t="shared" si="60"/>
        <v>0</v>
      </c>
      <c r="DN183" s="176">
        <f t="shared" si="60"/>
        <v>0</v>
      </c>
      <c r="DO183" s="176">
        <f t="shared" si="60"/>
        <v>0</v>
      </c>
      <c r="DP183" s="176">
        <f t="shared" si="60"/>
        <v>0</v>
      </c>
      <c r="DQ183" s="176">
        <f t="shared" si="60"/>
        <v>0</v>
      </c>
      <c r="DR183" s="176">
        <f t="shared" si="60"/>
        <v>0</v>
      </c>
      <c r="DS183" s="176">
        <f t="shared" si="60"/>
        <v>0</v>
      </c>
      <c r="DT183" s="176">
        <f t="shared" si="60"/>
        <v>0</v>
      </c>
      <c r="DU183" s="176">
        <f t="shared" si="60"/>
        <v>0</v>
      </c>
      <c r="DV183" s="176">
        <f t="shared" si="60"/>
        <v>0</v>
      </c>
      <c r="DW183" s="176">
        <f t="shared" si="60"/>
        <v>0</v>
      </c>
      <c r="DX183" s="176">
        <f t="shared" si="60"/>
        <v>0</v>
      </c>
      <c r="DY183" s="176">
        <f t="shared" si="60"/>
        <v>0</v>
      </c>
      <c r="DZ183" s="176">
        <f t="shared" si="60"/>
        <v>0</v>
      </c>
      <c r="EA183" s="176">
        <f t="shared" si="60"/>
        <v>0</v>
      </c>
      <c r="EB183" s="176">
        <f t="shared" si="60"/>
        <v>0</v>
      </c>
      <c r="EC183" s="176">
        <f t="shared" si="60"/>
        <v>0</v>
      </c>
      <c r="ED183" s="176">
        <f t="shared" si="60"/>
        <v>0</v>
      </c>
      <c r="EE183" s="176">
        <f t="shared" si="60"/>
        <v>0</v>
      </c>
      <c r="EF183" s="182">
        <f t="shared" si="60"/>
        <v>0</v>
      </c>
      <c r="EG183" s="182">
        <f t="shared" si="60"/>
        <v>0</v>
      </c>
      <c r="EH183" s="182">
        <f t="shared" si="60"/>
        <v>0</v>
      </c>
      <c r="EI183" s="182">
        <f t="shared" si="60"/>
        <v>0</v>
      </c>
      <c r="EJ183" s="182">
        <f t="shared" ref="EJ183:FB183" si="61">EJ16*EJ$168</f>
        <v>0</v>
      </c>
      <c r="EK183" s="182">
        <f t="shared" si="61"/>
        <v>0</v>
      </c>
      <c r="EL183" s="182">
        <f t="shared" si="61"/>
        <v>0</v>
      </c>
      <c r="EM183" s="182">
        <f t="shared" si="61"/>
        <v>0</v>
      </c>
      <c r="EN183" s="182">
        <f t="shared" si="61"/>
        <v>0</v>
      </c>
      <c r="EO183" s="182">
        <f t="shared" si="61"/>
        <v>0</v>
      </c>
      <c r="EP183" s="182">
        <f t="shared" si="61"/>
        <v>0</v>
      </c>
      <c r="EQ183" s="182">
        <f t="shared" si="61"/>
        <v>0</v>
      </c>
      <c r="ER183" s="182">
        <f t="shared" si="61"/>
        <v>0</v>
      </c>
      <c r="ES183" s="182">
        <f t="shared" si="61"/>
        <v>0</v>
      </c>
      <c r="ET183" s="182">
        <f t="shared" si="61"/>
        <v>0</v>
      </c>
      <c r="EU183" s="182">
        <f t="shared" si="61"/>
        <v>0</v>
      </c>
      <c r="EV183" s="182">
        <f t="shared" si="61"/>
        <v>0</v>
      </c>
      <c r="EW183" s="182">
        <f t="shared" si="61"/>
        <v>0</v>
      </c>
      <c r="EX183" s="182">
        <f t="shared" si="61"/>
        <v>0</v>
      </c>
      <c r="EY183" s="182">
        <f t="shared" si="61"/>
        <v>0</v>
      </c>
      <c r="EZ183" s="182">
        <f t="shared" si="61"/>
        <v>0</v>
      </c>
      <c r="FA183" s="182">
        <f t="shared" si="61"/>
        <v>0</v>
      </c>
      <c r="FB183" s="183">
        <f t="shared" si="61"/>
        <v>0</v>
      </c>
    </row>
    <row r="184" spans="2:158" ht="12.75" customHeight="1" x14ac:dyDescent="0.3">
      <c r="B184" s="180" t="s">
        <v>3827</v>
      </c>
      <c r="C184" s="193">
        <v>0</v>
      </c>
      <c r="D184" s="182">
        <f t="shared" si="20"/>
        <v>0</v>
      </c>
      <c r="E184" s="182">
        <f t="shared" si="26"/>
        <v>6.5733251871882966E-4</v>
      </c>
      <c r="F184" s="182">
        <f t="shared" si="32"/>
        <v>0</v>
      </c>
      <c r="G184" s="182">
        <f t="shared" si="38"/>
        <v>0</v>
      </c>
      <c r="H184" s="182">
        <f t="shared" si="44"/>
        <v>7.358806139248299E-5</v>
      </c>
      <c r="I184" s="176">
        <f t="shared" si="50"/>
        <v>0</v>
      </c>
      <c r="J184" s="182">
        <f t="shared" si="56"/>
        <v>0</v>
      </c>
      <c r="K184" s="182">
        <f t="shared" ref="K184:K215" si="62">K17*K$168</f>
        <v>0</v>
      </c>
      <c r="L184" s="181">
        <f>$C184+SUM($D184:K184,M184:$FB184)-SUM(L$176:L183,L185:L$330)-L$331</f>
        <v>-1.0842021724855044E-19</v>
      </c>
      <c r="M184" s="176">
        <f t="shared" ref="M184:AR184" si="63">M17*M$168</f>
        <v>0</v>
      </c>
      <c r="N184" s="176">
        <f t="shared" si="63"/>
        <v>0</v>
      </c>
      <c r="O184" s="176">
        <f t="shared" si="63"/>
        <v>0</v>
      </c>
      <c r="P184" s="176">
        <f t="shared" si="63"/>
        <v>0</v>
      </c>
      <c r="Q184" s="176">
        <f t="shared" si="63"/>
        <v>0</v>
      </c>
      <c r="R184" s="176">
        <f t="shared" si="63"/>
        <v>0</v>
      </c>
      <c r="S184" s="176">
        <f t="shared" si="63"/>
        <v>0</v>
      </c>
      <c r="T184" s="176">
        <f t="shared" si="63"/>
        <v>0</v>
      </c>
      <c r="U184" s="176">
        <f t="shared" si="63"/>
        <v>0</v>
      </c>
      <c r="V184" s="176">
        <f t="shared" si="63"/>
        <v>0</v>
      </c>
      <c r="W184" s="176">
        <f t="shared" si="63"/>
        <v>0</v>
      </c>
      <c r="X184" s="176">
        <f t="shared" si="63"/>
        <v>0</v>
      </c>
      <c r="Y184" s="176">
        <f t="shared" si="63"/>
        <v>0</v>
      </c>
      <c r="Z184" s="176">
        <f t="shared" si="63"/>
        <v>0</v>
      </c>
      <c r="AA184" s="176">
        <f t="shared" si="63"/>
        <v>0</v>
      </c>
      <c r="AB184" s="176">
        <f t="shared" si="63"/>
        <v>0</v>
      </c>
      <c r="AC184" s="176">
        <f t="shared" si="63"/>
        <v>0</v>
      </c>
      <c r="AD184" s="176">
        <f t="shared" si="63"/>
        <v>0</v>
      </c>
      <c r="AE184" s="176">
        <f t="shared" si="63"/>
        <v>0</v>
      </c>
      <c r="AF184" s="176">
        <f t="shared" si="63"/>
        <v>0</v>
      </c>
      <c r="AG184" s="176">
        <f t="shared" si="63"/>
        <v>0</v>
      </c>
      <c r="AH184" s="176">
        <f t="shared" si="63"/>
        <v>0</v>
      </c>
      <c r="AI184" s="176">
        <f t="shared" si="63"/>
        <v>0</v>
      </c>
      <c r="AJ184" s="176">
        <f t="shared" si="63"/>
        <v>2.0341397759310246E-8</v>
      </c>
      <c r="AK184" s="176">
        <f t="shared" si="63"/>
        <v>0</v>
      </c>
      <c r="AL184" s="176">
        <f t="shared" si="63"/>
        <v>0</v>
      </c>
      <c r="AM184" s="176">
        <f t="shared" si="63"/>
        <v>0</v>
      </c>
      <c r="AN184" s="176">
        <f t="shared" si="63"/>
        <v>5.7809975393758434E-7</v>
      </c>
      <c r="AO184" s="176">
        <f t="shared" si="63"/>
        <v>0</v>
      </c>
      <c r="AP184" s="176">
        <f t="shared" si="63"/>
        <v>0</v>
      </c>
      <c r="AQ184" s="176">
        <f t="shared" si="63"/>
        <v>0</v>
      </c>
      <c r="AR184" s="176">
        <f t="shared" si="63"/>
        <v>7.5338510219667559E-9</v>
      </c>
      <c r="AS184" s="176">
        <f t="shared" ref="AS184:BX184" si="64">AS17*AS$168</f>
        <v>0</v>
      </c>
      <c r="AT184" s="176">
        <f t="shared" si="64"/>
        <v>0</v>
      </c>
      <c r="AU184" s="176">
        <f t="shared" si="64"/>
        <v>0</v>
      </c>
      <c r="AV184" s="176">
        <f t="shared" si="64"/>
        <v>0</v>
      </c>
      <c r="AW184" s="176">
        <f t="shared" si="64"/>
        <v>0</v>
      </c>
      <c r="AX184" s="176">
        <f t="shared" si="64"/>
        <v>0</v>
      </c>
      <c r="AY184" s="176">
        <f t="shared" si="64"/>
        <v>0</v>
      </c>
      <c r="AZ184" s="176">
        <f t="shared" si="64"/>
        <v>0</v>
      </c>
      <c r="BA184" s="176">
        <f t="shared" si="64"/>
        <v>0</v>
      </c>
      <c r="BB184" s="176">
        <f t="shared" si="64"/>
        <v>0</v>
      </c>
      <c r="BC184" s="176">
        <f t="shared" si="64"/>
        <v>0</v>
      </c>
      <c r="BD184" s="176">
        <f t="shared" si="64"/>
        <v>0</v>
      </c>
      <c r="BE184" s="176">
        <f t="shared" si="64"/>
        <v>0</v>
      </c>
      <c r="BF184" s="176">
        <f t="shared" si="64"/>
        <v>0</v>
      </c>
      <c r="BG184" s="176">
        <f t="shared" si="64"/>
        <v>0</v>
      </c>
      <c r="BH184" s="176">
        <f t="shared" si="64"/>
        <v>0</v>
      </c>
      <c r="BI184" s="176">
        <f t="shared" si="64"/>
        <v>0</v>
      </c>
      <c r="BJ184" s="176">
        <f t="shared" si="64"/>
        <v>0</v>
      </c>
      <c r="BK184" s="176">
        <f t="shared" si="64"/>
        <v>0</v>
      </c>
      <c r="BL184" s="176">
        <f t="shared" si="64"/>
        <v>0</v>
      </c>
      <c r="BM184" s="176">
        <f t="shared" si="64"/>
        <v>0</v>
      </c>
      <c r="BN184" s="176">
        <f t="shared" si="64"/>
        <v>0</v>
      </c>
      <c r="BO184" s="176">
        <f t="shared" si="64"/>
        <v>0</v>
      </c>
      <c r="BP184" s="176">
        <f t="shared" si="64"/>
        <v>0</v>
      </c>
      <c r="BQ184" s="176">
        <f t="shared" si="64"/>
        <v>0</v>
      </c>
      <c r="BR184" s="176">
        <f t="shared" si="64"/>
        <v>0</v>
      </c>
      <c r="BS184" s="176">
        <f t="shared" si="64"/>
        <v>0</v>
      </c>
      <c r="BT184" s="176">
        <f t="shared" si="64"/>
        <v>0</v>
      </c>
      <c r="BU184" s="176">
        <f t="shared" si="64"/>
        <v>0</v>
      </c>
      <c r="BV184" s="176">
        <f t="shared" si="64"/>
        <v>0</v>
      </c>
      <c r="BW184" s="176">
        <f t="shared" si="64"/>
        <v>0</v>
      </c>
      <c r="BX184" s="176">
        <f t="shared" si="64"/>
        <v>0</v>
      </c>
      <c r="BY184" s="176">
        <f t="shared" ref="BY184:DD184" si="65">BY17*BY$168</f>
        <v>0</v>
      </c>
      <c r="BZ184" s="176">
        <f t="shared" si="65"/>
        <v>0</v>
      </c>
      <c r="CA184" s="176">
        <f t="shared" si="65"/>
        <v>0</v>
      </c>
      <c r="CB184" s="176">
        <f t="shared" si="65"/>
        <v>0</v>
      </c>
      <c r="CC184" s="176">
        <f t="shared" si="65"/>
        <v>0</v>
      </c>
      <c r="CD184" s="176">
        <f t="shared" si="65"/>
        <v>0</v>
      </c>
      <c r="CE184" s="176">
        <f t="shared" si="65"/>
        <v>0</v>
      </c>
      <c r="CF184" s="176">
        <f t="shared" si="65"/>
        <v>0</v>
      </c>
      <c r="CG184" s="176">
        <f t="shared" si="65"/>
        <v>0</v>
      </c>
      <c r="CH184" s="176">
        <f t="shared" si="65"/>
        <v>0</v>
      </c>
      <c r="CI184" s="176">
        <f t="shared" si="65"/>
        <v>0</v>
      </c>
      <c r="CJ184" s="176">
        <f t="shared" si="65"/>
        <v>0</v>
      </c>
      <c r="CK184" s="176">
        <f t="shared" si="65"/>
        <v>0</v>
      </c>
      <c r="CL184" s="176">
        <f t="shared" si="65"/>
        <v>0</v>
      </c>
      <c r="CM184" s="176">
        <f t="shared" si="65"/>
        <v>0</v>
      </c>
      <c r="CN184" s="176">
        <f t="shared" si="65"/>
        <v>0</v>
      </c>
      <c r="CO184" s="176">
        <f t="shared" si="65"/>
        <v>0</v>
      </c>
      <c r="CP184" s="176">
        <f t="shared" si="65"/>
        <v>0</v>
      </c>
      <c r="CQ184" s="176">
        <f t="shared" si="65"/>
        <v>0</v>
      </c>
      <c r="CR184" s="176">
        <f t="shared" si="65"/>
        <v>0</v>
      </c>
      <c r="CS184" s="176">
        <f t="shared" si="65"/>
        <v>0</v>
      </c>
      <c r="CT184" s="176">
        <f t="shared" si="65"/>
        <v>0</v>
      </c>
      <c r="CU184" s="176">
        <f t="shared" si="65"/>
        <v>0</v>
      </c>
      <c r="CV184" s="176">
        <f t="shared" si="65"/>
        <v>0</v>
      </c>
      <c r="CW184" s="176">
        <f t="shared" si="65"/>
        <v>0</v>
      </c>
      <c r="CX184" s="176">
        <f t="shared" si="65"/>
        <v>0</v>
      </c>
      <c r="CY184" s="176">
        <f t="shared" si="65"/>
        <v>0</v>
      </c>
      <c r="CZ184" s="176">
        <f t="shared" si="65"/>
        <v>0</v>
      </c>
      <c r="DA184" s="176">
        <f t="shared" si="65"/>
        <v>0</v>
      </c>
      <c r="DB184" s="176">
        <f t="shared" si="65"/>
        <v>0</v>
      </c>
      <c r="DC184" s="176">
        <f t="shared" si="65"/>
        <v>0</v>
      </c>
      <c r="DD184" s="176">
        <f t="shared" si="65"/>
        <v>0</v>
      </c>
      <c r="DE184" s="176">
        <f t="shared" ref="DE184:EJ184" si="66">DE17*DE$168</f>
        <v>0</v>
      </c>
      <c r="DF184" s="176">
        <f t="shared" si="66"/>
        <v>0</v>
      </c>
      <c r="DG184" s="176">
        <f t="shared" si="66"/>
        <v>0</v>
      </c>
      <c r="DH184" s="176">
        <f t="shared" si="66"/>
        <v>0</v>
      </c>
      <c r="DI184" s="176">
        <f t="shared" si="66"/>
        <v>0</v>
      </c>
      <c r="DJ184" s="176">
        <f t="shared" si="66"/>
        <v>0</v>
      </c>
      <c r="DK184" s="176">
        <f t="shared" si="66"/>
        <v>0</v>
      </c>
      <c r="DL184" s="176">
        <f t="shared" si="66"/>
        <v>0</v>
      </c>
      <c r="DM184" s="176">
        <f t="shared" si="66"/>
        <v>0</v>
      </c>
      <c r="DN184" s="176">
        <f t="shared" si="66"/>
        <v>0</v>
      </c>
      <c r="DO184" s="176">
        <f t="shared" si="66"/>
        <v>0</v>
      </c>
      <c r="DP184" s="176">
        <f t="shared" si="66"/>
        <v>0</v>
      </c>
      <c r="DQ184" s="176">
        <f t="shared" si="66"/>
        <v>0</v>
      </c>
      <c r="DR184" s="176">
        <f t="shared" si="66"/>
        <v>0</v>
      </c>
      <c r="DS184" s="176">
        <f t="shared" si="66"/>
        <v>0</v>
      </c>
      <c r="DT184" s="176">
        <f t="shared" si="66"/>
        <v>0</v>
      </c>
      <c r="DU184" s="176">
        <f t="shared" si="66"/>
        <v>0</v>
      </c>
      <c r="DV184" s="176">
        <f t="shared" si="66"/>
        <v>0</v>
      </c>
      <c r="DW184" s="176">
        <f t="shared" si="66"/>
        <v>0</v>
      </c>
      <c r="DX184" s="176">
        <f t="shared" si="66"/>
        <v>0</v>
      </c>
      <c r="DY184" s="176">
        <f t="shared" si="66"/>
        <v>0</v>
      </c>
      <c r="DZ184" s="176">
        <f t="shared" si="66"/>
        <v>0</v>
      </c>
      <c r="EA184" s="176">
        <f t="shared" si="66"/>
        <v>0</v>
      </c>
      <c r="EB184" s="176">
        <f t="shared" si="66"/>
        <v>0</v>
      </c>
      <c r="EC184" s="176">
        <f t="shared" si="66"/>
        <v>0</v>
      </c>
      <c r="ED184" s="176">
        <f t="shared" si="66"/>
        <v>0</v>
      </c>
      <c r="EE184" s="176">
        <f t="shared" si="66"/>
        <v>0</v>
      </c>
      <c r="EF184" s="182">
        <f t="shared" si="66"/>
        <v>0</v>
      </c>
      <c r="EG184" s="182">
        <f t="shared" si="66"/>
        <v>0</v>
      </c>
      <c r="EH184" s="182">
        <f t="shared" si="66"/>
        <v>0</v>
      </c>
      <c r="EI184" s="182">
        <f t="shared" si="66"/>
        <v>0</v>
      </c>
      <c r="EJ184" s="182">
        <f t="shared" si="66"/>
        <v>0</v>
      </c>
      <c r="EK184" s="182">
        <f t="shared" ref="EK184:FB184" si="67">EK17*EK$168</f>
        <v>0</v>
      </c>
      <c r="EL184" s="182">
        <f t="shared" si="67"/>
        <v>0</v>
      </c>
      <c r="EM184" s="182">
        <f t="shared" si="67"/>
        <v>0</v>
      </c>
      <c r="EN184" s="182">
        <f t="shared" si="67"/>
        <v>0</v>
      </c>
      <c r="EO184" s="182">
        <f t="shared" si="67"/>
        <v>0</v>
      </c>
      <c r="EP184" s="182">
        <f t="shared" si="67"/>
        <v>0</v>
      </c>
      <c r="EQ184" s="182">
        <f t="shared" si="67"/>
        <v>0</v>
      </c>
      <c r="ER184" s="182">
        <f t="shared" si="67"/>
        <v>0</v>
      </c>
      <c r="ES184" s="182">
        <f t="shared" si="67"/>
        <v>0</v>
      </c>
      <c r="ET184" s="182">
        <f t="shared" si="67"/>
        <v>0</v>
      </c>
      <c r="EU184" s="182">
        <f t="shared" si="67"/>
        <v>0</v>
      </c>
      <c r="EV184" s="182">
        <f t="shared" si="67"/>
        <v>0</v>
      </c>
      <c r="EW184" s="182">
        <f t="shared" si="67"/>
        <v>0</v>
      </c>
      <c r="EX184" s="182">
        <f t="shared" si="67"/>
        <v>0</v>
      </c>
      <c r="EY184" s="182">
        <f t="shared" si="67"/>
        <v>0</v>
      </c>
      <c r="EZ184" s="182">
        <f t="shared" si="67"/>
        <v>0</v>
      </c>
      <c r="FA184" s="182">
        <f t="shared" si="67"/>
        <v>0</v>
      </c>
      <c r="FB184" s="183">
        <f t="shared" si="67"/>
        <v>0</v>
      </c>
    </row>
    <row r="185" spans="2:158" ht="12.75" customHeight="1" x14ac:dyDescent="0.3">
      <c r="B185" s="180" t="s">
        <v>3828</v>
      </c>
      <c r="C185" s="193">
        <v>0</v>
      </c>
      <c r="D185" s="182">
        <f t="shared" si="20"/>
        <v>0</v>
      </c>
      <c r="E185" s="182">
        <f t="shared" si="26"/>
        <v>0</v>
      </c>
      <c r="F185" s="182">
        <f t="shared" si="32"/>
        <v>5.1959119000794364E-4</v>
      </c>
      <c r="G185" s="182">
        <f t="shared" si="38"/>
        <v>0</v>
      </c>
      <c r="H185" s="182">
        <f t="shared" si="44"/>
        <v>0</v>
      </c>
      <c r="I185" s="176">
        <f t="shared" si="50"/>
        <v>7.2684764805473805E-5</v>
      </c>
      <c r="J185" s="182">
        <f t="shared" si="56"/>
        <v>0</v>
      </c>
      <c r="K185" s="182">
        <f t="shared" si="62"/>
        <v>0</v>
      </c>
      <c r="L185" s="182">
        <f t="shared" ref="L185:L216" si="68">L18*L$168</f>
        <v>7.3015602142241173E-4</v>
      </c>
      <c r="M185" s="181">
        <f>$C185+SUM($D185:L185,N185:$FB185)-SUM(M$176:M184,M186:M$330)-M$331</f>
        <v>0</v>
      </c>
      <c r="N185" s="176">
        <f t="shared" ref="N185:AS185" si="69">N18*N$168</f>
        <v>0</v>
      </c>
      <c r="O185" s="176">
        <f t="shared" si="69"/>
        <v>0</v>
      </c>
      <c r="P185" s="176">
        <f t="shared" si="69"/>
        <v>0</v>
      </c>
      <c r="Q185" s="176">
        <f t="shared" si="69"/>
        <v>0</v>
      </c>
      <c r="R185" s="176">
        <f t="shared" si="69"/>
        <v>0</v>
      </c>
      <c r="S185" s="176">
        <f t="shared" si="69"/>
        <v>0</v>
      </c>
      <c r="T185" s="176">
        <f t="shared" si="69"/>
        <v>0</v>
      </c>
      <c r="U185" s="176">
        <f t="shared" si="69"/>
        <v>0</v>
      </c>
      <c r="V185" s="176">
        <f t="shared" si="69"/>
        <v>0</v>
      </c>
      <c r="W185" s="176">
        <f t="shared" si="69"/>
        <v>0</v>
      </c>
      <c r="X185" s="176">
        <f t="shared" si="69"/>
        <v>0</v>
      </c>
      <c r="Y185" s="176">
        <f t="shared" si="69"/>
        <v>0</v>
      </c>
      <c r="Z185" s="176">
        <f t="shared" si="69"/>
        <v>0</v>
      </c>
      <c r="AA185" s="176">
        <f t="shared" si="69"/>
        <v>0</v>
      </c>
      <c r="AB185" s="176">
        <f t="shared" si="69"/>
        <v>0</v>
      </c>
      <c r="AC185" s="176">
        <f t="shared" si="69"/>
        <v>0</v>
      </c>
      <c r="AD185" s="176">
        <f t="shared" si="69"/>
        <v>0</v>
      </c>
      <c r="AE185" s="176">
        <f t="shared" si="69"/>
        <v>0</v>
      </c>
      <c r="AF185" s="176">
        <f t="shared" si="69"/>
        <v>0</v>
      </c>
      <c r="AG185" s="176">
        <f t="shared" si="69"/>
        <v>0</v>
      </c>
      <c r="AH185" s="176">
        <f t="shared" si="69"/>
        <v>0</v>
      </c>
      <c r="AI185" s="176">
        <f t="shared" si="69"/>
        <v>0</v>
      </c>
      <c r="AJ185" s="176">
        <f t="shared" si="69"/>
        <v>0</v>
      </c>
      <c r="AK185" s="176">
        <f t="shared" si="69"/>
        <v>3.9266274107523473E-3</v>
      </c>
      <c r="AL185" s="176">
        <f t="shared" si="69"/>
        <v>0</v>
      </c>
      <c r="AM185" s="176">
        <f t="shared" si="69"/>
        <v>0</v>
      </c>
      <c r="AN185" s="176">
        <f t="shared" si="69"/>
        <v>0</v>
      </c>
      <c r="AO185" s="176">
        <f t="shared" si="69"/>
        <v>0.14508999177959567</v>
      </c>
      <c r="AP185" s="176">
        <f t="shared" si="69"/>
        <v>0</v>
      </c>
      <c r="AQ185" s="176">
        <f t="shared" si="69"/>
        <v>0</v>
      </c>
      <c r="AR185" s="176">
        <f t="shared" si="69"/>
        <v>0</v>
      </c>
      <c r="AS185" s="176">
        <f t="shared" si="69"/>
        <v>1.4543064484267949E-3</v>
      </c>
      <c r="AT185" s="176">
        <f t="shared" ref="AT185:BY185" si="70">AT18*AT$168</f>
        <v>0</v>
      </c>
      <c r="AU185" s="176">
        <f t="shared" si="70"/>
        <v>0</v>
      </c>
      <c r="AV185" s="176">
        <f t="shared" si="70"/>
        <v>0</v>
      </c>
      <c r="AW185" s="176">
        <f t="shared" si="70"/>
        <v>0</v>
      </c>
      <c r="AX185" s="176">
        <f t="shared" si="70"/>
        <v>0</v>
      </c>
      <c r="AY185" s="176">
        <f t="shared" si="70"/>
        <v>0</v>
      </c>
      <c r="AZ185" s="176">
        <f t="shared" si="70"/>
        <v>0</v>
      </c>
      <c r="BA185" s="176">
        <f t="shared" si="70"/>
        <v>0</v>
      </c>
      <c r="BB185" s="176">
        <f t="shared" si="70"/>
        <v>0</v>
      </c>
      <c r="BC185" s="176">
        <f t="shared" si="70"/>
        <v>0</v>
      </c>
      <c r="BD185" s="176">
        <f t="shared" si="70"/>
        <v>0</v>
      </c>
      <c r="BE185" s="176">
        <f t="shared" si="70"/>
        <v>0</v>
      </c>
      <c r="BF185" s="176">
        <f t="shared" si="70"/>
        <v>0</v>
      </c>
      <c r="BG185" s="176">
        <f t="shared" si="70"/>
        <v>0</v>
      </c>
      <c r="BH185" s="176">
        <f t="shared" si="70"/>
        <v>0</v>
      </c>
      <c r="BI185" s="176">
        <f t="shared" si="70"/>
        <v>0</v>
      </c>
      <c r="BJ185" s="176">
        <f t="shared" si="70"/>
        <v>0</v>
      </c>
      <c r="BK185" s="176">
        <f t="shared" si="70"/>
        <v>0</v>
      </c>
      <c r="BL185" s="176">
        <f t="shared" si="70"/>
        <v>0</v>
      </c>
      <c r="BM185" s="176">
        <f t="shared" si="70"/>
        <v>0</v>
      </c>
      <c r="BN185" s="176">
        <f t="shared" si="70"/>
        <v>0</v>
      </c>
      <c r="BO185" s="176">
        <f t="shared" si="70"/>
        <v>0</v>
      </c>
      <c r="BP185" s="176">
        <f t="shared" si="70"/>
        <v>0</v>
      </c>
      <c r="BQ185" s="176">
        <f t="shared" si="70"/>
        <v>0</v>
      </c>
      <c r="BR185" s="176">
        <f t="shared" si="70"/>
        <v>0</v>
      </c>
      <c r="BS185" s="176">
        <f t="shared" si="70"/>
        <v>0</v>
      </c>
      <c r="BT185" s="176">
        <f t="shared" si="70"/>
        <v>0</v>
      </c>
      <c r="BU185" s="176">
        <f t="shared" si="70"/>
        <v>0</v>
      </c>
      <c r="BV185" s="176">
        <f t="shared" si="70"/>
        <v>0</v>
      </c>
      <c r="BW185" s="176">
        <f t="shared" si="70"/>
        <v>0</v>
      </c>
      <c r="BX185" s="176">
        <f t="shared" si="70"/>
        <v>0</v>
      </c>
      <c r="BY185" s="176">
        <f t="shared" si="70"/>
        <v>0</v>
      </c>
      <c r="BZ185" s="176">
        <f t="shared" ref="BZ185:DE185" si="71">BZ18*BZ$168</f>
        <v>0</v>
      </c>
      <c r="CA185" s="176">
        <f t="shared" si="71"/>
        <v>0</v>
      </c>
      <c r="CB185" s="176">
        <f t="shared" si="71"/>
        <v>0</v>
      </c>
      <c r="CC185" s="176">
        <f t="shared" si="71"/>
        <v>0</v>
      </c>
      <c r="CD185" s="176">
        <f t="shared" si="71"/>
        <v>0</v>
      </c>
      <c r="CE185" s="176">
        <f t="shared" si="71"/>
        <v>0</v>
      </c>
      <c r="CF185" s="176">
        <f t="shared" si="71"/>
        <v>0</v>
      </c>
      <c r="CG185" s="176">
        <f t="shared" si="71"/>
        <v>0</v>
      </c>
      <c r="CH185" s="176">
        <f t="shared" si="71"/>
        <v>0</v>
      </c>
      <c r="CI185" s="176">
        <f t="shared" si="71"/>
        <v>0</v>
      </c>
      <c r="CJ185" s="176">
        <f t="shared" si="71"/>
        <v>0</v>
      </c>
      <c r="CK185" s="176">
        <f t="shared" si="71"/>
        <v>0</v>
      </c>
      <c r="CL185" s="176">
        <f t="shared" si="71"/>
        <v>0</v>
      </c>
      <c r="CM185" s="176">
        <f t="shared" si="71"/>
        <v>0</v>
      </c>
      <c r="CN185" s="176">
        <f t="shared" si="71"/>
        <v>0</v>
      </c>
      <c r="CO185" s="176">
        <f t="shared" si="71"/>
        <v>0</v>
      </c>
      <c r="CP185" s="176">
        <f t="shared" si="71"/>
        <v>0</v>
      </c>
      <c r="CQ185" s="176">
        <f t="shared" si="71"/>
        <v>0</v>
      </c>
      <c r="CR185" s="176">
        <f t="shared" si="71"/>
        <v>0</v>
      </c>
      <c r="CS185" s="176">
        <f t="shared" si="71"/>
        <v>0</v>
      </c>
      <c r="CT185" s="176">
        <f t="shared" si="71"/>
        <v>0</v>
      </c>
      <c r="CU185" s="176">
        <f t="shared" si="71"/>
        <v>0</v>
      </c>
      <c r="CV185" s="176">
        <f t="shared" si="71"/>
        <v>0</v>
      </c>
      <c r="CW185" s="176">
        <f t="shared" si="71"/>
        <v>0</v>
      </c>
      <c r="CX185" s="176">
        <f t="shared" si="71"/>
        <v>0</v>
      </c>
      <c r="CY185" s="176">
        <f t="shared" si="71"/>
        <v>0</v>
      </c>
      <c r="CZ185" s="176">
        <f t="shared" si="71"/>
        <v>0</v>
      </c>
      <c r="DA185" s="176">
        <f t="shared" si="71"/>
        <v>0</v>
      </c>
      <c r="DB185" s="176">
        <f t="shared" si="71"/>
        <v>0</v>
      </c>
      <c r="DC185" s="176">
        <f t="shared" si="71"/>
        <v>0</v>
      </c>
      <c r="DD185" s="176">
        <f t="shared" si="71"/>
        <v>0</v>
      </c>
      <c r="DE185" s="176">
        <f t="shared" si="71"/>
        <v>0</v>
      </c>
      <c r="DF185" s="176">
        <f t="shared" ref="DF185:EK185" si="72">DF18*DF$168</f>
        <v>0</v>
      </c>
      <c r="DG185" s="176">
        <f t="shared" si="72"/>
        <v>0</v>
      </c>
      <c r="DH185" s="176">
        <f t="shared" si="72"/>
        <v>0</v>
      </c>
      <c r="DI185" s="176">
        <f t="shared" si="72"/>
        <v>0</v>
      </c>
      <c r="DJ185" s="176">
        <f t="shared" si="72"/>
        <v>0</v>
      </c>
      <c r="DK185" s="176">
        <f t="shared" si="72"/>
        <v>0</v>
      </c>
      <c r="DL185" s="176">
        <f t="shared" si="72"/>
        <v>0</v>
      </c>
      <c r="DM185" s="176">
        <f t="shared" si="72"/>
        <v>0</v>
      </c>
      <c r="DN185" s="176">
        <f t="shared" si="72"/>
        <v>0</v>
      </c>
      <c r="DO185" s="176">
        <f t="shared" si="72"/>
        <v>0</v>
      </c>
      <c r="DP185" s="176">
        <f t="shared" si="72"/>
        <v>0</v>
      </c>
      <c r="DQ185" s="176">
        <f t="shared" si="72"/>
        <v>0</v>
      </c>
      <c r="DR185" s="176">
        <f t="shared" si="72"/>
        <v>0</v>
      </c>
      <c r="DS185" s="176">
        <f t="shared" si="72"/>
        <v>0</v>
      </c>
      <c r="DT185" s="176">
        <f t="shared" si="72"/>
        <v>0</v>
      </c>
      <c r="DU185" s="176">
        <f t="shared" si="72"/>
        <v>0</v>
      </c>
      <c r="DV185" s="176">
        <f t="shared" si="72"/>
        <v>0</v>
      </c>
      <c r="DW185" s="176">
        <f t="shared" si="72"/>
        <v>0</v>
      </c>
      <c r="DX185" s="176">
        <f t="shared" si="72"/>
        <v>0</v>
      </c>
      <c r="DY185" s="176">
        <f t="shared" si="72"/>
        <v>0</v>
      </c>
      <c r="DZ185" s="176">
        <f t="shared" si="72"/>
        <v>0</v>
      </c>
      <c r="EA185" s="176">
        <f t="shared" si="72"/>
        <v>0</v>
      </c>
      <c r="EB185" s="176">
        <f t="shared" si="72"/>
        <v>0</v>
      </c>
      <c r="EC185" s="176">
        <f t="shared" si="72"/>
        <v>0</v>
      </c>
      <c r="ED185" s="176">
        <f t="shared" si="72"/>
        <v>0</v>
      </c>
      <c r="EE185" s="176">
        <f t="shared" si="72"/>
        <v>0</v>
      </c>
      <c r="EF185" s="182">
        <f t="shared" si="72"/>
        <v>0</v>
      </c>
      <c r="EG185" s="182">
        <f t="shared" si="72"/>
        <v>0</v>
      </c>
      <c r="EH185" s="182">
        <f t="shared" si="72"/>
        <v>0</v>
      </c>
      <c r="EI185" s="182">
        <f t="shared" si="72"/>
        <v>0</v>
      </c>
      <c r="EJ185" s="182">
        <f t="shared" si="72"/>
        <v>0</v>
      </c>
      <c r="EK185" s="182">
        <f t="shared" si="72"/>
        <v>0</v>
      </c>
      <c r="EL185" s="182">
        <f t="shared" ref="EL185:FB185" si="73">EL18*EL$168</f>
        <v>0</v>
      </c>
      <c r="EM185" s="182">
        <f t="shared" si="73"/>
        <v>0</v>
      </c>
      <c r="EN185" s="182">
        <f t="shared" si="73"/>
        <v>0</v>
      </c>
      <c r="EO185" s="182">
        <f t="shared" si="73"/>
        <v>0</v>
      </c>
      <c r="EP185" s="182">
        <f t="shared" si="73"/>
        <v>0</v>
      </c>
      <c r="EQ185" s="182">
        <f t="shared" si="73"/>
        <v>0</v>
      </c>
      <c r="ER185" s="182">
        <f t="shared" si="73"/>
        <v>0</v>
      </c>
      <c r="ES185" s="182">
        <f t="shared" si="73"/>
        <v>0</v>
      </c>
      <c r="ET185" s="182">
        <f t="shared" si="73"/>
        <v>0</v>
      </c>
      <c r="EU185" s="182">
        <f t="shared" si="73"/>
        <v>0</v>
      </c>
      <c r="EV185" s="182">
        <f t="shared" si="73"/>
        <v>0</v>
      </c>
      <c r="EW185" s="182">
        <f t="shared" si="73"/>
        <v>0</v>
      </c>
      <c r="EX185" s="182">
        <f t="shared" si="73"/>
        <v>0</v>
      </c>
      <c r="EY185" s="182">
        <f t="shared" si="73"/>
        <v>0</v>
      </c>
      <c r="EZ185" s="182">
        <f t="shared" si="73"/>
        <v>0</v>
      </c>
      <c r="FA185" s="182">
        <f t="shared" si="73"/>
        <v>0</v>
      </c>
      <c r="FB185" s="183">
        <f t="shared" si="73"/>
        <v>0</v>
      </c>
    </row>
    <row r="186" spans="2:158" ht="12.75" customHeight="1" x14ac:dyDescent="0.3">
      <c r="B186" s="180" t="s">
        <v>3829</v>
      </c>
      <c r="C186" s="193">
        <v>0</v>
      </c>
      <c r="D186" s="182">
        <f t="shared" si="20"/>
        <v>0</v>
      </c>
      <c r="E186" s="182">
        <f t="shared" si="26"/>
        <v>0</v>
      </c>
      <c r="F186" s="182">
        <f t="shared" si="32"/>
        <v>0</v>
      </c>
      <c r="G186" s="182">
        <f t="shared" si="38"/>
        <v>8.3145677075247166E-8</v>
      </c>
      <c r="H186" s="182">
        <f t="shared" si="44"/>
        <v>0</v>
      </c>
      <c r="I186" s="176">
        <f t="shared" si="50"/>
        <v>0</v>
      </c>
      <c r="J186" s="182">
        <f t="shared" si="56"/>
        <v>6.1519064447066639E-6</v>
      </c>
      <c r="K186" s="182">
        <f t="shared" si="62"/>
        <v>0</v>
      </c>
      <c r="L186" s="182">
        <f t="shared" si="68"/>
        <v>1.3594269521437946E-6</v>
      </c>
      <c r="M186" s="182">
        <f t="shared" ref="M186:M217" si="74">M19*M$168</f>
        <v>0</v>
      </c>
      <c r="N186" s="181">
        <f>$C186+SUM($D186:M186,O186:$FB186)-SUM(N$176:N185,N187:N$330)-N$331</f>
        <v>-1.3877787807814457E-17</v>
      </c>
      <c r="O186" s="176">
        <f t="shared" ref="O186:AT186" si="75">O19*O$168</f>
        <v>0</v>
      </c>
      <c r="P186" s="176">
        <f t="shared" si="75"/>
        <v>0</v>
      </c>
      <c r="Q186" s="176">
        <f t="shared" si="75"/>
        <v>0</v>
      </c>
      <c r="R186" s="176">
        <f t="shared" si="75"/>
        <v>0</v>
      </c>
      <c r="S186" s="176">
        <f t="shared" si="75"/>
        <v>0</v>
      </c>
      <c r="T186" s="176">
        <f t="shared" si="75"/>
        <v>0</v>
      </c>
      <c r="U186" s="176">
        <f t="shared" si="75"/>
        <v>0</v>
      </c>
      <c r="V186" s="176">
        <f t="shared" si="75"/>
        <v>0</v>
      </c>
      <c r="W186" s="176">
        <f t="shared" si="75"/>
        <v>0</v>
      </c>
      <c r="X186" s="176">
        <f t="shared" si="75"/>
        <v>0</v>
      </c>
      <c r="Y186" s="176">
        <f t="shared" si="75"/>
        <v>0</v>
      </c>
      <c r="Z186" s="176">
        <f t="shared" si="75"/>
        <v>0</v>
      </c>
      <c r="AA186" s="176">
        <f t="shared" si="75"/>
        <v>0</v>
      </c>
      <c r="AB186" s="176">
        <f t="shared" si="75"/>
        <v>0</v>
      </c>
      <c r="AC186" s="176">
        <f t="shared" si="75"/>
        <v>0</v>
      </c>
      <c r="AD186" s="176">
        <f t="shared" si="75"/>
        <v>0</v>
      </c>
      <c r="AE186" s="176">
        <f t="shared" si="75"/>
        <v>0</v>
      </c>
      <c r="AF186" s="176">
        <f t="shared" si="75"/>
        <v>0</v>
      </c>
      <c r="AG186" s="176">
        <f t="shared" si="75"/>
        <v>0</v>
      </c>
      <c r="AH186" s="176">
        <f t="shared" si="75"/>
        <v>0</v>
      </c>
      <c r="AI186" s="176">
        <f t="shared" si="75"/>
        <v>0</v>
      </c>
      <c r="AJ186" s="176">
        <f t="shared" si="75"/>
        <v>0</v>
      </c>
      <c r="AK186" s="176">
        <f t="shared" si="75"/>
        <v>0</v>
      </c>
      <c r="AL186" s="176">
        <f t="shared" si="75"/>
        <v>7.6130391180737988E-4</v>
      </c>
      <c r="AM186" s="176">
        <f t="shared" si="75"/>
        <v>0</v>
      </c>
      <c r="AN186" s="176">
        <f t="shared" si="75"/>
        <v>0</v>
      </c>
      <c r="AO186" s="176">
        <f t="shared" si="75"/>
        <v>0</v>
      </c>
      <c r="AP186" s="176">
        <f t="shared" si="75"/>
        <v>4.4169072508815695E-2</v>
      </c>
      <c r="AQ186" s="176">
        <f t="shared" si="75"/>
        <v>0</v>
      </c>
      <c r="AR186" s="176">
        <f t="shared" si="75"/>
        <v>0</v>
      </c>
      <c r="AS186" s="176">
        <f t="shared" si="75"/>
        <v>0</v>
      </c>
      <c r="AT186" s="176">
        <f t="shared" si="75"/>
        <v>2.8196441178051106E-4</v>
      </c>
      <c r="AU186" s="176">
        <f t="shared" ref="AU186:BZ186" si="76">AU19*AU$168</f>
        <v>0</v>
      </c>
      <c r="AV186" s="176">
        <f t="shared" si="76"/>
        <v>0</v>
      </c>
      <c r="AW186" s="176">
        <f t="shared" si="76"/>
        <v>0</v>
      </c>
      <c r="AX186" s="176">
        <f t="shared" si="76"/>
        <v>0</v>
      </c>
      <c r="AY186" s="176">
        <f t="shared" si="76"/>
        <v>0</v>
      </c>
      <c r="AZ186" s="176">
        <f t="shared" si="76"/>
        <v>0</v>
      </c>
      <c r="BA186" s="176">
        <f t="shared" si="76"/>
        <v>0</v>
      </c>
      <c r="BB186" s="176">
        <f t="shared" si="76"/>
        <v>0</v>
      </c>
      <c r="BC186" s="176">
        <f t="shared" si="76"/>
        <v>0</v>
      </c>
      <c r="BD186" s="176">
        <f t="shared" si="76"/>
        <v>0</v>
      </c>
      <c r="BE186" s="176">
        <f t="shared" si="76"/>
        <v>0</v>
      </c>
      <c r="BF186" s="176">
        <f t="shared" si="76"/>
        <v>0</v>
      </c>
      <c r="BG186" s="176">
        <f t="shared" si="76"/>
        <v>0</v>
      </c>
      <c r="BH186" s="176">
        <f t="shared" si="76"/>
        <v>0</v>
      </c>
      <c r="BI186" s="176">
        <f t="shared" si="76"/>
        <v>0</v>
      </c>
      <c r="BJ186" s="176">
        <f t="shared" si="76"/>
        <v>0</v>
      </c>
      <c r="BK186" s="176">
        <f t="shared" si="76"/>
        <v>0</v>
      </c>
      <c r="BL186" s="176">
        <f t="shared" si="76"/>
        <v>0</v>
      </c>
      <c r="BM186" s="176">
        <f t="shared" si="76"/>
        <v>0</v>
      </c>
      <c r="BN186" s="176">
        <f t="shared" si="76"/>
        <v>0</v>
      </c>
      <c r="BO186" s="176">
        <f t="shared" si="76"/>
        <v>0</v>
      </c>
      <c r="BP186" s="176">
        <f t="shared" si="76"/>
        <v>0</v>
      </c>
      <c r="BQ186" s="176">
        <f t="shared" si="76"/>
        <v>0</v>
      </c>
      <c r="BR186" s="176">
        <f t="shared" si="76"/>
        <v>0</v>
      </c>
      <c r="BS186" s="176">
        <f t="shared" si="76"/>
        <v>0</v>
      </c>
      <c r="BT186" s="176">
        <f t="shared" si="76"/>
        <v>0</v>
      </c>
      <c r="BU186" s="176">
        <f t="shared" si="76"/>
        <v>0</v>
      </c>
      <c r="BV186" s="176">
        <f t="shared" si="76"/>
        <v>0</v>
      </c>
      <c r="BW186" s="176">
        <f t="shared" si="76"/>
        <v>0</v>
      </c>
      <c r="BX186" s="176">
        <f t="shared" si="76"/>
        <v>0</v>
      </c>
      <c r="BY186" s="176">
        <f t="shared" si="76"/>
        <v>0</v>
      </c>
      <c r="BZ186" s="176">
        <f t="shared" si="76"/>
        <v>0</v>
      </c>
      <c r="CA186" s="176">
        <f t="shared" ref="CA186:DF186" si="77">CA19*CA$168</f>
        <v>0</v>
      </c>
      <c r="CB186" s="176">
        <f t="shared" si="77"/>
        <v>0</v>
      </c>
      <c r="CC186" s="176">
        <f t="shared" si="77"/>
        <v>0</v>
      </c>
      <c r="CD186" s="176">
        <f t="shared" si="77"/>
        <v>0</v>
      </c>
      <c r="CE186" s="176">
        <f t="shared" si="77"/>
        <v>0</v>
      </c>
      <c r="CF186" s="176">
        <f t="shared" si="77"/>
        <v>0</v>
      </c>
      <c r="CG186" s="176">
        <f t="shared" si="77"/>
        <v>0</v>
      </c>
      <c r="CH186" s="176">
        <f t="shared" si="77"/>
        <v>0</v>
      </c>
      <c r="CI186" s="176">
        <f t="shared" si="77"/>
        <v>0</v>
      </c>
      <c r="CJ186" s="176">
        <f t="shared" si="77"/>
        <v>0</v>
      </c>
      <c r="CK186" s="176">
        <f t="shared" si="77"/>
        <v>0</v>
      </c>
      <c r="CL186" s="176">
        <f t="shared" si="77"/>
        <v>0</v>
      </c>
      <c r="CM186" s="176">
        <f t="shared" si="77"/>
        <v>0</v>
      </c>
      <c r="CN186" s="176">
        <f t="shared" si="77"/>
        <v>0</v>
      </c>
      <c r="CO186" s="176">
        <f t="shared" si="77"/>
        <v>0</v>
      </c>
      <c r="CP186" s="176">
        <f t="shared" si="77"/>
        <v>0</v>
      </c>
      <c r="CQ186" s="176">
        <f t="shared" si="77"/>
        <v>0</v>
      </c>
      <c r="CR186" s="176">
        <f t="shared" si="77"/>
        <v>0</v>
      </c>
      <c r="CS186" s="176">
        <f t="shared" si="77"/>
        <v>0</v>
      </c>
      <c r="CT186" s="176">
        <f t="shared" si="77"/>
        <v>0</v>
      </c>
      <c r="CU186" s="176">
        <f t="shared" si="77"/>
        <v>0</v>
      </c>
      <c r="CV186" s="176">
        <f t="shared" si="77"/>
        <v>0</v>
      </c>
      <c r="CW186" s="176">
        <f t="shared" si="77"/>
        <v>0</v>
      </c>
      <c r="CX186" s="176">
        <f t="shared" si="77"/>
        <v>0</v>
      </c>
      <c r="CY186" s="176">
        <f t="shared" si="77"/>
        <v>0</v>
      </c>
      <c r="CZ186" s="176">
        <f t="shared" si="77"/>
        <v>0</v>
      </c>
      <c r="DA186" s="176">
        <f t="shared" si="77"/>
        <v>0</v>
      </c>
      <c r="DB186" s="176">
        <f t="shared" si="77"/>
        <v>0</v>
      </c>
      <c r="DC186" s="176">
        <f t="shared" si="77"/>
        <v>0</v>
      </c>
      <c r="DD186" s="176">
        <f t="shared" si="77"/>
        <v>0</v>
      </c>
      <c r="DE186" s="176">
        <f t="shared" si="77"/>
        <v>0</v>
      </c>
      <c r="DF186" s="176">
        <f t="shared" si="77"/>
        <v>0</v>
      </c>
      <c r="DG186" s="176">
        <f t="shared" ref="DG186:EL186" si="78">DG19*DG$168</f>
        <v>0</v>
      </c>
      <c r="DH186" s="176">
        <f t="shared" si="78"/>
        <v>0</v>
      </c>
      <c r="DI186" s="176">
        <f t="shared" si="78"/>
        <v>0</v>
      </c>
      <c r="DJ186" s="176">
        <f t="shared" si="78"/>
        <v>0</v>
      </c>
      <c r="DK186" s="176">
        <f t="shared" si="78"/>
        <v>0</v>
      </c>
      <c r="DL186" s="176">
        <f t="shared" si="78"/>
        <v>0</v>
      </c>
      <c r="DM186" s="176">
        <f t="shared" si="78"/>
        <v>0</v>
      </c>
      <c r="DN186" s="176">
        <f t="shared" si="78"/>
        <v>0</v>
      </c>
      <c r="DO186" s="176">
        <f t="shared" si="78"/>
        <v>0</v>
      </c>
      <c r="DP186" s="176">
        <f t="shared" si="78"/>
        <v>0</v>
      </c>
      <c r="DQ186" s="176">
        <f t="shared" si="78"/>
        <v>0</v>
      </c>
      <c r="DR186" s="176">
        <f t="shared" si="78"/>
        <v>0</v>
      </c>
      <c r="DS186" s="176">
        <f t="shared" si="78"/>
        <v>0</v>
      </c>
      <c r="DT186" s="176">
        <f t="shared" si="78"/>
        <v>0</v>
      </c>
      <c r="DU186" s="176">
        <f t="shared" si="78"/>
        <v>0</v>
      </c>
      <c r="DV186" s="176">
        <f t="shared" si="78"/>
        <v>0</v>
      </c>
      <c r="DW186" s="176">
        <f t="shared" si="78"/>
        <v>0</v>
      </c>
      <c r="DX186" s="176">
        <f t="shared" si="78"/>
        <v>0</v>
      </c>
      <c r="DY186" s="176">
        <f t="shared" si="78"/>
        <v>0</v>
      </c>
      <c r="DZ186" s="176">
        <f t="shared" si="78"/>
        <v>0</v>
      </c>
      <c r="EA186" s="176">
        <f t="shared" si="78"/>
        <v>0</v>
      </c>
      <c r="EB186" s="176">
        <f t="shared" si="78"/>
        <v>0</v>
      </c>
      <c r="EC186" s="176">
        <f t="shared" si="78"/>
        <v>0</v>
      </c>
      <c r="ED186" s="176">
        <f t="shared" si="78"/>
        <v>0</v>
      </c>
      <c r="EE186" s="176">
        <f t="shared" si="78"/>
        <v>0</v>
      </c>
      <c r="EF186" s="182">
        <f t="shared" si="78"/>
        <v>0</v>
      </c>
      <c r="EG186" s="182">
        <f t="shared" si="78"/>
        <v>0</v>
      </c>
      <c r="EH186" s="182">
        <f t="shared" si="78"/>
        <v>0</v>
      </c>
      <c r="EI186" s="182">
        <f t="shared" si="78"/>
        <v>0</v>
      </c>
      <c r="EJ186" s="182">
        <f t="shared" si="78"/>
        <v>0</v>
      </c>
      <c r="EK186" s="182">
        <f t="shared" si="78"/>
        <v>0</v>
      </c>
      <c r="EL186" s="182">
        <f t="shared" si="78"/>
        <v>0</v>
      </c>
      <c r="EM186" s="182">
        <f t="shared" ref="EM186:FB186" si="79">EM19*EM$168</f>
        <v>0</v>
      </c>
      <c r="EN186" s="182">
        <f t="shared" si="79"/>
        <v>0</v>
      </c>
      <c r="EO186" s="182">
        <f t="shared" si="79"/>
        <v>0</v>
      </c>
      <c r="EP186" s="182">
        <f t="shared" si="79"/>
        <v>0</v>
      </c>
      <c r="EQ186" s="182">
        <f t="shared" si="79"/>
        <v>0</v>
      </c>
      <c r="ER186" s="182">
        <f t="shared" si="79"/>
        <v>0</v>
      </c>
      <c r="ES186" s="182">
        <f t="shared" si="79"/>
        <v>0</v>
      </c>
      <c r="ET186" s="182">
        <f t="shared" si="79"/>
        <v>0</v>
      </c>
      <c r="EU186" s="182">
        <f t="shared" si="79"/>
        <v>0</v>
      </c>
      <c r="EV186" s="182">
        <f t="shared" si="79"/>
        <v>0</v>
      </c>
      <c r="EW186" s="182">
        <f t="shared" si="79"/>
        <v>0</v>
      </c>
      <c r="EX186" s="182">
        <f t="shared" si="79"/>
        <v>0</v>
      </c>
      <c r="EY186" s="182">
        <f t="shared" si="79"/>
        <v>0</v>
      </c>
      <c r="EZ186" s="182">
        <f t="shared" si="79"/>
        <v>0</v>
      </c>
      <c r="FA186" s="182">
        <f t="shared" si="79"/>
        <v>0</v>
      </c>
      <c r="FB186" s="183">
        <f t="shared" si="79"/>
        <v>0</v>
      </c>
    </row>
    <row r="187" spans="2:158" ht="12.75" customHeight="1" x14ac:dyDescent="0.3">
      <c r="B187" s="180" t="s">
        <v>3830</v>
      </c>
      <c r="C187" s="193">
        <v>0</v>
      </c>
      <c r="D187" s="182">
        <f t="shared" si="20"/>
        <v>0</v>
      </c>
      <c r="E187" s="182">
        <f t="shared" si="26"/>
        <v>0</v>
      </c>
      <c r="F187" s="182">
        <f t="shared" si="32"/>
        <v>0</v>
      </c>
      <c r="G187" s="182">
        <f t="shared" si="38"/>
        <v>0</v>
      </c>
      <c r="H187" s="182">
        <f t="shared" si="44"/>
        <v>0</v>
      </c>
      <c r="I187" s="176">
        <f t="shared" si="50"/>
        <v>0</v>
      </c>
      <c r="J187" s="182">
        <f t="shared" si="56"/>
        <v>0</v>
      </c>
      <c r="K187" s="182">
        <f t="shared" si="62"/>
        <v>0</v>
      </c>
      <c r="L187" s="182">
        <f t="shared" si="68"/>
        <v>0</v>
      </c>
      <c r="M187" s="182">
        <f t="shared" si="74"/>
        <v>0</v>
      </c>
      <c r="N187" s="182">
        <f t="shared" ref="N187:N218" si="80">N20*N$168</f>
        <v>0</v>
      </c>
      <c r="O187" s="181">
        <f>$C187+SUM($D187:N187,P187:$FB187)-SUM(O$176:O186,O188:O$330)-O$331</f>
        <v>0</v>
      </c>
      <c r="P187" s="176">
        <f t="shared" ref="P187:AU187" si="81">P20*P$168</f>
        <v>0</v>
      </c>
      <c r="Q187" s="176">
        <f t="shared" si="81"/>
        <v>0</v>
      </c>
      <c r="R187" s="176">
        <f t="shared" si="81"/>
        <v>0</v>
      </c>
      <c r="S187" s="176">
        <f t="shared" si="81"/>
        <v>0</v>
      </c>
      <c r="T187" s="176">
        <f t="shared" si="81"/>
        <v>0</v>
      </c>
      <c r="U187" s="176">
        <f t="shared" si="81"/>
        <v>0</v>
      </c>
      <c r="V187" s="176">
        <f t="shared" si="81"/>
        <v>0</v>
      </c>
      <c r="W187" s="176">
        <f t="shared" si="81"/>
        <v>0</v>
      </c>
      <c r="X187" s="176">
        <f t="shared" si="81"/>
        <v>0</v>
      </c>
      <c r="Y187" s="176">
        <f t="shared" si="81"/>
        <v>0</v>
      </c>
      <c r="Z187" s="176">
        <f t="shared" si="81"/>
        <v>0</v>
      </c>
      <c r="AA187" s="176">
        <f t="shared" si="81"/>
        <v>0</v>
      </c>
      <c r="AB187" s="176">
        <f t="shared" si="81"/>
        <v>0</v>
      </c>
      <c r="AC187" s="176">
        <f t="shared" si="81"/>
        <v>0</v>
      </c>
      <c r="AD187" s="176">
        <f t="shared" si="81"/>
        <v>0</v>
      </c>
      <c r="AE187" s="176">
        <f t="shared" si="81"/>
        <v>0</v>
      </c>
      <c r="AF187" s="176">
        <f t="shared" si="81"/>
        <v>0</v>
      </c>
      <c r="AG187" s="176">
        <f t="shared" si="81"/>
        <v>0</v>
      </c>
      <c r="AH187" s="176">
        <f t="shared" si="81"/>
        <v>0</v>
      </c>
      <c r="AI187" s="176">
        <f t="shared" si="81"/>
        <v>0</v>
      </c>
      <c r="AJ187" s="176">
        <f t="shared" si="81"/>
        <v>0</v>
      </c>
      <c r="AK187" s="176">
        <f t="shared" si="81"/>
        <v>0</v>
      </c>
      <c r="AL187" s="176">
        <f t="shared" si="81"/>
        <v>0</v>
      </c>
      <c r="AM187" s="176">
        <f t="shared" si="81"/>
        <v>0</v>
      </c>
      <c r="AN187" s="176">
        <f t="shared" si="81"/>
        <v>0</v>
      </c>
      <c r="AO187" s="176">
        <f t="shared" si="81"/>
        <v>0</v>
      </c>
      <c r="AP187" s="176">
        <f t="shared" si="81"/>
        <v>0</v>
      </c>
      <c r="AQ187" s="176">
        <f t="shared" si="81"/>
        <v>0</v>
      </c>
      <c r="AR187" s="176">
        <f t="shared" si="81"/>
        <v>0</v>
      </c>
      <c r="AS187" s="176">
        <f t="shared" si="81"/>
        <v>0</v>
      </c>
      <c r="AT187" s="176">
        <f t="shared" si="81"/>
        <v>0</v>
      </c>
      <c r="AU187" s="176">
        <f t="shared" si="81"/>
        <v>0</v>
      </c>
      <c r="AV187" s="176">
        <f t="shared" ref="AV187:CA187" si="82">AV20*AV$168</f>
        <v>0</v>
      </c>
      <c r="AW187" s="176">
        <f t="shared" si="82"/>
        <v>0</v>
      </c>
      <c r="AX187" s="176">
        <f t="shared" si="82"/>
        <v>0</v>
      </c>
      <c r="AY187" s="176">
        <f t="shared" si="82"/>
        <v>0</v>
      </c>
      <c r="AZ187" s="176">
        <f t="shared" si="82"/>
        <v>0</v>
      </c>
      <c r="BA187" s="176">
        <f t="shared" si="82"/>
        <v>0</v>
      </c>
      <c r="BB187" s="176">
        <f t="shared" si="82"/>
        <v>0</v>
      </c>
      <c r="BC187" s="176">
        <f t="shared" si="82"/>
        <v>0</v>
      </c>
      <c r="BD187" s="176">
        <f t="shared" si="82"/>
        <v>0</v>
      </c>
      <c r="BE187" s="176">
        <f t="shared" si="82"/>
        <v>0</v>
      </c>
      <c r="BF187" s="176">
        <f t="shared" si="82"/>
        <v>0</v>
      </c>
      <c r="BG187" s="176">
        <f t="shared" si="82"/>
        <v>0</v>
      </c>
      <c r="BH187" s="176">
        <f t="shared" si="82"/>
        <v>0</v>
      </c>
      <c r="BI187" s="176">
        <f t="shared" si="82"/>
        <v>0</v>
      </c>
      <c r="BJ187" s="176">
        <f t="shared" si="82"/>
        <v>0</v>
      </c>
      <c r="BK187" s="176">
        <f t="shared" si="82"/>
        <v>0</v>
      </c>
      <c r="BL187" s="176">
        <f t="shared" si="82"/>
        <v>0</v>
      </c>
      <c r="BM187" s="176">
        <f t="shared" si="82"/>
        <v>0</v>
      </c>
      <c r="BN187" s="176">
        <f t="shared" si="82"/>
        <v>0</v>
      </c>
      <c r="BO187" s="176">
        <f t="shared" si="82"/>
        <v>0</v>
      </c>
      <c r="BP187" s="176">
        <f t="shared" si="82"/>
        <v>0</v>
      </c>
      <c r="BQ187" s="176">
        <f t="shared" si="82"/>
        <v>0</v>
      </c>
      <c r="BR187" s="176">
        <f t="shared" si="82"/>
        <v>0</v>
      </c>
      <c r="BS187" s="176">
        <f t="shared" si="82"/>
        <v>0</v>
      </c>
      <c r="BT187" s="176">
        <f t="shared" si="82"/>
        <v>0</v>
      </c>
      <c r="BU187" s="176">
        <f t="shared" si="82"/>
        <v>0</v>
      </c>
      <c r="BV187" s="176">
        <f t="shared" si="82"/>
        <v>0</v>
      </c>
      <c r="BW187" s="176">
        <f t="shared" si="82"/>
        <v>0</v>
      </c>
      <c r="BX187" s="176">
        <f t="shared" si="82"/>
        <v>0</v>
      </c>
      <c r="BY187" s="176">
        <f t="shared" si="82"/>
        <v>0</v>
      </c>
      <c r="BZ187" s="176">
        <f t="shared" si="82"/>
        <v>0</v>
      </c>
      <c r="CA187" s="176">
        <f t="shared" si="82"/>
        <v>0</v>
      </c>
      <c r="CB187" s="176">
        <f t="shared" ref="CB187:DG187" si="83">CB20*CB$168</f>
        <v>0</v>
      </c>
      <c r="CC187" s="176">
        <f t="shared" si="83"/>
        <v>0</v>
      </c>
      <c r="CD187" s="176">
        <f t="shared" si="83"/>
        <v>0</v>
      </c>
      <c r="CE187" s="176">
        <f t="shared" si="83"/>
        <v>0</v>
      </c>
      <c r="CF187" s="176">
        <f t="shared" si="83"/>
        <v>0</v>
      </c>
      <c r="CG187" s="176">
        <f t="shared" si="83"/>
        <v>0</v>
      </c>
      <c r="CH187" s="176">
        <f t="shared" si="83"/>
        <v>0</v>
      </c>
      <c r="CI187" s="176">
        <f t="shared" si="83"/>
        <v>0</v>
      </c>
      <c r="CJ187" s="176">
        <f t="shared" si="83"/>
        <v>0</v>
      </c>
      <c r="CK187" s="176">
        <f t="shared" si="83"/>
        <v>0</v>
      </c>
      <c r="CL187" s="176">
        <f t="shared" si="83"/>
        <v>0</v>
      </c>
      <c r="CM187" s="176">
        <f t="shared" si="83"/>
        <v>0</v>
      </c>
      <c r="CN187" s="176">
        <f t="shared" si="83"/>
        <v>0</v>
      </c>
      <c r="CO187" s="176">
        <f t="shared" si="83"/>
        <v>0</v>
      </c>
      <c r="CP187" s="176">
        <f t="shared" si="83"/>
        <v>0</v>
      </c>
      <c r="CQ187" s="176">
        <f t="shared" si="83"/>
        <v>0</v>
      </c>
      <c r="CR187" s="176">
        <f t="shared" si="83"/>
        <v>0</v>
      </c>
      <c r="CS187" s="176">
        <f t="shared" si="83"/>
        <v>0</v>
      </c>
      <c r="CT187" s="176">
        <f t="shared" si="83"/>
        <v>0</v>
      </c>
      <c r="CU187" s="176">
        <f t="shared" si="83"/>
        <v>0</v>
      </c>
      <c r="CV187" s="176">
        <f t="shared" si="83"/>
        <v>0</v>
      </c>
      <c r="CW187" s="176">
        <f t="shared" si="83"/>
        <v>0</v>
      </c>
      <c r="CX187" s="176">
        <f t="shared" si="83"/>
        <v>0</v>
      </c>
      <c r="CY187" s="176">
        <f t="shared" si="83"/>
        <v>0</v>
      </c>
      <c r="CZ187" s="176">
        <f t="shared" si="83"/>
        <v>0</v>
      </c>
      <c r="DA187" s="176">
        <f t="shared" si="83"/>
        <v>0</v>
      </c>
      <c r="DB187" s="176">
        <f t="shared" si="83"/>
        <v>0</v>
      </c>
      <c r="DC187" s="176">
        <f t="shared" si="83"/>
        <v>0</v>
      </c>
      <c r="DD187" s="176">
        <f t="shared" si="83"/>
        <v>0</v>
      </c>
      <c r="DE187" s="176">
        <f t="shared" si="83"/>
        <v>0</v>
      </c>
      <c r="DF187" s="176">
        <f t="shared" si="83"/>
        <v>0</v>
      </c>
      <c r="DG187" s="176">
        <f t="shared" si="83"/>
        <v>0</v>
      </c>
      <c r="DH187" s="176">
        <f t="shared" ref="DH187:EM187" si="84">DH20*DH$168</f>
        <v>0</v>
      </c>
      <c r="DI187" s="176">
        <f t="shared" si="84"/>
        <v>0</v>
      </c>
      <c r="DJ187" s="176">
        <f t="shared" si="84"/>
        <v>0</v>
      </c>
      <c r="DK187" s="176">
        <f t="shared" si="84"/>
        <v>0</v>
      </c>
      <c r="DL187" s="176">
        <f t="shared" si="84"/>
        <v>0</v>
      </c>
      <c r="DM187" s="176">
        <f t="shared" si="84"/>
        <v>0</v>
      </c>
      <c r="DN187" s="176">
        <f t="shared" si="84"/>
        <v>0</v>
      </c>
      <c r="DO187" s="176">
        <f t="shared" si="84"/>
        <v>0</v>
      </c>
      <c r="DP187" s="176">
        <f t="shared" si="84"/>
        <v>0</v>
      </c>
      <c r="DQ187" s="176">
        <f t="shared" si="84"/>
        <v>0</v>
      </c>
      <c r="DR187" s="176">
        <f t="shared" si="84"/>
        <v>0</v>
      </c>
      <c r="DS187" s="176">
        <f t="shared" si="84"/>
        <v>0</v>
      </c>
      <c r="DT187" s="176">
        <f t="shared" si="84"/>
        <v>0</v>
      </c>
      <c r="DU187" s="176">
        <f t="shared" si="84"/>
        <v>0</v>
      </c>
      <c r="DV187" s="176">
        <f t="shared" si="84"/>
        <v>0</v>
      </c>
      <c r="DW187" s="176">
        <f t="shared" si="84"/>
        <v>0</v>
      </c>
      <c r="DX187" s="176">
        <f t="shared" si="84"/>
        <v>0</v>
      </c>
      <c r="DY187" s="176">
        <f t="shared" si="84"/>
        <v>0</v>
      </c>
      <c r="DZ187" s="176">
        <f t="shared" si="84"/>
        <v>0</v>
      </c>
      <c r="EA187" s="176">
        <f t="shared" si="84"/>
        <v>0</v>
      </c>
      <c r="EB187" s="176">
        <f t="shared" si="84"/>
        <v>0</v>
      </c>
      <c r="EC187" s="176">
        <f t="shared" si="84"/>
        <v>0</v>
      </c>
      <c r="ED187" s="176">
        <f t="shared" si="84"/>
        <v>0</v>
      </c>
      <c r="EE187" s="176">
        <f t="shared" si="84"/>
        <v>0</v>
      </c>
      <c r="EF187" s="182">
        <f t="shared" si="84"/>
        <v>0</v>
      </c>
      <c r="EG187" s="182">
        <f t="shared" si="84"/>
        <v>0</v>
      </c>
      <c r="EH187" s="182">
        <f t="shared" si="84"/>
        <v>0</v>
      </c>
      <c r="EI187" s="182">
        <f t="shared" si="84"/>
        <v>0</v>
      </c>
      <c r="EJ187" s="182">
        <f t="shared" si="84"/>
        <v>0</v>
      </c>
      <c r="EK187" s="182">
        <f t="shared" si="84"/>
        <v>0</v>
      </c>
      <c r="EL187" s="182">
        <f t="shared" si="84"/>
        <v>0</v>
      </c>
      <c r="EM187" s="182">
        <f t="shared" si="84"/>
        <v>0</v>
      </c>
      <c r="EN187" s="182">
        <f t="shared" ref="EN187:FB187" si="85">EN20*EN$168</f>
        <v>0</v>
      </c>
      <c r="EO187" s="182">
        <f t="shared" si="85"/>
        <v>0</v>
      </c>
      <c r="EP187" s="182">
        <f t="shared" si="85"/>
        <v>0</v>
      </c>
      <c r="EQ187" s="182">
        <f t="shared" si="85"/>
        <v>0</v>
      </c>
      <c r="ER187" s="182">
        <f t="shared" si="85"/>
        <v>0</v>
      </c>
      <c r="ES187" s="182">
        <f t="shared" si="85"/>
        <v>0</v>
      </c>
      <c r="ET187" s="182">
        <f t="shared" si="85"/>
        <v>0</v>
      </c>
      <c r="EU187" s="182">
        <f t="shared" si="85"/>
        <v>0</v>
      </c>
      <c r="EV187" s="182">
        <f t="shared" si="85"/>
        <v>0</v>
      </c>
      <c r="EW187" s="182">
        <f t="shared" si="85"/>
        <v>0</v>
      </c>
      <c r="EX187" s="182">
        <f t="shared" si="85"/>
        <v>0</v>
      </c>
      <c r="EY187" s="182">
        <f t="shared" si="85"/>
        <v>0</v>
      </c>
      <c r="EZ187" s="182">
        <f t="shared" si="85"/>
        <v>0</v>
      </c>
      <c r="FA187" s="182">
        <f t="shared" si="85"/>
        <v>0</v>
      </c>
      <c r="FB187" s="183">
        <f t="shared" si="85"/>
        <v>0</v>
      </c>
    </row>
    <row r="188" spans="2:158" ht="12.75" customHeight="1" x14ac:dyDescent="0.3">
      <c r="B188" s="180" t="s">
        <v>3831</v>
      </c>
      <c r="C188" s="193">
        <v>2.1571287063785434</v>
      </c>
      <c r="D188" s="182">
        <f t="shared" si="20"/>
        <v>0</v>
      </c>
      <c r="E188" s="182">
        <f t="shared" si="26"/>
        <v>7.2306577059071267E-3</v>
      </c>
      <c r="F188" s="182">
        <f t="shared" si="32"/>
        <v>0</v>
      </c>
      <c r="G188" s="182">
        <f t="shared" si="38"/>
        <v>0</v>
      </c>
      <c r="H188" s="182">
        <f t="shared" si="44"/>
        <v>8.0946867531731296E-4</v>
      </c>
      <c r="I188" s="176">
        <f t="shared" si="50"/>
        <v>0</v>
      </c>
      <c r="J188" s="182">
        <f t="shared" si="56"/>
        <v>0</v>
      </c>
      <c r="K188" s="182">
        <f t="shared" si="62"/>
        <v>0</v>
      </c>
      <c r="L188" s="182">
        <f t="shared" si="68"/>
        <v>1.1074256224106416E-8</v>
      </c>
      <c r="M188" s="182">
        <f t="shared" si="74"/>
        <v>0</v>
      </c>
      <c r="N188" s="182">
        <f t="shared" si="80"/>
        <v>0</v>
      </c>
      <c r="O188" s="182">
        <f t="shared" ref="O188:O219" si="86">O21*O$168</f>
        <v>0</v>
      </c>
      <c r="P188" s="181">
        <f>$C188+SUM($D188:O188,Q188:$FB188)-SUM(P$176:P187,P189:P$330)-P$331</f>
        <v>-4.4408920985006262E-16</v>
      </c>
      <c r="Q188" s="176">
        <f t="shared" ref="Q188:AV188" si="87">Q21*Q$168</f>
        <v>0</v>
      </c>
      <c r="R188" s="176">
        <f t="shared" si="87"/>
        <v>0</v>
      </c>
      <c r="S188" s="176">
        <f t="shared" si="87"/>
        <v>0</v>
      </c>
      <c r="T188" s="176">
        <f t="shared" si="87"/>
        <v>0</v>
      </c>
      <c r="U188" s="176">
        <f t="shared" si="87"/>
        <v>0</v>
      </c>
      <c r="V188" s="176">
        <f t="shared" si="87"/>
        <v>0</v>
      </c>
      <c r="W188" s="176">
        <f t="shared" si="87"/>
        <v>0</v>
      </c>
      <c r="X188" s="176">
        <f t="shared" si="87"/>
        <v>0</v>
      </c>
      <c r="Y188" s="176">
        <f t="shared" si="87"/>
        <v>0</v>
      </c>
      <c r="Z188" s="176">
        <f t="shared" si="87"/>
        <v>0</v>
      </c>
      <c r="AA188" s="176">
        <f t="shared" si="87"/>
        <v>0</v>
      </c>
      <c r="AB188" s="176">
        <f t="shared" si="87"/>
        <v>1.3226550907588548E-10</v>
      </c>
      <c r="AC188" s="176">
        <f t="shared" si="87"/>
        <v>0</v>
      </c>
      <c r="AD188" s="176">
        <f t="shared" si="87"/>
        <v>0</v>
      </c>
      <c r="AE188" s="176">
        <f t="shared" si="87"/>
        <v>0</v>
      </c>
      <c r="AF188" s="176">
        <f t="shared" si="87"/>
        <v>0</v>
      </c>
      <c r="AG188" s="176">
        <f t="shared" si="87"/>
        <v>0</v>
      </c>
      <c r="AH188" s="176">
        <f t="shared" si="87"/>
        <v>0</v>
      </c>
      <c r="AI188" s="176">
        <f t="shared" si="87"/>
        <v>0</v>
      </c>
      <c r="AJ188" s="176">
        <f t="shared" si="87"/>
        <v>2.2375537535241271E-7</v>
      </c>
      <c r="AK188" s="176">
        <f t="shared" si="87"/>
        <v>0</v>
      </c>
      <c r="AL188" s="176">
        <f t="shared" si="87"/>
        <v>0</v>
      </c>
      <c r="AM188" s="176">
        <f t="shared" si="87"/>
        <v>0</v>
      </c>
      <c r="AN188" s="176">
        <f t="shared" si="87"/>
        <v>6.3590972933134277E-6</v>
      </c>
      <c r="AO188" s="176">
        <f t="shared" si="87"/>
        <v>0</v>
      </c>
      <c r="AP188" s="176">
        <f t="shared" si="87"/>
        <v>0</v>
      </c>
      <c r="AQ188" s="176">
        <f t="shared" si="87"/>
        <v>0</v>
      </c>
      <c r="AR188" s="176">
        <f t="shared" si="87"/>
        <v>8.2872361241634321E-8</v>
      </c>
      <c r="AS188" s="176">
        <f t="shared" si="87"/>
        <v>0</v>
      </c>
      <c r="AT188" s="176">
        <f t="shared" si="87"/>
        <v>0</v>
      </c>
      <c r="AU188" s="176">
        <f t="shared" si="87"/>
        <v>0</v>
      </c>
      <c r="AV188" s="176">
        <f t="shared" si="87"/>
        <v>0</v>
      </c>
      <c r="AW188" s="176">
        <f t="shared" ref="AW188:CB188" si="88">AW21*AW$168</f>
        <v>0</v>
      </c>
      <c r="AX188" s="176">
        <f t="shared" si="88"/>
        <v>0</v>
      </c>
      <c r="AY188" s="176">
        <f t="shared" si="88"/>
        <v>0</v>
      </c>
      <c r="AZ188" s="176">
        <f t="shared" si="88"/>
        <v>0</v>
      </c>
      <c r="BA188" s="176">
        <f t="shared" si="88"/>
        <v>0</v>
      </c>
      <c r="BB188" s="176">
        <f t="shared" si="88"/>
        <v>0</v>
      </c>
      <c r="BC188" s="176">
        <f t="shared" si="88"/>
        <v>0</v>
      </c>
      <c r="BD188" s="176">
        <f t="shared" si="88"/>
        <v>0</v>
      </c>
      <c r="BE188" s="176">
        <f t="shared" si="88"/>
        <v>0</v>
      </c>
      <c r="BF188" s="176">
        <f t="shared" si="88"/>
        <v>0</v>
      </c>
      <c r="BG188" s="176">
        <f t="shared" si="88"/>
        <v>0</v>
      </c>
      <c r="BH188" s="176">
        <f t="shared" si="88"/>
        <v>0</v>
      </c>
      <c r="BI188" s="176">
        <f t="shared" si="88"/>
        <v>0</v>
      </c>
      <c r="BJ188" s="176">
        <f t="shared" si="88"/>
        <v>0</v>
      </c>
      <c r="BK188" s="176">
        <f t="shared" si="88"/>
        <v>0</v>
      </c>
      <c r="BL188" s="176">
        <f t="shared" si="88"/>
        <v>0</v>
      </c>
      <c r="BM188" s="176">
        <f t="shared" si="88"/>
        <v>0</v>
      </c>
      <c r="BN188" s="176">
        <f t="shared" si="88"/>
        <v>0</v>
      </c>
      <c r="BO188" s="176">
        <f t="shared" si="88"/>
        <v>0</v>
      </c>
      <c r="BP188" s="176">
        <f t="shared" si="88"/>
        <v>0</v>
      </c>
      <c r="BQ188" s="176">
        <f t="shared" si="88"/>
        <v>0</v>
      </c>
      <c r="BR188" s="176">
        <f t="shared" si="88"/>
        <v>0</v>
      </c>
      <c r="BS188" s="176">
        <f t="shared" si="88"/>
        <v>0</v>
      </c>
      <c r="BT188" s="176">
        <f t="shared" si="88"/>
        <v>0</v>
      </c>
      <c r="BU188" s="176">
        <f t="shared" si="88"/>
        <v>0</v>
      </c>
      <c r="BV188" s="176">
        <f t="shared" si="88"/>
        <v>0</v>
      </c>
      <c r="BW188" s="176">
        <f t="shared" si="88"/>
        <v>0</v>
      </c>
      <c r="BX188" s="176">
        <f t="shared" si="88"/>
        <v>0</v>
      </c>
      <c r="BY188" s="176">
        <f t="shared" si="88"/>
        <v>0</v>
      </c>
      <c r="BZ188" s="176">
        <f t="shared" si="88"/>
        <v>0</v>
      </c>
      <c r="CA188" s="176">
        <f t="shared" si="88"/>
        <v>0</v>
      </c>
      <c r="CB188" s="176">
        <f t="shared" si="88"/>
        <v>0</v>
      </c>
      <c r="CC188" s="176">
        <f t="shared" ref="CC188:DH188" si="89">CC21*CC$168</f>
        <v>0</v>
      </c>
      <c r="CD188" s="176">
        <f t="shared" si="89"/>
        <v>0</v>
      </c>
      <c r="CE188" s="176">
        <f t="shared" si="89"/>
        <v>0</v>
      </c>
      <c r="CF188" s="176">
        <f t="shared" si="89"/>
        <v>0</v>
      </c>
      <c r="CG188" s="176">
        <f t="shared" si="89"/>
        <v>0</v>
      </c>
      <c r="CH188" s="176">
        <f t="shared" si="89"/>
        <v>0</v>
      </c>
      <c r="CI188" s="176">
        <f t="shared" si="89"/>
        <v>0</v>
      </c>
      <c r="CJ188" s="176">
        <f t="shared" si="89"/>
        <v>0</v>
      </c>
      <c r="CK188" s="176">
        <f t="shared" si="89"/>
        <v>0</v>
      </c>
      <c r="CL188" s="176">
        <f t="shared" si="89"/>
        <v>0</v>
      </c>
      <c r="CM188" s="176">
        <f t="shared" si="89"/>
        <v>0</v>
      </c>
      <c r="CN188" s="176">
        <f t="shared" si="89"/>
        <v>0</v>
      </c>
      <c r="CO188" s="176">
        <f t="shared" si="89"/>
        <v>0</v>
      </c>
      <c r="CP188" s="176">
        <f t="shared" si="89"/>
        <v>0</v>
      </c>
      <c r="CQ188" s="176">
        <f t="shared" si="89"/>
        <v>0</v>
      </c>
      <c r="CR188" s="176">
        <f t="shared" si="89"/>
        <v>0</v>
      </c>
      <c r="CS188" s="176">
        <f t="shared" si="89"/>
        <v>0</v>
      </c>
      <c r="CT188" s="176">
        <f t="shared" si="89"/>
        <v>0</v>
      </c>
      <c r="CU188" s="176">
        <f t="shared" si="89"/>
        <v>0</v>
      </c>
      <c r="CV188" s="176">
        <f t="shared" si="89"/>
        <v>0</v>
      </c>
      <c r="CW188" s="176">
        <f t="shared" si="89"/>
        <v>0</v>
      </c>
      <c r="CX188" s="176">
        <f t="shared" si="89"/>
        <v>0</v>
      </c>
      <c r="CY188" s="176">
        <f t="shared" si="89"/>
        <v>0</v>
      </c>
      <c r="CZ188" s="176">
        <f t="shared" si="89"/>
        <v>0</v>
      </c>
      <c r="DA188" s="176">
        <f t="shared" si="89"/>
        <v>0</v>
      </c>
      <c r="DB188" s="176">
        <f t="shared" si="89"/>
        <v>0</v>
      </c>
      <c r="DC188" s="176">
        <f t="shared" si="89"/>
        <v>0</v>
      </c>
      <c r="DD188" s="176">
        <f t="shared" si="89"/>
        <v>0</v>
      </c>
      <c r="DE188" s="176">
        <f t="shared" si="89"/>
        <v>0</v>
      </c>
      <c r="DF188" s="176">
        <f t="shared" si="89"/>
        <v>0</v>
      </c>
      <c r="DG188" s="176">
        <f t="shared" si="89"/>
        <v>0</v>
      </c>
      <c r="DH188" s="176">
        <f t="shared" si="89"/>
        <v>0</v>
      </c>
      <c r="DI188" s="176">
        <f t="shared" ref="DI188:EN188" si="90">DI21*DI$168</f>
        <v>0</v>
      </c>
      <c r="DJ188" s="176">
        <f t="shared" si="90"/>
        <v>0</v>
      </c>
      <c r="DK188" s="176">
        <f t="shared" si="90"/>
        <v>0</v>
      </c>
      <c r="DL188" s="176">
        <f t="shared" si="90"/>
        <v>0</v>
      </c>
      <c r="DM188" s="176">
        <f t="shared" si="90"/>
        <v>0</v>
      </c>
      <c r="DN188" s="176">
        <f t="shared" si="90"/>
        <v>0</v>
      </c>
      <c r="DO188" s="176">
        <f t="shared" si="90"/>
        <v>0</v>
      </c>
      <c r="DP188" s="176">
        <f t="shared" si="90"/>
        <v>0</v>
      </c>
      <c r="DQ188" s="176">
        <f t="shared" si="90"/>
        <v>0</v>
      </c>
      <c r="DR188" s="176">
        <f t="shared" si="90"/>
        <v>0</v>
      </c>
      <c r="DS188" s="176">
        <f t="shared" si="90"/>
        <v>0</v>
      </c>
      <c r="DT188" s="176">
        <f t="shared" si="90"/>
        <v>0</v>
      </c>
      <c r="DU188" s="176">
        <f t="shared" si="90"/>
        <v>0</v>
      </c>
      <c r="DV188" s="176">
        <f t="shared" si="90"/>
        <v>0</v>
      </c>
      <c r="DW188" s="176">
        <f t="shared" si="90"/>
        <v>0</v>
      </c>
      <c r="DX188" s="176">
        <f t="shared" si="90"/>
        <v>0</v>
      </c>
      <c r="DY188" s="176">
        <f t="shared" si="90"/>
        <v>0</v>
      </c>
      <c r="DZ188" s="176">
        <f t="shared" si="90"/>
        <v>0</v>
      </c>
      <c r="EA188" s="176">
        <f t="shared" si="90"/>
        <v>0</v>
      </c>
      <c r="EB188" s="176">
        <f t="shared" si="90"/>
        <v>0</v>
      </c>
      <c r="EC188" s="176">
        <f t="shared" si="90"/>
        <v>0</v>
      </c>
      <c r="ED188" s="176">
        <f t="shared" si="90"/>
        <v>0</v>
      </c>
      <c r="EE188" s="176">
        <f t="shared" si="90"/>
        <v>0</v>
      </c>
      <c r="EF188" s="182">
        <f t="shared" si="90"/>
        <v>0</v>
      </c>
      <c r="EG188" s="182">
        <f t="shared" si="90"/>
        <v>0</v>
      </c>
      <c r="EH188" s="182">
        <f t="shared" si="90"/>
        <v>0</v>
      </c>
      <c r="EI188" s="182">
        <f t="shared" si="90"/>
        <v>0</v>
      </c>
      <c r="EJ188" s="182">
        <f t="shared" si="90"/>
        <v>0</v>
      </c>
      <c r="EK188" s="182">
        <f t="shared" si="90"/>
        <v>0</v>
      </c>
      <c r="EL188" s="182">
        <f t="shared" si="90"/>
        <v>0</v>
      </c>
      <c r="EM188" s="182">
        <f t="shared" si="90"/>
        <v>0</v>
      </c>
      <c r="EN188" s="182">
        <f t="shared" si="90"/>
        <v>0</v>
      </c>
      <c r="EO188" s="182">
        <f t="shared" ref="EO188:FB188" si="91">EO21*EO$168</f>
        <v>0</v>
      </c>
      <c r="EP188" s="182">
        <f t="shared" si="91"/>
        <v>0</v>
      </c>
      <c r="EQ188" s="182">
        <f t="shared" si="91"/>
        <v>0</v>
      </c>
      <c r="ER188" s="182">
        <f t="shared" si="91"/>
        <v>0</v>
      </c>
      <c r="ES188" s="182">
        <f t="shared" si="91"/>
        <v>0</v>
      </c>
      <c r="ET188" s="182">
        <f t="shared" si="91"/>
        <v>0</v>
      </c>
      <c r="EU188" s="182">
        <f t="shared" si="91"/>
        <v>0</v>
      </c>
      <c r="EV188" s="182">
        <f t="shared" si="91"/>
        <v>0</v>
      </c>
      <c r="EW188" s="182">
        <f t="shared" si="91"/>
        <v>0</v>
      </c>
      <c r="EX188" s="182">
        <f t="shared" si="91"/>
        <v>0</v>
      </c>
      <c r="EY188" s="182">
        <f t="shared" si="91"/>
        <v>0</v>
      </c>
      <c r="EZ188" s="182">
        <f t="shared" si="91"/>
        <v>0</v>
      </c>
      <c r="FA188" s="182">
        <f t="shared" si="91"/>
        <v>0</v>
      </c>
      <c r="FB188" s="183">
        <f t="shared" si="91"/>
        <v>0</v>
      </c>
    </row>
    <row r="189" spans="2:158" ht="12.75" customHeight="1" x14ac:dyDescent="0.3">
      <c r="B189" s="180" t="s">
        <v>3832</v>
      </c>
      <c r="C189" s="193">
        <v>0</v>
      </c>
      <c r="D189" s="182">
        <f t="shared" si="20"/>
        <v>0</v>
      </c>
      <c r="E189" s="182">
        <f t="shared" si="26"/>
        <v>0</v>
      </c>
      <c r="F189" s="182">
        <f t="shared" si="32"/>
        <v>5.7155030900873814E-3</v>
      </c>
      <c r="G189" s="182">
        <f t="shared" si="38"/>
        <v>0</v>
      </c>
      <c r="H189" s="182">
        <f t="shared" si="44"/>
        <v>0</v>
      </c>
      <c r="I189" s="176">
        <f t="shared" si="50"/>
        <v>7.9953241286021188E-4</v>
      </c>
      <c r="J189" s="182">
        <f t="shared" si="56"/>
        <v>0</v>
      </c>
      <c r="K189" s="182">
        <f t="shared" si="62"/>
        <v>0</v>
      </c>
      <c r="L189" s="182">
        <f t="shared" si="68"/>
        <v>0</v>
      </c>
      <c r="M189" s="182">
        <f t="shared" si="74"/>
        <v>0.12599218674837145</v>
      </c>
      <c r="N189" s="182">
        <f t="shared" si="80"/>
        <v>0</v>
      </c>
      <c r="O189" s="182">
        <f t="shared" si="86"/>
        <v>0</v>
      </c>
      <c r="P189" s="182">
        <f t="shared" ref="P189:P220" si="92">P22*P$168</f>
        <v>1.8426660217115194</v>
      </c>
      <c r="Q189" s="181">
        <f>$C189+SUM($D189:P189,R189:$FB189)-SUM(Q$176:Q188,Q190:Q$330)-Q$331</f>
        <v>0</v>
      </c>
      <c r="R189" s="176">
        <f t="shared" ref="R189:AW189" si="93">R22*R$168</f>
        <v>0</v>
      </c>
      <c r="S189" s="176">
        <f t="shared" si="93"/>
        <v>0</v>
      </c>
      <c r="T189" s="176">
        <f t="shared" si="93"/>
        <v>0</v>
      </c>
      <c r="U189" s="176">
        <f t="shared" si="93"/>
        <v>0</v>
      </c>
      <c r="V189" s="176">
        <f t="shared" si="93"/>
        <v>0</v>
      </c>
      <c r="W189" s="176">
        <f t="shared" si="93"/>
        <v>0</v>
      </c>
      <c r="X189" s="176">
        <f t="shared" si="93"/>
        <v>0</v>
      </c>
      <c r="Y189" s="176">
        <f t="shared" si="93"/>
        <v>0</v>
      </c>
      <c r="Z189" s="176">
        <f t="shared" si="93"/>
        <v>0</v>
      </c>
      <c r="AA189" s="176">
        <f t="shared" si="93"/>
        <v>0</v>
      </c>
      <c r="AB189" s="176">
        <f t="shared" si="93"/>
        <v>0</v>
      </c>
      <c r="AC189" s="176">
        <f t="shared" si="93"/>
        <v>0.72127988336154014</v>
      </c>
      <c r="AD189" s="176">
        <f t="shared" si="93"/>
        <v>0</v>
      </c>
      <c r="AE189" s="176">
        <f t="shared" si="93"/>
        <v>0</v>
      </c>
      <c r="AF189" s="176">
        <f t="shared" si="93"/>
        <v>0</v>
      </c>
      <c r="AG189" s="176">
        <f t="shared" si="93"/>
        <v>0</v>
      </c>
      <c r="AH189" s="176">
        <f t="shared" si="93"/>
        <v>0</v>
      </c>
      <c r="AI189" s="176">
        <f t="shared" si="93"/>
        <v>0</v>
      </c>
      <c r="AJ189" s="176">
        <f t="shared" si="93"/>
        <v>0</v>
      </c>
      <c r="AK189" s="176">
        <f t="shared" si="93"/>
        <v>4.3192901518275817E-2</v>
      </c>
      <c r="AL189" s="176">
        <f t="shared" si="93"/>
        <v>0</v>
      </c>
      <c r="AM189" s="176">
        <f t="shared" si="93"/>
        <v>0</v>
      </c>
      <c r="AN189" s="176">
        <f t="shared" si="93"/>
        <v>0</v>
      </c>
      <c r="AO189" s="176">
        <f t="shared" si="93"/>
        <v>1.5959899095755523</v>
      </c>
      <c r="AP189" s="176">
        <f t="shared" si="93"/>
        <v>0</v>
      </c>
      <c r="AQ189" s="176">
        <f t="shared" si="93"/>
        <v>0</v>
      </c>
      <c r="AR189" s="176">
        <f t="shared" si="93"/>
        <v>0</v>
      </c>
      <c r="AS189" s="176">
        <f t="shared" si="93"/>
        <v>1.5997370932694745E-2</v>
      </c>
      <c r="AT189" s="176">
        <f t="shared" si="93"/>
        <v>0</v>
      </c>
      <c r="AU189" s="176">
        <f t="shared" si="93"/>
        <v>0</v>
      </c>
      <c r="AV189" s="176">
        <f t="shared" si="93"/>
        <v>0</v>
      </c>
      <c r="AW189" s="176">
        <f t="shared" si="93"/>
        <v>0</v>
      </c>
      <c r="AX189" s="176">
        <f t="shared" ref="AX189:CC189" si="94">AX22*AX$168</f>
        <v>0</v>
      </c>
      <c r="AY189" s="176">
        <f t="shared" si="94"/>
        <v>0</v>
      </c>
      <c r="AZ189" s="176">
        <f t="shared" si="94"/>
        <v>0</v>
      </c>
      <c r="BA189" s="176">
        <f t="shared" si="94"/>
        <v>0</v>
      </c>
      <c r="BB189" s="176">
        <f t="shared" si="94"/>
        <v>0</v>
      </c>
      <c r="BC189" s="176">
        <f t="shared" si="94"/>
        <v>0</v>
      </c>
      <c r="BD189" s="176">
        <f t="shared" si="94"/>
        <v>0</v>
      </c>
      <c r="BE189" s="176">
        <f t="shared" si="94"/>
        <v>0</v>
      </c>
      <c r="BF189" s="176">
        <f t="shared" si="94"/>
        <v>0</v>
      </c>
      <c r="BG189" s="176">
        <f t="shared" si="94"/>
        <v>0</v>
      </c>
      <c r="BH189" s="176">
        <f t="shared" si="94"/>
        <v>0</v>
      </c>
      <c r="BI189" s="176">
        <f t="shared" si="94"/>
        <v>0</v>
      </c>
      <c r="BJ189" s="176">
        <f t="shared" si="94"/>
        <v>0</v>
      </c>
      <c r="BK189" s="176">
        <f t="shared" si="94"/>
        <v>0</v>
      </c>
      <c r="BL189" s="176">
        <f t="shared" si="94"/>
        <v>0</v>
      </c>
      <c r="BM189" s="176">
        <f t="shared" si="94"/>
        <v>0</v>
      </c>
      <c r="BN189" s="176">
        <f t="shared" si="94"/>
        <v>0</v>
      </c>
      <c r="BO189" s="176">
        <f t="shared" si="94"/>
        <v>0</v>
      </c>
      <c r="BP189" s="176">
        <f t="shared" si="94"/>
        <v>0</v>
      </c>
      <c r="BQ189" s="176">
        <f t="shared" si="94"/>
        <v>0</v>
      </c>
      <c r="BR189" s="176">
        <f t="shared" si="94"/>
        <v>0</v>
      </c>
      <c r="BS189" s="176">
        <f t="shared" si="94"/>
        <v>0</v>
      </c>
      <c r="BT189" s="176">
        <f t="shared" si="94"/>
        <v>0</v>
      </c>
      <c r="BU189" s="176">
        <f t="shared" si="94"/>
        <v>0</v>
      </c>
      <c r="BV189" s="176">
        <f t="shared" si="94"/>
        <v>0</v>
      </c>
      <c r="BW189" s="176">
        <f t="shared" si="94"/>
        <v>0</v>
      </c>
      <c r="BX189" s="176">
        <f t="shared" si="94"/>
        <v>0</v>
      </c>
      <c r="BY189" s="176">
        <f t="shared" si="94"/>
        <v>0</v>
      </c>
      <c r="BZ189" s="176">
        <f t="shared" si="94"/>
        <v>0</v>
      </c>
      <c r="CA189" s="176">
        <f t="shared" si="94"/>
        <v>0</v>
      </c>
      <c r="CB189" s="176">
        <f t="shared" si="94"/>
        <v>0</v>
      </c>
      <c r="CC189" s="176">
        <f t="shared" si="94"/>
        <v>0</v>
      </c>
      <c r="CD189" s="176">
        <f t="shared" ref="CD189:DI189" si="95">CD22*CD$168</f>
        <v>0</v>
      </c>
      <c r="CE189" s="176">
        <f t="shared" si="95"/>
        <v>0</v>
      </c>
      <c r="CF189" s="176">
        <f t="shared" si="95"/>
        <v>0</v>
      </c>
      <c r="CG189" s="176">
        <f t="shared" si="95"/>
        <v>0</v>
      </c>
      <c r="CH189" s="176">
        <f t="shared" si="95"/>
        <v>0</v>
      </c>
      <c r="CI189" s="176">
        <f t="shared" si="95"/>
        <v>0</v>
      </c>
      <c r="CJ189" s="176">
        <f t="shared" si="95"/>
        <v>0</v>
      </c>
      <c r="CK189" s="176">
        <f t="shared" si="95"/>
        <v>0</v>
      </c>
      <c r="CL189" s="176">
        <f t="shared" si="95"/>
        <v>0</v>
      </c>
      <c r="CM189" s="176">
        <f t="shared" si="95"/>
        <v>0</v>
      </c>
      <c r="CN189" s="176">
        <f t="shared" si="95"/>
        <v>0</v>
      </c>
      <c r="CO189" s="176">
        <f t="shared" si="95"/>
        <v>0</v>
      </c>
      <c r="CP189" s="176">
        <f t="shared" si="95"/>
        <v>0</v>
      </c>
      <c r="CQ189" s="176">
        <f t="shared" si="95"/>
        <v>0</v>
      </c>
      <c r="CR189" s="176">
        <f t="shared" si="95"/>
        <v>0</v>
      </c>
      <c r="CS189" s="176">
        <f t="shared" si="95"/>
        <v>0</v>
      </c>
      <c r="CT189" s="176">
        <f t="shared" si="95"/>
        <v>0</v>
      </c>
      <c r="CU189" s="176">
        <f t="shared" si="95"/>
        <v>0</v>
      </c>
      <c r="CV189" s="176">
        <f t="shared" si="95"/>
        <v>0</v>
      </c>
      <c r="CW189" s="176">
        <f t="shared" si="95"/>
        <v>0</v>
      </c>
      <c r="CX189" s="176">
        <f t="shared" si="95"/>
        <v>0</v>
      </c>
      <c r="CY189" s="176">
        <f t="shared" si="95"/>
        <v>0</v>
      </c>
      <c r="CZ189" s="176">
        <f t="shared" si="95"/>
        <v>0</v>
      </c>
      <c r="DA189" s="176">
        <f t="shared" si="95"/>
        <v>0</v>
      </c>
      <c r="DB189" s="176">
        <f t="shared" si="95"/>
        <v>0</v>
      </c>
      <c r="DC189" s="176">
        <f t="shared" si="95"/>
        <v>0</v>
      </c>
      <c r="DD189" s="176">
        <f t="shared" si="95"/>
        <v>0</v>
      </c>
      <c r="DE189" s="176">
        <f t="shared" si="95"/>
        <v>0</v>
      </c>
      <c r="DF189" s="176">
        <f t="shared" si="95"/>
        <v>0</v>
      </c>
      <c r="DG189" s="176">
        <f t="shared" si="95"/>
        <v>0</v>
      </c>
      <c r="DH189" s="176">
        <f t="shared" si="95"/>
        <v>0</v>
      </c>
      <c r="DI189" s="176">
        <f t="shared" si="95"/>
        <v>0</v>
      </c>
      <c r="DJ189" s="176">
        <f t="shared" ref="DJ189:EO189" si="96">DJ22*DJ$168</f>
        <v>0</v>
      </c>
      <c r="DK189" s="176">
        <f t="shared" si="96"/>
        <v>0</v>
      </c>
      <c r="DL189" s="176">
        <f t="shared" si="96"/>
        <v>0</v>
      </c>
      <c r="DM189" s="176">
        <f t="shared" si="96"/>
        <v>0</v>
      </c>
      <c r="DN189" s="176">
        <f t="shared" si="96"/>
        <v>0</v>
      </c>
      <c r="DO189" s="176">
        <f t="shared" si="96"/>
        <v>0</v>
      </c>
      <c r="DP189" s="176">
        <f t="shared" si="96"/>
        <v>0</v>
      </c>
      <c r="DQ189" s="176">
        <f t="shared" si="96"/>
        <v>0</v>
      </c>
      <c r="DR189" s="176">
        <f t="shared" si="96"/>
        <v>0</v>
      </c>
      <c r="DS189" s="176">
        <f t="shared" si="96"/>
        <v>0</v>
      </c>
      <c r="DT189" s="176">
        <f t="shared" si="96"/>
        <v>0</v>
      </c>
      <c r="DU189" s="176">
        <f t="shared" si="96"/>
        <v>0</v>
      </c>
      <c r="DV189" s="176">
        <f t="shared" si="96"/>
        <v>0</v>
      </c>
      <c r="DW189" s="176">
        <f t="shared" si="96"/>
        <v>0</v>
      </c>
      <c r="DX189" s="176">
        <f t="shared" si="96"/>
        <v>0</v>
      </c>
      <c r="DY189" s="176">
        <f t="shared" si="96"/>
        <v>0</v>
      </c>
      <c r="DZ189" s="176">
        <f t="shared" si="96"/>
        <v>0</v>
      </c>
      <c r="EA189" s="176">
        <f t="shared" si="96"/>
        <v>0</v>
      </c>
      <c r="EB189" s="176">
        <f t="shared" si="96"/>
        <v>0</v>
      </c>
      <c r="EC189" s="176">
        <f t="shared" si="96"/>
        <v>0</v>
      </c>
      <c r="ED189" s="176">
        <f t="shared" si="96"/>
        <v>0</v>
      </c>
      <c r="EE189" s="176">
        <f t="shared" si="96"/>
        <v>0</v>
      </c>
      <c r="EF189" s="182">
        <f t="shared" si="96"/>
        <v>0</v>
      </c>
      <c r="EG189" s="182">
        <f t="shared" si="96"/>
        <v>0</v>
      </c>
      <c r="EH189" s="182">
        <f t="shared" si="96"/>
        <v>0</v>
      </c>
      <c r="EI189" s="182">
        <f t="shared" si="96"/>
        <v>0</v>
      </c>
      <c r="EJ189" s="182">
        <f t="shared" si="96"/>
        <v>0</v>
      </c>
      <c r="EK189" s="182">
        <f t="shared" si="96"/>
        <v>0</v>
      </c>
      <c r="EL189" s="182">
        <f t="shared" si="96"/>
        <v>0</v>
      </c>
      <c r="EM189" s="182">
        <f t="shared" si="96"/>
        <v>0</v>
      </c>
      <c r="EN189" s="182">
        <f t="shared" si="96"/>
        <v>0</v>
      </c>
      <c r="EO189" s="182">
        <f t="shared" si="96"/>
        <v>0</v>
      </c>
      <c r="EP189" s="182">
        <f t="shared" ref="EP189:FB189" si="97">EP22*EP$168</f>
        <v>0</v>
      </c>
      <c r="EQ189" s="182">
        <f t="shared" si="97"/>
        <v>0</v>
      </c>
      <c r="ER189" s="182">
        <f t="shared" si="97"/>
        <v>0</v>
      </c>
      <c r="ES189" s="182">
        <f t="shared" si="97"/>
        <v>0</v>
      </c>
      <c r="ET189" s="182">
        <f t="shared" si="97"/>
        <v>0</v>
      </c>
      <c r="EU189" s="182">
        <f t="shared" si="97"/>
        <v>0</v>
      </c>
      <c r="EV189" s="182">
        <f t="shared" si="97"/>
        <v>0</v>
      </c>
      <c r="EW189" s="182">
        <f t="shared" si="97"/>
        <v>0</v>
      </c>
      <c r="EX189" s="182">
        <f t="shared" si="97"/>
        <v>0</v>
      </c>
      <c r="EY189" s="182">
        <f t="shared" si="97"/>
        <v>0</v>
      </c>
      <c r="EZ189" s="182">
        <f t="shared" si="97"/>
        <v>0</v>
      </c>
      <c r="FA189" s="182">
        <f t="shared" si="97"/>
        <v>0</v>
      </c>
      <c r="FB189" s="183">
        <f t="shared" si="97"/>
        <v>0</v>
      </c>
    </row>
    <row r="190" spans="2:158" ht="12.75" customHeight="1" x14ac:dyDescent="0.3">
      <c r="B190" s="180" t="s">
        <v>3833</v>
      </c>
      <c r="C190" s="193">
        <v>0</v>
      </c>
      <c r="D190" s="182">
        <f t="shared" si="20"/>
        <v>0</v>
      </c>
      <c r="E190" s="182">
        <f t="shared" si="26"/>
        <v>0</v>
      </c>
      <c r="F190" s="182">
        <f t="shared" si="32"/>
        <v>0</v>
      </c>
      <c r="G190" s="182">
        <f t="shared" si="38"/>
        <v>9.1460244782771888E-7</v>
      </c>
      <c r="H190" s="182">
        <f t="shared" si="44"/>
        <v>0</v>
      </c>
      <c r="I190" s="176">
        <f t="shared" si="50"/>
        <v>0</v>
      </c>
      <c r="J190" s="182">
        <f t="shared" si="56"/>
        <v>6.7670970891773303E-5</v>
      </c>
      <c r="K190" s="182">
        <f t="shared" si="62"/>
        <v>0</v>
      </c>
      <c r="L190" s="182">
        <f t="shared" si="68"/>
        <v>0</v>
      </c>
      <c r="M190" s="182">
        <f t="shared" si="74"/>
        <v>0</v>
      </c>
      <c r="N190" s="182">
        <f t="shared" si="80"/>
        <v>3.6561017351014575E-4</v>
      </c>
      <c r="O190" s="182">
        <f t="shared" si="86"/>
        <v>0</v>
      </c>
      <c r="P190" s="182">
        <f t="shared" si="92"/>
        <v>0.32167001273622797</v>
      </c>
      <c r="Q190" s="182">
        <f t="shared" ref="Q190:Q221" si="98">Q23*Q$168</f>
        <v>0</v>
      </c>
      <c r="R190" s="181">
        <f>$C190+SUM($D190:Q190,S190:$FB190)-SUM(R$176:R189,R191:R$330)-R$331</f>
        <v>-1.7763568394002505E-15</v>
      </c>
      <c r="S190" s="176">
        <f t="shared" ref="S190:AX190" si="99">S23*S$168</f>
        <v>0</v>
      </c>
      <c r="T190" s="176">
        <f t="shared" si="99"/>
        <v>0</v>
      </c>
      <c r="U190" s="176">
        <f t="shared" si="99"/>
        <v>0</v>
      </c>
      <c r="V190" s="176">
        <f t="shared" si="99"/>
        <v>0</v>
      </c>
      <c r="W190" s="176">
        <f t="shared" si="99"/>
        <v>0</v>
      </c>
      <c r="X190" s="176">
        <f t="shared" si="99"/>
        <v>0</v>
      </c>
      <c r="Y190" s="176">
        <f t="shared" si="99"/>
        <v>0</v>
      </c>
      <c r="Z190" s="176">
        <f t="shared" si="99"/>
        <v>0</v>
      </c>
      <c r="AA190" s="176">
        <f t="shared" si="99"/>
        <v>0</v>
      </c>
      <c r="AB190" s="176">
        <f t="shared" si="99"/>
        <v>0</v>
      </c>
      <c r="AC190" s="176">
        <f t="shared" si="99"/>
        <v>0</v>
      </c>
      <c r="AD190" s="176">
        <f t="shared" si="99"/>
        <v>6.9789340098354042</v>
      </c>
      <c r="AE190" s="176">
        <f t="shared" si="99"/>
        <v>0</v>
      </c>
      <c r="AF190" s="176">
        <f t="shared" si="99"/>
        <v>0</v>
      </c>
      <c r="AG190" s="176">
        <f t="shared" si="99"/>
        <v>0</v>
      </c>
      <c r="AH190" s="176">
        <f t="shared" si="99"/>
        <v>0</v>
      </c>
      <c r="AI190" s="176">
        <f t="shared" si="99"/>
        <v>0</v>
      </c>
      <c r="AJ190" s="176">
        <f t="shared" si="99"/>
        <v>0</v>
      </c>
      <c r="AK190" s="176">
        <f t="shared" si="99"/>
        <v>0</v>
      </c>
      <c r="AL190" s="176">
        <f t="shared" si="99"/>
        <v>8.3743430298811802E-3</v>
      </c>
      <c r="AM190" s="176">
        <f t="shared" si="99"/>
        <v>0</v>
      </c>
      <c r="AN190" s="176">
        <f t="shared" si="99"/>
        <v>0</v>
      </c>
      <c r="AO190" s="176">
        <f t="shared" si="99"/>
        <v>0</v>
      </c>
      <c r="AP190" s="176">
        <f t="shared" si="99"/>
        <v>0.48585979759697273</v>
      </c>
      <c r="AQ190" s="176">
        <f t="shared" si="99"/>
        <v>0</v>
      </c>
      <c r="AR190" s="176">
        <f t="shared" si="99"/>
        <v>0</v>
      </c>
      <c r="AS190" s="176">
        <f t="shared" si="99"/>
        <v>0</v>
      </c>
      <c r="AT190" s="176">
        <f t="shared" si="99"/>
        <v>3.1016085295856219E-3</v>
      </c>
      <c r="AU190" s="176">
        <f t="shared" si="99"/>
        <v>0</v>
      </c>
      <c r="AV190" s="176">
        <f t="shared" si="99"/>
        <v>0</v>
      </c>
      <c r="AW190" s="176">
        <f t="shared" si="99"/>
        <v>0</v>
      </c>
      <c r="AX190" s="176">
        <f t="shared" si="99"/>
        <v>0</v>
      </c>
      <c r="AY190" s="176">
        <f t="shared" ref="AY190:CD190" si="100">AY23*AY$168</f>
        <v>0</v>
      </c>
      <c r="AZ190" s="176">
        <f t="shared" si="100"/>
        <v>0</v>
      </c>
      <c r="BA190" s="176">
        <f t="shared" si="100"/>
        <v>0</v>
      </c>
      <c r="BB190" s="176">
        <f t="shared" si="100"/>
        <v>0</v>
      </c>
      <c r="BC190" s="176">
        <f t="shared" si="100"/>
        <v>0</v>
      </c>
      <c r="BD190" s="176">
        <f t="shared" si="100"/>
        <v>0</v>
      </c>
      <c r="BE190" s="176">
        <f t="shared" si="100"/>
        <v>0</v>
      </c>
      <c r="BF190" s="176">
        <f t="shared" si="100"/>
        <v>0</v>
      </c>
      <c r="BG190" s="176">
        <f t="shared" si="100"/>
        <v>0</v>
      </c>
      <c r="BH190" s="176">
        <f t="shared" si="100"/>
        <v>0</v>
      </c>
      <c r="BI190" s="176">
        <f t="shared" si="100"/>
        <v>0</v>
      </c>
      <c r="BJ190" s="176">
        <f t="shared" si="100"/>
        <v>0</v>
      </c>
      <c r="BK190" s="176">
        <f t="shared" si="100"/>
        <v>0</v>
      </c>
      <c r="BL190" s="176">
        <f t="shared" si="100"/>
        <v>0</v>
      </c>
      <c r="BM190" s="176">
        <f t="shared" si="100"/>
        <v>0</v>
      </c>
      <c r="BN190" s="176">
        <f t="shared" si="100"/>
        <v>0</v>
      </c>
      <c r="BO190" s="176">
        <f t="shared" si="100"/>
        <v>0</v>
      </c>
      <c r="BP190" s="176">
        <f t="shared" si="100"/>
        <v>0</v>
      </c>
      <c r="BQ190" s="176">
        <f t="shared" si="100"/>
        <v>0</v>
      </c>
      <c r="BR190" s="176">
        <f t="shared" si="100"/>
        <v>0</v>
      </c>
      <c r="BS190" s="176">
        <f t="shared" si="100"/>
        <v>0</v>
      </c>
      <c r="BT190" s="176">
        <f t="shared" si="100"/>
        <v>0</v>
      </c>
      <c r="BU190" s="176">
        <f t="shared" si="100"/>
        <v>0</v>
      </c>
      <c r="BV190" s="176">
        <f t="shared" si="100"/>
        <v>0</v>
      </c>
      <c r="BW190" s="176">
        <f t="shared" si="100"/>
        <v>0</v>
      </c>
      <c r="BX190" s="176">
        <f t="shared" si="100"/>
        <v>0</v>
      </c>
      <c r="BY190" s="176">
        <f t="shared" si="100"/>
        <v>0</v>
      </c>
      <c r="BZ190" s="176">
        <f t="shared" si="100"/>
        <v>0</v>
      </c>
      <c r="CA190" s="176">
        <f t="shared" si="100"/>
        <v>0</v>
      </c>
      <c r="CB190" s="176">
        <f t="shared" si="100"/>
        <v>0</v>
      </c>
      <c r="CC190" s="176">
        <f t="shared" si="100"/>
        <v>0</v>
      </c>
      <c r="CD190" s="176">
        <f t="shared" si="100"/>
        <v>0</v>
      </c>
      <c r="CE190" s="176">
        <f t="shared" ref="CE190:DJ190" si="101">CE23*CE$168</f>
        <v>0</v>
      </c>
      <c r="CF190" s="176">
        <f t="shared" si="101"/>
        <v>0</v>
      </c>
      <c r="CG190" s="176">
        <f t="shared" si="101"/>
        <v>0</v>
      </c>
      <c r="CH190" s="176">
        <f t="shared" si="101"/>
        <v>0</v>
      </c>
      <c r="CI190" s="176">
        <f t="shared" si="101"/>
        <v>0</v>
      </c>
      <c r="CJ190" s="176">
        <f t="shared" si="101"/>
        <v>0</v>
      </c>
      <c r="CK190" s="176">
        <f t="shared" si="101"/>
        <v>0</v>
      </c>
      <c r="CL190" s="176">
        <f t="shared" si="101"/>
        <v>0</v>
      </c>
      <c r="CM190" s="176">
        <f t="shared" si="101"/>
        <v>0</v>
      </c>
      <c r="CN190" s="176">
        <f t="shared" si="101"/>
        <v>0</v>
      </c>
      <c r="CO190" s="176">
        <f t="shared" si="101"/>
        <v>0</v>
      </c>
      <c r="CP190" s="176">
        <f t="shared" si="101"/>
        <v>0</v>
      </c>
      <c r="CQ190" s="176">
        <f t="shared" si="101"/>
        <v>0</v>
      </c>
      <c r="CR190" s="176">
        <f t="shared" si="101"/>
        <v>0</v>
      </c>
      <c r="CS190" s="176">
        <f t="shared" si="101"/>
        <v>0</v>
      </c>
      <c r="CT190" s="176">
        <f t="shared" si="101"/>
        <v>0</v>
      </c>
      <c r="CU190" s="176">
        <f t="shared" si="101"/>
        <v>0</v>
      </c>
      <c r="CV190" s="176">
        <f t="shared" si="101"/>
        <v>0</v>
      </c>
      <c r="CW190" s="176">
        <f t="shared" si="101"/>
        <v>0</v>
      </c>
      <c r="CX190" s="176">
        <f t="shared" si="101"/>
        <v>0</v>
      </c>
      <c r="CY190" s="176">
        <f t="shared" si="101"/>
        <v>0</v>
      </c>
      <c r="CZ190" s="176">
        <f t="shared" si="101"/>
        <v>0</v>
      </c>
      <c r="DA190" s="176">
        <f t="shared" si="101"/>
        <v>0</v>
      </c>
      <c r="DB190" s="176">
        <f t="shared" si="101"/>
        <v>0</v>
      </c>
      <c r="DC190" s="176">
        <f t="shared" si="101"/>
        <v>0</v>
      </c>
      <c r="DD190" s="176">
        <f t="shared" si="101"/>
        <v>0</v>
      </c>
      <c r="DE190" s="176">
        <f t="shared" si="101"/>
        <v>0</v>
      </c>
      <c r="DF190" s="176">
        <f t="shared" si="101"/>
        <v>0</v>
      </c>
      <c r="DG190" s="176">
        <f t="shared" si="101"/>
        <v>0</v>
      </c>
      <c r="DH190" s="176">
        <f t="shared" si="101"/>
        <v>0</v>
      </c>
      <c r="DI190" s="176">
        <f t="shared" si="101"/>
        <v>0</v>
      </c>
      <c r="DJ190" s="176">
        <f t="shared" si="101"/>
        <v>0</v>
      </c>
      <c r="DK190" s="176">
        <f t="shared" ref="DK190:EP190" si="102">DK23*DK$168</f>
        <v>0</v>
      </c>
      <c r="DL190" s="176">
        <f t="shared" si="102"/>
        <v>0</v>
      </c>
      <c r="DM190" s="176">
        <f t="shared" si="102"/>
        <v>0</v>
      </c>
      <c r="DN190" s="176">
        <f t="shared" si="102"/>
        <v>0</v>
      </c>
      <c r="DO190" s="176">
        <f t="shared" si="102"/>
        <v>0</v>
      </c>
      <c r="DP190" s="176">
        <f t="shared" si="102"/>
        <v>0</v>
      </c>
      <c r="DQ190" s="176">
        <f t="shared" si="102"/>
        <v>0</v>
      </c>
      <c r="DR190" s="176">
        <f t="shared" si="102"/>
        <v>0</v>
      </c>
      <c r="DS190" s="176">
        <f t="shared" si="102"/>
        <v>0</v>
      </c>
      <c r="DT190" s="176">
        <f t="shared" si="102"/>
        <v>0</v>
      </c>
      <c r="DU190" s="176">
        <f t="shared" si="102"/>
        <v>0</v>
      </c>
      <c r="DV190" s="176">
        <f t="shared" si="102"/>
        <v>0</v>
      </c>
      <c r="DW190" s="176">
        <f t="shared" si="102"/>
        <v>0</v>
      </c>
      <c r="DX190" s="176">
        <f t="shared" si="102"/>
        <v>0</v>
      </c>
      <c r="DY190" s="176">
        <f t="shared" si="102"/>
        <v>0</v>
      </c>
      <c r="DZ190" s="176">
        <f t="shared" si="102"/>
        <v>0</v>
      </c>
      <c r="EA190" s="176">
        <f t="shared" si="102"/>
        <v>0</v>
      </c>
      <c r="EB190" s="176">
        <f t="shared" si="102"/>
        <v>0</v>
      </c>
      <c r="EC190" s="176">
        <f t="shared" si="102"/>
        <v>0</v>
      </c>
      <c r="ED190" s="176">
        <f t="shared" si="102"/>
        <v>0</v>
      </c>
      <c r="EE190" s="176">
        <f t="shared" si="102"/>
        <v>0</v>
      </c>
      <c r="EF190" s="182">
        <f t="shared" si="102"/>
        <v>0</v>
      </c>
      <c r="EG190" s="182">
        <f t="shared" si="102"/>
        <v>0</v>
      </c>
      <c r="EH190" s="182">
        <f t="shared" si="102"/>
        <v>0</v>
      </c>
      <c r="EI190" s="182">
        <f t="shared" si="102"/>
        <v>0</v>
      </c>
      <c r="EJ190" s="182">
        <f t="shared" si="102"/>
        <v>0</v>
      </c>
      <c r="EK190" s="182">
        <f t="shared" si="102"/>
        <v>0</v>
      </c>
      <c r="EL190" s="182">
        <f t="shared" si="102"/>
        <v>0</v>
      </c>
      <c r="EM190" s="182">
        <f t="shared" si="102"/>
        <v>0</v>
      </c>
      <c r="EN190" s="182">
        <f t="shared" si="102"/>
        <v>0</v>
      </c>
      <c r="EO190" s="182">
        <f t="shared" si="102"/>
        <v>0</v>
      </c>
      <c r="EP190" s="182">
        <f t="shared" si="102"/>
        <v>0</v>
      </c>
      <c r="EQ190" s="182">
        <f t="shared" ref="EQ190:FB190" si="103">EQ23*EQ$168</f>
        <v>0</v>
      </c>
      <c r="ER190" s="182">
        <f t="shared" si="103"/>
        <v>0</v>
      </c>
      <c r="ES190" s="182">
        <f t="shared" si="103"/>
        <v>0</v>
      </c>
      <c r="ET190" s="182">
        <f t="shared" si="103"/>
        <v>0</v>
      </c>
      <c r="EU190" s="182">
        <f t="shared" si="103"/>
        <v>0</v>
      </c>
      <c r="EV190" s="182">
        <f t="shared" si="103"/>
        <v>0</v>
      </c>
      <c r="EW190" s="182">
        <f t="shared" si="103"/>
        <v>0</v>
      </c>
      <c r="EX190" s="182">
        <f t="shared" si="103"/>
        <v>0</v>
      </c>
      <c r="EY190" s="182">
        <f t="shared" si="103"/>
        <v>0</v>
      </c>
      <c r="EZ190" s="182">
        <f t="shared" si="103"/>
        <v>0</v>
      </c>
      <c r="FA190" s="182">
        <f t="shared" si="103"/>
        <v>0</v>
      </c>
      <c r="FB190" s="183">
        <f t="shared" si="103"/>
        <v>0</v>
      </c>
    </row>
    <row r="191" spans="2:158" ht="12.75" customHeight="1" x14ac:dyDescent="0.3">
      <c r="B191" s="180" t="s">
        <v>3834</v>
      </c>
      <c r="C191" s="193">
        <v>0</v>
      </c>
      <c r="D191" s="182">
        <f t="shared" si="20"/>
        <v>0</v>
      </c>
      <c r="E191" s="182">
        <f t="shared" si="26"/>
        <v>0</v>
      </c>
      <c r="F191" s="182">
        <f t="shared" si="32"/>
        <v>0</v>
      </c>
      <c r="G191" s="182">
        <f t="shared" si="38"/>
        <v>0</v>
      </c>
      <c r="H191" s="182">
        <f t="shared" si="44"/>
        <v>0</v>
      </c>
      <c r="I191" s="176">
        <f t="shared" si="50"/>
        <v>0</v>
      </c>
      <c r="J191" s="182">
        <f t="shared" si="56"/>
        <v>0</v>
      </c>
      <c r="K191" s="182">
        <f t="shared" si="62"/>
        <v>0</v>
      </c>
      <c r="L191" s="182">
        <f t="shared" si="68"/>
        <v>0</v>
      </c>
      <c r="M191" s="182">
        <f t="shared" si="74"/>
        <v>0</v>
      </c>
      <c r="N191" s="182">
        <f t="shared" si="80"/>
        <v>0</v>
      </c>
      <c r="O191" s="182">
        <f t="shared" si="86"/>
        <v>0</v>
      </c>
      <c r="P191" s="182">
        <f t="shared" si="92"/>
        <v>0</v>
      </c>
      <c r="Q191" s="182">
        <f t="shared" si="98"/>
        <v>0</v>
      </c>
      <c r="R191" s="182">
        <f t="shared" ref="R191:R222" si="104">R24*R$168</f>
        <v>0</v>
      </c>
      <c r="S191" s="181">
        <f>$C191+SUM($D191:R191,T191:$FB191)-SUM(S$176:S190,S192:S$330)-S$331</f>
        <v>0</v>
      </c>
      <c r="T191" s="176">
        <f t="shared" ref="T191:AY191" si="105">T24*T$168</f>
        <v>0</v>
      </c>
      <c r="U191" s="176">
        <f t="shared" si="105"/>
        <v>0</v>
      </c>
      <c r="V191" s="176">
        <f t="shared" si="105"/>
        <v>0</v>
      </c>
      <c r="W191" s="176">
        <f t="shared" si="105"/>
        <v>0</v>
      </c>
      <c r="X191" s="176">
        <f t="shared" si="105"/>
        <v>0</v>
      </c>
      <c r="Y191" s="176">
        <f t="shared" si="105"/>
        <v>0</v>
      </c>
      <c r="Z191" s="176">
        <f t="shared" si="105"/>
        <v>0</v>
      </c>
      <c r="AA191" s="176">
        <f t="shared" si="105"/>
        <v>0</v>
      </c>
      <c r="AB191" s="176">
        <f t="shared" si="105"/>
        <v>0</v>
      </c>
      <c r="AC191" s="176">
        <f t="shared" si="105"/>
        <v>0</v>
      </c>
      <c r="AD191" s="176">
        <f t="shared" si="105"/>
        <v>0</v>
      </c>
      <c r="AE191" s="176">
        <f t="shared" si="105"/>
        <v>0</v>
      </c>
      <c r="AF191" s="176">
        <f t="shared" si="105"/>
        <v>0</v>
      </c>
      <c r="AG191" s="176">
        <f t="shared" si="105"/>
        <v>0</v>
      </c>
      <c r="AH191" s="176">
        <f t="shared" si="105"/>
        <v>0</v>
      </c>
      <c r="AI191" s="176">
        <f t="shared" si="105"/>
        <v>0</v>
      </c>
      <c r="AJ191" s="176">
        <f t="shared" si="105"/>
        <v>0</v>
      </c>
      <c r="AK191" s="176">
        <f t="shared" si="105"/>
        <v>0</v>
      </c>
      <c r="AL191" s="176">
        <f t="shared" si="105"/>
        <v>0</v>
      </c>
      <c r="AM191" s="176">
        <f t="shared" si="105"/>
        <v>0</v>
      </c>
      <c r="AN191" s="176">
        <f t="shared" si="105"/>
        <v>0</v>
      </c>
      <c r="AO191" s="176">
        <f t="shared" si="105"/>
        <v>0</v>
      </c>
      <c r="AP191" s="176">
        <f t="shared" si="105"/>
        <v>0</v>
      </c>
      <c r="AQ191" s="176">
        <f t="shared" si="105"/>
        <v>0</v>
      </c>
      <c r="AR191" s="176">
        <f t="shared" si="105"/>
        <v>0</v>
      </c>
      <c r="AS191" s="176">
        <f t="shared" si="105"/>
        <v>0</v>
      </c>
      <c r="AT191" s="176">
        <f t="shared" si="105"/>
        <v>0</v>
      </c>
      <c r="AU191" s="176">
        <f t="shared" si="105"/>
        <v>0</v>
      </c>
      <c r="AV191" s="176">
        <f t="shared" si="105"/>
        <v>0</v>
      </c>
      <c r="AW191" s="176">
        <f t="shared" si="105"/>
        <v>0</v>
      </c>
      <c r="AX191" s="176">
        <f t="shared" si="105"/>
        <v>0</v>
      </c>
      <c r="AY191" s="176">
        <f t="shared" si="105"/>
        <v>0</v>
      </c>
      <c r="AZ191" s="176">
        <f t="shared" ref="AZ191:CE191" si="106">AZ24*AZ$168</f>
        <v>0</v>
      </c>
      <c r="BA191" s="176">
        <f t="shared" si="106"/>
        <v>0</v>
      </c>
      <c r="BB191" s="176">
        <f t="shared" si="106"/>
        <v>0</v>
      </c>
      <c r="BC191" s="176">
        <f t="shared" si="106"/>
        <v>0</v>
      </c>
      <c r="BD191" s="176">
        <f t="shared" si="106"/>
        <v>0</v>
      </c>
      <c r="BE191" s="176">
        <f t="shared" si="106"/>
        <v>0</v>
      </c>
      <c r="BF191" s="176">
        <f t="shared" si="106"/>
        <v>0</v>
      </c>
      <c r="BG191" s="176">
        <f t="shared" si="106"/>
        <v>0</v>
      </c>
      <c r="BH191" s="176">
        <f t="shared" si="106"/>
        <v>0</v>
      </c>
      <c r="BI191" s="176">
        <f t="shared" si="106"/>
        <v>0</v>
      </c>
      <c r="BJ191" s="176">
        <f t="shared" si="106"/>
        <v>0</v>
      </c>
      <c r="BK191" s="176">
        <f t="shared" si="106"/>
        <v>0</v>
      </c>
      <c r="BL191" s="176">
        <f t="shared" si="106"/>
        <v>0</v>
      </c>
      <c r="BM191" s="176">
        <f t="shared" si="106"/>
        <v>0</v>
      </c>
      <c r="BN191" s="176">
        <f t="shared" si="106"/>
        <v>0</v>
      </c>
      <c r="BO191" s="176">
        <f t="shared" si="106"/>
        <v>0</v>
      </c>
      <c r="BP191" s="176">
        <f t="shared" si="106"/>
        <v>0</v>
      </c>
      <c r="BQ191" s="176">
        <f t="shared" si="106"/>
        <v>0</v>
      </c>
      <c r="BR191" s="176">
        <f t="shared" si="106"/>
        <v>0</v>
      </c>
      <c r="BS191" s="176">
        <f t="shared" si="106"/>
        <v>0</v>
      </c>
      <c r="BT191" s="176">
        <f t="shared" si="106"/>
        <v>0</v>
      </c>
      <c r="BU191" s="176">
        <f t="shared" si="106"/>
        <v>0</v>
      </c>
      <c r="BV191" s="176">
        <f t="shared" si="106"/>
        <v>0</v>
      </c>
      <c r="BW191" s="176">
        <f t="shared" si="106"/>
        <v>0</v>
      </c>
      <c r="BX191" s="176">
        <f t="shared" si="106"/>
        <v>0</v>
      </c>
      <c r="BY191" s="176">
        <f t="shared" si="106"/>
        <v>0</v>
      </c>
      <c r="BZ191" s="176">
        <f t="shared" si="106"/>
        <v>0</v>
      </c>
      <c r="CA191" s="176">
        <f t="shared" si="106"/>
        <v>0</v>
      </c>
      <c r="CB191" s="176">
        <f t="shared" si="106"/>
        <v>0</v>
      </c>
      <c r="CC191" s="176">
        <f t="shared" si="106"/>
        <v>0</v>
      </c>
      <c r="CD191" s="176">
        <f t="shared" si="106"/>
        <v>0</v>
      </c>
      <c r="CE191" s="176">
        <f t="shared" si="106"/>
        <v>0</v>
      </c>
      <c r="CF191" s="176">
        <f t="shared" ref="CF191:DK191" si="107">CF24*CF$168</f>
        <v>0</v>
      </c>
      <c r="CG191" s="176">
        <f t="shared" si="107"/>
        <v>0</v>
      </c>
      <c r="CH191" s="176">
        <f t="shared" si="107"/>
        <v>0</v>
      </c>
      <c r="CI191" s="176">
        <f t="shared" si="107"/>
        <v>0</v>
      </c>
      <c r="CJ191" s="176">
        <f t="shared" si="107"/>
        <v>0</v>
      </c>
      <c r="CK191" s="176">
        <f t="shared" si="107"/>
        <v>0</v>
      </c>
      <c r="CL191" s="176">
        <f t="shared" si="107"/>
        <v>0</v>
      </c>
      <c r="CM191" s="176">
        <f t="shared" si="107"/>
        <v>0</v>
      </c>
      <c r="CN191" s="176">
        <f t="shared" si="107"/>
        <v>0</v>
      </c>
      <c r="CO191" s="176">
        <f t="shared" si="107"/>
        <v>0</v>
      </c>
      <c r="CP191" s="176">
        <f t="shared" si="107"/>
        <v>0</v>
      </c>
      <c r="CQ191" s="176">
        <f t="shared" si="107"/>
        <v>0</v>
      </c>
      <c r="CR191" s="176">
        <f t="shared" si="107"/>
        <v>0</v>
      </c>
      <c r="CS191" s="176">
        <f t="shared" si="107"/>
        <v>0</v>
      </c>
      <c r="CT191" s="176">
        <f t="shared" si="107"/>
        <v>0</v>
      </c>
      <c r="CU191" s="176">
        <f t="shared" si="107"/>
        <v>0</v>
      </c>
      <c r="CV191" s="176">
        <f t="shared" si="107"/>
        <v>0</v>
      </c>
      <c r="CW191" s="176">
        <f t="shared" si="107"/>
        <v>0</v>
      </c>
      <c r="CX191" s="176">
        <f t="shared" si="107"/>
        <v>0</v>
      </c>
      <c r="CY191" s="176">
        <f t="shared" si="107"/>
        <v>0</v>
      </c>
      <c r="CZ191" s="176">
        <f t="shared" si="107"/>
        <v>0</v>
      </c>
      <c r="DA191" s="176">
        <f t="shared" si="107"/>
        <v>0</v>
      </c>
      <c r="DB191" s="176">
        <f t="shared" si="107"/>
        <v>0</v>
      </c>
      <c r="DC191" s="176">
        <f t="shared" si="107"/>
        <v>0</v>
      </c>
      <c r="DD191" s="176">
        <f t="shared" si="107"/>
        <v>0</v>
      </c>
      <c r="DE191" s="176">
        <f t="shared" si="107"/>
        <v>0</v>
      </c>
      <c r="DF191" s="176">
        <f t="shared" si="107"/>
        <v>0</v>
      </c>
      <c r="DG191" s="176">
        <f t="shared" si="107"/>
        <v>0</v>
      </c>
      <c r="DH191" s="176">
        <f t="shared" si="107"/>
        <v>0</v>
      </c>
      <c r="DI191" s="176">
        <f t="shared" si="107"/>
        <v>0</v>
      </c>
      <c r="DJ191" s="176">
        <f t="shared" si="107"/>
        <v>0</v>
      </c>
      <c r="DK191" s="176">
        <f t="shared" si="107"/>
        <v>0</v>
      </c>
      <c r="DL191" s="176">
        <f t="shared" ref="DL191:EQ191" si="108">DL24*DL$168</f>
        <v>0</v>
      </c>
      <c r="DM191" s="176">
        <f t="shared" si="108"/>
        <v>0</v>
      </c>
      <c r="DN191" s="176">
        <f t="shared" si="108"/>
        <v>0</v>
      </c>
      <c r="DO191" s="176">
        <f t="shared" si="108"/>
        <v>0</v>
      </c>
      <c r="DP191" s="176">
        <f t="shared" si="108"/>
        <v>0</v>
      </c>
      <c r="DQ191" s="176">
        <f t="shared" si="108"/>
        <v>0</v>
      </c>
      <c r="DR191" s="176">
        <f t="shared" si="108"/>
        <v>0</v>
      </c>
      <c r="DS191" s="176">
        <f t="shared" si="108"/>
        <v>0</v>
      </c>
      <c r="DT191" s="176">
        <f t="shared" si="108"/>
        <v>0</v>
      </c>
      <c r="DU191" s="176">
        <f t="shared" si="108"/>
        <v>0</v>
      </c>
      <c r="DV191" s="176">
        <f t="shared" si="108"/>
        <v>0</v>
      </c>
      <c r="DW191" s="176">
        <f t="shared" si="108"/>
        <v>0</v>
      </c>
      <c r="DX191" s="176">
        <f t="shared" si="108"/>
        <v>0</v>
      </c>
      <c r="DY191" s="176">
        <f t="shared" si="108"/>
        <v>0</v>
      </c>
      <c r="DZ191" s="176">
        <f t="shared" si="108"/>
        <v>0</v>
      </c>
      <c r="EA191" s="176">
        <f t="shared" si="108"/>
        <v>0</v>
      </c>
      <c r="EB191" s="176">
        <f t="shared" si="108"/>
        <v>0</v>
      </c>
      <c r="EC191" s="176">
        <f t="shared" si="108"/>
        <v>0</v>
      </c>
      <c r="ED191" s="176">
        <f t="shared" si="108"/>
        <v>0</v>
      </c>
      <c r="EE191" s="176">
        <f t="shared" si="108"/>
        <v>0</v>
      </c>
      <c r="EF191" s="182">
        <f t="shared" si="108"/>
        <v>0</v>
      </c>
      <c r="EG191" s="182">
        <f t="shared" si="108"/>
        <v>0</v>
      </c>
      <c r="EH191" s="182">
        <f t="shared" si="108"/>
        <v>0</v>
      </c>
      <c r="EI191" s="182">
        <f t="shared" si="108"/>
        <v>0</v>
      </c>
      <c r="EJ191" s="182">
        <f t="shared" si="108"/>
        <v>0</v>
      </c>
      <c r="EK191" s="182">
        <f t="shared" si="108"/>
        <v>0</v>
      </c>
      <c r="EL191" s="182">
        <f t="shared" si="108"/>
        <v>0</v>
      </c>
      <c r="EM191" s="182">
        <f t="shared" si="108"/>
        <v>0</v>
      </c>
      <c r="EN191" s="182">
        <f t="shared" si="108"/>
        <v>0</v>
      </c>
      <c r="EO191" s="182">
        <f t="shared" si="108"/>
        <v>0</v>
      </c>
      <c r="EP191" s="182">
        <f t="shared" si="108"/>
        <v>0</v>
      </c>
      <c r="EQ191" s="182">
        <f t="shared" si="108"/>
        <v>0</v>
      </c>
      <c r="ER191" s="182">
        <f t="shared" ref="ER191:FB191" si="109">ER24*ER$168</f>
        <v>0</v>
      </c>
      <c r="ES191" s="182">
        <f t="shared" si="109"/>
        <v>0</v>
      </c>
      <c r="ET191" s="182">
        <f t="shared" si="109"/>
        <v>0</v>
      </c>
      <c r="EU191" s="182">
        <f t="shared" si="109"/>
        <v>0</v>
      </c>
      <c r="EV191" s="182">
        <f t="shared" si="109"/>
        <v>0</v>
      </c>
      <c r="EW191" s="182">
        <f t="shared" si="109"/>
        <v>0</v>
      </c>
      <c r="EX191" s="182">
        <f t="shared" si="109"/>
        <v>0</v>
      </c>
      <c r="EY191" s="182">
        <f t="shared" si="109"/>
        <v>0</v>
      </c>
      <c r="EZ191" s="182">
        <f t="shared" si="109"/>
        <v>0</v>
      </c>
      <c r="FA191" s="182">
        <f t="shared" si="109"/>
        <v>0</v>
      </c>
      <c r="FB191" s="183">
        <f t="shared" si="109"/>
        <v>0</v>
      </c>
    </row>
    <row r="192" spans="2:158" ht="12.75" customHeight="1" x14ac:dyDescent="0.3">
      <c r="B192" s="180" t="s">
        <v>3835</v>
      </c>
      <c r="C192" s="193">
        <v>0</v>
      </c>
      <c r="D192" s="182">
        <f t="shared" si="20"/>
        <v>0</v>
      </c>
      <c r="E192" s="182">
        <f t="shared" si="26"/>
        <v>9.2338648590547601E-4</v>
      </c>
      <c r="F192" s="182">
        <f t="shared" si="32"/>
        <v>0</v>
      </c>
      <c r="G192" s="182">
        <f t="shared" si="38"/>
        <v>0</v>
      </c>
      <c r="H192" s="182">
        <f t="shared" si="44"/>
        <v>1.2877991231129734E-4</v>
      </c>
      <c r="I192" s="176">
        <f t="shared" si="50"/>
        <v>0</v>
      </c>
      <c r="J192" s="182">
        <f t="shared" si="56"/>
        <v>0</v>
      </c>
      <c r="K192" s="182">
        <f t="shared" si="62"/>
        <v>0</v>
      </c>
      <c r="L192" s="182">
        <f t="shared" si="68"/>
        <v>0</v>
      </c>
      <c r="M192" s="182">
        <f t="shared" si="74"/>
        <v>0</v>
      </c>
      <c r="N192" s="182">
        <f t="shared" si="80"/>
        <v>0</v>
      </c>
      <c r="O192" s="182">
        <f t="shared" si="86"/>
        <v>0</v>
      </c>
      <c r="P192" s="182">
        <f t="shared" si="92"/>
        <v>8.3677535090517091E-4</v>
      </c>
      <c r="Q192" s="182">
        <f t="shared" si="98"/>
        <v>0</v>
      </c>
      <c r="R192" s="182">
        <f t="shared" si="104"/>
        <v>0</v>
      </c>
      <c r="S192" s="182">
        <f t="shared" ref="S192:S223" si="110">S25*S$168</f>
        <v>0</v>
      </c>
      <c r="T192" s="181">
        <f>$C192+SUM($D192:S192,U192:$FB192)-SUM(T$176:T191,T193:T$330)-T$331</f>
        <v>-2.1684043449710089E-19</v>
      </c>
      <c r="U192" s="176">
        <f t="shared" ref="U192:AZ192" si="111">U25*U$168</f>
        <v>0</v>
      </c>
      <c r="V192" s="176">
        <f t="shared" si="111"/>
        <v>0</v>
      </c>
      <c r="W192" s="176">
        <f t="shared" si="111"/>
        <v>0</v>
      </c>
      <c r="X192" s="176">
        <f t="shared" si="111"/>
        <v>0</v>
      </c>
      <c r="Y192" s="176">
        <f t="shared" si="111"/>
        <v>0</v>
      </c>
      <c r="Z192" s="176">
        <f t="shared" si="111"/>
        <v>0</v>
      </c>
      <c r="AA192" s="176">
        <f t="shared" si="111"/>
        <v>0</v>
      </c>
      <c r="AB192" s="176">
        <f t="shared" si="111"/>
        <v>0</v>
      </c>
      <c r="AC192" s="176">
        <f t="shared" si="111"/>
        <v>0</v>
      </c>
      <c r="AD192" s="176">
        <f t="shared" si="111"/>
        <v>0</v>
      </c>
      <c r="AE192" s="176">
        <f t="shared" si="111"/>
        <v>0</v>
      </c>
      <c r="AF192" s="176">
        <f t="shared" si="111"/>
        <v>1.3475667128591847E-16</v>
      </c>
      <c r="AG192" s="176">
        <f t="shared" si="111"/>
        <v>0</v>
      </c>
      <c r="AH192" s="176">
        <f t="shared" si="111"/>
        <v>0</v>
      </c>
      <c r="AI192" s="176">
        <f t="shared" si="111"/>
        <v>0</v>
      </c>
      <c r="AJ192" s="176">
        <f t="shared" si="111"/>
        <v>0</v>
      </c>
      <c r="AK192" s="176">
        <f t="shared" si="111"/>
        <v>0</v>
      </c>
      <c r="AL192" s="176">
        <f t="shared" si="111"/>
        <v>0</v>
      </c>
      <c r="AM192" s="176">
        <f t="shared" si="111"/>
        <v>0</v>
      </c>
      <c r="AN192" s="176">
        <f t="shared" si="111"/>
        <v>0</v>
      </c>
      <c r="AO192" s="176">
        <f t="shared" si="111"/>
        <v>0</v>
      </c>
      <c r="AP192" s="176">
        <f t="shared" si="111"/>
        <v>0</v>
      </c>
      <c r="AQ192" s="176">
        <f t="shared" si="111"/>
        <v>0</v>
      </c>
      <c r="AR192" s="176">
        <f t="shared" si="111"/>
        <v>0</v>
      </c>
      <c r="AS192" s="176">
        <f t="shared" si="111"/>
        <v>0</v>
      </c>
      <c r="AT192" s="176">
        <f t="shared" si="111"/>
        <v>0</v>
      </c>
      <c r="AU192" s="176">
        <f t="shared" si="111"/>
        <v>0</v>
      </c>
      <c r="AV192" s="176">
        <f t="shared" si="111"/>
        <v>0</v>
      </c>
      <c r="AW192" s="176">
        <f t="shared" si="111"/>
        <v>0</v>
      </c>
      <c r="AX192" s="176">
        <f t="shared" si="111"/>
        <v>0</v>
      </c>
      <c r="AY192" s="176">
        <f t="shared" si="111"/>
        <v>0</v>
      </c>
      <c r="AZ192" s="176">
        <f t="shared" si="111"/>
        <v>0</v>
      </c>
      <c r="BA192" s="176">
        <f t="shared" ref="BA192:CF192" si="112">BA25*BA$168</f>
        <v>0</v>
      </c>
      <c r="BB192" s="176">
        <f t="shared" si="112"/>
        <v>0</v>
      </c>
      <c r="BC192" s="176">
        <f t="shared" si="112"/>
        <v>0</v>
      </c>
      <c r="BD192" s="176">
        <f t="shared" si="112"/>
        <v>0</v>
      </c>
      <c r="BE192" s="176">
        <f t="shared" si="112"/>
        <v>0</v>
      </c>
      <c r="BF192" s="176">
        <f t="shared" si="112"/>
        <v>0</v>
      </c>
      <c r="BG192" s="176">
        <f t="shared" si="112"/>
        <v>0</v>
      </c>
      <c r="BH192" s="176">
        <f t="shared" si="112"/>
        <v>0</v>
      </c>
      <c r="BI192" s="176">
        <f t="shared" si="112"/>
        <v>0</v>
      </c>
      <c r="BJ192" s="176">
        <f t="shared" si="112"/>
        <v>0</v>
      </c>
      <c r="BK192" s="176">
        <f t="shared" si="112"/>
        <v>4.615935196015236E-10</v>
      </c>
      <c r="BL192" s="176">
        <f t="shared" si="112"/>
        <v>0</v>
      </c>
      <c r="BM192" s="176">
        <f t="shared" si="112"/>
        <v>0</v>
      </c>
      <c r="BN192" s="176">
        <f t="shared" si="112"/>
        <v>0</v>
      </c>
      <c r="BO192" s="176">
        <f t="shared" si="112"/>
        <v>0</v>
      </c>
      <c r="BP192" s="176">
        <f t="shared" si="112"/>
        <v>0</v>
      </c>
      <c r="BQ192" s="176">
        <f t="shared" si="112"/>
        <v>0</v>
      </c>
      <c r="BR192" s="176">
        <f t="shared" si="112"/>
        <v>0</v>
      </c>
      <c r="BS192" s="176">
        <f t="shared" si="112"/>
        <v>0</v>
      </c>
      <c r="BT192" s="176">
        <f t="shared" si="112"/>
        <v>0</v>
      </c>
      <c r="BU192" s="176">
        <f t="shared" si="112"/>
        <v>0</v>
      </c>
      <c r="BV192" s="176">
        <f t="shared" si="112"/>
        <v>0</v>
      </c>
      <c r="BW192" s="176">
        <f t="shared" si="112"/>
        <v>0</v>
      </c>
      <c r="BX192" s="176">
        <f t="shared" si="112"/>
        <v>0</v>
      </c>
      <c r="BY192" s="176">
        <f t="shared" si="112"/>
        <v>0</v>
      </c>
      <c r="BZ192" s="176">
        <f t="shared" si="112"/>
        <v>0</v>
      </c>
      <c r="CA192" s="176">
        <f t="shared" si="112"/>
        <v>0</v>
      </c>
      <c r="CB192" s="176">
        <f t="shared" si="112"/>
        <v>0</v>
      </c>
      <c r="CC192" s="176">
        <f t="shared" si="112"/>
        <v>0</v>
      </c>
      <c r="CD192" s="176">
        <f t="shared" si="112"/>
        <v>0</v>
      </c>
      <c r="CE192" s="176">
        <f t="shared" si="112"/>
        <v>0</v>
      </c>
      <c r="CF192" s="176">
        <f t="shared" si="112"/>
        <v>0</v>
      </c>
      <c r="CG192" s="176">
        <f t="shared" ref="CG192:DL192" si="113">CG25*CG$168</f>
        <v>0</v>
      </c>
      <c r="CH192" s="176">
        <f t="shared" si="113"/>
        <v>0</v>
      </c>
      <c r="CI192" s="176">
        <f t="shared" si="113"/>
        <v>0</v>
      </c>
      <c r="CJ192" s="176">
        <f t="shared" si="113"/>
        <v>0</v>
      </c>
      <c r="CK192" s="176">
        <f t="shared" si="113"/>
        <v>0</v>
      </c>
      <c r="CL192" s="176">
        <f t="shared" si="113"/>
        <v>0</v>
      </c>
      <c r="CM192" s="176">
        <f t="shared" si="113"/>
        <v>0</v>
      </c>
      <c r="CN192" s="176">
        <f t="shared" si="113"/>
        <v>0</v>
      </c>
      <c r="CO192" s="176">
        <f t="shared" si="113"/>
        <v>0</v>
      </c>
      <c r="CP192" s="176">
        <f t="shared" si="113"/>
        <v>0</v>
      </c>
      <c r="CQ192" s="176">
        <f t="shared" si="113"/>
        <v>0</v>
      </c>
      <c r="CR192" s="176">
        <f t="shared" si="113"/>
        <v>0</v>
      </c>
      <c r="CS192" s="176">
        <f t="shared" si="113"/>
        <v>0</v>
      </c>
      <c r="CT192" s="176">
        <f t="shared" si="113"/>
        <v>0</v>
      </c>
      <c r="CU192" s="176">
        <f t="shared" si="113"/>
        <v>0</v>
      </c>
      <c r="CV192" s="176">
        <f t="shared" si="113"/>
        <v>0</v>
      </c>
      <c r="CW192" s="176">
        <f t="shared" si="113"/>
        <v>0</v>
      </c>
      <c r="CX192" s="176">
        <f t="shared" si="113"/>
        <v>0</v>
      </c>
      <c r="CY192" s="176">
        <f t="shared" si="113"/>
        <v>0</v>
      </c>
      <c r="CZ192" s="176">
        <f t="shared" si="113"/>
        <v>0</v>
      </c>
      <c r="DA192" s="176">
        <f t="shared" si="113"/>
        <v>0</v>
      </c>
      <c r="DB192" s="176">
        <f t="shared" si="113"/>
        <v>0</v>
      </c>
      <c r="DC192" s="176">
        <f t="shared" si="113"/>
        <v>0</v>
      </c>
      <c r="DD192" s="176">
        <f t="shared" si="113"/>
        <v>0</v>
      </c>
      <c r="DE192" s="176">
        <f t="shared" si="113"/>
        <v>0</v>
      </c>
      <c r="DF192" s="176">
        <f t="shared" si="113"/>
        <v>0</v>
      </c>
      <c r="DG192" s="176">
        <f t="shared" si="113"/>
        <v>0</v>
      </c>
      <c r="DH192" s="176">
        <f t="shared" si="113"/>
        <v>0</v>
      </c>
      <c r="DI192" s="176">
        <f t="shared" si="113"/>
        <v>0</v>
      </c>
      <c r="DJ192" s="176">
        <f t="shared" si="113"/>
        <v>0</v>
      </c>
      <c r="DK192" s="176">
        <f t="shared" si="113"/>
        <v>0</v>
      </c>
      <c r="DL192" s="176">
        <f t="shared" si="113"/>
        <v>0</v>
      </c>
      <c r="DM192" s="176">
        <f t="shared" ref="DM192:ER192" si="114">DM25*DM$168</f>
        <v>0</v>
      </c>
      <c r="DN192" s="176">
        <f t="shared" si="114"/>
        <v>0</v>
      </c>
      <c r="DO192" s="176">
        <f t="shared" si="114"/>
        <v>0</v>
      </c>
      <c r="DP192" s="176">
        <f t="shared" si="114"/>
        <v>0</v>
      </c>
      <c r="DQ192" s="176">
        <f t="shared" si="114"/>
        <v>0</v>
      </c>
      <c r="DR192" s="176">
        <f t="shared" si="114"/>
        <v>0</v>
      </c>
      <c r="DS192" s="176">
        <f t="shared" si="114"/>
        <v>0</v>
      </c>
      <c r="DT192" s="176">
        <f t="shared" si="114"/>
        <v>0</v>
      </c>
      <c r="DU192" s="176">
        <f t="shared" si="114"/>
        <v>0</v>
      </c>
      <c r="DV192" s="176">
        <f t="shared" si="114"/>
        <v>0</v>
      </c>
      <c r="DW192" s="176">
        <f t="shared" si="114"/>
        <v>0</v>
      </c>
      <c r="DX192" s="176">
        <f t="shared" si="114"/>
        <v>0</v>
      </c>
      <c r="DY192" s="176">
        <f t="shared" si="114"/>
        <v>0</v>
      </c>
      <c r="DZ192" s="176">
        <f t="shared" si="114"/>
        <v>0</v>
      </c>
      <c r="EA192" s="176">
        <f t="shared" si="114"/>
        <v>0</v>
      </c>
      <c r="EB192" s="176">
        <f t="shared" si="114"/>
        <v>0</v>
      </c>
      <c r="EC192" s="176">
        <f t="shared" si="114"/>
        <v>0</v>
      </c>
      <c r="ED192" s="176">
        <f t="shared" si="114"/>
        <v>0</v>
      </c>
      <c r="EE192" s="176">
        <f t="shared" si="114"/>
        <v>0</v>
      </c>
      <c r="EF192" s="182">
        <f t="shared" si="114"/>
        <v>0</v>
      </c>
      <c r="EG192" s="182">
        <f t="shared" si="114"/>
        <v>0</v>
      </c>
      <c r="EH192" s="182">
        <f t="shared" si="114"/>
        <v>0</v>
      </c>
      <c r="EI192" s="182">
        <f t="shared" si="114"/>
        <v>0</v>
      </c>
      <c r="EJ192" s="182">
        <f t="shared" si="114"/>
        <v>0</v>
      </c>
      <c r="EK192" s="182">
        <f t="shared" si="114"/>
        <v>0</v>
      </c>
      <c r="EL192" s="182">
        <f t="shared" si="114"/>
        <v>0</v>
      </c>
      <c r="EM192" s="182">
        <f t="shared" si="114"/>
        <v>0</v>
      </c>
      <c r="EN192" s="182">
        <f t="shared" si="114"/>
        <v>0</v>
      </c>
      <c r="EO192" s="182">
        <f t="shared" si="114"/>
        <v>0</v>
      </c>
      <c r="EP192" s="182">
        <f t="shared" si="114"/>
        <v>0</v>
      </c>
      <c r="EQ192" s="182">
        <f t="shared" si="114"/>
        <v>0</v>
      </c>
      <c r="ER192" s="182">
        <f t="shared" si="114"/>
        <v>0</v>
      </c>
      <c r="ES192" s="182">
        <f t="shared" ref="ES192:FB192" si="115">ES25*ES$168</f>
        <v>0</v>
      </c>
      <c r="ET192" s="182">
        <f t="shared" si="115"/>
        <v>0</v>
      </c>
      <c r="EU192" s="182">
        <f t="shared" si="115"/>
        <v>0</v>
      </c>
      <c r="EV192" s="182">
        <f t="shared" si="115"/>
        <v>0</v>
      </c>
      <c r="EW192" s="182">
        <f t="shared" si="115"/>
        <v>0</v>
      </c>
      <c r="EX192" s="182">
        <f t="shared" si="115"/>
        <v>0</v>
      </c>
      <c r="EY192" s="182">
        <f t="shared" si="115"/>
        <v>0</v>
      </c>
      <c r="EZ192" s="182">
        <f t="shared" si="115"/>
        <v>0</v>
      </c>
      <c r="FA192" s="182">
        <f t="shared" si="115"/>
        <v>0</v>
      </c>
      <c r="FB192" s="183">
        <f t="shared" si="115"/>
        <v>0</v>
      </c>
    </row>
    <row r="193" spans="2:158" ht="12.75" customHeight="1" x14ac:dyDescent="0.3">
      <c r="B193" s="180" t="s">
        <v>3836</v>
      </c>
      <c r="C193" s="193">
        <v>0</v>
      </c>
      <c r="D193" s="182">
        <f t="shared" si="20"/>
        <v>0</v>
      </c>
      <c r="E193" s="182">
        <f t="shared" si="26"/>
        <v>0</v>
      </c>
      <c r="F193" s="182">
        <f t="shared" si="32"/>
        <v>8.4490810382696017E-4</v>
      </c>
      <c r="G193" s="182">
        <f t="shared" si="38"/>
        <v>0</v>
      </c>
      <c r="H193" s="182">
        <f t="shared" si="44"/>
        <v>0</v>
      </c>
      <c r="I193" s="176">
        <f t="shared" si="50"/>
        <v>1.2719913340416308E-4</v>
      </c>
      <c r="J193" s="182">
        <f t="shared" si="56"/>
        <v>0</v>
      </c>
      <c r="K193" s="182">
        <f t="shared" si="62"/>
        <v>0</v>
      </c>
      <c r="L193" s="182">
        <f t="shared" si="68"/>
        <v>0</v>
      </c>
      <c r="M193" s="182">
        <f t="shared" si="74"/>
        <v>0</v>
      </c>
      <c r="N193" s="182">
        <f t="shared" si="80"/>
        <v>0</v>
      </c>
      <c r="O193" s="182">
        <f t="shared" si="86"/>
        <v>0</v>
      </c>
      <c r="P193" s="182">
        <f t="shared" si="92"/>
        <v>0</v>
      </c>
      <c r="Q193" s="182">
        <f t="shared" si="98"/>
        <v>3.5515932878475605</v>
      </c>
      <c r="R193" s="182">
        <f t="shared" si="104"/>
        <v>0</v>
      </c>
      <c r="S193" s="182">
        <f t="shared" si="110"/>
        <v>0</v>
      </c>
      <c r="T193" s="182">
        <f t="shared" ref="T193:T224" si="116">T26*T$168</f>
        <v>1.8462550252235797E-3</v>
      </c>
      <c r="U193" s="181">
        <f>$C193+SUM($D193:T193,V193:$FB193)-SUM(U$176:U192,U194:U$330)-U$331</f>
        <v>0</v>
      </c>
      <c r="V193" s="176">
        <f t="shared" ref="V193:BA193" si="117">V26*V$168</f>
        <v>0</v>
      </c>
      <c r="W193" s="176">
        <f t="shared" si="117"/>
        <v>0</v>
      </c>
      <c r="X193" s="176">
        <f t="shared" si="117"/>
        <v>0</v>
      </c>
      <c r="Y193" s="176">
        <f t="shared" si="117"/>
        <v>0</v>
      </c>
      <c r="Z193" s="176">
        <f t="shared" si="117"/>
        <v>0</v>
      </c>
      <c r="AA193" s="176">
        <f t="shared" si="117"/>
        <v>0</v>
      </c>
      <c r="AB193" s="176">
        <f t="shared" si="117"/>
        <v>0</v>
      </c>
      <c r="AC193" s="176">
        <f t="shared" si="117"/>
        <v>0</v>
      </c>
      <c r="AD193" s="176">
        <f t="shared" si="117"/>
        <v>0</v>
      </c>
      <c r="AE193" s="176">
        <f t="shared" si="117"/>
        <v>0</v>
      </c>
      <c r="AF193" s="176">
        <f t="shared" si="117"/>
        <v>0</v>
      </c>
      <c r="AG193" s="176">
        <f t="shared" si="117"/>
        <v>2.3226582373666389E-2</v>
      </c>
      <c r="AH193" s="176">
        <f t="shared" si="117"/>
        <v>0</v>
      </c>
      <c r="AI193" s="176">
        <f t="shared" si="117"/>
        <v>0</v>
      </c>
      <c r="AJ193" s="176">
        <f t="shared" si="117"/>
        <v>0</v>
      </c>
      <c r="AK193" s="176">
        <f t="shared" si="117"/>
        <v>0</v>
      </c>
      <c r="AL193" s="176">
        <f t="shared" si="117"/>
        <v>0</v>
      </c>
      <c r="AM193" s="176">
        <f t="shared" si="117"/>
        <v>0</v>
      </c>
      <c r="AN193" s="176">
        <f t="shared" si="117"/>
        <v>0</v>
      </c>
      <c r="AO193" s="176">
        <f t="shared" si="117"/>
        <v>0</v>
      </c>
      <c r="AP193" s="176">
        <f t="shared" si="117"/>
        <v>0</v>
      </c>
      <c r="AQ193" s="176">
        <f t="shared" si="117"/>
        <v>0</v>
      </c>
      <c r="AR193" s="176">
        <f t="shared" si="117"/>
        <v>0</v>
      </c>
      <c r="AS193" s="176">
        <f t="shared" si="117"/>
        <v>0</v>
      </c>
      <c r="AT193" s="176">
        <f t="shared" si="117"/>
        <v>0</v>
      </c>
      <c r="AU193" s="176">
        <f t="shared" si="117"/>
        <v>0</v>
      </c>
      <c r="AV193" s="176">
        <f t="shared" si="117"/>
        <v>0</v>
      </c>
      <c r="AW193" s="176">
        <f t="shared" si="117"/>
        <v>0</v>
      </c>
      <c r="AX193" s="176">
        <f t="shared" si="117"/>
        <v>0</v>
      </c>
      <c r="AY193" s="176">
        <f t="shared" si="117"/>
        <v>0</v>
      </c>
      <c r="AZ193" s="176">
        <f t="shared" si="117"/>
        <v>0</v>
      </c>
      <c r="BA193" s="176">
        <f t="shared" si="117"/>
        <v>0</v>
      </c>
      <c r="BB193" s="176">
        <f t="shared" ref="BB193:CG193" si="118">BB26*BB$168</f>
        <v>0</v>
      </c>
      <c r="BC193" s="176">
        <f t="shared" si="118"/>
        <v>0</v>
      </c>
      <c r="BD193" s="176">
        <f t="shared" si="118"/>
        <v>0</v>
      </c>
      <c r="BE193" s="176">
        <f t="shared" si="118"/>
        <v>0</v>
      </c>
      <c r="BF193" s="176">
        <f t="shared" si="118"/>
        <v>0</v>
      </c>
      <c r="BG193" s="176">
        <f t="shared" si="118"/>
        <v>0</v>
      </c>
      <c r="BH193" s="176">
        <f t="shared" si="118"/>
        <v>0</v>
      </c>
      <c r="BI193" s="176">
        <f t="shared" si="118"/>
        <v>0</v>
      </c>
      <c r="BJ193" s="176">
        <f t="shared" si="118"/>
        <v>0</v>
      </c>
      <c r="BK193" s="176">
        <f t="shared" si="118"/>
        <v>0</v>
      </c>
      <c r="BL193" s="176">
        <f t="shared" si="118"/>
        <v>3.5956888011552</v>
      </c>
      <c r="BM193" s="176">
        <f t="shared" si="118"/>
        <v>0</v>
      </c>
      <c r="BN193" s="176">
        <f t="shared" si="118"/>
        <v>0</v>
      </c>
      <c r="BO193" s="176">
        <f t="shared" si="118"/>
        <v>0</v>
      </c>
      <c r="BP193" s="176">
        <f t="shared" si="118"/>
        <v>0</v>
      </c>
      <c r="BQ193" s="176">
        <f t="shared" si="118"/>
        <v>0</v>
      </c>
      <c r="BR193" s="176">
        <f t="shared" si="118"/>
        <v>0</v>
      </c>
      <c r="BS193" s="176">
        <f t="shared" si="118"/>
        <v>0</v>
      </c>
      <c r="BT193" s="176">
        <f t="shared" si="118"/>
        <v>0</v>
      </c>
      <c r="BU193" s="176">
        <f t="shared" si="118"/>
        <v>0</v>
      </c>
      <c r="BV193" s="176">
        <f t="shared" si="118"/>
        <v>0</v>
      </c>
      <c r="BW193" s="176">
        <f t="shared" si="118"/>
        <v>0</v>
      </c>
      <c r="BX193" s="176">
        <f t="shared" si="118"/>
        <v>0</v>
      </c>
      <c r="BY193" s="176">
        <f t="shared" si="118"/>
        <v>0</v>
      </c>
      <c r="BZ193" s="176">
        <f t="shared" si="118"/>
        <v>0</v>
      </c>
      <c r="CA193" s="176">
        <f t="shared" si="118"/>
        <v>0</v>
      </c>
      <c r="CB193" s="176">
        <f t="shared" si="118"/>
        <v>0</v>
      </c>
      <c r="CC193" s="176">
        <f t="shared" si="118"/>
        <v>0</v>
      </c>
      <c r="CD193" s="176">
        <f t="shared" si="118"/>
        <v>0</v>
      </c>
      <c r="CE193" s="176">
        <f t="shared" si="118"/>
        <v>0</v>
      </c>
      <c r="CF193" s="176">
        <f t="shared" si="118"/>
        <v>0</v>
      </c>
      <c r="CG193" s="176">
        <f t="shared" si="118"/>
        <v>0</v>
      </c>
      <c r="CH193" s="176">
        <f t="shared" ref="CH193:DM193" si="119">CH26*CH$168</f>
        <v>0</v>
      </c>
      <c r="CI193" s="176">
        <f t="shared" si="119"/>
        <v>0</v>
      </c>
      <c r="CJ193" s="176">
        <f t="shared" si="119"/>
        <v>0</v>
      </c>
      <c r="CK193" s="176">
        <f t="shared" si="119"/>
        <v>0</v>
      </c>
      <c r="CL193" s="176">
        <f t="shared" si="119"/>
        <v>0</v>
      </c>
      <c r="CM193" s="176">
        <f t="shared" si="119"/>
        <v>0</v>
      </c>
      <c r="CN193" s="176">
        <f t="shared" si="119"/>
        <v>0</v>
      </c>
      <c r="CO193" s="176">
        <f t="shared" si="119"/>
        <v>0</v>
      </c>
      <c r="CP193" s="176">
        <f t="shared" si="119"/>
        <v>0</v>
      </c>
      <c r="CQ193" s="176">
        <f t="shared" si="119"/>
        <v>0</v>
      </c>
      <c r="CR193" s="176">
        <f t="shared" si="119"/>
        <v>0</v>
      </c>
      <c r="CS193" s="176">
        <f t="shared" si="119"/>
        <v>0</v>
      </c>
      <c r="CT193" s="176">
        <f t="shared" si="119"/>
        <v>0</v>
      </c>
      <c r="CU193" s="176">
        <f t="shared" si="119"/>
        <v>0</v>
      </c>
      <c r="CV193" s="176">
        <f t="shared" si="119"/>
        <v>0</v>
      </c>
      <c r="CW193" s="176">
        <f t="shared" si="119"/>
        <v>0</v>
      </c>
      <c r="CX193" s="176">
        <f t="shared" si="119"/>
        <v>0</v>
      </c>
      <c r="CY193" s="176">
        <f t="shared" si="119"/>
        <v>0</v>
      </c>
      <c r="CZ193" s="176">
        <f t="shared" si="119"/>
        <v>0</v>
      </c>
      <c r="DA193" s="176">
        <f t="shared" si="119"/>
        <v>0</v>
      </c>
      <c r="DB193" s="176">
        <f t="shared" si="119"/>
        <v>0</v>
      </c>
      <c r="DC193" s="176">
        <f t="shared" si="119"/>
        <v>0</v>
      </c>
      <c r="DD193" s="176">
        <f t="shared" si="119"/>
        <v>0</v>
      </c>
      <c r="DE193" s="176">
        <f t="shared" si="119"/>
        <v>0</v>
      </c>
      <c r="DF193" s="176">
        <f t="shared" si="119"/>
        <v>0</v>
      </c>
      <c r="DG193" s="176">
        <f t="shared" si="119"/>
        <v>0</v>
      </c>
      <c r="DH193" s="176">
        <f t="shared" si="119"/>
        <v>0</v>
      </c>
      <c r="DI193" s="176">
        <f t="shared" si="119"/>
        <v>0</v>
      </c>
      <c r="DJ193" s="176">
        <f t="shared" si="119"/>
        <v>0</v>
      </c>
      <c r="DK193" s="176">
        <f t="shared" si="119"/>
        <v>0</v>
      </c>
      <c r="DL193" s="176">
        <f t="shared" si="119"/>
        <v>0</v>
      </c>
      <c r="DM193" s="176">
        <f t="shared" si="119"/>
        <v>0</v>
      </c>
      <c r="DN193" s="176">
        <f t="shared" ref="DN193:ES193" si="120">DN26*DN$168</f>
        <v>0</v>
      </c>
      <c r="DO193" s="176">
        <f t="shared" si="120"/>
        <v>0</v>
      </c>
      <c r="DP193" s="176">
        <f t="shared" si="120"/>
        <v>0</v>
      </c>
      <c r="DQ193" s="176">
        <f t="shared" si="120"/>
        <v>0</v>
      </c>
      <c r="DR193" s="176">
        <f t="shared" si="120"/>
        <v>0</v>
      </c>
      <c r="DS193" s="176">
        <f t="shared" si="120"/>
        <v>0</v>
      </c>
      <c r="DT193" s="176">
        <f t="shared" si="120"/>
        <v>0</v>
      </c>
      <c r="DU193" s="176">
        <f t="shared" si="120"/>
        <v>0</v>
      </c>
      <c r="DV193" s="176">
        <f t="shared" si="120"/>
        <v>0</v>
      </c>
      <c r="DW193" s="176">
        <f t="shared" si="120"/>
        <v>0</v>
      </c>
      <c r="DX193" s="176">
        <f t="shared" si="120"/>
        <v>0</v>
      </c>
      <c r="DY193" s="176">
        <f t="shared" si="120"/>
        <v>0</v>
      </c>
      <c r="DZ193" s="176">
        <f t="shared" si="120"/>
        <v>0</v>
      </c>
      <c r="EA193" s="176">
        <f t="shared" si="120"/>
        <v>0</v>
      </c>
      <c r="EB193" s="176">
        <f t="shared" si="120"/>
        <v>0</v>
      </c>
      <c r="EC193" s="176">
        <f t="shared" si="120"/>
        <v>0</v>
      </c>
      <c r="ED193" s="176">
        <f t="shared" si="120"/>
        <v>0</v>
      </c>
      <c r="EE193" s="176">
        <f t="shared" si="120"/>
        <v>0</v>
      </c>
      <c r="EF193" s="182">
        <f t="shared" si="120"/>
        <v>0</v>
      </c>
      <c r="EG193" s="182">
        <f t="shared" si="120"/>
        <v>0</v>
      </c>
      <c r="EH193" s="182">
        <f t="shared" si="120"/>
        <v>0</v>
      </c>
      <c r="EI193" s="182">
        <f t="shared" si="120"/>
        <v>0</v>
      </c>
      <c r="EJ193" s="182">
        <f t="shared" si="120"/>
        <v>0</v>
      </c>
      <c r="EK193" s="182">
        <f t="shared" si="120"/>
        <v>0</v>
      </c>
      <c r="EL193" s="182">
        <f t="shared" si="120"/>
        <v>0</v>
      </c>
      <c r="EM193" s="182">
        <f t="shared" si="120"/>
        <v>0</v>
      </c>
      <c r="EN193" s="182">
        <f t="shared" si="120"/>
        <v>0</v>
      </c>
      <c r="EO193" s="182">
        <f t="shared" si="120"/>
        <v>0</v>
      </c>
      <c r="EP193" s="182">
        <f t="shared" si="120"/>
        <v>0</v>
      </c>
      <c r="EQ193" s="182">
        <f t="shared" si="120"/>
        <v>0</v>
      </c>
      <c r="ER193" s="182">
        <f t="shared" si="120"/>
        <v>0</v>
      </c>
      <c r="ES193" s="182">
        <f t="shared" si="120"/>
        <v>0</v>
      </c>
      <c r="ET193" s="182">
        <f t="shared" ref="ET193:FB193" si="121">ET26*ET$168</f>
        <v>0</v>
      </c>
      <c r="EU193" s="182">
        <f t="shared" si="121"/>
        <v>0</v>
      </c>
      <c r="EV193" s="182">
        <f t="shared" si="121"/>
        <v>0</v>
      </c>
      <c r="EW193" s="182">
        <f t="shared" si="121"/>
        <v>0</v>
      </c>
      <c r="EX193" s="182">
        <f t="shared" si="121"/>
        <v>0</v>
      </c>
      <c r="EY193" s="182">
        <f t="shared" si="121"/>
        <v>0</v>
      </c>
      <c r="EZ193" s="182">
        <f t="shared" si="121"/>
        <v>0</v>
      </c>
      <c r="FA193" s="182">
        <f t="shared" si="121"/>
        <v>0</v>
      </c>
      <c r="FB193" s="183">
        <f t="shared" si="121"/>
        <v>0</v>
      </c>
    </row>
    <row r="194" spans="2:158" ht="12.75" customHeight="1" x14ac:dyDescent="0.3">
      <c r="B194" s="180" t="s">
        <v>3837</v>
      </c>
      <c r="C194" s="193">
        <v>0</v>
      </c>
      <c r="D194" s="182">
        <f t="shared" si="20"/>
        <v>0</v>
      </c>
      <c r="E194" s="182">
        <f t="shared" si="26"/>
        <v>0</v>
      </c>
      <c r="F194" s="182">
        <f t="shared" si="32"/>
        <v>0</v>
      </c>
      <c r="G194" s="182">
        <f t="shared" si="38"/>
        <v>1.4550584429320956E-7</v>
      </c>
      <c r="H194" s="182">
        <f t="shared" si="44"/>
        <v>0</v>
      </c>
      <c r="I194" s="176">
        <f t="shared" si="50"/>
        <v>0</v>
      </c>
      <c r="J194" s="182">
        <f t="shared" si="56"/>
        <v>1.0765903565133956E-5</v>
      </c>
      <c r="K194" s="182">
        <f t="shared" si="62"/>
        <v>0</v>
      </c>
      <c r="L194" s="182">
        <f t="shared" si="68"/>
        <v>0</v>
      </c>
      <c r="M194" s="182">
        <f t="shared" si="74"/>
        <v>0</v>
      </c>
      <c r="N194" s="182">
        <f t="shared" si="80"/>
        <v>0</v>
      </c>
      <c r="O194" s="182">
        <f t="shared" si="86"/>
        <v>0</v>
      </c>
      <c r="P194" s="182">
        <f t="shared" si="92"/>
        <v>0</v>
      </c>
      <c r="Q194" s="182">
        <f t="shared" si="98"/>
        <v>0</v>
      </c>
      <c r="R194" s="182">
        <f t="shared" si="104"/>
        <v>5.7361306918963101E-2</v>
      </c>
      <c r="S194" s="182">
        <f t="shared" si="110"/>
        <v>0</v>
      </c>
      <c r="T194" s="182">
        <f t="shared" si="116"/>
        <v>4.1088751446868133E-5</v>
      </c>
      <c r="U194" s="182">
        <f t="shared" ref="U194:U225" si="122">U27*U$168</f>
        <v>0</v>
      </c>
      <c r="V194" s="181">
        <f>$C194+SUM($D194:U194,W194:$FB194)-SUM(V$176:V193,V195:V$330)-V$331</f>
        <v>0</v>
      </c>
      <c r="W194" s="176">
        <f t="shared" ref="W194:BB194" si="123">W27*W$168</f>
        <v>0</v>
      </c>
      <c r="X194" s="176">
        <f t="shared" si="123"/>
        <v>0</v>
      </c>
      <c r="Y194" s="176">
        <f t="shared" si="123"/>
        <v>0</v>
      </c>
      <c r="Z194" s="176">
        <f t="shared" si="123"/>
        <v>0</v>
      </c>
      <c r="AA194" s="176">
        <f t="shared" si="123"/>
        <v>0</v>
      </c>
      <c r="AB194" s="176">
        <f t="shared" si="123"/>
        <v>0</v>
      </c>
      <c r="AC194" s="176">
        <f t="shared" si="123"/>
        <v>0</v>
      </c>
      <c r="AD194" s="176">
        <f t="shared" si="123"/>
        <v>0</v>
      </c>
      <c r="AE194" s="176">
        <f t="shared" si="123"/>
        <v>0</v>
      </c>
      <c r="AF194" s="176">
        <f t="shared" si="123"/>
        <v>0</v>
      </c>
      <c r="AG194" s="176">
        <f t="shared" si="123"/>
        <v>0</v>
      </c>
      <c r="AH194" s="176">
        <f t="shared" si="123"/>
        <v>9.320262924878063E-2</v>
      </c>
      <c r="AI194" s="176">
        <f t="shared" si="123"/>
        <v>0</v>
      </c>
      <c r="AJ194" s="176">
        <f t="shared" si="123"/>
        <v>0</v>
      </c>
      <c r="AK194" s="176">
        <f t="shared" si="123"/>
        <v>0</v>
      </c>
      <c r="AL194" s="176">
        <f t="shared" si="123"/>
        <v>0</v>
      </c>
      <c r="AM194" s="176">
        <f t="shared" si="123"/>
        <v>0</v>
      </c>
      <c r="AN194" s="176">
        <f t="shared" si="123"/>
        <v>0</v>
      </c>
      <c r="AO194" s="176">
        <f t="shared" si="123"/>
        <v>0</v>
      </c>
      <c r="AP194" s="176">
        <f t="shared" si="123"/>
        <v>0</v>
      </c>
      <c r="AQ194" s="176">
        <f t="shared" si="123"/>
        <v>0</v>
      </c>
      <c r="AR194" s="176">
        <f t="shared" si="123"/>
        <v>0</v>
      </c>
      <c r="AS194" s="176">
        <f t="shared" si="123"/>
        <v>0</v>
      </c>
      <c r="AT194" s="176">
        <f t="shared" si="123"/>
        <v>0</v>
      </c>
      <c r="AU194" s="176">
        <f t="shared" si="123"/>
        <v>0</v>
      </c>
      <c r="AV194" s="176">
        <f t="shared" si="123"/>
        <v>0</v>
      </c>
      <c r="AW194" s="176">
        <f t="shared" si="123"/>
        <v>0</v>
      </c>
      <c r="AX194" s="176">
        <f t="shared" si="123"/>
        <v>0</v>
      </c>
      <c r="AY194" s="176">
        <f t="shared" si="123"/>
        <v>0</v>
      </c>
      <c r="AZ194" s="176">
        <f t="shared" si="123"/>
        <v>0</v>
      </c>
      <c r="BA194" s="176">
        <f t="shared" si="123"/>
        <v>0</v>
      </c>
      <c r="BB194" s="176">
        <f t="shared" si="123"/>
        <v>0</v>
      </c>
      <c r="BC194" s="176">
        <f t="shared" ref="BC194:CH194" si="124">BC27*BC$168</f>
        <v>0</v>
      </c>
      <c r="BD194" s="176">
        <f t="shared" si="124"/>
        <v>0</v>
      </c>
      <c r="BE194" s="176">
        <f t="shared" si="124"/>
        <v>0</v>
      </c>
      <c r="BF194" s="176">
        <f t="shared" si="124"/>
        <v>0</v>
      </c>
      <c r="BG194" s="176">
        <f t="shared" si="124"/>
        <v>0</v>
      </c>
      <c r="BH194" s="176">
        <f t="shared" si="124"/>
        <v>0</v>
      </c>
      <c r="BI194" s="176">
        <f t="shared" si="124"/>
        <v>0</v>
      </c>
      <c r="BJ194" s="176">
        <f t="shared" si="124"/>
        <v>0</v>
      </c>
      <c r="BK194" s="176">
        <f t="shared" si="124"/>
        <v>0</v>
      </c>
      <c r="BL194" s="176">
        <f t="shared" si="124"/>
        <v>0</v>
      </c>
      <c r="BM194" s="176">
        <f t="shared" si="124"/>
        <v>4.9207771203350365E-5</v>
      </c>
      <c r="BN194" s="176">
        <f t="shared" si="124"/>
        <v>0</v>
      </c>
      <c r="BO194" s="176">
        <f t="shared" si="124"/>
        <v>0</v>
      </c>
      <c r="BP194" s="176">
        <f t="shared" si="124"/>
        <v>0</v>
      </c>
      <c r="BQ194" s="176">
        <f t="shared" si="124"/>
        <v>0</v>
      </c>
      <c r="BR194" s="176">
        <f t="shared" si="124"/>
        <v>0</v>
      </c>
      <c r="BS194" s="176">
        <f t="shared" si="124"/>
        <v>0</v>
      </c>
      <c r="BT194" s="176">
        <f t="shared" si="124"/>
        <v>0</v>
      </c>
      <c r="BU194" s="176">
        <f t="shared" si="124"/>
        <v>0</v>
      </c>
      <c r="BV194" s="176">
        <f t="shared" si="124"/>
        <v>0</v>
      </c>
      <c r="BW194" s="176">
        <f t="shared" si="124"/>
        <v>0</v>
      </c>
      <c r="BX194" s="176">
        <f t="shared" si="124"/>
        <v>0</v>
      </c>
      <c r="BY194" s="176">
        <f t="shared" si="124"/>
        <v>0</v>
      </c>
      <c r="BZ194" s="176">
        <f t="shared" si="124"/>
        <v>0</v>
      </c>
      <c r="CA194" s="176">
        <f t="shared" si="124"/>
        <v>0</v>
      </c>
      <c r="CB194" s="176">
        <f t="shared" si="124"/>
        <v>0</v>
      </c>
      <c r="CC194" s="176">
        <f t="shared" si="124"/>
        <v>0</v>
      </c>
      <c r="CD194" s="176">
        <f t="shared" si="124"/>
        <v>0</v>
      </c>
      <c r="CE194" s="176">
        <f t="shared" si="124"/>
        <v>0</v>
      </c>
      <c r="CF194" s="176">
        <f t="shared" si="124"/>
        <v>0</v>
      </c>
      <c r="CG194" s="176">
        <f t="shared" si="124"/>
        <v>0</v>
      </c>
      <c r="CH194" s="176">
        <f t="shared" si="124"/>
        <v>0</v>
      </c>
      <c r="CI194" s="176">
        <f t="shared" ref="CI194:DN194" si="125">CI27*CI$168</f>
        <v>0</v>
      </c>
      <c r="CJ194" s="176">
        <f t="shared" si="125"/>
        <v>0</v>
      </c>
      <c r="CK194" s="176">
        <f t="shared" si="125"/>
        <v>0</v>
      </c>
      <c r="CL194" s="176">
        <f t="shared" si="125"/>
        <v>0</v>
      </c>
      <c r="CM194" s="176">
        <f t="shared" si="125"/>
        <v>0</v>
      </c>
      <c r="CN194" s="176">
        <f t="shared" si="125"/>
        <v>0</v>
      </c>
      <c r="CO194" s="176">
        <f t="shared" si="125"/>
        <v>0</v>
      </c>
      <c r="CP194" s="176">
        <f t="shared" si="125"/>
        <v>0</v>
      </c>
      <c r="CQ194" s="176">
        <f t="shared" si="125"/>
        <v>0</v>
      </c>
      <c r="CR194" s="176">
        <f t="shared" si="125"/>
        <v>0</v>
      </c>
      <c r="CS194" s="176">
        <f t="shared" si="125"/>
        <v>0</v>
      </c>
      <c r="CT194" s="176">
        <f t="shared" si="125"/>
        <v>0</v>
      </c>
      <c r="CU194" s="176">
        <f t="shared" si="125"/>
        <v>0</v>
      </c>
      <c r="CV194" s="176">
        <f t="shared" si="125"/>
        <v>0</v>
      </c>
      <c r="CW194" s="176">
        <f t="shared" si="125"/>
        <v>0</v>
      </c>
      <c r="CX194" s="176">
        <f t="shared" si="125"/>
        <v>0</v>
      </c>
      <c r="CY194" s="176">
        <f t="shared" si="125"/>
        <v>0</v>
      </c>
      <c r="CZ194" s="176">
        <f t="shared" si="125"/>
        <v>0</v>
      </c>
      <c r="DA194" s="176">
        <f t="shared" si="125"/>
        <v>0</v>
      </c>
      <c r="DB194" s="176">
        <f t="shared" si="125"/>
        <v>0</v>
      </c>
      <c r="DC194" s="176">
        <f t="shared" si="125"/>
        <v>0</v>
      </c>
      <c r="DD194" s="176">
        <f t="shared" si="125"/>
        <v>0</v>
      </c>
      <c r="DE194" s="176">
        <f t="shared" si="125"/>
        <v>0</v>
      </c>
      <c r="DF194" s="176">
        <f t="shared" si="125"/>
        <v>0</v>
      </c>
      <c r="DG194" s="176">
        <f t="shared" si="125"/>
        <v>0</v>
      </c>
      <c r="DH194" s="176">
        <f t="shared" si="125"/>
        <v>0</v>
      </c>
      <c r="DI194" s="176">
        <f t="shared" si="125"/>
        <v>0</v>
      </c>
      <c r="DJ194" s="176">
        <f t="shared" si="125"/>
        <v>0</v>
      </c>
      <c r="DK194" s="176">
        <f t="shared" si="125"/>
        <v>0</v>
      </c>
      <c r="DL194" s="176">
        <f t="shared" si="125"/>
        <v>0</v>
      </c>
      <c r="DM194" s="176">
        <f t="shared" si="125"/>
        <v>0</v>
      </c>
      <c r="DN194" s="176">
        <f t="shared" si="125"/>
        <v>0</v>
      </c>
      <c r="DO194" s="176">
        <f t="shared" ref="DO194:ET194" si="126">DO27*DO$168</f>
        <v>0</v>
      </c>
      <c r="DP194" s="176">
        <f t="shared" si="126"/>
        <v>0</v>
      </c>
      <c r="DQ194" s="176">
        <f t="shared" si="126"/>
        <v>0</v>
      </c>
      <c r="DR194" s="176">
        <f t="shared" si="126"/>
        <v>0</v>
      </c>
      <c r="DS194" s="176">
        <f t="shared" si="126"/>
        <v>0</v>
      </c>
      <c r="DT194" s="176">
        <f t="shared" si="126"/>
        <v>0</v>
      </c>
      <c r="DU194" s="176">
        <f t="shared" si="126"/>
        <v>0</v>
      </c>
      <c r="DV194" s="176">
        <f t="shared" si="126"/>
        <v>0</v>
      </c>
      <c r="DW194" s="176">
        <f t="shared" si="126"/>
        <v>0</v>
      </c>
      <c r="DX194" s="176">
        <f t="shared" si="126"/>
        <v>0</v>
      </c>
      <c r="DY194" s="176">
        <f t="shared" si="126"/>
        <v>0</v>
      </c>
      <c r="DZ194" s="176">
        <f t="shared" si="126"/>
        <v>0</v>
      </c>
      <c r="EA194" s="176">
        <f t="shared" si="126"/>
        <v>0</v>
      </c>
      <c r="EB194" s="176">
        <f t="shared" si="126"/>
        <v>0</v>
      </c>
      <c r="EC194" s="176">
        <f t="shared" si="126"/>
        <v>0</v>
      </c>
      <c r="ED194" s="176">
        <f t="shared" si="126"/>
        <v>0</v>
      </c>
      <c r="EE194" s="176">
        <f t="shared" si="126"/>
        <v>0</v>
      </c>
      <c r="EF194" s="182">
        <f t="shared" si="126"/>
        <v>0</v>
      </c>
      <c r="EG194" s="182">
        <f t="shared" si="126"/>
        <v>0</v>
      </c>
      <c r="EH194" s="182">
        <f t="shared" si="126"/>
        <v>0</v>
      </c>
      <c r="EI194" s="182">
        <f t="shared" si="126"/>
        <v>0</v>
      </c>
      <c r="EJ194" s="182">
        <f t="shared" si="126"/>
        <v>0</v>
      </c>
      <c r="EK194" s="182">
        <f t="shared" si="126"/>
        <v>0</v>
      </c>
      <c r="EL194" s="182">
        <f t="shared" si="126"/>
        <v>0</v>
      </c>
      <c r="EM194" s="182">
        <f t="shared" si="126"/>
        <v>0</v>
      </c>
      <c r="EN194" s="182">
        <f t="shared" si="126"/>
        <v>0</v>
      </c>
      <c r="EO194" s="182">
        <f t="shared" si="126"/>
        <v>0</v>
      </c>
      <c r="EP194" s="182">
        <f t="shared" si="126"/>
        <v>0</v>
      </c>
      <c r="EQ194" s="182">
        <f t="shared" si="126"/>
        <v>0</v>
      </c>
      <c r="ER194" s="182">
        <f t="shared" si="126"/>
        <v>0</v>
      </c>
      <c r="ES194" s="182">
        <f t="shared" si="126"/>
        <v>0</v>
      </c>
      <c r="ET194" s="182">
        <f t="shared" si="126"/>
        <v>0</v>
      </c>
      <c r="EU194" s="182">
        <f t="shared" ref="EU194:FB194" si="127">EU27*EU$168</f>
        <v>0</v>
      </c>
      <c r="EV194" s="182">
        <f t="shared" si="127"/>
        <v>0</v>
      </c>
      <c r="EW194" s="182">
        <f t="shared" si="127"/>
        <v>0</v>
      </c>
      <c r="EX194" s="182">
        <f t="shared" si="127"/>
        <v>0</v>
      </c>
      <c r="EY194" s="182">
        <f t="shared" si="127"/>
        <v>0</v>
      </c>
      <c r="EZ194" s="182">
        <f t="shared" si="127"/>
        <v>0</v>
      </c>
      <c r="FA194" s="182">
        <f t="shared" si="127"/>
        <v>0</v>
      </c>
      <c r="FB194" s="183">
        <f t="shared" si="127"/>
        <v>0</v>
      </c>
    </row>
    <row r="195" spans="2:158" ht="12.75" customHeight="1" x14ac:dyDescent="0.3">
      <c r="B195" s="180" t="s">
        <v>3838</v>
      </c>
      <c r="C195" s="193">
        <v>0</v>
      </c>
      <c r="D195" s="182">
        <f t="shared" si="20"/>
        <v>0</v>
      </c>
      <c r="E195" s="182">
        <f t="shared" si="26"/>
        <v>0</v>
      </c>
      <c r="F195" s="182">
        <f t="shared" si="32"/>
        <v>0</v>
      </c>
      <c r="G195" s="182">
        <f t="shared" si="38"/>
        <v>0</v>
      </c>
      <c r="H195" s="182">
        <f t="shared" si="44"/>
        <v>0</v>
      </c>
      <c r="I195" s="176">
        <f t="shared" si="50"/>
        <v>0</v>
      </c>
      <c r="J195" s="182">
        <f t="shared" si="56"/>
        <v>0</v>
      </c>
      <c r="K195" s="182">
        <f t="shared" si="62"/>
        <v>0</v>
      </c>
      <c r="L195" s="182">
        <f t="shared" si="68"/>
        <v>0</v>
      </c>
      <c r="M195" s="182">
        <f t="shared" si="74"/>
        <v>0</v>
      </c>
      <c r="N195" s="182">
        <f t="shared" si="80"/>
        <v>0</v>
      </c>
      <c r="O195" s="182">
        <f t="shared" si="86"/>
        <v>0</v>
      </c>
      <c r="P195" s="182">
        <f t="shared" si="92"/>
        <v>0</v>
      </c>
      <c r="Q195" s="182">
        <f t="shared" si="98"/>
        <v>0</v>
      </c>
      <c r="R195" s="182">
        <f t="shared" si="104"/>
        <v>0</v>
      </c>
      <c r="S195" s="182">
        <f t="shared" si="110"/>
        <v>0</v>
      </c>
      <c r="T195" s="182">
        <f t="shared" si="116"/>
        <v>0</v>
      </c>
      <c r="U195" s="182">
        <f t="shared" si="122"/>
        <v>0</v>
      </c>
      <c r="V195" s="182">
        <f t="shared" ref="V195:V226" si="128">V28*V$168</f>
        <v>0</v>
      </c>
      <c r="W195" s="181">
        <f>$C195+SUM($D195:V195,X195:$FB195)-SUM(W$176:W194,W196:W$330)-W$331</f>
        <v>0</v>
      </c>
      <c r="X195" s="176">
        <f t="shared" ref="X195:BC195" si="129">X28*X$168</f>
        <v>0</v>
      </c>
      <c r="Y195" s="176">
        <f t="shared" si="129"/>
        <v>0</v>
      </c>
      <c r="Z195" s="176">
        <f t="shared" si="129"/>
        <v>0</v>
      </c>
      <c r="AA195" s="176">
        <f t="shared" si="129"/>
        <v>0</v>
      </c>
      <c r="AB195" s="176">
        <f t="shared" si="129"/>
        <v>0</v>
      </c>
      <c r="AC195" s="176">
        <f t="shared" si="129"/>
        <v>0</v>
      </c>
      <c r="AD195" s="176">
        <f t="shared" si="129"/>
        <v>0</v>
      </c>
      <c r="AE195" s="176">
        <f t="shared" si="129"/>
        <v>0</v>
      </c>
      <c r="AF195" s="176">
        <f t="shared" si="129"/>
        <v>0</v>
      </c>
      <c r="AG195" s="176">
        <f t="shared" si="129"/>
        <v>0</v>
      </c>
      <c r="AH195" s="176">
        <f t="shared" si="129"/>
        <v>0</v>
      </c>
      <c r="AI195" s="176">
        <f t="shared" si="129"/>
        <v>0</v>
      </c>
      <c r="AJ195" s="176">
        <f t="shared" si="129"/>
        <v>0</v>
      </c>
      <c r="AK195" s="176">
        <f t="shared" si="129"/>
        <v>0</v>
      </c>
      <c r="AL195" s="176">
        <f t="shared" si="129"/>
        <v>0</v>
      </c>
      <c r="AM195" s="176">
        <f t="shared" si="129"/>
        <v>0</v>
      </c>
      <c r="AN195" s="176">
        <f t="shared" si="129"/>
        <v>0</v>
      </c>
      <c r="AO195" s="176">
        <f t="shared" si="129"/>
        <v>0</v>
      </c>
      <c r="AP195" s="176">
        <f t="shared" si="129"/>
        <v>0</v>
      </c>
      <c r="AQ195" s="176">
        <f t="shared" si="129"/>
        <v>0</v>
      </c>
      <c r="AR195" s="176">
        <f t="shared" si="129"/>
        <v>0</v>
      </c>
      <c r="AS195" s="176">
        <f t="shared" si="129"/>
        <v>0</v>
      </c>
      <c r="AT195" s="176">
        <f t="shared" si="129"/>
        <v>0</v>
      </c>
      <c r="AU195" s="176">
        <f t="shared" si="129"/>
        <v>0</v>
      </c>
      <c r="AV195" s="176">
        <f t="shared" si="129"/>
        <v>0</v>
      </c>
      <c r="AW195" s="176">
        <f t="shared" si="129"/>
        <v>0</v>
      </c>
      <c r="AX195" s="176">
        <f t="shared" si="129"/>
        <v>0</v>
      </c>
      <c r="AY195" s="176">
        <f t="shared" si="129"/>
        <v>0</v>
      </c>
      <c r="AZ195" s="176">
        <f t="shared" si="129"/>
        <v>0</v>
      </c>
      <c r="BA195" s="176">
        <f t="shared" si="129"/>
        <v>0</v>
      </c>
      <c r="BB195" s="176">
        <f t="shared" si="129"/>
        <v>0</v>
      </c>
      <c r="BC195" s="176">
        <f t="shared" si="129"/>
        <v>0</v>
      </c>
      <c r="BD195" s="176">
        <f t="shared" ref="BD195:CI195" si="130">BD28*BD$168</f>
        <v>0</v>
      </c>
      <c r="BE195" s="176">
        <f t="shared" si="130"/>
        <v>0</v>
      </c>
      <c r="BF195" s="176">
        <f t="shared" si="130"/>
        <v>0</v>
      </c>
      <c r="BG195" s="176">
        <f t="shared" si="130"/>
        <v>0</v>
      </c>
      <c r="BH195" s="176">
        <f t="shared" si="130"/>
        <v>0</v>
      </c>
      <c r="BI195" s="176">
        <f t="shared" si="130"/>
        <v>0</v>
      </c>
      <c r="BJ195" s="176">
        <f t="shared" si="130"/>
        <v>0</v>
      </c>
      <c r="BK195" s="176">
        <f t="shared" si="130"/>
        <v>0</v>
      </c>
      <c r="BL195" s="176">
        <f t="shared" si="130"/>
        <v>0</v>
      </c>
      <c r="BM195" s="176">
        <f t="shared" si="130"/>
        <v>0</v>
      </c>
      <c r="BN195" s="176">
        <f t="shared" si="130"/>
        <v>0</v>
      </c>
      <c r="BO195" s="176">
        <f t="shared" si="130"/>
        <v>0</v>
      </c>
      <c r="BP195" s="176">
        <f t="shared" si="130"/>
        <v>0</v>
      </c>
      <c r="BQ195" s="176">
        <f t="shared" si="130"/>
        <v>0</v>
      </c>
      <c r="BR195" s="176">
        <f t="shared" si="130"/>
        <v>0</v>
      </c>
      <c r="BS195" s="176">
        <f t="shared" si="130"/>
        <v>0</v>
      </c>
      <c r="BT195" s="176">
        <f t="shared" si="130"/>
        <v>0</v>
      </c>
      <c r="BU195" s="176">
        <f t="shared" si="130"/>
        <v>0</v>
      </c>
      <c r="BV195" s="176">
        <f t="shared" si="130"/>
        <v>0</v>
      </c>
      <c r="BW195" s="176">
        <f t="shared" si="130"/>
        <v>0</v>
      </c>
      <c r="BX195" s="176">
        <f t="shared" si="130"/>
        <v>0</v>
      </c>
      <c r="BY195" s="176">
        <f t="shared" si="130"/>
        <v>0</v>
      </c>
      <c r="BZ195" s="176">
        <f t="shared" si="130"/>
        <v>0</v>
      </c>
      <c r="CA195" s="176">
        <f t="shared" si="130"/>
        <v>0</v>
      </c>
      <c r="CB195" s="176">
        <f t="shared" si="130"/>
        <v>0</v>
      </c>
      <c r="CC195" s="176">
        <f t="shared" si="130"/>
        <v>0</v>
      </c>
      <c r="CD195" s="176">
        <f t="shared" si="130"/>
        <v>0</v>
      </c>
      <c r="CE195" s="176">
        <f t="shared" si="130"/>
        <v>0</v>
      </c>
      <c r="CF195" s="176">
        <f t="shared" si="130"/>
        <v>0</v>
      </c>
      <c r="CG195" s="176">
        <f t="shared" si="130"/>
        <v>0</v>
      </c>
      <c r="CH195" s="176">
        <f t="shared" si="130"/>
        <v>0</v>
      </c>
      <c r="CI195" s="176">
        <f t="shared" si="130"/>
        <v>0</v>
      </c>
      <c r="CJ195" s="176">
        <f t="shared" ref="CJ195:DO195" si="131">CJ28*CJ$168</f>
        <v>0</v>
      </c>
      <c r="CK195" s="176">
        <f t="shared" si="131"/>
        <v>0</v>
      </c>
      <c r="CL195" s="176">
        <f t="shared" si="131"/>
        <v>0</v>
      </c>
      <c r="CM195" s="176">
        <f t="shared" si="131"/>
        <v>0</v>
      </c>
      <c r="CN195" s="176">
        <f t="shared" si="131"/>
        <v>0</v>
      </c>
      <c r="CO195" s="176">
        <f t="shared" si="131"/>
        <v>0</v>
      </c>
      <c r="CP195" s="176">
        <f t="shared" si="131"/>
        <v>0</v>
      </c>
      <c r="CQ195" s="176">
        <f t="shared" si="131"/>
        <v>0</v>
      </c>
      <c r="CR195" s="176">
        <f t="shared" si="131"/>
        <v>0</v>
      </c>
      <c r="CS195" s="176">
        <f t="shared" si="131"/>
        <v>0</v>
      </c>
      <c r="CT195" s="176">
        <f t="shared" si="131"/>
        <v>0</v>
      </c>
      <c r="CU195" s="176">
        <f t="shared" si="131"/>
        <v>0</v>
      </c>
      <c r="CV195" s="176">
        <f t="shared" si="131"/>
        <v>0</v>
      </c>
      <c r="CW195" s="176">
        <f t="shared" si="131"/>
        <v>0</v>
      </c>
      <c r="CX195" s="176">
        <f t="shared" si="131"/>
        <v>0</v>
      </c>
      <c r="CY195" s="176">
        <f t="shared" si="131"/>
        <v>0</v>
      </c>
      <c r="CZ195" s="176">
        <f t="shared" si="131"/>
        <v>0</v>
      </c>
      <c r="DA195" s="176">
        <f t="shared" si="131"/>
        <v>0</v>
      </c>
      <c r="DB195" s="176">
        <f t="shared" si="131"/>
        <v>0</v>
      </c>
      <c r="DC195" s="176">
        <f t="shared" si="131"/>
        <v>0</v>
      </c>
      <c r="DD195" s="176">
        <f t="shared" si="131"/>
        <v>0</v>
      </c>
      <c r="DE195" s="176">
        <f t="shared" si="131"/>
        <v>0</v>
      </c>
      <c r="DF195" s="176">
        <f t="shared" si="131"/>
        <v>0</v>
      </c>
      <c r="DG195" s="176">
        <f t="shared" si="131"/>
        <v>0</v>
      </c>
      <c r="DH195" s="176">
        <f t="shared" si="131"/>
        <v>0</v>
      </c>
      <c r="DI195" s="176">
        <f t="shared" si="131"/>
        <v>0</v>
      </c>
      <c r="DJ195" s="176">
        <f t="shared" si="131"/>
        <v>0</v>
      </c>
      <c r="DK195" s="176">
        <f t="shared" si="131"/>
        <v>0</v>
      </c>
      <c r="DL195" s="176">
        <f t="shared" si="131"/>
        <v>0</v>
      </c>
      <c r="DM195" s="176">
        <f t="shared" si="131"/>
        <v>0</v>
      </c>
      <c r="DN195" s="176">
        <f t="shared" si="131"/>
        <v>0</v>
      </c>
      <c r="DO195" s="176">
        <f t="shared" si="131"/>
        <v>0</v>
      </c>
      <c r="DP195" s="176">
        <f t="shared" ref="DP195:EU195" si="132">DP28*DP$168</f>
        <v>0</v>
      </c>
      <c r="DQ195" s="176">
        <f t="shared" si="132"/>
        <v>0</v>
      </c>
      <c r="DR195" s="176">
        <f t="shared" si="132"/>
        <v>0</v>
      </c>
      <c r="DS195" s="176">
        <f t="shared" si="132"/>
        <v>0</v>
      </c>
      <c r="DT195" s="176">
        <f t="shared" si="132"/>
        <v>0</v>
      </c>
      <c r="DU195" s="176">
        <f t="shared" si="132"/>
        <v>0</v>
      </c>
      <c r="DV195" s="176">
        <f t="shared" si="132"/>
        <v>0</v>
      </c>
      <c r="DW195" s="176">
        <f t="shared" si="132"/>
        <v>0</v>
      </c>
      <c r="DX195" s="176">
        <f t="shared" si="132"/>
        <v>0</v>
      </c>
      <c r="DY195" s="176">
        <f t="shared" si="132"/>
        <v>0</v>
      </c>
      <c r="DZ195" s="176">
        <f t="shared" si="132"/>
        <v>0</v>
      </c>
      <c r="EA195" s="176">
        <f t="shared" si="132"/>
        <v>0</v>
      </c>
      <c r="EB195" s="176">
        <f t="shared" si="132"/>
        <v>0</v>
      </c>
      <c r="EC195" s="176">
        <f t="shared" si="132"/>
        <v>0</v>
      </c>
      <c r="ED195" s="176">
        <f t="shared" si="132"/>
        <v>0</v>
      </c>
      <c r="EE195" s="176">
        <f t="shared" si="132"/>
        <v>0</v>
      </c>
      <c r="EF195" s="182">
        <f t="shared" si="132"/>
        <v>0</v>
      </c>
      <c r="EG195" s="182">
        <f t="shared" si="132"/>
        <v>0</v>
      </c>
      <c r="EH195" s="182">
        <f t="shared" si="132"/>
        <v>0</v>
      </c>
      <c r="EI195" s="182">
        <f t="shared" si="132"/>
        <v>0</v>
      </c>
      <c r="EJ195" s="182">
        <f t="shared" si="132"/>
        <v>0</v>
      </c>
      <c r="EK195" s="182">
        <f t="shared" si="132"/>
        <v>0</v>
      </c>
      <c r="EL195" s="182">
        <f t="shared" si="132"/>
        <v>0</v>
      </c>
      <c r="EM195" s="182">
        <f t="shared" si="132"/>
        <v>0</v>
      </c>
      <c r="EN195" s="182">
        <f t="shared" si="132"/>
        <v>0</v>
      </c>
      <c r="EO195" s="182">
        <f t="shared" si="132"/>
        <v>0</v>
      </c>
      <c r="EP195" s="182">
        <f t="shared" si="132"/>
        <v>0</v>
      </c>
      <c r="EQ195" s="182">
        <f t="shared" si="132"/>
        <v>0</v>
      </c>
      <c r="ER195" s="182">
        <f t="shared" si="132"/>
        <v>0</v>
      </c>
      <c r="ES195" s="182">
        <f t="shared" si="132"/>
        <v>0</v>
      </c>
      <c r="ET195" s="182">
        <f t="shared" si="132"/>
        <v>0</v>
      </c>
      <c r="EU195" s="182">
        <f t="shared" si="132"/>
        <v>0</v>
      </c>
      <c r="EV195" s="182">
        <f t="shared" ref="EV195:FB195" si="133">EV28*EV$168</f>
        <v>0</v>
      </c>
      <c r="EW195" s="182">
        <f t="shared" si="133"/>
        <v>0</v>
      </c>
      <c r="EX195" s="182">
        <f t="shared" si="133"/>
        <v>0</v>
      </c>
      <c r="EY195" s="182">
        <f t="shared" si="133"/>
        <v>0</v>
      </c>
      <c r="EZ195" s="182">
        <f t="shared" si="133"/>
        <v>0</v>
      </c>
      <c r="FA195" s="182">
        <f t="shared" si="133"/>
        <v>0</v>
      </c>
      <c r="FB195" s="183">
        <f t="shared" si="133"/>
        <v>0</v>
      </c>
    </row>
    <row r="196" spans="2:158" ht="12.75" customHeight="1" x14ac:dyDescent="0.3">
      <c r="B196" s="180" t="s">
        <v>3839</v>
      </c>
      <c r="C196" s="193">
        <v>0</v>
      </c>
      <c r="D196" s="182">
        <f t="shared" si="20"/>
        <v>0</v>
      </c>
      <c r="E196" s="182">
        <f t="shared" si="26"/>
        <v>0</v>
      </c>
      <c r="F196" s="182">
        <f t="shared" si="32"/>
        <v>0</v>
      </c>
      <c r="G196" s="182">
        <f t="shared" si="38"/>
        <v>0</v>
      </c>
      <c r="H196" s="182">
        <f t="shared" si="44"/>
        <v>0</v>
      </c>
      <c r="I196" s="176">
        <f t="shared" si="50"/>
        <v>0</v>
      </c>
      <c r="J196" s="182">
        <f t="shared" si="56"/>
        <v>0</v>
      </c>
      <c r="K196" s="182">
        <f t="shared" si="62"/>
        <v>0</v>
      </c>
      <c r="L196" s="182">
        <f t="shared" si="68"/>
        <v>3.2483252135442738E-11</v>
      </c>
      <c r="M196" s="182">
        <f t="shared" si="74"/>
        <v>0</v>
      </c>
      <c r="N196" s="182">
        <f t="shared" si="80"/>
        <v>0</v>
      </c>
      <c r="O196" s="182">
        <f t="shared" si="86"/>
        <v>0</v>
      </c>
      <c r="P196" s="182">
        <f t="shared" si="92"/>
        <v>0</v>
      </c>
      <c r="Q196" s="182">
        <f t="shared" si="98"/>
        <v>0</v>
      </c>
      <c r="R196" s="182">
        <f t="shared" si="104"/>
        <v>0</v>
      </c>
      <c r="S196" s="182">
        <f t="shared" si="110"/>
        <v>0</v>
      </c>
      <c r="T196" s="182">
        <f t="shared" si="116"/>
        <v>0</v>
      </c>
      <c r="U196" s="182">
        <f t="shared" si="122"/>
        <v>0</v>
      </c>
      <c r="V196" s="182">
        <f t="shared" si="128"/>
        <v>0</v>
      </c>
      <c r="W196" s="182">
        <f t="shared" ref="W196:W227" si="134">W29*W$168</f>
        <v>0</v>
      </c>
      <c r="X196" s="181">
        <f>$C196+SUM($D196:W196,Y196:$FB196)-SUM(X$176:X195,X197:X$330)-X$331</f>
        <v>3.2611016783770865E-27</v>
      </c>
      <c r="Y196" s="176">
        <f t="shared" ref="Y196:BD196" si="135">Y29*Y$168</f>
        <v>0</v>
      </c>
      <c r="Z196" s="176">
        <f t="shared" si="135"/>
        <v>0</v>
      </c>
      <c r="AA196" s="176">
        <f t="shared" si="135"/>
        <v>0</v>
      </c>
      <c r="AB196" s="176">
        <f t="shared" si="135"/>
        <v>0</v>
      </c>
      <c r="AC196" s="176">
        <f t="shared" si="135"/>
        <v>0</v>
      </c>
      <c r="AD196" s="176">
        <f t="shared" si="135"/>
        <v>0</v>
      </c>
      <c r="AE196" s="176">
        <f t="shared" si="135"/>
        <v>0</v>
      </c>
      <c r="AF196" s="176">
        <f t="shared" si="135"/>
        <v>0</v>
      </c>
      <c r="AG196" s="176">
        <f t="shared" si="135"/>
        <v>0</v>
      </c>
      <c r="AH196" s="176">
        <f t="shared" si="135"/>
        <v>0</v>
      </c>
      <c r="AI196" s="176">
        <f t="shared" si="135"/>
        <v>0</v>
      </c>
      <c r="AJ196" s="176">
        <f t="shared" si="135"/>
        <v>0</v>
      </c>
      <c r="AK196" s="176">
        <f t="shared" si="135"/>
        <v>0</v>
      </c>
      <c r="AL196" s="176">
        <f t="shared" si="135"/>
        <v>0</v>
      </c>
      <c r="AM196" s="176">
        <f t="shared" si="135"/>
        <v>0</v>
      </c>
      <c r="AN196" s="176">
        <f t="shared" si="135"/>
        <v>0</v>
      </c>
      <c r="AO196" s="176">
        <f t="shared" si="135"/>
        <v>0</v>
      </c>
      <c r="AP196" s="176">
        <f t="shared" si="135"/>
        <v>0</v>
      </c>
      <c r="AQ196" s="176">
        <f t="shared" si="135"/>
        <v>0</v>
      </c>
      <c r="AR196" s="176">
        <f t="shared" si="135"/>
        <v>0</v>
      </c>
      <c r="AS196" s="176">
        <f t="shared" si="135"/>
        <v>0</v>
      </c>
      <c r="AT196" s="176">
        <f t="shared" si="135"/>
        <v>0</v>
      </c>
      <c r="AU196" s="176">
        <f t="shared" si="135"/>
        <v>0</v>
      </c>
      <c r="AV196" s="176">
        <f t="shared" si="135"/>
        <v>0</v>
      </c>
      <c r="AW196" s="176">
        <f t="shared" si="135"/>
        <v>0</v>
      </c>
      <c r="AX196" s="176">
        <f t="shared" si="135"/>
        <v>0</v>
      </c>
      <c r="AY196" s="176">
        <f t="shared" si="135"/>
        <v>0</v>
      </c>
      <c r="AZ196" s="176">
        <f t="shared" si="135"/>
        <v>0</v>
      </c>
      <c r="BA196" s="176">
        <f t="shared" si="135"/>
        <v>0</v>
      </c>
      <c r="BB196" s="176">
        <f t="shared" si="135"/>
        <v>0</v>
      </c>
      <c r="BC196" s="176">
        <f t="shared" si="135"/>
        <v>0</v>
      </c>
      <c r="BD196" s="176">
        <f t="shared" si="135"/>
        <v>0</v>
      </c>
      <c r="BE196" s="176">
        <f t="shared" ref="BE196:CJ196" si="136">BE29*BE$168</f>
        <v>0</v>
      </c>
      <c r="BF196" s="176">
        <f t="shared" si="136"/>
        <v>0</v>
      </c>
      <c r="BG196" s="176">
        <f t="shared" si="136"/>
        <v>0</v>
      </c>
      <c r="BH196" s="176">
        <f t="shared" si="136"/>
        <v>0</v>
      </c>
      <c r="BI196" s="176">
        <f t="shared" si="136"/>
        <v>0</v>
      </c>
      <c r="BJ196" s="176">
        <f t="shared" si="136"/>
        <v>0</v>
      </c>
      <c r="BK196" s="176">
        <f t="shared" si="136"/>
        <v>0</v>
      </c>
      <c r="BL196" s="176">
        <f t="shared" si="136"/>
        <v>0</v>
      </c>
      <c r="BM196" s="176">
        <f t="shared" si="136"/>
        <v>0</v>
      </c>
      <c r="BN196" s="176">
        <f t="shared" si="136"/>
        <v>0</v>
      </c>
      <c r="BO196" s="176">
        <f t="shared" si="136"/>
        <v>0</v>
      </c>
      <c r="BP196" s="176">
        <f t="shared" si="136"/>
        <v>0</v>
      </c>
      <c r="BQ196" s="176">
        <f t="shared" si="136"/>
        <v>0</v>
      </c>
      <c r="BR196" s="176">
        <f t="shared" si="136"/>
        <v>0</v>
      </c>
      <c r="BS196" s="176">
        <f t="shared" si="136"/>
        <v>0</v>
      </c>
      <c r="BT196" s="176">
        <f t="shared" si="136"/>
        <v>0</v>
      </c>
      <c r="BU196" s="176">
        <f t="shared" si="136"/>
        <v>0</v>
      </c>
      <c r="BV196" s="176">
        <f t="shared" si="136"/>
        <v>0</v>
      </c>
      <c r="BW196" s="176">
        <f t="shared" si="136"/>
        <v>0</v>
      </c>
      <c r="BX196" s="176">
        <f t="shared" si="136"/>
        <v>0</v>
      </c>
      <c r="BY196" s="176">
        <f t="shared" si="136"/>
        <v>0</v>
      </c>
      <c r="BZ196" s="176">
        <f t="shared" si="136"/>
        <v>0</v>
      </c>
      <c r="CA196" s="176">
        <f t="shared" si="136"/>
        <v>0</v>
      </c>
      <c r="CB196" s="176">
        <f t="shared" si="136"/>
        <v>0</v>
      </c>
      <c r="CC196" s="176">
        <f t="shared" si="136"/>
        <v>0</v>
      </c>
      <c r="CD196" s="176">
        <f t="shared" si="136"/>
        <v>0</v>
      </c>
      <c r="CE196" s="176">
        <f t="shared" si="136"/>
        <v>0</v>
      </c>
      <c r="CF196" s="176">
        <f t="shared" si="136"/>
        <v>0</v>
      </c>
      <c r="CG196" s="176">
        <f t="shared" si="136"/>
        <v>0</v>
      </c>
      <c r="CH196" s="176">
        <f t="shared" si="136"/>
        <v>0</v>
      </c>
      <c r="CI196" s="176">
        <f t="shared" si="136"/>
        <v>0</v>
      </c>
      <c r="CJ196" s="176">
        <f t="shared" si="136"/>
        <v>0</v>
      </c>
      <c r="CK196" s="176">
        <f t="shared" ref="CK196:DP196" si="137">CK29*CK$168</f>
        <v>0</v>
      </c>
      <c r="CL196" s="176">
        <f t="shared" si="137"/>
        <v>0</v>
      </c>
      <c r="CM196" s="176">
        <f t="shared" si="137"/>
        <v>0</v>
      </c>
      <c r="CN196" s="176">
        <f t="shared" si="137"/>
        <v>0</v>
      </c>
      <c r="CO196" s="176">
        <f t="shared" si="137"/>
        <v>0</v>
      </c>
      <c r="CP196" s="176">
        <f t="shared" si="137"/>
        <v>0</v>
      </c>
      <c r="CQ196" s="176">
        <f t="shared" si="137"/>
        <v>0</v>
      </c>
      <c r="CR196" s="176">
        <f t="shared" si="137"/>
        <v>0</v>
      </c>
      <c r="CS196" s="176">
        <f t="shared" si="137"/>
        <v>0</v>
      </c>
      <c r="CT196" s="176">
        <f t="shared" si="137"/>
        <v>0</v>
      </c>
      <c r="CU196" s="176">
        <f t="shared" si="137"/>
        <v>0</v>
      </c>
      <c r="CV196" s="176">
        <f t="shared" si="137"/>
        <v>0</v>
      </c>
      <c r="CW196" s="176">
        <f t="shared" si="137"/>
        <v>0</v>
      </c>
      <c r="CX196" s="176">
        <f t="shared" si="137"/>
        <v>0</v>
      </c>
      <c r="CY196" s="176">
        <f t="shared" si="137"/>
        <v>0</v>
      </c>
      <c r="CZ196" s="176">
        <f t="shared" si="137"/>
        <v>0</v>
      </c>
      <c r="DA196" s="176">
        <f t="shared" si="137"/>
        <v>0</v>
      </c>
      <c r="DB196" s="176">
        <f t="shared" si="137"/>
        <v>0</v>
      </c>
      <c r="DC196" s="176">
        <f t="shared" si="137"/>
        <v>0</v>
      </c>
      <c r="DD196" s="176">
        <f t="shared" si="137"/>
        <v>0</v>
      </c>
      <c r="DE196" s="176">
        <f t="shared" si="137"/>
        <v>0</v>
      </c>
      <c r="DF196" s="176">
        <f t="shared" si="137"/>
        <v>0</v>
      </c>
      <c r="DG196" s="176">
        <f t="shared" si="137"/>
        <v>0</v>
      </c>
      <c r="DH196" s="176">
        <f t="shared" si="137"/>
        <v>0</v>
      </c>
      <c r="DI196" s="176">
        <f t="shared" si="137"/>
        <v>0</v>
      </c>
      <c r="DJ196" s="176">
        <f t="shared" si="137"/>
        <v>0</v>
      </c>
      <c r="DK196" s="176">
        <f t="shared" si="137"/>
        <v>0</v>
      </c>
      <c r="DL196" s="176">
        <f t="shared" si="137"/>
        <v>0</v>
      </c>
      <c r="DM196" s="176">
        <f t="shared" si="137"/>
        <v>0</v>
      </c>
      <c r="DN196" s="176">
        <f t="shared" si="137"/>
        <v>0</v>
      </c>
      <c r="DO196" s="176">
        <f t="shared" si="137"/>
        <v>0</v>
      </c>
      <c r="DP196" s="176">
        <f t="shared" si="137"/>
        <v>0</v>
      </c>
      <c r="DQ196" s="176">
        <f t="shared" ref="DQ196:EV196" si="138">DQ29*DQ$168</f>
        <v>0</v>
      </c>
      <c r="DR196" s="176">
        <f t="shared" si="138"/>
        <v>0</v>
      </c>
      <c r="DS196" s="176">
        <f t="shared" si="138"/>
        <v>0</v>
      </c>
      <c r="DT196" s="176">
        <f t="shared" si="138"/>
        <v>0</v>
      </c>
      <c r="DU196" s="176">
        <f t="shared" si="138"/>
        <v>0</v>
      </c>
      <c r="DV196" s="176">
        <f t="shared" si="138"/>
        <v>0</v>
      </c>
      <c r="DW196" s="176">
        <f t="shared" si="138"/>
        <v>0</v>
      </c>
      <c r="DX196" s="176">
        <f t="shared" si="138"/>
        <v>0</v>
      </c>
      <c r="DY196" s="176">
        <f t="shared" si="138"/>
        <v>0</v>
      </c>
      <c r="DZ196" s="176">
        <f t="shared" si="138"/>
        <v>0</v>
      </c>
      <c r="EA196" s="176">
        <f t="shared" si="138"/>
        <v>0</v>
      </c>
      <c r="EB196" s="176">
        <f t="shared" si="138"/>
        <v>0</v>
      </c>
      <c r="EC196" s="176">
        <f t="shared" si="138"/>
        <v>0</v>
      </c>
      <c r="ED196" s="176">
        <f t="shared" si="138"/>
        <v>0</v>
      </c>
      <c r="EE196" s="176">
        <f t="shared" si="138"/>
        <v>0</v>
      </c>
      <c r="EF196" s="182">
        <f t="shared" si="138"/>
        <v>0</v>
      </c>
      <c r="EG196" s="182">
        <f t="shared" si="138"/>
        <v>0</v>
      </c>
      <c r="EH196" s="182">
        <f t="shared" si="138"/>
        <v>0</v>
      </c>
      <c r="EI196" s="182">
        <f t="shared" si="138"/>
        <v>0</v>
      </c>
      <c r="EJ196" s="182">
        <f t="shared" si="138"/>
        <v>0</v>
      </c>
      <c r="EK196" s="182">
        <f t="shared" si="138"/>
        <v>0</v>
      </c>
      <c r="EL196" s="182">
        <f t="shared" si="138"/>
        <v>0</v>
      </c>
      <c r="EM196" s="182">
        <f t="shared" si="138"/>
        <v>0</v>
      </c>
      <c r="EN196" s="182">
        <f t="shared" si="138"/>
        <v>0</v>
      </c>
      <c r="EO196" s="182">
        <f t="shared" si="138"/>
        <v>0</v>
      </c>
      <c r="EP196" s="182">
        <f t="shared" si="138"/>
        <v>0</v>
      </c>
      <c r="EQ196" s="182">
        <f t="shared" si="138"/>
        <v>0</v>
      </c>
      <c r="ER196" s="182">
        <f t="shared" si="138"/>
        <v>0</v>
      </c>
      <c r="ES196" s="182">
        <f t="shared" si="138"/>
        <v>0</v>
      </c>
      <c r="ET196" s="182">
        <f t="shared" si="138"/>
        <v>0</v>
      </c>
      <c r="EU196" s="182">
        <f t="shared" si="138"/>
        <v>0</v>
      </c>
      <c r="EV196" s="182">
        <f t="shared" si="138"/>
        <v>0</v>
      </c>
      <c r="EW196" s="182">
        <f t="shared" ref="EW196:FB196" si="139">EW29*EW$168</f>
        <v>0</v>
      </c>
      <c r="EX196" s="182">
        <f t="shared" si="139"/>
        <v>0</v>
      </c>
      <c r="EY196" s="182">
        <f t="shared" si="139"/>
        <v>0</v>
      </c>
      <c r="EZ196" s="182">
        <f t="shared" si="139"/>
        <v>0</v>
      </c>
      <c r="FA196" s="182">
        <f t="shared" si="139"/>
        <v>0</v>
      </c>
      <c r="FB196" s="183">
        <f t="shared" si="139"/>
        <v>0</v>
      </c>
    </row>
    <row r="197" spans="2:158" ht="12.75" customHeight="1" x14ac:dyDescent="0.3">
      <c r="B197" s="180" t="s">
        <v>3840</v>
      </c>
      <c r="C197" s="193">
        <v>0</v>
      </c>
      <c r="D197" s="182">
        <f t="shared" si="20"/>
        <v>0</v>
      </c>
      <c r="E197" s="182">
        <f t="shared" si="26"/>
        <v>0</v>
      </c>
      <c r="F197" s="182">
        <f t="shared" si="32"/>
        <v>0</v>
      </c>
      <c r="G197" s="182">
        <f t="shared" si="38"/>
        <v>0</v>
      </c>
      <c r="H197" s="182">
        <f t="shared" si="44"/>
        <v>0</v>
      </c>
      <c r="I197" s="176">
        <f t="shared" si="50"/>
        <v>0</v>
      </c>
      <c r="J197" s="182">
        <f t="shared" si="56"/>
        <v>0</v>
      </c>
      <c r="K197" s="182">
        <f t="shared" si="62"/>
        <v>0</v>
      </c>
      <c r="L197" s="182">
        <f t="shared" si="68"/>
        <v>0</v>
      </c>
      <c r="M197" s="182">
        <f t="shared" si="74"/>
        <v>2.5801170866639175E-2</v>
      </c>
      <c r="N197" s="182">
        <f t="shared" si="80"/>
        <v>0</v>
      </c>
      <c r="O197" s="182">
        <f t="shared" si="86"/>
        <v>0</v>
      </c>
      <c r="P197" s="182">
        <f t="shared" si="92"/>
        <v>0</v>
      </c>
      <c r="Q197" s="182">
        <f t="shared" si="98"/>
        <v>0</v>
      </c>
      <c r="R197" s="182">
        <f t="shared" si="104"/>
        <v>0</v>
      </c>
      <c r="S197" s="182">
        <f t="shared" si="110"/>
        <v>0</v>
      </c>
      <c r="T197" s="182">
        <f t="shared" si="116"/>
        <v>0</v>
      </c>
      <c r="U197" s="182">
        <f t="shared" si="122"/>
        <v>0</v>
      </c>
      <c r="V197" s="182">
        <f t="shared" si="128"/>
        <v>0</v>
      </c>
      <c r="W197" s="182">
        <f t="shared" si="134"/>
        <v>0</v>
      </c>
      <c r="X197" s="182">
        <f t="shared" ref="X197:X228" si="140">X30*X$168</f>
        <v>1.8970624773601153E-11</v>
      </c>
      <c r="Y197" s="181">
        <f>$C197+SUM($D197:X197,Z197:$FB197)-SUM(Y$176:Y196,Y198:Y$330)-Y$331</f>
        <v>0</v>
      </c>
      <c r="Z197" s="176">
        <f t="shared" ref="Z197:BE197" si="141">Z30*Z$168</f>
        <v>0</v>
      </c>
      <c r="AA197" s="176">
        <f t="shared" si="141"/>
        <v>0</v>
      </c>
      <c r="AB197" s="176">
        <f t="shared" si="141"/>
        <v>0</v>
      </c>
      <c r="AC197" s="176">
        <f t="shared" si="141"/>
        <v>0</v>
      </c>
      <c r="AD197" s="176">
        <f t="shared" si="141"/>
        <v>0</v>
      </c>
      <c r="AE197" s="176">
        <f t="shared" si="141"/>
        <v>0</v>
      </c>
      <c r="AF197" s="176">
        <f t="shared" si="141"/>
        <v>0</v>
      </c>
      <c r="AG197" s="176">
        <f t="shared" si="141"/>
        <v>0</v>
      </c>
      <c r="AH197" s="176">
        <f t="shared" si="141"/>
        <v>0</v>
      </c>
      <c r="AI197" s="176">
        <f t="shared" si="141"/>
        <v>0</v>
      </c>
      <c r="AJ197" s="176">
        <f t="shared" si="141"/>
        <v>0</v>
      </c>
      <c r="AK197" s="176">
        <f t="shared" si="141"/>
        <v>0</v>
      </c>
      <c r="AL197" s="176">
        <f t="shared" si="141"/>
        <v>0</v>
      </c>
      <c r="AM197" s="176">
        <f t="shared" si="141"/>
        <v>0</v>
      </c>
      <c r="AN197" s="176">
        <f t="shared" si="141"/>
        <v>0</v>
      </c>
      <c r="AO197" s="176">
        <f t="shared" si="141"/>
        <v>0</v>
      </c>
      <c r="AP197" s="176">
        <f t="shared" si="141"/>
        <v>0</v>
      </c>
      <c r="AQ197" s="176">
        <f t="shared" si="141"/>
        <v>0</v>
      </c>
      <c r="AR197" s="176">
        <f t="shared" si="141"/>
        <v>0</v>
      </c>
      <c r="AS197" s="176">
        <f t="shared" si="141"/>
        <v>0</v>
      </c>
      <c r="AT197" s="176">
        <f t="shared" si="141"/>
        <v>0</v>
      </c>
      <c r="AU197" s="176">
        <f t="shared" si="141"/>
        <v>0</v>
      </c>
      <c r="AV197" s="176">
        <f t="shared" si="141"/>
        <v>0</v>
      </c>
      <c r="AW197" s="176">
        <f t="shared" si="141"/>
        <v>0</v>
      </c>
      <c r="AX197" s="176">
        <f t="shared" si="141"/>
        <v>0</v>
      </c>
      <c r="AY197" s="176">
        <f t="shared" si="141"/>
        <v>0</v>
      </c>
      <c r="AZ197" s="176">
        <f t="shared" si="141"/>
        <v>0</v>
      </c>
      <c r="BA197" s="176">
        <f t="shared" si="141"/>
        <v>0</v>
      </c>
      <c r="BB197" s="176">
        <f t="shared" si="141"/>
        <v>0</v>
      </c>
      <c r="BC197" s="176">
        <f t="shared" si="141"/>
        <v>0</v>
      </c>
      <c r="BD197" s="176">
        <f t="shared" si="141"/>
        <v>0</v>
      </c>
      <c r="BE197" s="176">
        <f t="shared" si="141"/>
        <v>0</v>
      </c>
      <c r="BF197" s="176">
        <f t="shared" ref="BF197:CK197" si="142">BF30*BF$168</f>
        <v>0</v>
      </c>
      <c r="BG197" s="176">
        <f t="shared" si="142"/>
        <v>0</v>
      </c>
      <c r="BH197" s="176">
        <f t="shared" si="142"/>
        <v>0</v>
      </c>
      <c r="BI197" s="176">
        <f t="shared" si="142"/>
        <v>0</v>
      </c>
      <c r="BJ197" s="176">
        <f t="shared" si="142"/>
        <v>0</v>
      </c>
      <c r="BK197" s="176">
        <f t="shared" si="142"/>
        <v>0</v>
      </c>
      <c r="BL197" s="176">
        <f t="shared" si="142"/>
        <v>0</v>
      </c>
      <c r="BM197" s="176">
        <f t="shared" si="142"/>
        <v>0</v>
      </c>
      <c r="BN197" s="176">
        <f t="shared" si="142"/>
        <v>0</v>
      </c>
      <c r="BO197" s="176">
        <f t="shared" si="142"/>
        <v>0</v>
      </c>
      <c r="BP197" s="176">
        <f t="shared" si="142"/>
        <v>0</v>
      </c>
      <c r="BQ197" s="176">
        <f t="shared" si="142"/>
        <v>0</v>
      </c>
      <c r="BR197" s="176">
        <f t="shared" si="142"/>
        <v>0</v>
      </c>
      <c r="BS197" s="176">
        <f t="shared" si="142"/>
        <v>0</v>
      </c>
      <c r="BT197" s="176">
        <f t="shared" si="142"/>
        <v>0</v>
      </c>
      <c r="BU197" s="176">
        <f t="shared" si="142"/>
        <v>0</v>
      </c>
      <c r="BV197" s="176">
        <f t="shared" si="142"/>
        <v>0</v>
      </c>
      <c r="BW197" s="176">
        <f t="shared" si="142"/>
        <v>0</v>
      </c>
      <c r="BX197" s="176">
        <f t="shared" si="142"/>
        <v>0</v>
      </c>
      <c r="BY197" s="176">
        <f t="shared" si="142"/>
        <v>0</v>
      </c>
      <c r="BZ197" s="176">
        <f t="shared" si="142"/>
        <v>0</v>
      </c>
      <c r="CA197" s="176">
        <f t="shared" si="142"/>
        <v>0</v>
      </c>
      <c r="CB197" s="176">
        <f t="shared" si="142"/>
        <v>0</v>
      </c>
      <c r="CC197" s="176">
        <f t="shared" si="142"/>
        <v>0</v>
      </c>
      <c r="CD197" s="176">
        <f t="shared" si="142"/>
        <v>0</v>
      </c>
      <c r="CE197" s="176">
        <f t="shared" si="142"/>
        <v>0</v>
      </c>
      <c r="CF197" s="176">
        <f t="shared" si="142"/>
        <v>0</v>
      </c>
      <c r="CG197" s="176">
        <f t="shared" si="142"/>
        <v>0</v>
      </c>
      <c r="CH197" s="176">
        <f t="shared" si="142"/>
        <v>0</v>
      </c>
      <c r="CI197" s="176">
        <f t="shared" si="142"/>
        <v>0</v>
      </c>
      <c r="CJ197" s="176">
        <f t="shared" si="142"/>
        <v>0</v>
      </c>
      <c r="CK197" s="176">
        <f t="shared" si="142"/>
        <v>0</v>
      </c>
      <c r="CL197" s="176">
        <f t="shared" ref="CL197:DQ197" si="143">CL30*CL$168</f>
        <v>0</v>
      </c>
      <c r="CM197" s="176">
        <f t="shared" si="143"/>
        <v>0</v>
      </c>
      <c r="CN197" s="176">
        <f t="shared" si="143"/>
        <v>0</v>
      </c>
      <c r="CO197" s="176">
        <f t="shared" si="143"/>
        <v>0</v>
      </c>
      <c r="CP197" s="176">
        <f t="shared" si="143"/>
        <v>0</v>
      </c>
      <c r="CQ197" s="176">
        <f t="shared" si="143"/>
        <v>0</v>
      </c>
      <c r="CR197" s="176">
        <f t="shared" si="143"/>
        <v>0</v>
      </c>
      <c r="CS197" s="176">
        <f t="shared" si="143"/>
        <v>0</v>
      </c>
      <c r="CT197" s="176">
        <f t="shared" si="143"/>
        <v>0</v>
      </c>
      <c r="CU197" s="176">
        <f t="shared" si="143"/>
        <v>0</v>
      </c>
      <c r="CV197" s="176">
        <f t="shared" si="143"/>
        <v>0</v>
      </c>
      <c r="CW197" s="176">
        <f t="shared" si="143"/>
        <v>0</v>
      </c>
      <c r="CX197" s="176">
        <f t="shared" si="143"/>
        <v>0</v>
      </c>
      <c r="CY197" s="176">
        <f t="shared" si="143"/>
        <v>0</v>
      </c>
      <c r="CZ197" s="176">
        <f t="shared" si="143"/>
        <v>0</v>
      </c>
      <c r="DA197" s="176">
        <f t="shared" si="143"/>
        <v>0</v>
      </c>
      <c r="DB197" s="176">
        <f t="shared" si="143"/>
        <v>0</v>
      </c>
      <c r="DC197" s="176">
        <f t="shared" si="143"/>
        <v>0</v>
      </c>
      <c r="DD197" s="176">
        <f t="shared" si="143"/>
        <v>0</v>
      </c>
      <c r="DE197" s="176">
        <f t="shared" si="143"/>
        <v>0</v>
      </c>
      <c r="DF197" s="176">
        <f t="shared" si="143"/>
        <v>0</v>
      </c>
      <c r="DG197" s="176">
        <f t="shared" si="143"/>
        <v>0</v>
      </c>
      <c r="DH197" s="176">
        <f t="shared" si="143"/>
        <v>0</v>
      </c>
      <c r="DI197" s="176">
        <f t="shared" si="143"/>
        <v>0</v>
      </c>
      <c r="DJ197" s="176">
        <f t="shared" si="143"/>
        <v>0</v>
      </c>
      <c r="DK197" s="176">
        <f t="shared" si="143"/>
        <v>0</v>
      </c>
      <c r="DL197" s="176">
        <f t="shared" si="143"/>
        <v>0</v>
      </c>
      <c r="DM197" s="176">
        <f t="shared" si="143"/>
        <v>0</v>
      </c>
      <c r="DN197" s="176">
        <f t="shared" si="143"/>
        <v>0</v>
      </c>
      <c r="DO197" s="176">
        <f t="shared" si="143"/>
        <v>0</v>
      </c>
      <c r="DP197" s="176">
        <f t="shared" si="143"/>
        <v>0</v>
      </c>
      <c r="DQ197" s="176">
        <f t="shared" si="143"/>
        <v>0</v>
      </c>
      <c r="DR197" s="176">
        <f t="shared" ref="DR197:FB197" si="144">DR30*DR$168</f>
        <v>0</v>
      </c>
      <c r="DS197" s="176">
        <f t="shared" si="144"/>
        <v>0</v>
      </c>
      <c r="DT197" s="176">
        <f t="shared" si="144"/>
        <v>0</v>
      </c>
      <c r="DU197" s="176">
        <f t="shared" si="144"/>
        <v>0</v>
      </c>
      <c r="DV197" s="176">
        <f t="shared" si="144"/>
        <v>0</v>
      </c>
      <c r="DW197" s="176">
        <f t="shared" si="144"/>
        <v>0</v>
      </c>
      <c r="DX197" s="176">
        <f t="shared" si="144"/>
        <v>0</v>
      </c>
      <c r="DY197" s="176">
        <f t="shared" si="144"/>
        <v>0</v>
      </c>
      <c r="DZ197" s="176">
        <f t="shared" si="144"/>
        <v>0</v>
      </c>
      <c r="EA197" s="176">
        <f t="shared" si="144"/>
        <v>0</v>
      </c>
      <c r="EB197" s="176">
        <f t="shared" si="144"/>
        <v>0</v>
      </c>
      <c r="EC197" s="176">
        <f t="shared" si="144"/>
        <v>0</v>
      </c>
      <c r="ED197" s="176">
        <f t="shared" si="144"/>
        <v>0</v>
      </c>
      <c r="EE197" s="176">
        <f t="shared" si="144"/>
        <v>0</v>
      </c>
      <c r="EF197" s="182">
        <f t="shared" si="144"/>
        <v>0</v>
      </c>
      <c r="EG197" s="182">
        <f t="shared" si="144"/>
        <v>0</v>
      </c>
      <c r="EH197" s="182">
        <f t="shared" si="144"/>
        <v>0</v>
      </c>
      <c r="EI197" s="182">
        <f t="shared" si="144"/>
        <v>0</v>
      </c>
      <c r="EJ197" s="182">
        <f t="shared" si="144"/>
        <v>0</v>
      </c>
      <c r="EK197" s="182">
        <f t="shared" si="144"/>
        <v>0</v>
      </c>
      <c r="EL197" s="182">
        <f t="shared" si="144"/>
        <v>0</v>
      </c>
      <c r="EM197" s="182">
        <f t="shared" si="144"/>
        <v>0</v>
      </c>
      <c r="EN197" s="182">
        <f t="shared" si="144"/>
        <v>0</v>
      </c>
      <c r="EO197" s="182">
        <f t="shared" si="144"/>
        <v>0</v>
      </c>
      <c r="EP197" s="182">
        <f t="shared" si="144"/>
        <v>0</v>
      </c>
      <c r="EQ197" s="182">
        <f t="shared" si="144"/>
        <v>0</v>
      </c>
      <c r="ER197" s="182">
        <f t="shared" si="144"/>
        <v>0</v>
      </c>
      <c r="ES197" s="182">
        <f t="shared" si="144"/>
        <v>0</v>
      </c>
      <c r="ET197" s="182">
        <f t="shared" si="144"/>
        <v>0</v>
      </c>
      <c r="EU197" s="182">
        <f t="shared" si="144"/>
        <v>0</v>
      </c>
      <c r="EV197" s="182">
        <f t="shared" si="144"/>
        <v>0</v>
      </c>
      <c r="EW197" s="182">
        <f t="shared" si="144"/>
        <v>0</v>
      </c>
      <c r="EX197" s="182">
        <f t="shared" si="144"/>
        <v>0</v>
      </c>
      <c r="EY197" s="182">
        <f t="shared" si="144"/>
        <v>0</v>
      </c>
      <c r="EZ197" s="182">
        <f t="shared" si="144"/>
        <v>0</v>
      </c>
      <c r="FA197" s="182">
        <f t="shared" si="144"/>
        <v>0</v>
      </c>
      <c r="FB197" s="183">
        <f t="shared" si="144"/>
        <v>0</v>
      </c>
    </row>
    <row r="198" spans="2:158" ht="12.75" customHeight="1" x14ac:dyDescent="0.3">
      <c r="B198" s="180" t="s">
        <v>3841</v>
      </c>
      <c r="C198" s="193">
        <v>0</v>
      </c>
      <c r="D198" s="182">
        <f t="shared" si="20"/>
        <v>0</v>
      </c>
      <c r="E198" s="182">
        <f t="shared" si="26"/>
        <v>0</v>
      </c>
      <c r="F198" s="182">
        <f t="shared" si="32"/>
        <v>0</v>
      </c>
      <c r="G198" s="182">
        <f t="shared" si="38"/>
        <v>0</v>
      </c>
      <c r="H198" s="182">
        <f t="shared" si="44"/>
        <v>0</v>
      </c>
      <c r="I198" s="176">
        <f t="shared" si="50"/>
        <v>0</v>
      </c>
      <c r="J198" s="182">
        <f t="shared" si="56"/>
        <v>0</v>
      </c>
      <c r="K198" s="182">
        <f t="shared" si="62"/>
        <v>0</v>
      </c>
      <c r="L198" s="182">
        <f t="shared" si="68"/>
        <v>0</v>
      </c>
      <c r="M198" s="182">
        <f t="shared" si="74"/>
        <v>0</v>
      </c>
      <c r="N198" s="182">
        <f t="shared" si="80"/>
        <v>4.4854325137967374E-2</v>
      </c>
      <c r="O198" s="182">
        <f t="shared" si="86"/>
        <v>0</v>
      </c>
      <c r="P198" s="182">
        <f t="shared" si="92"/>
        <v>0</v>
      </c>
      <c r="Q198" s="182">
        <f t="shared" si="98"/>
        <v>0</v>
      </c>
      <c r="R198" s="182">
        <f t="shared" si="104"/>
        <v>0</v>
      </c>
      <c r="S198" s="182">
        <f t="shared" si="110"/>
        <v>0</v>
      </c>
      <c r="T198" s="182">
        <f t="shared" si="116"/>
        <v>0</v>
      </c>
      <c r="U198" s="182">
        <f t="shared" si="122"/>
        <v>0</v>
      </c>
      <c r="V198" s="182">
        <f t="shared" si="128"/>
        <v>0</v>
      </c>
      <c r="W198" s="182">
        <f t="shared" si="134"/>
        <v>0</v>
      </c>
      <c r="X198" s="182">
        <f t="shared" si="140"/>
        <v>1.3512453584867286E-11</v>
      </c>
      <c r="Y198" s="182">
        <f t="shared" ref="Y198:Y229" si="145">Y31*Y$168</f>
        <v>0</v>
      </c>
      <c r="Z198" s="181">
        <f>$C198+SUM($D198:Y198,AA198:$FB198)-SUM(Z$176:Z197,Z199:Z$330)-Z$331</f>
        <v>0</v>
      </c>
      <c r="AA198" s="176">
        <f t="shared" ref="AA198:BF198" si="146">AA31*AA$168</f>
        <v>0</v>
      </c>
      <c r="AB198" s="176">
        <f t="shared" si="146"/>
        <v>0</v>
      </c>
      <c r="AC198" s="176">
        <f t="shared" si="146"/>
        <v>0</v>
      </c>
      <c r="AD198" s="176">
        <f t="shared" si="146"/>
        <v>0</v>
      </c>
      <c r="AE198" s="176">
        <f t="shared" si="146"/>
        <v>0</v>
      </c>
      <c r="AF198" s="176">
        <f t="shared" si="146"/>
        <v>0</v>
      </c>
      <c r="AG198" s="176">
        <f t="shared" si="146"/>
        <v>0</v>
      </c>
      <c r="AH198" s="176">
        <f t="shared" si="146"/>
        <v>0</v>
      </c>
      <c r="AI198" s="176">
        <f t="shared" si="146"/>
        <v>0</v>
      </c>
      <c r="AJ198" s="176">
        <f t="shared" si="146"/>
        <v>0</v>
      </c>
      <c r="AK198" s="176">
        <f t="shared" si="146"/>
        <v>0</v>
      </c>
      <c r="AL198" s="176">
        <f t="shared" si="146"/>
        <v>0</v>
      </c>
      <c r="AM198" s="176">
        <f t="shared" si="146"/>
        <v>0</v>
      </c>
      <c r="AN198" s="176">
        <f t="shared" si="146"/>
        <v>0</v>
      </c>
      <c r="AO198" s="176">
        <f t="shared" si="146"/>
        <v>0</v>
      </c>
      <c r="AP198" s="176">
        <f t="shared" si="146"/>
        <v>0</v>
      </c>
      <c r="AQ198" s="176">
        <f t="shared" si="146"/>
        <v>0</v>
      </c>
      <c r="AR198" s="176">
        <f t="shared" si="146"/>
        <v>0</v>
      </c>
      <c r="AS198" s="176">
        <f t="shared" si="146"/>
        <v>0</v>
      </c>
      <c r="AT198" s="176">
        <f t="shared" si="146"/>
        <v>0</v>
      </c>
      <c r="AU198" s="176">
        <f t="shared" si="146"/>
        <v>0</v>
      </c>
      <c r="AV198" s="176">
        <f t="shared" si="146"/>
        <v>0</v>
      </c>
      <c r="AW198" s="176">
        <f t="shared" si="146"/>
        <v>0</v>
      </c>
      <c r="AX198" s="176">
        <f t="shared" si="146"/>
        <v>0</v>
      </c>
      <c r="AY198" s="176">
        <f t="shared" si="146"/>
        <v>0</v>
      </c>
      <c r="AZ198" s="176">
        <f t="shared" si="146"/>
        <v>0</v>
      </c>
      <c r="BA198" s="176">
        <f t="shared" si="146"/>
        <v>0</v>
      </c>
      <c r="BB198" s="176">
        <f t="shared" si="146"/>
        <v>0</v>
      </c>
      <c r="BC198" s="176">
        <f t="shared" si="146"/>
        <v>0</v>
      </c>
      <c r="BD198" s="176">
        <f t="shared" si="146"/>
        <v>0</v>
      </c>
      <c r="BE198" s="176">
        <f t="shared" si="146"/>
        <v>0</v>
      </c>
      <c r="BF198" s="176">
        <f t="shared" si="146"/>
        <v>0</v>
      </c>
      <c r="BG198" s="176">
        <f t="shared" ref="BG198:CL198" si="147">BG31*BG$168</f>
        <v>0</v>
      </c>
      <c r="BH198" s="176">
        <f t="shared" si="147"/>
        <v>0</v>
      </c>
      <c r="BI198" s="176">
        <f t="shared" si="147"/>
        <v>0</v>
      </c>
      <c r="BJ198" s="176">
        <f t="shared" si="147"/>
        <v>0</v>
      </c>
      <c r="BK198" s="176">
        <f t="shared" si="147"/>
        <v>0</v>
      </c>
      <c r="BL198" s="176">
        <f t="shared" si="147"/>
        <v>0</v>
      </c>
      <c r="BM198" s="176">
        <f t="shared" si="147"/>
        <v>0</v>
      </c>
      <c r="BN198" s="176">
        <f t="shared" si="147"/>
        <v>0</v>
      </c>
      <c r="BO198" s="176">
        <f t="shared" si="147"/>
        <v>0</v>
      </c>
      <c r="BP198" s="176">
        <f t="shared" si="147"/>
        <v>0</v>
      </c>
      <c r="BQ198" s="176">
        <f t="shared" si="147"/>
        <v>0</v>
      </c>
      <c r="BR198" s="176">
        <f t="shared" si="147"/>
        <v>0</v>
      </c>
      <c r="BS198" s="176">
        <f t="shared" si="147"/>
        <v>0</v>
      </c>
      <c r="BT198" s="176">
        <f t="shared" si="147"/>
        <v>0</v>
      </c>
      <c r="BU198" s="176">
        <f t="shared" si="147"/>
        <v>0</v>
      </c>
      <c r="BV198" s="176">
        <f t="shared" si="147"/>
        <v>0</v>
      </c>
      <c r="BW198" s="176">
        <f t="shared" si="147"/>
        <v>0</v>
      </c>
      <c r="BX198" s="176">
        <f t="shared" si="147"/>
        <v>0</v>
      </c>
      <c r="BY198" s="176">
        <f t="shared" si="147"/>
        <v>0</v>
      </c>
      <c r="BZ198" s="176">
        <f t="shared" si="147"/>
        <v>0</v>
      </c>
      <c r="CA198" s="176">
        <f t="shared" si="147"/>
        <v>0</v>
      </c>
      <c r="CB198" s="176">
        <f t="shared" si="147"/>
        <v>0</v>
      </c>
      <c r="CC198" s="176">
        <f t="shared" si="147"/>
        <v>0</v>
      </c>
      <c r="CD198" s="176">
        <f t="shared" si="147"/>
        <v>0</v>
      </c>
      <c r="CE198" s="176">
        <f t="shared" si="147"/>
        <v>0</v>
      </c>
      <c r="CF198" s="176">
        <f t="shared" si="147"/>
        <v>0</v>
      </c>
      <c r="CG198" s="176">
        <f t="shared" si="147"/>
        <v>0</v>
      </c>
      <c r="CH198" s="176">
        <f t="shared" si="147"/>
        <v>0</v>
      </c>
      <c r="CI198" s="176">
        <f t="shared" si="147"/>
        <v>0</v>
      </c>
      <c r="CJ198" s="176">
        <f t="shared" si="147"/>
        <v>0</v>
      </c>
      <c r="CK198" s="176">
        <f t="shared" si="147"/>
        <v>0</v>
      </c>
      <c r="CL198" s="176">
        <f t="shared" si="147"/>
        <v>0</v>
      </c>
      <c r="CM198" s="176">
        <f t="shared" ref="CM198:DR198" si="148">CM31*CM$168</f>
        <v>0</v>
      </c>
      <c r="CN198" s="176">
        <f t="shared" si="148"/>
        <v>0</v>
      </c>
      <c r="CO198" s="176">
        <f t="shared" si="148"/>
        <v>0</v>
      </c>
      <c r="CP198" s="176">
        <f t="shared" si="148"/>
        <v>0</v>
      </c>
      <c r="CQ198" s="176">
        <f t="shared" si="148"/>
        <v>0</v>
      </c>
      <c r="CR198" s="176">
        <f t="shared" si="148"/>
        <v>0</v>
      </c>
      <c r="CS198" s="176">
        <f t="shared" si="148"/>
        <v>0</v>
      </c>
      <c r="CT198" s="176">
        <f t="shared" si="148"/>
        <v>0</v>
      </c>
      <c r="CU198" s="176">
        <f t="shared" si="148"/>
        <v>0</v>
      </c>
      <c r="CV198" s="176">
        <f t="shared" si="148"/>
        <v>0</v>
      </c>
      <c r="CW198" s="176">
        <f t="shared" si="148"/>
        <v>0</v>
      </c>
      <c r="CX198" s="176">
        <f t="shared" si="148"/>
        <v>0</v>
      </c>
      <c r="CY198" s="176">
        <f t="shared" si="148"/>
        <v>0</v>
      </c>
      <c r="CZ198" s="176">
        <f t="shared" si="148"/>
        <v>0</v>
      </c>
      <c r="DA198" s="176">
        <f t="shared" si="148"/>
        <v>0</v>
      </c>
      <c r="DB198" s="176">
        <f t="shared" si="148"/>
        <v>0</v>
      </c>
      <c r="DC198" s="176">
        <f t="shared" si="148"/>
        <v>0</v>
      </c>
      <c r="DD198" s="176">
        <f t="shared" si="148"/>
        <v>0</v>
      </c>
      <c r="DE198" s="176">
        <f t="shared" si="148"/>
        <v>0</v>
      </c>
      <c r="DF198" s="176">
        <f t="shared" si="148"/>
        <v>0</v>
      </c>
      <c r="DG198" s="176">
        <f t="shared" si="148"/>
        <v>0</v>
      </c>
      <c r="DH198" s="176">
        <f t="shared" si="148"/>
        <v>0</v>
      </c>
      <c r="DI198" s="176">
        <f t="shared" si="148"/>
        <v>0</v>
      </c>
      <c r="DJ198" s="176">
        <f t="shared" si="148"/>
        <v>0</v>
      </c>
      <c r="DK198" s="176">
        <f t="shared" si="148"/>
        <v>0</v>
      </c>
      <c r="DL198" s="176">
        <f t="shared" si="148"/>
        <v>0</v>
      </c>
      <c r="DM198" s="176">
        <f t="shared" si="148"/>
        <v>0</v>
      </c>
      <c r="DN198" s="176">
        <f t="shared" si="148"/>
        <v>0</v>
      </c>
      <c r="DO198" s="176">
        <f t="shared" si="148"/>
        <v>0</v>
      </c>
      <c r="DP198" s="176">
        <f t="shared" si="148"/>
        <v>0</v>
      </c>
      <c r="DQ198" s="176">
        <f t="shared" si="148"/>
        <v>0</v>
      </c>
      <c r="DR198" s="176">
        <f t="shared" si="148"/>
        <v>0</v>
      </c>
      <c r="DS198" s="176">
        <f t="shared" ref="DS198:FB198" si="149">DS31*DS$168</f>
        <v>0</v>
      </c>
      <c r="DT198" s="176">
        <f t="shared" si="149"/>
        <v>0</v>
      </c>
      <c r="DU198" s="176">
        <f t="shared" si="149"/>
        <v>0</v>
      </c>
      <c r="DV198" s="176">
        <f t="shared" si="149"/>
        <v>0</v>
      </c>
      <c r="DW198" s="176">
        <f t="shared" si="149"/>
        <v>0</v>
      </c>
      <c r="DX198" s="176">
        <f t="shared" si="149"/>
        <v>0</v>
      </c>
      <c r="DY198" s="176">
        <f t="shared" si="149"/>
        <v>0</v>
      </c>
      <c r="DZ198" s="176">
        <f t="shared" si="149"/>
        <v>0</v>
      </c>
      <c r="EA198" s="176">
        <f t="shared" si="149"/>
        <v>0</v>
      </c>
      <c r="EB198" s="176">
        <f t="shared" si="149"/>
        <v>0</v>
      </c>
      <c r="EC198" s="176">
        <f t="shared" si="149"/>
        <v>0</v>
      </c>
      <c r="ED198" s="176">
        <f t="shared" si="149"/>
        <v>0</v>
      </c>
      <c r="EE198" s="176">
        <f t="shared" si="149"/>
        <v>0</v>
      </c>
      <c r="EF198" s="182">
        <f t="shared" si="149"/>
        <v>0</v>
      </c>
      <c r="EG198" s="182">
        <f t="shared" si="149"/>
        <v>0</v>
      </c>
      <c r="EH198" s="182">
        <f t="shared" si="149"/>
        <v>0</v>
      </c>
      <c r="EI198" s="182">
        <f t="shared" si="149"/>
        <v>0</v>
      </c>
      <c r="EJ198" s="182">
        <f t="shared" si="149"/>
        <v>0</v>
      </c>
      <c r="EK198" s="182">
        <f t="shared" si="149"/>
        <v>0</v>
      </c>
      <c r="EL198" s="182">
        <f t="shared" si="149"/>
        <v>0</v>
      </c>
      <c r="EM198" s="182">
        <f t="shared" si="149"/>
        <v>0</v>
      </c>
      <c r="EN198" s="182">
        <f t="shared" si="149"/>
        <v>0</v>
      </c>
      <c r="EO198" s="182">
        <f t="shared" si="149"/>
        <v>0</v>
      </c>
      <c r="EP198" s="182">
        <f t="shared" si="149"/>
        <v>0</v>
      </c>
      <c r="EQ198" s="182">
        <f t="shared" si="149"/>
        <v>0</v>
      </c>
      <c r="ER198" s="182">
        <f t="shared" si="149"/>
        <v>0</v>
      </c>
      <c r="ES198" s="182">
        <f t="shared" si="149"/>
        <v>0</v>
      </c>
      <c r="ET198" s="182">
        <f t="shared" si="149"/>
        <v>0</v>
      </c>
      <c r="EU198" s="182">
        <f t="shared" si="149"/>
        <v>0</v>
      </c>
      <c r="EV198" s="182">
        <f t="shared" si="149"/>
        <v>0</v>
      </c>
      <c r="EW198" s="182">
        <f t="shared" si="149"/>
        <v>0</v>
      </c>
      <c r="EX198" s="182">
        <f t="shared" si="149"/>
        <v>0</v>
      </c>
      <c r="EY198" s="182">
        <f t="shared" si="149"/>
        <v>0</v>
      </c>
      <c r="EZ198" s="182">
        <f t="shared" si="149"/>
        <v>0</v>
      </c>
      <c r="FA198" s="182">
        <f t="shared" si="149"/>
        <v>0</v>
      </c>
      <c r="FB198" s="183">
        <f t="shared" si="149"/>
        <v>0</v>
      </c>
    </row>
    <row r="199" spans="2:158" ht="12.75" customHeight="1" x14ac:dyDescent="0.3">
      <c r="B199" s="180" t="s">
        <v>3842</v>
      </c>
      <c r="C199" s="193">
        <v>0</v>
      </c>
      <c r="D199" s="182">
        <f t="shared" si="20"/>
        <v>0</v>
      </c>
      <c r="E199" s="182">
        <f t="shared" si="26"/>
        <v>0</v>
      </c>
      <c r="F199" s="182">
        <f t="shared" si="32"/>
        <v>0</v>
      </c>
      <c r="G199" s="182">
        <f t="shared" si="38"/>
        <v>0</v>
      </c>
      <c r="H199" s="182">
        <f t="shared" si="44"/>
        <v>0</v>
      </c>
      <c r="I199" s="176">
        <f t="shared" si="50"/>
        <v>0</v>
      </c>
      <c r="J199" s="182">
        <f t="shared" si="56"/>
        <v>0</v>
      </c>
      <c r="K199" s="182">
        <f t="shared" si="62"/>
        <v>0</v>
      </c>
      <c r="L199" s="182">
        <f t="shared" si="68"/>
        <v>0</v>
      </c>
      <c r="M199" s="182">
        <f t="shared" si="74"/>
        <v>0</v>
      </c>
      <c r="N199" s="182">
        <f t="shared" si="80"/>
        <v>0</v>
      </c>
      <c r="O199" s="182">
        <f t="shared" si="86"/>
        <v>0</v>
      </c>
      <c r="P199" s="182">
        <f t="shared" si="92"/>
        <v>0</v>
      </c>
      <c r="Q199" s="182">
        <f t="shared" si="98"/>
        <v>0</v>
      </c>
      <c r="R199" s="182">
        <f t="shared" si="104"/>
        <v>0</v>
      </c>
      <c r="S199" s="182">
        <f t="shared" si="110"/>
        <v>0</v>
      </c>
      <c r="T199" s="182">
        <f t="shared" si="116"/>
        <v>0</v>
      </c>
      <c r="U199" s="182">
        <f t="shared" si="122"/>
        <v>0</v>
      </c>
      <c r="V199" s="182">
        <f t="shared" si="128"/>
        <v>0</v>
      </c>
      <c r="W199" s="182">
        <f t="shared" si="134"/>
        <v>0</v>
      </c>
      <c r="X199" s="182">
        <f t="shared" si="140"/>
        <v>0</v>
      </c>
      <c r="Y199" s="182">
        <f t="shared" si="145"/>
        <v>0</v>
      </c>
      <c r="Z199" s="182">
        <f t="shared" ref="Z199:Z230" si="150">Z32*Z$168</f>
        <v>0</v>
      </c>
      <c r="AA199" s="181">
        <f>$C199+SUM($D199:Z199,AB199:$FB199)-SUM(AA$176:AA198,AA200:AA$330)-AA$331</f>
        <v>0</v>
      </c>
      <c r="AB199" s="176">
        <f t="shared" ref="AB199:BG199" si="151">AB32*AB$168</f>
        <v>0</v>
      </c>
      <c r="AC199" s="176">
        <f t="shared" si="151"/>
        <v>0</v>
      </c>
      <c r="AD199" s="176">
        <f t="shared" si="151"/>
        <v>0</v>
      </c>
      <c r="AE199" s="176">
        <f t="shared" si="151"/>
        <v>0</v>
      </c>
      <c r="AF199" s="176">
        <f t="shared" si="151"/>
        <v>0</v>
      </c>
      <c r="AG199" s="176">
        <f t="shared" si="151"/>
        <v>0</v>
      </c>
      <c r="AH199" s="176">
        <f t="shared" si="151"/>
        <v>0</v>
      </c>
      <c r="AI199" s="176">
        <f t="shared" si="151"/>
        <v>0</v>
      </c>
      <c r="AJ199" s="176">
        <f t="shared" si="151"/>
        <v>0</v>
      </c>
      <c r="AK199" s="176">
        <f t="shared" si="151"/>
        <v>0</v>
      </c>
      <c r="AL199" s="176">
        <f t="shared" si="151"/>
        <v>0</v>
      </c>
      <c r="AM199" s="176">
        <f t="shared" si="151"/>
        <v>0</v>
      </c>
      <c r="AN199" s="176">
        <f t="shared" si="151"/>
        <v>0</v>
      </c>
      <c r="AO199" s="176">
        <f t="shared" si="151"/>
        <v>0</v>
      </c>
      <c r="AP199" s="176">
        <f t="shared" si="151"/>
        <v>0</v>
      </c>
      <c r="AQ199" s="176">
        <f t="shared" si="151"/>
        <v>0</v>
      </c>
      <c r="AR199" s="176">
        <f t="shared" si="151"/>
        <v>0</v>
      </c>
      <c r="AS199" s="176">
        <f t="shared" si="151"/>
        <v>0</v>
      </c>
      <c r="AT199" s="176">
        <f t="shared" si="151"/>
        <v>0</v>
      </c>
      <c r="AU199" s="176">
        <f t="shared" si="151"/>
        <v>0</v>
      </c>
      <c r="AV199" s="176">
        <f t="shared" si="151"/>
        <v>0</v>
      </c>
      <c r="AW199" s="176">
        <f t="shared" si="151"/>
        <v>0</v>
      </c>
      <c r="AX199" s="176">
        <f t="shared" si="151"/>
        <v>0</v>
      </c>
      <c r="AY199" s="176">
        <f t="shared" si="151"/>
        <v>0</v>
      </c>
      <c r="AZ199" s="176">
        <f t="shared" si="151"/>
        <v>0</v>
      </c>
      <c r="BA199" s="176">
        <f t="shared" si="151"/>
        <v>0</v>
      </c>
      <c r="BB199" s="176">
        <f t="shared" si="151"/>
        <v>0</v>
      </c>
      <c r="BC199" s="176">
        <f t="shared" si="151"/>
        <v>0</v>
      </c>
      <c r="BD199" s="176">
        <f t="shared" si="151"/>
        <v>0</v>
      </c>
      <c r="BE199" s="176">
        <f t="shared" si="151"/>
        <v>0</v>
      </c>
      <c r="BF199" s="176">
        <f t="shared" si="151"/>
        <v>0</v>
      </c>
      <c r="BG199" s="176">
        <f t="shared" si="151"/>
        <v>0</v>
      </c>
      <c r="BH199" s="176">
        <f t="shared" ref="BH199:CM199" si="152">BH32*BH$168</f>
        <v>0</v>
      </c>
      <c r="BI199" s="176">
        <f t="shared" si="152"/>
        <v>0</v>
      </c>
      <c r="BJ199" s="176">
        <f t="shared" si="152"/>
        <v>0</v>
      </c>
      <c r="BK199" s="176">
        <f t="shared" si="152"/>
        <v>0</v>
      </c>
      <c r="BL199" s="176">
        <f t="shared" si="152"/>
        <v>0</v>
      </c>
      <c r="BM199" s="176">
        <f t="shared" si="152"/>
        <v>0</v>
      </c>
      <c r="BN199" s="176">
        <f t="shared" si="152"/>
        <v>0</v>
      </c>
      <c r="BO199" s="176">
        <f t="shared" si="152"/>
        <v>0</v>
      </c>
      <c r="BP199" s="176">
        <f t="shared" si="152"/>
        <v>0</v>
      </c>
      <c r="BQ199" s="176">
        <f t="shared" si="152"/>
        <v>0</v>
      </c>
      <c r="BR199" s="176">
        <f t="shared" si="152"/>
        <v>0</v>
      </c>
      <c r="BS199" s="176">
        <f t="shared" si="152"/>
        <v>0</v>
      </c>
      <c r="BT199" s="176">
        <f t="shared" si="152"/>
        <v>0</v>
      </c>
      <c r="BU199" s="176">
        <f t="shared" si="152"/>
        <v>0</v>
      </c>
      <c r="BV199" s="176">
        <f t="shared" si="152"/>
        <v>0</v>
      </c>
      <c r="BW199" s="176">
        <f t="shared" si="152"/>
        <v>0</v>
      </c>
      <c r="BX199" s="176">
        <f t="shared" si="152"/>
        <v>0</v>
      </c>
      <c r="BY199" s="176">
        <f t="shared" si="152"/>
        <v>0</v>
      </c>
      <c r="BZ199" s="176">
        <f t="shared" si="152"/>
        <v>0</v>
      </c>
      <c r="CA199" s="176">
        <f t="shared" si="152"/>
        <v>0</v>
      </c>
      <c r="CB199" s="176">
        <f t="shared" si="152"/>
        <v>0</v>
      </c>
      <c r="CC199" s="176">
        <f t="shared" si="152"/>
        <v>0</v>
      </c>
      <c r="CD199" s="176">
        <f t="shared" si="152"/>
        <v>0</v>
      </c>
      <c r="CE199" s="176">
        <f t="shared" si="152"/>
        <v>0</v>
      </c>
      <c r="CF199" s="176">
        <f t="shared" si="152"/>
        <v>0</v>
      </c>
      <c r="CG199" s="176">
        <f t="shared" si="152"/>
        <v>0</v>
      </c>
      <c r="CH199" s="176">
        <f t="shared" si="152"/>
        <v>0</v>
      </c>
      <c r="CI199" s="176">
        <f t="shared" si="152"/>
        <v>0</v>
      </c>
      <c r="CJ199" s="176">
        <f t="shared" si="152"/>
        <v>0</v>
      </c>
      <c r="CK199" s="176">
        <f t="shared" si="152"/>
        <v>0</v>
      </c>
      <c r="CL199" s="176">
        <f t="shared" si="152"/>
        <v>0</v>
      </c>
      <c r="CM199" s="176">
        <f t="shared" si="152"/>
        <v>0</v>
      </c>
      <c r="CN199" s="176">
        <f t="shared" ref="CN199:DS199" si="153">CN32*CN$168</f>
        <v>0</v>
      </c>
      <c r="CO199" s="176">
        <f t="shared" si="153"/>
        <v>0</v>
      </c>
      <c r="CP199" s="176">
        <f t="shared" si="153"/>
        <v>0</v>
      </c>
      <c r="CQ199" s="176">
        <f t="shared" si="153"/>
        <v>0</v>
      </c>
      <c r="CR199" s="176">
        <f t="shared" si="153"/>
        <v>0</v>
      </c>
      <c r="CS199" s="176">
        <f t="shared" si="153"/>
        <v>0</v>
      </c>
      <c r="CT199" s="176">
        <f t="shared" si="153"/>
        <v>0</v>
      </c>
      <c r="CU199" s="176">
        <f t="shared" si="153"/>
        <v>0</v>
      </c>
      <c r="CV199" s="176">
        <f t="shared" si="153"/>
        <v>0</v>
      </c>
      <c r="CW199" s="176">
        <f t="shared" si="153"/>
        <v>0</v>
      </c>
      <c r="CX199" s="176">
        <f t="shared" si="153"/>
        <v>0</v>
      </c>
      <c r="CY199" s="176">
        <f t="shared" si="153"/>
        <v>0</v>
      </c>
      <c r="CZ199" s="176">
        <f t="shared" si="153"/>
        <v>0</v>
      </c>
      <c r="DA199" s="176">
        <f t="shared" si="153"/>
        <v>0</v>
      </c>
      <c r="DB199" s="176">
        <f t="shared" si="153"/>
        <v>0</v>
      </c>
      <c r="DC199" s="176">
        <f t="shared" si="153"/>
        <v>0</v>
      </c>
      <c r="DD199" s="176">
        <f t="shared" si="153"/>
        <v>0</v>
      </c>
      <c r="DE199" s="176">
        <f t="shared" si="153"/>
        <v>0</v>
      </c>
      <c r="DF199" s="176">
        <f t="shared" si="153"/>
        <v>0</v>
      </c>
      <c r="DG199" s="176">
        <f t="shared" si="153"/>
        <v>0</v>
      </c>
      <c r="DH199" s="176">
        <f t="shared" si="153"/>
        <v>0</v>
      </c>
      <c r="DI199" s="176">
        <f t="shared" si="153"/>
        <v>0</v>
      </c>
      <c r="DJ199" s="176">
        <f t="shared" si="153"/>
        <v>0</v>
      </c>
      <c r="DK199" s="176">
        <f t="shared" si="153"/>
        <v>0</v>
      </c>
      <c r="DL199" s="176">
        <f t="shared" si="153"/>
        <v>0</v>
      </c>
      <c r="DM199" s="176">
        <f t="shared" si="153"/>
        <v>0</v>
      </c>
      <c r="DN199" s="176">
        <f t="shared" si="153"/>
        <v>0</v>
      </c>
      <c r="DO199" s="176">
        <f t="shared" si="153"/>
        <v>0</v>
      </c>
      <c r="DP199" s="176">
        <f t="shared" si="153"/>
        <v>0</v>
      </c>
      <c r="DQ199" s="176">
        <f t="shared" si="153"/>
        <v>0</v>
      </c>
      <c r="DR199" s="176">
        <f t="shared" si="153"/>
        <v>0</v>
      </c>
      <c r="DS199" s="176">
        <f t="shared" si="153"/>
        <v>0</v>
      </c>
      <c r="DT199" s="176">
        <f t="shared" ref="DT199:FB199" si="154">DT32*DT$168</f>
        <v>0</v>
      </c>
      <c r="DU199" s="176">
        <f t="shared" si="154"/>
        <v>0</v>
      </c>
      <c r="DV199" s="176">
        <f t="shared" si="154"/>
        <v>0</v>
      </c>
      <c r="DW199" s="176">
        <f t="shared" si="154"/>
        <v>0</v>
      </c>
      <c r="DX199" s="176">
        <f t="shared" si="154"/>
        <v>0</v>
      </c>
      <c r="DY199" s="176">
        <f t="shared" si="154"/>
        <v>0</v>
      </c>
      <c r="DZ199" s="176">
        <f t="shared" si="154"/>
        <v>0</v>
      </c>
      <c r="EA199" s="176">
        <f t="shared" si="154"/>
        <v>0</v>
      </c>
      <c r="EB199" s="176">
        <f t="shared" si="154"/>
        <v>0</v>
      </c>
      <c r="EC199" s="176">
        <f t="shared" si="154"/>
        <v>0</v>
      </c>
      <c r="ED199" s="176">
        <f t="shared" si="154"/>
        <v>0</v>
      </c>
      <c r="EE199" s="176">
        <f t="shared" si="154"/>
        <v>0</v>
      </c>
      <c r="EF199" s="182">
        <f t="shared" si="154"/>
        <v>0</v>
      </c>
      <c r="EG199" s="182">
        <f t="shared" si="154"/>
        <v>0</v>
      </c>
      <c r="EH199" s="182">
        <f t="shared" si="154"/>
        <v>0</v>
      </c>
      <c r="EI199" s="182">
        <f t="shared" si="154"/>
        <v>0</v>
      </c>
      <c r="EJ199" s="182">
        <f t="shared" si="154"/>
        <v>0</v>
      </c>
      <c r="EK199" s="182">
        <f t="shared" si="154"/>
        <v>0</v>
      </c>
      <c r="EL199" s="182">
        <f t="shared" si="154"/>
        <v>0</v>
      </c>
      <c r="EM199" s="182">
        <f t="shared" si="154"/>
        <v>0</v>
      </c>
      <c r="EN199" s="182">
        <f t="shared" si="154"/>
        <v>0</v>
      </c>
      <c r="EO199" s="182">
        <f t="shared" si="154"/>
        <v>0</v>
      </c>
      <c r="EP199" s="182">
        <f t="shared" si="154"/>
        <v>0</v>
      </c>
      <c r="EQ199" s="182">
        <f t="shared" si="154"/>
        <v>0</v>
      </c>
      <c r="ER199" s="182">
        <f t="shared" si="154"/>
        <v>0</v>
      </c>
      <c r="ES199" s="182">
        <f t="shared" si="154"/>
        <v>0</v>
      </c>
      <c r="ET199" s="182">
        <f t="shared" si="154"/>
        <v>0</v>
      </c>
      <c r="EU199" s="182">
        <f t="shared" si="154"/>
        <v>0</v>
      </c>
      <c r="EV199" s="182">
        <f t="shared" si="154"/>
        <v>0</v>
      </c>
      <c r="EW199" s="182">
        <f t="shared" si="154"/>
        <v>0</v>
      </c>
      <c r="EX199" s="182">
        <f t="shared" si="154"/>
        <v>0</v>
      </c>
      <c r="EY199" s="182">
        <f t="shared" si="154"/>
        <v>0</v>
      </c>
      <c r="EZ199" s="182">
        <f t="shared" si="154"/>
        <v>0</v>
      </c>
      <c r="FA199" s="182">
        <f t="shared" si="154"/>
        <v>0</v>
      </c>
      <c r="FB199" s="183">
        <f t="shared" si="154"/>
        <v>0</v>
      </c>
    </row>
    <row r="200" spans="2:158" ht="12.75" customHeight="1" x14ac:dyDescent="0.3">
      <c r="B200" s="180" t="s">
        <v>3843</v>
      </c>
      <c r="C200" s="193">
        <v>0</v>
      </c>
      <c r="D200" s="182">
        <f t="shared" si="20"/>
        <v>0</v>
      </c>
      <c r="E200" s="182">
        <f t="shared" si="26"/>
        <v>0</v>
      </c>
      <c r="F200" s="182">
        <f t="shared" si="32"/>
        <v>0</v>
      </c>
      <c r="G200" s="182">
        <f t="shared" si="38"/>
        <v>0</v>
      </c>
      <c r="H200" s="182">
        <f t="shared" si="44"/>
        <v>0</v>
      </c>
      <c r="I200" s="176">
        <f t="shared" si="50"/>
        <v>0</v>
      </c>
      <c r="J200" s="182">
        <f t="shared" si="56"/>
        <v>0</v>
      </c>
      <c r="K200" s="182">
        <f t="shared" si="62"/>
        <v>0</v>
      </c>
      <c r="L200" s="182">
        <f t="shared" si="68"/>
        <v>0</v>
      </c>
      <c r="M200" s="182">
        <f t="shared" si="74"/>
        <v>0</v>
      </c>
      <c r="N200" s="182">
        <f t="shared" si="80"/>
        <v>0</v>
      </c>
      <c r="O200" s="182">
        <f t="shared" si="86"/>
        <v>0</v>
      </c>
      <c r="P200" s="182">
        <f t="shared" si="92"/>
        <v>2.6998926672392791E-6</v>
      </c>
      <c r="Q200" s="182">
        <f t="shared" si="98"/>
        <v>0</v>
      </c>
      <c r="R200" s="182">
        <f t="shared" si="104"/>
        <v>0</v>
      </c>
      <c r="S200" s="182">
        <f t="shared" si="110"/>
        <v>0</v>
      </c>
      <c r="T200" s="182">
        <f t="shared" si="116"/>
        <v>0</v>
      </c>
      <c r="U200" s="182">
        <f t="shared" si="122"/>
        <v>0</v>
      </c>
      <c r="V200" s="182">
        <f t="shared" si="128"/>
        <v>0</v>
      </c>
      <c r="W200" s="182">
        <f t="shared" si="134"/>
        <v>0</v>
      </c>
      <c r="X200" s="182">
        <f t="shared" si="140"/>
        <v>0</v>
      </c>
      <c r="Y200" s="182">
        <f t="shared" si="145"/>
        <v>0</v>
      </c>
      <c r="Z200" s="182">
        <f t="shared" si="150"/>
        <v>0</v>
      </c>
      <c r="AA200" s="182">
        <f t="shared" ref="AA200:AA231" si="155">AA33*AA$168</f>
        <v>0</v>
      </c>
      <c r="AB200" s="181">
        <f>$C200+SUM($D200:AA200,AC200:$FB200)-SUM(AB$176:AB199,AB201:AB$330)-AB$331</f>
        <v>-4.1388111196061451E-23</v>
      </c>
      <c r="AC200" s="176">
        <f t="shared" ref="AC200:BH200" si="156">AC33*AC$168</f>
        <v>0</v>
      </c>
      <c r="AD200" s="176">
        <f t="shared" si="156"/>
        <v>0</v>
      </c>
      <c r="AE200" s="176">
        <f t="shared" si="156"/>
        <v>0</v>
      </c>
      <c r="AF200" s="176">
        <f t="shared" si="156"/>
        <v>0</v>
      </c>
      <c r="AG200" s="176">
        <f t="shared" si="156"/>
        <v>0</v>
      </c>
      <c r="AH200" s="176">
        <f t="shared" si="156"/>
        <v>0</v>
      </c>
      <c r="AI200" s="176">
        <f t="shared" si="156"/>
        <v>0</v>
      </c>
      <c r="AJ200" s="176">
        <f t="shared" si="156"/>
        <v>0</v>
      </c>
      <c r="AK200" s="176">
        <f t="shared" si="156"/>
        <v>0</v>
      </c>
      <c r="AL200" s="176">
        <f t="shared" si="156"/>
        <v>0</v>
      </c>
      <c r="AM200" s="176">
        <f t="shared" si="156"/>
        <v>0</v>
      </c>
      <c r="AN200" s="176">
        <f t="shared" si="156"/>
        <v>0</v>
      </c>
      <c r="AO200" s="176">
        <f t="shared" si="156"/>
        <v>0</v>
      </c>
      <c r="AP200" s="176">
        <f t="shared" si="156"/>
        <v>0</v>
      </c>
      <c r="AQ200" s="176">
        <f t="shared" si="156"/>
        <v>0</v>
      </c>
      <c r="AR200" s="176">
        <f t="shared" si="156"/>
        <v>0</v>
      </c>
      <c r="AS200" s="176">
        <f t="shared" si="156"/>
        <v>0</v>
      </c>
      <c r="AT200" s="176">
        <f t="shared" si="156"/>
        <v>0</v>
      </c>
      <c r="AU200" s="176">
        <f t="shared" si="156"/>
        <v>0</v>
      </c>
      <c r="AV200" s="176">
        <f t="shared" si="156"/>
        <v>0</v>
      </c>
      <c r="AW200" s="176">
        <f t="shared" si="156"/>
        <v>0</v>
      </c>
      <c r="AX200" s="176">
        <f t="shared" si="156"/>
        <v>0</v>
      </c>
      <c r="AY200" s="176">
        <f t="shared" si="156"/>
        <v>0</v>
      </c>
      <c r="AZ200" s="176">
        <f t="shared" si="156"/>
        <v>0</v>
      </c>
      <c r="BA200" s="176">
        <f t="shared" si="156"/>
        <v>0</v>
      </c>
      <c r="BB200" s="176">
        <f t="shared" si="156"/>
        <v>0</v>
      </c>
      <c r="BC200" s="176">
        <f t="shared" si="156"/>
        <v>0</v>
      </c>
      <c r="BD200" s="176">
        <f t="shared" si="156"/>
        <v>0</v>
      </c>
      <c r="BE200" s="176">
        <f t="shared" si="156"/>
        <v>0</v>
      </c>
      <c r="BF200" s="176">
        <f t="shared" si="156"/>
        <v>0</v>
      </c>
      <c r="BG200" s="176">
        <f t="shared" si="156"/>
        <v>0</v>
      </c>
      <c r="BH200" s="176">
        <f t="shared" si="156"/>
        <v>0</v>
      </c>
      <c r="BI200" s="176">
        <f t="shared" ref="BI200:CN200" si="157">BI33*BI$168</f>
        <v>0</v>
      </c>
      <c r="BJ200" s="176">
        <f t="shared" si="157"/>
        <v>0</v>
      </c>
      <c r="BK200" s="176">
        <f t="shared" si="157"/>
        <v>0</v>
      </c>
      <c r="BL200" s="176">
        <f t="shared" si="157"/>
        <v>0</v>
      </c>
      <c r="BM200" s="176">
        <f t="shared" si="157"/>
        <v>0</v>
      </c>
      <c r="BN200" s="176">
        <f t="shared" si="157"/>
        <v>0</v>
      </c>
      <c r="BO200" s="176">
        <f t="shared" si="157"/>
        <v>0</v>
      </c>
      <c r="BP200" s="176">
        <f t="shared" si="157"/>
        <v>0</v>
      </c>
      <c r="BQ200" s="176">
        <f t="shared" si="157"/>
        <v>0</v>
      </c>
      <c r="BR200" s="176">
        <f t="shared" si="157"/>
        <v>0</v>
      </c>
      <c r="BS200" s="176">
        <f t="shared" si="157"/>
        <v>0</v>
      </c>
      <c r="BT200" s="176">
        <f t="shared" si="157"/>
        <v>0</v>
      </c>
      <c r="BU200" s="176">
        <f t="shared" si="157"/>
        <v>0</v>
      </c>
      <c r="BV200" s="176">
        <f t="shared" si="157"/>
        <v>0</v>
      </c>
      <c r="BW200" s="176">
        <f t="shared" si="157"/>
        <v>0</v>
      </c>
      <c r="BX200" s="176">
        <f t="shared" si="157"/>
        <v>0</v>
      </c>
      <c r="BY200" s="176">
        <f t="shared" si="157"/>
        <v>0</v>
      </c>
      <c r="BZ200" s="176">
        <f t="shared" si="157"/>
        <v>0</v>
      </c>
      <c r="CA200" s="176">
        <f t="shared" si="157"/>
        <v>0</v>
      </c>
      <c r="CB200" s="176">
        <f t="shared" si="157"/>
        <v>0</v>
      </c>
      <c r="CC200" s="176">
        <f t="shared" si="157"/>
        <v>0</v>
      </c>
      <c r="CD200" s="176">
        <f t="shared" si="157"/>
        <v>0</v>
      </c>
      <c r="CE200" s="176">
        <f t="shared" si="157"/>
        <v>0</v>
      </c>
      <c r="CF200" s="176">
        <f t="shared" si="157"/>
        <v>0</v>
      </c>
      <c r="CG200" s="176">
        <f t="shared" si="157"/>
        <v>0</v>
      </c>
      <c r="CH200" s="176">
        <f t="shared" si="157"/>
        <v>0</v>
      </c>
      <c r="CI200" s="176">
        <f t="shared" si="157"/>
        <v>0</v>
      </c>
      <c r="CJ200" s="176">
        <f t="shared" si="157"/>
        <v>0</v>
      </c>
      <c r="CK200" s="176">
        <f t="shared" si="157"/>
        <v>0</v>
      </c>
      <c r="CL200" s="176">
        <f t="shared" si="157"/>
        <v>0</v>
      </c>
      <c r="CM200" s="176">
        <f t="shared" si="157"/>
        <v>0</v>
      </c>
      <c r="CN200" s="176">
        <f t="shared" si="157"/>
        <v>0</v>
      </c>
      <c r="CO200" s="176">
        <f t="shared" ref="CO200:DT200" si="158">CO33*CO$168</f>
        <v>0</v>
      </c>
      <c r="CP200" s="176">
        <f t="shared" si="158"/>
        <v>0</v>
      </c>
      <c r="CQ200" s="176">
        <f t="shared" si="158"/>
        <v>0</v>
      </c>
      <c r="CR200" s="176">
        <f t="shared" si="158"/>
        <v>0</v>
      </c>
      <c r="CS200" s="176">
        <f t="shared" si="158"/>
        <v>0</v>
      </c>
      <c r="CT200" s="176">
        <f t="shared" si="158"/>
        <v>0</v>
      </c>
      <c r="CU200" s="176">
        <f t="shared" si="158"/>
        <v>0</v>
      </c>
      <c r="CV200" s="176">
        <f t="shared" si="158"/>
        <v>0</v>
      </c>
      <c r="CW200" s="176">
        <f t="shared" si="158"/>
        <v>0</v>
      </c>
      <c r="CX200" s="176">
        <f t="shared" si="158"/>
        <v>0</v>
      </c>
      <c r="CY200" s="176">
        <f t="shared" si="158"/>
        <v>0</v>
      </c>
      <c r="CZ200" s="176">
        <f t="shared" si="158"/>
        <v>0</v>
      </c>
      <c r="DA200" s="176">
        <f t="shared" si="158"/>
        <v>0</v>
      </c>
      <c r="DB200" s="176">
        <f t="shared" si="158"/>
        <v>0</v>
      </c>
      <c r="DC200" s="176">
        <f t="shared" si="158"/>
        <v>0</v>
      </c>
      <c r="DD200" s="176">
        <f t="shared" si="158"/>
        <v>0</v>
      </c>
      <c r="DE200" s="176">
        <f t="shared" si="158"/>
        <v>0</v>
      </c>
      <c r="DF200" s="176">
        <f t="shared" si="158"/>
        <v>0</v>
      </c>
      <c r="DG200" s="176">
        <f t="shared" si="158"/>
        <v>0</v>
      </c>
      <c r="DH200" s="176">
        <f t="shared" si="158"/>
        <v>0</v>
      </c>
      <c r="DI200" s="176">
        <f t="shared" si="158"/>
        <v>0</v>
      </c>
      <c r="DJ200" s="176">
        <f t="shared" si="158"/>
        <v>0</v>
      </c>
      <c r="DK200" s="176">
        <f t="shared" si="158"/>
        <v>0</v>
      </c>
      <c r="DL200" s="176">
        <f t="shared" si="158"/>
        <v>0</v>
      </c>
      <c r="DM200" s="176">
        <f t="shared" si="158"/>
        <v>0</v>
      </c>
      <c r="DN200" s="176">
        <f t="shared" si="158"/>
        <v>0</v>
      </c>
      <c r="DO200" s="176">
        <f t="shared" si="158"/>
        <v>0</v>
      </c>
      <c r="DP200" s="176">
        <f t="shared" si="158"/>
        <v>0</v>
      </c>
      <c r="DQ200" s="176">
        <f t="shared" si="158"/>
        <v>0</v>
      </c>
      <c r="DR200" s="176">
        <f t="shared" si="158"/>
        <v>0</v>
      </c>
      <c r="DS200" s="176">
        <f t="shared" si="158"/>
        <v>0</v>
      </c>
      <c r="DT200" s="176">
        <f t="shared" si="158"/>
        <v>0</v>
      </c>
      <c r="DU200" s="176">
        <f t="shared" ref="DU200:FB200" si="159">DU33*DU$168</f>
        <v>0</v>
      </c>
      <c r="DV200" s="176">
        <f t="shared" si="159"/>
        <v>0</v>
      </c>
      <c r="DW200" s="176">
        <f t="shared" si="159"/>
        <v>0</v>
      </c>
      <c r="DX200" s="176">
        <f t="shared" si="159"/>
        <v>0</v>
      </c>
      <c r="DY200" s="176">
        <f t="shared" si="159"/>
        <v>0</v>
      </c>
      <c r="DZ200" s="176">
        <f t="shared" si="159"/>
        <v>0</v>
      </c>
      <c r="EA200" s="176">
        <f t="shared" si="159"/>
        <v>0</v>
      </c>
      <c r="EB200" s="176">
        <f t="shared" si="159"/>
        <v>0</v>
      </c>
      <c r="EC200" s="176">
        <f t="shared" si="159"/>
        <v>0</v>
      </c>
      <c r="ED200" s="176">
        <f t="shared" si="159"/>
        <v>0</v>
      </c>
      <c r="EE200" s="176">
        <f t="shared" si="159"/>
        <v>0</v>
      </c>
      <c r="EF200" s="182">
        <f t="shared" si="159"/>
        <v>0</v>
      </c>
      <c r="EG200" s="182">
        <f t="shared" si="159"/>
        <v>0</v>
      </c>
      <c r="EH200" s="182">
        <f t="shared" si="159"/>
        <v>0</v>
      </c>
      <c r="EI200" s="182">
        <f t="shared" si="159"/>
        <v>0</v>
      </c>
      <c r="EJ200" s="182">
        <f t="shared" si="159"/>
        <v>0</v>
      </c>
      <c r="EK200" s="182">
        <f t="shared" si="159"/>
        <v>0</v>
      </c>
      <c r="EL200" s="182">
        <f t="shared" si="159"/>
        <v>0</v>
      </c>
      <c r="EM200" s="182">
        <f t="shared" si="159"/>
        <v>0</v>
      </c>
      <c r="EN200" s="182">
        <f t="shared" si="159"/>
        <v>0</v>
      </c>
      <c r="EO200" s="182">
        <f t="shared" si="159"/>
        <v>0</v>
      </c>
      <c r="EP200" s="182">
        <f t="shared" si="159"/>
        <v>0</v>
      </c>
      <c r="EQ200" s="182">
        <f t="shared" si="159"/>
        <v>0</v>
      </c>
      <c r="ER200" s="182">
        <f t="shared" si="159"/>
        <v>0</v>
      </c>
      <c r="ES200" s="182">
        <f t="shared" si="159"/>
        <v>0</v>
      </c>
      <c r="ET200" s="182">
        <f t="shared" si="159"/>
        <v>0</v>
      </c>
      <c r="EU200" s="182">
        <f t="shared" si="159"/>
        <v>0</v>
      </c>
      <c r="EV200" s="182">
        <f t="shared" si="159"/>
        <v>0</v>
      </c>
      <c r="EW200" s="182">
        <f t="shared" si="159"/>
        <v>0</v>
      </c>
      <c r="EX200" s="182">
        <f t="shared" si="159"/>
        <v>0</v>
      </c>
      <c r="EY200" s="182">
        <f t="shared" si="159"/>
        <v>0</v>
      </c>
      <c r="EZ200" s="182">
        <f t="shared" si="159"/>
        <v>0</v>
      </c>
      <c r="FA200" s="182">
        <f t="shared" si="159"/>
        <v>0</v>
      </c>
      <c r="FB200" s="183">
        <f t="shared" si="159"/>
        <v>0</v>
      </c>
    </row>
    <row r="201" spans="2:158" ht="12.75" customHeight="1" x14ac:dyDescent="0.3">
      <c r="B201" s="180" t="s">
        <v>3844</v>
      </c>
      <c r="C201" s="193">
        <v>0</v>
      </c>
      <c r="D201" s="182">
        <f t="shared" si="20"/>
        <v>0</v>
      </c>
      <c r="E201" s="182">
        <f t="shared" si="26"/>
        <v>0</v>
      </c>
      <c r="F201" s="182">
        <f t="shared" si="32"/>
        <v>0</v>
      </c>
      <c r="G201" s="182">
        <f t="shared" si="38"/>
        <v>0</v>
      </c>
      <c r="H201" s="182">
        <f t="shared" si="44"/>
        <v>0</v>
      </c>
      <c r="I201" s="176">
        <f t="shared" si="50"/>
        <v>0</v>
      </c>
      <c r="J201" s="182">
        <f t="shared" si="56"/>
        <v>0</v>
      </c>
      <c r="K201" s="182">
        <f t="shared" si="62"/>
        <v>0</v>
      </c>
      <c r="L201" s="182">
        <f t="shared" si="68"/>
        <v>0</v>
      </c>
      <c r="M201" s="182">
        <f t="shared" si="74"/>
        <v>0</v>
      </c>
      <c r="N201" s="182">
        <f t="shared" si="80"/>
        <v>0</v>
      </c>
      <c r="O201" s="182">
        <f t="shared" si="86"/>
        <v>0</v>
      </c>
      <c r="P201" s="182">
        <f t="shared" si="92"/>
        <v>0</v>
      </c>
      <c r="Q201" s="182">
        <f t="shared" si="98"/>
        <v>0.8000400215033413</v>
      </c>
      <c r="R201" s="182">
        <f t="shared" si="104"/>
        <v>0</v>
      </c>
      <c r="S201" s="182">
        <f t="shared" si="110"/>
        <v>0</v>
      </c>
      <c r="T201" s="182">
        <f t="shared" si="116"/>
        <v>0</v>
      </c>
      <c r="U201" s="182">
        <f t="shared" si="122"/>
        <v>0</v>
      </c>
      <c r="V201" s="182">
        <f t="shared" si="128"/>
        <v>0</v>
      </c>
      <c r="W201" s="182">
        <f t="shared" si="134"/>
        <v>0</v>
      </c>
      <c r="X201" s="182">
        <f t="shared" si="140"/>
        <v>0</v>
      </c>
      <c r="Y201" s="182">
        <f t="shared" si="145"/>
        <v>0</v>
      </c>
      <c r="Z201" s="182">
        <f t="shared" si="150"/>
        <v>0</v>
      </c>
      <c r="AA201" s="182">
        <f t="shared" si="155"/>
        <v>0</v>
      </c>
      <c r="AB201" s="182">
        <f t="shared" ref="AB201:AB232" si="160">AB34*AB$168</f>
        <v>1.576693778883305E-6</v>
      </c>
      <c r="AC201" s="181">
        <f>$C201+SUM($D201:AB201,AD201:$FB201)-SUM(AC$176:AC200,AC202:AC$330)-AC$331</f>
        <v>0</v>
      </c>
      <c r="AD201" s="176">
        <f t="shared" ref="AD201:BI201" si="161">AD34*AD$168</f>
        <v>0</v>
      </c>
      <c r="AE201" s="176">
        <f t="shared" si="161"/>
        <v>0</v>
      </c>
      <c r="AF201" s="176">
        <f t="shared" si="161"/>
        <v>0</v>
      </c>
      <c r="AG201" s="176">
        <f t="shared" si="161"/>
        <v>0</v>
      </c>
      <c r="AH201" s="176">
        <f t="shared" si="161"/>
        <v>0</v>
      </c>
      <c r="AI201" s="176">
        <f t="shared" si="161"/>
        <v>0</v>
      </c>
      <c r="AJ201" s="176">
        <f t="shared" si="161"/>
        <v>0</v>
      </c>
      <c r="AK201" s="176">
        <f t="shared" si="161"/>
        <v>0</v>
      </c>
      <c r="AL201" s="176">
        <f t="shared" si="161"/>
        <v>0</v>
      </c>
      <c r="AM201" s="176">
        <f t="shared" si="161"/>
        <v>0</v>
      </c>
      <c r="AN201" s="176">
        <f t="shared" si="161"/>
        <v>0</v>
      </c>
      <c r="AO201" s="176">
        <f t="shared" si="161"/>
        <v>0</v>
      </c>
      <c r="AP201" s="176">
        <f t="shared" si="161"/>
        <v>0</v>
      </c>
      <c r="AQ201" s="176">
        <f t="shared" si="161"/>
        <v>0</v>
      </c>
      <c r="AR201" s="176">
        <f t="shared" si="161"/>
        <v>0</v>
      </c>
      <c r="AS201" s="176">
        <f t="shared" si="161"/>
        <v>0</v>
      </c>
      <c r="AT201" s="176">
        <f t="shared" si="161"/>
        <v>0</v>
      </c>
      <c r="AU201" s="176">
        <f t="shared" si="161"/>
        <v>0</v>
      </c>
      <c r="AV201" s="176">
        <f t="shared" si="161"/>
        <v>0</v>
      </c>
      <c r="AW201" s="176">
        <f t="shared" si="161"/>
        <v>0</v>
      </c>
      <c r="AX201" s="176">
        <f t="shared" si="161"/>
        <v>0</v>
      </c>
      <c r="AY201" s="176">
        <f t="shared" si="161"/>
        <v>0</v>
      </c>
      <c r="AZ201" s="176">
        <f t="shared" si="161"/>
        <v>0</v>
      </c>
      <c r="BA201" s="176">
        <f t="shared" si="161"/>
        <v>0</v>
      </c>
      <c r="BB201" s="176">
        <f t="shared" si="161"/>
        <v>0</v>
      </c>
      <c r="BC201" s="176">
        <f t="shared" si="161"/>
        <v>0</v>
      </c>
      <c r="BD201" s="176">
        <f t="shared" si="161"/>
        <v>0</v>
      </c>
      <c r="BE201" s="176">
        <f t="shared" si="161"/>
        <v>0</v>
      </c>
      <c r="BF201" s="176">
        <f t="shared" si="161"/>
        <v>0</v>
      </c>
      <c r="BG201" s="176">
        <f t="shared" si="161"/>
        <v>0</v>
      </c>
      <c r="BH201" s="176">
        <f t="shared" si="161"/>
        <v>0</v>
      </c>
      <c r="BI201" s="176">
        <f t="shared" si="161"/>
        <v>0</v>
      </c>
      <c r="BJ201" s="176">
        <f t="shared" ref="BJ201:CO201" si="162">BJ34*BJ$168</f>
        <v>0</v>
      </c>
      <c r="BK201" s="176">
        <f t="shared" si="162"/>
        <v>0</v>
      </c>
      <c r="BL201" s="176">
        <f t="shared" si="162"/>
        <v>0</v>
      </c>
      <c r="BM201" s="176">
        <f t="shared" si="162"/>
        <v>0</v>
      </c>
      <c r="BN201" s="176">
        <f t="shared" si="162"/>
        <v>0</v>
      </c>
      <c r="BO201" s="176">
        <f t="shared" si="162"/>
        <v>0</v>
      </c>
      <c r="BP201" s="176">
        <f t="shared" si="162"/>
        <v>0</v>
      </c>
      <c r="BQ201" s="176">
        <f t="shared" si="162"/>
        <v>0</v>
      </c>
      <c r="BR201" s="176">
        <f t="shared" si="162"/>
        <v>0</v>
      </c>
      <c r="BS201" s="176">
        <f t="shared" si="162"/>
        <v>0</v>
      </c>
      <c r="BT201" s="176">
        <f t="shared" si="162"/>
        <v>0</v>
      </c>
      <c r="BU201" s="176">
        <f t="shared" si="162"/>
        <v>0</v>
      </c>
      <c r="BV201" s="176">
        <f t="shared" si="162"/>
        <v>0</v>
      </c>
      <c r="BW201" s="176">
        <f t="shared" si="162"/>
        <v>0</v>
      </c>
      <c r="BX201" s="176">
        <f t="shared" si="162"/>
        <v>0</v>
      </c>
      <c r="BY201" s="176">
        <f t="shared" si="162"/>
        <v>0</v>
      </c>
      <c r="BZ201" s="176">
        <f t="shared" si="162"/>
        <v>0</v>
      </c>
      <c r="CA201" s="176">
        <f t="shared" si="162"/>
        <v>0</v>
      </c>
      <c r="CB201" s="176">
        <f t="shared" si="162"/>
        <v>0</v>
      </c>
      <c r="CC201" s="176">
        <f t="shared" si="162"/>
        <v>0</v>
      </c>
      <c r="CD201" s="176">
        <f t="shared" si="162"/>
        <v>0</v>
      </c>
      <c r="CE201" s="176">
        <f t="shared" si="162"/>
        <v>0</v>
      </c>
      <c r="CF201" s="176">
        <f t="shared" si="162"/>
        <v>0</v>
      </c>
      <c r="CG201" s="176">
        <f t="shared" si="162"/>
        <v>0</v>
      </c>
      <c r="CH201" s="176">
        <f t="shared" si="162"/>
        <v>0</v>
      </c>
      <c r="CI201" s="176">
        <f t="shared" si="162"/>
        <v>0</v>
      </c>
      <c r="CJ201" s="176">
        <f t="shared" si="162"/>
        <v>0</v>
      </c>
      <c r="CK201" s="176">
        <f t="shared" si="162"/>
        <v>0</v>
      </c>
      <c r="CL201" s="176">
        <f t="shared" si="162"/>
        <v>0</v>
      </c>
      <c r="CM201" s="176">
        <f t="shared" si="162"/>
        <v>0</v>
      </c>
      <c r="CN201" s="176">
        <f t="shared" si="162"/>
        <v>0</v>
      </c>
      <c r="CO201" s="176">
        <f t="shared" si="162"/>
        <v>0</v>
      </c>
      <c r="CP201" s="176">
        <f t="shared" ref="CP201:DU201" si="163">CP34*CP$168</f>
        <v>0</v>
      </c>
      <c r="CQ201" s="176">
        <f t="shared" si="163"/>
        <v>0</v>
      </c>
      <c r="CR201" s="176">
        <f t="shared" si="163"/>
        <v>0</v>
      </c>
      <c r="CS201" s="176">
        <f t="shared" si="163"/>
        <v>0</v>
      </c>
      <c r="CT201" s="176">
        <f t="shared" si="163"/>
        <v>0</v>
      </c>
      <c r="CU201" s="176">
        <f t="shared" si="163"/>
        <v>0</v>
      </c>
      <c r="CV201" s="176">
        <f t="shared" si="163"/>
        <v>0</v>
      </c>
      <c r="CW201" s="176">
        <f t="shared" si="163"/>
        <v>0</v>
      </c>
      <c r="CX201" s="176">
        <f t="shared" si="163"/>
        <v>0</v>
      </c>
      <c r="CY201" s="176">
        <f t="shared" si="163"/>
        <v>0</v>
      </c>
      <c r="CZ201" s="176">
        <f t="shared" si="163"/>
        <v>0</v>
      </c>
      <c r="DA201" s="176">
        <f t="shared" si="163"/>
        <v>0</v>
      </c>
      <c r="DB201" s="176">
        <f t="shared" si="163"/>
        <v>0</v>
      </c>
      <c r="DC201" s="176">
        <f t="shared" si="163"/>
        <v>0</v>
      </c>
      <c r="DD201" s="176">
        <f t="shared" si="163"/>
        <v>0</v>
      </c>
      <c r="DE201" s="176">
        <f t="shared" si="163"/>
        <v>0</v>
      </c>
      <c r="DF201" s="176">
        <f t="shared" si="163"/>
        <v>0</v>
      </c>
      <c r="DG201" s="176">
        <f t="shared" si="163"/>
        <v>0</v>
      </c>
      <c r="DH201" s="176">
        <f t="shared" si="163"/>
        <v>0</v>
      </c>
      <c r="DI201" s="176">
        <f t="shared" si="163"/>
        <v>0</v>
      </c>
      <c r="DJ201" s="176">
        <f t="shared" si="163"/>
        <v>0</v>
      </c>
      <c r="DK201" s="176">
        <f t="shared" si="163"/>
        <v>0</v>
      </c>
      <c r="DL201" s="176">
        <f t="shared" si="163"/>
        <v>0</v>
      </c>
      <c r="DM201" s="176">
        <f t="shared" si="163"/>
        <v>0</v>
      </c>
      <c r="DN201" s="176">
        <f t="shared" si="163"/>
        <v>0</v>
      </c>
      <c r="DO201" s="176">
        <f t="shared" si="163"/>
        <v>0</v>
      </c>
      <c r="DP201" s="176">
        <f t="shared" si="163"/>
        <v>0</v>
      </c>
      <c r="DQ201" s="176">
        <f t="shared" si="163"/>
        <v>0</v>
      </c>
      <c r="DR201" s="176">
        <f t="shared" si="163"/>
        <v>0</v>
      </c>
      <c r="DS201" s="176">
        <f t="shared" si="163"/>
        <v>0</v>
      </c>
      <c r="DT201" s="176">
        <f t="shared" si="163"/>
        <v>0</v>
      </c>
      <c r="DU201" s="176">
        <f t="shared" si="163"/>
        <v>0</v>
      </c>
      <c r="DV201" s="176">
        <f t="shared" ref="DV201:FB201" si="164">DV34*DV$168</f>
        <v>0</v>
      </c>
      <c r="DW201" s="176">
        <f t="shared" si="164"/>
        <v>0</v>
      </c>
      <c r="DX201" s="176">
        <f t="shared" si="164"/>
        <v>0</v>
      </c>
      <c r="DY201" s="176">
        <f t="shared" si="164"/>
        <v>0</v>
      </c>
      <c r="DZ201" s="176">
        <f t="shared" si="164"/>
        <v>0</v>
      </c>
      <c r="EA201" s="176">
        <f t="shared" si="164"/>
        <v>0</v>
      </c>
      <c r="EB201" s="176">
        <f t="shared" si="164"/>
        <v>0</v>
      </c>
      <c r="EC201" s="176">
        <f t="shared" si="164"/>
        <v>0</v>
      </c>
      <c r="ED201" s="176">
        <f t="shared" si="164"/>
        <v>0</v>
      </c>
      <c r="EE201" s="176">
        <f t="shared" si="164"/>
        <v>0</v>
      </c>
      <c r="EF201" s="182">
        <f t="shared" si="164"/>
        <v>0</v>
      </c>
      <c r="EG201" s="182">
        <f t="shared" si="164"/>
        <v>0</v>
      </c>
      <c r="EH201" s="182">
        <f t="shared" si="164"/>
        <v>0</v>
      </c>
      <c r="EI201" s="182">
        <f t="shared" si="164"/>
        <v>0</v>
      </c>
      <c r="EJ201" s="182">
        <f t="shared" si="164"/>
        <v>0</v>
      </c>
      <c r="EK201" s="182">
        <f t="shared" si="164"/>
        <v>0</v>
      </c>
      <c r="EL201" s="182">
        <f t="shared" si="164"/>
        <v>0</v>
      </c>
      <c r="EM201" s="182">
        <f t="shared" si="164"/>
        <v>0</v>
      </c>
      <c r="EN201" s="182">
        <f t="shared" si="164"/>
        <v>0</v>
      </c>
      <c r="EO201" s="182">
        <f t="shared" si="164"/>
        <v>0</v>
      </c>
      <c r="EP201" s="182">
        <f t="shared" si="164"/>
        <v>0</v>
      </c>
      <c r="EQ201" s="182">
        <f t="shared" si="164"/>
        <v>0</v>
      </c>
      <c r="ER201" s="182">
        <f t="shared" si="164"/>
        <v>0</v>
      </c>
      <c r="ES201" s="182">
        <f t="shared" si="164"/>
        <v>0</v>
      </c>
      <c r="ET201" s="182">
        <f t="shared" si="164"/>
        <v>0</v>
      </c>
      <c r="EU201" s="182">
        <f t="shared" si="164"/>
        <v>0</v>
      </c>
      <c r="EV201" s="182">
        <f t="shared" si="164"/>
        <v>0</v>
      </c>
      <c r="EW201" s="182">
        <f t="shared" si="164"/>
        <v>0</v>
      </c>
      <c r="EX201" s="182">
        <f t="shared" si="164"/>
        <v>0</v>
      </c>
      <c r="EY201" s="182">
        <f t="shared" si="164"/>
        <v>0</v>
      </c>
      <c r="EZ201" s="182">
        <f t="shared" si="164"/>
        <v>0</v>
      </c>
      <c r="FA201" s="182">
        <f t="shared" si="164"/>
        <v>0</v>
      </c>
      <c r="FB201" s="183">
        <f t="shared" si="164"/>
        <v>0</v>
      </c>
    </row>
    <row r="202" spans="2:158" ht="12.75" customHeight="1" x14ac:dyDescent="0.3">
      <c r="B202" s="180" t="s">
        <v>3845</v>
      </c>
      <c r="C202" s="193">
        <v>0</v>
      </c>
      <c r="D202" s="182">
        <f t="shared" si="20"/>
        <v>0</v>
      </c>
      <c r="E202" s="182">
        <f t="shared" si="26"/>
        <v>0</v>
      </c>
      <c r="F202" s="182">
        <f t="shared" si="32"/>
        <v>0</v>
      </c>
      <c r="G202" s="182">
        <f t="shared" si="38"/>
        <v>0</v>
      </c>
      <c r="H202" s="182">
        <f t="shared" si="44"/>
        <v>0</v>
      </c>
      <c r="I202" s="176">
        <f t="shared" si="50"/>
        <v>0</v>
      </c>
      <c r="J202" s="182">
        <f t="shared" si="56"/>
        <v>0</v>
      </c>
      <c r="K202" s="182">
        <f t="shared" si="62"/>
        <v>0</v>
      </c>
      <c r="L202" s="182">
        <f t="shared" si="68"/>
        <v>0</v>
      </c>
      <c r="M202" s="182">
        <f t="shared" si="74"/>
        <v>0</v>
      </c>
      <c r="N202" s="182">
        <f t="shared" si="80"/>
        <v>0</v>
      </c>
      <c r="O202" s="182">
        <f t="shared" si="86"/>
        <v>0</v>
      </c>
      <c r="P202" s="182">
        <f t="shared" si="92"/>
        <v>0</v>
      </c>
      <c r="Q202" s="182">
        <f t="shared" si="98"/>
        <v>0</v>
      </c>
      <c r="R202" s="182">
        <f t="shared" si="104"/>
        <v>7.7410126605559597</v>
      </c>
      <c r="S202" s="182">
        <f t="shared" si="110"/>
        <v>0</v>
      </c>
      <c r="T202" s="182">
        <f t="shared" si="116"/>
        <v>0</v>
      </c>
      <c r="U202" s="182">
        <f t="shared" si="122"/>
        <v>0</v>
      </c>
      <c r="V202" s="182">
        <f t="shared" si="128"/>
        <v>0</v>
      </c>
      <c r="W202" s="182">
        <f t="shared" si="134"/>
        <v>0</v>
      </c>
      <c r="X202" s="182">
        <f t="shared" si="140"/>
        <v>0</v>
      </c>
      <c r="Y202" s="182">
        <f t="shared" si="145"/>
        <v>0</v>
      </c>
      <c r="Z202" s="182">
        <f t="shared" si="150"/>
        <v>0</v>
      </c>
      <c r="AA202" s="182">
        <f t="shared" si="155"/>
        <v>0</v>
      </c>
      <c r="AB202" s="182">
        <f t="shared" si="160"/>
        <v>1.1230521798289399E-6</v>
      </c>
      <c r="AC202" s="182">
        <f t="shared" ref="AC202:AC233" si="165">AC35*AC$168</f>
        <v>0</v>
      </c>
      <c r="AD202" s="181">
        <f>$C202+SUM($D202:AC202,AE202:$FB202)-SUM(AD$176:AD201,AD203:AD$330)-AD$331</f>
        <v>0</v>
      </c>
      <c r="AE202" s="176">
        <f t="shared" ref="AE202:BJ202" si="166">AE35*AE$168</f>
        <v>0</v>
      </c>
      <c r="AF202" s="176">
        <f t="shared" si="166"/>
        <v>0</v>
      </c>
      <c r="AG202" s="176">
        <f t="shared" si="166"/>
        <v>0</v>
      </c>
      <c r="AH202" s="176">
        <f t="shared" si="166"/>
        <v>0</v>
      </c>
      <c r="AI202" s="176">
        <f t="shared" si="166"/>
        <v>0</v>
      </c>
      <c r="AJ202" s="176">
        <f t="shared" si="166"/>
        <v>0</v>
      </c>
      <c r="AK202" s="176">
        <f t="shared" si="166"/>
        <v>0</v>
      </c>
      <c r="AL202" s="176">
        <f t="shared" si="166"/>
        <v>0</v>
      </c>
      <c r="AM202" s="176">
        <f t="shared" si="166"/>
        <v>0</v>
      </c>
      <c r="AN202" s="176">
        <f t="shared" si="166"/>
        <v>0</v>
      </c>
      <c r="AO202" s="176">
        <f t="shared" si="166"/>
        <v>0</v>
      </c>
      <c r="AP202" s="176">
        <f t="shared" si="166"/>
        <v>0</v>
      </c>
      <c r="AQ202" s="176">
        <f t="shared" si="166"/>
        <v>0</v>
      </c>
      <c r="AR202" s="176">
        <f t="shared" si="166"/>
        <v>0</v>
      </c>
      <c r="AS202" s="176">
        <f t="shared" si="166"/>
        <v>0</v>
      </c>
      <c r="AT202" s="176">
        <f t="shared" si="166"/>
        <v>0</v>
      </c>
      <c r="AU202" s="176">
        <f t="shared" si="166"/>
        <v>0</v>
      </c>
      <c r="AV202" s="176">
        <f t="shared" si="166"/>
        <v>0</v>
      </c>
      <c r="AW202" s="176">
        <f t="shared" si="166"/>
        <v>0</v>
      </c>
      <c r="AX202" s="176">
        <f t="shared" si="166"/>
        <v>0</v>
      </c>
      <c r="AY202" s="176">
        <f t="shared" si="166"/>
        <v>0</v>
      </c>
      <c r="AZ202" s="176">
        <f t="shared" si="166"/>
        <v>0</v>
      </c>
      <c r="BA202" s="176">
        <f t="shared" si="166"/>
        <v>0</v>
      </c>
      <c r="BB202" s="176">
        <f t="shared" si="166"/>
        <v>0</v>
      </c>
      <c r="BC202" s="176">
        <f t="shared" si="166"/>
        <v>0</v>
      </c>
      <c r="BD202" s="176">
        <f t="shared" si="166"/>
        <v>0</v>
      </c>
      <c r="BE202" s="176">
        <f t="shared" si="166"/>
        <v>0</v>
      </c>
      <c r="BF202" s="176">
        <f t="shared" si="166"/>
        <v>0</v>
      </c>
      <c r="BG202" s="176">
        <f t="shared" si="166"/>
        <v>0</v>
      </c>
      <c r="BH202" s="176">
        <f t="shared" si="166"/>
        <v>0</v>
      </c>
      <c r="BI202" s="176">
        <f t="shared" si="166"/>
        <v>0</v>
      </c>
      <c r="BJ202" s="176">
        <f t="shared" si="166"/>
        <v>0</v>
      </c>
      <c r="BK202" s="176">
        <f t="shared" ref="BK202:CP202" si="167">BK35*BK$168</f>
        <v>0</v>
      </c>
      <c r="BL202" s="176">
        <f t="shared" si="167"/>
        <v>0</v>
      </c>
      <c r="BM202" s="176">
        <f t="shared" si="167"/>
        <v>0</v>
      </c>
      <c r="BN202" s="176">
        <f t="shared" si="167"/>
        <v>0</v>
      </c>
      <c r="BO202" s="176">
        <f t="shared" si="167"/>
        <v>0</v>
      </c>
      <c r="BP202" s="176">
        <f t="shared" si="167"/>
        <v>0</v>
      </c>
      <c r="BQ202" s="176">
        <f t="shared" si="167"/>
        <v>0</v>
      </c>
      <c r="BR202" s="176">
        <f t="shared" si="167"/>
        <v>0</v>
      </c>
      <c r="BS202" s="176">
        <f t="shared" si="167"/>
        <v>0</v>
      </c>
      <c r="BT202" s="176">
        <f t="shared" si="167"/>
        <v>0</v>
      </c>
      <c r="BU202" s="176">
        <f t="shared" si="167"/>
        <v>0</v>
      </c>
      <c r="BV202" s="176">
        <f t="shared" si="167"/>
        <v>0</v>
      </c>
      <c r="BW202" s="176">
        <f t="shared" si="167"/>
        <v>0</v>
      </c>
      <c r="BX202" s="176">
        <f t="shared" si="167"/>
        <v>0</v>
      </c>
      <c r="BY202" s="176">
        <f t="shared" si="167"/>
        <v>0</v>
      </c>
      <c r="BZ202" s="176">
        <f t="shared" si="167"/>
        <v>0</v>
      </c>
      <c r="CA202" s="176">
        <f t="shared" si="167"/>
        <v>0</v>
      </c>
      <c r="CB202" s="176">
        <f t="shared" si="167"/>
        <v>0</v>
      </c>
      <c r="CC202" s="176">
        <f t="shared" si="167"/>
        <v>0</v>
      </c>
      <c r="CD202" s="176">
        <f t="shared" si="167"/>
        <v>0</v>
      </c>
      <c r="CE202" s="176">
        <f t="shared" si="167"/>
        <v>0</v>
      </c>
      <c r="CF202" s="176">
        <f t="shared" si="167"/>
        <v>0</v>
      </c>
      <c r="CG202" s="176">
        <f t="shared" si="167"/>
        <v>0</v>
      </c>
      <c r="CH202" s="176">
        <f t="shared" si="167"/>
        <v>0</v>
      </c>
      <c r="CI202" s="176">
        <f t="shared" si="167"/>
        <v>0</v>
      </c>
      <c r="CJ202" s="176">
        <f t="shared" si="167"/>
        <v>0</v>
      </c>
      <c r="CK202" s="176">
        <f t="shared" si="167"/>
        <v>0</v>
      </c>
      <c r="CL202" s="176">
        <f t="shared" si="167"/>
        <v>0</v>
      </c>
      <c r="CM202" s="176">
        <f t="shared" si="167"/>
        <v>0</v>
      </c>
      <c r="CN202" s="176">
        <f t="shared" si="167"/>
        <v>0</v>
      </c>
      <c r="CO202" s="176">
        <f t="shared" si="167"/>
        <v>0</v>
      </c>
      <c r="CP202" s="176">
        <f t="shared" si="167"/>
        <v>0</v>
      </c>
      <c r="CQ202" s="176">
        <f t="shared" ref="CQ202:DV202" si="168">CQ35*CQ$168</f>
        <v>0</v>
      </c>
      <c r="CR202" s="176">
        <f t="shared" si="168"/>
        <v>0</v>
      </c>
      <c r="CS202" s="176">
        <f t="shared" si="168"/>
        <v>0</v>
      </c>
      <c r="CT202" s="176">
        <f t="shared" si="168"/>
        <v>0</v>
      </c>
      <c r="CU202" s="176">
        <f t="shared" si="168"/>
        <v>0</v>
      </c>
      <c r="CV202" s="176">
        <f t="shared" si="168"/>
        <v>0</v>
      </c>
      <c r="CW202" s="176">
        <f t="shared" si="168"/>
        <v>0</v>
      </c>
      <c r="CX202" s="176">
        <f t="shared" si="168"/>
        <v>0</v>
      </c>
      <c r="CY202" s="176">
        <f t="shared" si="168"/>
        <v>0</v>
      </c>
      <c r="CZ202" s="176">
        <f t="shared" si="168"/>
        <v>0</v>
      </c>
      <c r="DA202" s="176">
        <f t="shared" si="168"/>
        <v>0</v>
      </c>
      <c r="DB202" s="176">
        <f t="shared" si="168"/>
        <v>0</v>
      </c>
      <c r="DC202" s="176">
        <f t="shared" si="168"/>
        <v>0</v>
      </c>
      <c r="DD202" s="176">
        <f t="shared" si="168"/>
        <v>0</v>
      </c>
      <c r="DE202" s="176">
        <f t="shared" si="168"/>
        <v>0</v>
      </c>
      <c r="DF202" s="176">
        <f t="shared" si="168"/>
        <v>0</v>
      </c>
      <c r="DG202" s="176">
        <f t="shared" si="168"/>
        <v>0</v>
      </c>
      <c r="DH202" s="176">
        <f t="shared" si="168"/>
        <v>0</v>
      </c>
      <c r="DI202" s="176">
        <f t="shared" si="168"/>
        <v>0</v>
      </c>
      <c r="DJ202" s="176">
        <f t="shared" si="168"/>
        <v>0</v>
      </c>
      <c r="DK202" s="176">
        <f t="shared" si="168"/>
        <v>0</v>
      </c>
      <c r="DL202" s="176">
        <f t="shared" si="168"/>
        <v>0</v>
      </c>
      <c r="DM202" s="176">
        <f t="shared" si="168"/>
        <v>0</v>
      </c>
      <c r="DN202" s="176">
        <f t="shared" si="168"/>
        <v>0</v>
      </c>
      <c r="DO202" s="176">
        <f t="shared" si="168"/>
        <v>0</v>
      </c>
      <c r="DP202" s="176">
        <f t="shared" si="168"/>
        <v>0</v>
      </c>
      <c r="DQ202" s="176">
        <f t="shared" si="168"/>
        <v>0</v>
      </c>
      <c r="DR202" s="176">
        <f t="shared" si="168"/>
        <v>0</v>
      </c>
      <c r="DS202" s="176">
        <f t="shared" si="168"/>
        <v>0</v>
      </c>
      <c r="DT202" s="176">
        <f t="shared" si="168"/>
        <v>0</v>
      </c>
      <c r="DU202" s="176">
        <f t="shared" si="168"/>
        <v>0</v>
      </c>
      <c r="DV202" s="176">
        <f t="shared" si="168"/>
        <v>0</v>
      </c>
      <c r="DW202" s="176">
        <f t="shared" ref="DW202:FB202" si="169">DW35*DW$168</f>
        <v>0</v>
      </c>
      <c r="DX202" s="176">
        <f t="shared" si="169"/>
        <v>0</v>
      </c>
      <c r="DY202" s="176">
        <f t="shared" si="169"/>
        <v>0</v>
      </c>
      <c r="DZ202" s="176">
        <f t="shared" si="169"/>
        <v>0</v>
      </c>
      <c r="EA202" s="176">
        <f t="shared" si="169"/>
        <v>0</v>
      </c>
      <c r="EB202" s="176">
        <f t="shared" si="169"/>
        <v>0</v>
      </c>
      <c r="EC202" s="176">
        <f t="shared" si="169"/>
        <v>0</v>
      </c>
      <c r="ED202" s="176">
        <f t="shared" si="169"/>
        <v>0</v>
      </c>
      <c r="EE202" s="176">
        <f t="shared" si="169"/>
        <v>0</v>
      </c>
      <c r="EF202" s="182">
        <f t="shared" si="169"/>
        <v>0</v>
      </c>
      <c r="EG202" s="182">
        <f t="shared" si="169"/>
        <v>0</v>
      </c>
      <c r="EH202" s="182">
        <f t="shared" si="169"/>
        <v>0</v>
      </c>
      <c r="EI202" s="182">
        <f t="shared" si="169"/>
        <v>0</v>
      </c>
      <c r="EJ202" s="182">
        <f t="shared" si="169"/>
        <v>0</v>
      </c>
      <c r="EK202" s="182">
        <f t="shared" si="169"/>
        <v>0</v>
      </c>
      <c r="EL202" s="182">
        <f t="shared" si="169"/>
        <v>0</v>
      </c>
      <c r="EM202" s="182">
        <f t="shared" si="169"/>
        <v>0</v>
      </c>
      <c r="EN202" s="182">
        <f t="shared" si="169"/>
        <v>0</v>
      </c>
      <c r="EO202" s="182">
        <f t="shared" si="169"/>
        <v>0</v>
      </c>
      <c r="EP202" s="182">
        <f t="shared" si="169"/>
        <v>0</v>
      </c>
      <c r="EQ202" s="182">
        <f t="shared" si="169"/>
        <v>0</v>
      </c>
      <c r="ER202" s="182">
        <f t="shared" si="169"/>
        <v>0</v>
      </c>
      <c r="ES202" s="182">
        <f t="shared" si="169"/>
        <v>0</v>
      </c>
      <c r="ET202" s="182">
        <f t="shared" si="169"/>
        <v>0</v>
      </c>
      <c r="EU202" s="182">
        <f t="shared" si="169"/>
        <v>0</v>
      </c>
      <c r="EV202" s="182">
        <f t="shared" si="169"/>
        <v>0</v>
      </c>
      <c r="EW202" s="182">
        <f t="shared" si="169"/>
        <v>0</v>
      </c>
      <c r="EX202" s="182">
        <f t="shared" si="169"/>
        <v>0</v>
      </c>
      <c r="EY202" s="182">
        <f t="shared" si="169"/>
        <v>0</v>
      </c>
      <c r="EZ202" s="182">
        <f t="shared" si="169"/>
        <v>0</v>
      </c>
      <c r="FA202" s="182">
        <f t="shared" si="169"/>
        <v>0</v>
      </c>
      <c r="FB202" s="183">
        <f t="shared" si="169"/>
        <v>0</v>
      </c>
    </row>
    <row r="203" spans="2:158" ht="12.75" customHeight="1" x14ac:dyDescent="0.3">
      <c r="B203" s="180" t="s">
        <v>3846</v>
      </c>
      <c r="C203" s="193">
        <v>0</v>
      </c>
      <c r="D203" s="182">
        <f t="shared" si="20"/>
        <v>0</v>
      </c>
      <c r="E203" s="182">
        <f t="shared" si="26"/>
        <v>0</v>
      </c>
      <c r="F203" s="182">
        <f t="shared" si="32"/>
        <v>0</v>
      </c>
      <c r="G203" s="182">
        <f t="shared" si="38"/>
        <v>0</v>
      </c>
      <c r="H203" s="182">
        <f t="shared" si="44"/>
        <v>0</v>
      </c>
      <c r="I203" s="176">
        <f t="shared" si="50"/>
        <v>0</v>
      </c>
      <c r="J203" s="182">
        <f t="shared" si="56"/>
        <v>0</v>
      </c>
      <c r="K203" s="182">
        <f t="shared" si="62"/>
        <v>0</v>
      </c>
      <c r="L203" s="182">
        <f t="shared" si="68"/>
        <v>0</v>
      </c>
      <c r="M203" s="182">
        <f t="shared" si="74"/>
        <v>0</v>
      </c>
      <c r="N203" s="182">
        <f t="shared" si="80"/>
        <v>0</v>
      </c>
      <c r="O203" s="182">
        <f t="shared" si="86"/>
        <v>0</v>
      </c>
      <c r="P203" s="182">
        <f t="shared" si="92"/>
        <v>0</v>
      </c>
      <c r="Q203" s="182">
        <f t="shared" si="98"/>
        <v>0</v>
      </c>
      <c r="R203" s="182">
        <f t="shared" si="104"/>
        <v>0</v>
      </c>
      <c r="S203" s="182">
        <f t="shared" si="110"/>
        <v>0</v>
      </c>
      <c r="T203" s="182">
        <f t="shared" si="116"/>
        <v>0</v>
      </c>
      <c r="U203" s="182">
        <f t="shared" si="122"/>
        <v>0</v>
      </c>
      <c r="V203" s="182">
        <f t="shared" si="128"/>
        <v>0</v>
      </c>
      <c r="W203" s="182">
        <f t="shared" si="134"/>
        <v>0</v>
      </c>
      <c r="X203" s="182">
        <f t="shared" si="140"/>
        <v>0</v>
      </c>
      <c r="Y203" s="182">
        <f t="shared" si="145"/>
        <v>0</v>
      </c>
      <c r="Z203" s="182">
        <f t="shared" si="150"/>
        <v>0</v>
      </c>
      <c r="AA203" s="182">
        <f t="shared" si="155"/>
        <v>0</v>
      </c>
      <c r="AB203" s="182">
        <f t="shared" si="160"/>
        <v>0</v>
      </c>
      <c r="AC203" s="182">
        <f t="shared" si="165"/>
        <v>0</v>
      </c>
      <c r="AD203" s="182">
        <f t="shared" ref="AD203:AD234" si="170">AD36*AD$168</f>
        <v>0</v>
      </c>
      <c r="AE203" s="181">
        <f>$C203+SUM($D203:AD203,AF203:$FB203)-SUM(AE$176:AE202,AE204:AE$330)-AE$331</f>
        <v>0</v>
      </c>
      <c r="AF203" s="176">
        <f t="shared" ref="AF203:BK203" si="171">AF36*AF$168</f>
        <v>0</v>
      </c>
      <c r="AG203" s="176">
        <f t="shared" si="171"/>
        <v>0</v>
      </c>
      <c r="AH203" s="176">
        <f t="shared" si="171"/>
        <v>0</v>
      </c>
      <c r="AI203" s="176">
        <f t="shared" si="171"/>
        <v>0</v>
      </c>
      <c r="AJ203" s="176">
        <f t="shared" si="171"/>
        <v>0</v>
      </c>
      <c r="AK203" s="176">
        <f t="shared" si="171"/>
        <v>0</v>
      </c>
      <c r="AL203" s="176">
        <f t="shared" si="171"/>
        <v>0</v>
      </c>
      <c r="AM203" s="176">
        <f t="shared" si="171"/>
        <v>0</v>
      </c>
      <c r="AN203" s="176">
        <f t="shared" si="171"/>
        <v>0</v>
      </c>
      <c r="AO203" s="176">
        <f t="shared" si="171"/>
        <v>0</v>
      </c>
      <c r="AP203" s="176">
        <f t="shared" si="171"/>
        <v>0</v>
      </c>
      <c r="AQ203" s="176">
        <f t="shared" si="171"/>
        <v>0</v>
      </c>
      <c r="AR203" s="176">
        <f t="shared" si="171"/>
        <v>0</v>
      </c>
      <c r="AS203" s="176">
        <f t="shared" si="171"/>
        <v>0</v>
      </c>
      <c r="AT203" s="176">
        <f t="shared" si="171"/>
        <v>0</v>
      </c>
      <c r="AU203" s="176">
        <f t="shared" si="171"/>
        <v>0</v>
      </c>
      <c r="AV203" s="176">
        <f t="shared" si="171"/>
        <v>0</v>
      </c>
      <c r="AW203" s="176">
        <f t="shared" si="171"/>
        <v>0</v>
      </c>
      <c r="AX203" s="176">
        <f t="shared" si="171"/>
        <v>0</v>
      </c>
      <c r="AY203" s="176">
        <f t="shared" si="171"/>
        <v>0</v>
      </c>
      <c r="AZ203" s="176">
        <f t="shared" si="171"/>
        <v>0</v>
      </c>
      <c r="BA203" s="176">
        <f t="shared" si="171"/>
        <v>0</v>
      </c>
      <c r="BB203" s="176">
        <f t="shared" si="171"/>
        <v>0</v>
      </c>
      <c r="BC203" s="176">
        <f t="shared" si="171"/>
        <v>0</v>
      </c>
      <c r="BD203" s="176">
        <f t="shared" si="171"/>
        <v>0</v>
      </c>
      <c r="BE203" s="176">
        <f t="shared" si="171"/>
        <v>0</v>
      </c>
      <c r="BF203" s="176">
        <f t="shared" si="171"/>
        <v>0</v>
      </c>
      <c r="BG203" s="176">
        <f t="shared" si="171"/>
        <v>0</v>
      </c>
      <c r="BH203" s="176">
        <f t="shared" si="171"/>
        <v>0</v>
      </c>
      <c r="BI203" s="176">
        <f t="shared" si="171"/>
        <v>0</v>
      </c>
      <c r="BJ203" s="176">
        <f t="shared" si="171"/>
        <v>0</v>
      </c>
      <c r="BK203" s="176">
        <f t="shared" si="171"/>
        <v>0</v>
      </c>
      <c r="BL203" s="176">
        <f t="shared" ref="BL203:CQ203" si="172">BL36*BL$168</f>
        <v>0</v>
      </c>
      <c r="BM203" s="176">
        <f t="shared" si="172"/>
        <v>0</v>
      </c>
      <c r="BN203" s="176">
        <f t="shared" si="172"/>
        <v>0</v>
      </c>
      <c r="BO203" s="176">
        <f t="shared" si="172"/>
        <v>0</v>
      </c>
      <c r="BP203" s="176">
        <f t="shared" si="172"/>
        <v>0</v>
      </c>
      <c r="BQ203" s="176">
        <f t="shared" si="172"/>
        <v>0</v>
      </c>
      <c r="BR203" s="176">
        <f t="shared" si="172"/>
        <v>0</v>
      </c>
      <c r="BS203" s="176">
        <f t="shared" si="172"/>
        <v>0</v>
      </c>
      <c r="BT203" s="176">
        <f t="shared" si="172"/>
        <v>0</v>
      </c>
      <c r="BU203" s="176">
        <f t="shared" si="172"/>
        <v>0</v>
      </c>
      <c r="BV203" s="176">
        <f t="shared" si="172"/>
        <v>0</v>
      </c>
      <c r="BW203" s="176">
        <f t="shared" si="172"/>
        <v>0</v>
      </c>
      <c r="BX203" s="176">
        <f t="shared" si="172"/>
        <v>0</v>
      </c>
      <c r="BY203" s="176">
        <f t="shared" si="172"/>
        <v>0</v>
      </c>
      <c r="BZ203" s="176">
        <f t="shared" si="172"/>
        <v>0</v>
      </c>
      <c r="CA203" s="176">
        <f t="shared" si="172"/>
        <v>0</v>
      </c>
      <c r="CB203" s="176">
        <f t="shared" si="172"/>
        <v>0</v>
      </c>
      <c r="CC203" s="176">
        <f t="shared" si="172"/>
        <v>0</v>
      </c>
      <c r="CD203" s="176">
        <f t="shared" si="172"/>
        <v>0</v>
      </c>
      <c r="CE203" s="176">
        <f t="shared" si="172"/>
        <v>0</v>
      </c>
      <c r="CF203" s="176">
        <f t="shared" si="172"/>
        <v>0</v>
      </c>
      <c r="CG203" s="176">
        <f t="shared" si="172"/>
        <v>0</v>
      </c>
      <c r="CH203" s="176">
        <f t="shared" si="172"/>
        <v>0</v>
      </c>
      <c r="CI203" s="176">
        <f t="shared" si="172"/>
        <v>0</v>
      </c>
      <c r="CJ203" s="176">
        <f t="shared" si="172"/>
        <v>0</v>
      </c>
      <c r="CK203" s="176">
        <f t="shared" si="172"/>
        <v>0</v>
      </c>
      <c r="CL203" s="176">
        <f t="shared" si="172"/>
        <v>0</v>
      </c>
      <c r="CM203" s="176">
        <f t="shared" si="172"/>
        <v>0</v>
      </c>
      <c r="CN203" s="176">
        <f t="shared" si="172"/>
        <v>0</v>
      </c>
      <c r="CO203" s="176">
        <f t="shared" si="172"/>
        <v>0</v>
      </c>
      <c r="CP203" s="176">
        <f t="shared" si="172"/>
        <v>0</v>
      </c>
      <c r="CQ203" s="176">
        <f t="shared" si="172"/>
        <v>0</v>
      </c>
      <c r="CR203" s="176">
        <f t="shared" ref="CR203:DW203" si="173">CR36*CR$168</f>
        <v>0</v>
      </c>
      <c r="CS203" s="176">
        <f t="shared" si="173"/>
        <v>0</v>
      </c>
      <c r="CT203" s="176">
        <f t="shared" si="173"/>
        <v>0</v>
      </c>
      <c r="CU203" s="176">
        <f t="shared" si="173"/>
        <v>0</v>
      </c>
      <c r="CV203" s="176">
        <f t="shared" si="173"/>
        <v>0</v>
      </c>
      <c r="CW203" s="176">
        <f t="shared" si="173"/>
        <v>0</v>
      </c>
      <c r="CX203" s="176">
        <f t="shared" si="173"/>
        <v>0</v>
      </c>
      <c r="CY203" s="176">
        <f t="shared" si="173"/>
        <v>0</v>
      </c>
      <c r="CZ203" s="176">
        <f t="shared" si="173"/>
        <v>0</v>
      </c>
      <c r="DA203" s="176">
        <f t="shared" si="173"/>
        <v>0</v>
      </c>
      <c r="DB203" s="176">
        <f t="shared" si="173"/>
        <v>0</v>
      </c>
      <c r="DC203" s="176">
        <f t="shared" si="173"/>
        <v>0</v>
      </c>
      <c r="DD203" s="176">
        <f t="shared" si="173"/>
        <v>0</v>
      </c>
      <c r="DE203" s="176">
        <f t="shared" si="173"/>
        <v>0</v>
      </c>
      <c r="DF203" s="176">
        <f t="shared" si="173"/>
        <v>0</v>
      </c>
      <c r="DG203" s="176">
        <f t="shared" si="173"/>
        <v>0</v>
      </c>
      <c r="DH203" s="176">
        <f t="shared" si="173"/>
        <v>0</v>
      </c>
      <c r="DI203" s="176">
        <f t="shared" si="173"/>
        <v>0</v>
      </c>
      <c r="DJ203" s="176">
        <f t="shared" si="173"/>
        <v>0</v>
      </c>
      <c r="DK203" s="176">
        <f t="shared" si="173"/>
        <v>0</v>
      </c>
      <c r="DL203" s="176">
        <f t="shared" si="173"/>
        <v>0</v>
      </c>
      <c r="DM203" s="176">
        <f t="shared" si="173"/>
        <v>0</v>
      </c>
      <c r="DN203" s="176">
        <f t="shared" si="173"/>
        <v>0</v>
      </c>
      <c r="DO203" s="176">
        <f t="shared" si="173"/>
        <v>0</v>
      </c>
      <c r="DP203" s="176">
        <f t="shared" si="173"/>
        <v>0</v>
      </c>
      <c r="DQ203" s="176">
        <f t="shared" si="173"/>
        <v>0</v>
      </c>
      <c r="DR203" s="176">
        <f t="shared" si="173"/>
        <v>0</v>
      </c>
      <c r="DS203" s="176">
        <f t="shared" si="173"/>
        <v>0</v>
      </c>
      <c r="DT203" s="176">
        <f t="shared" si="173"/>
        <v>0</v>
      </c>
      <c r="DU203" s="176">
        <f t="shared" si="173"/>
        <v>0</v>
      </c>
      <c r="DV203" s="176">
        <f t="shared" si="173"/>
        <v>0</v>
      </c>
      <c r="DW203" s="176">
        <f t="shared" si="173"/>
        <v>0</v>
      </c>
      <c r="DX203" s="176">
        <f t="shared" ref="DX203:FB203" si="174">DX36*DX$168</f>
        <v>0</v>
      </c>
      <c r="DY203" s="176">
        <f t="shared" si="174"/>
        <v>0</v>
      </c>
      <c r="DZ203" s="176">
        <f t="shared" si="174"/>
        <v>0</v>
      </c>
      <c r="EA203" s="176">
        <f t="shared" si="174"/>
        <v>0</v>
      </c>
      <c r="EB203" s="176">
        <f t="shared" si="174"/>
        <v>0</v>
      </c>
      <c r="EC203" s="176">
        <f t="shared" si="174"/>
        <v>0</v>
      </c>
      <c r="ED203" s="176">
        <f t="shared" si="174"/>
        <v>0</v>
      </c>
      <c r="EE203" s="176">
        <f t="shared" si="174"/>
        <v>0</v>
      </c>
      <c r="EF203" s="182">
        <f t="shared" si="174"/>
        <v>0</v>
      </c>
      <c r="EG203" s="182">
        <f t="shared" si="174"/>
        <v>0</v>
      </c>
      <c r="EH203" s="182">
        <f t="shared" si="174"/>
        <v>0</v>
      </c>
      <c r="EI203" s="182">
        <f t="shared" si="174"/>
        <v>0</v>
      </c>
      <c r="EJ203" s="182">
        <f t="shared" si="174"/>
        <v>0</v>
      </c>
      <c r="EK203" s="182">
        <f t="shared" si="174"/>
        <v>0</v>
      </c>
      <c r="EL203" s="182">
        <f t="shared" si="174"/>
        <v>0</v>
      </c>
      <c r="EM203" s="182">
        <f t="shared" si="174"/>
        <v>0</v>
      </c>
      <c r="EN203" s="182">
        <f t="shared" si="174"/>
        <v>0</v>
      </c>
      <c r="EO203" s="182">
        <f t="shared" si="174"/>
        <v>0</v>
      </c>
      <c r="EP203" s="182">
        <f t="shared" si="174"/>
        <v>0</v>
      </c>
      <c r="EQ203" s="182">
        <f t="shared" si="174"/>
        <v>0</v>
      </c>
      <c r="ER203" s="182">
        <f t="shared" si="174"/>
        <v>0</v>
      </c>
      <c r="ES203" s="182">
        <f t="shared" si="174"/>
        <v>0</v>
      </c>
      <c r="ET203" s="182">
        <f t="shared" si="174"/>
        <v>0</v>
      </c>
      <c r="EU203" s="182">
        <f t="shared" si="174"/>
        <v>0</v>
      </c>
      <c r="EV203" s="182">
        <f t="shared" si="174"/>
        <v>0</v>
      </c>
      <c r="EW203" s="182">
        <f t="shared" si="174"/>
        <v>0</v>
      </c>
      <c r="EX203" s="182">
        <f t="shared" si="174"/>
        <v>0</v>
      </c>
      <c r="EY203" s="182">
        <f t="shared" si="174"/>
        <v>0</v>
      </c>
      <c r="EZ203" s="182">
        <f t="shared" si="174"/>
        <v>0</v>
      </c>
      <c r="FA203" s="182">
        <f t="shared" si="174"/>
        <v>0</v>
      </c>
      <c r="FB203" s="183">
        <f t="shared" si="174"/>
        <v>0</v>
      </c>
    </row>
    <row r="204" spans="2:158" ht="12.75" customHeight="1" x14ac:dyDescent="0.3">
      <c r="B204" s="180" t="s">
        <v>3847</v>
      </c>
      <c r="C204" s="193">
        <v>0</v>
      </c>
      <c r="D204" s="182">
        <f t="shared" si="20"/>
        <v>0</v>
      </c>
      <c r="E204" s="182">
        <f t="shared" si="26"/>
        <v>0</v>
      </c>
      <c r="F204" s="182">
        <f t="shared" si="32"/>
        <v>0</v>
      </c>
      <c r="G204" s="182">
        <f t="shared" si="38"/>
        <v>0</v>
      </c>
      <c r="H204" s="182">
        <f t="shared" si="44"/>
        <v>0</v>
      </c>
      <c r="I204" s="176">
        <f t="shared" si="50"/>
        <v>0</v>
      </c>
      <c r="J204" s="182">
        <f t="shared" si="56"/>
        <v>0</v>
      </c>
      <c r="K204" s="182">
        <f t="shared" si="62"/>
        <v>0</v>
      </c>
      <c r="L204" s="182">
        <f t="shared" si="68"/>
        <v>0</v>
      </c>
      <c r="M204" s="182">
        <f t="shared" si="74"/>
        <v>0</v>
      </c>
      <c r="N204" s="182">
        <f t="shared" si="80"/>
        <v>0</v>
      </c>
      <c r="O204" s="182">
        <f t="shared" si="86"/>
        <v>0</v>
      </c>
      <c r="P204" s="182">
        <f t="shared" si="92"/>
        <v>0</v>
      </c>
      <c r="Q204" s="182">
        <f t="shared" si="98"/>
        <v>0</v>
      </c>
      <c r="R204" s="182">
        <f t="shared" si="104"/>
        <v>0</v>
      </c>
      <c r="S204" s="182">
        <f t="shared" si="110"/>
        <v>0</v>
      </c>
      <c r="T204" s="182">
        <f t="shared" si="116"/>
        <v>8.2046134982233545E-11</v>
      </c>
      <c r="U204" s="182">
        <f t="shared" si="122"/>
        <v>0</v>
      </c>
      <c r="V204" s="182">
        <f t="shared" si="128"/>
        <v>0</v>
      </c>
      <c r="W204" s="182">
        <f t="shared" si="134"/>
        <v>0</v>
      </c>
      <c r="X204" s="182">
        <f t="shared" si="140"/>
        <v>0</v>
      </c>
      <c r="Y204" s="182">
        <f t="shared" si="145"/>
        <v>0</v>
      </c>
      <c r="Z204" s="182">
        <f t="shared" si="150"/>
        <v>0</v>
      </c>
      <c r="AA204" s="182">
        <f t="shared" si="155"/>
        <v>0</v>
      </c>
      <c r="AB204" s="182">
        <f t="shared" si="160"/>
        <v>0</v>
      </c>
      <c r="AC204" s="182">
        <f t="shared" si="165"/>
        <v>0</v>
      </c>
      <c r="AD204" s="182">
        <f t="shared" si="170"/>
        <v>0</v>
      </c>
      <c r="AE204" s="182">
        <f t="shared" ref="AE204:AE235" si="175">AE37*AE$168</f>
        <v>0</v>
      </c>
      <c r="AF204" s="181">
        <f>$C204+SUM($D204:AE204,AG204:$FB204)-SUM(AF$176:AF203,AF205:AF$330)-AF$331</f>
        <v>2.112436229829718E-26</v>
      </c>
      <c r="AG204" s="176">
        <f t="shared" ref="AG204:BL204" si="176">AG37*AG$168</f>
        <v>0</v>
      </c>
      <c r="AH204" s="176">
        <f t="shared" si="176"/>
        <v>0</v>
      </c>
      <c r="AI204" s="176">
        <f t="shared" si="176"/>
        <v>0</v>
      </c>
      <c r="AJ204" s="176">
        <f t="shared" si="176"/>
        <v>0</v>
      </c>
      <c r="AK204" s="176">
        <f t="shared" si="176"/>
        <v>0</v>
      </c>
      <c r="AL204" s="176">
        <f t="shared" si="176"/>
        <v>0</v>
      </c>
      <c r="AM204" s="176">
        <f t="shared" si="176"/>
        <v>0</v>
      </c>
      <c r="AN204" s="176">
        <f t="shared" si="176"/>
        <v>0</v>
      </c>
      <c r="AO204" s="176">
        <f t="shared" si="176"/>
        <v>0</v>
      </c>
      <c r="AP204" s="176">
        <f t="shared" si="176"/>
        <v>0</v>
      </c>
      <c r="AQ204" s="176">
        <f t="shared" si="176"/>
        <v>0</v>
      </c>
      <c r="AR204" s="176">
        <f t="shared" si="176"/>
        <v>0</v>
      </c>
      <c r="AS204" s="176">
        <f t="shared" si="176"/>
        <v>0</v>
      </c>
      <c r="AT204" s="176">
        <f t="shared" si="176"/>
        <v>0</v>
      </c>
      <c r="AU204" s="176">
        <f t="shared" si="176"/>
        <v>0</v>
      </c>
      <c r="AV204" s="176">
        <f t="shared" si="176"/>
        <v>0</v>
      </c>
      <c r="AW204" s="176">
        <f t="shared" si="176"/>
        <v>0</v>
      </c>
      <c r="AX204" s="176">
        <f t="shared" si="176"/>
        <v>0</v>
      </c>
      <c r="AY204" s="176">
        <f t="shared" si="176"/>
        <v>0</v>
      </c>
      <c r="AZ204" s="176">
        <f t="shared" si="176"/>
        <v>0</v>
      </c>
      <c r="BA204" s="176">
        <f t="shared" si="176"/>
        <v>0</v>
      </c>
      <c r="BB204" s="176">
        <f t="shared" si="176"/>
        <v>0</v>
      </c>
      <c r="BC204" s="176">
        <f t="shared" si="176"/>
        <v>0</v>
      </c>
      <c r="BD204" s="176">
        <f t="shared" si="176"/>
        <v>0</v>
      </c>
      <c r="BE204" s="176">
        <f t="shared" si="176"/>
        <v>0</v>
      </c>
      <c r="BF204" s="176">
        <f t="shared" si="176"/>
        <v>0</v>
      </c>
      <c r="BG204" s="176">
        <f t="shared" si="176"/>
        <v>0</v>
      </c>
      <c r="BH204" s="176">
        <f t="shared" si="176"/>
        <v>0</v>
      </c>
      <c r="BI204" s="176">
        <f t="shared" si="176"/>
        <v>0</v>
      </c>
      <c r="BJ204" s="176">
        <f t="shared" si="176"/>
        <v>0</v>
      </c>
      <c r="BK204" s="176">
        <f t="shared" si="176"/>
        <v>0</v>
      </c>
      <c r="BL204" s="176">
        <f t="shared" si="176"/>
        <v>0</v>
      </c>
      <c r="BM204" s="176">
        <f t="shared" ref="BM204:CR204" si="177">BM37*BM$168</f>
        <v>0</v>
      </c>
      <c r="BN204" s="176">
        <f t="shared" si="177"/>
        <v>0</v>
      </c>
      <c r="BO204" s="176">
        <f t="shared" si="177"/>
        <v>0</v>
      </c>
      <c r="BP204" s="176">
        <f t="shared" si="177"/>
        <v>0</v>
      </c>
      <c r="BQ204" s="176">
        <f t="shared" si="177"/>
        <v>0</v>
      </c>
      <c r="BR204" s="176">
        <f t="shared" si="177"/>
        <v>0</v>
      </c>
      <c r="BS204" s="176">
        <f t="shared" si="177"/>
        <v>0</v>
      </c>
      <c r="BT204" s="176">
        <f t="shared" si="177"/>
        <v>0</v>
      </c>
      <c r="BU204" s="176">
        <f t="shared" si="177"/>
        <v>0</v>
      </c>
      <c r="BV204" s="176">
        <f t="shared" si="177"/>
        <v>0</v>
      </c>
      <c r="BW204" s="176">
        <f t="shared" si="177"/>
        <v>0</v>
      </c>
      <c r="BX204" s="176">
        <f t="shared" si="177"/>
        <v>0</v>
      </c>
      <c r="BY204" s="176">
        <f t="shared" si="177"/>
        <v>0</v>
      </c>
      <c r="BZ204" s="176">
        <f t="shared" si="177"/>
        <v>0</v>
      </c>
      <c r="CA204" s="176">
        <f t="shared" si="177"/>
        <v>0</v>
      </c>
      <c r="CB204" s="176">
        <f t="shared" si="177"/>
        <v>0</v>
      </c>
      <c r="CC204" s="176">
        <f t="shared" si="177"/>
        <v>0</v>
      </c>
      <c r="CD204" s="176">
        <f t="shared" si="177"/>
        <v>0</v>
      </c>
      <c r="CE204" s="176">
        <f t="shared" si="177"/>
        <v>0</v>
      </c>
      <c r="CF204" s="176">
        <f t="shared" si="177"/>
        <v>0</v>
      </c>
      <c r="CG204" s="176">
        <f t="shared" si="177"/>
        <v>0</v>
      </c>
      <c r="CH204" s="176">
        <f t="shared" si="177"/>
        <v>0</v>
      </c>
      <c r="CI204" s="176">
        <f t="shared" si="177"/>
        <v>0</v>
      </c>
      <c r="CJ204" s="176">
        <f t="shared" si="177"/>
        <v>0</v>
      </c>
      <c r="CK204" s="176">
        <f t="shared" si="177"/>
        <v>0</v>
      </c>
      <c r="CL204" s="176">
        <f t="shared" si="177"/>
        <v>0</v>
      </c>
      <c r="CM204" s="176">
        <f t="shared" si="177"/>
        <v>0</v>
      </c>
      <c r="CN204" s="176">
        <f t="shared" si="177"/>
        <v>0</v>
      </c>
      <c r="CO204" s="176">
        <f t="shared" si="177"/>
        <v>0</v>
      </c>
      <c r="CP204" s="176">
        <f t="shared" si="177"/>
        <v>0</v>
      </c>
      <c r="CQ204" s="176">
        <f t="shared" si="177"/>
        <v>0</v>
      </c>
      <c r="CR204" s="176">
        <f t="shared" si="177"/>
        <v>0</v>
      </c>
      <c r="CS204" s="176">
        <f t="shared" ref="CS204:DX204" si="178">CS37*CS$168</f>
        <v>0</v>
      </c>
      <c r="CT204" s="176">
        <f t="shared" si="178"/>
        <v>0</v>
      </c>
      <c r="CU204" s="176">
        <f t="shared" si="178"/>
        <v>0</v>
      </c>
      <c r="CV204" s="176">
        <f t="shared" si="178"/>
        <v>0</v>
      </c>
      <c r="CW204" s="176">
        <f t="shared" si="178"/>
        <v>0</v>
      </c>
      <c r="CX204" s="176">
        <f t="shared" si="178"/>
        <v>0</v>
      </c>
      <c r="CY204" s="176">
        <f t="shared" si="178"/>
        <v>0</v>
      </c>
      <c r="CZ204" s="176">
        <f t="shared" si="178"/>
        <v>0</v>
      </c>
      <c r="DA204" s="176">
        <f t="shared" si="178"/>
        <v>0</v>
      </c>
      <c r="DB204" s="176">
        <f t="shared" si="178"/>
        <v>0</v>
      </c>
      <c r="DC204" s="176">
        <f t="shared" si="178"/>
        <v>0</v>
      </c>
      <c r="DD204" s="176">
        <f t="shared" si="178"/>
        <v>0</v>
      </c>
      <c r="DE204" s="176">
        <f t="shared" si="178"/>
        <v>0</v>
      </c>
      <c r="DF204" s="176">
        <f t="shared" si="178"/>
        <v>0</v>
      </c>
      <c r="DG204" s="176">
        <f t="shared" si="178"/>
        <v>0</v>
      </c>
      <c r="DH204" s="176">
        <f t="shared" si="178"/>
        <v>0</v>
      </c>
      <c r="DI204" s="176">
        <f t="shared" si="178"/>
        <v>0</v>
      </c>
      <c r="DJ204" s="176">
        <f t="shared" si="178"/>
        <v>0</v>
      </c>
      <c r="DK204" s="176">
        <f t="shared" si="178"/>
        <v>0</v>
      </c>
      <c r="DL204" s="176">
        <f t="shared" si="178"/>
        <v>0</v>
      </c>
      <c r="DM204" s="176">
        <f t="shared" si="178"/>
        <v>0</v>
      </c>
      <c r="DN204" s="176">
        <f t="shared" si="178"/>
        <v>0</v>
      </c>
      <c r="DO204" s="176">
        <f t="shared" si="178"/>
        <v>0</v>
      </c>
      <c r="DP204" s="176">
        <f t="shared" si="178"/>
        <v>0</v>
      </c>
      <c r="DQ204" s="176">
        <f t="shared" si="178"/>
        <v>0</v>
      </c>
      <c r="DR204" s="176">
        <f t="shared" si="178"/>
        <v>0</v>
      </c>
      <c r="DS204" s="176">
        <f t="shared" si="178"/>
        <v>0</v>
      </c>
      <c r="DT204" s="176">
        <f t="shared" si="178"/>
        <v>0</v>
      </c>
      <c r="DU204" s="176">
        <f t="shared" si="178"/>
        <v>0</v>
      </c>
      <c r="DV204" s="176">
        <f t="shared" si="178"/>
        <v>0</v>
      </c>
      <c r="DW204" s="176">
        <f t="shared" si="178"/>
        <v>0</v>
      </c>
      <c r="DX204" s="176">
        <f t="shared" si="178"/>
        <v>0</v>
      </c>
      <c r="DY204" s="176">
        <f t="shared" ref="DY204:FB204" si="179">DY37*DY$168</f>
        <v>0</v>
      </c>
      <c r="DZ204" s="176">
        <f t="shared" si="179"/>
        <v>0</v>
      </c>
      <c r="EA204" s="176">
        <f t="shared" si="179"/>
        <v>0</v>
      </c>
      <c r="EB204" s="176">
        <f t="shared" si="179"/>
        <v>0</v>
      </c>
      <c r="EC204" s="176">
        <f t="shared" si="179"/>
        <v>0</v>
      </c>
      <c r="ED204" s="176">
        <f t="shared" si="179"/>
        <v>0</v>
      </c>
      <c r="EE204" s="176">
        <f t="shared" si="179"/>
        <v>0</v>
      </c>
      <c r="EF204" s="182">
        <f t="shared" si="179"/>
        <v>0</v>
      </c>
      <c r="EG204" s="182">
        <f t="shared" si="179"/>
        <v>0</v>
      </c>
      <c r="EH204" s="182">
        <f t="shared" si="179"/>
        <v>0</v>
      </c>
      <c r="EI204" s="182">
        <f t="shared" si="179"/>
        <v>0</v>
      </c>
      <c r="EJ204" s="182">
        <f t="shared" si="179"/>
        <v>0</v>
      </c>
      <c r="EK204" s="182">
        <f t="shared" si="179"/>
        <v>0</v>
      </c>
      <c r="EL204" s="182">
        <f t="shared" si="179"/>
        <v>0</v>
      </c>
      <c r="EM204" s="182">
        <f t="shared" si="179"/>
        <v>0</v>
      </c>
      <c r="EN204" s="182">
        <f t="shared" si="179"/>
        <v>0</v>
      </c>
      <c r="EO204" s="182">
        <f t="shared" si="179"/>
        <v>0</v>
      </c>
      <c r="EP204" s="182">
        <f t="shared" si="179"/>
        <v>0</v>
      </c>
      <c r="EQ204" s="182">
        <f t="shared" si="179"/>
        <v>0</v>
      </c>
      <c r="ER204" s="182">
        <f t="shared" si="179"/>
        <v>0</v>
      </c>
      <c r="ES204" s="182">
        <f t="shared" si="179"/>
        <v>0</v>
      </c>
      <c r="ET204" s="182">
        <f t="shared" si="179"/>
        <v>0</v>
      </c>
      <c r="EU204" s="182">
        <f t="shared" si="179"/>
        <v>0</v>
      </c>
      <c r="EV204" s="182">
        <f t="shared" si="179"/>
        <v>0</v>
      </c>
      <c r="EW204" s="182">
        <f t="shared" si="179"/>
        <v>0</v>
      </c>
      <c r="EX204" s="182">
        <f t="shared" si="179"/>
        <v>0</v>
      </c>
      <c r="EY204" s="182">
        <f t="shared" si="179"/>
        <v>0</v>
      </c>
      <c r="EZ204" s="182">
        <f t="shared" si="179"/>
        <v>0</v>
      </c>
      <c r="FA204" s="182">
        <f t="shared" si="179"/>
        <v>0</v>
      </c>
      <c r="FB204" s="183">
        <f t="shared" si="179"/>
        <v>0</v>
      </c>
    </row>
    <row r="205" spans="2:158" ht="12.75" customHeight="1" x14ac:dyDescent="0.3">
      <c r="B205" s="180" t="s">
        <v>3848</v>
      </c>
      <c r="C205" s="193">
        <v>0</v>
      </c>
      <c r="D205" s="182">
        <f t="shared" si="20"/>
        <v>0</v>
      </c>
      <c r="E205" s="182">
        <f t="shared" si="26"/>
        <v>0</v>
      </c>
      <c r="F205" s="182">
        <f t="shared" si="32"/>
        <v>0</v>
      </c>
      <c r="G205" s="182">
        <f t="shared" si="38"/>
        <v>0</v>
      </c>
      <c r="H205" s="182">
        <f t="shared" si="44"/>
        <v>0</v>
      </c>
      <c r="I205" s="176">
        <f t="shared" si="50"/>
        <v>0</v>
      </c>
      <c r="J205" s="182">
        <f t="shared" si="56"/>
        <v>0</v>
      </c>
      <c r="K205" s="182">
        <f t="shared" si="62"/>
        <v>0</v>
      </c>
      <c r="L205" s="182">
        <f t="shared" si="68"/>
        <v>0</v>
      </c>
      <c r="M205" s="182">
        <f t="shared" si="74"/>
        <v>0</v>
      </c>
      <c r="N205" s="182">
        <f t="shared" si="80"/>
        <v>0</v>
      </c>
      <c r="O205" s="182">
        <f t="shared" si="86"/>
        <v>0</v>
      </c>
      <c r="P205" s="182">
        <f t="shared" si="92"/>
        <v>0</v>
      </c>
      <c r="Q205" s="182">
        <f t="shared" si="98"/>
        <v>0</v>
      </c>
      <c r="R205" s="182">
        <f t="shared" si="104"/>
        <v>0</v>
      </c>
      <c r="S205" s="182">
        <f t="shared" si="110"/>
        <v>0</v>
      </c>
      <c r="T205" s="182">
        <f t="shared" si="116"/>
        <v>0</v>
      </c>
      <c r="U205" s="182">
        <f t="shared" si="122"/>
        <v>2.561554370776634E-2</v>
      </c>
      <c r="V205" s="182">
        <f t="shared" si="128"/>
        <v>0</v>
      </c>
      <c r="W205" s="182">
        <f t="shared" si="134"/>
        <v>0</v>
      </c>
      <c r="X205" s="182">
        <f t="shared" si="140"/>
        <v>0</v>
      </c>
      <c r="Y205" s="182">
        <f t="shared" si="145"/>
        <v>0</v>
      </c>
      <c r="Z205" s="182">
        <f t="shared" si="150"/>
        <v>0</v>
      </c>
      <c r="AA205" s="182">
        <f t="shared" si="155"/>
        <v>0</v>
      </c>
      <c r="AB205" s="182">
        <f t="shared" si="160"/>
        <v>0</v>
      </c>
      <c r="AC205" s="182">
        <f t="shared" si="165"/>
        <v>0</v>
      </c>
      <c r="AD205" s="182">
        <f t="shared" si="170"/>
        <v>0</v>
      </c>
      <c r="AE205" s="182">
        <f t="shared" si="175"/>
        <v>0</v>
      </c>
      <c r="AF205" s="182">
        <f t="shared" ref="AF205:AF236" si="180">AF38*AF$168</f>
        <v>4.7916136652384916E-11</v>
      </c>
      <c r="AG205" s="181">
        <f>$C205+SUM($D205:AF205,AH205:$FB205)-SUM(AG$176:AG204,AG206:AG$330)-AG$331</f>
        <v>0</v>
      </c>
      <c r="AH205" s="176">
        <f t="shared" ref="AH205:BM205" si="181">AH38*AH$168</f>
        <v>0</v>
      </c>
      <c r="AI205" s="176">
        <f t="shared" si="181"/>
        <v>0</v>
      </c>
      <c r="AJ205" s="176">
        <f t="shared" si="181"/>
        <v>0</v>
      </c>
      <c r="AK205" s="176">
        <f t="shared" si="181"/>
        <v>0</v>
      </c>
      <c r="AL205" s="176">
        <f t="shared" si="181"/>
        <v>0</v>
      </c>
      <c r="AM205" s="176">
        <f t="shared" si="181"/>
        <v>0</v>
      </c>
      <c r="AN205" s="176">
        <f t="shared" si="181"/>
        <v>0</v>
      </c>
      <c r="AO205" s="176">
        <f t="shared" si="181"/>
        <v>0</v>
      </c>
      <c r="AP205" s="176">
        <f t="shared" si="181"/>
        <v>0</v>
      </c>
      <c r="AQ205" s="176">
        <f t="shared" si="181"/>
        <v>0</v>
      </c>
      <c r="AR205" s="176">
        <f t="shared" si="181"/>
        <v>0</v>
      </c>
      <c r="AS205" s="176">
        <f t="shared" si="181"/>
        <v>0</v>
      </c>
      <c r="AT205" s="176">
        <f t="shared" si="181"/>
        <v>0</v>
      </c>
      <c r="AU205" s="176">
        <f t="shared" si="181"/>
        <v>0</v>
      </c>
      <c r="AV205" s="176">
        <f t="shared" si="181"/>
        <v>0</v>
      </c>
      <c r="AW205" s="176">
        <f t="shared" si="181"/>
        <v>0</v>
      </c>
      <c r="AX205" s="176">
        <f t="shared" si="181"/>
        <v>0</v>
      </c>
      <c r="AY205" s="176">
        <f t="shared" si="181"/>
        <v>0</v>
      </c>
      <c r="AZ205" s="176">
        <f t="shared" si="181"/>
        <v>0</v>
      </c>
      <c r="BA205" s="176">
        <f t="shared" si="181"/>
        <v>0</v>
      </c>
      <c r="BB205" s="176">
        <f t="shared" si="181"/>
        <v>0</v>
      </c>
      <c r="BC205" s="176">
        <f t="shared" si="181"/>
        <v>0</v>
      </c>
      <c r="BD205" s="176">
        <f t="shared" si="181"/>
        <v>0</v>
      </c>
      <c r="BE205" s="176">
        <f t="shared" si="181"/>
        <v>0</v>
      </c>
      <c r="BF205" s="176">
        <f t="shared" si="181"/>
        <v>0</v>
      </c>
      <c r="BG205" s="176">
        <f t="shared" si="181"/>
        <v>0</v>
      </c>
      <c r="BH205" s="176">
        <f t="shared" si="181"/>
        <v>0</v>
      </c>
      <c r="BI205" s="176">
        <f t="shared" si="181"/>
        <v>0</v>
      </c>
      <c r="BJ205" s="176">
        <f t="shared" si="181"/>
        <v>0</v>
      </c>
      <c r="BK205" s="176">
        <f t="shared" si="181"/>
        <v>0</v>
      </c>
      <c r="BL205" s="176">
        <f t="shared" si="181"/>
        <v>0</v>
      </c>
      <c r="BM205" s="176">
        <f t="shared" si="181"/>
        <v>0</v>
      </c>
      <c r="BN205" s="176">
        <f t="shared" ref="BN205:CS205" si="182">BN38*BN$168</f>
        <v>0</v>
      </c>
      <c r="BO205" s="176">
        <f t="shared" si="182"/>
        <v>0</v>
      </c>
      <c r="BP205" s="176">
        <f t="shared" si="182"/>
        <v>0</v>
      </c>
      <c r="BQ205" s="176">
        <f t="shared" si="182"/>
        <v>0</v>
      </c>
      <c r="BR205" s="176">
        <f t="shared" si="182"/>
        <v>0</v>
      </c>
      <c r="BS205" s="176">
        <f t="shared" si="182"/>
        <v>0</v>
      </c>
      <c r="BT205" s="176">
        <f t="shared" si="182"/>
        <v>0</v>
      </c>
      <c r="BU205" s="176">
        <f t="shared" si="182"/>
        <v>0</v>
      </c>
      <c r="BV205" s="176">
        <f t="shared" si="182"/>
        <v>0</v>
      </c>
      <c r="BW205" s="176">
        <f t="shared" si="182"/>
        <v>0</v>
      </c>
      <c r="BX205" s="176">
        <f t="shared" si="182"/>
        <v>0</v>
      </c>
      <c r="BY205" s="176">
        <f t="shared" si="182"/>
        <v>0</v>
      </c>
      <c r="BZ205" s="176">
        <f t="shared" si="182"/>
        <v>0</v>
      </c>
      <c r="CA205" s="176">
        <f t="shared" si="182"/>
        <v>0</v>
      </c>
      <c r="CB205" s="176">
        <f t="shared" si="182"/>
        <v>0</v>
      </c>
      <c r="CC205" s="176">
        <f t="shared" si="182"/>
        <v>0</v>
      </c>
      <c r="CD205" s="176">
        <f t="shared" si="182"/>
        <v>0</v>
      </c>
      <c r="CE205" s="176">
        <f t="shared" si="182"/>
        <v>0</v>
      </c>
      <c r="CF205" s="176">
        <f t="shared" si="182"/>
        <v>0</v>
      </c>
      <c r="CG205" s="176">
        <f t="shared" si="182"/>
        <v>0</v>
      </c>
      <c r="CH205" s="176">
        <f t="shared" si="182"/>
        <v>0</v>
      </c>
      <c r="CI205" s="176">
        <f t="shared" si="182"/>
        <v>0</v>
      </c>
      <c r="CJ205" s="176">
        <f t="shared" si="182"/>
        <v>0</v>
      </c>
      <c r="CK205" s="176">
        <f t="shared" si="182"/>
        <v>0</v>
      </c>
      <c r="CL205" s="176">
        <f t="shared" si="182"/>
        <v>0</v>
      </c>
      <c r="CM205" s="176">
        <f t="shared" si="182"/>
        <v>0</v>
      </c>
      <c r="CN205" s="176">
        <f t="shared" si="182"/>
        <v>0</v>
      </c>
      <c r="CO205" s="176">
        <f t="shared" si="182"/>
        <v>0</v>
      </c>
      <c r="CP205" s="176">
        <f t="shared" si="182"/>
        <v>0</v>
      </c>
      <c r="CQ205" s="176">
        <f t="shared" si="182"/>
        <v>0</v>
      </c>
      <c r="CR205" s="176">
        <f t="shared" si="182"/>
        <v>0</v>
      </c>
      <c r="CS205" s="176">
        <f t="shared" si="182"/>
        <v>0</v>
      </c>
      <c r="CT205" s="176">
        <f t="shared" ref="CT205:DY205" si="183">CT38*CT$168</f>
        <v>0</v>
      </c>
      <c r="CU205" s="176">
        <f t="shared" si="183"/>
        <v>0</v>
      </c>
      <c r="CV205" s="176">
        <f t="shared" si="183"/>
        <v>0</v>
      </c>
      <c r="CW205" s="176">
        <f t="shared" si="183"/>
        <v>0</v>
      </c>
      <c r="CX205" s="176">
        <f t="shared" si="183"/>
        <v>0</v>
      </c>
      <c r="CY205" s="176">
        <f t="shared" si="183"/>
        <v>0</v>
      </c>
      <c r="CZ205" s="176">
        <f t="shared" si="183"/>
        <v>0</v>
      </c>
      <c r="DA205" s="176">
        <f t="shared" si="183"/>
        <v>0</v>
      </c>
      <c r="DB205" s="176">
        <f t="shared" si="183"/>
        <v>0</v>
      </c>
      <c r="DC205" s="176">
        <f t="shared" si="183"/>
        <v>0</v>
      </c>
      <c r="DD205" s="176">
        <f t="shared" si="183"/>
        <v>0</v>
      </c>
      <c r="DE205" s="176">
        <f t="shared" si="183"/>
        <v>0</v>
      </c>
      <c r="DF205" s="176">
        <f t="shared" si="183"/>
        <v>0</v>
      </c>
      <c r="DG205" s="176">
        <f t="shared" si="183"/>
        <v>0</v>
      </c>
      <c r="DH205" s="176">
        <f t="shared" si="183"/>
        <v>0</v>
      </c>
      <c r="DI205" s="176">
        <f t="shared" si="183"/>
        <v>0</v>
      </c>
      <c r="DJ205" s="176">
        <f t="shared" si="183"/>
        <v>0</v>
      </c>
      <c r="DK205" s="176">
        <f t="shared" si="183"/>
        <v>0</v>
      </c>
      <c r="DL205" s="176">
        <f t="shared" si="183"/>
        <v>0</v>
      </c>
      <c r="DM205" s="176">
        <f t="shared" si="183"/>
        <v>0</v>
      </c>
      <c r="DN205" s="176">
        <f t="shared" si="183"/>
        <v>0</v>
      </c>
      <c r="DO205" s="176">
        <f t="shared" si="183"/>
        <v>0</v>
      </c>
      <c r="DP205" s="176">
        <f t="shared" si="183"/>
        <v>0</v>
      </c>
      <c r="DQ205" s="176">
        <f t="shared" si="183"/>
        <v>0</v>
      </c>
      <c r="DR205" s="176">
        <f t="shared" si="183"/>
        <v>0</v>
      </c>
      <c r="DS205" s="176">
        <f t="shared" si="183"/>
        <v>0</v>
      </c>
      <c r="DT205" s="176">
        <f t="shared" si="183"/>
        <v>0</v>
      </c>
      <c r="DU205" s="176">
        <f t="shared" si="183"/>
        <v>0</v>
      </c>
      <c r="DV205" s="176">
        <f t="shared" si="183"/>
        <v>0</v>
      </c>
      <c r="DW205" s="176">
        <f t="shared" si="183"/>
        <v>0</v>
      </c>
      <c r="DX205" s="176">
        <f t="shared" si="183"/>
        <v>0</v>
      </c>
      <c r="DY205" s="176">
        <f t="shared" si="183"/>
        <v>0</v>
      </c>
      <c r="DZ205" s="176">
        <f t="shared" ref="DZ205:FB205" si="184">DZ38*DZ$168</f>
        <v>0</v>
      </c>
      <c r="EA205" s="176">
        <f t="shared" si="184"/>
        <v>0</v>
      </c>
      <c r="EB205" s="176">
        <f t="shared" si="184"/>
        <v>0</v>
      </c>
      <c r="EC205" s="176">
        <f t="shared" si="184"/>
        <v>0</v>
      </c>
      <c r="ED205" s="176">
        <f t="shared" si="184"/>
        <v>0</v>
      </c>
      <c r="EE205" s="176">
        <f t="shared" si="184"/>
        <v>0</v>
      </c>
      <c r="EF205" s="182">
        <f t="shared" si="184"/>
        <v>0</v>
      </c>
      <c r="EG205" s="182">
        <f t="shared" si="184"/>
        <v>0</v>
      </c>
      <c r="EH205" s="182">
        <f t="shared" si="184"/>
        <v>0</v>
      </c>
      <c r="EI205" s="182">
        <f t="shared" si="184"/>
        <v>0</v>
      </c>
      <c r="EJ205" s="182">
        <f t="shared" si="184"/>
        <v>0</v>
      </c>
      <c r="EK205" s="182">
        <f t="shared" si="184"/>
        <v>0</v>
      </c>
      <c r="EL205" s="182">
        <f t="shared" si="184"/>
        <v>0</v>
      </c>
      <c r="EM205" s="182">
        <f t="shared" si="184"/>
        <v>0</v>
      </c>
      <c r="EN205" s="182">
        <f t="shared" si="184"/>
        <v>0</v>
      </c>
      <c r="EO205" s="182">
        <f t="shared" si="184"/>
        <v>0</v>
      </c>
      <c r="EP205" s="182">
        <f t="shared" si="184"/>
        <v>0</v>
      </c>
      <c r="EQ205" s="182">
        <f t="shared" si="184"/>
        <v>0</v>
      </c>
      <c r="ER205" s="182">
        <f t="shared" si="184"/>
        <v>0</v>
      </c>
      <c r="ES205" s="182">
        <f t="shared" si="184"/>
        <v>0</v>
      </c>
      <c r="ET205" s="182">
        <f t="shared" si="184"/>
        <v>0</v>
      </c>
      <c r="EU205" s="182">
        <f t="shared" si="184"/>
        <v>0</v>
      </c>
      <c r="EV205" s="182">
        <f t="shared" si="184"/>
        <v>0</v>
      </c>
      <c r="EW205" s="182">
        <f t="shared" si="184"/>
        <v>0</v>
      </c>
      <c r="EX205" s="182">
        <f t="shared" si="184"/>
        <v>0</v>
      </c>
      <c r="EY205" s="182">
        <f t="shared" si="184"/>
        <v>0</v>
      </c>
      <c r="EZ205" s="182">
        <f t="shared" si="184"/>
        <v>0</v>
      </c>
      <c r="FA205" s="182">
        <f t="shared" si="184"/>
        <v>0</v>
      </c>
      <c r="FB205" s="183">
        <f t="shared" si="184"/>
        <v>0</v>
      </c>
    </row>
    <row r="206" spans="2:158" ht="12.75" customHeight="1" x14ac:dyDescent="0.3">
      <c r="B206" s="180" t="s">
        <v>3849</v>
      </c>
      <c r="C206" s="193">
        <v>0</v>
      </c>
      <c r="D206" s="182">
        <f t="shared" si="20"/>
        <v>0</v>
      </c>
      <c r="E206" s="182">
        <f t="shared" si="26"/>
        <v>0</v>
      </c>
      <c r="F206" s="182">
        <f t="shared" si="32"/>
        <v>0</v>
      </c>
      <c r="G206" s="182">
        <f t="shared" si="38"/>
        <v>0</v>
      </c>
      <c r="H206" s="182">
        <f t="shared" si="44"/>
        <v>0</v>
      </c>
      <c r="I206" s="176">
        <f t="shared" si="50"/>
        <v>0</v>
      </c>
      <c r="J206" s="182">
        <f t="shared" si="56"/>
        <v>0</v>
      </c>
      <c r="K206" s="182">
        <f t="shared" si="62"/>
        <v>0</v>
      </c>
      <c r="L206" s="182">
        <f t="shared" si="68"/>
        <v>0</v>
      </c>
      <c r="M206" s="182">
        <f t="shared" si="74"/>
        <v>0</v>
      </c>
      <c r="N206" s="182">
        <f t="shared" si="80"/>
        <v>0</v>
      </c>
      <c r="O206" s="182">
        <f t="shared" si="86"/>
        <v>0</v>
      </c>
      <c r="P206" s="182">
        <f t="shared" si="92"/>
        <v>0</v>
      </c>
      <c r="Q206" s="182">
        <f t="shared" si="98"/>
        <v>0</v>
      </c>
      <c r="R206" s="182">
        <f t="shared" si="104"/>
        <v>0</v>
      </c>
      <c r="S206" s="182">
        <f t="shared" si="110"/>
        <v>0</v>
      </c>
      <c r="T206" s="182">
        <f t="shared" si="116"/>
        <v>0</v>
      </c>
      <c r="U206" s="182">
        <f t="shared" si="122"/>
        <v>0</v>
      </c>
      <c r="V206" s="182">
        <f t="shared" si="128"/>
        <v>0.1027889505423267</v>
      </c>
      <c r="W206" s="182">
        <f t="shared" si="134"/>
        <v>0</v>
      </c>
      <c r="X206" s="182">
        <f t="shared" si="140"/>
        <v>0</v>
      </c>
      <c r="Y206" s="182">
        <f t="shared" si="145"/>
        <v>0</v>
      </c>
      <c r="Z206" s="182">
        <f t="shared" si="150"/>
        <v>0</v>
      </c>
      <c r="AA206" s="182">
        <f t="shared" si="155"/>
        <v>0</v>
      </c>
      <c r="AB206" s="182">
        <f t="shared" si="160"/>
        <v>0</v>
      </c>
      <c r="AC206" s="182">
        <f t="shared" si="165"/>
        <v>0</v>
      </c>
      <c r="AD206" s="182">
        <f t="shared" si="170"/>
        <v>0</v>
      </c>
      <c r="AE206" s="182">
        <f t="shared" si="175"/>
        <v>0</v>
      </c>
      <c r="AF206" s="182">
        <f t="shared" si="180"/>
        <v>3.4129849712830654E-11</v>
      </c>
      <c r="AG206" s="182">
        <f t="shared" ref="AG206:AG237" si="185">AG39*AG$168</f>
        <v>0</v>
      </c>
      <c r="AH206" s="181">
        <f>$C206+SUM($D206:AG206,AI206:$FB206)-SUM(AH$176:AH205,AH207:AH$330)-AH$331</f>
        <v>-1.7347234759768071E-17</v>
      </c>
      <c r="AI206" s="176">
        <f t="shared" ref="AI206:BN206" si="186">AI39*AI$168</f>
        <v>0</v>
      </c>
      <c r="AJ206" s="176">
        <f t="shared" si="186"/>
        <v>0</v>
      </c>
      <c r="AK206" s="176">
        <f t="shared" si="186"/>
        <v>0</v>
      </c>
      <c r="AL206" s="176">
        <f t="shared" si="186"/>
        <v>0</v>
      </c>
      <c r="AM206" s="176">
        <f t="shared" si="186"/>
        <v>0</v>
      </c>
      <c r="AN206" s="176">
        <f t="shared" si="186"/>
        <v>0</v>
      </c>
      <c r="AO206" s="176">
        <f t="shared" si="186"/>
        <v>0</v>
      </c>
      <c r="AP206" s="176">
        <f t="shared" si="186"/>
        <v>0</v>
      </c>
      <c r="AQ206" s="176">
        <f t="shared" si="186"/>
        <v>0</v>
      </c>
      <c r="AR206" s="176">
        <f t="shared" si="186"/>
        <v>0</v>
      </c>
      <c r="AS206" s="176">
        <f t="shared" si="186"/>
        <v>0</v>
      </c>
      <c r="AT206" s="176">
        <f t="shared" si="186"/>
        <v>0</v>
      </c>
      <c r="AU206" s="176">
        <f t="shared" si="186"/>
        <v>0</v>
      </c>
      <c r="AV206" s="176">
        <f t="shared" si="186"/>
        <v>0</v>
      </c>
      <c r="AW206" s="176">
        <f t="shared" si="186"/>
        <v>0</v>
      </c>
      <c r="AX206" s="176">
        <f t="shared" si="186"/>
        <v>0</v>
      </c>
      <c r="AY206" s="176">
        <f t="shared" si="186"/>
        <v>0</v>
      </c>
      <c r="AZ206" s="176">
        <f t="shared" si="186"/>
        <v>0</v>
      </c>
      <c r="BA206" s="176">
        <f t="shared" si="186"/>
        <v>0</v>
      </c>
      <c r="BB206" s="176">
        <f t="shared" si="186"/>
        <v>0</v>
      </c>
      <c r="BC206" s="176">
        <f t="shared" si="186"/>
        <v>0</v>
      </c>
      <c r="BD206" s="176">
        <f t="shared" si="186"/>
        <v>0</v>
      </c>
      <c r="BE206" s="176">
        <f t="shared" si="186"/>
        <v>0</v>
      </c>
      <c r="BF206" s="176">
        <f t="shared" si="186"/>
        <v>0</v>
      </c>
      <c r="BG206" s="176">
        <f t="shared" si="186"/>
        <v>0</v>
      </c>
      <c r="BH206" s="176">
        <f t="shared" si="186"/>
        <v>0</v>
      </c>
      <c r="BI206" s="176">
        <f t="shared" si="186"/>
        <v>0</v>
      </c>
      <c r="BJ206" s="176">
        <f t="shared" si="186"/>
        <v>0</v>
      </c>
      <c r="BK206" s="176">
        <f t="shared" si="186"/>
        <v>0</v>
      </c>
      <c r="BL206" s="176">
        <f t="shared" si="186"/>
        <v>0</v>
      </c>
      <c r="BM206" s="176">
        <f t="shared" si="186"/>
        <v>0</v>
      </c>
      <c r="BN206" s="176">
        <f t="shared" si="186"/>
        <v>0</v>
      </c>
      <c r="BO206" s="176">
        <f t="shared" ref="BO206:CT206" si="187">BO39*BO$168</f>
        <v>0</v>
      </c>
      <c r="BP206" s="176">
        <f t="shared" si="187"/>
        <v>0</v>
      </c>
      <c r="BQ206" s="176">
        <f t="shared" si="187"/>
        <v>0</v>
      </c>
      <c r="BR206" s="176">
        <f t="shared" si="187"/>
        <v>0</v>
      </c>
      <c r="BS206" s="176">
        <f t="shared" si="187"/>
        <v>0</v>
      </c>
      <c r="BT206" s="176">
        <f t="shared" si="187"/>
        <v>0</v>
      </c>
      <c r="BU206" s="176">
        <f t="shared" si="187"/>
        <v>0</v>
      </c>
      <c r="BV206" s="176">
        <f t="shared" si="187"/>
        <v>0</v>
      </c>
      <c r="BW206" s="176">
        <f t="shared" si="187"/>
        <v>0</v>
      </c>
      <c r="BX206" s="176">
        <f t="shared" si="187"/>
        <v>0</v>
      </c>
      <c r="BY206" s="176">
        <f t="shared" si="187"/>
        <v>0</v>
      </c>
      <c r="BZ206" s="176">
        <f t="shared" si="187"/>
        <v>0</v>
      </c>
      <c r="CA206" s="176">
        <f t="shared" si="187"/>
        <v>0</v>
      </c>
      <c r="CB206" s="176">
        <f t="shared" si="187"/>
        <v>0</v>
      </c>
      <c r="CC206" s="176">
        <f t="shared" si="187"/>
        <v>0</v>
      </c>
      <c r="CD206" s="176">
        <f t="shared" si="187"/>
        <v>0</v>
      </c>
      <c r="CE206" s="176">
        <f t="shared" si="187"/>
        <v>0</v>
      </c>
      <c r="CF206" s="176">
        <f t="shared" si="187"/>
        <v>0</v>
      </c>
      <c r="CG206" s="176">
        <f t="shared" si="187"/>
        <v>0</v>
      </c>
      <c r="CH206" s="176">
        <f t="shared" si="187"/>
        <v>0</v>
      </c>
      <c r="CI206" s="176">
        <f t="shared" si="187"/>
        <v>0</v>
      </c>
      <c r="CJ206" s="176">
        <f t="shared" si="187"/>
        <v>0</v>
      </c>
      <c r="CK206" s="176">
        <f t="shared" si="187"/>
        <v>0</v>
      </c>
      <c r="CL206" s="176">
        <f t="shared" si="187"/>
        <v>0</v>
      </c>
      <c r="CM206" s="176">
        <f t="shared" si="187"/>
        <v>0</v>
      </c>
      <c r="CN206" s="176">
        <f t="shared" si="187"/>
        <v>0</v>
      </c>
      <c r="CO206" s="176">
        <f t="shared" si="187"/>
        <v>0</v>
      </c>
      <c r="CP206" s="176">
        <f t="shared" si="187"/>
        <v>0</v>
      </c>
      <c r="CQ206" s="176">
        <f t="shared" si="187"/>
        <v>0</v>
      </c>
      <c r="CR206" s="176">
        <f t="shared" si="187"/>
        <v>0</v>
      </c>
      <c r="CS206" s="176">
        <f t="shared" si="187"/>
        <v>0</v>
      </c>
      <c r="CT206" s="176">
        <f t="shared" si="187"/>
        <v>0</v>
      </c>
      <c r="CU206" s="176">
        <f t="shared" ref="CU206:DZ206" si="188">CU39*CU$168</f>
        <v>0</v>
      </c>
      <c r="CV206" s="176">
        <f t="shared" si="188"/>
        <v>0</v>
      </c>
      <c r="CW206" s="176">
        <f t="shared" si="188"/>
        <v>0</v>
      </c>
      <c r="CX206" s="176">
        <f t="shared" si="188"/>
        <v>0</v>
      </c>
      <c r="CY206" s="176">
        <f t="shared" si="188"/>
        <v>0</v>
      </c>
      <c r="CZ206" s="176">
        <f t="shared" si="188"/>
        <v>0</v>
      </c>
      <c r="DA206" s="176">
        <f t="shared" si="188"/>
        <v>0</v>
      </c>
      <c r="DB206" s="176">
        <f t="shared" si="188"/>
        <v>0</v>
      </c>
      <c r="DC206" s="176">
        <f t="shared" si="188"/>
        <v>0</v>
      </c>
      <c r="DD206" s="176">
        <f t="shared" si="188"/>
        <v>0</v>
      </c>
      <c r="DE206" s="176">
        <f t="shared" si="188"/>
        <v>0</v>
      </c>
      <c r="DF206" s="176">
        <f t="shared" si="188"/>
        <v>0</v>
      </c>
      <c r="DG206" s="176">
        <f t="shared" si="188"/>
        <v>0</v>
      </c>
      <c r="DH206" s="176">
        <f t="shared" si="188"/>
        <v>0</v>
      </c>
      <c r="DI206" s="176">
        <f t="shared" si="188"/>
        <v>0</v>
      </c>
      <c r="DJ206" s="176">
        <f t="shared" si="188"/>
        <v>0</v>
      </c>
      <c r="DK206" s="176">
        <f t="shared" si="188"/>
        <v>0</v>
      </c>
      <c r="DL206" s="176">
        <f t="shared" si="188"/>
        <v>0</v>
      </c>
      <c r="DM206" s="176">
        <f t="shared" si="188"/>
        <v>0</v>
      </c>
      <c r="DN206" s="176">
        <f t="shared" si="188"/>
        <v>0</v>
      </c>
      <c r="DO206" s="176">
        <f t="shared" si="188"/>
        <v>0</v>
      </c>
      <c r="DP206" s="176">
        <f t="shared" si="188"/>
        <v>0</v>
      </c>
      <c r="DQ206" s="176">
        <f t="shared" si="188"/>
        <v>0</v>
      </c>
      <c r="DR206" s="176">
        <f t="shared" si="188"/>
        <v>0</v>
      </c>
      <c r="DS206" s="176">
        <f t="shared" si="188"/>
        <v>0</v>
      </c>
      <c r="DT206" s="176">
        <f t="shared" si="188"/>
        <v>0</v>
      </c>
      <c r="DU206" s="176">
        <f t="shared" si="188"/>
        <v>0</v>
      </c>
      <c r="DV206" s="176">
        <f t="shared" si="188"/>
        <v>0</v>
      </c>
      <c r="DW206" s="176">
        <f t="shared" si="188"/>
        <v>0</v>
      </c>
      <c r="DX206" s="176">
        <f t="shared" si="188"/>
        <v>0</v>
      </c>
      <c r="DY206" s="176">
        <f t="shared" si="188"/>
        <v>0</v>
      </c>
      <c r="DZ206" s="176">
        <f t="shared" si="188"/>
        <v>0</v>
      </c>
      <c r="EA206" s="176">
        <f t="shared" ref="EA206:FB206" si="189">EA39*EA$168</f>
        <v>0</v>
      </c>
      <c r="EB206" s="176">
        <f t="shared" si="189"/>
        <v>0</v>
      </c>
      <c r="EC206" s="176">
        <f t="shared" si="189"/>
        <v>0</v>
      </c>
      <c r="ED206" s="176">
        <f t="shared" si="189"/>
        <v>0</v>
      </c>
      <c r="EE206" s="176">
        <f t="shared" si="189"/>
        <v>0</v>
      </c>
      <c r="EF206" s="182">
        <f t="shared" si="189"/>
        <v>0</v>
      </c>
      <c r="EG206" s="182">
        <f t="shared" si="189"/>
        <v>0</v>
      </c>
      <c r="EH206" s="182">
        <f t="shared" si="189"/>
        <v>0</v>
      </c>
      <c r="EI206" s="182">
        <f t="shared" si="189"/>
        <v>0</v>
      </c>
      <c r="EJ206" s="182">
        <f t="shared" si="189"/>
        <v>0</v>
      </c>
      <c r="EK206" s="182">
        <f t="shared" si="189"/>
        <v>0</v>
      </c>
      <c r="EL206" s="182">
        <f t="shared" si="189"/>
        <v>0</v>
      </c>
      <c r="EM206" s="182">
        <f t="shared" si="189"/>
        <v>0</v>
      </c>
      <c r="EN206" s="182">
        <f t="shared" si="189"/>
        <v>0</v>
      </c>
      <c r="EO206" s="182">
        <f t="shared" si="189"/>
        <v>0</v>
      </c>
      <c r="EP206" s="182">
        <f t="shared" si="189"/>
        <v>0</v>
      </c>
      <c r="EQ206" s="182">
        <f t="shared" si="189"/>
        <v>0</v>
      </c>
      <c r="ER206" s="182">
        <f t="shared" si="189"/>
        <v>0</v>
      </c>
      <c r="ES206" s="182">
        <f t="shared" si="189"/>
        <v>0</v>
      </c>
      <c r="ET206" s="182">
        <f t="shared" si="189"/>
        <v>0</v>
      </c>
      <c r="EU206" s="182">
        <f t="shared" si="189"/>
        <v>0</v>
      </c>
      <c r="EV206" s="182">
        <f t="shared" si="189"/>
        <v>0</v>
      </c>
      <c r="EW206" s="182">
        <f t="shared" si="189"/>
        <v>0</v>
      </c>
      <c r="EX206" s="182">
        <f t="shared" si="189"/>
        <v>0</v>
      </c>
      <c r="EY206" s="182">
        <f t="shared" si="189"/>
        <v>0</v>
      </c>
      <c r="EZ206" s="182">
        <f t="shared" si="189"/>
        <v>0</v>
      </c>
      <c r="FA206" s="182">
        <f t="shared" si="189"/>
        <v>0</v>
      </c>
      <c r="FB206" s="183">
        <f t="shared" si="189"/>
        <v>0</v>
      </c>
    </row>
    <row r="207" spans="2:158" ht="12.75" customHeight="1" x14ac:dyDescent="0.3">
      <c r="B207" s="180" t="s">
        <v>3850</v>
      </c>
      <c r="C207" s="193">
        <v>0</v>
      </c>
      <c r="D207" s="182">
        <f t="shared" si="20"/>
        <v>0</v>
      </c>
      <c r="E207" s="182">
        <f t="shared" si="26"/>
        <v>0</v>
      </c>
      <c r="F207" s="182">
        <f t="shared" si="32"/>
        <v>0</v>
      </c>
      <c r="G207" s="182">
        <f t="shared" si="38"/>
        <v>0</v>
      </c>
      <c r="H207" s="182">
        <f t="shared" si="44"/>
        <v>0</v>
      </c>
      <c r="I207" s="176">
        <f t="shared" si="50"/>
        <v>0</v>
      </c>
      <c r="J207" s="182">
        <f t="shared" si="56"/>
        <v>0</v>
      </c>
      <c r="K207" s="182">
        <f t="shared" si="62"/>
        <v>0</v>
      </c>
      <c r="L207" s="182">
        <f t="shared" si="68"/>
        <v>0</v>
      </c>
      <c r="M207" s="182">
        <f t="shared" si="74"/>
        <v>0</v>
      </c>
      <c r="N207" s="182">
        <f t="shared" si="80"/>
        <v>0</v>
      </c>
      <c r="O207" s="182">
        <f t="shared" si="86"/>
        <v>0</v>
      </c>
      <c r="P207" s="182">
        <f t="shared" si="92"/>
        <v>0</v>
      </c>
      <c r="Q207" s="182">
        <f t="shared" si="98"/>
        <v>0</v>
      </c>
      <c r="R207" s="182">
        <f t="shared" si="104"/>
        <v>0</v>
      </c>
      <c r="S207" s="182">
        <f t="shared" si="110"/>
        <v>0</v>
      </c>
      <c r="T207" s="182">
        <f t="shared" si="116"/>
        <v>0</v>
      </c>
      <c r="U207" s="182">
        <f t="shared" si="122"/>
        <v>0</v>
      </c>
      <c r="V207" s="182">
        <f t="shared" si="128"/>
        <v>0</v>
      </c>
      <c r="W207" s="182">
        <f t="shared" si="134"/>
        <v>0</v>
      </c>
      <c r="X207" s="182">
        <f t="shared" si="140"/>
        <v>0</v>
      </c>
      <c r="Y207" s="182">
        <f t="shared" si="145"/>
        <v>0</v>
      </c>
      <c r="Z207" s="182">
        <f t="shared" si="150"/>
        <v>0</v>
      </c>
      <c r="AA207" s="182">
        <f t="shared" si="155"/>
        <v>0</v>
      </c>
      <c r="AB207" s="182">
        <f t="shared" si="160"/>
        <v>0</v>
      </c>
      <c r="AC207" s="182">
        <f t="shared" si="165"/>
        <v>0</v>
      </c>
      <c r="AD207" s="182">
        <f t="shared" si="170"/>
        <v>0</v>
      </c>
      <c r="AE207" s="182">
        <f t="shared" si="175"/>
        <v>0</v>
      </c>
      <c r="AF207" s="182">
        <f t="shared" si="180"/>
        <v>0</v>
      </c>
      <c r="AG207" s="182">
        <f t="shared" si="185"/>
        <v>0</v>
      </c>
      <c r="AH207" s="182">
        <f t="shared" ref="AH207:AH238" si="190">AH40*AH$168</f>
        <v>0</v>
      </c>
      <c r="AI207" s="181">
        <f>$C207+SUM($D207:AH207,AJ207:$FB207)-SUM(AI$176:AI206,AI208:AI$330)-AI$331</f>
        <v>0</v>
      </c>
      <c r="AJ207" s="176">
        <f t="shared" ref="AJ207:BO207" si="191">AJ40*AJ$168</f>
        <v>0</v>
      </c>
      <c r="AK207" s="176">
        <f t="shared" si="191"/>
        <v>0</v>
      </c>
      <c r="AL207" s="176">
        <f t="shared" si="191"/>
        <v>0</v>
      </c>
      <c r="AM207" s="176">
        <f t="shared" si="191"/>
        <v>0</v>
      </c>
      <c r="AN207" s="176">
        <f t="shared" si="191"/>
        <v>0</v>
      </c>
      <c r="AO207" s="176">
        <f t="shared" si="191"/>
        <v>0</v>
      </c>
      <c r="AP207" s="176">
        <f t="shared" si="191"/>
        <v>0</v>
      </c>
      <c r="AQ207" s="176">
        <f t="shared" si="191"/>
        <v>0</v>
      </c>
      <c r="AR207" s="176">
        <f t="shared" si="191"/>
        <v>0</v>
      </c>
      <c r="AS207" s="176">
        <f t="shared" si="191"/>
        <v>0</v>
      </c>
      <c r="AT207" s="176">
        <f t="shared" si="191"/>
        <v>0</v>
      </c>
      <c r="AU207" s="176">
        <f t="shared" si="191"/>
        <v>0</v>
      </c>
      <c r="AV207" s="176">
        <f t="shared" si="191"/>
        <v>0</v>
      </c>
      <c r="AW207" s="176">
        <f t="shared" si="191"/>
        <v>0</v>
      </c>
      <c r="AX207" s="176">
        <f t="shared" si="191"/>
        <v>0</v>
      </c>
      <c r="AY207" s="176">
        <f t="shared" si="191"/>
        <v>0</v>
      </c>
      <c r="AZ207" s="176">
        <f t="shared" si="191"/>
        <v>0</v>
      </c>
      <c r="BA207" s="176">
        <f t="shared" si="191"/>
        <v>0</v>
      </c>
      <c r="BB207" s="176">
        <f t="shared" si="191"/>
        <v>0</v>
      </c>
      <c r="BC207" s="176">
        <f t="shared" si="191"/>
        <v>0</v>
      </c>
      <c r="BD207" s="176">
        <f t="shared" si="191"/>
        <v>0</v>
      </c>
      <c r="BE207" s="176">
        <f t="shared" si="191"/>
        <v>0</v>
      </c>
      <c r="BF207" s="176">
        <f t="shared" si="191"/>
        <v>0</v>
      </c>
      <c r="BG207" s="176">
        <f t="shared" si="191"/>
        <v>0</v>
      </c>
      <c r="BH207" s="176">
        <f t="shared" si="191"/>
        <v>0</v>
      </c>
      <c r="BI207" s="176">
        <f t="shared" si="191"/>
        <v>0</v>
      </c>
      <c r="BJ207" s="176">
        <f t="shared" si="191"/>
        <v>0</v>
      </c>
      <c r="BK207" s="176">
        <f t="shared" si="191"/>
        <v>0</v>
      </c>
      <c r="BL207" s="176">
        <f t="shared" si="191"/>
        <v>0</v>
      </c>
      <c r="BM207" s="176">
        <f t="shared" si="191"/>
        <v>0</v>
      </c>
      <c r="BN207" s="176">
        <f t="shared" si="191"/>
        <v>0</v>
      </c>
      <c r="BO207" s="176">
        <f t="shared" si="191"/>
        <v>0</v>
      </c>
      <c r="BP207" s="176">
        <f t="shared" ref="BP207:CU207" si="192">BP40*BP$168</f>
        <v>0</v>
      </c>
      <c r="BQ207" s="176">
        <f t="shared" si="192"/>
        <v>0</v>
      </c>
      <c r="BR207" s="176">
        <f t="shared" si="192"/>
        <v>0</v>
      </c>
      <c r="BS207" s="176">
        <f t="shared" si="192"/>
        <v>0</v>
      </c>
      <c r="BT207" s="176">
        <f t="shared" si="192"/>
        <v>0</v>
      </c>
      <c r="BU207" s="176">
        <f t="shared" si="192"/>
        <v>0</v>
      </c>
      <c r="BV207" s="176">
        <f t="shared" si="192"/>
        <v>0</v>
      </c>
      <c r="BW207" s="176">
        <f t="shared" si="192"/>
        <v>0</v>
      </c>
      <c r="BX207" s="176">
        <f t="shared" si="192"/>
        <v>0</v>
      </c>
      <c r="BY207" s="176">
        <f t="shared" si="192"/>
        <v>0</v>
      </c>
      <c r="BZ207" s="176">
        <f t="shared" si="192"/>
        <v>0</v>
      </c>
      <c r="CA207" s="176">
        <f t="shared" si="192"/>
        <v>0</v>
      </c>
      <c r="CB207" s="176">
        <f t="shared" si="192"/>
        <v>0</v>
      </c>
      <c r="CC207" s="176">
        <f t="shared" si="192"/>
        <v>0</v>
      </c>
      <c r="CD207" s="176">
        <f t="shared" si="192"/>
        <v>0</v>
      </c>
      <c r="CE207" s="176">
        <f t="shared" si="192"/>
        <v>0</v>
      </c>
      <c r="CF207" s="176">
        <f t="shared" si="192"/>
        <v>0</v>
      </c>
      <c r="CG207" s="176">
        <f t="shared" si="192"/>
        <v>0</v>
      </c>
      <c r="CH207" s="176">
        <f t="shared" si="192"/>
        <v>0</v>
      </c>
      <c r="CI207" s="176">
        <f t="shared" si="192"/>
        <v>0</v>
      </c>
      <c r="CJ207" s="176">
        <f t="shared" si="192"/>
        <v>0</v>
      </c>
      <c r="CK207" s="176">
        <f t="shared" si="192"/>
        <v>0</v>
      </c>
      <c r="CL207" s="176">
        <f t="shared" si="192"/>
        <v>0</v>
      </c>
      <c r="CM207" s="176">
        <f t="shared" si="192"/>
        <v>0</v>
      </c>
      <c r="CN207" s="176">
        <f t="shared" si="192"/>
        <v>0</v>
      </c>
      <c r="CO207" s="176">
        <f t="shared" si="192"/>
        <v>0</v>
      </c>
      <c r="CP207" s="176">
        <f t="shared" si="192"/>
        <v>0</v>
      </c>
      <c r="CQ207" s="176">
        <f t="shared" si="192"/>
        <v>0</v>
      </c>
      <c r="CR207" s="176">
        <f t="shared" si="192"/>
        <v>0</v>
      </c>
      <c r="CS207" s="176">
        <f t="shared" si="192"/>
        <v>0</v>
      </c>
      <c r="CT207" s="176">
        <f t="shared" si="192"/>
        <v>0</v>
      </c>
      <c r="CU207" s="176">
        <f t="shared" si="192"/>
        <v>0</v>
      </c>
      <c r="CV207" s="176">
        <f t="shared" ref="CV207:EA207" si="193">CV40*CV$168</f>
        <v>0</v>
      </c>
      <c r="CW207" s="176">
        <f t="shared" si="193"/>
        <v>0</v>
      </c>
      <c r="CX207" s="176">
        <f t="shared" si="193"/>
        <v>0</v>
      </c>
      <c r="CY207" s="176">
        <f t="shared" si="193"/>
        <v>0</v>
      </c>
      <c r="CZ207" s="176">
        <f t="shared" si="193"/>
        <v>0</v>
      </c>
      <c r="DA207" s="176">
        <f t="shared" si="193"/>
        <v>0</v>
      </c>
      <c r="DB207" s="176">
        <f t="shared" si="193"/>
        <v>0</v>
      </c>
      <c r="DC207" s="176">
        <f t="shared" si="193"/>
        <v>0</v>
      </c>
      <c r="DD207" s="176">
        <f t="shared" si="193"/>
        <v>0</v>
      </c>
      <c r="DE207" s="176">
        <f t="shared" si="193"/>
        <v>0</v>
      </c>
      <c r="DF207" s="176">
        <f t="shared" si="193"/>
        <v>0</v>
      </c>
      <c r="DG207" s="176">
        <f t="shared" si="193"/>
        <v>0</v>
      </c>
      <c r="DH207" s="176">
        <f t="shared" si="193"/>
        <v>0</v>
      </c>
      <c r="DI207" s="176">
        <f t="shared" si="193"/>
        <v>0</v>
      </c>
      <c r="DJ207" s="176">
        <f t="shared" si="193"/>
        <v>0</v>
      </c>
      <c r="DK207" s="176">
        <f t="shared" si="193"/>
        <v>0</v>
      </c>
      <c r="DL207" s="176">
        <f t="shared" si="193"/>
        <v>0</v>
      </c>
      <c r="DM207" s="176">
        <f t="shared" si="193"/>
        <v>0</v>
      </c>
      <c r="DN207" s="176">
        <f t="shared" si="193"/>
        <v>0</v>
      </c>
      <c r="DO207" s="176">
        <f t="shared" si="193"/>
        <v>0</v>
      </c>
      <c r="DP207" s="176">
        <f t="shared" si="193"/>
        <v>0</v>
      </c>
      <c r="DQ207" s="176">
        <f t="shared" si="193"/>
        <v>0</v>
      </c>
      <c r="DR207" s="176">
        <f t="shared" si="193"/>
        <v>0</v>
      </c>
      <c r="DS207" s="176">
        <f t="shared" si="193"/>
        <v>0</v>
      </c>
      <c r="DT207" s="176">
        <f t="shared" si="193"/>
        <v>0</v>
      </c>
      <c r="DU207" s="176">
        <f t="shared" si="193"/>
        <v>0</v>
      </c>
      <c r="DV207" s="176">
        <f t="shared" si="193"/>
        <v>0</v>
      </c>
      <c r="DW207" s="176">
        <f t="shared" si="193"/>
        <v>0</v>
      </c>
      <c r="DX207" s="176">
        <f t="shared" si="193"/>
        <v>0</v>
      </c>
      <c r="DY207" s="176">
        <f t="shared" si="193"/>
        <v>0</v>
      </c>
      <c r="DZ207" s="176">
        <f t="shared" si="193"/>
        <v>0</v>
      </c>
      <c r="EA207" s="176">
        <f t="shared" si="193"/>
        <v>0</v>
      </c>
      <c r="EB207" s="176">
        <f t="shared" ref="EB207:FB207" si="194">EB40*EB$168</f>
        <v>0</v>
      </c>
      <c r="EC207" s="176">
        <f t="shared" si="194"/>
        <v>0</v>
      </c>
      <c r="ED207" s="176">
        <f t="shared" si="194"/>
        <v>0</v>
      </c>
      <c r="EE207" s="176">
        <f t="shared" si="194"/>
        <v>0</v>
      </c>
      <c r="EF207" s="182">
        <f t="shared" si="194"/>
        <v>0</v>
      </c>
      <c r="EG207" s="182">
        <f t="shared" si="194"/>
        <v>0</v>
      </c>
      <c r="EH207" s="182">
        <f t="shared" si="194"/>
        <v>0</v>
      </c>
      <c r="EI207" s="182">
        <f t="shared" si="194"/>
        <v>0</v>
      </c>
      <c r="EJ207" s="182">
        <f t="shared" si="194"/>
        <v>0</v>
      </c>
      <c r="EK207" s="182">
        <f t="shared" si="194"/>
        <v>0</v>
      </c>
      <c r="EL207" s="182">
        <f t="shared" si="194"/>
        <v>0</v>
      </c>
      <c r="EM207" s="182">
        <f t="shared" si="194"/>
        <v>0</v>
      </c>
      <c r="EN207" s="182">
        <f t="shared" si="194"/>
        <v>0</v>
      </c>
      <c r="EO207" s="182">
        <f t="shared" si="194"/>
        <v>0</v>
      </c>
      <c r="EP207" s="182">
        <f t="shared" si="194"/>
        <v>0</v>
      </c>
      <c r="EQ207" s="182">
        <f t="shared" si="194"/>
        <v>0</v>
      </c>
      <c r="ER207" s="182">
        <f t="shared" si="194"/>
        <v>0</v>
      </c>
      <c r="ES207" s="182">
        <f t="shared" si="194"/>
        <v>0</v>
      </c>
      <c r="ET207" s="182">
        <f t="shared" si="194"/>
        <v>0</v>
      </c>
      <c r="EU207" s="182">
        <f t="shared" si="194"/>
        <v>0</v>
      </c>
      <c r="EV207" s="182">
        <f t="shared" si="194"/>
        <v>0</v>
      </c>
      <c r="EW207" s="182">
        <f t="shared" si="194"/>
        <v>0</v>
      </c>
      <c r="EX207" s="182">
        <f t="shared" si="194"/>
        <v>0</v>
      </c>
      <c r="EY207" s="182">
        <f t="shared" si="194"/>
        <v>0</v>
      </c>
      <c r="EZ207" s="182">
        <f t="shared" si="194"/>
        <v>0</v>
      </c>
      <c r="FA207" s="182">
        <f t="shared" si="194"/>
        <v>0</v>
      </c>
      <c r="FB207" s="183">
        <f t="shared" si="194"/>
        <v>0</v>
      </c>
    </row>
    <row r="208" spans="2:158" ht="12.75" customHeight="1" x14ac:dyDescent="0.3">
      <c r="B208" s="180" t="s">
        <v>3851</v>
      </c>
      <c r="C208" s="193">
        <v>0</v>
      </c>
      <c r="D208" s="182">
        <f t="shared" si="20"/>
        <v>0</v>
      </c>
      <c r="E208" s="182">
        <f t="shared" si="26"/>
        <v>2.786429077193962E-2</v>
      </c>
      <c r="F208" s="182">
        <f t="shared" si="32"/>
        <v>0</v>
      </c>
      <c r="G208" s="182">
        <f t="shared" si="38"/>
        <v>0</v>
      </c>
      <c r="H208" s="182">
        <f t="shared" si="44"/>
        <v>7.9475106303881649E-3</v>
      </c>
      <c r="I208" s="176">
        <f t="shared" si="50"/>
        <v>0</v>
      </c>
      <c r="J208" s="182">
        <f t="shared" si="56"/>
        <v>0</v>
      </c>
      <c r="K208" s="182">
        <f t="shared" si="62"/>
        <v>0</v>
      </c>
      <c r="L208" s="182">
        <f t="shared" si="68"/>
        <v>0</v>
      </c>
      <c r="M208" s="182">
        <f t="shared" si="74"/>
        <v>0</v>
      </c>
      <c r="N208" s="182">
        <f t="shared" si="80"/>
        <v>0</v>
      </c>
      <c r="O208" s="182">
        <f t="shared" si="86"/>
        <v>0</v>
      </c>
      <c r="P208" s="182">
        <f t="shared" si="92"/>
        <v>0</v>
      </c>
      <c r="Q208" s="182">
        <f t="shared" si="98"/>
        <v>0</v>
      </c>
      <c r="R208" s="182">
        <f t="shared" si="104"/>
        <v>0</v>
      </c>
      <c r="S208" s="182">
        <f t="shared" si="110"/>
        <v>0</v>
      </c>
      <c r="T208" s="182">
        <f t="shared" si="116"/>
        <v>0</v>
      </c>
      <c r="U208" s="182">
        <f t="shared" si="122"/>
        <v>0</v>
      </c>
      <c r="V208" s="182">
        <f t="shared" si="128"/>
        <v>0</v>
      </c>
      <c r="W208" s="182">
        <f t="shared" si="134"/>
        <v>0</v>
      </c>
      <c r="X208" s="182">
        <f t="shared" si="140"/>
        <v>0</v>
      </c>
      <c r="Y208" s="182">
        <f t="shared" si="145"/>
        <v>0</v>
      </c>
      <c r="Z208" s="182">
        <f t="shared" si="150"/>
        <v>0</v>
      </c>
      <c r="AA208" s="182">
        <f t="shared" si="155"/>
        <v>0</v>
      </c>
      <c r="AB208" s="182">
        <f t="shared" si="160"/>
        <v>0</v>
      </c>
      <c r="AC208" s="182">
        <f t="shared" si="165"/>
        <v>0</v>
      </c>
      <c r="AD208" s="182">
        <f t="shared" si="170"/>
        <v>0</v>
      </c>
      <c r="AE208" s="182">
        <f t="shared" si="175"/>
        <v>0</v>
      </c>
      <c r="AF208" s="182">
        <f t="shared" si="180"/>
        <v>0</v>
      </c>
      <c r="AG208" s="182">
        <f t="shared" si="185"/>
        <v>0</v>
      </c>
      <c r="AH208" s="182">
        <f t="shared" si="190"/>
        <v>0</v>
      </c>
      <c r="AI208" s="182">
        <f t="shared" ref="AI208:AI239" si="195">AI41*AI$168</f>
        <v>0</v>
      </c>
      <c r="AJ208" s="181">
        <f>$C208+SUM($D208:AI208,AK208:$FB208)-SUM(AJ$176:AJ207,AJ209:AJ$330)-AJ$331</f>
        <v>8.7951333137953723E-18</v>
      </c>
      <c r="AK208" s="176">
        <f t="shared" ref="AK208:BP208" si="196">AK41*AK$168</f>
        <v>0</v>
      </c>
      <c r="AL208" s="176">
        <f t="shared" si="196"/>
        <v>0</v>
      </c>
      <c r="AM208" s="176">
        <f t="shared" si="196"/>
        <v>0</v>
      </c>
      <c r="AN208" s="176">
        <f t="shared" si="196"/>
        <v>0</v>
      </c>
      <c r="AO208" s="176">
        <f t="shared" si="196"/>
        <v>0</v>
      </c>
      <c r="AP208" s="176">
        <f t="shared" si="196"/>
        <v>0</v>
      </c>
      <c r="AQ208" s="176">
        <f t="shared" si="196"/>
        <v>0</v>
      </c>
      <c r="AR208" s="176">
        <f t="shared" si="196"/>
        <v>0</v>
      </c>
      <c r="AS208" s="176">
        <f t="shared" si="196"/>
        <v>0</v>
      </c>
      <c r="AT208" s="176">
        <f t="shared" si="196"/>
        <v>0</v>
      </c>
      <c r="AU208" s="176">
        <f t="shared" si="196"/>
        <v>0</v>
      </c>
      <c r="AV208" s="176">
        <f t="shared" si="196"/>
        <v>0</v>
      </c>
      <c r="AW208" s="176">
        <f t="shared" si="196"/>
        <v>0</v>
      </c>
      <c r="AX208" s="176">
        <f t="shared" si="196"/>
        <v>0</v>
      </c>
      <c r="AY208" s="176">
        <f t="shared" si="196"/>
        <v>0</v>
      </c>
      <c r="AZ208" s="176">
        <f t="shared" si="196"/>
        <v>0</v>
      </c>
      <c r="BA208" s="176">
        <f t="shared" si="196"/>
        <v>0</v>
      </c>
      <c r="BB208" s="176">
        <f t="shared" si="196"/>
        <v>0</v>
      </c>
      <c r="BC208" s="176">
        <f t="shared" si="196"/>
        <v>0</v>
      </c>
      <c r="BD208" s="176">
        <f t="shared" si="196"/>
        <v>0</v>
      </c>
      <c r="BE208" s="176">
        <f t="shared" si="196"/>
        <v>0</v>
      </c>
      <c r="BF208" s="176">
        <f t="shared" si="196"/>
        <v>0</v>
      </c>
      <c r="BG208" s="176">
        <f t="shared" si="196"/>
        <v>0</v>
      </c>
      <c r="BH208" s="176">
        <f t="shared" si="196"/>
        <v>0</v>
      </c>
      <c r="BI208" s="176">
        <f t="shared" si="196"/>
        <v>0</v>
      </c>
      <c r="BJ208" s="176">
        <f t="shared" si="196"/>
        <v>0</v>
      </c>
      <c r="BK208" s="176">
        <f t="shared" si="196"/>
        <v>0</v>
      </c>
      <c r="BL208" s="176">
        <f t="shared" si="196"/>
        <v>0</v>
      </c>
      <c r="BM208" s="176">
        <f t="shared" si="196"/>
        <v>0</v>
      </c>
      <c r="BN208" s="176">
        <f t="shared" si="196"/>
        <v>0</v>
      </c>
      <c r="BO208" s="176">
        <f t="shared" si="196"/>
        <v>0</v>
      </c>
      <c r="BP208" s="176">
        <f t="shared" si="196"/>
        <v>0</v>
      </c>
      <c r="BQ208" s="176">
        <f t="shared" ref="BQ208:CV208" si="197">BQ41*BQ$168</f>
        <v>0</v>
      </c>
      <c r="BR208" s="176">
        <f t="shared" si="197"/>
        <v>0</v>
      </c>
      <c r="BS208" s="176">
        <f t="shared" si="197"/>
        <v>0</v>
      </c>
      <c r="BT208" s="176">
        <f t="shared" si="197"/>
        <v>0</v>
      </c>
      <c r="BU208" s="176">
        <f t="shared" si="197"/>
        <v>0</v>
      </c>
      <c r="BV208" s="176">
        <f t="shared" si="197"/>
        <v>0</v>
      </c>
      <c r="BW208" s="176">
        <f t="shared" si="197"/>
        <v>0</v>
      </c>
      <c r="BX208" s="176">
        <f t="shared" si="197"/>
        <v>0</v>
      </c>
      <c r="BY208" s="176">
        <f t="shared" si="197"/>
        <v>0</v>
      </c>
      <c r="BZ208" s="176">
        <f t="shared" si="197"/>
        <v>0</v>
      </c>
      <c r="CA208" s="176">
        <f t="shared" si="197"/>
        <v>0</v>
      </c>
      <c r="CB208" s="176">
        <f t="shared" si="197"/>
        <v>0</v>
      </c>
      <c r="CC208" s="176">
        <f t="shared" si="197"/>
        <v>0</v>
      </c>
      <c r="CD208" s="176">
        <f t="shared" si="197"/>
        <v>0</v>
      </c>
      <c r="CE208" s="176">
        <f t="shared" si="197"/>
        <v>0</v>
      </c>
      <c r="CF208" s="176">
        <f t="shared" si="197"/>
        <v>0</v>
      </c>
      <c r="CG208" s="176">
        <f t="shared" si="197"/>
        <v>0</v>
      </c>
      <c r="CH208" s="176">
        <f t="shared" si="197"/>
        <v>0</v>
      </c>
      <c r="CI208" s="176">
        <f t="shared" si="197"/>
        <v>0</v>
      </c>
      <c r="CJ208" s="176">
        <f t="shared" si="197"/>
        <v>0</v>
      </c>
      <c r="CK208" s="176">
        <f t="shared" si="197"/>
        <v>0</v>
      </c>
      <c r="CL208" s="176">
        <f t="shared" si="197"/>
        <v>0</v>
      </c>
      <c r="CM208" s="176">
        <f t="shared" si="197"/>
        <v>0</v>
      </c>
      <c r="CN208" s="176">
        <f t="shared" si="197"/>
        <v>0</v>
      </c>
      <c r="CO208" s="176">
        <f t="shared" si="197"/>
        <v>0</v>
      </c>
      <c r="CP208" s="176">
        <f t="shared" si="197"/>
        <v>0</v>
      </c>
      <c r="CQ208" s="176">
        <f t="shared" si="197"/>
        <v>0</v>
      </c>
      <c r="CR208" s="176">
        <f t="shared" si="197"/>
        <v>0</v>
      </c>
      <c r="CS208" s="176">
        <f t="shared" si="197"/>
        <v>0</v>
      </c>
      <c r="CT208" s="176">
        <f t="shared" si="197"/>
        <v>0</v>
      </c>
      <c r="CU208" s="176">
        <f t="shared" si="197"/>
        <v>0</v>
      </c>
      <c r="CV208" s="176">
        <f t="shared" si="197"/>
        <v>0</v>
      </c>
      <c r="CW208" s="176">
        <f t="shared" ref="CW208:EB208" si="198">CW41*CW$168</f>
        <v>0</v>
      </c>
      <c r="CX208" s="176">
        <f t="shared" si="198"/>
        <v>0</v>
      </c>
      <c r="CY208" s="176">
        <f t="shared" si="198"/>
        <v>0</v>
      </c>
      <c r="CZ208" s="176">
        <f t="shared" si="198"/>
        <v>0</v>
      </c>
      <c r="DA208" s="176">
        <f t="shared" si="198"/>
        <v>0</v>
      </c>
      <c r="DB208" s="176">
        <f t="shared" si="198"/>
        <v>0</v>
      </c>
      <c r="DC208" s="176">
        <f t="shared" si="198"/>
        <v>0</v>
      </c>
      <c r="DD208" s="176">
        <f t="shared" si="198"/>
        <v>0</v>
      </c>
      <c r="DE208" s="176">
        <f t="shared" si="198"/>
        <v>0</v>
      </c>
      <c r="DF208" s="176">
        <f t="shared" si="198"/>
        <v>0</v>
      </c>
      <c r="DG208" s="176">
        <f t="shared" si="198"/>
        <v>0</v>
      </c>
      <c r="DH208" s="176">
        <f t="shared" si="198"/>
        <v>0</v>
      </c>
      <c r="DI208" s="176">
        <f t="shared" si="198"/>
        <v>0</v>
      </c>
      <c r="DJ208" s="176">
        <f t="shared" si="198"/>
        <v>0</v>
      </c>
      <c r="DK208" s="176">
        <f t="shared" si="198"/>
        <v>0</v>
      </c>
      <c r="DL208" s="176">
        <f t="shared" si="198"/>
        <v>0</v>
      </c>
      <c r="DM208" s="176">
        <f t="shared" si="198"/>
        <v>0</v>
      </c>
      <c r="DN208" s="176">
        <f t="shared" si="198"/>
        <v>0</v>
      </c>
      <c r="DO208" s="176">
        <f t="shared" si="198"/>
        <v>0</v>
      </c>
      <c r="DP208" s="176">
        <f t="shared" si="198"/>
        <v>0</v>
      </c>
      <c r="DQ208" s="176">
        <f t="shared" si="198"/>
        <v>0</v>
      </c>
      <c r="DR208" s="176">
        <f t="shared" si="198"/>
        <v>0</v>
      </c>
      <c r="DS208" s="176">
        <f t="shared" si="198"/>
        <v>0</v>
      </c>
      <c r="DT208" s="176">
        <f t="shared" si="198"/>
        <v>0</v>
      </c>
      <c r="DU208" s="176">
        <f t="shared" si="198"/>
        <v>0</v>
      </c>
      <c r="DV208" s="176">
        <f t="shared" si="198"/>
        <v>0</v>
      </c>
      <c r="DW208" s="176">
        <f t="shared" si="198"/>
        <v>0</v>
      </c>
      <c r="DX208" s="176">
        <f t="shared" si="198"/>
        <v>0</v>
      </c>
      <c r="DY208" s="176">
        <f t="shared" si="198"/>
        <v>0</v>
      </c>
      <c r="DZ208" s="176">
        <f t="shared" si="198"/>
        <v>0</v>
      </c>
      <c r="EA208" s="176">
        <f t="shared" si="198"/>
        <v>0</v>
      </c>
      <c r="EB208" s="176">
        <f t="shared" si="198"/>
        <v>0</v>
      </c>
      <c r="EC208" s="176">
        <f t="shared" ref="EC208:FB208" si="199">EC41*EC$168</f>
        <v>0</v>
      </c>
      <c r="ED208" s="176">
        <f t="shared" si="199"/>
        <v>0</v>
      </c>
      <c r="EE208" s="176">
        <f t="shared" si="199"/>
        <v>0</v>
      </c>
      <c r="EF208" s="182">
        <f t="shared" si="199"/>
        <v>0</v>
      </c>
      <c r="EG208" s="182">
        <f t="shared" si="199"/>
        <v>0</v>
      </c>
      <c r="EH208" s="182">
        <f t="shared" si="199"/>
        <v>0</v>
      </c>
      <c r="EI208" s="182">
        <f t="shared" si="199"/>
        <v>0</v>
      </c>
      <c r="EJ208" s="182">
        <f t="shared" si="199"/>
        <v>0</v>
      </c>
      <c r="EK208" s="182">
        <f t="shared" si="199"/>
        <v>0</v>
      </c>
      <c r="EL208" s="182">
        <f t="shared" si="199"/>
        <v>0</v>
      </c>
      <c r="EM208" s="182">
        <f t="shared" si="199"/>
        <v>0</v>
      </c>
      <c r="EN208" s="182">
        <f t="shared" si="199"/>
        <v>0</v>
      </c>
      <c r="EO208" s="182">
        <f t="shared" si="199"/>
        <v>0</v>
      </c>
      <c r="EP208" s="182">
        <f t="shared" si="199"/>
        <v>0</v>
      </c>
      <c r="EQ208" s="182">
        <f t="shared" si="199"/>
        <v>0</v>
      </c>
      <c r="ER208" s="182">
        <f t="shared" si="199"/>
        <v>0</v>
      </c>
      <c r="ES208" s="182">
        <f t="shared" si="199"/>
        <v>0</v>
      </c>
      <c r="ET208" s="182">
        <f t="shared" si="199"/>
        <v>0</v>
      </c>
      <c r="EU208" s="182">
        <f t="shared" si="199"/>
        <v>0</v>
      </c>
      <c r="EV208" s="182">
        <f t="shared" si="199"/>
        <v>0</v>
      </c>
      <c r="EW208" s="182">
        <f t="shared" si="199"/>
        <v>0</v>
      </c>
      <c r="EX208" s="182">
        <f t="shared" si="199"/>
        <v>0</v>
      </c>
      <c r="EY208" s="182">
        <f t="shared" si="199"/>
        <v>0</v>
      </c>
      <c r="EZ208" s="182">
        <f t="shared" si="199"/>
        <v>0</v>
      </c>
      <c r="FA208" s="182">
        <f t="shared" si="199"/>
        <v>0</v>
      </c>
      <c r="FB208" s="183">
        <f t="shared" si="199"/>
        <v>0</v>
      </c>
    </row>
    <row r="209" spans="2:158" ht="12.75" customHeight="1" x14ac:dyDescent="0.3">
      <c r="B209" s="180" t="s">
        <v>3852</v>
      </c>
      <c r="C209" s="193">
        <v>0</v>
      </c>
      <c r="D209" s="182">
        <f t="shared" ref="D209:D240" si="200">D42*D$168</f>
        <v>0</v>
      </c>
      <c r="E209" s="182">
        <f t="shared" si="26"/>
        <v>0</v>
      </c>
      <c r="F209" s="182">
        <f t="shared" si="32"/>
        <v>1.223772604538137E-2</v>
      </c>
      <c r="G209" s="182">
        <f t="shared" si="38"/>
        <v>0</v>
      </c>
      <c r="H209" s="182">
        <f t="shared" si="44"/>
        <v>0</v>
      </c>
      <c r="I209" s="176">
        <f t="shared" si="50"/>
        <v>7.8499545989911719E-3</v>
      </c>
      <c r="J209" s="182">
        <f t="shared" si="56"/>
        <v>0</v>
      </c>
      <c r="K209" s="182">
        <f t="shared" si="62"/>
        <v>0</v>
      </c>
      <c r="L209" s="182">
        <f t="shared" si="68"/>
        <v>0</v>
      </c>
      <c r="M209" s="182">
        <f t="shared" si="74"/>
        <v>0</v>
      </c>
      <c r="N209" s="182">
        <f t="shared" si="80"/>
        <v>0</v>
      </c>
      <c r="O209" s="182">
        <f t="shared" si="86"/>
        <v>0</v>
      </c>
      <c r="P209" s="182">
        <f t="shared" si="92"/>
        <v>0</v>
      </c>
      <c r="Q209" s="182">
        <f t="shared" si="98"/>
        <v>0</v>
      </c>
      <c r="R209" s="182">
        <f t="shared" si="104"/>
        <v>0</v>
      </c>
      <c r="S209" s="182">
        <f t="shared" si="110"/>
        <v>0</v>
      </c>
      <c r="T209" s="182">
        <f t="shared" si="116"/>
        <v>0</v>
      </c>
      <c r="U209" s="182">
        <f t="shared" si="122"/>
        <v>0</v>
      </c>
      <c r="V209" s="182">
        <f t="shared" si="128"/>
        <v>0</v>
      </c>
      <c r="W209" s="182">
        <f t="shared" si="134"/>
        <v>0</v>
      </c>
      <c r="X209" s="182">
        <f t="shared" si="140"/>
        <v>0</v>
      </c>
      <c r="Y209" s="182">
        <f t="shared" si="145"/>
        <v>0</v>
      </c>
      <c r="Z209" s="182">
        <f t="shared" si="150"/>
        <v>0</v>
      </c>
      <c r="AA209" s="182">
        <f t="shared" si="155"/>
        <v>0</v>
      </c>
      <c r="AB209" s="182">
        <f t="shared" si="160"/>
        <v>0</v>
      </c>
      <c r="AC209" s="182">
        <f t="shared" si="165"/>
        <v>0</v>
      </c>
      <c r="AD209" s="182">
        <f t="shared" si="170"/>
        <v>0</v>
      </c>
      <c r="AE209" s="182">
        <f t="shared" si="175"/>
        <v>0</v>
      </c>
      <c r="AF209" s="182">
        <f t="shared" si="180"/>
        <v>0</v>
      </c>
      <c r="AG209" s="182">
        <f t="shared" si="185"/>
        <v>0</v>
      </c>
      <c r="AH209" s="182">
        <f t="shared" si="190"/>
        <v>0</v>
      </c>
      <c r="AI209" s="182">
        <f t="shared" si="195"/>
        <v>0</v>
      </c>
      <c r="AJ209" s="182">
        <f t="shared" ref="AJ209:AJ240" si="201">AJ42*AJ$168</f>
        <v>2.7349294348529285E-2</v>
      </c>
      <c r="AK209" s="181">
        <f>$C209+SUM($D209:AJ209,AL209:$FB209)-SUM(AK$176:AK208,AK210:AK$330)-AK$331</f>
        <v>-1.22514845490862E-17</v>
      </c>
      <c r="AL209" s="176">
        <f t="shared" ref="AL209:BQ209" si="202">AL42*AL$168</f>
        <v>0</v>
      </c>
      <c r="AM209" s="176">
        <f t="shared" si="202"/>
        <v>0</v>
      </c>
      <c r="AN209" s="176">
        <f t="shared" si="202"/>
        <v>0</v>
      </c>
      <c r="AO209" s="176">
        <f t="shared" si="202"/>
        <v>0</v>
      </c>
      <c r="AP209" s="176">
        <f t="shared" si="202"/>
        <v>0</v>
      </c>
      <c r="AQ209" s="176">
        <f t="shared" si="202"/>
        <v>0</v>
      </c>
      <c r="AR209" s="176">
        <f t="shared" si="202"/>
        <v>0</v>
      </c>
      <c r="AS209" s="176">
        <f t="shared" si="202"/>
        <v>0</v>
      </c>
      <c r="AT209" s="176">
        <f t="shared" si="202"/>
        <v>0</v>
      </c>
      <c r="AU209" s="176">
        <f t="shared" si="202"/>
        <v>0</v>
      </c>
      <c r="AV209" s="176">
        <f t="shared" si="202"/>
        <v>0</v>
      </c>
      <c r="AW209" s="176">
        <f t="shared" si="202"/>
        <v>0</v>
      </c>
      <c r="AX209" s="176">
        <f t="shared" si="202"/>
        <v>0</v>
      </c>
      <c r="AY209" s="176">
        <f t="shared" si="202"/>
        <v>0</v>
      </c>
      <c r="AZ209" s="176">
        <f t="shared" si="202"/>
        <v>0</v>
      </c>
      <c r="BA209" s="176">
        <f t="shared" si="202"/>
        <v>0</v>
      </c>
      <c r="BB209" s="176">
        <f t="shared" si="202"/>
        <v>0</v>
      </c>
      <c r="BC209" s="176">
        <f t="shared" si="202"/>
        <v>0</v>
      </c>
      <c r="BD209" s="176">
        <f t="shared" si="202"/>
        <v>0</v>
      </c>
      <c r="BE209" s="176">
        <f t="shared" si="202"/>
        <v>0</v>
      </c>
      <c r="BF209" s="176">
        <f t="shared" si="202"/>
        <v>0</v>
      </c>
      <c r="BG209" s="176">
        <f t="shared" si="202"/>
        <v>0</v>
      </c>
      <c r="BH209" s="176">
        <f t="shared" si="202"/>
        <v>0</v>
      </c>
      <c r="BI209" s="176">
        <f t="shared" si="202"/>
        <v>0</v>
      </c>
      <c r="BJ209" s="176">
        <f t="shared" si="202"/>
        <v>0</v>
      </c>
      <c r="BK209" s="176">
        <f t="shared" si="202"/>
        <v>0</v>
      </c>
      <c r="BL209" s="176">
        <f t="shared" si="202"/>
        <v>0</v>
      </c>
      <c r="BM209" s="176">
        <f t="shared" si="202"/>
        <v>0</v>
      </c>
      <c r="BN209" s="176">
        <f t="shared" si="202"/>
        <v>0</v>
      </c>
      <c r="BO209" s="176">
        <f t="shared" si="202"/>
        <v>0</v>
      </c>
      <c r="BP209" s="176">
        <f t="shared" si="202"/>
        <v>0</v>
      </c>
      <c r="BQ209" s="176">
        <f t="shared" si="202"/>
        <v>0</v>
      </c>
      <c r="BR209" s="176">
        <f t="shared" ref="BR209:CW209" si="203">BR42*BR$168</f>
        <v>0</v>
      </c>
      <c r="BS209" s="176">
        <f t="shared" si="203"/>
        <v>0</v>
      </c>
      <c r="BT209" s="176">
        <f t="shared" si="203"/>
        <v>0</v>
      </c>
      <c r="BU209" s="176">
        <f t="shared" si="203"/>
        <v>0</v>
      </c>
      <c r="BV209" s="176">
        <f t="shared" si="203"/>
        <v>0</v>
      </c>
      <c r="BW209" s="176">
        <f t="shared" si="203"/>
        <v>0</v>
      </c>
      <c r="BX209" s="176">
        <f t="shared" si="203"/>
        <v>0</v>
      </c>
      <c r="BY209" s="176">
        <f t="shared" si="203"/>
        <v>0</v>
      </c>
      <c r="BZ209" s="176">
        <f t="shared" si="203"/>
        <v>0</v>
      </c>
      <c r="CA209" s="176">
        <f t="shared" si="203"/>
        <v>0</v>
      </c>
      <c r="CB209" s="176">
        <f t="shared" si="203"/>
        <v>0</v>
      </c>
      <c r="CC209" s="176">
        <f t="shared" si="203"/>
        <v>0</v>
      </c>
      <c r="CD209" s="176">
        <f t="shared" si="203"/>
        <v>0</v>
      </c>
      <c r="CE209" s="176">
        <f t="shared" si="203"/>
        <v>0</v>
      </c>
      <c r="CF209" s="176">
        <f t="shared" si="203"/>
        <v>0</v>
      </c>
      <c r="CG209" s="176">
        <f t="shared" si="203"/>
        <v>0</v>
      </c>
      <c r="CH209" s="176">
        <f t="shared" si="203"/>
        <v>0</v>
      </c>
      <c r="CI209" s="176">
        <f t="shared" si="203"/>
        <v>0</v>
      </c>
      <c r="CJ209" s="176">
        <f t="shared" si="203"/>
        <v>0</v>
      </c>
      <c r="CK209" s="176">
        <f t="shared" si="203"/>
        <v>0</v>
      </c>
      <c r="CL209" s="176">
        <f t="shared" si="203"/>
        <v>0</v>
      </c>
      <c r="CM209" s="176">
        <f t="shared" si="203"/>
        <v>0</v>
      </c>
      <c r="CN209" s="176">
        <f t="shared" si="203"/>
        <v>0</v>
      </c>
      <c r="CO209" s="176">
        <f t="shared" si="203"/>
        <v>0</v>
      </c>
      <c r="CP209" s="176">
        <f t="shared" si="203"/>
        <v>0</v>
      </c>
      <c r="CQ209" s="176">
        <f t="shared" si="203"/>
        <v>0</v>
      </c>
      <c r="CR209" s="176">
        <f t="shared" si="203"/>
        <v>0</v>
      </c>
      <c r="CS209" s="176">
        <f t="shared" si="203"/>
        <v>0</v>
      </c>
      <c r="CT209" s="176">
        <f t="shared" si="203"/>
        <v>0</v>
      </c>
      <c r="CU209" s="176">
        <f t="shared" si="203"/>
        <v>0</v>
      </c>
      <c r="CV209" s="176">
        <f t="shared" si="203"/>
        <v>0</v>
      </c>
      <c r="CW209" s="176">
        <f t="shared" si="203"/>
        <v>0</v>
      </c>
      <c r="CX209" s="176">
        <f t="shared" ref="CX209:EC209" si="204">CX42*CX$168</f>
        <v>0</v>
      </c>
      <c r="CY209" s="176">
        <f t="shared" si="204"/>
        <v>0</v>
      </c>
      <c r="CZ209" s="176">
        <f t="shared" si="204"/>
        <v>0</v>
      </c>
      <c r="DA209" s="176">
        <f t="shared" si="204"/>
        <v>0</v>
      </c>
      <c r="DB209" s="176">
        <f t="shared" si="204"/>
        <v>0</v>
      </c>
      <c r="DC209" s="176">
        <f t="shared" si="204"/>
        <v>0</v>
      </c>
      <c r="DD209" s="176">
        <f t="shared" si="204"/>
        <v>0</v>
      </c>
      <c r="DE209" s="176">
        <f t="shared" si="204"/>
        <v>0</v>
      </c>
      <c r="DF209" s="176">
        <f t="shared" si="204"/>
        <v>0</v>
      </c>
      <c r="DG209" s="176">
        <f t="shared" si="204"/>
        <v>0</v>
      </c>
      <c r="DH209" s="176">
        <f t="shared" si="204"/>
        <v>0</v>
      </c>
      <c r="DI209" s="176">
        <f t="shared" si="204"/>
        <v>0</v>
      </c>
      <c r="DJ209" s="176">
        <f t="shared" si="204"/>
        <v>0</v>
      </c>
      <c r="DK209" s="176">
        <f t="shared" si="204"/>
        <v>0</v>
      </c>
      <c r="DL209" s="176">
        <f t="shared" si="204"/>
        <v>0</v>
      </c>
      <c r="DM209" s="176">
        <f t="shared" si="204"/>
        <v>0</v>
      </c>
      <c r="DN209" s="176">
        <f t="shared" si="204"/>
        <v>0</v>
      </c>
      <c r="DO209" s="176">
        <f t="shared" si="204"/>
        <v>0</v>
      </c>
      <c r="DP209" s="176">
        <f t="shared" si="204"/>
        <v>0</v>
      </c>
      <c r="DQ209" s="176">
        <f t="shared" si="204"/>
        <v>0</v>
      </c>
      <c r="DR209" s="176">
        <f t="shared" si="204"/>
        <v>0</v>
      </c>
      <c r="DS209" s="176">
        <f t="shared" si="204"/>
        <v>0</v>
      </c>
      <c r="DT209" s="176">
        <f t="shared" si="204"/>
        <v>0</v>
      </c>
      <c r="DU209" s="176">
        <f t="shared" si="204"/>
        <v>0</v>
      </c>
      <c r="DV209" s="176">
        <f t="shared" si="204"/>
        <v>0</v>
      </c>
      <c r="DW209" s="176">
        <f t="shared" si="204"/>
        <v>0</v>
      </c>
      <c r="DX209" s="176">
        <f t="shared" si="204"/>
        <v>0</v>
      </c>
      <c r="DY209" s="176">
        <f t="shared" si="204"/>
        <v>0</v>
      </c>
      <c r="DZ209" s="176">
        <f t="shared" si="204"/>
        <v>0</v>
      </c>
      <c r="EA209" s="176">
        <f t="shared" si="204"/>
        <v>0</v>
      </c>
      <c r="EB209" s="176">
        <f t="shared" si="204"/>
        <v>0</v>
      </c>
      <c r="EC209" s="176">
        <f t="shared" si="204"/>
        <v>0</v>
      </c>
      <c r="ED209" s="176">
        <f t="shared" ref="ED209:FB209" si="205">ED42*ED$168</f>
        <v>0</v>
      </c>
      <c r="EE209" s="176">
        <f t="shared" si="205"/>
        <v>0</v>
      </c>
      <c r="EF209" s="182">
        <f t="shared" si="205"/>
        <v>0</v>
      </c>
      <c r="EG209" s="182">
        <f t="shared" si="205"/>
        <v>0</v>
      </c>
      <c r="EH209" s="182">
        <f t="shared" si="205"/>
        <v>0</v>
      </c>
      <c r="EI209" s="182">
        <f t="shared" si="205"/>
        <v>0</v>
      </c>
      <c r="EJ209" s="182">
        <f t="shared" si="205"/>
        <v>0</v>
      </c>
      <c r="EK209" s="182">
        <f t="shared" si="205"/>
        <v>0</v>
      </c>
      <c r="EL209" s="182">
        <f t="shared" si="205"/>
        <v>0</v>
      </c>
      <c r="EM209" s="182">
        <f t="shared" si="205"/>
        <v>0</v>
      </c>
      <c r="EN209" s="182">
        <f t="shared" si="205"/>
        <v>0</v>
      </c>
      <c r="EO209" s="182">
        <f t="shared" si="205"/>
        <v>0</v>
      </c>
      <c r="EP209" s="182">
        <f t="shared" si="205"/>
        <v>0</v>
      </c>
      <c r="EQ209" s="182">
        <f t="shared" si="205"/>
        <v>0</v>
      </c>
      <c r="ER209" s="182">
        <f t="shared" si="205"/>
        <v>0</v>
      </c>
      <c r="ES209" s="182">
        <f t="shared" si="205"/>
        <v>0</v>
      </c>
      <c r="ET209" s="182">
        <f t="shared" si="205"/>
        <v>0</v>
      </c>
      <c r="EU209" s="182">
        <f t="shared" si="205"/>
        <v>0</v>
      </c>
      <c r="EV209" s="182">
        <f t="shared" si="205"/>
        <v>0</v>
      </c>
      <c r="EW209" s="182">
        <f t="shared" si="205"/>
        <v>0</v>
      </c>
      <c r="EX209" s="182">
        <f t="shared" si="205"/>
        <v>0</v>
      </c>
      <c r="EY209" s="182">
        <f t="shared" si="205"/>
        <v>0</v>
      </c>
      <c r="EZ209" s="182">
        <f t="shared" si="205"/>
        <v>0</v>
      </c>
      <c r="FA209" s="182">
        <f t="shared" si="205"/>
        <v>0</v>
      </c>
      <c r="FB209" s="183">
        <f t="shared" si="205"/>
        <v>0</v>
      </c>
    </row>
    <row r="210" spans="2:158" ht="12.75" customHeight="1" x14ac:dyDescent="0.3">
      <c r="B210" s="180" t="s">
        <v>3853</v>
      </c>
      <c r="C210" s="193">
        <v>0</v>
      </c>
      <c r="D210" s="182">
        <f t="shared" si="200"/>
        <v>0</v>
      </c>
      <c r="E210" s="182">
        <f t="shared" ref="E210:E241" si="206">E43*E$168</f>
        <v>0</v>
      </c>
      <c r="F210" s="182">
        <f t="shared" si="32"/>
        <v>0</v>
      </c>
      <c r="G210" s="182">
        <f t="shared" si="38"/>
        <v>8.979733124126695E-6</v>
      </c>
      <c r="H210" s="182">
        <f t="shared" si="44"/>
        <v>0</v>
      </c>
      <c r="I210" s="176">
        <f t="shared" si="50"/>
        <v>0</v>
      </c>
      <c r="J210" s="182">
        <f t="shared" si="56"/>
        <v>6.6440589602831976E-4</v>
      </c>
      <c r="K210" s="182">
        <f t="shared" si="62"/>
        <v>0</v>
      </c>
      <c r="L210" s="182">
        <f t="shared" si="68"/>
        <v>0</v>
      </c>
      <c r="M210" s="182">
        <f t="shared" si="74"/>
        <v>0</v>
      </c>
      <c r="N210" s="182">
        <f t="shared" si="80"/>
        <v>0</v>
      </c>
      <c r="O210" s="182">
        <f t="shared" si="86"/>
        <v>0</v>
      </c>
      <c r="P210" s="182">
        <f t="shared" si="92"/>
        <v>0</v>
      </c>
      <c r="Q210" s="182">
        <f t="shared" si="98"/>
        <v>0</v>
      </c>
      <c r="R210" s="182">
        <f t="shared" si="104"/>
        <v>0</v>
      </c>
      <c r="S210" s="182">
        <f t="shared" si="110"/>
        <v>0</v>
      </c>
      <c r="T210" s="182">
        <f t="shared" si="116"/>
        <v>0</v>
      </c>
      <c r="U210" s="182">
        <f t="shared" si="122"/>
        <v>0</v>
      </c>
      <c r="V210" s="182">
        <f t="shared" si="128"/>
        <v>0</v>
      </c>
      <c r="W210" s="182">
        <f t="shared" si="134"/>
        <v>0</v>
      </c>
      <c r="X210" s="182">
        <f t="shared" si="140"/>
        <v>0</v>
      </c>
      <c r="Y210" s="182">
        <f t="shared" si="145"/>
        <v>0</v>
      </c>
      <c r="Z210" s="182">
        <f t="shared" si="150"/>
        <v>0</v>
      </c>
      <c r="AA210" s="182">
        <f t="shared" si="155"/>
        <v>0</v>
      </c>
      <c r="AB210" s="182">
        <f t="shared" si="160"/>
        <v>0</v>
      </c>
      <c r="AC210" s="182">
        <f t="shared" si="165"/>
        <v>0</v>
      </c>
      <c r="AD210" s="182">
        <f t="shared" si="170"/>
        <v>0</v>
      </c>
      <c r="AE210" s="182">
        <f t="shared" si="175"/>
        <v>0</v>
      </c>
      <c r="AF210" s="182">
        <f t="shared" si="180"/>
        <v>0</v>
      </c>
      <c r="AG210" s="182">
        <f t="shared" si="185"/>
        <v>0</v>
      </c>
      <c r="AH210" s="182">
        <f t="shared" si="190"/>
        <v>0</v>
      </c>
      <c r="AI210" s="182">
        <f t="shared" si="195"/>
        <v>0</v>
      </c>
      <c r="AJ210" s="182">
        <f t="shared" si="201"/>
        <v>8.4622613125361137E-3</v>
      </c>
      <c r="AK210" s="182">
        <f t="shared" ref="AK210:AK241" si="207">AK43*AK$168</f>
        <v>0</v>
      </c>
      <c r="AL210" s="181">
        <f>$C210+SUM($D210:AK210,AM210:$FB210)-SUM(AL$176:AL209,AL211:AL$330)-AL$331</f>
        <v>0</v>
      </c>
      <c r="AM210" s="176">
        <f t="shared" ref="AM210:BR210" si="208">AM43*AM$168</f>
        <v>0</v>
      </c>
      <c r="AN210" s="176">
        <f t="shared" si="208"/>
        <v>0</v>
      </c>
      <c r="AO210" s="176">
        <f t="shared" si="208"/>
        <v>0</v>
      </c>
      <c r="AP210" s="176">
        <f t="shared" si="208"/>
        <v>0</v>
      </c>
      <c r="AQ210" s="176">
        <f t="shared" si="208"/>
        <v>0</v>
      </c>
      <c r="AR210" s="176">
        <f t="shared" si="208"/>
        <v>0</v>
      </c>
      <c r="AS210" s="176">
        <f t="shared" si="208"/>
        <v>0</v>
      </c>
      <c r="AT210" s="176">
        <f t="shared" si="208"/>
        <v>0</v>
      </c>
      <c r="AU210" s="176">
        <f t="shared" si="208"/>
        <v>0</v>
      </c>
      <c r="AV210" s="176">
        <f t="shared" si="208"/>
        <v>0</v>
      </c>
      <c r="AW210" s="176">
        <f t="shared" si="208"/>
        <v>0</v>
      </c>
      <c r="AX210" s="176">
        <f t="shared" si="208"/>
        <v>0</v>
      </c>
      <c r="AY210" s="176">
        <f t="shared" si="208"/>
        <v>0</v>
      </c>
      <c r="AZ210" s="176">
        <f t="shared" si="208"/>
        <v>0</v>
      </c>
      <c r="BA210" s="176">
        <f t="shared" si="208"/>
        <v>0</v>
      </c>
      <c r="BB210" s="176">
        <f t="shared" si="208"/>
        <v>0</v>
      </c>
      <c r="BC210" s="176">
        <f t="shared" si="208"/>
        <v>0</v>
      </c>
      <c r="BD210" s="176">
        <f t="shared" si="208"/>
        <v>0</v>
      </c>
      <c r="BE210" s="176">
        <f t="shared" si="208"/>
        <v>0</v>
      </c>
      <c r="BF210" s="176">
        <f t="shared" si="208"/>
        <v>0</v>
      </c>
      <c r="BG210" s="176">
        <f t="shared" si="208"/>
        <v>0</v>
      </c>
      <c r="BH210" s="176">
        <f t="shared" si="208"/>
        <v>0</v>
      </c>
      <c r="BI210" s="176">
        <f t="shared" si="208"/>
        <v>0</v>
      </c>
      <c r="BJ210" s="176">
        <f t="shared" si="208"/>
        <v>0</v>
      </c>
      <c r="BK210" s="176">
        <f t="shared" si="208"/>
        <v>0</v>
      </c>
      <c r="BL210" s="176">
        <f t="shared" si="208"/>
        <v>0</v>
      </c>
      <c r="BM210" s="176">
        <f t="shared" si="208"/>
        <v>0</v>
      </c>
      <c r="BN210" s="176">
        <f t="shared" si="208"/>
        <v>0</v>
      </c>
      <c r="BO210" s="176">
        <f t="shared" si="208"/>
        <v>0</v>
      </c>
      <c r="BP210" s="176">
        <f t="shared" si="208"/>
        <v>0</v>
      </c>
      <c r="BQ210" s="176">
        <f t="shared" si="208"/>
        <v>0</v>
      </c>
      <c r="BR210" s="176">
        <f t="shared" si="208"/>
        <v>0</v>
      </c>
      <c r="BS210" s="176">
        <f t="shared" ref="BS210:CX210" si="209">BS43*BS$168</f>
        <v>0</v>
      </c>
      <c r="BT210" s="176">
        <f t="shared" si="209"/>
        <v>0</v>
      </c>
      <c r="BU210" s="176">
        <f t="shared" si="209"/>
        <v>0</v>
      </c>
      <c r="BV210" s="176">
        <f t="shared" si="209"/>
        <v>0</v>
      </c>
      <c r="BW210" s="176">
        <f t="shared" si="209"/>
        <v>0</v>
      </c>
      <c r="BX210" s="176">
        <f t="shared" si="209"/>
        <v>0</v>
      </c>
      <c r="BY210" s="176">
        <f t="shared" si="209"/>
        <v>0</v>
      </c>
      <c r="BZ210" s="176">
        <f t="shared" si="209"/>
        <v>0</v>
      </c>
      <c r="CA210" s="176">
        <f t="shared" si="209"/>
        <v>0</v>
      </c>
      <c r="CB210" s="176">
        <f t="shared" si="209"/>
        <v>0</v>
      </c>
      <c r="CC210" s="176">
        <f t="shared" si="209"/>
        <v>0</v>
      </c>
      <c r="CD210" s="176">
        <f t="shared" si="209"/>
        <v>0</v>
      </c>
      <c r="CE210" s="176">
        <f t="shared" si="209"/>
        <v>0</v>
      </c>
      <c r="CF210" s="176">
        <f t="shared" si="209"/>
        <v>0</v>
      </c>
      <c r="CG210" s="176">
        <f t="shared" si="209"/>
        <v>0</v>
      </c>
      <c r="CH210" s="176">
        <f t="shared" si="209"/>
        <v>0</v>
      </c>
      <c r="CI210" s="176">
        <f t="shared" si="209"/>
        <v>0</v>
      </c>
      <c r="CJ210" s="176">
        <f t="shared" si="209"/>
        <v>0</v>
      </c>
      <c r="CK210" s="176">
        <f t="shared" si="209"/>
        <v>0</v>
      </c>
      <c r="CL210" s="176">
        <f t="shared" si="209"/>
        <v>0</v>
      </c>
      <c r="CM210" s="176">
        <f t="shared" si="209"/>
        <v>0</v>
      </c>
      <c r="CN210" s="176">
        <f t="shared" si="209"/>
        <v>0</v>
      </c>
      <c r="CO210" s="176">
        <f t="shared" si="209"/>
        <v>0</v>
      </c>
      <c r="CP210" s="176">
        <f t="shared" si="209"/>
        <v>0</v>
      </c>
      <c r="CQ210" s="176">
        <f t="shared" si="209"/>
        <v>0</v>
      </c>
      <c r="CR210" s="176">
        <f t="shared" si="209"/>
        <v>0</v>
      </c>
      <c r="CS210" s="176">
        <f t="shared" si="209"/>
        <v>0</v>
      </c>
      <c r="CT210" s="176">
        <f t="shared" si="209"/>
        <v>0</v>
      </c>
      <c r="CU210" s="176">
        <f t="shared" si="209"/>
        <v>0</v>
      </c>
      <c r="CV210" s="176">
        <f t="shared" si="209"/>
        <v>0</v>
      </c>
      <c r="CW210" s="176">
        <f t="shared" si="209"/>
        <v>0</v>
      </c>
      <c r="CX210" s="176">
        <f t="shared" si="209"/>
        <v>0</v>
      </c>
      <c r="CY210" s="176">
        <f t="shared" ref="CY210:ED210" si="210">CY43*CY$168</f>
        <v>0</v>
      </c>
      <c r="CZ210" s="176">
        <f t="shared" si="210"/>
        <v>0</v>
      </c>
      <c r="DA210" s="176">
        <f t="shared" si="210"/>
        <v>0</v>
      </c>
      <c r="DB210" s="176">
        <f t="shared" si="210"/>
        <v>0</v>
      </c>
      <c r="DC210" s="176">
        <f t="shared" si="210"/>
        <v>0</v>
      </c>
      <c r="DD210" s="176">
        <f t="shared" si="210"/>
        <v>0</v>
      </c>
      <c r="DE210" s="176">
        <f t="shared" si="210"/>
        <v>0</v>
      </c>
      <c r="DF210" s="176">
        <f t="shared" si="210"/>
        <v>0</v>
      </c>
      <c r="DG210" s="176">
        <f t="shared" si="210"/>
        <v>0</v>
      </c>
      <c r="DH210" s="176">
        <f t="shared" si="210"/>
        <v>0</v>
      </c>
      <c r="DI210" s="176">
        <f t="shared" si="210"/>
        <v>0</v>
      </c>
      <c r="DJ210" s="176">
        <f t="shared" si="210"/>
        <v>0</v>
      </c>
      <c r="DK210" s="176">
        <f t="shared" si="210"/>
        <v>0</v>
      </c>
      <c r="DL210" s="176">
        <f t="shared" si="210"/>
        <v>0</v>
      </c>
      <c r="DM210" s="176">
        <f t="shared" si="210"/>
        <v>0</v>
      </c>
      <c r="DN210" s="176">
        <f t="shared" si="210"/>
        <v>0</v>
      </c>
      <c r="DO210" s="176">
        <f t="shared" si="210"/>
        <v>0</v>
      </c>
      <c r="DP210" s="176">
        <f t="shared" si="210"/>
        <v>0</v>
      </c>
      <c r="DQ210" s="176">
        <f t="shared" si="210"/>
        <v>0</v>
      </c>
      <c r="DR210" s="176">
        <f t="shared" si="210"/>
        <v>0</v>
      </c>
      <c r="DS210" s="176">
        <f t="shared" si="210"/>
        <v>0</v>
      </c>
      <c r="DT210" s="176">
        <f t="shared" si="210"/>
        <v>0</v>
      </c>
      <c r="DU210" s="176">
        <f t="shared" si="210"/>
        <v>0</v>
      </c>
      <c r="DV210" s="176">
        <f t="shared" si="210"/>
        <v>0</v>
      </c>
      <c r="DW210" s="176">
        <f t="shared" si="210"/>
        <v>0</v>
      </c>
      <c r="DX210" s="176">
        <f t="shared" si="210"/>
        <v>0</v>
      </c>
      <c r="DY210" s="176">
        <f t="shared" si="210"/>
        <v>0</v>
      </c>
      <c r="DZ210" s="176">
        <f t="shared" si="210"/>
        <v>0</v>
      </c>
      <c r="EA210" s="176">
        <f t="shared" si="210"/>
        <v>0</v>
      </c>
      <c r="EB210" s="176">
        <f t="shared" si="210"/>
        <v>0</v>
      </c>
      <c r="EC210" s="176">
        <f t="shared" si="210"/>
        <v>0</v>
      </c>
      <c r="ED210" s="176">
        <f t="shared" si="210"/>
        <v>0</v>
      </c>
      <c r="EE210" s="176">
        <f t="shared" ref="EE210:FB210" si="211">EE43*EE$168</f>
        <v>0</v>
      </c>
      <c r="EF210" s="182">
        <f t="shared" si="211"/>
        <v>0</v>
      </c>
      <c r="EG210" s="182">
        <f t="shared" si="211"/>
        <v>0</v>
      </c>
      <c r="EH210" s="182">
        <f t="shared" si="211"/>
        <v>0</v>
      </c>
      <c r="EI210" s="182">
        <f t="shared" si="211"/>
        <v>0</v>
      </c>
      <c r="EJ210" s="182">
        <f t="shared" si="211"/>
        <v>0</v>
      </c>
      <c r="EK210" s="182">
        <f t="shared" si="211"/>
        <v>0</v>
      </c>
      <c r="EL210" s="182">
        <f t="shared" si="211"/>
        <v>0</v>
      </c>
      <c r="EM210" s="182">
        <f t="shared" si="211"/>
        <v>0</v>
      </c>
      <c r="EN210" s="182">
        <f t="shared" si="211"/>
        <v>0</v>
      </c>
      <c r="EO210" s="182">
        <f t="shared" si="211"/>
        <v>0</v>
      </c>
      <c r="EP210" s="182">
        <f t="shared" si="211"/>
        <v>0</v>
      </c>
      <c r="EQ210" s="182">
        <f t="shared" si="211"/>
        <v>0</v>
      </c>
      <c r="ER210" s="182">
        <f t="shared" si="211"/>
        <v>0</v>
      </c>
      <c r="ES210" s="182">
        <f t="shared" si="211"/>
        <v>0</v>
      </c>
      <c r="ET210" s="182">
        <f t="shared" si="211"/>
        <v>0</v>
      </c>
      <c r="EU210" s="182">
        <f t="shared" si="211"/>
        <v>0</v>
      </c>
      <c r="EV210" s="182">
        <f t="shared" si="211"/>
        <v>0</v>
      </c>
      <c r="EW210" s="182">
        <f t="shared" si="211"/>
        <v>0</v>
      </c>
      <c r="EX210" s="182">
        <f t="shared" si="211"/>
        <v>0</v>
      </c>
      <c r="EY210" s="182">
        <f t="shared" si="211"/>
        <v>0</v>
      </c>
      <c r="EZ210" s="182">
        <f t="shared" si="211"/>
        <v>0</v>
      </c>
      <c r="FA210" s="182">
        <f t="shared" si="211"/>
        <v>0</v>
      </c>
      <c r="FB210" s="183">
        <f t="shared" si="211"/>
        <v>0</v>
      </c>
    </row>
    <row r="211" spans="2:158" ht="12.75" customHeight="1" x14ac:dyDescent="0.3">
      <c r="B211" s="180" t="s">
        <v>3854</v>
      </c>
      <c r="C211" s="193">
        <v>0</v>
      </c>
      <c r="D211" s="182">
        <f t="shared" si="200"/>
        <v>0</v>
      </c>
      <c r="E211" s="182">
        <f t="shared" si="206"/>
        <v>0</v>
      </c>
      <c r="F211" s="182">
        <f t="shared" ref="F211:F242" si="212">F44*F$168</f>
        <v>0</v>
      </c>
      <c r="G211" s="182">
        <f t="shared" si="38"/>
        <v>0</v>
      </c>
      <c r="H211" s="182">
        <f t="shared" si="44"/>
        <v>0</v>
      </c>
      <c r="I211" s="176">
        <f t="shared" si="50"/>
        <v>0</v>
      </c>
      <c r="J211" s="182">
        <f t="shared" si="56"/>
        <v>0</v>
      </c>
      <c r="K211" s="182">
        <f t="shared" si="62"/>
        <v>0</v>
      </c>
      <c r="L211" s="182">
        <f t="shared" si="68"/>
        <v>0</v>
      </c>
      <c r="M211" s="182">
        <f t="shared" si="74"/>
        <v>0</v>
      </c>
      <c r="N211" s="182">
        <f t="shared" si="80"/>
        <v>0</v>
      </c>
      <c r="O211" s="182">
        <f t="shared" si="86"/>
        <v>0</v>
      </c>
      <c r="P211" s="182">
        <f t="shared" si="92"/>
        <v>0</v>
      </c>
      <c r="Q211" s="182">
        <f t="shared" si="98"/>
        <v>0</v>
      </c>
      <c r="R211" s="182">
        <f t="shared" si="104"/>
        <v>0</v>
      </c>
      <c r="S211" s="182">
        <f t="shared" si="110"/>
        <v>0</v>
      </c>
      <c r="T211" s="182">
        <f t="shared" si="116"/>
        <v>0</v>
      </c>
      <c r="U211" s="182">
        <f t="shared" si="122"/>
        <v>0</v>
      </c>
      <c r="V211" s="182">
        <f t="shared" si="128"/>
        <v>0</v>
      </c>
      <c r="W211" s="182">
        <f t="shared" si="134"/>
        <v>0</v>
      </c>
      <c r="X211" s="182">
        <f t="shared" si="140"/>
        <v>0</v>
      </c>
      <c r="Y211" s="182">
        <f t="shared" si="145"/>
        <v>0</v>
      </c>
      <c r="Z211" s="182">
        <f t="shared" si="150"/>
        <v>0</v>
      </c>
      <c r="AA211" s="182">
        <f t="shared" si="155"/>
        <v>0</v>
      </c>
      <c r="AB211" s="182">
        <f t="shared" si="160"/>
        <v>0</v>
      </c>
      <c r="AC211" s="182">
        <f t="shared" si="165"/>
        <v>0</v>
      </c>
      <c r="AD211" s="182">
        <f t="shared" si="170"/>
        <v>0</v>
      </c>
      <c r="AE211" s="182">
        <f t="shared" si="175"/>
        <v>0</v>
      </c>
      <c r="AF211" s="182">
        <f t="shared" si="180"/>
        <v>0</v>
      </c>
      <c r="AG211" s="182">
        <f t="shared" si="185"/>
        <v>0</v>
      </c>
      <c r="AH211" s="182">
        <f t="shared" si="190"/>
        <v>0</v>
      </c>
      <c r="AI211" s="182">
        <f t="shared" si="195"/>
        <v>0</v>
      </c>
      <c r="AJ211" s="182">
        <f t="shared" si="201"/>
        <v>0</v>
      </c>
      <c r="AK211" s="182">
        <f t="shared" si="207"/>
        <v>0</v>
      </c>
      <c r="AL211" s="182">
        <f t="shared" ref="AL211:AL242" si="213">AL44*AL$168</f>
        <v>0</v>
      </c>
      <c r="AM211" s="181">
        <f>$C211+SUM($D211:AL211,AN211:$FB211)-SUM(AM$176:AM210,AM212:AM$330)-AM$331</f>
        <v>0</v>
      </c>
      <c r="AN211" s="176">
        <f t="shared" ref="AN211:BS211" si="214">AN44*AN$168</f>
        <v>0</v>
      </c>
      <c r="AO211" s="176">
        <f t="shared" si="214"/>
        <v>0</v>
      </c>
      <c r="AP211" s="176">
        <f t="shared" si="214"/>
        <v>0</v>
      </c>
      <c r="AQ211" s="176">
        <f t="shared" si="214"/>
        <v>0</v>
      </c>
      <c r="AR211" s="176">
        <f t="shared" si="214"/>
        <v>0</v>
      </c>
      <c r="AS211" s="176">
        <f t="shared" si="214"/>
        <v>0</v>
      </c>
      <c r="AT211" s="176">
        <f t="shared" si="214"/>
        <v>0</v>
      </c>
      <c r="AU211" s="176">
        <f t="shared" si="214"/>
        <v>0</v>
      </c>
      <c r="AV211" s="176">
        <f t="shared" si="214"/>
        <v>0</v>
      </c>
      <c r="AW211" s="176">
        <f t="shared" si="214"/>
        <v>0</v>
      </c>
      <c r="AX211" s="176">
        <f t="shared" si="214"/>
        <v>0</v>
      </c>
      <c r="AY211" s="176">
        <f t="shared" si="214"/>
        <v>0</v>
      </c>
      <c r="AZ211" s="176">
        <f t="shared" si="214"/>
        <v>0</v>
      </c>
      <c r="BA211" s="176">
        <f t="shared" si="214"/>
        <v>0</v>
      </c>
      <c r="BB211" s="176">
        <f t="shared" si="214"/>
        <v>0</v>
      </c>
      <c r="BC211" s="176">
        <f t="shared" si="214"/>
        <v>0</v>
      </c>
      <c r="BD211" s="176">
        <f t="shared" si="214"/>
        <v>0</v>
      </c>
      <c r="BE211" s="176">
        <f t="shared" si="214"/>
        <v>0</v>
      </c>
      <c r="BF211" s="176">
        <f t="shared" si="214"/>
        <v>0</v>
      </c>
      <c r="BG211" s="176">
        <f t="shared" si="214"/>
        <v>0</v>
      </c>
      <c r="BH211" s="176">
        <f t="shared" si="214"/>
        <v>0</v>
      </c>
      <c r="BI211" s="176">
        <f t="shared" si="214"/>
        <v>0</v>
      </c>
      <c r="BJ211" s="176">
        <f t="shared" si="214"/>
        <v>0</v>
      </c>
      <c r="BK211" s="176">
        <f t="shared" si="214"/>
        <v>0</v>
      </c>
      <c r="BL211" s="176">
        <f t="shared" si="214"/>
        <v>0</v>
      </c>
      <c r="BM211" s="176">
        <f t="shared" si="214"/>
        <v>0</v>
      </c>
      <c r="BN211" s="176">
        <f t="shared" si="214"/>
        <v>0</v>
      </c>
      <c r="BO211" s="176">
        <f t="shared" si="214"/>
        <v>0</v>
      </c>
      <c r="BP211" s="176">
        <f t="shared" si="214"/>
        <v>0</v>
      </c>
      <c r="BQ211" s="176">
        <f t="shared" si="214"/>
        <v>0</v>
      </c>
      <c r="BR211" s="176">
        <f t="shared" si="214"/>
        <v>0</v>
      </c>
      <c r="BS211" s="176">
        <f t="shared" si="214"/>
        <v>0</v>
      </c>
      <c r="BT211" s="176">
        <f t="shared" ref="BT211:CY211" si="215">BT44*BT$168</f>
        <v>0</v>
      </c>
      <c r="BU211" s="176">
        <f t="shared" si="215"/>
        <v>0</v>
      </c>
      <c r="BV211" s="176">
        <f t="shared" si="215"/>
        <v>0</v>
      </c>
      <c r="BW211" s="176">
        <f t="shared" si="215"/>
        <v>0</v>
      </c>
      <c r="BX211" s="176">
        <f t="shared" si="215"/>
        <v>0</v>
      </c>
      <c r="BY211" s="176">
        <f t="shared" si="215"/>
        <v>0</v>
      </c>
      <c r="BZ211" s="176">
        <f t="shared" si="215"/>
        <v>0</v>
      </c>
      <c r="CA211" s="176">
        <f t="shared" si="215"/>
        <v>0</v>
      </c>
      <c r="CB211" s="176">
        <f t="shared" si="215"/>
        <v>0</v>
      </c>
      <c r="CC211" s="176">
        <f t="shared" si="215"/>
        <v>0</v>
      </c>
      <c r="CD211" s="176">
        <f t="shared" si="215"/>
        <v>0</v>
      </c>
      <c r="CE211" s="176">
        <f t="shared" si="215"/>
        <v>0</v>
      </c>
      <c r="CF211" s="176">
        <f t="shared" si="215"/>
        <v>0</v>
      </c>
      <c r="CG211" s="176">
        <f t="shared" si="215"/>
        <v>0</v>
      </c>
      <c r="CH211" s="176">
        <f t="shared" si="215"/>
        <v>0</v>
      </c>
      <c r="CI211" s="176">
        <f t="shared" si="215"/>
        <v>0</v>
      </c>
      <c r="CJ211" s="176">
        <f t="shared" si="215"/>
        <v>0</v>
      </c>
      <c r="CK211" s="176">
        <f t="shared" si="215"/>
        <v>0</v>
      </c>
      <c r="CL211" s="176">
        <f t="shared" si="215"/>
        <v>0</v>
      </c>
      <c r="CM211" s="176">
        <f t="shared" si="215"/>
        <v>0</v>
      </c>
      <c r="CN211" s="176">
        <f t="shared" si="215"/>
        <v>0</v>
      </c>
      <c r="CO211" s="176">
        <f t="shared" si="215"/>
        <v>0</v>
      </c>
      <c r="CP211" s="176">
        <f t="shared" si="215"/>
        <v>0</v>
      </c>
      <c r="CQ211" s="176">
        <f t="shared" si="215"/>
        <v>0</v>
      </c>
      <c r="CR211" s="176">
        <f t="shared" si="215"/>
        <v>0</v>
      </c>
      <c r="CS211" s="176">
        <f t="shared" si="215"/>
        <v>0</v>
      </c>
      <c r="CT211" s="176">
        <f t="shared" si="215"/>
        <v>0</v>
      </c>
      <c r="CU211" s="176">
        <f t="shared" si="215"/>
        <v>0</v>
      </c>
      <c r="CV211" s="176">
        <f t="shared" si="215"/>
        <v>0</v>
      </c>
      <c r="CW211" s="176">
        <f t="shared" si="215"/>
        <v>0</v>
      </c>
      <c r="CX211" s="176">
        <f t="shared" si="215"/>
        <v>0</v>
      </c>
      <c r="CY211" s="176">
        <f t="shared" si="215"/>
        <v>0</v>
      </c>
      <c r="CZ211" s="176">
        <f t="shared" ref="CZ211:EE211" si="216">CZ44*CZ$168</f>
        <v>0</v>
      </c>
      <c r="DA211" s="176">
        <f t="shared" si="216"/>
        <v>0</v>
      </c>
      <c r="DB211" s="176">
        <f t="shared" si="216"/>
        <v>0</v>
      </c>
      <c r="DC211" s="176">
        <f t="shared" si="216"/>
        <v>0</v>
      </c>
      <c r="DD211" s="176">
        <f t="shared" si="216"/>
        <v>0</v>
      </c>
      <c r="DE211" s="176">
        <f t="shared" si="216"/>
        <v>0</v>
      </c>
      <c r="DF211" s="176">
        <f t="shared" si="216"/>
        <v>0</v>
      </c>
      <c r="DG211" s="176">
        <f t="shared" si="216"/>
        <v>0</v>
      </c>
      <c r="DH211" s="176">
        <f t="shared" si="216"/>
        <v>0</v>
      </c>
      <c r="DI211" s="176">
        <f t="shared" si="216"/>
        <v>0</v>
      </c>
      <c r="DJ211" s="176">
        <f t="shared" si="216"/>
        <v>0</v>
      </c>
      <c r="DK211" s="176">
        <f t="shared" si="216"/>
        <v>0</v>
      </c>
      <c r="DL211" s="176">
        <f t="shared" si="216"/>
        <v>0</v>
      </c>
      <c r="DM211" s="176">
        <f t="shared" si="216"/>
        <v>0</v>
      </c>
      <c r="DN211" s="176">
        <f t="shared" si="216"/>
        <v>0</v>
      </c>
      <c r="DO211" s="176">
        <f t="shared" si="216"/>
        <v>0</v>
      </c>
      <c r="DP211" s="176">
        <f t="shared" si="216"/>
        <v>0</v>
      </c>
      <c r="DQ211" s="176">
        <f t="shared" si="216"/>
        <v>0</v>
      </c>
      <c r="DR211" s="176">
        <f t="shared" si="216"/>
        <v>0</v>
      </c>
      <c r="DS211" s="176">
        <f t="shared" si="216"/>
        <v>0</v>
      </c>
      <c r="DT211" s="176">
        <f t="shared" si="216"/>
        <v>0</v>
      </c>
      <c r="DU211" s="176">
        <f t="shared" si="216"/>
        <v>0</v>
      </c>
      <c r="DV211" s="176">
        <f t="shared" si="216"/>
        <v>0</v>
      </c>
      <c r="DW211" s="176">
        <f t="shared" si="216"/>
        <v>0</v>
      </c>
      <c r="DX211" s="176">
        <f t="shared" si="216"/>
        <v>0</v>
      </c>
      <c r="DY211" s="176">
        <f t="shared" si="216"/>
        <v>0</v>
      </c>
      <c r="DZ211" s="176">
        <f t="shared" si="216"/>
        <v>0</v>
      </c>
      <c r="EA211" s="176">
        <f t="shared" si="216"/>
        <v>0</v>
      </c>
      <c r="EB211" s="176">
        <f t="shared" si="216"/>
        <v>0</v>
      </c>
      <c r="EC211" s="176">
        <f t="shared" si="216"/>
        <v>0</v>
      </c>
      <c r="ED211" s="176">
        <f t="shared" si="216"/>
        <v>0</v>
      </c>
      <c r="EE211" s="176">
        <f t="shared" si="216"/>
        <v>0</v>
      </c>
      <c r="EF211" s="182">
        <f t="shared" ref="EF211:FB211" si="217">EF44*EF$168</f>
        <v>0</v>
      </c>
      <c r="EG211" s="182">
        <f t="shared" si="217"/>
        <v>0</v>
      </c>
      <c r="EH211" s="182">
        <f t="shared" si="217"/>
        <v>0</v>
      </c>
      <c r="EI211" s="182">
        <f t="shared" si="217"/>
        <v>0</v>
      </c>
      <c r="EJ211" s="182">
        <f t="shared" si="217"/>
        <v>0</v>
      </c>
      <c r="EK211" s="182">
        <f t="shared" si="217"/>
        <v>0</v>
      </c>
      <c r="EL211" s="182">
        <f t="shared" si="217"/>
        <v>0</v>
      </c>
      <c r="EM211" s="182">
        <f t="shared" si="217"/>
        <v>0</v>
      </c>
      <c r="EN211" s="182">
        <f t="shared" si="217"/>
        <v>0</v>
      </c>
      <c r="EO211" s="182">
        <f t="shared" si="217"/>
        <v>0</v>
      </c>
      <c r="EP211" s="182">
        <f t="shared" si="217"/>
        <v>0</v>
      </c>
      <c r="EQ211" s="182">
        <f t="shared" si="217"/>
        <v>0</v>
      </c>
      <c r="ER211" s="182">
        <f t="shared" si="217"/>
        <v>0</v>
      </c>
      <c r="ES211" s="182">
        <f t="shared" si="217"/>
        <v>0</v>
      </c>
      <c r="ET211" s="182">
        <f t="shared" si="217"/>
        <v>0</v>
      </c>
      <c r="EU211" s="182">
        <f t="shared" si="217"/>
        <v>0</v>
      </c>
      <c r="EV211" s="182">
        <f t="shared" si="217"/>
        <v>0</v>
      </c>
      <c r="EW211" s="182">
        <f t="shared" si="217"/>
        <v>0</v>
      </c>
      <c r="EX211" s="182">
        <f t="shared" si="217"/>
        <v>0</v>
      </c>
      <c r="EY211" s="182">
        <f t="shared" si="217"/>
        <v>0</v>
      </c>
      <c r="EZ211" s="182">
        <f t="shared" si="217"/>
        <v>0</v>
      </c>
      <c r="FA211" s="182">
        <f t="shared" si="217"/>
        <v>0</v>
      </c>
      <c r="FB211" s="183">
        <f t="shared" si="217"/>
        <v>0</v>
      </c>
    </row>
    <row r="212" spans="2:158" ht="12.75" customHeight="1" x14ac:dyDescent="0.3">
      <c r="B212" s="180" t="s">
        <v>3855</v>
      </c>
      <c r="C212" s="193">
        <v>2.1571287063785434</v>
      </c>
      <c r="D212" s="182">
        <f t="shared" si="200"/>
        <v>0</v>
      </c>
      <c r="E212" s="182">
        <f t="shared" si="206"/>
        <v>6.1920646159865818E-2</v>
      </c>
      <c r="F212" s="182">
        <f t="shared" si="212"/>
        <v>0</v>
      </c>
      <c r="G212" s="182">
        <f t="shared" ref="G212:G243" si="218">G45*G$168</f>
        <v>0</v>
      </c>
      <c r="H212" s="182">
        <f t="shared" si="44"/>
        <v>1.7661134734195921E-2</v>
      </c>
      <c r="I212" s="176">
        <f t="shared" si="50"/>
        <v>0</v>
      </c>
      <c r="J212" s="182">
        <f t="shared" si="56"/>
        <v>0</v>
      </c>
      <c r="K212" s="182">
        <f t="shared" si="62"/>
        <v>0</v>
      </c>
      <c r="L212" s="182">
        <f t="shared" si="68"/>
        <v>0</v>
      </c>
      <c r="M212" s="182">
        <f t="shared" si="74"/>
        <v>0</v>
      </c>
      <c r="N212" s="182">
        <f t="shared" si="80"/>
        <v>0</v>
      </c>
      <c r="O212" s="182">
        <f t="shared" si="86"/>
        <v>0</v>
      </c>
      <c r="P212" s="182">
        <f t="shared" si="92"/>
        <v>0</v>
      </c>
      <c r="Q212" s="182">
        <f t="shared" si="98"/>
        <v>0</v>
      </c>
      <c r="R212" s="182">
        <f t="shared" si="104"/>
        <v>0</v>
      </c>
      <c r="S212" s="182">
        <f t="shared" si="110"/>
        <v>0</v>
      </c>
      <c r="T212" s="182">
        <f t="shared" si="116"/>
        <v>0</v>
      </c>
      <c r="U212" s="182">
        <f t="shared" si="122"/>
        <v>0</v>
      </c>
      <c r="V212" s="182">
        <f t="shared" si="128"/>
        <v>0</v>
      </c>
      <c r="W212" s="182">
        <f t="shared" si="134"/>
        <v>0</v>
      </c>
      <c r="X212" s="182">
        <f t="shared" si="140"/>
        <v>0</v>
      </c>
      <c r="Y212" s="182">
        <f t="shared" si="145"/>
        <v>0</v>
      </c>
      <c r="Z212" s="182">
        <f t="shared" si="150"/>
        <v>0</v>
      </c>
      <c r="AA212" s="182">
        <f t="shared" si="155"/>
        <v>0</v>
      </c>
      <c r="AB212" s="182">
        <f t="shared" si="160"/>
        <v>0</v>
      </c>
      <c r="AC212" s="182">
        <f t="shared" si="165"/>
        <v>0</v>
      </c>
      <c r="AD212" s="182">
        <f t="shared" si="170"/>
        <v>0</v>
      </c>
      <c r="AE212" s="182">
        <f t="shared" si="175"/>
        <v>0</v>
      </c>
      <c r="AF212" s="182">
        <f t="shared" si="180"/>
        <v>0</v>
      </c>
      <c r="AG212" s="182">
        <f t="shared" si="185"/>
        <v>0</v>
      </c>
      <c r="AH212" s="182">
        <f t="shared" si="190"/>
        <v>0</v>
      </c>
      <c r="AI212" s="182">
        <f t="shared" si="195"/>
        <v>0</v>
      </c>
      <c r="AJ212" s="182">
        <f t="shared" si="201"/>
        <v>0</v>
      </c>
      <c r="AK212" s="182">
        <f t="shared" si="207"/>
        <v>0</v>
      </c>
      <c r="AL212" s="182">
        <f t="shared" si="213"/>
        <v>0</v>
      </c>
      <c r="AM212" s="182">
        <f t="shared" ref="AM212:AM243" si="219">AM45*AM$168</f>
        <v>0</v>
      </c>
      <c r="AN212" s="181">
        <f>$C212+SUM($D212:AM212,AO212:$FB212)-SUM(AN$176:AN211,AN213:AN$330)-AN$331</f>
        <v>-4.4871419503052831E-16</v>
      </c>
      <c r="AO212" s="176">
        <f t="shared" ref="AO212:BT212" si="220">AO45*AO$168</f>
        <v>0</v>
      </c>
      <c r="AP212" s="176">
        <f t="shared" si="220"/>
        <v>0</v>
      </c>
      <c r="AQ212" s="176">
        <f t="shared" si="220"/>
        <v>0</v>
      </c>
      <c r="AR212" s="176">
        <f t="shared" si="220"/>
        <v>0</v>
      </c>
      <c r="AS212" s="176">
        <f t="shared" si="220"/>
        <v>0</v>
      </c>
      <c r="AT212" s="176">
        <f t="shared" si="220"/>
        <v>0</v>
      </c>
      <c r="AU212" s="176">
        <f t="shared" si="220"/>
        <v>0</v>
      </c>
      <c r="AV212" s="176">
        <f t="shared" si="220"/>
        <v>0</v>
      </c>
      <c r="AW212" s="176">
        <f t="shared" si="220"/>
        <v>0</v>
      </c>
      <c r="AX212" s="176">
        <f t="shared" si="220"/>
        <v>0</v>
      </c>
      <c r="AY212" s="176">
        <f t="shared" si="220"/>
        <v>0</v>
      </c>
      <c r="AZ212" s="176">
        <f t="shared" si="220"/>
        <v>0</v>
      </c>
      <c r="BA212" s="176">
        <f t="shared" si="220"/>
        <v>0</v>
      </c>
      <c r="BB212" s="176">
        <f t="shared" si="220"/>
        <v>0</v>
      </c>
      <c r="BC212" s="176">
        <f t="shared" si="220"/>
        <v>0</v>
      </c>
      <c r="BD212" s="176">
        <f t="shared" si="220"/>
        <v>0</v>
      </c>
      <c r="BE212" s="176">
        <f t="shared" si="220"/>
        <v>0</v>
      </c>
      <c r="BF212" s="176">
        <f t="shared" si="220"/>
        <v>0</v>
      </c>
      <c r="BG212" s="176">
        <f t="shared" si="220"/>
        <v>0</v>
      </c>
      <c r="BH212" s="176">
        <f t="shared" si="220"/>
        <v>0</v>
      </c>
      <c r="BI212" s="176">
        <f t="shared" si="220"/>
        <v>0</v>
      </c>
      <c r="BJ212" s="176">
        <f t="shared" si="220"/>
        <v>0</v>
      </c>
      <c r="BK212" s="176">
        <f t="shared" si="220"/>
        <v>0</v>
      </c>
      <c r="BL212" s="176">
        <f t="shared" si="220"/>
        <v>0</v>
      </c>
      <c r="BM212" s="176">
        <f t="shared" si="220"/>
        <v>0</v>
      </c>
      <c r="BN212" s="176">
        <f t="shared" si="220"/>
        <v>0</v>
      </c>
      <c r="BO212" s="176">
        <f t="shared" si="220"/>
        <v>0</v>
      </c>
      <c r="BP212" s="176">
        <f t="shared" si="220"/>
        <v>0</v>
      </c>
      <c r="BQ212" s="176">
        <f t="shared" si="220"/>
        <v>0</v>
      </c>
      <c r="BR212" s="176">
        <f t="shared" si="220"/>
        <v>0</v>
      </c>
      <c r="BS212" s="176">
        <f t="shared" si="220"/>
        <v>0</v>
      </c>
      <c r="BT212" s="176">
        <f t="shared" si="220"/>
        <v>0</v>
      </c>
      <c r="BU212" s="176">
        <f t="shared" ref="BU212:CZ212" si="221">BU45*BU$168</f>
        <v>0</v>
      </c>
      <c r="BV212" s="176">
        <f t="shared" si="221"/>
        <v>0</v>
      </c>
      <c r="BW212" s="176">
        <f t="shared" si="221"/>
        <v>0</v>
      </c>
      <c r="BX212" s="176">
        <f t="shared" si="221"/>
        <v>0</v>
      </c>
      <c r="BY212" s="176">
        <f t="shared" si="221"/>
        <v>0</v>
      </c>
      <c r="BZ212" s="176">
        <f t="shared" si="221"/>
        <v>0</v>
      </c>
      <c r="CA212" s="176">
        <f t="shared" si="221"/>
        <v>0</v>
      </c>
      <c r="CB212" s="176">
        <f t="shared" si="221"/>
        <v>0</v>
      </c>
      <c r="CC212" s="176">
        <f t="shared" si="221"/>
        <v>0</v>
      </c>
      <c r="CD212" s="176">
        <f t="shared" si="221"/>
        <v>0</v>
      </c>
      <c r="CE212" s="176">
        <f t="shared" si="221"/>
        <v>0</v>
      </c>
      <c r="CF212" s="176">
        <f t="shared" si="221"/>
        <v>0</v>
      </c>
      <c r="CG212" s="176">
        <f t="shared" si="221"/>
        <v>0</v>
      </c>
      <c r="CH212" s="176">
        <f t="shared" si="221"/>
        <v>0</v>
      </c>
      <c r="CI212" s="176">
        <f t="shared" si="221"/>
        <v>0</v>
      </c>
      <c r="CJ212" s="176">
        <f t="shared" si="221"/>
        <v>0</v>
      </c>
      <c r="CK212" s="176">
        <f t="shared" si="221"/>
        <v>0</v>
      </c>
      <c r="CL212" s="176">
        <f t="shared" si="221"/>
        <v>0</v>
      </c>
      <c r="CM212" s="176">
        <f t="shared" si="221"/>
        <v>0</v>
      </c>
      <c r="CN212" s="176">
        <f t="shared" si="221"/>
        <v>0</v>
      </c>
      <c r="CO212" s="176">
        <f t="shared" si="221"/>
        <v>0</v>
      </c>
      <c r="CP212" s="176">
        <f t="shared" si="221"/>
        <v>0</v>
      </c>
      <c r="CQ212" s="176">
        <f t="shared" si="221"/>
        <v>0</v>
      </c>
      <c r="CR212" s="176">
        <f t="shared" si="221"/>
        <v>0</v>
      </c>
      <c r="CS212" s="176">
        <f t="shared" si="221"/>
        <v>0</v>
      </c>
      <c r="CT212" s="176">
        <f t="shared" si="221"/>
        <v>0</v>
      </c>
      <c r="CU212" s="176">
        <f t="shared" si="221"/>
        <v>0</v>
      </c>
      <c r="CV212" s="176">
        <f t="shared" si="221"/>
        <v>0</v>
      </c>
      <c r="CW212" s="176">
        <f t="shared" si="221"/>
        <v>0</v>
      </c>
      <c r="CX212" s="176">
        <f t="shared" si="221"/>
        <v>0</v>
      </c>
      <c r="CY212" s="176">
        <f t="shared" si="221"/>
        <v>0</v>
      </c>
      <c r="CZ212" s="176">
        <f t="shared" si="221"/>
        <v>0</v>
      </c>
      <c r="DA212" s="176">
        <f t="shared" ref="DA212:EF212" si="222">DA45*DA$168</f>
        <v>0</v>
      </c>
      <c r="DB212" s="176">
        <f t="shared" si="222"/>
        <v>0</v>
      </c>
      <c r="DC212" s="176">
        <f t="shared" si="222"/>
        <v>0</v>
      </c>
      <c r="DD212" s="176">
        <f t="shared" si="222"/>
        <v>0</v>
      </c>
      <c r="DE212" s="176">
        <f t="shared" si="222"/>
        <v>0</v>
      </c>
      <c r="DF212" s="176">
        <f t="shared" si="222"/>
        <v>0</v>
      </c>
      <c r="DG212" s="176">
        <f t="shared" si="222"/>
        <v>0</v>
      </c>
      <c r="DH212" s="176">
        <f t="shared" si="222"/>
        <v>0</v>
      </c>
      <c r="DI212" s="176">
        <f t="shared" si="222"/>
        <v>0</v>
      </c>
      <c r="DJ212" s="176">
        <f t="shared" si="222"/>
        <v>0</v>
      </c>
      <c r="DK212" s="176">
        <f t="shared" si="222"/>
        <v>0</v>
      </c>
      <c r="DL212" s="176">
        <f t="shared" si="222"/>
        <v>0</v>
      </c>
      <c r="DM212" s="176">
        <f t="shared" si="222"/>
        <v>0</v>
      </c>
      <c r="DN212" s="176">
        <f t="shared" si="222"/>
        <v>0</v>
      </c>
      <c r="DO212" s="176">
        <f t="shared" si="222"/>
        <v>0</v>
      </c>
      <c r="DP212" s="176">
        <f t="shared" si="222"/>
        <v>0</v>
      </c>
      <c r="DQ212" s="176">
        <f t="shared" si="222"/>
        <v>0</v>
      </c>
      <c r="DR212" s="176">
        <f t="shared" si="222"/>
        <v>0</v>
      </c>
      <c r="DS212" s="176">
        <f t="shared" si="222"/>
        <v>0</v>
      </c>
      <c r="DT212" s="176">
        <f t="shared" si="222"/>
        <v>0</v>
      </c>
      <c r="DU212" s="176">
        <f t="shared" si="222"/>
        <v>0</v>
      </c>
      <c r="DV212" s="176">
        <f t="shared" si="222"/>
        <v>0</v>
      </c>
      <c r="DW212" s="176">
        <f t="shared" si="222"/>
        <v>0</v>
      </c>
      <c r="DX212" s="176">
        <f t="shared" si="222"/>
        <v>0</v>
      </c>
      <c r="DY212" s="176">
        <f t="shared" si="222"/>
        <v>0</v>
      </c>
      <c r="DZ212" s="176">
        <f t="shared" si="222"/>
        <v>0</v>
      </c>
      <c r="EA212" s="176">
        <f t="shared" si="222"/>
        <v>0</v>
      </c>
      <c r="EB212" s="176">
        <f t="shared" si="222"/>
        <v>0</v>
      </c>
      <c r="EC212" s="176">
        <f t="shared" si="222"/>
        <v>0</v>
      </c>
      <c r="ED212" s="176">
        <f t="shared" si="222"/>
        <v>0</v>
      </c>
      <c r="EE212" s="176">
        <f t="shared" si="222"/>
        <v>0</v>
      </c>
      <c r="EF212" s="182">
        <f t="shared" si="222"/>
        <v>0</v>
      </c>
      <c r="EG212" s="182">
        <f t="shared" ref="EG212:FB212" si="223">EG45*EG$168</f>
        <v>0</v>
      </c>
      <c r="EH212" s="182">
        <f t="shared" si="223"/>
        <v>0</v>
      </c>
      <c r="EI212" s="182">
        <f t="shared" si="223"/>
        <v>0</v>
      </c>
      <c r="EJ212" s="182">
        <f t="shared" si="223"/>
        <v>0</v>
      </c>
      <c r="EK212" s="182">
        <f t="shared" si="223"/>
        <v>0</v>
      </c>
      <c r="EL212" s="182">
        <f t="shared" si="223"/>
        <v>0</v>
      </c>
      <c r="EM212" s="182">
        <f t="shared" si="223"/>
        <v>0</v>
      </c>
      <c r="EN212" s="182">
        <f t="shared" si="223"/>
        <v>0</v>
      </c>
      <c r="EO212" s="182">
        <f t="shared" si="223"/>
        <v>0</v>
      </c>
      <c r="EP212" s="182">
        <f t="shared" si="223"/>
        <v>0</v>
      </c>
      <c r="EQ212" s="182">
        <f t="shared" si="223"/>
        <v>0</v>
      </c>
      <c r="ER212" s="182">
        <f t="shared" si="223"/>
        <v>0</v>
      </c>
      <c r="ES212" s="182">
        <f t="shared" si="223"/>
        <v>0</v>
      </c>
      <c r="ET212" s="182">
        <f t="shared" si="223"/>
        <v>0</v>
      </c>
      <c r="EU212" s="182">
        <f t="shared" si="223"/>
        <v>0</v>
      </c>
      <c r="EV212" s="182">
        <f t="shared" si="223"/>
        <v>0</v>
      </c>
      <c r="EW212" s="182">
        <f t="shared" si="223"/>
        <v>0</v>
      </c>
      <c r="EX212" s="182">
        <f t="shared" si="223"/>
        <v>0</v>
      </c>
      <c r="EY212" s="182">
        <f t="shared" si="223"/>
        <v>0</v>
      </c>
      <c r="EZ212" s="182">
        <f t="shared" si="223"/>
        <v>0</v>
      </c>
      <c r="FA212" s="182">
        <f t="shared" si="223"/>
        <v>0</v>
      </c>
      <c r="FB212" s="183">
        <f t="shared" si="223"/>
        <v>0</v>
      </c>
    </row>
    <row r="213" spans="2:158" ht="12.75" customHeight="1" x14ac:dyDescent="0.3">
      <c r="B213" s="180" t="s">
        <v>3856</v>
      </c>
      <c r="C213" s="193">
        <v>0</v>
      </c>
      <c r="D213" s="182">
        <f t="shared" si="200"/>
        <v>0</v>
      </c>
      <c r="E213" s="182">
        <f t="shared" si="206"/>
        <v>0</v>
      </c>
      <c r="F213" s="182">
        <f t="shared" si="212"/>
        <v>2.7194946767514151E-2</v>
      </c>
      <c r="G213" s="182">
        <f t="shared" si="218"/>
        <v>0</v>
      </c>
      <c r="H213" s="182">
        <f t="shared" ref="H213:H244" si="224">H46*H$168</f>
        <v>0</v>
      </c>
      <c r="I213" s="176">
        <f t="shared" si="50"/>
        <v>1.7444343553313715E-2</v>
      </c>
      <c r="J213" s="182">
        <f t="shared" si="56"/>
        <v>0</v>
      </c>
      <c r="K213" s="182">
        <f t="shared" si="62"/>
        <v>0</v>
      </c>
      <c r="L213" s="182">
        <f t="shared" si="68"/>
        <v>0</v>
      </c>
      <c r="M213" s="182">
        <f t="shared" si="74"/>
        <v>0</v>
      </c>
      <c r="N213" s="182">
        <f t="shared" si="80"/>
        <v>0</v>
      </c>
      <c r="O213" s="182">
        <f t="shared" si="86"/>
        <v>0</v>
      </c>
      <c r="P213" s="182">
        <f t="shared" si="92"/>
        <v>0</v>
      </c>
      <c r="Q213" s="182">
        <f t="shared" si="98"/>
        <v>0</v>
      </c>
      <c r="R213" s="182">
        <f t="shared" si="104"/>
        <v>0</v>
      </c>
      <c r="S213" s="182">
        <f t="shared" si="110"/>
        <v>0</v>
      </c>
      <c r="T213" s="182">
        <f t="shared" si="116"/>
        <v>0</v>
      </c>
      <c r="U213" s="182">
        <f t="shared" si="122"/>
        <v>0</v>
      </c>
      <c r="V213" s="182">
        <f t="shared" si="128"/>
        <v>0</v>
      </c>
      <c r="W213" s="182">
        <f t="shared" si="134"/>
        <v>0</v>
      </c>
      <c r="X213" s="182">
        <f t="shared" si="140"/>
        <v>0</v>
      </c>
      <c r="Y213" s="182">
        <f t="shared" si="145"/>
        <v>0</v>
      </c>
      <c r="Z213" s="182">
        <f t="shared" si="150"/>
        <v>0</v>
      </c>
      <c r="AA213" s="182">
        <f t="shared" si="155"/>
        <v>0</v>
      </c>
      <c r="AB213" s="182">
        <f t="shared" si="160"/>
        <v>0</v>
      </c>
      <c r="AC213" s="182">
        <f t="shared" si="165"/>
        <v>0</v>
      </c>
      <c r="AD213" s="182">
        <f t="shared" si="170"/>
        <v>0</v>
      </c>
      <c r="AE213" s="182">
        <f t="shared" si="175"/>
        <v>0</v>
      </c>
      <c r="AF213" s="182">
        <f t="shared" si="180"/>
        <v>0</v>
      </c>
      <c r="AG213" s="182">
        <f t="shared" si="185"/>
        <v>0</v>
      </c>
      <c r="AH213" s="182">
        <f t="shared" si="190"/>
        <v>0</v>
      </c>
      <c r="AI213" s="182">
        <f t="shared" si="195"/>
        <v>0</v>
      </c>
      <c r="AJ213" s="182">
        <f t="shared" si="201"/>
        <v>0</v>
      </c>
      <c r="AK213" s="182">
        <f t="shared" si="207"/>
        <v>0</v>
      </c>
      <c r="AL213" s="182">
        <f t="shared" si="213"/>
        <v>0</v>
      </c>
      <c r="AM213" s="182">
        <f t="shared" si="219"/>
        <v>0</v>
      </c>
      <c r="AN213" s="182">
        <f t="shared" ref="AN213:AN244" si="225">AN46*AN$168</f>
        <v>1.7081710457399952</v>
      </c>
      <c r="AO213" s="181">
        <f>$C213+SUM($D213:AN213,AP213:$FB213)-SUM(AO$176:AO212,AO214:AO$330)-AO$331</f>
        <v>7.9797279894933126E-17</v>
      </c>
      <c r="AP213" s="176">
        <f t="shared" ref="AP213:BU213" si="226">AP46*AP$168</f>
        <v>0</v>
      </c>
      <c r="AQ213" s="176">
        <f t="shared" si="226"/>
        <v>0</v>
      </c>
      <c r="AR213" s="176">
        <f t="shared" si="226"/>
        <v>0</v>
      </c>
      <c r="AS213" s="176">
        <f t="shared" si="226"/>
        <v>0</v>
      </c>
      <c r="AT213" s="176">
        <f t="shared" si="226"/>
        <v>0</v>
      </c>
      <c r="AU213" s="176">
        <f t="shared" si="226"/>
        <v>0</v>
      </c>
      <c r="AV213" s="176">
        <f t="shared" si="226"/>
        <v>0</v>
      </c>
      <c r="AW213" s="176">
        <f t="shared" si="226"/>
        <v>0</v>
      </c>
      <c r="AX213" s="176">
        <f t="shared" si="226"/>
        <v>0</v>
      </c>
      <c r="AY213" s="176">
        <f t="shared" si="226"/>
        <v>0</v>
      </c>
      <c r="AZ213" s="176">
        <f t="shared" si="226"/>
        <v>0</v>
      </c>
      <c r="BA213" s="176">
        <f t="shared" si="226"/>
        <v>0</v>
      </c>
      <c r="BB213" s="176">
        <f t="shared" si="226"/>
        <v>0</v>
      </c>
      <c r="BC213" s="176">
        <f t="shared" si="226"/>
        <v>0</v>
      </c>
      <c r="BD213" s="176">
        <f t="shared" si="226"/>
        <v>0</v>
      </c>
      <c r="BE213" s="176">
        <f t="shared" si="226"/>
        <v>0</v>
      </c>
      <c r="BF213" s="176">
        <f t="shared" si="226"/>
        <v>0</v>
      </c>
      <c r="BG213" s="176">
        <f t="shared" si="226"/>
        <v>0</v>
      </c>
      <c r="BH213" s="176">
        <f t="shared" si="226"/>
        <v>0</v>
      </c>
      <c r="BI213" s="176">
        <f t="shared" si="226"/>
        <v>0</v>
      </c>
      <c r="BJ213" s="176">
        <f t="shared" si="226"/>
        <v>0</v>
      </c>
      <c r="BK213" s="176">
        <f t="shared" si="226"/>
        <v>0</v>
      </c>
      <c r="BL213" s="176">
        <f t="shared" si="226"/>
        <v>0</v>
      </c>
      <c r="BM213" s="176">
        <f t="shared" si="226"/>
        <v>0</v>
      </c>
      <c r="BN213" s="176">
        <f t="shared" si="226"/>
        <v>0</v>
      </c>
      <c r="BO213" s="176">
        <f t="shared" si="226"/>
        <v>0</v>
      </c>
      <c r="BP213" s="176">
        <f t="shared" si="226"/>
        <v>0</v>
      </c>
      <c r="BQ213" s="176">
        <f t="shared" si="226"/>
        <v>0</v>
      </c>
      <c r="BR213" s="176">
        <f t="shared" si="226"/>
        <v>0</v>
      </c>
      <c r="BS213" s="176">
        <f t="shared" si="226"/>
        <v>0</v>
      </c>
      <c r="BT213" s="176">
        <f t="shared" si="226"/>
        <v>0</v>
      </c>
      <c r="BU213" s="176">
        <f t="shared" si="226"/>
        <v>0</v>
      </c>
      <c r="BV213" s="176">
        <f t="shared" ref="BV213:DA213" si="227">BV46*BV$168</f>
        <v>0</v>
      </c>
      <c r="BW213" s="176">
        <f t="shared" si="227"/>
        <v>0</v>
      </c>
      <c r="BX213" s="176">
        <f t="shared" si="227"/>
        <v>0</v>
      </c>
      <c r="BY213" s="176">
        <f t="shared" si="227"/>
        <v>0</v>
      </c>
      <c r="BZ213" s="176">
        <f t="shared" si="227"/>
        <v>0</v>
      </c>
      <c r="CA213" s="176">
        <f t="shared" si="227"/>
        <v>0</v>
      </c>
      <c r="CB213" s="176">
        <f t="shared" si="227"/>
        <v>0</v>
      </c>
      <c r="CC213" s="176">
        <f t="shared" si="227"/>
        <v>0</v>
      </c>
      <c r="CD213" s="176">
        <f t="shared" si="227"/>
        <v>0</v>
      </c>
      <c r="CE213" s="176">
        <f t="shared" si="227"/>
        <v>0</v>
      </c>
      <c r="CF213" s="176">
        <f t="shared" si="227"/>
        <v>0</v>
      </c>
      <c r="CG213" s="176">
        <f t="shared" si="227"/>
        <v>0</v>
      </c>
      <c r="CH213" s="176">
        <f t="shared" si="227"/>
        <v>0</v>
      </c>
      <c r="CI213" s="176">
        <f t="shared" si="227"/>
        <v>0</v>
      </c>
      <c r="CJ213" s="176">
        <f t="shared" si="227"/>
        <v>0</v>
      </c>
      <c r="CK213" s="176">
        <f t="shared" si="227"/>
        <v>0</v>
      </c>
      <c r="CL213" s="176">
        <f t="shared" si="227"/>
        <v>0</v>
      </c>
      <c r="CM213" s="176">
        <f t="shared" si="227"/>
        <v>0</v>
      </c>
      <c r="CN213" s="176">
        <f t="shared" si="227"/>
        <v>0</v>
      </c>
      <c r="CO213" s="176">
        <f t="shared" si="227"/>
        <v>0</v>
      </c>
      <c r="CP213" s="176">
        <f t="shared" si="227"/>
        <v>0</v>
      </c>
      <c r="CQ213" s="176">
        <f t="shared" si="227"/>
        <v>0</v>
      </c>
      <c r="CR213" s="176">
        <f t="shared" si="227"/>
        <v>0</v>
      </c>
      <c r="CS213" s="176">
        <f t="shared" si="227"/>
        <v>0</v>
      </c>
      <c r="CT213" s="176">
        <f t="shared" si="227"/>
        <v>0</v>
      </c>
      <c r="CU213" s="176">
        <f t="shared" si="227"/>
        <v>0</v>
      </c>
      <c r="CV213" s="176">
        <f t="shared" si="227"/>
        <v>0</v>
      </c>
      <c r="CW213" s="176">
        <f t="shared" si="227"/>
        <v>0</v>
      </c>
      <c r="CX213" s="176">
        <f t="shared" si="227"/>
        <v>0</v>
      </c>
      <c r="CY213" s="176">
        <f t="shared" si="227"/>
        <v>0</v>
      </c>
      <c r="CZ213" s="176">
        <f t="shared" si="227"/>
        <v>0</v>
      </c>
      <c r="DA213" s="176">
        <f t="shared" si="227"/>
        <v>0</v>
      </c>
      <c r="DB213" s="176">
        <f t="shared" ref="DB213:EG213" si="228">DB46*DB$168</f>
        <v>0</v>
      </c>
      <c r="DC213" s="176">
        <f t="shared" si="228"/>
        <v>0</v>
      </c>
      <c r="DD213" s="176">
        <f t="shared" si="228"/>
        <v>0</v>
      </c>
      <c r="DE213" s="176">
        <f t="shared" si="228"/>
        <v>0</v>
      </c>
      <c r="DF213" s="176">
        <f t="shared" si="228"/>
        <v>0</v>
      </c>
      <c r="DG213" s="176">
        <f t="shared" si="228"/>
        <v>0</v>
      </c>
      <c r="DH213" s="176">
        <f t="shared" si="228"/>
        <v>0</v>
      </c>
      <c r="DI213" s="176">
        <f t="shared" si="228"/>
        <v>0</v>
      </c>
      <c r="DJ213" s="176">
        <f t="shared" si="228"/>
        <v>0</v>
      </c>
      <c r="DK213" s="176">
        <f t="shared" si="228"/>
        <v>0</v>
      </c>
      <c r="DL213" s="176">
        <f t="shared" si="228"/>
        <v>0</v>
      </c>
      <c r="DM213" s="176">
        <f t="shared" si="228"/>
        <v>0</v>
      </c>
      <c r="DN213" s="176">
        <f t="shared" si="228"/>
        <v>0</v>
      </c>
      <c r="DO213" s="176">
        <f t="shared" si="228"/>
        <v>0</v>
      </c>
      <c r="DP213" s="176">
        <f t="shared" si="228"/>
        <v>0</v>
      </c>
      <c r="DQ213" s="176">
        <f t="shared" si="228"/>
        <v>0</v>
      </c>
      <c r="DR213" s="176">
        <f t="shared" si="228"/>
        <v>0</v>
      </c>
      <c r="DS213" s="176">
        <f t="shared" si="228"/>
        <v>0</v>
      </c>
      <c r="DT213" s="176">
        <f t="shared" si="228"/>
        <v>0</v>
      </c>
      <c r="DU213" s="176">
        <f t="shared" si="228"/>
        <v>0</v>
      </c>
      <c r="DV213" s="176">
        <f t="shared" si="228"/>
        <v>0</v>
      </c>
      <c r="DW213" s="176">
        <f t="shared" si="228"/>
        <v>0</v>
      </c>
      <c r="DX213" s="176">
        <f t="shared" si="228"/>
        <v>0</v>
      </c>
      <c r="DY213" s="176">
        <f t="shared" si="228"/>
        <v>0</v>
      </c>
      <c r="DZ213" s="176">
        <f t="shared" si="228"/>
        <v>0</v>
      </c>
      <c r="EA213" s="176">
        <f t="shared" si="228"/>
        <v>0</v>
      </c>
      <c r="EB213" s="176">
        <f t="shared" si="228"/>
        <v>0</v>
      </c>
      <c r="EC213" s="176">
        <f t="shared" si="228"/>
        <v>0</v>
      </c>
      <c r="ED213" s="176">
        <f t="shared" si="228"/>
        <v>0</v>
      </c>
      <c r="EE213" s="176">
        <f t="shared" si="228"/>
        <v>0</v>
      </c>
      <c r="EF213" s="182">
        <f t="shared" si="228"/>
        <v>0</v>
      </c>
      <c r="EG213" s="182">
        <f t="shared" si="228"/>
        <v>0</v>
      </c>
      <c r="EH213" s="182">
        <f t="shared" ref="EH213:FB213" si="229">EH46*EH$168</f>
        <v>0</v>
      </c>
      <c r="EI213" s="182">
        <f t="shared" si="229"/>
        <v>0</v>
      </c>
      <c r="EJ213" s="182">
        <f t="shared" si="229"/>
        <v>0</v>
      </c>
      <c r="EK213" s="182">
        <f t="shared" si="229"/>
        <v>0</v>
      </c>
      <c r="EL213" s="182">
        <f t="shared" si="229"/>
        <v>0</v>
      </c>
      <c r="EM213" s="182">
        <f t="shared" si="229"/>
        <v>0</v>
      </c>
      <c r="EN213" s="182">
        <f t="shared" si="229"/>
        <v>0</v>
      </c>
      <c r="EO213" s="182">
        <f t="shared" si="229"/>
        <v>0</v>
      </c>
      <c r="EP213" s="182">
        <f t="shared" si="229"/>
        <v>0</v>
      </c>
      <c r="EQ213" s="182">
        <f t="shared" si="229"/>
        <v>0</v>
      </c>
      <c r="ER213" s="182">
        <f t="shared" si="229"/>
        <v>0</v>
      </c>
      <c r="ES213" s="182">
        <f t="shared" si="229"/>
        <v>0</v>
      </c>
      <c r="ET213" s="182">
        <f t="shared" si="229"/>
        <v>0</v>
      </c>
      <c r="EU213" s="182">
        <f t="shared" si="229"/>
        <v>0</v>
      </c>
      <c r="EV213" s="182">
        <f t="shared" si="229"/>
        <v>0</v>
      </c>
      <c r="EW213" s="182">
        <f t="shared" si="229"/>
        <v>0</v>
      </c>
      <c r="EX213" s="182">
        <f t="shared" si="229"/>
        <v>0</v>
      </c>
      <c r="EY213" s="182">
        <f t="shared" si="229"/>
        <v>0</v>
      </c>
      <c r="EZ213" s="182">
        <f t="shared" si="229"/>
        <v>0</v>
      </c>
      <c r="FA213" s="182">
        <f t="shared" si="229"/>
        <v>0</v>
      </c>
      <c r="FB213" s="183">
        <f t="shared" si="229"/>
        <v>0</v>
      </c>
    </row>
    <row r="214" spans="2:158" ht="12.75" customHeight="1" x14ac:dyDescent="0.3">
      <c r="B214" s="180" t="s">
        <v>3857</v>
      </c>
      <c r="C214" s="193">
        <v>0</v>
      </c>
      <c r="D214" s="182">
        <f t="shared" si="200"/>
        <v>0</v>
      </c>
      <c r="E214" s="182">
        <f t="shared" si="206"/>
        <v>0</v>
      </c>
      <c r="F214" s="182">
        <f t="shared" si="212"/>
        <v>0</v>
      </c>
      <c r="G214" s="182">
        <f t="shared" si="218"/>
        <v>1.9954962498059321E-5</v>
      </c>
      <c r="H214" s="182">
        <f t="shared" si="224"/>
        <v>0</v>
      </c>
      <c r="I214" s="176">
        <f t="shared" ref="I214:I245" si="230">I47*I$168</f>
        <v>0</v>
      </c>
      <c r="J214" s="182">
        <f t="shared" si="56"/>
        <v>1.4764575467295993E-3</v>
      </c>
      <c r="K214" s="182">
        <f t="shared" si="62"/>
        <v>0</v>
      </c>
      <c r="L214" s="182">
        <f t="shared" si="68"/>
        <v>0</v>
      </c>
      <c r="M214" s="182">
        <f t="shared" si="74"/>
        <v>0</v>
      </c>
      <c r="N214" s="182">
        <f t="shared" si="80"/>
        <v>0</v>
      </c>
      <c r="O214" s="182">
        <f t="shared" si="86"/>
        <v>0</v>
      </c>
      <c r="P214" s="182">
        <f t="shared" si="92"/>
        <v>0</v>
      </c>
      <c r="Q214" s="182">
        <f t="shared" si="98"/>
        <v>0</v>
      </c>
      <c r="R214" s="182">
        <f t="shared" si="104"/>
        <v>0</v>
      </c>
      <c r="S214" s="182">
        <f t="shared" si="110"/>
        <v>0</v>
      </c>
      <c r="T214" s="182">
        <f t="shared" si="116"/>
        <v>0</v>
      </c>
      <c r="U214" s="182">
        <f t="shared" si="122"/>
        <v>0</v>
      </c>
      <c r="V214" s="182">
        <f t="shared" si="128"/>
        <v>0</v>
      </c>
      <c r="W214" s="182">
        <f t="shared" si="134"/>
        <v>0</v>
      </c>
      <c r="X214" s="182">
        <f t="shared" si="140"/>
        <v>0</v>
      </c>
      <c r="Y214" s="182">
        <f t="shared" si="145"/>
        <v>0</v>
      </c>
      <c r="Z214" s="182">
        <f t="shared" si="150"/>
        <v>0</v>
      </c>
      <c r="AA214" s="182">
        <f t="shared" si="155"/>
        <v>0</v>
      </c>
      <c r="AB214" s="182">
        <f t="shared" si="160"/>
        <v>0</v>
      </c>
      <c r="AC214" s="182">
        <f t="shared" si="165"/>
        <v>0</v>
      </c>
      <c r="AD214" s="182">
        <f t="shared" si="170"/>
        <v>0</v>
      </c>
      <c r="AE214" s="182">
        <f t="shared" si="175"/>
        <v>0</v>
      </c>
      <c r="AF214" s="182">
        <f t="shared" si="180"/>
        <v>0</v>
      </c>
      <c r="AG214" s="182">
        <f t="shared" si="185"/>
        <v>0</v>
      </c>
      <c r="AH214" s="182">
        <f t="shared" si="190"/>
        <v>0</v>
      </c>
      <c r="AI214" s="182">
        <f t="shared" si="195"/>
        <v>0</v>
      </c>
      <c r="AJ214" s="182">
        <f t="shared" si="201"/>
        <v>0</v>
      </c>
      <c r="AK214" s="182">
        <f t="shared" si="207"/>
        <v>0</v>
      </c>
      <c r="AL214" s="182">
        <f t="shared" si="213"/>
        <v>0</v>
      </c>
      <c r="AM214" s="182">
        <f t="shared" si="219"/>
        <v>0</v>
      </c>
      <c r="AN214" s="182">
        <f t="shared" si="225"/>
        <v>0.52853245759656087</v>
      </c>
      <c r="AO214" s="182">
        <f t="shared" ref="AO214:AO245" si="231">AO47*AO$168</f>
        <v>0</v>
      </c>
      <c r="AP214" s="181">
        <f>$C214+SUM($D214:AO214,AQ214:$FB214)-SUM(AP$176:AP213,AP215:AP$330)-AP$331</f>
        <v>0</v>
      </c>
      <c r="AQ214" s="176">
        <f t="shared" ref="AQ214:BV214" si="232">AQ47*AQ$168</f>
        <v>0</v>
      </c>
      <c r="AR214" s="176">
        <f t="shared" si="232"/>
        <v>0</v>
      </c>
      <c r="AS214" s="176">
        <f t="shared" si="232"/>
        <v>0</v>
      </c>
      <c r="AT214" s="176">
        <f t="shared" si="232"/>
        <v>0</v>
      </c>
      <c r="AU214" s="176">
        <f t="shared" si="232"/>
        <v>0</v>
      </c>
      <c r="AV214" s="176">
        <f t="shared" si="232"/>
        <v>0</v>
      </c>
      <c r="AW214" s="176">
        <f t="shared" si="232"/>
        <v>0</v>
      </c>
      <c r="AX214" s="176">
        <f t="shared" si="232"/>
        <v>0</v>
      </c>
      <c r="AY214" s="176">
        <f t="shared" si="232"/>
        <v>0</v>
      </c>
      <c r="AZ214" s="176">
        <f t="shared" si="232"/>
        <v>0</v>
      </c>
      <c r="BA214" s="176">
        <f t="shared" si="232"/>
        <v>0</v>
      </c>
      <c r="BB214" s="176">
        <f t="shared" si="232"/>
        <v>0</v>
      </c>
      <c r="BC214" s="176">
        <f t="shared" si="232"/>
        <v>0</v>
      </c>
      <c r="BD214" s="176">
        <f t="shared" si="232"/>
        <v>0</v>
      </c>
      <c r="BE214" s="176">
        <f t="shared" si="232"/>
        <v>0</v>
      </c>
      <c r="BF214" s="176">
        <f t="shared" si="232"/>
        <v>0</v>
      </c>
      <c r="BG214" s="176">
        <f t="shared" si="232"/>
        <v>0</v>
      </c>
      <c r="BH214" s="176">
        <f t="shared" si="232"/>
        <v>0</v>
      </c>
      <c r="BI214" s="176">
        <f t="shared" si="232"/>
        <v>0</v>
      </c>
      <c r="BJ214" s="176">
        <f t="shared" si="232"/>
        <v>0</v>
      </c>
      <c r="BK214" s="176">
        <f t="shared" si="232"/>
        <v>0</v>
      </c>
      <c r="BL214" s="176">
        <f t="shared" si="232"/>
        <v>0</v>
      </c>
      <c r="BM214" s="176">
        <f t="shared" si="232"/>
        <v>0</v>
      </c>
      <c r="BN214" s="176">
        <f t="shared" si="232"/>
        <v>0</v>
      </c>
      <c r="BO214" s="176">
        <f t="shared" si="232"/>
        <v>0</v>
      </c>
      <c r="BP214" s="176">
        <f t="shared" si="232"/>
        <v>0</v>
      </c>
      <c r="BQ214" s="176">
        <f t="shared" si="232"/>
        <v>0</v>
      </c>
      <c r="BR214" s="176">
        <f t="shared" si="232"/>
        <v>0</v>
      </c>
      <c r="BS214" s="176">
        <f t="shared" si="232"/>
        <v>0</v>
      </c>
      <c r="BT214" s="176">
        <f t="shared" si="232"/>
        <v>0</v>
      </c>
      <c r="BU214" s="176">
        <f t="shared" si="232"/>
        <v>0</v>
      </c>
      <c r="BV214" s="176">
        <f t="shared" si="232"/>
        <v>0</v>
      </c>
      <c r="BW214" s="176">
        <f t="shared" ref="BW214:DB214" si="233">BW47*BW$168</f>
        <v>0</v>
      </c>
      <c r="BX214" s="176">
        <f t="shared" si="233"/>
        <v>0</v>
      </c>
      <c r="BY214" s="176">
        <f t="shared" si="233"/>
        <v>0</v>
      </c>
      <c r="BZ214" s="176">
        <f t="shared" si="233"/>
        <v>0</v>
      </c>
      <c r="CA214" s="176">
        <f t="shared" si="233"/>
        <v>0</v>
      </c>
      <c r="CB214" s="176">
        <f t="shared" si="233"/>
        <v>0</v>
      </c>
      <c r="CC214" s="176">
        <f t="shared" si="233"/>
        <v>0</v>
      </c>
      <c r="CD214" s="176">
        <f t="shared" si="233"/>
        <v>0</v>
      </c>
      <c r="CE214" s="176">
        <f t="shared" si="233"/>
        <v>0</v>
      </c>
      <c r="CF214" s="176">
        <f t="shared" si="233"/>
        <v>0</v>
      </c>
      <c r="CG214" s="176">
        <f t="shared" si="233"/>
        <v>0</v>
      </c>
      <c r="CH214" s="176">
        <f t="shared" si="233"/>
        <v>0</v>
      </c>
      <c r="CI214" s="176">
        <f t="shared" si="233"/>
        <v>0</v>
      </c>
      <c r="CJ214" s="176">
        <f t="shared" si="233"/>
        <v>0</v>
      </c>
      <c r="CK214" s="176">
        <f t="shared" si="233"/>
        <v>0</v>
      </c>
      <c r="CL214" s="176">
        <f t="shared" si="233"/>
        <v>0</v>
      </c>
      <c r="CM214" s="176">
        <f t="shared" si="233"/>
        <v>0</v>
      </c>
      <c r="CN214" s="176">
        <f t="shared" si="233"/>
        <v>0</v>
      </c>
      <c r="CO214" s="176">
        <f t="shared" si="233"/>
        <v>0</v>
      </c>
      <c r="CP214" s="176">
        <f t="shared" si="233"/>
        <v>0</v>
      </c>
      <c r="CQ214" s="176">
        <f t="shared" si="233"/>
        <v>0</v>
      </c>
      <c r="CR214" s="176">
        <f t="shared" si="233"/>
        <v>0</v>
      </c>
      <c r="CS214" s="176">
        <f t="shared" si="233"/>
        <v>0</v>
      </c>
      <c r="CT214" s="176">
        <f t="shared" si="233"/>
        <v>0</v>
      </c>
      <c r="CU214" s="176">
        <f t="shared" si="233"/>
        <v>0</v>
      </c>
      <c r="CV214" s="176">
        <f t="shared" si="233"/>
        <v>0</v>
      </c>
      <c r="CW214" s="176">
        <f t="shared" si="233"/>
        <v>0</v>
      </c>
      <c r="CX214" s="176">
        <f t="shared" si="233"/>
        <v>0</v>
      </c>
      <c r="CY214" s="176">
        <f t="shared" si="233"/>
        <v>0</v>
      </c>
      <c r="CZ214" s="176">
        <f t="shared" si="233"/>
        <v>0</v>
      </c>
      <c r="DA214" s="176">
        <f t="shared" si="233"/>
        <v>0</v>
      </c>
      <c r="DB214" s="176">
        <f t="shared" si="233"/>
        <v>0</v>
      </c>
      <c r="DC214" s="176">
        <f t="shared" ref="DC214:EH214" si="234">DC47*DC$168</f>
        <v>0</v>
      </c>
      <c r="DD214" s="176">
        <f t="shared" si="234"/>
        <v>0</v>
      </c>
      <c r="DE214" s="176">
        <f t="shared" si="234"/>
        <v>0</v>
      </c>
      <c r="DF214" s="176">
        <f t="shared" si="234"/>
        <v>0</v>
      </c>
      <c r="DG214" s="176">
        <f t="shared" si="234"/>
        <v>0</v>
      </c>
      <c r="DH214" s="176">
        <f t="shared" si="234"/>
        <v>0</v>
      </c>
      <c r="DI214" s="176">
        <f t="shared" si="234"/>
        <v>0</v>
      </c>
      <c r="DJ214" s="176">
        <f t="shared" si="234"/>
        <v>0</v>
      </c>
      <c r="DK214" s="176">
        <f t="shared" si="234"/>
        <v>0</v>
      </c>
      <c r="DL214" s="176">
        <f t="shared" si="234"/>
        <v>0</v>
      </c>
      <c r="DM214" s="176">
        <f t="shared" si="234"/>
        <v>0</v>
      </c>
      <c r="DN214" s="176">
        <f t="shared" si="234"/>
        <v>0</v>
      </c>
      <c r="DO214" s="176">
        <f t="shared" si="234"/>
        <v>0</v>
      </c>
      <c r="DP214" s="176">
        <f t="shared" si="234"/>
        <v>0</v>
      </c>
      <c r="DQ214" s="176">
        <f t="shared" si="234"/>
        <v>0</v>
      </c>
      <c r="DR214" s="176">
        <f t="shared" si="234"/>
        <v>0</v>
      </c>
      <c r="DS214" s="176">
        <f t="shared" si="234"/>
        <v>0</v>
      </c>
      <c r="DT214" s="176">
        <f t="shared" si="234"/>
        <v>0</v>
      </c>
      <c r="DU214" s="176">
        <f t="shared" si="234"/>
        <v>0</v>
      </c>
      <c r="DV214" s="176">
        <f t="shared" si="234"/>
        <v>0</v>
      </c>
      <c r="DW214" s="176">
        <f t="shared" si="234"/>
        <v>0</v>
      </c>
      <c r="DX214" s="176">
        <f t="shared" si="234"/>
        <v>0</v>
      </c>
      <c r="DY214" s="176">
        <f t="shared" si="234"/>
        <v>0</v>
      </c>
      <c r="DZ214" s="176">
        <f t="shared" si="234"/>
        <v>0</v>
      </c>
      <c r="EA214" s="176">
        <f t="shared" si="234"/>
        <v>0</v>
      </c>
      <c r="EB214" s="176">
        <f t="shared" si="234"/>
        <v>0</v>
      </c>
      <c r="EC214" s="176">
        <f t="shared" si="234"/>
        <v>0</v>
      </c>
      <c r="ED214" s="176">
        <f t="shared" si="234"/>
        <v>0</v>
      </c>
      <c r="EE214" s="176">
        <f t="shared" si="234"/>
        <v>0</v>
      </c>
      <c r="EF214" s="182">
        <f t="shared" si="234"/>
        <v>0</v>
      </c>
      <c r="EG214" s="182">
        <f t="shared" si="234"/>
        <v>0</v>
      </c>
      <c r="EH214" s="182">
        <f t="shared" si="234"/>
        <v>0</v>
      </c>
      <c r="EI214" s="182">
        <f t="shared" ref="EI214:FB214" si="235">EI47*EI$168</f>
        <v>0</v>
      </c>
      <c r="EJ214" s="182">
        <f t="shared" si="235"/>
        <v>0</v>
      </c>
      <c r="EK214" s="182">
        <f t="shared" si="235"/>
        <v>0</v>
      </c>
      <c r="EL214" s="182">
        <f t="shared" si="235"/>
        <v>0</v>
      </c>
      <c r="EM214" s="182">
        <f t="shared" si="235"/>
        <v>0</v>
      </c>
      <c r="EN214" s="182">
        <f t="shared" si="235"/>
        <v>0</v>
      </c>
      <c r="EO214" s="182">
        <f t="shared" si="235"/>
        <v>0</v>
      </c>
      <c r="EP214" s="182">
        <f t="shared" si="235"/>
        <v>0</v>
      </c>
      <c r="EQ214" s="182">
        <f t="shared" si="235"/>
        <v>0</v>
      </c>
      <c r="ER214" s="182">
        <f t="shared" si="235"/>
        <v>0</v>
      </c>
      <c r="ES214" s="182">
        <f t="shared" si="235"/>
        <v>0</v>
      </c>
      <c r="ET214" s="182">
        <f t="shared" si="235"/>
        <v>0</v>
      </c>
      <c r="EU214" s="182">
        <f t="shared" si="235"/>
        <v>0</v>
      </c>
      <c r="EV214" s="182">
        <f t="shared" si="235"/>
        <v>0</v>
      </c>
      <c r="EW214" s="182">
        <f t="shared" si="235"/>
        <v>0</v>
      </c>
      <c r="EX214" s="182">
        <f t="shared" si="235"/>
        <v>0</v>
      </c>
      <c r="EY214" s="182">
        <f t="shared" si="235"/>
        <v>0</v>
      </c>
      <c r="EZ214" s="182">
        <f t="shared" si="235"/>
        <v>0</v>
      </c>
      <c r="FA214" s="182">
        <f t="shared" si="235"/>
        <v>0</v>
      </c>
      <c r="FB214" s="183">
        <f t="shared" si="235"/>
        <v>0</v>
      </c>
    </row>
    <row r="215" spans="2:158" ht="12.75" customHeight="1" x14ac:dyDescent="0.3">
      <c r="B215" s="180" t="s">
        <v>3858</v>
      </c>
      <c r="C215" s="193">
        <v>0</v>
      </c>
      <c r="D215" s="182">
        <f t="shared" si="200"/>
        <v>0</v>
      </c>
      <c r="E215" s="182">
        <f t="shared" si="206"/>
        <v>0</v>
      </c>
      <c r="F215" s="182">
        <f t="shared" si="212"/>
        <v>0</v>
      </c>
      <c r="G215" s="182">
        <f t="shared" si="218"/>
        <v>0</v>
      </c>
      <c r="H215" s="182">
        <f t="shared" si="224"/>
        <v>0</v>
      </c>
      <c r="I215" s="176">
        <f t="shared" si="230"/>
        <v>0</v>
      </c>
      <c r="J215" s="182">
        <f t="shared" ref="J215:J246" si="236">J48*J$168</f>
        <v>0</v>
      </c>
      <c r="K215" s="182">
        <f t="shared" si="62"/>
        <v>0</v>
      </c>
      <c r="L215" s="182">
        <f t="shared" si="68"/>
        <v>0</v>
      </c>
      <c r="M215" s="182">
        <f t="shared" si="74"/>
        <v>0</v>
      </c>
      <c r="N215" s="182">
        <f t="shared" si="80"/>
        <v>0</v>
      </c>
      <c r="O215" s="182">
        <f t="shared" si="86"/>
        <v>0</v>
      </c>
      <c r="P215" s="182">
        <f t="shared" si="92"/>
        <v>0</v>
      </c>
      <c r="Q215" s="182">
        <f t="shared" si="98"/>
        <v>0</v>
      </c>
      <c r="R215" s="182">
        <f t="shared" si="104"/>
        <v>0</v>
      </c>
      <c r="S215" s="182">
        <f t="shared" si="110"/>
        <v>0</v>
      </c>
      <c r="T215" s="182">
        <f t="shared" si="116"/>
        <v>0</v>
      </c>
      <c r="U215" s="182">
        <f t="shared" si="122"/>
        <v>0</v>
      </c>
      <c r="V215" s="182">
        <f t="shared" si="128"/>
        <v>0</v>
      </c>
      <c r="W215" s="182">
        <f t="shared" si="134"/>
        <v>0</v>
      </c>
      <c r="X215" s="182">
        <f t="shared" si="140"/>
        <v>0</v>
      </c>
      <c r="Y215" s="182">
        <f t="shared" si="145"/>
        <v>0</v>
      </c>
      <c r="Z215" s="182">
        <f t="shared" si="150"/>
        <v>0</v>
      </c>
      <c r="AA215" s="182">
        <f t="shared" si="155"/>
        <v>0</v>
      </c>
      <c r="AB215" s="182">
        <f t="shared" si="160"/>
        <v>0</v>
      </c>
      <c r="AC215" s="182">
        <f t="shared" si="165"/>
        <v>0</v>
      </c>
      <c r="AD215" s="182">
        <f t="shared" si="170"/>
        <v>0</v>
      </c>
      <c r="AE215" s="182">
        <f t="shared" si="175"/>
        <v>0</v>
      </c>
      <c r="AF215" s="182">
        <f t="shared" si="180"/>
        <v>0</v>
      </c>
      <c r="AG215" s="182">
        <f t="shared" si="185"/>
        <v>0</v>
      </c>
      <c r="AH215" s="182">
        <f t="shared" si="190"/>
        <v>0</v>
      </c>
      <c r="AI215" s="182">
        <f t="shared" si="195"/>
        <v>0</v>
      </c>
      <c r="AJ215" s="182">
        <f t="shared" si="201"/>
        <v>0</v>
      </c>
      <c r="AK215" s="182">
        <f t="shared" si="207"/>
        <v>0</v>
      </c>
      <c r="AL215" s="182">
        <f t="shared" si="213"/>
        <v>0</v>
      </c>
      <c r="AM215" s="182">
        <f t="shared" si="219"/>
        <v>0</v>
      </c>
      <c r="AN215" s="182">
        <f t="shared" si="225"/>
        <v>0</v>
      </c>
      <c r="AO215" s="182">
        <f t="shared" si="231"/>
        <v>0</v>
      </c>
      <c r="AP215" s="182">
        <f t="shared" ref="AP215:AP246" si="237">AP48*AP$168</f>
        <v>0</v>
      </c>
      <c r="AQ215" s="181">
        <f>$C215+SUM($D215:AP215,AR215:$FB215)-SUM(AQ$176:AQ214,AQ216:AQ$330)-AQ$331</f>
        <v>0</v>
      </c>
      <c r="AR215" s="176">
        <f t="shared" ref="AR215:BW215" si="238">AR48*AR$168</f>
        <v>0</v>
      </c>
      <c r="AS215" s="176">
        <f t="shared" si="238"/>
        <v>0</v>
      </c>
      <c r="AT215" s="176">
        <f t="shared" si="238"/>
        <v>0</v>
      </c>
      <c r="AU215" s="176">
        <f t="shared" si="238"/>
        <v>0</v>
      </c>
      <c r="AV215" s="176">
        <f t="shared" si="238"/>
        <v>0</v>
      </c>
      <c r="AW215" s="176">
        <f t="shared" si="238"/>
        <v>0</v>
      </c>
      <c r="AX215" s="176">
        <f t="shared" si="238"/>
        <v>0</v>
      </c>
      <c r="AY215" s="176">
        <f t="shared" si="238"/>
        <v>0</v>
      </c>
      <c r="AZ215" s="176">
        <f t="shared" si="238"/>
        <v>0</v>
      </c>
      <c r="BA215" s="176">
        <f t="shared" si="238"/>
        <v>0</v>
      </c>
      <c r="BB215" s="176">
        <f t="shared" si="238"/>
        <v>0</v>
      </c>
      <c r="BC215" s="176">
        <f t="shared" si="238"/>
        <v>0</v>
      </c>
      <c r="BD215" s="176">
        <f t="shared" si="238"/>
        <v>0</v>
      </c>
      <c r="BE215" s="176">
        <f t="shared" si="238"/>
        <v>0</v>
      </c>
      <c r="BF215" s="176">
        <f t="shared" si="238"/>
        <v>0</v>
      </c>
      <c r="BG215" s="176">
        <f t="shared" si="238"/>
        <v>0</v>
      </c>
      <c r="BH215" s="176">
        <f t="shared" si="238"/>
        <v>0</v>
      </c>
      <c r="BI215" s="176">
        <f t="shared" si="238"/>
        <v>0</v>
      </c>
      <c r="BJ215" s="176">
        <f t="shared" si="238"/>
        <v>0</v>
      </c>
      <c r="BK215" s="176">
        <f t="shared" si="238"/>
        <v>0</v>
      </c>
      <c r="BL215" s="176">
        <f t="shared" si="238"/>
        <v>0</v>
      </c>
      <c r="BM215" s="176">
        <f t="shared" si="238"/>
        <v>0</v>
      </c>
      <c r="BN215" s="176">
        <f t="shared" si="238"/>
        <v>0</v>
      </c>
      <c r="BO215" s="176">
        <f t="shared" si="238"/>
        <v>0</v>
      </c>
      <c r="BP215" s="176">
        <f t="shared" si="238"/>
        <v>0</v>
      </c>
      <c r="BQ215" s="176">
        <f t="shared" si="238"/>
        <v>0</v>
      </c>
      <c r="BR215" s="176">
        <f t="shared" si="238"/>
        <v>0</v>
      </c>
      <c r="BS215" s="176">
        <f t="shared" si="238"/>
        <v>0</v>
      </c>
      <c r="BT215" s="176">
        <f t="shared" si="238"/>
        <v>0</v>
      </c>
      <c r="BU215" s="176">
        <f t="shared" si="238"/>
        <v>0</v>
      </c>
      <c r="BV215" s="176">
        <f t="shared" si="238"/>
        <v>0</v>
      </c>
      <c r="BW215" s="176">
        <f t="shared" si="238"/>
        <v>0</v>
      </c>
      <c r="BX215" s="176">
        <f t="shared" ref="BX215:DC215" si="239">BX48*BX$168</f>
        <v>0</v>
      </c>
      <c r="BY215" s="176">
        <f t="shared" si="239"/>
        <v>0</v>
      </c>
      <c r="BZ215" s="176">
        <f t="shared" si="239"/>
        <v>0</v>
      </c>
      <c r="CA215" s="176">
        <f t="shared" si="239"/>
        <v>0</v>
      </c>
      <c r="CB215" s="176">
        <f t="shared" si="239"/>
        <v>0</v>
      </c>
      <c r="CC215" s="176">
        <f t="shared" si="239"/>
        <v>0</v>
      </c>
      <c r="CD215" s="176">
        <f t="shared" si="239"/>
        <v>0</v>
      </c>
      <c r="CE215" s="176">
        <f t="shared" si="239"/>
        <v>0</v>
      </c>
      <c r="CF215" s="176">
        <f t="shared" si="239"/>
        <v>0</v>
      </c>
      <c r="CG215" s="176">
        <f t="shared" si="239"/>
        <v>0</v>
      </c>
      <c r="CH215" s="176">
        <f t="shared" si="239"/>
        <v>0</v>
      </c>
      <c r="CI215" s="176">
        <f t="shared" si="239"/>
        <v>0</v>
      </c>
      <c r="CJ215" s="176">
        <f t="shared" si="239"/>
        <v>0</v>
      </c>
      <c r="CK215" s="176">
        <f t="shared" si="239"/>
        <v>0</v>
      </c>
      <c r="CL215" s="176">
        <f t="shared" si="239"/>
        <v>0</v>
      </c>
      <c r="CM215" s="176">
        <f t="shared" si="239"/>
        <v>0</v>
      </c>
      <c r="CN215" s="176">
        <f t="shared" si="239"/>
        <v>0</v>
      </c>
      <c r="CO215" s="176">
        <f t="shared" si="239"/>
        <v>0</v>
      </c>
      <c r="CP215" s="176">
        <f t="shared" si="239"/>
        <v>0</v>
      </c>
      <c r="CQ215" s="176">
        <f t="shared" si="239"/>
        <v>0</v>
      </c>
      <c r="CR215" s="176">
        <f t="shared" si="239"/>
        <v>0</v>
      </c>
      <c r="CS215" s="176">
        <f t="shared" si="239"/>
        <v>0</v>
      </c>
      <c r="CT215" s="176">
        <f t="shared" si="239"/>
        <v>0</v>
      </c>
      <c r="CU215" s="176">
        <f t="shared" si="239"/>
        <v>0</v>
      </c>
      <c r="CV215" s="176">
        <f t="shared" si="239"/>
        <v>0</v>
      </c>
      <c r="CW215" s="176">
        <f t="shared" si="239"/>
        <v>0</v>
      </c>
      <c r="CX215" s="176">
        <f t="shared" si="239"/>
        <v>0</v>
      </c>
      <c r="CY215" s="176">
        <f t="shared" si="239"/>
        <v>0</v>
      </c>
      <c r="CZ215" s="176">
        <f t="shared" si="239"/>
        <v>0</v>
      </c>
      <c r="DA215" s="176">
        <f t="shared" si="239"/>
        <v>0</v>
      </c>
      <c r="DB215" s="176">
        <f t="shared" si="239"/>
        <v>0</v>
      </c>
      <c r="DC215" s="176">
        <f t="shared" si="239"/>
        <v>0</v>
      </c>
      <c r="DD215" s="176">
        <f t="shared" ref="DD215:EI215" si="240">DD48*DD$168</f>
        <v>0</v>
      </c>
      <c r="DE215" s="176">
        <f t="shared" si="240"/>
        <v>0</v>
      </c>
      <c r="DF215" s="176">
        <f t="shared" si="240"/>
        <v>0</v>
      </c>
      <c r="DG215" s="176">
        <f t="shared" si="240"/>
        <v>0</v>
      </c>
      <c r="DH215" s="176">
        <f t="shared" si="240"/>
        <v>0</v>
      </c>
      <c r="DI215" s="176">
        <f t="shared" si="240"/>
        <v>0</v>
      </c>
      <c r="DJ215" s="176">
        <f t="shared" si="240"/>
        <v>0</v>
      </c>
      <c r="DK215" s="176">
        <f t="shared" si="240"/>
        <v>0</v>
      </c>
      <c r="DL215" s="176">
        <f t="shared" si="240"/>
        <v>0</v>
      </c>
      <c r="DM215" s="176">
        <f t="shared" si="240"/>
        <v>0</v>
      </c>
      <c r="DN215" s="176">
        <f t="shared" si="240"/>
        <v>0</v>
      </c>
      <c r="DO215" s="176">
        <f t="shared" si="240"/>
        <v>0</v>
      </c>
      <c r="DP215" s="176">
        <f t="shared" si="240"/>
        <v>0</v>
      </c>
      <c r="DQ215" s="176">
        <f t="shared" si="240"/>
        <v>0</v>
      </c>
      <c r="DR215" s="176">
        <f t="shared" si="240"/>
        <v>0</v>
      </c>
      <c r="DS215" s="176">
        <f t="shared" si="240"/>
        <v>0</v>
      </c>
      <c r="DT215" s="176">
        <f t="shared" si="240"/>
        <v>0</v>
      </c>
      <c r="DU215" s="176">
        <f t="shared" si="240"/>
        <v>0</v>
      </c>
      <c r="DV215" s="176">
        <f t="shared" si="240"/>
        <v>0</v>
      </c>
      <c r="DW215" s="176">
        <f t="shared" si="240"/>
        <v>0</v>
      </c>
      <c r="DX215" s="176">
        <f t="shared" si="240"/>
        <v>0</v>
      </c>
      <c r="DY215" s="176">
        <f t="shared" si="240"/>
        <v>0</v>
      </c>
      <c r="DZ215" s="176">
        <f t="shared" si="240"/>
        <v>0</v>
      </c>
      <c r="EA215" s="176">
        <f t="shared" si="240"/>
        <v>0</v>
      </c>
      <c r="EB215" s="176">
        <f t="shared" si="240"/>
        <v>0</v>
      </c>
      <c r="EC215" s="176">
        <f t="shared" si="240"/>
        <v>0</v>
      </c>
      <c r="ED215" s="176">
        <f t="shared" si="240"/>
        <v>0</v>
      </c>
      <c r="EE215" s="176">
        <f t="shared" si="240"/>
        <v>0</v>
      </c>
      <c r="EF215" s="182">
        <f t="shared" si="240"/>
        <v>0</v>
      </c>
      <c r="EG215" s="182">
        <f t="shared" si="240"/>
        <v>0</v>
      </c>
      <c r="EH215" s="182">
        <f t="shared" si="240"/>
        <v>0</v>
      </c>
      <c r="EI215" s="182">
        <f t="shared" si="240"/>
        <v>0</v>
      </c>
      <c r="EJ215" s="182">
        <f t="shared" ref="EJ215:FB215" si="241">EJ48*EJ$168</f>
        <v>0</v>
      </c>
      <c r="EK215" s="182">
        <f t="shared" si="241"/>
        <v>0</v>
      </c>
      <c r="EL215" s="182">
        <f t="shared" si="241"/>
        <v>0</v>
      </c>
      <c r="EM215" s="182">
        <f t="shared" si="241"/>
        <v>0</v>
      </c>
      <c r="EN215" s="182">
        <f t="shared" si="241"/>
        <v>0</v>
      </c>
      <c r="EO215" s="182">
        <f t="shared" si="241"/>
        <v>0</v>
      </c>
      <c r="EP215" s="182">
        <f t="shared" si="241"/>
        <v>0</v>
      </c>
      <c r="EQ215" s="182">
        <f t="shared" si="241"/>
        <v>0</v>
      </c>
      <c r="ER215" s="182">
        <f t="shared" si="241"/>
        <v>0</v>
      </c>
      <c r="ES215" s="182">
        <f t="shared" si="241"/>
        <v>0</v>
      </c>
      <c r="ET215" s="182">
        <f t="shared" si="241"/>
        <v>0</v>
      </c>
      <c r="EU215" s="182">
        <f t="shared" si="241"/>
        <v>0</v>
      </c>
      <c r="EV215" s="182">
        <f t="shared" si="241"/>
        <v>0</v>
      </c>
      <c r="EW215" s="182">
        <f t="shared" si="241"/>
        <v>0</v>
      </c>
      <c r="EX215" s="182">
        <f t="shared" si="241"/>
        <v>0</v>
      </c>
      <c r="EY215" s="182">
        <f t="shared" si="241"/>
        <v>0</v>
      </c>
      <c r="EZ215" s="182">
        <f t="shared" si="241"/>
        <v>0</v>
      </c>
      <c r="FA215" s="182">
        <f t="shared" si="241"/>
        <v>0</v>
      </c>
      <c r="FB215" s="183">
        <f t="shared" si="241"/>
        <v>0</v>
      </c>
    </row>
    <row r="216" spans="2:158" ht="12.75" customHeight="1" x14ac:dyDescent="0.3">
      <c r="B216" s="180" t="s">
        <v>3859</v>
      </c>
      <c r="C216" s="193">
        <v>0</v>
      </c>
      <c r="D216" s="182">
        <f t="shared" si="200"/>
        <v>0</v>
      </c>
      <c r="E216" s="182">
        <f t="shared" si="206"/>
        <v>1.0320107693310971E-2</v>
      </c>
      <c r="F216" s="182">
        <f t="shared" si="212"/>
        <v>0</v>
      </c>
      <c r="G216" s="182">
        <f t="shared" si="218"/>
        <v>0</v>
      </c>
      <c r="H216" s="182">
        <f t="shared" si="224"/>
        <v>2.9435224556993204E-3</v>
      </c>
      <c r="I216" s="176">
        <f t="shared" si="230"/>
        <v>0</v>
      </c>
      <c r="J216" s="182">
        <f t="shared" si="236"/>
        <v>0</v>
      </c>
      <c r="K216" s="182">
        <f t="shared" ref="K216:K247" si="242">K49*K$168</f>
        <v>0</v>
      </c>
      <c r="L216" s="182">
        <f t="shared" si="68"/>
        <v>0</v>
      </c>
      <c r="M216" s="182">
        <f t="shared" si="74"/>
        <v>0</v>
      </c>
      <c r="N216" s="182">
        <f t="shared" si="80"/>
        <v>0</v>
      </c>
      <c r="O216" s="182">
        <f t="shared" si="86"/>
        <v>0</v>
      </c>
      <c r="P216" s="182">
        <f t="shared" si="92"/>
        <v>0</v>
      </c>
      <c r="Q216" s="182">
        <f t="shared" si="98"/>
        <v>0</v>
      </c>
      <c r="R216" s="182">
        <f t="shared" si="104"/>
        <v>0</v>
      </c>
      <c r="S216" s="182">
        <f t="shared" si="110"/>
        <v>0</v>
      </c>
      <c r="T216" s="182">
        <f t="shared" si="116"/>
        <v>0</v>
      </c>
      <c r="U216" s="182">
        <f t="shared" si="122"/>
        <v>0</v>
      </c>
      <c r="V216" s="182">
        <f t="shared" si="128"/>
        <v>0</v>
      </c>
      <c r="W216" s="182">
        <f t="shared" si="134"/>
        <v>0</v>
      </c>
      <c r="X216" s="182">
        <f t="shared" si="140"/>
        <v>0</v>
      </c>
      <c r="Y216" s="182">
        <f t="shared" si="145"/>
        <v>0</v>
      </c>
      <c r="Z216" s="182">
        <f t="shared" si="150"/>
        <v>0</v>
      </c>
      <c r="AA216" s="182">
        <f t="shared" si="155"/>
        <v>0</v>
      </c>
      <c r="AB216" s="182">
        <f t="shared" si="160"/>
        <v>0</v>
      </c>
      <c r="AC216" s="182">
        <f t="shared" si="165"/>
        <v>0</v>
      </c>
      <c r="AD216" s="182">
        <f t="shared" si="170"/>
        <v>0</v>
      </c>
      <c r="AE216" s="182">
        <f t="shared" si="175"/>
        <v>0</v>
      </c>
      <c r="AF216" s="182">
        <f t="shared" si="180"/>
        <v>0</v>
      </c>
      <c r="AG216" s="182">
        <f t="shared" si="185"/>
        <v>0</v>
      </c>
      <c r="AH216" s="182">
        <f t="shared" si="190"/>
        <v>0</v>
      </c>
      <c r="AI216" s="182">
        <f t="shared" si="195"/>
        <v>0</v>
      </c>
      <c r="AJ216" s="182">
        <f t="shared" si="201"/>
        <v>0</v>
      </c>
      <c r="AK216" s="182">
        <f t="shared" si="207"/>
        <v>0</v>
      </c>
      <c r="AL216" s="182">
        <f t="shared" si="213"/>
        <v>0</v>
      </c>
      <c r="AM216" s="182">
        <f t="shared" si="219"/>
        <v>0</v>
      </c>
      <c r="AN216" s="182">
        <f t="shared" si="225"/>
        <v>0</v>
      </c>
      <c r="AO216" s="182">
        <f t="shared" si="231"/>
        <v>0</v>
      </c>
      <c r="AP216" s="182">
        <f t="shared" si="237"/>
        <v>0</v>
      </c>
      <c r="AQ216" s="182">
        <f t="shared" ref="AQ216:AQ247" si="243">AQ49*AQ$168</f>
        <v>0</v>
      </c>
      <c r="AR216" s="181">
        <f>$C216+SUM($D216:AQ216,AS216:$FB216)-SUM(AR$176:AR215,AR217:AR$330)-AR$331</f>
        <v>4.3496902702237295E-18</v>
      </c>
      <c r="AS216" s="176">
        <f t="shared" ref="AS216:BX216" si="244">AS49*AS$168</f>
        <v>0</v>
      </c>
      <c r="AT216" s="176">
        <f t="shared" si="244"/>
        <v>0</v>
      </c>
      <c r="AU216" s="176">
        <f t="shared" si="244"/>
        <v>0</v>
      </c>
      <c r="AV216" s="176">
        <f t="shared" si="244"/>
        <v>0</v>
      </c>
      <c r="AW216" s="176">
        <f t="shared" si="244"/>
        <v>0</v>
      </c>
      <c r="AX216" s="176">
        <f t="shared" si="244"/>
        <v>0</v>
      </c>
      <c r="AY216" s="176">
        <f t="shared" si="244"/>
        <v>0</v>
      </c>
      <c r="AZ216" s="176">
        <f t="shared" si="244"/>
        <v>0</v>
      </c>
      <c r="BA216" s="176">
        <f t="shared" si="244"/>
        <v>0</v>
      </c>
      <c r="BB216" s="176">
        <f t="shared" si="244"/>
        <v>0</v>
      </c>
      <c r="BC216" s="176">
        <f t="shared" si="244"/>
        <v>0</v>
      </c>
      <c r="BD216" s="176">
        <f t="shared" si="244"/>
        <v>0</v>
      </c>
      <c r="BE216" s="176">
        <f t="shared" si="244"/>
        <v>0</v>
      </c>
      <c r="BF216" s="176">
        <f t="shared" si="244"/>
        <v>0</v>
      </c>
      <c r="BG216" s="176">
        <f t="shared" si="244"/>
        <v>0</v>
      </c>
      <c r="BH216" s="176">
        <f t="shared" si="244"/>
        <v>0</v>
      </c>
      <c r="BI216" s="176">
        <f t="shared" si="244"/>
        <v>0</v>
      </c>
      <c r="BJ216" s="176">
        <f t="shared" si="244"/>
        <v>0</v>
      </c>
      <c r="BK216" s="176">
        <f t="shared" si="244"/>
        <v>0</v>
      </c>
      <c r="BL216" s="176">
        <f t="shared" si="244"/>
        <v>0</v>
      </c>
      <c r="BM216" s="176">
        <f t="shared" si="244"/>
        <v>0</v>
      </c>
      <c r="BN216" s="176">
        <f t="shared" si="244"/>
        <v>0</v>
      </c>
      <c r="BO216" s="176">
        <f t="shared" si="244"/>
        <v>0</v>
      </c>
      <c r="BP216" s="176">
        <f t="shared" si="244"/>
        <v>0</v>
      </c>
      <c r="BQ216" s="176">
        <f t="shared" si="244"/>
        <v>0</v>
      </c>
      <c r="BR216" s="176">
        <f t="shared" si="244"/>
        <v>0</v>
      </c>
      <c r="BS216" s="176">
        <f t="shared" si="244"/>
        <v>0</v>
      </c>
      <c r="BT216" s="176">
        <f t="shared" si="244"/>
        <v>0</v>
      </c>
      <c r="BU216" s="176">
        <f t="shared" si="244"/>
        <v>0</v>
      </c>
      <c r="BV216" s="176">
        <f t="shared" si="244"/>
        <v>0</v>
      </c>
      <c r="BW216" s="176">
        <f t="shared" si="244"/>
        <v>0</v>
      </c>
      <c r="BX216" s="176">
        <f t="shared" si="244"/>
        <v>0</v>
      </c>
      <c r="BY216" s="176">
        <f t="shared" ref="BY216:DD216" si="245">BY49*BY$168</f>
        <v>0</v>
      </c>
      <c r="BZ216" s="176">
        <f t="shared" si="245"/>
        <v>0</v>
      </c>
      <c r="CA216" s="176">
        <f t="shared" si="245"/>
        <v>0</v>
      </c>
      <c r="CB216" s="176">
        <f t="shared" si="245"/>
        <v>0</v>
      </c>
      <c r="CC216" s="176">
        <f t="shared" si="245"/>
        <v>0</v>
      </c>
      <c r="CD216" s="176">
        <f t="shared" si="245"/>
        <v>0</v>
      </c>
      <c r="CE216" s="176">
        <f t="shared" si="245"/>
        <v>0</v>
      </c>
      <c r="CF216" s="176">
        <f t="shared" si="245"/>
        <v>0</v>
      </c>
      <c r="CG216" s="176">
        <f t="shared" si="245"/>
        <v>0</v>
      </c>
      <c r="CH216" s="176">
        <f t="shared" si="245"/>
        <v>0</v>
      </c>
      <c r="CI216" s="176">
        <f t="shared" si="245"/>
        <v>0</v>
      </c>
      <c r="CJ216" s="176">
        <f t="shared" si="245"/>
        <v>0</v>
      </c>
      <c r="CK216" s="176">
        <f t="shared" si="245"/>
        <v>0</v>
      </c>
      <c r="CL216" s="176">
        <f t="shared" si="245"/>
        <v>0</v>
      </c>
      <c r="CM216" s="176">
        <f t="shared" si="245"/>
        <v>0</v>
      </c>
      <c r="CN216" s="176">
        <f t="shared" si="245"/>
        <v>0</v>
      </c>
      <c r="CO216" s="176">
        <f t="shared" si="245"/>
        <v>0</v>
      </c>
      <c r="CP216" s="176">
        <f t="shared" si="245"/>
        <v>0</v>
      </c>
      <c r="CQ216" s="176">
        <f t="shared" si="245"/>
        <v>0</v>
      </c>
      <c r="CR216" s="176">
        <f t="shared" si="245"/>
        <v>0</v>
      </c>
      <c r="CS216" s="176">
        <f t="shared" si="245"/>
        <v>0</v>
      </c>
      <c r="CT216" s="176">
        <f t="shared" si="245"/>
        <v>0</v>
      </c>
      <c r="CU216" s="176">
        <f t="shared" si="245"/>
        <v>0</v>
      </c>
      <c r="CV216" s="176">
        <f t="shared" si="245"/>
        <v>0</v>
      </c>
      <c r="CW216" s="176">
        <f t="shared" si="245"/>
        <v>0</v>
      </c>
      <c r="CX216" s="176">
        <f t="shared" si="245"/>
        <v>0</v>
      </c>
      <c r="CY216" s="176">
        <f t="shared" si="245"/>
        <v>0</v>
      </c>
      <c r="CZ216" s="176">
        <f t="shared" si="245"/>
        <v>0</v>
      </c>
      <c r="DA216" s="176">
        <f t="shared" si="245"/>
        <v>0</v>
      </c>
      <c r="DB216" s="176">
        <f t="shared" si="245"/>
        <v>0</v>
      </c>
      <c r="DC216" s="176">
        <f t="shared" si="245"/>
        <v>0</v>
      </c>
      <c r="DD216" s="176">
        <f t="shared" si="245"/>
        <v>0</v>
      </c>
      <c r="DE216" s="176">
        <f t="shared" ref="DE216:EJ216" si="246">DE49*DE$168</f>
        <v>0</v>
      </c>
      <c r="DF216" s="176">
        <f t="shared" si="246"/>
        <v>0</v>
      </c>
      <c r="DG216" s="176">
        <f t="shared" si="246"/>
        <v>0</v>
      </c>
      <c r="DH216" s="176">
        <f t="shared" si="246"/>
        <v>0</v>
      </c>
      <c r="DI216" s="176">
        <f t="shared" si="246"/>
        <v>0</v>
      </c>
      <c r="DJ216" s="176">
        <f t="shared" si="246"/>
        <v>0</v>
      </c>
      <c r="DK216" s="176">
        <f t="shared" si="246"/>
        <v>0</v>
      </c>
      <c r="DL216" s="176">
        <f t="shared" si="246"/>
        <v>0</v>
      </c>
      <c r="DM216" s="176">
        <f t="shared" si="246"/>
        <v>0</v>
      </c>
      <c r="DN216" s="176">
        <f t="shared" si="246"/>
        <v>0</v>
      </c>
      <c r="DO216" s="176">
        <f t="shared" si="246"/>
        <v>0</v>
      </c>
      <c r="DP216" s="176">
        <f t="shared" si="246"/>
        <v>0</v>
      </c>
      <c r="DQ216" s="176">
        <f t="shared" si="246"/>
        <v>0</v>
      </c>
      <c r="DR216" s="176">
        <f t="shared" si="246"/>
        <v>0</v>
      </c>
      <c r="DS216" s="176">
        <f t="shared" si="246"/>
        <v>0</v>
      </c>
      <c r="DT216" s="176">
        <f t="shared" si="246"/>
        <v>0</v>
      </c>
      <c r="DU216" s="176">
        <f t="shared" si="246"/>
        <v>0</v>
      </c>
      <c r="DV216" s="176">
        <f t="shared" si="246"/>
        <v>0</v>
      </c>
      <c r="DW216" s="176">
        <f t="shared" si="246"/>
        <v>0</v>
      </c>
      <c r="DX216" s="176">
        <f t="shared" si="246"/>
        <v>0</v>
      </c>
      <c r="DY216" s="176">
        <f t="shared" si="246"/>
        <v>0</v>
      </c>
      <c r="DZ216" s="176">
        <f t="shared" si="246"/>
        <v>0</v>
      </c>
      <c r="EA216" s="176">
        <f t="shared" si="246"/>
        <v>0</v>
      </c>
      <c r="EB216" s="176">
        <f t="shared" si="246"/>
        <v>0</v>
      </c>
      <c r="EC216" s="176">
        <f t="shared" si="246"/>
        <v>0</v>
      </c>
      <c r="ED216" s="176">
        <f t="shared" si="246"/>
        <v>0</v>
      </c>
      <c r="EE216" s="176">
        <f t="shared" si="246"/>
        <v>0</v>
      </c>
      <c r="EF216" s="182">
        <f t="shared" si="246"/>
        <v>0</v>
      </c>
      <c r="EG216" s="182">
        <f t="shared" si="246"/>
        <v>0</v>
      </c>
      <c r="EH216" s="182">
        <f t="shared" si="246"/>
        <v>0</v>
      </c>
      <c r="EI216" s="182">
        <f t="shared" si="246"/>
        <v>0</v>
      </c>
      <c r="EJ216" s="182">
        <f t="shared" si="246"/>
        <v>0</v>
      </c>
      <c r="EK216" s="182">
        <f t="shared" ref="EK216:FB216" si="247">EK49*EK$168</f>
        <v>0</v>
      </c>
      <c r="EL216" s="182">
        <f t="shared" si="247"/>
        <v>0</v>
      </c>
      <c r="EM216" s="182">
        <f t="shared" si="247"/>
        <v>0</v>
      </c>
      <c r="EN216" s="182">
        <f t="shared" si="247"/>
        <v>0</v>
      </c>
      <c r="EO216" s="182">
        <f t="shared" si="247"/>
        <v>0</v>
      </c>
      <c r="EP216" s="182">
        <f t="shared" si="247"/>
        <v>0</v>
      </c>
      <c r="EQ216" s="182">
        <f t="shared" si="247"/>
        <v>0</v>
      </c>
      <c r="ER216" s="182">
        <f t="shared" si="247"/>
        <v>0</v>
      </c>
      <c r="ES216" s="182">
        <f t="shared" si="247"/>
        <v>0</v>
      </c>
      <c r="ET216" s="182">
        <f t="shared" si="247"/>
        <v>0</v>
      </c>
      <c r="EU216" s="182">
        <f t="shared" si="247"/>
        <v>0</v>
      </c>
      <c r="EV216" s="182">
        <f t="shared" si="247"/>
        <v>0</v>
      </c>
      <c r="EW216" s="182">
        <f t="shared" si="247"/>
        <v>0</v>
      </c>
      <c r="EX216" s="182">
        <f t="shared" si="247"/>
        <v>0</v>
      </c>
      <c r="EY216" s="182">
        <f t="shared" si="247"/>
        <v>0</v>
      </c>
      <c r="EZ216" s="182">
        <f t="shared" si="247"/>
        <v>0</v>
      </c>
      <c r="FA216" s="182">
        <f t="shared" si="247"/>
        <v>0</v>
      </c>
      <c r="FB216" s="183">
        <f t="shared" si="247"/>
        <v>0</v>
      </c>
    </row>
    <row r="217" spans="2:158" ht="12.75" customHeight="1" x14ac:dyDescent="0.3">
      <c r="B217" s="180" t="s">
        <v>3860</v>
      </c>
      <c r="C217" s="193">
        <v>0</v>
      </c>
      <c r="D217" s="182">
        <f t="shared" si="200"/>
        <v>0</v>
      </c>
      <c r="E217" s="182">
        <f t="shared" si="206"/>
        <v>0</v>
      </c>
      <c r="F217" s="182">
        <f t="shared" si="212"/>
        <v>4.5324911279190257E-3</v>
      </c>
      <c r="G217" s="182">
        <f t="shared" si="218"/>
        <v>0</v>
      </c>
      <c r="H217" s="182">
        <f t="shared" si="224"/>
        <v>0</v>
      </c>
      <c r="I217" s="176">
        <f t="shared" si="230"/>
        <v>2.9073905922189528E-3</v>
      </c>
      <c r="J217" s="182">
        <f t="shared" si="236"/>
        <v>0</v>
      </c>
      <c r="K217" s="182">
        <f t="shared" si="242"/>
        <v>0</v>
      </c>
      <c r="L217" s="182">
        <f t="shared" ref="L217:L248" si="248">L50*L$168</f>
        <v>0</v>
      </c>
      <c r="M217" s="182">
        <f t="shared" si="74"/>
        <v>0</v>
      </c>
      <c r="N217" s="182">
        <f t="shared" si="80"/>
        <v>0</v>
      </c>
      <c r="O217" s="182">
        <f t="shared" si="86"/>
        <v>0</v>
      </c>
      <c r="P217" s="182">
        <f t="shared" si="92"/>
        <v>0</v>
      </c>
      <c r="Q217" s="182">
        <f t="shared" si="98"/>
        <v>0</v>
      </c>
      <c r="R217" s="182">
        <f t="shared" si="104"/>
        <v>0</v>
      </c>
      <c r="S217" s="182">
        <f t="shared" si="110"/>
        <v>0</v>
      </c>
      <c r="T217" s="182">
        <f t="shared" si="116"/>
        <v>0</v>
      </c>
      <c r="U217" s="182">
        <f t="shared" si="122"/>
        <v>0</v>
      </c>
      <c r="V217" s="182">
        <f t="shared" si="128"/>
        <v>0</v>
      </c>
      <c r="W217" s="182">
        <f t="shared" si="134"/>
        <v>0</v>
      </c>
      <c r="X217" s="182">
        <f t="shared" si="140"/>
        <v>0</v>
      </c>
      <c r="Y217" s="182">
        <f t="shared" si="145"/>
        <v>0</v>
      </c>
      <c r="Z217" s="182">
        <f t="shared" si="150"/>
        <v>0</v>
      </c>
      <c r="AA217" s="182">
        <f t="shared" si="155"/>
        <v>0</v>
      </c>
      <c r="AB217" s="182">
        <f t="shared" si="160"/>
        <v>0</v>
      </c>
      <c r="AC217" s="182">
        <f t="shared" si="165"/>
        <v>0</v>
      </c>
      <c r="AD217" s="182">
        <f t="shared" si="170"/>
        <v>0</v>
      </c>
      <c r="AE217" s="182">
        <f t="shared" si="175"/>
        <v>0</v>
      </c>
      <c r="AF217" s="182">
        <f t="shared" si="180"/>
        <v>0</v>
      </c>
      <c r="AG217" s="182">
        <f t="shared" si="185"/>
        <v>0</v>
      </c>
      <c r="AH217" s="182">
        <f t="shared" si="190"/>
        <v>0</v>
      </c>
      <c r="AI217" s="182">
        <f t="shared" si="195"/>
        <v>0</v>
      </c>
      <c r="AJ217" s="182">
        <f t="shared" si="201"/>
        <v>0</v>
      </c>
      <c r="AK217" s="182">
        <f t="shared" si="207"/>
        <v>0</v>
      </c>
      <c r="AL217" s="182">
        <f t="shared" si="213"/>
        <v>0</v>
      </c>
      <c r="AM217" s="182">
        <f t="shared" si="219"/>
        <v>0</v>
      </c>
      <c r="AN217" s="182">
        <f t="shared" si="225"/>
        <v>0</v>
      </c>
      <c r="AO217" s="182">
        <f t="shared" si="231"/>
        <v>0</v>
      </c>
      <c r="AP217" s="182">
        <f t="shared" si="237"/>
        <v>0</v>
      </c>
      <c r="AQ217" s="182">
        <f t="shared" si="243"/>
        <v>0</v>
      </c>
      <c r="AR217" s="182">
        <f t="shared" ref="AR217:AR248" si="249">AR50*AR$168</f>
        <v>1.0129368277233068E-2</v>
      </c>
      <c r="AS217" s="181">
        <f>$C217+SUM($D217:AR217,AT217:$FB217)-SUM(AS$176:AS216,AS218:AS$330)-AS$331</f>
        <v>-4.0657581468206416E-19</v>
      </c>
      <c r="AT217" s="176">
        <f t="shared" ref="AT217:BY217" si="250">AT50*AT$168</f>
        <v>0</v>
      </c>
      <c r="AU217" s="176">
        <f t="shared" si="250"/>
        <v>0</v>
      </c>
      <c r="AV217" s="176">
        <f t="shared" si="250"/>
        <v>0</v>
      </c>
      <c r="AW217" s="176">
        <f t="shared" si="250"/>
        <v>0</v>
      </c>
      <c r="AX217" s="176">
        <f t="shared" si="250"/>
        <v>0</v>
      </c>
      <c r="AY217" s="176">
        <f t="shared" si="250"/>
        <v>0</v>
      </c>
      <c r="AZ217" s="176">
        <f t="shared" si="250"/>
        <v>0</v>
      </c>
      <c r="BA217" s="176">
        <f t="shared" si="250"/>
        <v>0</v>
      </c>
      <c r="BB217" s="176">
        <f t="shared" si="250"/>
        <v>0</v>
      </c>
      <c r="BC217" s="176">
        <f t="shared" si="250"/>
        <v>0</v>
      </c>
      <c r="BD217" s="176">
        <f t="shared" si="250"/>
        <v>0</v>
      </c>
      <c r="BE217" s="176">
        <f t="shared" si="250"/>
        <v>0</v>
      </c>
      <c r="BF217" s="176">
        <f t="shared" si="250"/>
        <v>0</v>
      </c>
      <c r="BG217" s="176">
        <f t="shared" si="250"/>
        <v>0</v>
      </c>
      <c r="BH217" s="176">
        <f t="shared" si="250"/>
        <v>0</v>
      </c>
      <c r="BI217" s="176">
        <f t="shared" si="250"/>
        <v>0</v>
      </c>
      <c r="BJ217" s="176">
        <f t="shared" si="250"/>
        <v>0</v>
      </c>
      <c r="BK217" s="176">
        <f t="shared" si="250"/>
        <v>0</v>
      </c>
      <c r="BL217" s="176">
        <f t="shared" si="250"/>
        <v>0</v>
      </c>
      <c r="BM217" s="176">
        <f t="shared" si="250"/>
        <v>0</v>
      </c>
      <c r="BN217" s="176">
        <f t="shared" si="250"/>
        <v>0</v>
      </c>
      <c r="BO217" s="176">
        <f t="shared" si="250"/>
        <v>0</v>
      </c>
      <c r="BP217" s="176">
        <f t="shared" si="250"/>
        <v>0</v>
      </c>
      <c r="BQ217" s="176">
        <f t="shared" si="250"/>
        <v>0</v>
      </c>
      <c r="BR217" s="176">
        <f t="shared" si="250"/>
        <v>0</v>
      </c>
      <c r="BS217" s="176">
        <f t="shared" si="250"/>
        <v>0</v>
      </c>
      <c r="BT217" s="176">
        <f t="shared" si="250"/>
        <v>0</v>
      </c>
      <c r="BU217" s="176">
        <f t="shared" si="250"/>
        <v>0</v>
      </c>
      <c r="BV217" s="176">
        <f t="shared" si="250"/>
        <v>0</v>
      </c>
      <c r="BW217" s="176">
        <f t="shared" si="250"/>
        <v>0</v>
      </c>
      <c r="BX217" s="176">
        <f t="shared" si="250"/>
        <v>0</v>
      </c>
      <c r="BY217" s="176">
        <f t="shared" si="250"/>
        <v>0</v>
      </c>
      <c r="BZ217" s="176">
        <f t="shared" ref="BZ217:DE217" si="251">BZ50*BZ$168</f>
        <v>0</v>
      </c>
      <c r="CA217" s="176">
        <f t="shared" si="251"/>
        <v>0</v>
      </c>
      <c r="CB217" s="176">
        <f t="shared" si="251"/>
        <v>0</v>
      </c>
      <c r="CC217" s="176">
        <f t="shared" si="251"/>
        <v>0</v>
      </c>
      <c r="CD217" s="176">
        <f t="shared" si="251"/>
        <v>0</v>
      </c>
      <c r="CE217" s="176">
        <f t="shared" si="251"/>
        <v>0</v>
      </c>
      <c r="CF217" s="176">
        <f t="shared" si="251"/>
        <v>0</v>
      </c>
      <c r="CG217" s="176">
        <f t="shared" si="251"/>
        <v>0</v>
      </c>
      <c r="CH217" s="176">
        <f t="shared" si="251"/>
        <v>0</v>
      </c>
      <c r="CI217" s="176">
        <f t="shared" si="251"/>
        <v>0</v>
      </c>
      <c r="CJ217" s="176">
        <f t="shared" si="251"/>
        <v>0</v>
      </c>
      <c r="CK217" s="176">
        <f t="shared" si="251"/>
        <v>0</v>
      </c>
      <c r="CL217" s="176">
        <f t="shared" si="251"/>
        <v>0</v>
      </c>
      <c r="CM217" s="176">
        <f t="shared" si="251"/>
        <v>0</v>
      </c>
      <c r="CN217" s="176">
        <f t="shared" si="251"/>
        <v>0</v>
      </c>
      <c r="CO217" s="176">
        <f t="shared" si="251"/>
        <v>0</v>
      </c>
      <c r="CP217" s="176">
        <f t="shared" si="251"/>
        <v>0</v>
      </c>
      <c r="CQ217" s="176">
        <f t="shared" si="251"/>
        <v>0</v>
      </c>
      <c r="CR217" s="176">
        <f t="shared" si="251"/>
        <v>0</v>
      </c>
      <c r="CS217" s="176">
        <f t="shared" si="251"/>
        <v>0</v>
      </c>
      <c r="CT217" s="176">
        <f t="shared" si="251"/>
        <v>0</v>
      </c>
      <c r="CU217" s="176">
        <f t="shared" si="251"/>
        <v>0</v>
      </c>
      <c r="CV217" s="176">
        <f t="shared" si="251"/>
        <v>0</v>
      </c>
      <c r="CW217" s="176">
        <f t="shared" si="251"/>
        <v>0</v>
      </c>
      <c r="CX217" s="176">
        <f t="shared" si="251"/>
        <v>0</v>
      </c>
      <c r="CY217" s="176">
        <f t="shared" si="251"/>
        <v>0</v>
      </c>
      <c r="CZ217" s="176">
        <f t="shared" si="251"/>
        <v>0</v>
      </c>
      <c r="DA217" s="176">
        <f t="shared" si="251"/>
        <v>0</v>
      </c>
      <c r="DB217" s="176">
        <f t="shared" si="251"/>
        <v>0</v>
      </c>
      <c r="DC217" s="176">
        <f t="shared" si="251"/>
        <v>0</v>
      </c>
      <c r="DD217" s="176">
        <f t="shared" si="251"/>
        <v>0</v>
      </c>
      <c r="DE217" s="176">
        <f t="shared" si="251"/>
        <v>0</v>
      </c>
      <c r="DF217" s="176">
        <f t="shared" ref="DF217:EK217" si="252">DF50*DF$168</f>
        <v>0</v>
      </c>
      <c r="DG217" s="176">
        <f t="shared" si="252"/>
        <v>0</v>
      </c>
      <c r="DH217" s="176">
        <f t="shared" si="252"/>
        <v>0</v>
      </c>
      <c r="DI217" s="176">
        <f t="shared" si="252"/>
        <v>0</v>
      </c>
      <c r="DJ217" s="176">
        <f t="shared" si="252"/>
        <v>0</v>
      </c>
      <c r="DK217" s="176">
        <f t="shared" si="252"/>
        <v>0</v>
      </c>
      <c r="DL217" s="176">
        <f t="shared" si="252"/>
        <v>0</v>
      </c>
      <c r="DM217" s="176">
        <f t="shared" si="252"/>
        <v>0</v>
      </c>
      <c r="DN217" s="176">
        <f t="shared" si="252"/>
        <v>0</v>
      </c>
      <c r="DO217" s="176">
        <f t="shared" si="252"/>
        <v>0</v>
      </c>
      <c r="DP217" s="176">
        <f t="shared" si="252"/>
        <v>0</v>
      </c>
      <c r="DQ217" s="176">
        <f t="shared" si="252"/>
        <v>0</v>
      </c>
      <c r="DR217" s="176">
        <f t="shared" si="252"/>
        <v>0</v>
      </c>
      <c r="DS217" s="176">
        <f t="shared" si="252"/>
        <v>0</v>
      </c>
      <c r="DT217" s="176">
        <f t="shared" si="252"/>
        <v>0</v>
      </c>
      <c r="DU217" s="176">
        <f t="shared" si="252"/>
        <v>0</v>
      </c>
      <c r="DV217" s="176">
        <f t="shared" si="252"/>
        <v>0</v>
      </c>
      <c r="DW217" s="176">
        <f t="shared" si="252"/>
        <v>0</v>
      </c>
      <c r="DX217" s="176">
        <f t="shared" si="252"/>
        <v>0</v>
      </c>
      <c r="DY217" s="176">
        <f t="shared" si="252"/>
        <v>0</v>
      </c>
      <c r="DZ217" s="176">
        <f t="shared" si="252"/>
        <v>0</v>
      </c>
      <c r="EA217" s="176">
        <f t="shared" si="252"/>
        <v>0</v>
      </c>
      <c r="EB217" s="176">
        <f t="shared" si="252"/>
        <v>0</v>
      </c>
      <c r="EC217" s="176">
        <f t="shared" si="252"/>
        <v>0</v>
      </c>
      <c r="ED217" s="176">
        <f t="shared" si="252"/>
        <v>0</v>
      </c>
      <c r="EE217" s="176">
        <f t="shared" si="252"/>
        <v>0</v>
      </c>
      <c r="EF217" s="182">
        <f t="shared" si="252"/>
        <v>0</v>
      </c>
      <c r="EG217" s="182">
        <f t="shared" si="252"/>
        <v>0</v>
      </c>
      <c r="EH217" s="182">
        <f t="shared" si="252"/>
        <v>0</v>
      </c>
      <c r="EI217" s="182">
        <f t="shared" si="252"/>
        <v>0</v>
      </c>
      <c r="EJ217" s="182">
        <f t="shared" si="252"/>
        <v>0</v>
      </c>
      <c r="EK217" s="182">
        <f t="shared" si="252"/>
        <v>0</v>
      </c>
      <c r="EL217" s="182">
        <f t="shared" ref="EL217:FB217" si="253">EL50*EL$168</f>
        <v>0</v>
      </c>
      <c r="EM217" s="182">
        <f t="shared" si="253"/>
        <v>0</v>
      </c>
      <c r="EN217" s="182">
        <f t="shared" si="253"/>
        <v>0</v>
      </c>
      <c r="EO217" s="182">
        <f t="shared" si="253"/>
        <v>0</v>
      </c>
      <c r="EP217" s="182">
        <f t="shared" si="253"/>
        <v>0</v>
      </c>
      <c r="EQ217" s="182">
        <f t="shared" si="253"/>
        <v>0</v>
      </c>
      <c r="ER217" s="182">
        <f t="shared" si="253"/>
        <v>0</v>
      </c>
      <c r="ES217" s="182">
        <f t="shared" si="253"/>
        <v>0</v>
      </c>
      <c r="ET217" s="182">
        <f t="shared" si="253"/>
        <v>0</v>
      </c>
      <c r="EU217" s="182">
        <f t="shared" si="253"/>
        <v>0</v>
      </c>
      <c r="EV217" s="182">
        <f t="shared" si="253"/>
        <v>0</v>
      </c>
      <c r="EW217" s="182">
        <f t="shared" si="253"/>
        <v>0</v>
      </c>
      <c r="EX217" s="182">
        <f t="shared" si="253"/>
        <v>0</v>
      </c>
      <c r="EY217" s="182">
        <f t="shared" si="253"/>
        <v>0</v>
      </c>
      <c r="EZ217" s="182">
        <f t="shared" si="253"/>
        <v>0</v>
      </c>
      <c r="FA217" s="182">
        <f t="shared" si="253"/>
        <v>0</v>
      </c>
      <c r="FB217" s="183">
        <f t="shared" si="253"/>
        <v>0</v>
      </c>
    </row>
    <row r="218" spans="2:158" ht="12.75" customHeight="1" x14ac:dyDescent="0.3">
      <c r="B218" s="180" t="s">
        <v>3861</v>
      </c>
      <c r="C218" s="193">
        <v>0</v>
      </c>
      <c r="D218" s="182">
        <f t="shared" si="200"/>
        <v>0</v>
      </c>
      <c r="E218" s="182">
        <f t="shared" si="206"/>
        <v>0</v>
      </c>
      <c r="F218" s="182">
        <f t="shared" si="212"/>
        <v>0</v>
      </c>
      <c r="G218" s="182">
        <f t="shared" si="218"/>
        <v>3.3258270830098867E-6</v>
      </c>
      <c r="H218" s="182">
        <f t="shared" si="224"/>
        <v>0</v>
      </c>
      <c r="I218" s="176">
        <f t="shared" si="230"/>
        <v>0</v>
      </c>
      <c r="J218" s="182">
        <f t="shared" si="236"/>
        <v>2.4607625778826661E-4</v>
      </c>
      <c r="K218" s="182">
        <f t="shared" si="242"/>
        <v>0</v>
      </c>
      <c r="L218" s="182">
        <f t="shared" si="248"/>
        <v>0</v>
      </c>
      <c r="M218" s="182">
        <f t="shared" ref="M218:M249" si="254">M51*M$168</f>
        <v>0</v>
      </c>
      <c r="N218" s="182">
        <f t="shared" si="80"/>
        <v>0</v>
      </c>
      <c r="O218" s="182">
        <f t="shared" si="86"/>
        <v>0</v>
      </c>
      <c r="P218" s="182">
        <f t="shared" si="92"/>
        <v>0</v>
      </c>
      <c r="Q218" s="182">
        <f t="shared" si="98"/>
        <v>0</v>
      </c>
      <c r="R218" s="182">
        <f t="shared" si="104"/>
        <v>0</v>
      </c>
      <c r="S218" s="182">
        <f t="shared" si="110"/>
        <v>0</v>
      </c>
      <c r="T218" s="182">
        <f t="shared" si="116"/>
        <v>0</v>
      </c>
      <c r="U218" s="182">
        <f t="shared" si="122"/>
        <v>0</v>
      </c>
      <c r="V218" s="182">
        <f t="shared" si="128"/>
        <v>0</v>
      </c>
      <c r="W218" s="182">
        <f t="shared" si="134"/>
        <v>0</v>
      </c>
      <c r="X218" s="182">
        <f t="shared" si="140"/>
        <v>0</v>
      </c>
      <c r="Y218" s="182">
        <f t="shared" si="145"/>
        <v>0</v>
      </c>
      <c r="Z218" s="182">
        <f t="shared" si="150"/>
        <v>0</v>
      </c>
      <c r="AA218" s="182">
        <f t="shared" si="155"/>
        <v>0</v>
      </c>
      <c r="AB218" s="182">
        <f t="shared" si="160"/>
        <v>0</v>
      </c>
      <c r="AC218" s="182">
        <f t="shared" si="165"/>
        <v>0</v>
      </c>
      <c r="AD218" s="182">
        <f t="shared" si="170"/>
        <v>0</v>
      </c>
      <c r="AE218" s="182">
        <f t="shared" si="175"/>
        <v>0</v>
      </c>
      <c r="AF218" s="182">
        <f t="shared" si="180"/>
        <v>0</v>
      </c>
      <c r="AG218" s="182">
        <f t="shared" si="185"/>
        <v>0</v>
      </c>
      <c r="AH218" s="182">
        <f t="shared" si="190"/>
        <v>0</v>
      </c>
      <c r="AI218" s="182">
        <f t="shared" si="195"/>
        <v>0</v>
      </c>
      <c r="AJ218" s="182">
        <f t="shared" si="201"/>
        <v>0</v>
      </c>
      <c r="AK218" s="182">
        <f t="shared" si="207"/>
        <v>0</v>
      </c>
      <c r="AL218" s="182">
        <f t="shared" si="213"/>
        <v>0</v>
      </c>
      <c r="AM218" s="182">
        <f t="shared" si="219"/>
        <v>0</v>
      </c>
      <c r="AN218" s="182">
        <f t="shared" si="225"/>
        <v>0</v>
      </c>
      <c r="AO218" s="182">
        <f t="shared" si="231"/>
        <v>0</v>
      </c>
      <c r="AP218" s="182">
        <f t="shared" si="237"/>
        <v>0</v>
      </c>
      <c r="AQ218" s="182">
        <f t="shared" si="243"/>
        <v>0</v>
      </c>
      <c r="AR218" s="182">
        <f t="shared" si="249"/>
        <v>3.1341708564948563E-3</v>
      </c>
      <c r="AS218" s="182">
        <f t="shared" ref="AS218:AS249" si="255">AS51*AS$168</f>
        <v>0</v>
      </c>
      <c r="AT218" s="181">
        <f>$C218+SUM($D218:AS218,AU218:$FB218)-SUM(AT$176:AT217,AT219:AT$330)-AT$331</f>
        <v>-4.3368086899420177E-19</v>
      </c>
      <c r="AU218" s="176">
        <f t="shared" ref="AU218:BZ218" si="256">AU51*AU$168</f>
        <v>0</v>
      </c>
      <c r="AV218" s="176">
        <f t="shared" si="256"/>
        <v>0</v>
      </c>
      <c r="AW218" s="176">
        <f t="shared" si="256"/>
        <v>0</v>
      </c>
      <c r="AX218" s="176">
        <f t="shared" si="256"/>
        <v>0</v>
      </c>
      <c r="AY218" s="176">
        <f t="shared" si="256"/>
        <v>0</v>
      </c>
      <c r="AZ218" s="176">
        <f t="shared" si="256"/>
        <v>0</v>
      </c>
      <c r="BA218" s="176">
        <f t="shared" si="256"/>
        <v>0</v>
      </c>
      <c r="BB218" s="176">
        <f t="shared" si="256"/>
        <v>0</v>
      </c>
      <c r="BC218" s="176">
        <f t="shared" si="256"/>
        <v>0</v>
      </c>
      <c r="BD218" s="176">
        <f t="shared" si="256"/>
        <v>0</v>
      </c>
      <c r="BE218" s="176">
        <f t="shared" si="256"/>
        <v>0</v>
      </c>
      <c r="BF218" s="176">
        <f t="shared" si="256"/>
        <v>0</v>
      </c>
      <c r="BG218" s="176">
        <f t="shared" si="256"/>
        <v>0</v>
      </c>
      <c r="BH218" s="176">
        <f t="shared" si="256"/>
        <v>0</v>
      </c>
      <c r="BI218" s="176">
        <f t="shared" si="256"/>
        <v>0</v>
      </c>
      <c r="BJ218" s="176">
        <f t="shared" si="256"/>
        <v>0</v>
      </c>
      <c r="BK218" s="176">
        <f t="shared" si="256"/>
        <v>0</v>
      </c>
      <c r="BL218" s="176">
        <f t="shared" si="256"/>
        <v>0</v>
      </c>
      <c r="BM218" s="176">
        <f t="shared" si="256"/>
        <v>0</v>
      </c>
      <c r="BN218" s="176">
        <f t="shared" si="256"/>
        <v>0</v>
      </c>
      <c r="BO218" s="176">
        <f t="shared" si="256"/>
        <v>0</v>
      </c>
      <c r="BP218" s="176">
        <f t="shared" si="256"/>
        <v>0</v>
      </c>
      <c r="BQ218" s="176">
        <f t="shared" si="256"/>
        <v>0</v>
      </c>
      <c r="BR218" s="176">
        <f t="shared" si="256"/>
        <v>0</v>
      </c>
      <c r="BS218" s="176">
        <f t="shared" si="256"/>
        <v>0</v>
      </c>
      <c r="BT218" s="176">
        <f t="shared" si="256"/>
        <v>0</v>
      </c>
      <c r="BU218" s="176">
        <f t="shared" si="256"/>
        <v>0</v>
      </c>
      <c r="BV218" s="176">
        <f t="shared" si="256"/>
        <v>0</v>
      </c>
      <c r="BW218" s="176">
        <f t="shared" si="256"/>
        <v>0</v>
      </c>
      <c r="BX218" s="176">
        <f t="shared" si="256"/>
        <v>0</v>
      </c>
      <c r="BY218" s="176">
        <f t="shared" si="256"/>
        <v>0</v>
      </c>
      <c r="BZ218" s="176">
        <f t="shared" si="256"/>
        <v>0</v>
      </c>
      <c r="CA218" s="176">
        <f t="shared" ref="CA218:DF218" si="257">CA51*CA$168</f>
        <v>0</v>
      </c>
      <c r="CB218" s="176">
        <f t="shared" si="257"/>
        <v>0</v>
      </c>
      <c r="CC218" s="176">
        <f t="shared" si="257"/>
        <v>0</v>
      </c>
      <c r="CD218" s="176">
        <f t="shared" si="257"/>
        <v>0</v>
      </c>
      <c r="CE218" s="176">
        <f t="shared" si="257"/>
        <v>0</v>
      </c>
      <c r="CF218" s="176">
        <f t="shared" si="257"/>
        <v>0</v>
      </c>
      <c r="CG218" s="176">
        <f t="shared" si="257"/>
        <v>0</v>
      </c>
      <c r="CH218" s="176">
        <f t="shared" si="257"/>
        <v>0</v>
      </c>
      <c r="CI218" s="176">
        <f t="shared" si="257"/>
        <v>0</v>
      </c>
      <c r="CJ218" s="176">
        <f t="shared" si="257"/>
        <v>0</v>
      </c>
      <c r="CK218" s="176">
        <f t="shared" si="257"/>
        <v>0</v>
      </c>
      <c r="CL218" s="176">
        <f t="shared" si="257"/>
        <v>0</v>
      </c>
      <c r="CM218" s="176">
        <f t="shared" si="257"/>
        <v>0</v>
      </c>
      <c r="CN218" s="176">
        <f t="shared" si="257"/>
        <v>0</v>
      </c>
      <c r="CO218" s="176">
        <f t="shared" si="257"/>
        <v>0</v>
      </c>
      <c r="CP218" s="176">
        <f t="shared" si="257"/>
        <v>0</v>
      </c>
      <c r="CQ218" s="176">
        <f t="shared" si="257"/>
        <v>0</v>
      </c>
      <c r="CR218" s="176">
        <f t="shared" si="257"/>
        <v>0</v>
      </c>
      <c r="CS218" s="176">
        <f t="shared" si="257"/>
        <v>0</v>
      </c>
      <c r="CT218" s="176">
        <f t="shared" si="257"/>
        <v>0</v>
      </c>
      <c r="CU218" s="176">
        <f t="shared" si="257"/>
        <v>0</v>
      </c>
      <c r="CV218" s="176">
        <f t="shared" si="257"/>
        <v>0</v>
      </c>
      <c r="CW218" s="176">
        <f t="shared" si="257"/>
        <v>0</v>
      </c>
      <c r="CX218" s="176">
        <f t="shared" si="257"/>
        <v>0</v>
      </c>
      <c r="CY218" s="176">
        <f t="shared" si="257"/>
        <v>0</v>
      </c>
      <c r="CZ218" s="176">
        <f t="shared" si="257"/>
        <v>0</v>
      </c>
      <c r="DA218" s="176">
        <f t="shared" si="257"/>
        <v>0</v>
      </c>
      <c r="DB218" s="176">
        <f t="shared" si="257"/>
        <v>0</v>
      </c>
      <c r="DC218" s="176">
        <f t="shared" si="257"/>
        <v>0</v>
      </c>
      <c r="DD218" s="176">
        <f t="shared" si="257"/>
        <v>0</v>
      </c>
      <c r="DE218" s="176">
        <f t="shared" si="257"/>
        <v>0</v>
      </c>
      <c r="DF218" s="176">
        <f t="shared" si="257"/>
        <v>0</v>
      </c>
      <c r="DG218" s="176">
        <f t="shared" ref="DG218:EL218" si="258">DG51*DG$168</f>
        <v>0</v>
      </c>
      <c r="DH218" s="176">
        <f t="shared" si="258"/>
        <v>0</v>
      </c>
      <c r="DI218" s="176">
        <f t="shared" si="258"/>
        <v>0</v>
      </c>
      <c r="DJ218" s="176">
        <f t="shared" si="258"/>
        <v>0</v>
      </c>
      <c r="DK218" s="176">
        <f t="shared" si="258"/>
        <v>0</v>
      </c>
      <c r="DL218" s="176">
        <f t="shared" si="258"/>
        <v>0</v>
      </c>
      <c r="DM218" s="176">
        <f t="shared" si="258"/>
        <v>0</v>
      </c>
      <c r="DN218" s="176">
        <f t="shared" si="258"/>
        <v>0</v>
      </c>
      <c r="DO218" s="176">
        <f t="shared" si="258"/>
        <v>0</v>
      </c>
      <c r="DP218" s="176">
        <f t="shared" si="258"/>
        <v>0</v>
      </c>
      <c r="DQ218" s="176">
        <f t="shared" si="258"/>
        <v>0</v>
      </c>
      <c r="DR218" s="176">
        <f t="shared" si="258"/>
        <v>0</v>
      </c>
      <c r="DS218" s="176">
        <f t="shared" si="258"/>
        <v>0</v>
      </c>
      <c r="DT218" s="176">
        <f t="shared" si="258"/>
        <v>0</v>
      </c>
      <c r="DU218" s="176">
        <f t="shared" si="258"/>
        <v>0</v>
      </c>
      <c r="DV218" s="176">
        <f t="shared" si="258"/>
        <v>0</v>
      </c>
      <c r="DW218" s="176">
        <f t="shared" si="258"/>
        <v>0</v>
      </c>
      <c r="DX218" s="176">
        <f t="shared" si="258"/>
        <v>0</v>
      </c>
      <c r="DY218" s="176">
        <f t="shared" si="258"/>
        <v>0</v>
      </c>
      <c r="DZ218" s="176">
        <f t="shared" si="258"/>
        <v>0</v>
      </c>
      <c r="EA218" s="176">
        <f t="shared" si="258"/>
        <v>0</v>
      </c>
      <c r="EB218" s="176">
        <f t="shared" si="258"/>
        <v>0</v>
      </c>
      <c r="EC218" s="176">
        <f t="shared" si="258"/>
        <v>0</v>
      </c>
      <c r="ED218" s="176">
        <f t="shared" si="258"/>
        <v>0</v>
      </c>
      <c r="EE218" s="176">
        <f t="shared" si="258"/>
        <v>0</v>
      </c>
      <c r="EF218" s="182">
        <f t="shared" si="258"/>
        <v>0</v>
      </c>
      <c r="EG218" s="182">
        <f t="shared" si="258"/>
        <v>0</v>
      </c>
      <c r="EH218" s="182">
        <f t="shared" si="258"/>
        <v>0</v>
      </c>
      <c r="EI218" s="182">
        <f t="shared" si="258"/>
        <v>0</v>
      </c>
      <c r="EJ218" s="182">
        <f t="shared" si="258"/>
        <v>0</v>
      </c>
      <c r="EK218" s="182">
        <f t="shared" si="258"/>
        <v>0</v>
      </c>
      <c r="EL218" s="182">
        <f t="shared" si="258"/>
        <v>0</v>
      </c>
      <c r="EM218" s="182">
        <f t="shared" ref="EM218:FB218" si="259">EM51*EM$168</f>
        <v>0</v>
      </c>
      <c r="EN218" s="182">
        <f t="shared" si="259"/>
        <v>0</v>
      </c>
      <c r="EO218" s="182">
        <f t="shared" si="259"/>
        <v>0</v>
      </c>
      <c r="EP218" s="182">
        <f t="shared" si="259"/>
        <v>0</v>
      </c>
      <c r="EQ218" s="182">
        <f t="shared" si="259"/>
        <v>0</v>
      </c>
      <c r="ER218" s="182">
        <f t="shared" si="259"/>
        <v>0</v>
      </c>
      <c r="ES218" s="182">
        <f t="shared" si="259"/>
        <v>0</v>
      </c>
      <c r="ET218" s="182">
        <f t="shared" si="259"/>
        <v>0</v>
      </c>
      <c r="EU218" s="182">
        <f t="shared" si="259"/>
        <v>0</v>
      </c>
      <c r="EV218" s="182">
        <f t="shared" si="259"/>
        <v>0</v>
      </c>
      <c r="EW218" s="182">
        <f t="shared" si="259"/>
        <v>0</v>
      </c>
      <c r="EX218" s="182">
        <f t="shared" si="259"/>
        <v>0</v>
      </c>
      <c r="EY218" s="182">
        <f t="shared" si="259"/>
        <v>0</v>
      </c>
      <c r="EZ218" s="182">
        <f t="shared" si="259"/>
        <v>0</v>
      </c>
      <c r="FA218" s="182">
        <f t="shared" si="259"/>
        <v>0</v>
      </c>
      <c r="FB218" s="183">
        <f t="shared" si="259"/>
        <v>0</v>
      </c>
    </row>
    <row r="219" spans="2:158" ht="12.75" customHeight="1" x14ac:dyDescent="0.3">
      <c r="B219" s="199" t="s">
        <v>3862</v>
      </c>
      <c r="C219" s="193">
        <v>0</v>
      </c>
      <c r="D219" s="182">
        <f t="shared" si="200"/>
        <v>0</v>
      </c>
      <c r="E219" s="182">
        <f t="shared" si="206"/>
        <v>0</v>
      </c>
      <c r="F219" s="182">
        <f t="shared" si="212"/>
        <v>0</v>
      </c>
      <c r="G219" s="182">
        <f t="shared" si="218"/>
        <v>0</v>
      </c>
      <c r="H219" s="182">
        <f t="shared" si="224"/>
        <v>0</v>
      </c>
      <c r="I219" s="176">
        <f t="shared" si="230"/>
        <v>0</v>
      </c>
      <c r="J219" s="182">
        <f t="shared" si="236"/>
        <v>0</v>
      </c>
      <c r="K219" s="182">
        <f t="shared" si="242"/>
        <v>0</v>
      </c>
      <c r="L219" s="182">
        <f t="shared" si="248"/>
        <v>0</v>
      </c>
      <c r="M219" s="182">
        <f t="shared" si="254"/>
        <v>0</v>
      </c>
      <c r="N219" s="182">
        <f t="shared" ref="N219:N250" si="260">N52*N$168</f>
        <v>0</v>
      </c>
      <c r="O219" s="182">
        <f t="shared" si="86"/>
        <v>0</v>
      </c>
      <c r="P219" s="182">
        <f t="shared" si="92"/>
        <v>0</v>
      </c>
      <c r="Q219" s="182">
        <f t="shared" si="98"/>
        <v>0</v>
      </c>
      <c r="R219" s="182">
        <f t="shared" si="104"/>
        <v>0</v>
      </c>
      <c r="S219" s="182">
        <f t="shared" si="110"/>
        <v>0</v>
      </c>
      <c r="T219" s="182">
        <f t="shared" si="116"/>
        <v>0</v>
      </c>
      <c r="U219" s="182">
        <f t="shared" si="122"/>
        <v>0</v>
      </c>
      <c r="V219" s="182">
        <f t="shared" si="128"/>
        <v>0</v>
      </c>
      <c r="W219" s="182">
        <f t="shared" si="134"/>
        <v>0</v>
      </c>
      <c r="X219" s="182">
        <f t="shared" si="140"/>
        <v>0</v>
      </c>
      <c r="Y219" s="182">
        <f t="shared" si="145"/>
        <v>0</v>
      </c>
      <c r="Z219" s="182">
        <f t="shared" si="150"/>
        <v>0</v>
      </c>
      <c r="AA219" s="182">
        <f t="shared" si="155"/>
        <v>0</v>
      </c>
      <c r="AB219" s="182">
        <f t="shared" si="160"/>
        <v>0</v>
      </c>
      <c r="AC219" s="182">
        <f t="shared" si="165"/>
        <v>0</v>
      </c>
      <c r="AD219" s="182">
        <f t="shared" si="170"/>
        <v>0</v>
      </c>
      <c r="AE219" s="182">
        <f t="shared" si="175"/>
        <v>0</v>
      </c>
      <c r="AF219" s="182">
        <f t="shared" si="180"/>
        <v>0</v>
      </c>
      <c r="AG219" s="182">
        <f t="shared" si="185"/>
        <v>0</v>
      </c>
      <c r="AH219" s="182">
        <f t="shared" si="190"/>
        <v>0</v>
      </c>
      <c r="AI219" s="182">
        <f t="shared" si="195"/>
        <v>0</v>
      </c>
      <c r="AJ219" s="182">
        <f t="shared" si="201"/>
        <v>0</v>
      </c>
      <c r="AK219" s="182">
        <f t="shared" si="207"/>
        <v>0</v>
      </c>
      <c r="AL219" s="182">
        <f t="shared" si="213"/>
        <v>0</v>
      </c>
      <c r="AM219" s="182">
        <f t="shared" si="219"/>
        <v>0</v>
      </c>
      <c r="AN219" s="182">
        <f t="shared" si="225"/>
        <v>0</v>
      </c>
      <c r="AO219" s="182">
        <f t="shared" si="231"/>
        <v>0</v>
      </c>
      <c r="AP219" s="182">
        <f t="shared" si="237"/>
        <v>0</v>
      </c>
      <c r="AQ219" s="182">
        <f t="shared" si="243"/>
        <v>0</v>
      </c>
      <c r="AR219" s="182">
        <f t="shared" si="249"/>
        <v>0</v>
      </c>
      <c r="AS219" s="182">
        <f t="shared" si="255"/>
        <v>0</v>
      </c>
      <c r="AT219" s="182">
        <f t="shared" ref="AT219:AT250" si="261">AT52*AT$168</f>
        <v>0</v>
      </c>
      <c r="AU219" s="181">
        <f>C219+SUM(D219:AQ219,BB219:EY219)-SUM(AU176:AU215,AU226:AU330)-AU331</f>
        <v>0</v>
      </c>
      <c r="AV219" s="176">
        <f t="shared" ref="AV219:CA219" si="262">AV52*AV$168</f>
        <v>0</v>
      </c>
      <c r="AW219" s="176">
        <f t="shared" si="262"/>
        <v>0</v>
      </c>
      <c r="AX219" s="176">
        <f t="shared" si="262"/>
        <v>0</v>
      </c>
      <c r="AY219" s="176">
        <f t="shared" si="262"/>
        <v>0</v>
      </c>
      <c r="AZ219" s="176">
        <f t="shared" si="262"/>
        <v>0</v>
      </c>
      <c r="BA219" s="176">
        <f t="shared" si="262"/>
        <v>0</v>
      </c>
      <c r="BB219" s="176">
        <f t="shared" si="262"/>
        <v>0</v>
      </c>
      <c r="BC219" s="176">
        <f t="shared" si="262"/>
        <v>0</v>
      </c>
      <c r="BD219" s="176">
        <f t="shared" si="262"/>
        <v>0</v>
      </c>
      <c r="BE219" s="176">
        <f t="shared" si="262"/>
        <v>0</v>
      </c>
      <c r="BF219" s="176">
        <f t="shared" si="262"/>
        <v>0</v>
      </c>
      <c r="BG219" s="176">
        <f t="shared" si="262"/>
        <v>0</v>
      </c>
      <c r="BH219" s="176">
        <f t="shared" si="262"/>
        <v>0</v>
      </c>
      <c r="BI219" s="176">
        <f t="shared" si="262"/>
        <v>0</v>
      </c>
      <c r="BJ219" s="176">
        <f t="shared" si="262"/>
        <v>0</v>
      </c>
      <c r="BK219" s="176">
        <f t="shared" si="262"/>
        <v>0</v>
      </c>
      <c r="BL219" s="176">
        <f t="shared" si="262"/>
        <v>0</v>
      </c>
      <c r="BM219" s="176">
        <f t="shared" si="262"/>
        <v>0</v>
      </c>
      <c r="BN219" s="176">
        <f t="shared" si="262"/>
        <v>0</v>
      </c>
      <c r="BO219" s="176">
        <f t="shared" si="262"/>
        <v>0</v>
      </c>
      <c r="BP219" s="176">
        <f t="shared" si="262"/>
        <v>0</v>
      </c>
      <c r="BQ219" s="176">
        <f t="shared" si="262"/>
        <v>0</v>
      </c>
      <c r="BR219" s="176">
        <f t="shared" si="262"/>
        <v>0</v>
      </c>
      <c r="BS219" s="176">
        <f t="shared" si="262"/>
        <v>0</v>
      </c>
      <c r="BT219" s="176">
        <f t="shared" si="262"/>
        <v>0</v>
      </c>
      <c r="BU219" s="176">
        <f t="shared" si="262"/>
        <v>0</v>
      </c>
      <c r="BV219" s="176">
        <f t="shared" si="262"/>
        <v>0</v>
      </c>
      <c r="BW219" s="176">
        <f t="shared" si="262"/>
        <v>0</v>
      </c>
      <c r="BX219" s="176">
        <f t="shared" si="262"/>
        <v>0</v>
      </c>
      <c r="BY219" s="176">
        <f t="shared" si="262"/>
        <v>0</v>
      </c>
      <c r="BZ219" s="176">
        <f t="shared" si="262"/>
        <v>0</v>
      </c>
      <c r="CA219" s="176">
        <f t="shared" si="262"/>
        <v>0</v>
      </c>
      <c r="CB219" s="176">
        <f t="shared" ref="CB219:DG219" si="263">CB52*CB$168</f>
        <v>0</v>
      </c>
      <c r="CC219" s="176">
        <f t="shared" si="263"/>
        <v>0</v>
      </c>
      <c r="CD219" s="176">
        <f t="shared" si="263"/>
        <v>0</v>
      </c>
      <c r="CE219" s="176">
        <f t="shared" si="263"/>
        <v>0</v>
      </c>
      <c r="CF219" s="176">
        <f t="shared" si="263"/>
        <v>0</v>
      </c>
      <c r="CG219" s="176">
        <f t="shared" si="263"/>
        <v>0</v>
      </c>
      <c r="CH219" s="176">
        <f t="shared" si="263"/>
        <v>0</v>
      </c>
      <c r="CI219" s="176">
        <f t="shared" si="263"/>
        <v>0</v>
      </c>
      <c r="CJ219" s="176">
        <f t="shared" si="263"/>
        <v>0</v>
      </c>
      <c r="CK219" s="176">
        <f t="shared" si="263"/>
        <v>0</v>
      </c>
      <c r="CL219" s="176">
        <f t="shared" si="263"/>
        <v>0</v>
      </c>
      <c r="CM219" s="176">
        <f t="shared" si="263"/>
        <v>0</v>
      </c>
      <c r="CN219" s="176">
        <f t="shared" si="263"/>
        <v>0</v>
      </c>
      <c r="CO219" s="176">
        <f t="shared" si="263"/>
        <v>0</v>
      </c>
      <c r="CP219" s="176">
        <f t="shared" si="263"/>
        <v>0</v>
      </c>
      <c r="CQ219" s="176">
        <f t="shared" si="263"/>
        <v>0</v>
      </c>
      <c r="CR219" s="176">
        <f t="shared" si="263"/>
        <v>0</v>
      </c>
      <c r="CS219" s="176">
        <f t="shared" si="263"/>
        <v>0</v>
      </c>
      <c r="CT219" s="176">
        <f t="shared" si="263"/>
        <v>0</v>
      </c>
      <c r="CU219" s="176">
        <f t="shared" si="263"/>
        <v>0</v>
      </c>
      <c r="CV219" s="176">
        <f t="shared" si="263"/>
        <v>0</v>
      </c>
      <c r="CW219" s="176">
        <f t="shared" si="263"/>
        <v>0</v>
      </c>
      <c r="CX219" s="176">
        <f t="shared" si="263"/>
        <v>0</v>
      </c>
      <c r="CY219" s="176">
        <f t="shared" si="263"/>
        <v>0</v>
      </c>
      <c r="CZ219" s="176">
        <f t="shared" si="263"/>
        <v>0</v>
      </c>
      <c r="DA219" s="176">
        <f t="shared" si="263"/>
        <v>0</v>
      </c>
      <c r="DB219" s="176">
        <f t="shared" si="263"/>
        <v>0</v>
      </c>
      <c r="DC219" s="176">
        <f t="shared" si="263"/>
        <v>0</v>
      </c>
      <c r="DD219" s="176">
        <f t="shared" si="263"/>
        <v>0</v>
      </c>
      <c r="DE219" s="176">
        <f t="shared" si="263"/>
        <v>0</v>
      </c>
      <c r="DF219" s="176">
        <f t="shared" si="263"/>
        <v>0</v>
      </c>
      <c r="DG219" s="176">
        <f t="shared" si="263"/>
        <v>0</v>
      </c>
      <c r="DH219" s="176">
        <f t="shared" ref="DH219:EM219" si="264">DH52*DH$168</f>
        <v>0</v>
      </c>
      <c r="DI219" s="176">
        <f t="shared" si="264"/>
        <v>0</v>
      </c>
      <c r="DJ219" s="176">
        <f t="shared" si="264"/>
        <v>0</v>
      </c>
      <c r="DK219" s="176">
        <f t="shared" si="264"/>
        <v>0</v>
      </c>
      <c r="DL219" s="176">
        <f t="shared" si="264"/>
        <v>0</v>
      </c>
      <c r="DM219" s="176">
        <f t="shared" si="264"/>
        <v>0</v>
      </c>
      <c r="DN219" s="176">
        <f t="shared" si="264"/>
        <v>0</v>
      </c>
      <c r="DO219" s="176">
        <f t="shared" si="264"/>
        <v>0</v>
      </c>
      <c r="DP219" s="176">
        <f t="shared" si="264"/>
        <v>0</v>
      </c>
      <c r="DQ219" s="176">
        <f t="shared" si="264"/>
        <v>0</v>
      </c>
      <c r="DR219" s="176">
        <f t="shared" si="264"/>
        <v>0</v>
      </c>
      <c r="DS219" s="176">
        <f t="shared" si="264"/>
        <v>0</v>
      </c>
      <c r="DT219" s="176">
        <f t="shared" si="264"/>
        <v>0</v>
      </c>
      <c r="DU219" s="176">
        <f t="shared" si="264"/>
        <v>0</v>
      </c>
      <c r="DV219" s="176">
        <f t="shared" si="264"/>
        <v>0</v>
      </c>
      <c r="DW219" s="176">
        <f t="shared" si="264"/>
        <v>0</v>
      </c>
      <c r="DX219" s="176">
        <f t="shared" si="264"/>
        <v>0</v>
      </c>
      <c r="DY219" s="176">
        <f t="shared" si="264"/>
        <v>0</v>
      </c>
      <c r="DZ219" s="176">
        <f t="shared" si="264"/>
        <v>0</v>
      </c>
      <c r="EA219" s="176">
        <f t="shared" si="264"/>
        <v>0</v>
      </c>
      <c r="EB219" s="176">
        <f t="shared" si="264"/>
        <v>0</v>
      </c>
      <c r="EC219" s="176">
        <f t="shared" si="264"/>
        <v>0</v>
      </c>
      <c r="ED219" s="176">
        <f t="shared" si="264"/>
        <v>0</v>
      </c>
      <c r="EE219" s="176">
        <f t="shared" si="264"/>
        <v>0</v>
      </c>
      <c r="EF219" s="182">
        <f t="shared" si="264"/>
        <v>0</v>
      </c>
      <c r="EG219" s="182">
        <f t="shared" si="264"/>
        <v>0</v>
      </c>
      <c r="EH219" s="182">
        <f t="shared" si="264"/>
        <v>0</v>
      </c>
      <c r="EI219" s="182">
        <f t="shared" si="264"/>
        <v>0</v>
      </c>
      <c r="EJ219" s="182">
        <f t="shared" si="264"/>
        <v>0</v>
      </c>
      <c r="EK219" s="182">
        <f t="shared" si="264"/>
        <v>0</v>
      </c>
      <c r="EL219" s="182">
        <f t="shared" si="264"/>
        <v>0</v>
      </c>
      <c r="EM219" s="182">
        <f t="shared" si="264"/>
        <v>0</v>
      </c>
      <c r="EN219" s="182">
        <f t="shared" ref="EN219:FB219" si="265">EN52*EN$168</f>
        <v>0</v>
      </c>
      <c r="EO219" s="182">
        <f t="shared" si="265"/>
        <v>0</v>
      </c>
      <c r="EP219" s="182">
        <f t="shared" si="265"/>
        <v>0</v>
      </c>
      <c r="EQ219" s="182">
        <f t="shared" si="265"/>
        <v>0</v>
      </c>
      <c r="ER219" s="182">
        <f t="shared" si="265"/>
        <v>0</v>
      </c>
      <c r="ES219" s="182">
        <f t="shared" si="265"/>
        <v>0</v>
      </c>
      <c r="ET219" s="182">
        <f t="shared" si="265"/>
        <v>0</v>
      </c>
      <c r="EU219" s="182">
        <f t="shared" si="265"/>
        <v>0</v>
      </c>
      <c r="EV219" s="182">
        <f t="shared" si="265"/>
        <v>0</v>
      </c>
      <c r="EW219" s="182">
        <f t="shared" si="265"/>
        <v>0</v>
      </c>
      <c r="EX219" s="182">
        <f t="shared" si="265"/>
        <v>0</v>
      </c>
      <c r="EY219" s="182">
        <f t="shared" si="265"/>
        <v>0</v>
      </c>
      <c r="EZ219" s="182">
        <f t="shared" si="265"/>
        <v>0</v>
      </c>
      <c r="FA219" s="182">
        <f t="shared" si="265"/>
        <v>0</v>
      </c>
      <c r="FB219" s="183">
        <f t="shared" si="265"/>
        <v>0</v>
      </c>
    </row>
    <row r="220" spans="2:158" ht="12.75" customHeight="1" x14ac:dyDescent="0.3">
      <c r="B220" s="199" t="s">
        <v>3863</v>
      </c>
      <c r="C220" s="193">
        <v>0</v>
      </c>
      <c r="D220" s="182">
        <f t="shared" si="200"/>
        <v>0</v>
      </c>
      <c r="E220" s="182">
        <f t="shared" si="206"/>
        <v>0.61720905362498779</v>
      </c>
      <c r="F220" s="182">
        <f t="shared" si="212"/>
        <v>0</v>
      </c>
      <c r="G220" s="182">
        <f t="shared" si="218"/>
        <v>0</v>
      </c>
      <c r="H220" s="182">
        <f t="shared" si="224"/>
        <v>0</v>
      </c>
      <c r="I220" s="176">
        <f t="shared" si="230"/>
        <v>0</v>
      </c>
      <c r="J220" s="182">
        <f t="shared" si="236"/>
        <v>0</v>
      </c>
      <c r="K220" s="182">
        <f t="shared" si="242"/>
        <v>0</v>
      </c>
      <c r="L220" s="182">
        <f t="shared" si="248"/>
        <v>0</v>
      </c>
      <c r="M220" s="182">
        <f t="shared" si="254"/>
        <v>0</v>
      </c>
      <c r="N220" s="182">
        <f t="shared" si="260"/>
        <v>0</v>
      </c>
      <c r="O220" s="182">
        <f t="shared" ref="O220:O251" si="266">O53*O$168</f>
        <v>0</v>
      </c>
      <c r="P220" s="182">
        <f t="shared" si="92"/>
        <v>0</v>
      </c>
      <c r="Q220" s="182">
        <f t="shared" si="98"/>
        <v>0</v>
      </c>
      <c r="R220" s="182">
        <f t="shared" si="104"/>
        <v>0</v>
      </c>
      <c r="S220" s="182">
        <f t="shared" si="110"/>
        <v>0</v>
      </c>
      <c r="T220" s="182">
        <f t="shared" si="116"/>
        <v>0</v>
      </c>
      <c r="U220" s="182">
        <f t="shared" si="122"/>
        <v>0</v>
      </c>
      <c r="V220" s="182">
        <f t="shared" si="128"/>
        <v>0</v>
      </c>
      <c r="W220" s="182">
        <f t="shared" si="134"/>
        <v>0</v>
      </c>
      <c r="X220" s="182">
        <f t="shared" si="140"/>
        <v>0</v>
      </c>
      <c r="Y220" s="182">
        <f t="shared" si="145"/>
        <v>0</v>
      </c>
      <c r="Z220" s="182">
        <f t="shared" si="150"/>
        <v>0</v>
      </c>
      <c r="AA220" s="182">
        <f t="shared" si="155"/>
        <v>0</v>
      </c>
      <c r="AB220" s="182">
        <f t="shared" si="160"/>
        <v>0</v>
      </c>
      <c r="AC220" s="182">
        <f t="shared" si="165"/>
        <v>0</v>
      </c>
      <c r="AD220" s="182">
        <f t="shared" si="170"/>
        <v>0</v>
      </c>
      <c r="AE220" s="182">
        <f t="shared" si="175"/>
        <v>0</v>
      </c>
      <c r="AF220" s="182">
        <f t="shared" si="180"/>
        <v>0</v>
      </c>
      <c r="AG220" s="182">
        <f t="shared" si="185"/>
        <v>0</v>
      </c>
      <c r="AH220" s="182">
        <f t="shared" si="190"/>
        <v>0</v>
      </c>
      <c r="AI220" s="182">
        <f t="shared" si="195"/>
        <v>0</v>
      </c>
      <c r="AJ220" s="182">
        <f t="shared" si="201"/>
        <v>0</v>
      </c>
      <c r="AK220" s="182">
        <f t="shared" si="207"/>
        <v>0</v>
      </c>
      <c r="AL220" s="182">
        <f t="shared" si="213"/>
        <v>0</v>
      </c>
      <c r="AM220" s="182">
        <f t="shared" si="219"/>
        <v>0</v>
      </c>
      <c r="AN220" s="182">
        <f t="shared" si="225"/>
        <v>0</v>
      </c>
      <c r="AO220" s="182">
        <f t="shared" si="231"/>
        <v>0</v>
      </c>
      <c r="AP220" s="182">
        <f t="shared" si="237"/>
        <v>0</v>
      </c>
      <c r="AQ220" s="182">
        <f t="shared" si="243"/>
        <v>0</v>
      </c>
      <c r="AR220" s="182">
        <f t="shared" si="249"/>
        <v>0</v>
      </c>
      <c r="AS220" s="182">
        <f t="shared" si="255"/>
        <v>0</v>
      </c>
      <c r="AT220" s="182">
        <f t="shared" si="261"/>
        <v>0</v>
      </c>
      <c r="AU220" s="182">
        <f t="shared" ref="AU220:AU251" si="267">AU53*AU$168</f>
        <v>0</v>
      </c>
      <c r="AV220" s="181">
        <f>$C220+SUM($D220:AU220,AW220:$FB220)-SUM(AV$176:AV219,AV221:AV$330)-AV$331</f>
        <v>-1.5719745654913658E-16</v>
      </c>
      <c r="AW220" s="176">
        <f t="shared" ref="AW220:CB220" si="268">AW53*AW$168</f>
        <v>0</v>
      </c>
      <c r="AX220" s="176">
        <f t="shared" si="268"/>
        <v>0</v>
      </c>
      <c r="AY220" s="176">
        <f t="shared" si="268"/>
        <v>0</v>
      </c>
      <c r="AZ220" s="176">
        <f t="shared" si="268"/>
        <v>0</v>
      </c>
      <c r="BA220" s="176">
        <f t="shared" si="268"/>
        <v>0</v>
      </c>
      <c r="BB220" s="176">
        <f t="shared" si="268"/>
        <v>0</v>
      </c>
      <c r="BC220" s="176">
        <f t="shared" si="268"/>
        <v>0</v>
      </c>
      <c r="BD220" s="176">
        <f t="shared" si="268"/>
        <v>0</v>
      </c>
      <c r="BE220" s="176">
        <f t="shared" si="268"/>
        <v>0</v>
      </c>
      <c r="BF220" s="176">
        <f t="shared" si="268"/>
        <v>0</v>
      </c>
      <c r="BG220" s="176">
        <f t="shared" si="268"/>
        <v>0</v>
      </c>
      <c r="BH220" s="176">
        <f t="shared" si="268"/>
        <v>0</v>
      </c>
      <c r="BI220" s="176">
        <f t="shared" si="268"/>
        <v>0</v>
      </c>
      <c r="BJ220" s="176">
        <f t="shared" si="268"/>
        <v>0</v>
      </c>
      <c r="BK220" s="176">
        <f t="shared" si="268"/>
        <v>0</v>
      </c>
      <c r="BL220" s="176">
        <f t="shared" si="268"/>
        <v>0</v>
      </c>
      <c r="BM220" s="176">
        <f t="shared" si="268"/>
        <v>0</v>
      </c>
      <c r="BN220" s="176">
        <f t="shared" si="268"/>
        <v>0</v>
      </c>
      <c r="BO220" s="176">
        <f t="shared" si="268"/>
        <v>0</v>
      </c>
      <c r="BP220" s="176">
        <f t="shared" si="268"/>
        <v>0</v>
      </c>
      <c r="BQ220" s="176">
        <f t="shared" si="268"/>
        <v>0</v>
      </c>
      <c r="BR220" s="176">
        <f t="shared" si="268"/>
        <v>0</v>
      </c>
      <c r="BS220" s="176">
        <f t="shared" si="268"/>
        <v>0</v>
      </c>
      <c r="BT220" s="176">
        <f t="shared" si="268"/>
        <v>0</v>
      </c>
      <c r="BU220" s="176">
        <f t="shared" si="268"/>
        <v>0</v>
      </c>
      <c r="BV220" s="176">
        <f t="shared" si="268"/>
        <v>0</v>
      </c>
      <c r="BW220" s="176">
        <f t="shared" si="268"/>
        <v>0</v>
      </c>
      <c r="BX220" s="176">
        <f t="shared" si="268"/>
        <v>0</v>
      </c>
      <c r="BY220" s="176">
        <f t="shared" si="268"/>
        <v>0</v>
      </c>
      <c r="BZ220" s="176">
        <f t="shared" si="268"/>
        <v>0</v>
      </c>
      <c r="CA220" s="176">
        <f t="shared" si="268"/>
        <v>0</v>
      </c>
      <c r="CB220" s="176">
        <f t="shared" si="268"/>
        <v>0</v>
      </c>
      <c r="CC220" s="176">
        <f t="shared" ref="CC220:DH220" si="269">CC53*CC$168</f>
        <v>0</v>
      </c>
      <c r="CD220" s="176">
        <f t="shared" si="269"/>
        <v>0</v>
      </c>
      <c r="CE220" s="176">
        <f t="shared" si="269"/>
        <v>0</v>
      </c>
      <c r="CF220" s="176">
        <f t="shared" si="269"/>
        <v>0</v>
      </c>
      <c r="CG220" s="176">
        <f t="shared" si="269"/>
        <v>0</v>
      </c>
      <c r="CH220" s="176">
        <f t="shared" si="269"/>
        <v>0</v>
      </c>
      <c r="CI220" s="176">
        <f t="shared" si="269"/>
        <v>0</v>
      </c>
      <c r="CJ220" s="176">
        <f t="shared" si="269"/>
        <v>0</v>
      </c>
      <c r="CK220" s="176">
        <f t="shared" si="269"/>
        <v>0</v>
      </c>
      <c r="CL220" s="176">
        <f t="shared" si="269"/>
        <v>0</v>
      </c>
      <c r="CM220" s="176">
        <f t="shared" si="269"/>
        <v>1.5900461647356563E-4</v>
      </c>
      <c r="CN220" s="176">
        <f t="shared" si="269"/>
        <v>0</v>
      </c>
      <c r="CO220" s="176">
        <f t="shared" si="269"/>
        <v>0</v>
      </c>
      <c r="CP220" s="176">
        <f t="shared" si="269"/>
        <v>0</v>
      </c>
      <c r="CQ220" s="176">
        <f t="shared" si="269"/>
        <v>0</v>
      </c>
      <c r="CR220" s="176">
        <f t="shared" si="269"/>
        <v>0</v>
      </c>
      <c r="CS220" s="176">
        <f t="shared" si="269"/>
        <v>0</v>
      </c>
      <c r="CT220" s="176">
        <f t="shared" si="269"/>
        <v>0</v>
      </c>
      <c r="CU220" s="176">
        <f t="shared" si="269"/>
        <v>0</v>
      </c>
      <c r="CV220" s="176">
        <f t="shared" si="269"/>
        <v>0</v>
      </c>
      <c r="CW220" s="176">
        <f t="shared" si="269"/>
        <v>0</v>
      </c>
      <c r="CX220" s="176">
        <f t="shared" si="269"/>
        <v>0</v>
      </c>
      <c r="CY220" s="176">
        <f t="shared" si="269"/>
        <v>0</v>
      </c>
      <c r="CZ220" s="176">
        <f t="shared" si="269"/>
        <v>0</v>
      </c>
      <c r="DA220" s="176">
        <f t="shared" si="269"/>
        <v>0</v>
      </c>
      <c r="DB220" s="176">
        <f t="shared" si="269"/>
        <v>0</v>
      </c>
      <c r="DC220" s="176">
        <f t="shared" si="269"/>
        <v>0</v>
      </c>
      <c r="DD220" s="176">
        <f t="shared" si="269"/>
        <v>0</v>
      </c>
      <c r="DE220" s="176">
        <f t="shared" si="269"/>
        <v>0</v>
      </c>
      <c r="DF220" s="176">
        <f t="shared" si="269"/>
        <v>0</v>
      </c>
      <c r="DG220" s="176">
        <f t="shared" si="269"/>
        <v>0</v>
      </c>
      <c r="DH220" s="176">
        <f t="shared" si="269"/>
        <v>0</v>
      </c>
      <c r="DI220" s="176">
        <f t="shared" ref="DI220:EN220" si="270">DI53*DI$168</f>
        <v>0</v>
      </c>
      <c r="DJ220" s="176">
        <f t="shared" si="270"/>
        <v>0</v>
      </c>
      <c r="DK220" s="176">
        <f t="shared" si="270"/>
        <v>0</v>
      </c>
      <c r="DL220" s="176">
        <f t="shared" si="270"/>
        <v>0</v>
      </c>
      <c r="DM220" s="176">
        <f t="shared" si="270"/>
        <v>0</v>
      </c>
      <c r="DN220" s="176">
        <f t="shared" si="270"/>
        <v>0</v>
      </c>
      <c r="DO220" s="176">
        <f t="shared" si="270"/>
        <v>0</v>
      </c>
      <c r="DP220" s="176">
        <f t="shared" si="270"/>
        <v>0</v>
      </c>
      <c r="DQ220" s="176">
        <f t="shared" si="270"/>
        <v>0</v>
      </c>
      <c r="DR220" s="176">
        <f t="shared" si="270"/>
        <v>0</v>
      </c>
      <c r="DS220" s="176">
        <f t="shared" si="270"/>
        <v>0</v>
      </c>
      <c r="DT220" s="176">
        <f t="shared" si="270"/>
        <v>0</v>
      </c>
      <c r="DU220" s="176">
        <f t="shared" si="270"/>
        <v>0</v>
      </c>
      <c r="DV220" s="176">
        <f t="shared" si="270"/>
        <v>0</v>
      </c>
      <c r="DW220" s="176">
        <f t="shared" si="270"/>
        <v>0</v>
      </c>
      <c r="DX220" s="176">
        <f t="shared" si="270"/>
        <v>0</v>
      </c>
      <c r="DY220" s="176">
        <f t="shared" si="270"/>
        <v>0</v>
      </c>
      <c r="DZ220" s="176">
        <f t="shared" si="270"/>
        <v>0</v>
      </c>
      <c r="EA220" s="176">
        <f t="shared" si="270"/>
        <v>0</v>
      </c>
      <c r="EB220" s="176">
        <f t="shared" si="270"/>
        <v>0</v>
      </c>
      <c r="EC220" s="176">
        <f t="shared" si="270"/>
        <v>0</v>
      </c>
      <c r="ED220" s="176">
        <f t="shared" si="270"/>
        <v>0</v>
      </c>
      <c r="EE220" s="176">
        <f t="shared" si="270"/>
        <v>0</v>
      </c>
      <c r="EF220" s="182">
        <f t="shared" si="270"/>
        <v>0</v>
      </c>
      <c r="EG220" s="182">
        <f t="shared" si="270"/>
        <v>0</v>
      </c>
      <c r="EH220" s="182">
        <f t="shared" si="270"/>
        <v>0</v>
      </c>
      <c r="EI220" s="182">
        <f t="shared" si="270"/>
        <v>0</v>
      </c>
      <c r="EJ220" s="182">
        <f t="shared" si="270"/>
        <v>0</v>
      </c>
      <c r="EK220" s="182">
        <f t="shared" si="270"/>
        <v>0</v>
      </c>
      <c r="EL220" s="182">
        <f t="shared" si="270"/>
        <v>0</v>
      </c>
      <c r="EM220" s="182">
        <f t="shared" si="270"/>
        <v>0</v>
      </c>
      <c r="EN220" s="182">
        <f t="shared" si="270"/>
        <v>0</v>
      </c>
      <c r="EO220" s="182">
        <f t="shared" ref="EO220:FB220" si="271">EO53*EO$168</f>
        <v>0</v>
      </c>
      <c r="EP220" s="182">
        <f t="shared" si="271"/>
        <v>0</v>
      </c>
      <c r="EQ220" s="182">
        <f t="shared" si="271"/>
        <v>0</v>
      </c>
      <c r="ER220" s="182">
        <f t="shared" si="271"/>
        <v>0</v>
      </c>
      <c r="ES220" s="182">
        <f t="shared" si="271"/>
        <v>0</v>
      </c>
      <c r="ET220" s="182">
        <f t="shared" si="271"/>
        <v>0</v>
      </c>
      <c r="EU220" s="182">
        <f t="shared" si="271"/>
        <v>0</v>
      </c>
      <c r="EV220" s="182">
        <f t="shared" si="271"/>
        <v>0</v>
      </c>
      <c r="EW220" s="182">
        <f t="shared" si="271"/>
        <v>0</v>
      </c>
      <c r="EX220" s="182">
        <f t="shared" si="271"/>
        <v>0</v>
      </c>
      <c r="EY220" s="182">
        <f t="shared" si="271"/>
        <v>0</v>
      </c>
      <c r="EZ220" s="182">
        <f t="shared" si="271"/>
        <v>0</v>
      </c>
      <c r="FA220" s="182">
        <f t="shared" si="271"/>
        <v>0</v>
      </c>
      <c r="FB220" s="183">
        <f t="shared" si="271"/>
        <v>0</v>
      </c>
    </row>
    <row r="221" spans="2:158" ht="12.75" customHeight="1" x14ac:dyDescent="0.3">
      <c r="B221" s="199" t="s">
        <v>3864</v>
      </c>
      <c r="C221" s="193">
        <v>0</v>
      </c>
      <c r="D221" s="182">
        <f t="shared" si="200"/>
        <v>0</v>
      </c>
      <c r="E221" s="182">
        <f t="shared" si="206"/>
        <v>0</v>
      </c>
      <c r="F221" s="182">
        <f t="shared" si="212"/>
        <v>1.5731517391113934</v>
      </c>
      <c r="G221" s="182">
        <f t="shared" si="218"/>
        <v>0</v>
      </c>
      <c r="H221" s="182">
        <f t="shared" si="224"/>
        <v>0</v>
      </c>
      <c r="I221" s="176">
        <f t="shared" si="230"/>
        <v>0</v>
      </c>
      <c r="J221" s="182">
        <f t="shared" si="236"/>
        <v>0</v>
      </c>
      <c r="K221" s="182">
        <f t="shared" si="242"/>
        <v>0</v>
      </c>
      <c r="L221" s="182">
        <f t="shared" si="248"/>
        <v>0</v>
      </c>
      <c r="M221" s="182">
        <f t="shared" si="254"/>
        <v>0</v>
      </c>
      <c r="N221" s="182">
        <f t="shared" si="260"/>
        <v>0</v>
      </c>
      <c r="O221" s="182">
        <f t="shared" si="266"/>
        <v>0</v>
      </c>
      <c r="P221" s="182">
        <f t="shared" ref="P221:P252" si="272">P54*P$168</f>
        <v>0</v>
      </c>
      <c r="Q221" s="182">
        <f t="shared" si="98"/>
        <v>0</v>
      </c>
      <c r="R221" s="182">
        <f t="shared" si="104"/>
        <v>0</v>
      </c>
      <c r="S221" s="182">
        <f t="shared" si="110"/>
        <v>0</v>
      </c>
      <c r="T221" s="182">
        <f t="shared" si="116"/>
        <v>0</v>
      </c>
      <c r="U221" s="182">
        <f t="shared" si="122"/>
        <v>0</v>
      </c>
      <c r="V221" s="182">
        <f t="shared" si="128"/>
        <v>0</v>
      </c>
      <c r="W221" s="182">
        <f t="shared" si="134"/>
        <v>0</v>
      </c>
      <c r="X221" s="182">
        <f t="shared" si="140"/>
        <v>0</v>
      </c>
      <c r="Y221" s="182">
        <f t="shared" si="145"/>
        <v>0</v>
      </c>
      <c r="Z221" s="182">
        <f t="shared" si="150"/>
        <v>0</v>
      </c>
      <c r="AA221" s="182">
        <f t="shared" si="155"/>
        <v>0</v>
      </c>
      <c r="AB221" s="182">
        <f t="shared" si="160"/>
        <v>0</v>
      </c>
      <c r="AC221" s="182">
        <f t="shared" si="165"/>
        <v>0</v>
      </c>
      <c r="AD221" s="182">
        <f t="shared" si="170"/>
        <v>0</v>
      </c>
      <c r="AE221" s="182">
        <f t="shared" si="175"/>
        <v>0</v>
      </c>
      <c r="AF221" s="182">
        <f t="shared" si="180"/>
        <v>0</v>
      </c>
      <c r="AG221" s="182">
        <f t="shared" si="185"/>
        <v>0</v>
      </c>
      <c r="AH221" s="182">
        <f t="shared" si="190"/>
        <v>0</v>
      </c>
      <c r="AI221" s="182">
        <f t="shared" si="195"/>
        <v>0</v>
      </c>
      <c r="AJ221" s="182">
        <f t="shared" si="201"/>
        <v>0</v>
      </c>
      <c r="AK221" s="182">
        <f t="shared" si="207"/>
        <v>0</v>
      </c>
      <c r="AL221" s="182">
        <f t="shared" si="213"/>
        <v>0</v>
      </c>
      <c r="AM221" s="182">
        <f t="shared" si="219"/>
        <v>0</v>
      </c>
      <c r="AN221" s="182">
        <f t="shared" si="225"/>
        <v>0</v>
      </c>
      <c r="AO221" s="182">
        <f t="shared" si="231"/>
        <v>0</v>
      </c>
      <c r="AP221" s="182">
        <f t="shared" si="237"/>
        <v>0</v>
      </c>
      <c r="AQ221" s="182">
        <f t="shared" si="243"/>
        <v>0</v>
      </c>
      <c r="AR221" s="182">
        <f t="shared" si="249"/>
        <v>0</v>
      </c>
      <c r="AS221" s="182">
        <f t="shared" si="255"/>
        <v>0</v>
      </c>
      <c r="AT221" s="182">
        <f t="shared" si="261"/>
        <v>0</v>
      </c>
      <c r="AU221" s="182">
        <f t="shared" si="267"/>
        <v>0</v>
      </c>
      <c r="AV221" s="182">
        <f t="shared" ref="AV221:AV252" si="273">AV54*AV$168</f>
        <v>0.50745280774968404</v>
      </c>
      <c r="AW221" s="181">
        <f>$C221+SUM($D221:AV221,AX221:$FB221)-SUM(AW$176:AW220,AW222:AW$330)-AW$331</f>
        <v>-5.2421175039674139E-17</v>
      </c>
      <c r="AX221" s="176">
        <f t="shared" ref="AX221:CC221" si="274">AX54*AX$168</f>
        <v>0</v>
      </c>
      <c r="AY221" s="176">
        <f t="shared" si="274"/>
        <v>0</v>
      </c>
      <c r="AZ221" s="176">
        <f t="shared" si="274"/>
        <v>0</v>
      </c>
      <c r="BA221" s="176">
        <f t="shared" si="274"/>
        <v>0</v>
      </c>
      <c r="BB221" s="176">
        <f t="shared" si="274"/>
        <v>0</v>
      </c>
      <c r="BC221" s="176">
        <f t="shared" si="274"/>
        <v>0</v>
      </c>
      <c r="BD221" s="176">
        <f t="shared" si="274"/>
        <v>0</v>
      </c>
      <c r="BE221" s="176">
        <f t="shared" si="274"/>
        <v>0</v>
      </c>
      <c r="BF221" s="176">
        <f t="shared" si="274"/>
        <v>0</v>
      </c>
      <c r="BG221" s="176">
        <f t="shared" si="274"/>
        <v>0</v>
      </c>
      <c r="BH221" s="176">
        <f t="shared" si="274"/>
        <v>0</v>
      </c>
      <c r="BI221" s="176">
        <f t="shared" si="274"/>
        <v>0</v>
      </c>
      <c r="BJ221" s="176">
        <f t="shared" si="274"/>
        <v>0</v>
      </c>
      <c r="BK221" s="176">
        <f t="shared" si="274"/>
        <v>0</v>
      </c>
      <c r="BL221" s="176">
        <f t="shared" si="274"/>
        <v>0</v>
      </c>
      <c r="BM221" s="176">
        <f t="shared" si="274"/>
        <v>0</v>
      </c>
      <c r="BN221" s="176">
        <f t="shared" si="274"/>
        <v>0</v>
      </c>
      <c r="BO221" s="176">
        <f t="shared" si="274"/>
        <v>0</v>
      </c>
      <c r="BP221" s="176">
        <f t="shared" si="274"/>
        <v>0</v>
      </c>
      <c r="BQ221" s="176">
        <f t="shared" si="274"/>
        <v>0</v>
      </c>
      <c r="BR221" s="176">
        <f t="shared" si="274"/>
        <v>0</v>
      </c>
      <c r="BS221" s="176">
        <f t="shared" si="274"/>
        <v>0</v>
      </c>
      <c r="BT221" s="176">
        <f t="shared" si="274"/>
        <v>0</v>
      </c>
      <c r="BU221" s="176">
        <f t="shared" si="274"/>
        <v>0</v>
      </c>
      <c r="BV221" s="176">
        <f t="shared" si="274"/>
        <v>0</v>
      </c>
      <c r="BW221" s="176">
        <f t="shared" si="274"/>
        <v>0</v>
      </c>
      <c r="BX221" s="176">
        <f t="shared" si="274"/>
        <v>0</v>
      </c>
      <c r="BY221" s="176">
        <f t="shared" si="274"/>
        <v>0</v>
      </c>
      <c r="BZ221" s="176">
        <f t="shared" si="274"/>
        <v>0</v>
      </c>
      <c r="CA221" s="176">
        <f t="shared" si="274"/>
        <v>0</v>
      </c>
      <c r="CB221" s="176">
        <f t="shared" si="274"/>
        <v>0</v>
      </c>
      <c r="CC221" s="176">
        <f t="shared" si="274"/>
        <v>0</v>
      </c>
      <c r="CD221" s="176">
        <f t="shared" ref="CD221:DI221" si="275">CD54*CD$168</f>
        <v>0</v>
      </c>
      <c r="CE221" s="176">
        <f t="shared" si="275"/>
        <v>0</v>
      </c>
      <c r="CF221" s="176">
        <f t="shared" si="275"/>
        <v>0</v>
      </c>
      <c r="CG221" s="176">
        <f t="shared" si="275"/>
        <v>0</v>
      </c>
      <c r="CH221" s="176">
        <f t="shared" si="275"/>
        <v>0</v>
      </c>
      <c r="CI221" s="176">
        <f t="shared" si="275"/>
        <v>0</v>
      </c>
      <c r="CJ221" s="176">
        <f t="shared" si="275"/>
        <v>0</v>
      </c>
      <c r="CK221" s="176">
        <f t="shared" si="275"/>
        <v>0</v>
      </c>
      <c r="CL221" s="176">
        <f t="shared" si="275"/>
        <v>0</v>
      </c>
      <c r="CM221" s="176">
        <f t="shared" si="275"/>
        <v>0</v>
      </c>
      <c r="CN221" s="176">
        <f t="shared" si="275"/>
        <v>6.697259192528518E-2</v>
      </c>
      <c r="CO221" s="176">
        <f t="shared" si="275"/>
        <v>0</v>
      </c>
      <c r="CP221" s="176">
        <f t="shared" si="275"/>
        <v>0</v>
      </c>
      <c r="CQ221" s="176">
        <f t="shared" si="275"/>
        <v>0</v>
      </c>
      <c r="CR221" s="176">
        <f t="shared" si="275"/>
        <v>0</v>
      </c>
      <c r="CS221" s="176">
        <f t="shared" si="275"/>
        <v>0</v>
      </c>
      <c r="CT221" s="176">
        <f t="shared" si="275"/>
        <v>0</v>
      </c>
      <c r="CU221" s="176">
        <f t="shared" si="275"/>
        <v>0</v>
      </c>
      <c r="CV221" s="176">
        <f t="shared" si="275"/>
        <v>0</v>
      </c>
      <c r="CW221" s="176">
        <f t="shared" si="275"/>
        <v>0</v>
      </c>
      <c r="CX221" s="176">
        <f t="shared" si="275"/>
        <v>0</v>
      </c>
      <c r="CY221" s="176">
        <f t="shared" si="275"/>
        <v>0</v>
      </c>
      <c r="CZ221" s="176">
        <f t="shared" si="275"/>
        <v>0</v>
      </c>
      <c r="DA221" s="176">
        <f t="shared" si="275"/>
        <v>0</v>
      </c>
      <c r="DB221" s="176">
        <f t="shared" si="275"/>
        <v>0</v>
      </c>
      <c r="DC221" s="176">
        <f t="shared" si="275"/>
        <v>0</v>
      </c>
      <c r="DD221" s="176">
        <f t="shared" si="275"/>
        <v>0</v>
      </c>
      <c r="DE221" s="176">
        <f t="shared" si="275"/>
        <v>0</v>
      </c>
      <c r="DF221" s="176">
        <f t="shared" si="275"/>
        <v>0</v>
      </c>
      <c r="DG221" s="176">
        <f t="shared" si="275"/>
        <v>0</v>
      </c>
      <c r="DH221" s="176">
        <f t="shared" si="275"/>
        <v>0</v>
      </c>
      <c r="DI221" s="176">
        <f t="shared" si="275"/>
        <v>0</v>
      </c>
      <c r="DJ221" s="176">
        <f t="shared" ref="DJ221:EO221" si="276">DJ54*DJ$168</f>
        <v>0</v>
      </c>
      <c r="DK221" s="176">
        <f t="shared" si="276"/>
        <v>0</v>
      </c>
      <c r="DL221" s="176">
        <f t="shared" si="276"/>
        <v>0</v>
      </c>
      <c r="DM221" s="176">
        <f t="shared" si="276"/>
        <v>0</v>
      </c>
      <c r="DN221" s="176">
        <f t="shared" si="276"/>
        <v>0</v>
      </c>
      <c r="DO221" s="176">
        <f t="shared" si="276"/>
        <v>0</v>
      </c>
      <c r="DP221" s="176">
        <f t="shared" si="276"/>
        <v>0</v>
      </c>
      <c r="DQ221" s="176">
        <f t="shared" si="276"/>
        <v>0</v>
      </c>
      <c r="DR221" s="176">
        <f t="shared" si="276"/>
        <v>0</v>
      </c>
      <c r="DS221" s="176">
        <f t="shared" si="276"/>
        <v>0</v>
      </c>
      <c r="DT221" s="176">
        <f t="shared" si="276"/>
        <v>0</v>
      </c>
      <c r="DU221" s="176">
        <f t="shared" si="276"/>
        <v>0</v>
      </c>
      <c r="DV221" s="176">
        <f t="shared" si="276"/>
        <v>0</v>
      </c>
      <c r="DW221" s="176">
        <f t="shared" si="276"/>
        <v>0</v>
      </c>
      <c r="DX221" s="176">
        <f t="shared" si="276"/>
        <v>0</v>
      </c>
      <c r="DY221" s="176">
        <f t="shared" si="276"/>
        <v>0</v>
      </c>
      <c r="DZ221" s="176">
        <f t="shared" si="276"/>
        <v>0</v>
      </c>
      <c r="EA221" s="176">
        <f t="shared" si="276"/>
        <v>0</v>
      </c>
      <c r="EB221" s="176">
        <f t="shared" si="276"/>
        <v>0</v>
      </c>
      <c r="EC221" s="176">
        <f t="shared" si="276"/>
        <v>0</v>
      </c>
      <c r="ED221" s="176">
        <f t="shared" si="276"/>
        <v>0</v>
      </c>
      <c r="EE221" s="176">
        <f t="shared" si="276"/>
        <v>0</v>
      </c>
      <c r="EF221" s="182">
        <f t="shared" si="276"/>
        <v>0</v>
      </c>
      <c r="EG221" s="182">
        <f t="shared" si="276"/>
        <v>0</v>
      </c>
      <c r="EH221" s="182">
        <f t="shared" si="276"/>
        <v>0</v>
      </c>
      <c r="EI221" s="182">
        <f t="shared" si="276"/>
        <v>0</v>
      </c>
      <c r="EJ221" s="182">
        <f t="shared" si="276"/>
        <v>0</v>
      </c>
      <c r="EK221" s="182">
        <f t="shared" si="276"/>
        <v>0</v>
      </c>
      <c r="EL221" s="182">
        <f t="shared" si="276"/>
        <v>0</v>
      </c>
      <c r="EM221" s="182">
        <f t="shared" si="276"/>
        <v>0</v>
      </c>
      <c r="EN221" s="182">
        <f t="shared" si="276"/>
        <v>0</v>
      </c>
      <c r="EO221" s="182">
        <f t="shared" si="276"/>
        <v>0</v>
      </c>
      <c r="EP221" s="182">
        <f t="shared" ref="EP221:FB221" si="277">EP54*EP$168</f>
        <v>0</v>
      </c>
      <c r="EQ221" s="182">
        <f t="shared" si="277"/>
        <v>0</v>
      </c>
      <c r="ER221" s="182">
        <f t="shared" si="277"/>
        <v>0</v>
      </c>
      <c r="ES221" s="182">
        <f t="shared" si="277"/>
        <v>0</v>
      </c>
      <c r="ET221" s="182">
        <f t="shared" si="277"/>
        <v>0</v>
      </c>
      <c r="EU221" s="182">
        <f t="shared" si="277"/>
        <v>0</v>
      </c>
      <c r="EV221" s="182">
        <f t="shared" si="277"/>
        <v>0</v>
      </c>
      <c r="EW221" s="182">
        <f t="shared" si="277"/>
        <v>0</v>
      </c>
      <c r="EX221" s="182">
        <f t="shared" si="277"/>
        <v>0</v>
      </c>
      <c r="EY221" s="182">
        <f t="shared" si="277"/>
        <v>0</v>
      </c>
      <c r="EZ221" s="182">
        <f t="shared" si="277"/>
        <v>0</v>
      </c>
      <c r="FA221" s="182">
        <f t="shared" si="277"/>
        <v>0</v>
      </c>
      <c r="FB221" s="183">
        <f t="shared" si="277"/>
        <v>0</v>
      </c>
    </row>
    <row r="222" spans="2:158" ht="12.75" customHeight="1" x14ac:dyDescent="0.3">
      <c r="B222" s="199" t="s">
        <v>3865</v>
      </c>
      <c r="C222" s="193">
        <v>0</v>
      </c>
      <c r="D222" s="182">
        <f t="shared" si="200"/>
        <v>0</v>
      </c>
      <c r="E222" s="182">
        <f t="shared" si="206"/>
        <v>0</v>
      </c>
      <c r="F222" s="182">
        <f t="shared" si="212"/>
        <v>0</v>
      </c>
      <c r="G222" s="182">
        <f t="shared" si="218"/>
        <v>3.1466824991563245E-4</v>
      </c>
      <c r="H222" s="182">
        <f t="shared" si="224"/>
        <v>0</v>
      </c>
      <c r="I222" s="176">
        <f t="shared" si="230"/>
        <v>0</v>
      </c>
      <c r="J222" s="182">
        <f t="shared" si="236"/>
        <v>0</v>
      </c>
      <c r="K222" s="182">
        <f t="shared" si="242"/>
        <v>0</v>
      </c>
      <c r="L222" s="182">
        <f t="shared" si="248"/>
        <v>0</v>
      </c>
      <c r="M222" s="182">
        <f t="shared" si="254"/>
        <v>0</v>
      </c>
      <c r="N222" s="182">
        <f t="shared" si="260"/>
        <v>0</v>
      </c>
      <c r="O222" s="182">
        <f t="shared" si="266"/>
        <v>0</v>
      </c>
      <c r="P222" s="182">
        <f t="shared" si="272"/>
        <v>0</v>
      </c>
      <c r="Q222" s="182">
        <f t="shared" ref="Q222:Q253" si="278">Q55*Q$168</f>
        <v>0</v>
      </c>
      <c r="R222" s="182">
        <f t="shared" si="104"/>
        <v>0</v>
      </c>
      <c r="S222" s="182">
        <f t="shared" si="110"/>
        <v>0</v>
      </c>
      <c r="T222" s="182">
        <f t="shared" si="116"/>
        <v>0</v>
      </c>
      <c r="U222" s="182">
        <f t="shared" si="122"/>
        <v>0</v>
      </c>
      <c r="V222" s="182">
        <f t="shared" si="128"/>
        <v>0</v>
      </c>
      <c r="W222" s="182">
        <f t="shared" si="134"/>
        <v>0</v>
      </c>
      <c r="X222" s="182">
        <f t="shared" si="140"/>
        <v>0</v>
      </c>
      <c r="Y222" s="182">
        <f t="shared" si="145"/>
        <v>0</v>
      </c>
      <c r="Z222" s="182">
        <f t="shared" si="150"/>
        <v>0</v>
      </c>
      <c r="AA222" s="182">
        <f t="shared" si="155"/>
        <v>0</v>
      </c>
      <c r="AB222" s="182">
        <f t="shared" si="160"/>
        <v>0</v>
      </c>
      <c r="AC222" s="182">
        <f t="shared" si="165"/>
        <v>0</v>
      </c>
      <c r="AD222" s="182">
        <f t="shared" si="170"/>
        <v>0</v>
      </c>
      <c r="AE222" s="182">
        <f t="shared" si="175"/>
        <v>0</v>
      </c>
      <c r="AF222" s="182">
        <f t="shared" si="180"/>
        <v>0</v>
      </c>
      <c r="AG222" s="182">
        <f t="shared" si="185"/>
        <v>0</v>
      </c>
      <c r="AH222" s="182">
        <f t="shared" si="190"/>
        <v>0</v>
      </c>
      <c r="AI222" s="182">
        <f t="shared" si="195"/>
        <v>0</v>
      </c>
      <c r="AJ222" s="182">
        <f t="shared" si="201"/>
        <v>0</v>
      </c>
      <c r="AK222" s="182">
        <f t="shared" si="207"/>
        <v>0</v>
      </c>
      <c r="AL222" s="182">
        <f t="shared" si="213"/>
        <v>0</v>
      </c>
      <c r="AM222" s="182">
        <f t="shared" si="219"/>
        <v>0</v>
      </c>
      <c r="AN222" s="182">
        <f t="shared" si="225"/>
        <v>0</v>
      </c>
      <c r="AO222" s="182">
        <f t="shared" si="231"/>
        <v>0</v>
      </c>
      <c r="AP222" s="182">
        <f t="shared" si="237"/>
        <v>0</v>
      </c>
      <c r="AQ222" s="182">
        <f t="shared" si="243"/>
        <v>0</v>
      </c>
      <c r="AR222" s="182">
        <f t="shared" si="249"/>
        <v>0</v>
      </c>
      <c r="AS222" s="182">
        <f t="shared" si="255"/>
        <v>0</v>
      </c>
      <c r="AT222" s="182">
        <f t="shared" si="261"/>
        <v>0</v>
      </c>
      <c r="AU222" s="182">
        <f t="shared" si="267"/>
        <v>0</v>
      </c>
      <c r="AV222" s="182">
        <f t="shared" si="273"/>
        <v>1.0159840408052252E-3</v>
      </c>
      <c r="AW222" s="182">
        <f t="shared" ref="AW222:AW253" si="279">AW55*AW$168</f>
        <v>0</v>
      </c>
      <c r="AX222" s="181">
        <f>$C222+SUM($D222:AW222,AY222:$FB222)-SUM(AX$176:AX221,AX223:AX$330)-AX$331</f>
        <v>-2.017766483618977E-19</v>
      </c>
      <c r="AY222" s="176">
        <f t="shared" ref="AY222:CD222" si="280">AY55*AY$168</f>
        <v>0</v>
      </c>
      <c r="AZ222" s="176">
        <f t="shared" si="280"/>
        <v>0</v>
      </c>
      <c r="BA222" s="176">
        <f t="shared" si="280"/>
        <v>0</v>
      </c>
      <c r="BB222" s="176">
        <f t="shared" si="280"/>
        <v>0</v>
      </c>
      <c r="BC222" s="176">
        <f t="shared" si="280"/>
        <v>0</v>
      </c>
      <c r="BD222" s="176">
        <f t="shared" si="280"/>
        <v>0</v>
      </c>
      <c r="BE222" s="176">
        <f t="shared" si="280"/>
        <v>0</v>
      </c>
      <c r="BF222" s="176">
        <f t="shared" si="280"/>
        <v>0</v>
      </c>
      <c r="BG222" s="176">
        <f t="shared" si="280"/>
        <v>0</v>
      </c>
      <c r="BH222" s="176">
        <f t="shared" si="280"/>
        <v>0</v>
      </c>
      <c r="BI222" s="176">
        <f t="shared" si="280"/>
        <v>0</v>
      </c>
      <c r="BJ222" s="176">
        <f t="shared" si="280"/>
        <v>0</v>
      </c>
      <c r="BK222" s="176">
        <f t="shared" si="280"/>
        <v>0</v>
      </c>
      <c r="BL222" s="176">
        <f t="shared" si="280"/>
        <v>0</v>
      </c>
      <c r="BM222" s="176">
        <f t="shared" si="280"/>
        <v>0</v>
      </c>
      <c r="BN222" s="176">
        <f t="shared" si="280"/>
        <v>0</v>
      </c>
      <c r="BO222" s="176">
        <f t="shared" si="280"/>
        <v>0</v>
      </c>
      <c r="BP222" s="176">
        <f t="shared" si="280"/>
        <v>0</v>
      </c>
      <c r="BQ222" s="176">
        <f t="shared" si="280"/>
        <v>0</v>
      </c>
      <c r="BR222" s="176">
        <f t="shared" si="280"/>
        <v>0</v>
      </c>
      <c r="BS222" s="176">
        <f t="shared" si="280"/>
        <v>0</v>
      </c>
      <c r="BT222" s="176">
        <f t="shared" si="280"/>
        <v>0</v>
      </c>
      <c r="BU222" s="176">
        <f t="shared" si="280"/>
        <v>0</v>
      </c>
      <c r="BV222" s="176">
        <f t="shared" si="280"/>
        <v>0</v>
      </c>
      <c r="BW222" s="176">
        <f t="shared" si="280"/>
        <v>0</v>
      </c>
      <c r="BX222" s="176">
        <f t="shared" si="280"/>
        <v>0</v>
      </c>
      <c r="BY222" s="176">
        <f t="shared" si="280"/>
        <v>0</v>
      </c>
      <c r="BZ222" s="176">
        <f t="shared" si="280"/>
        <v>0</v>
      </c>
      <c r="CA222" s="176">
        <f t="shared" si="280"/>
        <v>0</v>
      </c>
      <c r="CB222" s="176">
        <f t="shared" si="280"/>
        <v>0</v>
      </c>
      <c r="CC222" s="176">
        <f t="shared" si="280"/>
        <v>0</v>
      </c>
      <c r="CD222" s="176">
        <f t="shared" si="280"/>
        <v>0</v>
      </c>
      <c r="CE222" s="176">
        <f t="shared" ref="CE222:DJ222" si="281">CE55*CE$168</f>
        <v>0</v>
      </c>
      <c r="CF222" s="176">
        <f t="shared" si="281"/>
        <v>0</v>
      </c>
      <c r="CG222" s="176">
        <f t="shared" si="281"/>
        <v>0</v>
      </c>
      <c r="CH222" s="176">
        <f t="shared" si="281"/>
        <v>0</v>
      </c>
      <c r="CI222" s="176">
        <f t="shared" si="281"/>
        <v>0</v>
      </c>
      <c r="CJ222" s="176">
        <f t="shared" si="281"/>
        <v>0</v>
      </c>
      <c r="CK222" s="176">
        <f t="shared" si="281"/>
        <v>0</v>
      </c>
      <c r="CL222" s="176">
        <f t="shared" si="281"/>
        <v>0</v>
      </c>
      <c r="CM222" s="176">
        <f t="shared" si="281"/>
        <v>0</v>
      </c>
      <c r="CN222" s="176">
        <f t="shared" si="281"/>
        <v>0</v>
      </c>
      <c r="CO222" s="176">
        <f t="shared" si="281"/>
        <v>1.3013053219628899E-7</v>
      </c>
      <c r="CP222" s="176">
        <f t="shared" si="281"/>
        <v>0</v>
      </c>
      <c r="CQ222" s="176">
        <f t="shared" si="281"/>
        <v>0</v>
      </c>
      <c r="CR222" s="176">
        <f t="shared" si="281"/>
        <v>0</v>
      </c>
      <c r="CS222" s="176">
        <f t="shared" si="281"/>
        <v>0</v>
      </c>
      <c r="CT222" s="176">
        <f t="shared" si="281"/>
        <v>0</v>
      </c>
      <c r="CU222" s="176">
        <f t="shared" si="281"/>
        <v>0</v>
      </c>
      <c r="CV222" s="176">
        <f t="shared" si="281"/>
        <v>0</v>
      </c>
      <c r="CW222" s="176">
        <f t="shared" si="281"/>
        <v>0</v>
      </c>
      <c r="CX222" s="176">
        <f t="shared" si="281"/>
        <v>0</v>
      </c>
      <c r="CY222" s="176">
        <f t="shared" si="281"/>
        <v>0</v>
      </c>
      <c r="CZ222" s="176">
        <f t="shared" si="281"/>
        <v>0</v>
      </c>
      <c r="DA222" s="176">
        <f t="shared" si="281"/>
        <v>0</v>
      </c>
      <c r="DB222" s="176">
        <f t="shared" si="281"/>
        <v>0</v>
      </c>
      <c r="DC222" s="176">
        <f t="shared" si="281"/>
        <v>0</v>
      </c>
      <c r="DD222" s="176">
        <f t="shared" si="281"/>
        <v>0</v>
      </c>
      <c r="DE222" s="176">
        <f t="shared" si="281"/>
        <v>0</v>
      </c>
      <c r="DF222" s="176">
        <f t="shared" si="281"/>
        <v>0</v>
      </c>
      <c r="DG222" s="176">
        <f t="shared" si="281"/>
        <v>0</v>
      </c>
      <c r="DH222" s="176">
        <f t="shared" si="281"/>
        <v>0</v>
      </c>
      <c r="DI222" s="176">
        <f t="shared" si="281"/>
        <v>0</v>
      </c>
      <c r="DJ222" s="176">
        <f t="shared" si="281"/>
        <v>0</v>
      </c>
      <c r="DK222" s="176">
        <f t="shared" ref="DK222:EP222" si="282">DK55*DK$168</f>
        <v>0</v>
      </c>
      <c r="DL222" s="176">
        <f t="shared" si="282"/>
        <v>0</v>
      </c>
      <c r="DM222" s="176">
        <f t="shared" si="282"/>
        <v>0</v>
      </c>
      <c r="DN222" s="176">
        <f t="shared" si="282"/>
        <v>0</v>
      </c>
      <c r="DO222" s="176">
        <f t="shared" si="282"/>
        <v>0</v>
      </c>
      <c r="DP222" s="176">
        <f t="shared" si="282"/>
        <v>0</v>
      </c>
      <c r="DQ222" s="176">
        <f t="shared" si="282"/>
        <v>0</v>
      </c>
      <c r="DR222" s="176">
        <f t="shared" si="282"/>
        <v>0</v>
      </c>
      <c r="DS222" s="176">
        <f t="shared" si="282"/>
        <v>0</v>
      </c>
      <c r="DT222" s="176">
        <f t="shared" si="282"/>
        <v>0</v>
      </c>
      <c r="DU222" s="176">
        <f t="shared" si="282"/>
        <v>0</v>
      </c>
      <c r="DV222" s="176">
        <f t="shared" si="282"/>
        <v>0</v>
      </c>
      <c r="DW222" s="176">
        <f t="shared" si="282"/>
        <v>0</v>
      </c>
      <c r="DX222" s="176">
        <f t="shared" si="282"/>
        <v>0</v>
      </c>
      <c r="DY222" s="176">
        <f t="shared" si="282"/>
        <v>0</v>
      </c>
      <c r="DZ222" s="176">
        <f t="shared" si="282"/>
        <v>0</v>
      </c>
      <c r="EA222" s="176">
        <f t="shared" si="282"/>
        <v>0</v>
      </c>
      <c r="EB222" s="176">
        <f t="shared" si="282"/>
        <v>0</v>
      </c>
      <c r="EC222" s="176">
        <f t="shared" si="282"/>
        <v>0</v>
      </c>
      <c r="ED222" s="176">
        <f t="shared" si="282"/>
        <v>0</v>
      </c>
      <c r="EE222" s="176">
        <f t="shared" si="282"/>
        <v>0</v>
      </c>
      <c r="EF222" s="182">
        <f t="shared" si="282"/>
        <v>0</v>
      </c>
      <c r="EG222" s="182">
        <f t="shared" si="282"/>
        <v>0</v>
      </c>
      <c r="EH222" s="182">
        <f t="shared" si="282"/>
        <v>0</v>
      </c>
      <c r="EI222" s="182">
        <f t="shared" si="282"/>
        <v>0</v>
      </c>
      <c r="EJ222" s="182">
        <f t="shared" si="282"/>
        <v>0</v>
      </c>
      <c r="EK222" s="182">
        <f t="shared" si="282"/>
        <v>0</v>
      </c>
      <c r="EL222" s="182">
        <f t="shared" si="282"/>
        <v>0</v>
      </c>
      <c r="EM222" s="182">
        <f t="shared" si="282"/>
        <v>0</v>
      </c>
      <c r="EN222" s="182">
        <f t="shared" si="282"/>
        <v>0</v>
      </c>
      <c r="EO222" s="182">
        <f t="shared" si="282"/>
        <v>0</v>
      </c>
      <c r="EP222" s="182">
        <f t="shared" si="282"/>
        <v>0</v>
      </c>
      <c r="EQ222" s="182">
        <f t="shared" ref="EQ222:FB222" si="283">EQ55*EQ$168</f>
        <v>0</v>
      </c>
      <c r="ER222" s="182">
        <f t="shared" si="283"/>
        <v>0</v>
      </c>
      <c r="ES222" s="182">
        <f t="shared" si="283"/>
        <v>0</v>
      </c>
      <c r="ET222" s="182">
        <f t="shared" si="283"/>
        <v>0</v>
      </c>
      <c r="EU222" s="182">
        <f t="shared" si="283"/>
        <v>0</v>
      </c>
      <c r="EV222" s="182">
        <f t="shared" si="283"/>
        <v>0</v>
      </c>
      <c r="EW222" s="182">
        <f t="shared" si="283"/>
        <v>0</v>
      </c>
      <c r="EX222" s="182">
        <f t="shared" si="283"/>
        <v>0</v>
      </c>
      <c r="EY222" s="182">
        <f t="shared" si="283"/>
        <v>0</v>
      </c>
      <c r="EZ222" s="182">
        <f t="shared" si="283"/>
        <v>0</v>
      </c>
      <c r="FA222" s="182">
        <f t="shared" si="283"/>
        <v>0</v>
      </c>
      <c r="FB222" s="183">
        <f t="shared" si="283"/>
        <v>0</v>
      </c>
    </row>
    <row r="223" spans="2:158" ht="12.75" customHeight="1" x14ac:dyDescent="0.3">
      <c r="B223" s="199" t="s">
        <v>3866</v>
      </c>
      <c r="C223" s="193">
        <v>0</v>
      </c>
      <c r="D223" s="182">
        <f t="shared" si="200"/>
        <v>0</v>
      </c>
      <c r="E223" s="182">
        <f t="shared" si="206"/>
        <v>0</v>
      </c>
      <c r="F223" s="182">
        <f t="shared" si="212"/>
        <v>0</v>
      </c>
      <c r="G223" s="182">
        <f t="shared" si="218"/>
        <v>0</v>
      </c>
      <c r="H223" s="182">
        <f t="shared" si="224"/>
        <v>0</v>
      </c>
      <c r="I223" s="176">
        <f t="shared" si="230"/>
        <v>0</v>
      </c>
      <c r="J223" s="182">
        <f t="shared" si="236"/>
        <v>0</v>
      </c>
      <c r="K223" s="182">
        <f t="shared" si="242"/>
        <v>0</v>
      </c>
      <c r="L223" s="182">
        <f t="shared" si="248"/>
        <v>0</v>
      </c>
      <c r="M223" s="182">
        <f t="shared" si="254"/>
        <v>0</v>
      </c>
      <c r="N223" s="182">
        <f t="shared" si="260"/>
        <v>0</v>
      </c>
      <c r="O223" s="182">
        <f t="shared" si="266"/>
        <v>0</v>
      </c>
      <c r="P223" s="182">
        <f t="shared" si="272"/>
        <v>0</v>
      </c>
      <c r="Q223" s="182">
        <f t="shared" si="278"/>
        <v>0</v>
      </c>
      <c r="R223" s="182">
        <f t="shared" ref="R223:R254" si="284">R56*R$168</f>
        <v>0</v>
      </c>
      <c r="S223" s="182">
        <f t="shared" si="110"/>
        <v>0</v>
      </c>
      <c r="T223" s="182">
        <f t="shared" si="116"/>
        <v>0</v>
      </c>
      <c r="U223" s="182">
        <f t="shared" si="122"/>
        <v>0</v>
      </c>
      <c r="V223" s="182">
        <f t="shared" si="128"/>
        <v>0</v>
      </c>
      <c r="W223" s="182">
        <f t="shared" si="134"/>
        <v>0</v>
      </c>
      <c r="X223" s="182">
        <f t="shared" si="140"/>
        <v>0</v>
      </c>
      <c r="Y223" s="182">
        <f t="shared" si="145"/>
        <v>0</v>
      </c>
      <c r="Z223" s="182">
        <f t="shared" si="150"/>
        <v>0</v>
      </c>
      <c r="AA223" s="182">
        <f t="shared" si="155"/>
        <v>0</v>
      </c>
      <c r="AB223" s="182">
        <f t="shared" si="160"/>
        <v>0</v>
      </c>
      <c r="AC223" s="182">
        <f t="shared" si="165"/>
        <v>0</v>
      </c>
      <c r="AD223" s="182">
        <f t="shared" si="170"/>
        <v>0</v>
      </c>
      <c r="AE223" s="182">
        <f t="shared" si="175"/>
        <v>0</v>
      </c>
      <c r="AF223" s="182">
        <f t="shared" si="180"/>
        <v>0</v>
      </c>
      <c r="AG223" s="182">
        <f t="shared" si="185"/>
        <v>0</v>
      </c>
      <c r="AH223" s="182">
        <f t="shared" si="190"/>
        <v>0</v>
      </c>
      <c r="AI223" s="182">
        <f t="shared" si="195"/>
        <v>0</v>
      </c>
      <c r="AJ223" s="182">
        <f t="shared" si="201"/>
        <v>0</v>
      </c>
      <c r="AK223" s="182">
        <f t="shared" si="207"/>
        <v>0</v>
      </c>
      <c r="AL223" s="182">
        <f t="shared" si="213"/>
        <v>0</v>
      </c>
      <c r="AM223" s="182">
        <f t="shared" si="219"/>
        <v>0</v>
      </c>
      <c r="AN223" s="182">
        <f t="shared" si="225"/>
        <v>0</v>
      </c>
      <c r="AO223" s="182">
        <f t="shared" si="231"/>
        <v>0</v>
      </c>
      <c r="AP223" s="182">
        <f t="shared" si="237"/>
        <v>0</v>
      </c>
      <c r="AQ223" s="182">
        <f t="shared" si="243"/>
        <v>0</v>
      </c>
      <c r="AR223" s="182">
        <f t="shared" si="249"/>
        <v>0</v>
      </c>
      <c r="AS223" s="182">
        <f t="shared" si="255"/>
        <v>0</v>
      </c>
      <c r="AT223" s="182">
        <f t="shared" si="261"/>
        <v>0</v>
      </c>
      <c r="AU223" s="182">
        <f t="shared" si="267"/>
        <v>0</v>
      </c>
      <c r="AV223" s="182">
        <f t="shared" si="273"/>
        <v>1.0672458820864348E-2</v>
      </c>
      <c r="AW223" s="182">
        <f t="shared" si="279"/>
        <v>0</v>
      </c>
      <c r="AX223" s="182">
        <f t="shared" ref="AX223:AX254" si="285">AX56*AX$168</f>
        <v>0</v>
      </c>
      <c r="AY223" s="181">
        <f>$C223+SUM($D223:AX223,AZ223:$FB223)-SUM(AY$176:AY222,AY224:AY$330)-AY$331</f>
        <v>0</v>
      </c>
      <c r="AZ223" s="176">
        <f t="shared" ref="AZ223:CE223" si="286">AZ56*AZ$168</f>
        <v>0</v>
      </c>
      <c r="BA223" s="176">
        <f t="shared" si="286"/>
        <v>0</v>
      </c>
      <c r="BB223" s="176">
        <f t="shared" si="286"/>
        <v>0</v>
      </c>
      <c r="BC223" s="176">
        <f t="shared" si="286"/>
        <v>0</v>
      </c>
      <c r="BD223" s="176">
        <f t="shared" si="286"/>
        <v>0</v>
      </c>
      <c r="BE223" s="176">
        <f t="shared" si="286"/>
        <v>0</v>
      </c>
      <c r="BF223" s="176">
        <f t="shared" si="286"/>
        <v>0</v>
      </c>
      <c r="BG223" s="176">
        <f t="shared" si="286"/>
        <v>0</v>
      </c>
      <c r="BH223" s="176">
        <f t="shared" si="286"/>
        <v>0</v>
      </c>
      <c r="BI223" s="176">
        <f t="shared" si="286"/>
        <v>0</v>
      </c>
      <c r="BJ223" s="176">
        <f t="shared" si="286"/>
        <v>0</v>
      </c>
      <c r="BK223" s="176">
        <f t="shared" si="286"/>
        <v>0</v>
      </c>
      <c r="BL223" s="176">
        <f t="shared" si="286"/>
        <v>0</v>
      </c>
      <c r="BM223" s="176">
        <f t="shared" si="286"/>
        <v>0</v>
      </c>
      <c r="BN223" s="176">
        <f t="shared" si="286"/>
        <v>0</v>
      </c>
      <c r="BO223" s="176">
        <f t="shared" si="286"/>
        <v>0</v>
      </c>
      <c r="BP223" s="176">
        <f t="shared" si="286"/>
        <v>0</v>
      </c>
      <c r="BQ223" s="176">
        <f t="shared" si="286"/>
        <v>0</v>
      </c>
      <c r="BR223" s="176">
        <f t="shared" si="286"/>
        <v>0</v>
      </c>
      <c r="BS223" s="176">
        <f t="shared" si="286"/>
        <v>0</v>
      </c>
      <c r="BT223" s="176">
        <f t="shared" si="286"/>
        <v>0</v>
      </c>
      <c r="BU223" s="176">
        <f t="shared" si="286"/>
        <v>0</v>
      </c>
      <c r="BV223" s="176">
        <f t="shared" si="286"/>
        <v>0</v>
      </c>
      <c r="BW223" s="176">
        <f t="shared" si="286"/>
        <v>0</v>
      </c>
      <c r="BX223" s="176">
        <f t="shared" si="286"/>
        <v>0</v>
      </c>
      <c r="BY223" s="176">
        <f t="shared" si="286"/>
        <v>0</v>
      </c>
      <c r="BZ223" s="176">
        <f t="shared" si="286"/>
        <v>0</v>
      </c>
      <c r="CA223" s="176">
        <f t="shared" si="286"/>
        <v>0</v>
      </c>
      <c r="CB223" s="176">
        <f t="shared" si="286"/>
        <v>0</v>
      </c>
      <c r="CC223" s="176">
        <f t="shared" si="286"/>
        <v>0</v>
      </c>
      <c r="CD223" s="176">
        <f t="shared" si="286"/>
        <v>0</v>
      </c>
      <c r="CE223" s="176">
        <f t="shared" si="286"/>
        <v>0</v>
      </c>
      <c r="CF223" s="176">
        <f t="shared" ref="CF223:DK223" si="287">CF56*CF$168</f>
        <v>0</v>
      </c>
      <c r="CG223" s="176">
        <f t="shared" si="287"/>
        <v>0</v>
      </c>
      <c r="CH223" s="176">
        <f t="shared" si="287"/>
        <v>0</v>
      </c>
      <c r="CI223" s="176">
        <f t="shared" si="287"/>
        <v>0</v>
      </c>
      <c r="CJ223" s="176">
        <f t="shared" si="287"/>
        <v>0</v>
      </c>
      <c r="CK223" s="176">
        <f t="shared" si="287"/>
        <v>0</v>
      </c>
      <c r="CL223" s="176">
        <f t="shared" si="287"/>
        <v>0</v>
      </c>
      <c r="CM223" s="176">
        <f t="shared" si="287"/>
        <v>0</v>
      </c>
      <c r="CN223" s="176">
        <f t="shared" si="287"/>
        <v>0</v>
      </c>
      <c r="CO223" s="176">
        <f t="shared" si="287"/>
        <v>0</v>
      </c>
      <c r="CP223" s="176">
        <f t="shared" si="287"/>
        <v>0</v>
      </c>
      <c r="CQ223" s="176">
        <f t="shared" si="287"/>
        <v>0</v>
      </c>
      <c r="CR223" s="176">
        <f t="shared" si="287"/>
        <v>0</v>
      </c>
      <c r="CS223" s="176">
        <f t="shared" si="287"/>
        <v>0</v>
      </c>
      <c r="CT223" s="176">
        <f t="shared" si="287"/>
        <v>0</v>
      </c>
      <c r="CU223" s="176">
        <f t="shared" si="287"/>
        <v>0</v>
      </c>
      <c r="CV223" s="176">
        <f t="shared" si="287"/>
        <v>0</v>
      </c>
      <c r="CW223" s="176">
        <f t="shared" si="287"/>
        <v>0</v>
      </c>
      <c r="CX223" s="176">
        <f t="shared" si="287"/>
        <v>0</v>
      </c>
      <c r="CY223" s="176">
        <f t="shared" si="287"/>
        <v>0</v>
      </c>
      <c r="CZ223" s="176">
        <f t="shared" si="287"/>
        <v>0</v>
      </c>
      <c r="DA223" s="176">
        <f t="shared" si="287"/>
        <v>0</v>
      </c>
      <c r="DB223" s="176">
        <f t="shared" si="287"/>
        <v>0</v>
      </c>
      <c r="DC223" s="176">
        <f t="shared" si="287"/>
        <v>0</v>
      </c>
      <c r="DD223" s="176">
        <f t="shared" si="287"/>
        <v>0</v>
      </c>
      <c r="DE223" s="176">
        <f t="shared" si="287"/>
        <v>0</v>
      </c>
      <c r="DF223" s="176">
        <f t="shared" si="287"/>
        <v>0</v>
      </c>
      <c r="DG223" s="176">
        <f t="shared" si="287"/>
        <v>0</v>
      </c>
      <c r="DH223" s="176">
        <f t="shared" si="287"/>
        <v>0</v>
      </c>
      <c r="DI223" s="176">
        <f t="shared" si="287"/>
        <v>0</v>
      </c>
      <c r="DJ223" s="176">
        <f t="shared" si="287"/>
        <v>0</v>
      </c>
      <c r="DK223" s="176">
        <f t="shared" si="287"/>
        <v>0</v>
      </c>
      <c r="DL223" s="176">
        <f t="shared" ref="DL223:EQ223" si="288">DL56*DL$168</f>
        <v>0</v>
      </c>
      <c r="DM223" s="176">
        <f t="shared" si="288"/>
        <v>0</v>
      </c>
      <c r="DN223" s="176">
        <f t="shared" si="288"/>
        <v>0</v>
      </c>
      <c r="DO223" s="176">
        <f t="shared" si="288"/>
        <v>0</v>
      </c>
      <c r="DP223" s="176">
        <f t="shared" si="288"/>
        <v>0</v>
      </c>
      <c r="DQ223" s="176">
        <f t="shared" si="288"/>
        <v>0</v>
      </c>
      <c r="DR223" s="176">
        <f t="shared" si="288"/>
        <v>0</v>
      </c>
      <c r="DS223" s="176">
        <f t="shared" si="288"/>
        <v>0</v>
      </c>
      <c r="DT223" s="176">
        <f t="shared" si="288"/>
        <v>0</v>
      </c>
      <c r="DU223" s="176">
        <f t="shared" si="288"/>
        <v>0</v>
      </c>
      <c r="DV223" s="176">
        <f t="shared" si="288"/>
        <v>0</v>
      </c>
      <c r="DW223" s="176">
        <f t="shared" si="288"/>
        <v>0</v>
      </c>
      <c r="DX223" s="176">
        <f t="shared" si="288"/>
        <v>0</v>
      </c>
      <c r="DY223" s="176">
        <f t="shared" si="288"/>
        <v>0</v>
      </c>
      <c r="DZ223" s="176">
        <f t="shared" si="288"/>
        <v>0</v>
      </c>
      <c r="EA223" s="176">
        <f t="shared" si="288"/>
        <v>0</v>
      </c>
      <c r="EB223" s="176">
        <f t="shared" si="288"/>
        <v>0</v>
      </c>
      <c r="EC223" s="176">
        <f t="shared" si="288"/>
        <v>0</v>
      </c>
      <c r="ED223" s="176">
        <f t="shared" si="288"/>
        <v>0</v>
      </c>
      <c r="EE223" s="176">
        <f t="shared" si="288"/>
        <v>0</v>
      </c>
      <c r="EF223" s="182">
        <f t="shared" si="288"/>
        <v>0</v>
      </c>
      <c r="EG223" s="182">
        <f t="shared" si="288"/>
        <v>0</v>
      </c>
      <c r="EH223" s="182">
        <f t="shared" si="288"/>
        <v>0</v>
      </c>
      <c r="EI223" s="182">
        <f t="shared" si="288"/>
        <v>0</v>
      </c>
      <c r="EJ223" s="182">
        <f t="shared" si="288"/>
        <v>0</v>
      </c>
      <c r="EK223" s="182">
        <f t="shared" si="288"/>
        <v>0</v>
      </c>
      <c r="EL223" s="182">
        <f t="shared" si="288"/>
        <v>0</v>
      </c>
      <c r="EM223" s="182">
        <f t="shared" si="288"/>
        <v>0</v>
      </c>
      <c r="EN223" s="182">
        <f t="shared" si="288"/>
        <v>0</v>
      </c>
      <c r="EO223" s="182">
        <f t="shared" si="288"/>
        <v>0</v>
      </c>
      <c r="EP223" s="182">
        <f t="shared" si="288"/>
        <v>0</v>
      </c>
      <c r="EQ223" s="182">
        <f t="shared" si="288"/>
        <v>0</v>
      </c>
      <c r="ER223" s="182">
        <f t="shared" ref="ER223:FB223" si="289">ER56*ER$168</f>
        <v>0</v>
      </c>
      <c r="ES223" s="182">
        <f t="shared" si="289"/>
        <v>0</v>
      </c>
      <c r="ET223" s="182">
        <f t="shared" si="289"/>
        <v>0</v>
      </c>
      <c r="EU223" s="182">
        <f t="shared" si="289"/>
        <v>0</v>
      </c>
      <c r="EV223" s="182">
        <f t="shared" si="289"/>
        <v>0</v>
      </c>
      <c r="EW223" s="182">
        <f t="shared" si="289"/>
        <v>0</v>
      </c>
      <c r="EX223" s="182">
        <f t="shared" si="289"/>
        <v>0</v>
      </c>
      <c r="EY223" s="182">
        <f t="shared" si="289"/>
        <v>0</v>
      </c>
      <c r="EZ223" s="182">
        <f t="shared" si="289"/>
        <v>0</v>
      </c>
      <c r="FA223" s="182">
        <f t="shared" si="289"/>
        <v>0</v>
      </c>
      <c r="FB223" s="183">
        <f t="shared" si="289"/>
        <v>0</v>
      </c>
    </row>
    <row r="224" spans="2:158" ht="12.75" customHeight="1" x14ac:dyDescent="0.3">
      <c r="B224" s="199" t="s">
        <v>3867</v>
      </c>
      <c r="C224" s="193">
        <v>0</v>
      </c>
      <c r="D224" s="182">
        <f t="shared" si="200"/>
        <v>0</v>
      </c>
      <c r="E224" s="182">
        <f t="shared" si="206"/>
        <v>0</v>
      </c>
      <c r="F224" s="182">
        <f t="shared" si="212"/>
        <v>0</v>
      </c>
      <c r="G224" s="182">
        <f t="shared" si="218"/>
        <v>0</v>
      </c>
      <c r="H224" s="182">
        <f t="shared" si="224"/>
        <v>0</v>
      </c>
      <c r="I224" s="176">
        <f t="shared" si="230"/>
        <v>0</v>
      </c>
      <c r="J224" s="182">
        <f t="shared" si="236"/>
        <v>0</v>
      </c>
      <c r="K224" s="182">
        <f t="shared" si="242"/>
        <v>0</v>
      </c>
      <c r="L224" s="182">
        <f t="shared" si="248"/>
        <v>0</v>
      </c>
      <c r="M224" s="182">
        <f t="shared" si="254"/>
        <v>0</v>
      </c>
      <c r="N224" s="182">
        <f t="shared" si="260"/>
        <v>0</v>
      </c>
      <c r="O224" s="182">
        <f t="shared" si="266"/>
        <v>0</v>
      </c>
      <c r="P224" s="182">
        <f t="shared" si="272"/>
        <v>0</v>
      </c>
      <c r="Q224" s="182">
        <f t="shared" si="278"/>
        <v>0</v>
      </c>
      <c r="R224" s="182">
        <f t="shared" si="284"/>
        <v>0</v>
      </c>
      <c r="S224" s="182">
        <f t="shared" ref="S224:S255" si="290">S57*S$168</f>
        <v>0</v>
      </c>
      <c r="T224" s="182">
        <f t="shared" si="116"/>
        <v>0</v>
      </c>
      <c r="U224" s="182">
        <f t="shared" si="122"/>
        <v>0</v>
      </c>
      <c r="V224" s="182">
        <f t="shared" si="128"/>
        <v>0</v>
      </c>
      <c r="W224" s="182">
        <f t="shared" si="134"/>
        <v>0</v>
      </c>
      <c r="X224" s="182">
        <f t="shared" si="140"/>
        <v>0</v>
      </c>
      <c r="Y224" s="182">
        <f t="shared" si="145"/>
        <v>0</v>
      </c>
      <c r="Z224" s="182">
        <f t="shared" si="150"/>
        <v>0</v>
      </c>
      <c r="AA224" s="182">
        <f t="shared" si="155"/>
        <v>0</v>
      </c>
      <c r="AB224" s="182">
        <f t="shared" si="160"/>
        <v>0</v>
      </c>
      <c r="AC224" s="182">
        <f t="shared" si="165"/>
        <v>0</v>
      </c>
      <c r="AD224" s="182">
        <f t="shared" si="170"/>
        <v>0</v>
      </c>
      <c r="AE224" s="182">
        <f t="shared" si="175"/>
        <v>0</v>
      </c>
      <c r="AF224" s="182">
        <f t="shared" si="180"/>
        <v>0</v>
      </c>
      <c r="AG224" s="182">
        <f t="shared" si="185"/>
        <v>0</v>
      </c>
      <c r="AH224" s="182">
        <f t="shared" si="190"/>
        <v>0</v>
      </c>
      <c r="AI224" s="182">
        <f t="shared" si="195"/>
        <v>0</v>
      </c>
      <c r="AJ224" s="182">
        <f t="shared" si="201"/>
        <v>0</v>
      </c>
      <c r="AK224" s="182">
        <f t="shared" si="207"/>
        <v>0</v>
      </c>
      <c r="AL224" s="182">
        <f t="shared" si="213"/>
        <v>0</v>
      </c>
      <c r="AM224" s="182">
        <f t="shared" si="219"/>
        <v>0</v>
      </c>
      <c r="AN224" s="182">
        <f t="shared" si="225"/>
        <v>0</v>
      </c>
      <c r="AO224" s="182">
        <f t="shared" si="231"/>
        <v>0</v>
      </c>
      <c r="AP224" s="182">
        <f t="shared" si="237"/>
        <v>0</v>
      </c>
      <c r="AQ224" s="182">
        <f t="shared" si="243"/>
        <v>0</v>
      </c>
      <c r="AR224" s="182">
        <f t="shared" si="249"/>
        <v>0</v>
      </c>
      <c r="AS224" s="182">
        <f t="shared" si="255"/>
        <v>0</v>
      </c>
      <c r="AT224" s="182">
        <f t="shared" si="261"/>
        <v>0</v>
      </c>
      <c r="AU224" s="182">
        <f t="shared" si="267"/>
        <v>0</v>
      </c>
      <c r="AV224" s="182">
        <f t="shared" si="273"/>
        <v>0</v>
      </c>
      <c r="AW224" s="182">
        <f t="shared" si="279"/>
        <v>0.144218317028876</v>
      </c>
      <c r="AX224" s="182">
        <f t="shared" si="285"/>
        <v>0</v>
      </c>
      <c r="AY224" s="182">
        <f t="shared" ref="AY224:AY255" si="291">AY57*AY$168</f>
        <v>0</v>
      </c>
      <c r="AZ224" s="181">
        <f>$C224+SUM($D224:AY224,BA224:$FB224)-SUM(AZ$176:AZ223,AZ225:AZ$330)-AZ$331</f>
        <v>0</v>
      </c>
      <c r="BA224" s="176">
        <f t="shared" ref="BA224:CF224" si="292">BA57*BA$168</f>
        <v>0</v>
      </c>
      <c r="BB224" s="176">
        <f t="shared" si="292"/>
        <v>0</v>
      </c>
      <c r="BC224" s="176">
        <f t="shared" si="292"/>
        <v>0</v>
      </c>
      <c r="BD224" s="176">
        <f t="shared" si="292"/>
        <v>0</v>
      </c>
      <c r="BE224" s="176">
        <f t="shared" si="292"/>
        <v>0</v>
      </c>
      <c r="BF224" s="176">
        <f t="shared" si="292"/>
        <v>0</v>
      </c>
      <c r="BG224" s="176">
        <f t="shared" si="292"/>
        <v>0</v>
      </c>
      <c r="BH224" s="176">
        <f t="shared" si="292"/>
        <v>0</v>
      </c>
      <c r="BI224" s="176">
        <f t="shared" si="292"/>
        <v>0</v>
      </c>
      <c r="BJ224" s="176">
        <f t="shared" si="292"/>
        <v>0</v>
      </c>
      <c r="BK224" s="176">
        <f t="shared" si="292"/>
        <v>0</v>
      </c>
      <c r="BL224" s="176">
        <f t="shared" si="292"/>
        <v>0</v>
      </c>
      <c r="BM224" s="176">
        <f t="shared" si="292"/>
        <v>0</v>
      </c>
      <c r="BN224" s="176">
        <f t="shared" si="292"/>
        <v>0</v>
      </c>
      <c r="BO224" s="176">
        <f t="shared" si="292"/>
        <v>0</v>
      </c>
      <c r="BP224" s="176">
        <f t="shared" si="292"/>
        <v>0</v>
      </c>
      <c r="BQ224" s="176">
        <f t="shared" si="292"/>
        <v>0</v>
      </c>
      <c r="BR224" s="176">
        <f t="shared" si="292"/>
        <v>0</v>
      </c>
      <c r="BS224" s="176">
        <f t="shared" si="292"/>
        <v>0</v>
      </c>
      <c r="BT224" s="176">
        <f t="shared" si="292"/>
        <v>0</v>
      </c>
      <c r="BU224" s="176">
        <f t="shared" si="292"/>
        <v>0</v>
      </c>
      <c r="BV224" s="176">
        <f t="shared" si="292"/>
        <v>0</v>
      </c>
      <c r="BW224" s="176">
        <f t="shared" si="292"/>
        <v>0</v>
      </c>
      <c r="BX224" s="176">
        <f t="shared" si="292"/>
        <v>0</v>
      </c>
      <c r="BY224" s="176">
        <f t="shared" si="292"/>
        <v>0</v>
      </c>
      <c r="BZ224" s="176">
        <f t="shared" si="292"/>
        <v>0</v>
      </c>
      <c r="CA224" s="176">
        <f t="shared" si="292"/>
        <v>0</v>
      </c>
      <c r="CB224" s="176">
        <f t="shared" si="292"/>
        <v>0</v>
      </c>
      <c r="CC224" s="176">
        <f t="shared" si="292"/>
        <v>0</v>
      </c>
      <c r="CD224" s="176">
        <f t="shared" si="292"/>
        <v>0</v>
      </c>
      <c r="CE224" s="176">
        <f t="shared" si="292"/>
        <v>0</v>
      </c>
      <c r="CF224" s="176">
        <f t="shared" si="292"/>
        <v>0</v>
      </c>
      <c r="CG224" s="176">
        <f t="shared" ref="CG224:DL224" si="293">CG57*CG$168</f>
        <v>0</v>
      </c>
      <c r="CH224" s="176">
        <f t="shared" si="293"/>
        <v>0</v>
      </c>
      <c r="CI224" s="176">
        <f t="shared" si="293"/>
        <v>0</v>
      </c>
      <c r="CJ224" s="176">
        <f t="shared" si="293"/>
        <v>0</v>
      </c>
      <c r="CK224" s="176">
        <f t="shared" si="293"/>
        <v>0</v>
      </c>
      <c r="CL224" s="176">
        <f t="shared" si="293"/>
        <v>0</v>
      </c>
      <c r="CM224" s="176">
        <f t="shared" si="293"/>
        <v>0</v>
      </c>
      <c r="CN224" s="176">
        <f t="shared" si="293"/>
        <v>0</v>
      </c>
      <c r="CO224" s="176">
        <f t="shared" si="293"/>
        <v>0</v>
      </c>
      <c r="CP224" s="176">
        <f t="shared" si="293"/>
        <v>0</v>
      </c>
      <c r="CQ224" s="176">
        <f t="shared" si="293"/>
        <v>0</v>
      </c>
      <c r="CR224" s="176">
        <f t="shared" si="293"/>
        <v>0</v>
      </c>
      <c r="CS224" s="176">
        <f t="shared" si="293"/>
        <v>0</v>
      </c>
      <c r="CT224" s="176">
        <f t="shared" si="293"/>
        <v>0</v>
      </c>
      <c r="CU224" s="176">
        <f t="shared" si="293"/>
        <v>0</v>
      </c>
      <c r="CV224" s="176">
        <f t="shared" si="293"/>
        <v>0</v>
      </c>
      <c r="CW224" s="176">
        <f t="shared" si="293"/>
        <v>0</v>
      </c>
      <c r="CX224" s="176">
        <f t="shared" si="293"/>
        <v>0</v>
      </c>
      <c r="CY224" s="176">
        <f t="shared" si="293"/>
        <v>0</v>
      </c>
      <c r="CZ224" s="176">
        <f t="shared" si="293"/>
        <v>0</v>
      </c>
      <c r="DA224" s="176">
        <f t="shared" si="293"/>
        <v>0</v>
      </c>
      <c r="DB224" s="176">
        <f t="shared" si="293"/>
        <v>0</v>
      </c>
      <c r="DC224" s="176">
        <f t="shared" si="293"/>
        <v>0</v>
      </c>
      <c r="DD224" s="176">
        <f t="shared" si="293"/>
        <v>0</v>
      </c>
      <c r="DE224" s="176">
        <f t="shared" si="293"/>
        <v>0</v>
      </c>
      <c r="DF224" s="176">
        <f t="shared" si="293"/>
        <v>0</v>
      </c>
      <c r="DG224" s="176">
        <f t="shared" si="293"/>
        <v>0</v>
      </c>
      <c r="DH224" s="176">
        <f t="shared" si="293"/>
        <v>0</v>
      </c>
      <c r="DI224" s="176">
        <f t="shared" si="293"/>
        <v>0</v>
      </c>
      <c r="DJ224" s="176">
        <f t="shared" si="293"/>
        <v>0</v>
      </c>
      <c r="DK224" s="176">
        <f t="shared" si="293"/>
        <v>0</v>
      </c>
      <c r="DL224" s="176">
        <f t="shared" si="293"/>
        <v>0</v>
      </c>
      <c r="DM224" s="176">
        <f t="shared" ref="DM224:ER224" si="294">DM57*DM$168</f>
        <v>0</v>
      </c>
      <c r="DN224" s="176">
        <f t="shared" si="294"/>
        <v>0</v>
      </c>
      <c r="DO224" s="176">
        <f t="shared" si="294"/>
        <v>0</v>
      </c>
      <c r="DP224" s="176">
        <f t="shared" si="294"/>
        <v>0</v>
      </c>
      <c r="DQ224" s="176">
        <f t="shared" si="294"/>
        <v>0</v>
      </c>
      <c r="DR224" s="176">
        <f t="shared" si="294"/>
        <v>0</v>
      </c>
      <c r="DS224" s="176">
        <f t="shared" si="294"/>
        <v>0</v>
      </c>
      <c r="DT224" s="176">
        <f t="shared" si="294"/>
        <v>0</v>
      </c>
      <c r="DU224" s="176">
        <f t="shared" si="294"/>
        <v>0</v>
      </c>
      <c r="DV224" s="176">
        <f t="shared" si="294"/>
        <v>0</v>
      </c>
      <c r="DW224" s="176">
        <f t="shared" si="294"/>
        <v>0</v>
      </c>
      <c r="DX224" s="176">
        <f t="shared" si="294"/>
        <v>0</v>
      </c>
      <c r="DY224" s="176">
        <f t="shared" si="294"/>
        <v>0</v>
      </c>
      <c r="DZ224" s="176">
        <f t="shared" si="294"/>
        <v>0</v>
      </c>
      <c r="EA224" s="176">
        <f t="shared" si="294"/>
        <v>0</v>
      </c>
      <c r="EB224" s="176">
        <f t="shared" si="294"/>
        <v>0</v>
      </c>
      <c r="EC224" s="176">
        <f t="shared" si="294"/>
        <v>0</v>
      </c>
      <c r="ED224" s="176">
        <f t="shared" si="294"/>
        <v>0</v>
      </c>
      <c r="EE224" s="176">
        <f t="shared" si="294"/>
        <v>0</v>
      </c>
      <c r="EF224" s="182">
        <f t="shared" si="294"/>
        <v>0</v>
      </c>
      <c r="EG224" s="182">
        <f t="shared" si="294"/>
        <v>0</v>
      </c>
      <c r="EH224" s="182">
        <f t="shared" si="294"/>
        <v>0</v>
      </c>
      <c r="EI224" s="182">
        <f t="shared" si="294"/>
        <v>0</v>
      </c>
      <c r="EJ224" s="182">
        <f t="shared" si="294"/>
        <v>0</v>
      </c>
      <c r="EK224" s="182">
        <f t="shared" si="294"/>
        <v>0</v>
      </c>
      <c r="EL224" s="182">
        <f t="shared" si="294"/>
        <v>0</v>
      </c>
      <c r="EM224" s="182">
        <f t="shared" si="294"/>
        <v>0</v>
      </c>
      <c r="EN224" s="182">
        <f t="shared" si="294"/>
        <v>0</v>
      </c>
      <c r="EO224" s="182">
        <f t="shared" si="294"/>
        <v>0</v>
      </c>
      <c r="EP224" s="182">
        <f t="shared" si="294"/>
        <v>0</v>
      </c>
      <c r="EQ224" s="182">
        <f t="shared" si="294"/>
        <v>0</v>
      </c>
      <c r="ER224" s="182">
        <f t="shared" si="294"/>
        <v>0</v>
      </c>
      <c r="ES224" s="182">
        <f t="shared" ref="ES224:FB224" si="295">ES57*ES$168</f>
        <v>0</v>
      </c>
      <c r="ET224" s="182">
        <f t="shared" si="295"/>
        <v>0</v>
      </c>
      <c r="EU224" s="182">
        <f t="shared" si="295"/>
        <v>0</v>
      </c>
      <c r="EV224" s="182">
        <f t="shared" si="295"/>
        <v>0</v>
      </c>
      <c r="EW224" s="182">
        <f t="shared" si="295"/>
        <v>0</v>
      </c>
      <c r="EX224" s="182">
        <f t="shared" si="295"/>
        <v>0</v>
      </c>
      <c r="EY224" s="182">
        <f t="shared" si="295"/>
        <v>0</v>
      </c>
      <c r="EZ224" s="182">
        <f t="shared" si="295"/>
        <v>0</v>
      </c>
      <c r="FA224" s="182">
        <f t="shared" si="295"/>
        <v>0</v>
      </c>
      <c r="FB224" s="183">
        <f t="shared" si="295"/>
        <v>0</v>
      </c>
    </row>
    <row r="225" spans="2:158" ht="12.75" customHeight="1" x14ac:dyDescent="0.3">
      <c r="B225" s="199" t="s">
        <v>3868</v>
      </c>
      <c r="C225" s="193">
        <v>0</v>
      </c>
      <c r="D225" s="182">
        <f t="shared" si="200"/>
        <v>0</v>
      </c>
      <c r="E225" s="182">
        <f t="shared" si="206"/>
        <v>0</v>
      </c>
      <c r="F225" s="182">
        <f t="shared" si="212"/>
        <v>0</v>
      </c>
      <c r="G225" s="182">
        <f t="shared" si="218"/>
        <v>0</v>
      </c>
      <c r="H225" s="182">
        <f t="shared" si="224"/>
        <v>0</v>
      </c>
      <c r="I225" s="176">
        <f t="shared" si="230"/>
        <v>0</v>
      </c>
      <c r="J225" s="182">
        <f t="shared" si="236"/>
        <v>0</v>
      </c>
      <c r="K225" s="182">
        <f t="shared" si="242"/>
        <v>0</v>
      </c>
      <c r="L225" s="182">
        <f t="shared" si="248"/>
        <v>0</v>
      </c>
      <c r="M225" s="182">
        <f t="shared" si="254"/>
        <v>0</v>
      </c>
      <c r="N225" s="182">
        <f t="shared" si="260"/>
        <v>0</v>
      </c>
      <c r="O225" s="182">
        <f t="shared" si="266"/>
        <v>0</v>
      </c>
      <c r="P225" s="182">
        <f t="shared" si="272"/>
        <v>0</v>
      </c>
      <c r="Q225" s="182">
        <f t="shared" si="278"/>
        <v>0</v>
      </c>
      <c r="R225" s="182">
        <f t="shared" si="284"/>
        <v>0</v>
      </c>
      <c r="S225" s="182">
        <f t="shared" si="290"/>
        <v>0</v>
      </c>
      <c r="T225" s="182">
        <f t="shared" ref="T225:T256" si="296">T58*T$168</f>
        <v>0</v>
      </c>
      <c r="U225" s="182">
        <f t="shared" si="122"/>
        <v>0</v>
      </c>
      <c r="V225" s="182">
        <f t="shared" si="128"/>
        <v>0</v>
      </c>
      <c r="W225" s="182">
        <f t="shared" si="134"/>
        <v>0</v>
      </c>
      <c r="X225" s="182">
        <f t="shared" si="140"/>
        <v>0</v>
      </c>
      <c r="Y225" s="182">
        <f t="shared" si="145"/>
        <v>0</v>
      </c>
      <c r="Z225" s="182">
        <f t="shared" si="150"/>
        <v>0</v>
      </c>
      <c r="AA225" s="182">
        <f t="shared" si="155"/>
        <v>0</v>
      </c>
      <c r="AB225" s="182">
        <f t="shared" si="160"/>
        <v>0</v>
      </c>
      <c r="AC225" s="182">
        <f t="shared" si="165"/>
        <v>0</v>
      </c>
      <c r="AD225" s="182">
        <f t="shared" si="170"/>
        <v>0</v>
      </c>
      <c r="AE225" s="182">
        <f t="shared" si="175"/>
        <v>0</v>
      </c>
      <c r="AF225" s="182">
        <f t="shared" si="180"/>
        <v>0</v>
      </c>
      <c r="AG225" s="182">
        <f t="shared" si="185"/>
        <v>0</v>
      </c>
      <c r="AH225" s="182">
        <f t="shared" si="190"/>
        <v>0</v>
      </c>
      <c r="AI225" s="182">
        <f t="shared" si="195"/>
        <v>0</v>
      </c>
      <c r="AJ225" s="182">
        <f t="shared" si="201"/>
        <v>0</v>
      </c>
      <c r="AK225" s="182">
        <f t="shared" si="207"/>
        <v>0</v>
      </c>
      <c r="AL225" s="182">
        <f t="shared" si="213"/>
        <v>0</v>
      </c>
      <c r="AM225" s="182">
        <f t="shared" si="219"/>
        <v>0</v>
      </c>
      <c r="AN225" s="182">
        <f t="shared" si="225"/>
        <v>0</v>
      </c>
      <c r="AO225" s="182">
        <f t="shared" si="231"/>
        <v>0</v>
      </c>
      <c r="AP225" s="182">
        <f t="shared" si="237"/>
        <v>0</v>
      </c>
      <c r="AQ225" s="182">
        <f t="shared" si="243"/>
        <v>0</v>
      </c>
      <c r="AR225" s="182">
        <f t="shared" si="249"/>
        <v>0</v>
      </c>
      <c r="AS225" s="182">
        <f t="shared" si="255"/>
        <v>0</v>
      </c>
      <c r="AT225" s="182">
        <f t="shared" si="261"/>
        <v>0</v>
      </c>
      <c r="AU225" s="182">
        <f t="shared" si="267"/>
        <v>0</v>
      </c>
      <c r="AV225" s="182">
        <f t="shared" si="273"/>
        <v>0</v>
      </c>
      <c r="AW225" s="182">
        <f t="shared" si="279"/>
        <v>0</v>
      </c>
      <c r="AX225" s="182">
        <f t="shared" si="285"/>
        <v>1.2842220359980091E-3</v>
      </c>
      <c r="AY225" s="182">
        <f t="shared" si="291"/>
        <v>0</v>
      </c>
      <c r="AZ225" s="182">
        <f t="shared" ref="AZ225:AZ256" si="297">AZ58*AZ$168</f>
        <v>0</v>
      </c>
      <c r="BA225" s="181">
        <f>$C225+SUM($D225:AZ225,BB225:$FB225)-SUM(BA$176:BA224,BA226:BA$330)-BA$331</f>
        <v>4.3368086899420177E-19</v>
      </c>
      <c r="BB225" s="176">
        <f t="shared" ref="BB225:CG225" si="298">BB58*BB$168</f>
        <v>0</v>
      </c>
      <c r="BC225" s="176">
        <f t="shared" si="298"/>
        <v>0</v>
      </c>
      <c r="BD225" s="176">
        <f t="shared" si="298"/>
        <v>0</v>
      </c>
      <c r="BE225" s="176">
        <f t="shared" si="298"/>
        <v>0</v>
      </c>
      <c r="BF225" s="176">
        <f t="shared" si="298"/>
        <v>0</v>
      </c>
      <c r="BG225" s="176">
        <f t="shared" si="298"/>
        <v>0</v>
      </c>
      <c r="BH225" s="176">
        <f t="shared" si="298"/>
        <v>0</v>
      </c>
      <c r="BI225" s="176">
        <f t="shared" si="298"/>
        <v>0</v>
      </c>
      <c r="BJ225" s="176">
        <f t="shared" si="298"/>
        <v>0</v>
      </c>
      <c r="BK225" s="176">
        <f t="shared" si="298"/>
        <v>0</v>
      </c>
      <c r="BL225" s="176">
        <f t="shared" si="298"/>
        <v>0</v>
      </c>
      <c r="BM225" s="176">
        <f t="shared" si="298"/>
        <v>0</v>
      </c>
      <c r="BN225" s="176">
        <f t="shared" si="298"/>
        <v>0</v>
      </c>
      <c r="BO225" s="176">
        <f t="shared" si="298"/>
        <v>0</v>
      </c>
      <c r="BP225" s="176">
        <f t="shared" si="298"/>
        <v>0</v>
      </c>
      <c r="BQ225" s="176">
        <f t="shared" si="298"/>
        <v>0</v>
      </c>
      <c r="BR225" s="176">
        <f t="shared" si="298"/>
        <v>0</v>
      </c>
      <c r="BS225" s="176">
        <f t="shared" si="298"/>
        <v>0</v>
      </c>
      <c r="BT225" s="176">
        <f t="shared" si="298"/>
        <v>0</v>
      </c>
      <c r="BU225" s="176">
        <f t="shared" si="298"/>
        <v>0</v>
      </c>
      <c r="BV225" s="176">
        <f t="shared" si="298"/>
        <v>0</v>
      </c>
      <c r="BW225" s="176">
        <f t="shared" si="298"/>
        <v>0</v>
      </c>
      <c r="BX225" s="176">
        <f t="shared" si="298"/>
        <v>0</v>
      </c>
      <c r="BY225" s="176">
        <f t="shared" si="298"/>
        <v>0</v>
      </c>
      <c r="BZ225" s="176">
        <f t="shared" si="298"/>
        <v>0</v>
      </c>
      <c r="CA225" s="176">
        <f t="shared" si="298"/>
        <v>0</v>
      </c>
      <c r="CB225" s="176">
        <f t="shared" si="298"/>
        <v>0</v>
      </c>
      <c r="CC225" s="176">
        <f t="shared" si="298"/>
        <v>0</v>
      </c>
      <c r="CD225" s="176">
        <f t="shared" si="298"/>
        <v>0</v>
      </c>
      <c r="CE225" s="176">
        <f t="shared" si="298"/>
        <v>0</v>
      </c>
      <c r="CF225" s="176">
        <f t="shared" si="298"/>
        <v>0</v>
      </c>
      <c r="CG225" s="176">
        <f t="shared" si="298"/>
        <v>0</v>
      </c>
      <c r="CH225" s="176">
        <f t="shared" ref="CH225:DM225" si="299">CH58*CH$168</f>
        <v>0</v>
      </c>
      <c r="CI225" s="176">
        <f t="shared" si="299"/>
        <v>0</v>
      </c>
      <c r="CJ225" s="176">
        <f t="shared" si="299"/>
        <v>0</v>
      </c>
      <c r="CK225" s="176">
        <f t="shared" si="299"/>
        <v>0</v>
      </c>
      <c r="CL225" s="176">
        <f t="shared" si="299"/>
        <v>0</v>
      </c>
      <c r="CM225" s="176">
        <f t="shared" si="299"/>
        <v>0</v>
      </c>
      <c r="CN225" s="176">
        <f t="shared" si="299"/>
        <v>0</v>
      </c>
      <c r="CO225" s="176">
        <f t="shared" si="299"/>
        <v>0</v>
      </c>
      <c r="CP225" s="176">
        <f t="shared" si="299"/>
        <v>0</v>
      </c>
      <c r="CQ225" s="176">
        <f t="shared" si="299"/>
        <v>0</v>
      </c>
      <c r="CR225" s="176">
        <f t="shared" si="299"/>
        <v>0</v>
      </c>
      <c r="CS225" s="176">
        <f t="shared" si="299"/>
        <v>0</v>
      </c>
      <c r="CT225" s="176">
        <f t="shared" si="299"/>
        <v>0</v>
      </c>
      <c r="CU225" s="176">
        <f t="shared" si="299"/>
        <v>0</v>
      </c>
      <c r="CV225" s="176">
        <f t="shared" si="299"/>
        <v>0</v>
      </c>
      <c r="CW225" s="176">
        <f t="shared" si="299"/>
        <v>0</v>
      </c>
      <c r="CX225" s="176">
        <f t="shared" si="299"/>
        <v>0</v>
      </c>
      <c r="CY225" s="176">
        <f t="shared" si="299"/>
        <v>0</v>
      </c>
      <c r="CZ225" s="176">
        <f t="shared" si="299"/>
        <v>0</v>
      </c>
      <c r="DA225" s="176">
        <f t="shared" si="299"/>
        <v>0</v>
      </c>
      <c r="DB225" s="176">
        <f t="shared" si="299"/>
        <v>0</v>
      </c>
      <c r="DC225" s="176">
        <f t="shared" si="299"/>
        <v>0</v>
      </c>
      <c r="DD225" s="176">
        <f t="shared" si="299"/>
        <v>0</v>
      </c>
      <c r="DE225" s="176">
        <f t="shared" si="299"/>
        <v>0</v>
      </c>
      <c r="DF225" s="176">
        <f t="shared" si="299"/>
        <v>0</v>
      </c>
      <c r="DG225" s="176">
        <f t="shared" si="299"/>
        <v>0</v>
      </c>
      <c r="DH225" s="176">
        <f t="shared" si="299"/>
        <v>0</v>
      </c>
      <c r="DI225" s="176">
        <f t="shared" si="299"/>
        <v>0</v>
      </c>
      <c r="DJ225" s="176">
        <f t="shared" si="299"/>
        <v>0</v>
      </c>
      <c r="DK225" s="176">
        <f t="shared" si="299"/>
        <v>0</v>
      </c>
      <c r="DL225" s="176">
        <f t="shared" si="299"/>
        <v>0</v>
      </c>
      <c r="DM225" s="176">
        <f t="shared" si="299"/>
        <v>0</v>
      </c>
      <c r="DN225" s="176">
        <f t="shared" ref="DN225:ES225" si="300">DN58*DN$168</f>
        <v>0</v>
      </c>
      <c r="DO225" s="176">
        <f t="shared" si="300"/>
        <v>0</v>
      </c>
      <c r="DP225" s="176">
        <f t="shared" si="300"/>
        <v>0</v>
      </c>
      <c r="DQ225" s="176">
        <f t="shared" si="300"/>
        <v>0</v>
      </c>
      <c r="DR225" s="176">
        <f t="shared" si="300"/>
        <v>0</v>
      </c>
      <c r="DS225" s="176">
        <f t="shared" si="300"/>
        <v>0</v>
      </c>
      <c r="DT225" s="176">
        <f t="shared" si="300"/>
        <v>0</v>
      </c>
      <c r="DU225" s="176">
        <f t="shared" si="300"/>
        <v>0</v>
      </c>
      <c r="DV225" s="176">
        <f t="shared" si="300"/>
        <v>0</v>
      </c>
      <c r="DW225" s="176">
        <f t="shared" si="300"/>
        <v>0</v>
      </c>
      <c r="DX225" s="176">
        <f t="shared" si="300"/>
        <v>0</v>
      </c>
      <c r="DY225" s="176">
        <f t="shared" si="300"/>
        <v>0</v>
      </c>
      <c r="DZ225" s="176">
        <f t="shared" si="300"/>
        <v>0</v>
      </c>
      <c r="EA225" s="176">
        <f t="shared" si="300"/>
        <v>0</v>
      </c>
      <c r="EB225" s="176">
        <f t="shared" si="300"/>
        <v>0</v>
      </c>
      <c r="EC225" s="176">
        <f t="shared" si="300"/>
        <v>0</v>
      </c>
      <c r="ED225" s="176">
        <f t="shared" si="300"/>
        <v>0</v>
      </c>
      <c r="EE225" s="176">
        <f t="shared" si="300"/>
        <v>0</v>
      </c>
      <c r="EF225" s="182">
        <f t="shared" si="300"/>
        <v>0</v>
      </c>
      <c r="EG225" s="182">
        <f t="shared" si="300"/>
        <v>0</v>
      </c>
      <c r="EH225" s="182">
        <f t="shared" si="300"/>
        <v>0</v>
      </c>
      <c r="EI225" s="182">
        <f t="shared" si="300"/>
        <v>0</v>
      </c>
      <c r="EJ225" s="182">
        <f t="shared" si="300"/>
        <v>0</v>
      </c>
      <c r="EK225" s="182">
        <f t="shared" si="300"/>
        <v>0</v>
      </c>
      <c r="EL225" s="182">
        <f t="shared" si="300"/>
        <v>0</v>
      </c>
      <c r="EM225" s="182">
        <f t="shared" si="300"/>
        <v>0</v>
      </c>
      <c r="EN225" s="182">
        <f t="shared" si="300"/>
        <v>0</v>
      </c>
      <c r="EO225" s="182">
        <f t="shared" si="300"/>
        <v>0</v>
      </c>
      <c r="EP225" s="182">
        <f t="shared" si="300"/>
        <v>0</v>
      </c>
      <c r="EQ225" s="182">
        <f t="shared" si="300"/>
        <v>0</v>
      </c>
      <c r="ER225" s="182">
        <f t="shared" si="300"/>
        <v>0</v>
      </c>
      <c r="ES225" s="182">
        <f t="shared" si="300"/>
        <v>0</v>
      </c>
      <c r="ET225" s="182">
        <f t="shared" ref="ET225:FB225" si="301">ET58*ET$168</f>
        <v>0</v>
      </c>
      <c r="EU225" s="182">
        <f t="shared" si="301"/>
        <v>0</v>
      </c>
      <c r="EV225" s="182">
        <f t="shared" si="301"/>
        <v>0</v>
      </c>
      <c r="EW225" s="182">
        <f t="shared" si="301"/>
        <v>0</v>
      </c>
      <c r="EX225" s="182">
        <f t="shared" si="301"/>
        <v>0</v>
      </c>
      <c r="EY225" s="182">
        <f t="shared" si="301"/>
        <v>0</v>
      </c>
      <c r="EZ225" s="182">
        <f t="shared" si="301"/>
        <v>0</v>
      </c>
      <c r="FA225" s="182">
        <f t="shared" si="301"/>
        <v>0</v>
      </c>
      <c r="FB225" s="183">
        <f t="shared" si="301"/>
        <v>0</v>
      </c>
    </row>
    <row r="226" spans="2:158" ht="12.75" customHeight="1" x14ac:dyDescent="0.3">
      <c r="B226" s="199" t="s">
        <v>3869</v>
      </c>
      <c r="C226" s="193">
        <v>0</v>
      </c>
      <c r="D226" s="182">
        <f t="shared" si="200"/>
        <v>0</v>
      </c>
      <c r="E226" s="182">
        <f t="shared" si="206"/>
        <v>0</v>
      </c>
      <c r="F226" s="182">
        <f t="shared" si="212"/>
        <v>0</v>
      </c>
      <c r="G226" s="182">
        <f t="shared" si="218"/>
        <v>0</v>
      </c>
      <c r="H226" s="182">
        <f t="shared" si="224"/>
        <v>0</v>
      </c>
      <c r="I226" s="176">
        <f t="shared" si="230"/>
        <v>0</v>
      </c>
      <c r="J226" s="182">
        <f t="shared" si="236"/>
        <v>0</v>
      </c>
      <c r="K226" s="182">
        <f t="shared" si="242"/>
        <v>0</v>
      </c>
      <c r="L226" s="182">
        <f t="shared" si="248"/>
        <v>0</v>
      </c>
      <c r="M226" s="182">
        <f t="shared" si="254"/>
        <v>0</v>
      </c>
      <c r="N226" s="182">
        <f t="shared" si="260"/>
        <v>0</v>
      </c>
      <c r="O226" s="182">
        <f t="shared" si="266"/>
        <v>0</v>
      </c>
      <c r="P226" s="182">
        <f t="shared" si="272"/>
        <v>0</v>
      </c>
      <c r="Q226" s="182">
        <f t="shared" si="278"/>
        <v>0</v>
      </c>
      <c r="R226" s="182">
        <f t="shared" si="284"/>
        <v>0</v>
      </c>
      <c r="S226" s="182">
        <f t="shared" si="290"/>
        <v>0</v>
      </c>
      <c r="T226" s="182">
        <f t="shared" si="296"/>
        <v>0</v>
      </c>
      <c r="U226" s="182">
        <f t="shared" ref="U226:U257" si="302">U59*U$168</f>
        <v>0</v>
      </c>
      <c r="V226" s="182">
        <f t="shared" si="128"/>
        <v>0</v>
      </c>
      <c r="W226" s="182">
        <f t="shared" si="134"/>
        <v>0</v>
      </c>
      <c r="X226" s="182">
        <f t="shared" si="140"/>
        <v>0</v>
      </c>
      <c r="Y226" s="182">
        <f t="shared" si="145"/>
        <v>0</v>
      </c>
      <c r="Z226" s="182">
        <f t="shared" si="150"/>
        <v>0</v>
      </c>
      <c r="AA226" s="182">
        <f t="shared" si="155"/>
        <v>0</v>
      </c>
      <c r="AB226" s="182">
        <f t="shared" si="160"/>
        <v>0</v>
      </c>
      <c r="AC226" s="182">
        <f t="shared" si="165"/>
        <v>0</v>
      </c>
      <c r="AD226" s="182">
        <f t="shared" si="170"/>
        <v>0</v>
      </c>
      <c r="AE226" s="182">
        <f t="shared" si="175"/>
        <v>0</v>
      </c>
      <c r="AF226" s="182">
        <f t="shared" si="180"/>
        <v>0</v>
      </c>
      <c r="AG226" s="182">
        <f t="shared" si="185"/>
        <v>0</v>
      </c>
      <c r="AH226" s="182">
        <f t="shared" si="190"/>
        <v>0</v>
      </c>
      <c r="AI226" s="182">
        <f t="shared" si="195"/>
        <v>0</v>
      </c>
      <c r="AJ226" s="182">
        <f t="shared" si="201"/>
        <v>0</v>
      </c>
      <c r="AK226" s="182">
        <f t="shared" si="207"/>
        <v>0</v>
      </c>
      <c r="AL226" s="182">
        <f t="shared" si="213"/>
        <v>0</v>
      </c>
      <c r="AM226" s="182">
        <f t="shared" si="219"/>
        <v>0</v>
      </c>
      <c r="AN226" s="182">
        <f t="shared" si="225"/>
        <v>0</v>
      </c>
      <c r="AO226" s="182">
        <f t="shared" si="231"/>
        <v>0</v>
      </c>
      <c r="AP226" s="182">
        <f t="shared" si="237"/>
        <v>0</v>
      </c>
      <c r="AQ226" s="182">
        <f t="shared" si="243"/>
        <v>0</v>
      </c>
      <c r="AR226" s="182">
        <f t="shared" si="249"/>
        <v>0</v>
      </c>
      <c r="AS226" s="182">
        <f t="shared" si="255"/>
        <v>0</v>
      </c>
      <c r="AT226" s="182">
        <f t="shared" si="261"/>
        <v>0</v>
      </c>
      <c r="AU226" s="182">
        <f t="shared" si="267"/>
        <v>0</v>
      </c>
      <c r="AV226" s="182">
        <f t="shared" si="273"/>
        <v>0</v>
      </c>
      <c r="AW226" s="182">
        <f t="shared" si="279"/>
        <v>0</v>
      </c>
      <c r="AX226" s="182">
        <f t="shared" si="285"/>
        <v>0</v>
      </c>
      <c r="AY226" s="182">
        <f t="shared" si="291"/>
        <v>0</v>
      </c>
      <c r="AZ226" s="182">
        <f t="shared" si="297"/>
        <v>0</v>
      </c>
      <c r="BA226" s="182">
        <f t="shared" ref="BA226:BA257" si="303">BA59*BA$168</f>
        <v>0</v>
      </c>
      <c r="BB226" s="181">
        <f>$C226+SUM($D226:BA226,BC226:$FB226)-SUM(BB$176:BB225,BB227:BB$330)-BB$331</f>
        <v>0</v>
      </c>
      <c r="BC226" s="176">
        <f t="shared" ref="BC226:CH226" si="304">BC59*BC$168</f>
        <v>0</v>
      </c>
      <c r="BD226" s="176">
        <f t="shared" si="304"/>
        <v>0</v>
      </c>
      <c r="BE226" s="176">
        <f t="shared" si="304"/>
        <v>0</v>
      </c>
      <c r="BF226" s="176">
        <f t="shared" si="304"/>
        <v>0</v>
      </c>
      <c r="BG226" s="176">
        <f t="shared" si="304"/>
        <v>0</v>
      </c>
      <c r="BH226" s="176">
        <f t="shared" si="304"/>
        <v>0</v>
      </c>
      <c r="BI226" s="176">
        <f t="shared" si="304"/>
        <v>0</v>
      </c>
      <c r="BJ226" s="176">
        <f t="shared" si="304"/>
        <v>0</v>
      </c>
      <c r="BK226" s="176">
        <f t="shared" si="304"/>
        <v>0</v>
      </c>
      <c r="BL226" s="176">
        <f t="shared" si="304"/>
        <v>0</v>
      </c>
      <c r="BM226" s="176">
        <f t="shared" si="304"/>
        <v>0</v>
      </c>
      <c r="BN226" s="176">
        <f t="shared" si="304"/>
        <v>0</v>
      </c>
      <c r="BO226" s="176">
        <f t="shared" si="304"/>
        <v>0</v>
      </c>
      <c r="BP226" s="176">
        <f t="shared" si="304"/>
        <v>0</v>
      </c>
      <c r="BQ226" s="176">
        <f t="shared" si="304"/>
        <v>0</v>
      </c>
      <c r="BR226" s="176">
        <f t="shared" si="304"/>
        <v>0</v>
      </c>
      <c r="BS226" s="176">
        <f t="shared" si="304"/>
        <v>0</v>
      </c>
      <c r="BT226" s="176">
        <f t="shared" si="304"/>
        <v>0</v>
      </c>
      <c r="BU226" s="176">
        <f t="shared" si="304"/>
        <v>0</v>
      </c>
      <c r="BV226" s="176">
        <f t="shared" si="304"/>
        <v>0</v>
      </c>
      <c r="BW226" s="176">
        <f t="shared" si="304"/>
        <v>0</v>
      </c>
      <c r="BX226" s="176">
        <f t="shared" si="304"/>
        <v>0</v>
      </c>
      <c r="BY226" s="176">
        <f t="shared" si="304"/>
        <v>0</v>
      </c>
      <c r="BZ226" s="176">
        <f t="shared" si="304"/>
        <v>0</v>
      </c>
      <c r="CA226" s="176">
        <f t="shared" si="304"/>
        <v>0</v>
      </c>
      <c r="CB226" s="176">
        <f t="shared" si="304"/>
        <v>0</v>
      </c>
      <c r="CC226" s="176">
        <f t="shared" si="304"/>
        <v>0</v>
      </c>
      <c r="CD226" s="176">
        <f t="shared" si="304"/>
        <v>0</v>
      </c>
      <c r="CE226" s="176">
        <f t="shared" si="304"/>
        <v>0</v>
      </c>
      <c r="CF226" s="176">
        <f t="shared" si="304"/>
        <v>0</v>
      </c>
      <c r="CG226" s="176">
        <f t="shared" si="304"/>
        <v>0</v>
      </c>
      <c r="CH226" s="176">
        <f t="shared" si="304"/>
        <v>0</v>
      </c>
      <c r="CI226" s="176">
        <f t="shared" ref="CI226:DN226" si="305">CI59*CI$168</f>
        <v>0</v>
      </c>
      <c r="CJ226" s="176">
        <f t="shared" si="305"/>
        <v>0</v>
      </c>
      <c r="CK226" s="176">
        <f t="shared" si="305"/>
        <v>0</v>
      </c>
      <c r="CL226" s="176">
        <f t="shared" si="305"/>
        <v>0</v>
      </c>
      <c r="CM226" s="176">
        <f t="shared" si="305"/>
        <v>0</v>
      </c>
      <c r="CN226" s="176">
        <f t="shared" si="305"/>
        <v>0</v>
      </c>
      <c r="CO226" s="176">
        <f t="shared" si="305"/>
        <v>0</v>
      </c>
      <c r="CP226" s="176">
        <f t="shared" si="305"/>
        <v>0</v>
      </c>
      <c r="CQ226" s="176">
        <f t="shared" si="305"/>
        <v>0</v>
      </c>
      <c r="CR226" s="176">
        <f t="shared" si="305"/>
        <v>0</v>
      </c>
      <c r="CS226" s="176">
        <f t="shared" si="305"/>
        <v>0</v>
      </c>
      <c r="CT226" s="176">
        <f t="shared" si="305"/>
        <v>0</v>
      </c>
      <c r="CU226" s="176">
        <f t="shared" si="305"/>
        <v>0</v>
      </c>
      <c r="CV226" s="176">
        <f t="shared" si="305"/>
        <v>0</v>
      </c>
      <c r="CW226" s="176">
        <f t="shared" si="305"/>
        <v>0</v>
      </c>
      <c r="CX226" s="176">
        <f t="shared" si="305"/>
        <v>0</v>
      </c>
      <c r="CY226" s="176">
        <f t="shared" si="305"/>
        <v>0</v>
      </c>
      <c r="CZ226" s="176">
        <f t="shared" si="305"/>
        <v>0</v>
      </c>
      <c r="DA226" s="176">
        <f t="shared" si="305"/>
        <v>0</v>
      </c>
      <c r="DB226" s="176">
        <f t="shared" si="305"/>
        <v>0</v>
      </c>
      <c r="DC226" s="176">
        <f t="shared" si="305"/>
        <v>0</v>
      </c>
      <c r="DD226" s="176">
        <f t="shared" si="305"/>
        <v>0</v>
      </c>
      <c r="DE226" s="176">
        <f t="shared" si="305"/>
        <v>0</v>
      </c>
      <c r="DF226" s="176">
        <f t="shared" si="305"/>
        <v>0</v>
      </c>
      <c r="DG226" s="176">
        <f t="shared" si="305"/>
        <v>0</v>
      </c>
      <c r="DH226" s="176">
        <f t="shared" si="305"/>
        <v>0</v>
      </c>
      <c r="DI226" s="176">
        <f t="shared" si="305"/>
        <v>0</v>
      </c>
      <c r="DJ226" s="176">
        <f t="shared" si="305"/>
        <v>0</v>
      </c>
      <c r="DK226" s="176">
        <f t="shared" si="305"/>
        <v>0</v>
      </c>
      <c r="DL226" s="176">
        <f t="shared" si="305"/>
        <v>0</v>
      </c>
      <c r="DM226" s="176">
        <f t="shared" si="305"/>
        <v>0</v>
      </c>
      <c r="DN226" s="176">
        <f t="shared" si="305"/>
        <v>0</v>
      </c>
      <c r="DO226" s="176">
        <f t="shared" ref="DO226:ET226" si="306">DO59*DO$168</f>
        <v>0</v>
      </c>
      <c r="DP226" s="176">
        <f t="shared" si="306"/>
        <v>0</v>
      </c>
      <c r="DQ226" s="176">
        <f t="shared" si="306"/>
        <v>0</v>
      </c>
      <c r="DR226" s="176">
        <f t="shared" si="306"/>
        <v>0</v>
      </c>
      <c r="DS226" s="176">
        <f t="shared" si="306"/>
        <v>0</v>
      </c>
      <c r="DT226" s="176">
        <f t="shared" si="306"/>
        <v>0</v>
      </c>
      <c r="DU226" s="176">
        <f t="shared" si="306"/>
        <v>0</v>
      </c>
      <c r="DV226" s="176">
        <f t="shared" si="306"/>
        <v>0</v>
      </c>
      <c r="DW226" s="176">
        <f t="shared" si="306"/>
        <v>0</v>
      </c>
      <c r="DX226" s="176">
        <f t="shared" si="306"/>
        <v>0</v>
      </c>
      <c r="DY226" s="176">
        <f t="shared" si="306"/>
        <v>0</v>
      </c>
      <c r="DZ226" s="176">
        <f t="shared" si="306"/>
        <v>0</v>
      </c>
      <c r="EA226" s="176">
        <f t="shared" si="306"/>
        <v>0</v>
      </c>
      <c r="EB226" s="176">
        <f t="shared" si="306"/>
        <v>0</v>
      </c>
      <c r="EC226" s="176">
        <f t="shared" si="306"/>
        <v>0</v>
      </c>
      <c r="ED226" s="176">
        <f t="shared" si="306"/>
        <v>0</v>
      </c>
      <c r="EE226" s="176">
        <f t="shared" si="306"/>
        <v>0</v>
      </c>
      <c r="EF226" s="182">
        <f t="shared" si="306"/>
        <v>0</v>
      </c>
      <c r="EG226" s="182">
        <f t="shared" si="306"/>
        <v>0</v>
      </c>
      <c r="EH226" s="182">
        <f t="shared" si="306"/>
        <v>0</v>
      </c>
      <c r="EI226" s="182">
        <f t="shared" si="306"/>
        <v>0</v>
      </c>
      <c r="EJ226" s="182">
        <f t="shared" si="306"/>
        <v>0</v>
      </c>
      <c r="EK226" s="182">
        <f t="shared" si="306"/>
        <v>0</v>
      </c>
      <c r="EL226" s="182">
        <f t="shared" si="306"/>
        <v>0</v>
      </c>
      <c r="EM226" s="182">
        <f t="shared" si="306"/>
        <v>0</v>
      </c>
      <c r="EN226" s="182">
        <f t="shared" si="306"/>
        <v>0</v>
      </c>
      <c r="EO226" s="182">
        <f t="shared" si="306"/>
        <v>0</v>
      </c>
      <c r="EP226" s="182">
        <f t="shared" si="306"/>
        <v>0</v>
      </c>
      <c r="EQ226" s="182">
        <f t="shared" si="306"/>
        <v>0</v>
      </c>
      <c r="ER226" s="182">
        <f t="shared" si="306"/>
        <v>0</v>
      </c>
      <c r="ES226" s="182">
        <f t="shared" si="306"/>
        <v>0</v>
      </c>
      <c r="ET226" s="182">
        <f t="shared" si="306"/>
        <v>0</v>
      </c>
      <c r="EU226" s="182">
        <f t="shared" ref="EU226:FB226" si="307">EU59*EU$168</f>
        <v>0</v>
      </c>
      <c r="EV226" s="182">
        <f t="shared" si="307"/>
        <v>0</v>
      </c>
      <c r="EW226" s="182">
        <f t="shared" si="307"/>
        <v>0</v>
      </c>
      <c r="EX226" s="182">
        <f t="shared" si="307"/>
        <v>0</v>
      </c>
      <c r="EY226" s="182">
        <f t="shared" si="307"/>
        <v>0</v>
      </c>
      <c r="EZ226" s="182">
        <f t="shared" si="307"/>
        <v>0</v>
      </c>
      <c r="FA226" s="182">
        <f t="shared" si="307"/>
        <v>0</v>
      </c>
      <c r="FB226" s="183">
        <f t="shared" si="307"/>
        <v>0</v>
      </c>
    </row>
    <row r="227" spans="2:158" ht="12.75" customHeight="1" x14ac:dyDescent="0.3">
      <c r="B227" s="199" t="s">
        <v>3870</v>
      </c>
      <c r="C227" s="193">
        <v>0</v>
      </c>
      <c r="D227" s="182">
        <f t="shared" si="200"/>
        <v>0</v>
      </c>
      <c r="E227" s="182">
        <f t="shared" si="206"/>
        <v>0</v>
      </c>
      <c r="F227" s="182">
        <f t="shared" si="212"/>
        <v>0</v>
      </c>
      <c r="G227" s="182">
        <f t="shared" si="218"/>
        <v>0</v>
      </c>
      <c r="H227" s="182">
        <f t="shared" si="224"/>
        <v>0</v>
      </c>
      <c r="I227" s="176">
        <f t="shared" si="230"/>
        <v>0</v>
      </c>
      <c r="J227" s="182">
        <f t="shared" si="236"/>
        <v>0</v>
      </c>
      <c r="K227" s="182">
        <f t="shared" si="242"/>
        <v>0</v>
      </c>
      <c r="L227" s="182">
        <f t="shared" si="248"/>
        <v>0</v>
      </c>
      <c r="M227" s="182">
        <f t="shared" si="254"/>
        <v>0</v>
      </c>
      <c r="N227" s="182">
        <f t="shared" si="260"/>
        <v>0</v>
      </c>
      <c r="O227" s="182">
        <f t="shared" si="266"/>
        <v>0</v>
      </c>
      <c r="P227" s="182">
        <f t="shared" si="272"/>
        <v>0</v>
      </c>
      <c r="Q227" s="182">
        <f t="shared" si="278"/>
        <v>0</v>
      </c>
      <c r="R227" s="182">
        <f t="shared" si="284"/>
        <v>0</v>
      </c>
      <c r="S227" s="182">
        <f t="shared" si="290"/>
        <v>0</v>
      </c>
      <c r="T227" s="182">
        <f t="shared" si="296"/>
        <v>0</v>
      </c>
      <c r="U227" s="182">
        <f t="shared" si="302"/>
        <v>0</v>
      </c>
      <c r="V227" s="182">
        <f t="shared" ref="V227:V258" si="308">V60*V$168</f>
        <v>0</v>
      </c>
      <c r="W227" s="182">
        <f t="shared" si="134"/>
        <v>0</v>
      </c>
      <c r="X227" s="182">
        <f t="shared" si="140"/>
        <v>0</v>
      </c>
      <c r="Y227" s="182">
        <f t="shared" si="145"/>
        <v>0</v>
      </c>
      <c r="Z227" s="182">
        <f t="shared" si="150"/>
        <v>0</v>
      </c>
      <c r="AA227" s="182">
        <f t="shared" si="155"/>
        <v>0</v>
      </c>
      <c r="AB227" s="182">
        <f t="shared" si="160"/>
        <v>0</v>
      </c>
      <c r="AC227" s="182">
        <f t="shared" si="165"/>
        <v>0</v>
      </c>
      <c r="AD227" s="182">
        <f t="shared" si="170"/>
        <v>0</v>
      </c>
      <c r="AE227" s="182">
        <f t="shared" si="175"/>
        <v>0</v>
      </c>
      <c r="AF227" s="182">
        <f t="shared" si="180"/>
        <v>0</v>
      </c>
      <c r="AG227" s="182">
        <f t="shared" si="185"/>
        <v>0</v>
      </c>
      <c r="AH227" s="182">
        <f t="shared" si="190"/>
        <v>0</v>
      </c>
      <c r="AI227" s="182">
        <f t="shared" si="195"/>
        <v>0</v>
      </c>
      <c r="AJ227" s="182">
        <f t="shared" si="201"/>
        <v>0</v>
      </c>
      <c r="AK227" s="182">
        <f t="shared" si="207"/>
        <v>0</v>
      </c>
      <c r="AL227" s="182">
        <f t="shared" si="213"/>
        <v>0</v>
      </c>
      <c r="AM227" s="182">
        <f t="shared" si="219"/>
        <v>0</v>
      </c>
      <c r="AN227" s="182">
        <f t="shared" si="225"/>
        <v>0</v>
      </c>
      <c r="AO227" s="182">
        <f t="shared" si="231"/>
        <v>0</v>
      </c>
      <c r="AP227" s="182">
        <f t="shared" si="237"/>
        <v>0</v>
      </c>
      <c r="AQ227" s="182">
        <f t="shared" si="243"/>
        <v>0</v>
      </c>
      <c r="AR227" s="182">
        <f t="shared" si="249"/>
        <v>0</v>
      </c>
      <c r="AS227" s="182">
        <f t="shared" si="255"/>
        <v>0</v>
      </c>
      <c r="AT227" s="182">
        <f t="shared" si="261"/>
        <v>0</v>
      </c>
      <c r="AU227" s="182">
        <f t="shared" si="267"/>
        <v>0</v>
      </c>
      <c r="AV227" s="182">
        <f t="shared" si="273"/>
        <v>1.1539910648807702E-4</v>
      </c>
      <c r="AW227" s="182">
        <f t="shared" si="279"/>
        <v>0</v>
      </c>
      <c r="AX227" s="182">
        <f t="shared" si="285"/>
        <v>0</v>
      </c>
      <c r="AY227" s="182">
        <f t="shared" si="291"/>
        <v>1.2918874832837371E-5</v>
      </c>
      <c r="AZ227" s="182">
        <f t="shared" si="297"/>
        <v>0</v>
      </c>
      <c r="BA227" s="182">
        <f t="shared" si="303"/>
        <v>0</v>
      </c>
      <c r="BB227" s="182">
        <f t="shared" ref="BB227:BB258" si="309">BB60*BB$168</f>
        <v>0</v>
      </c>
      <c r="BC227" s="181">
        <f>$C227+SUM($D227:BB227,BD227:$FB227)-SUM(BC$176:BC226,BC228:BC$330)-BC$331</f>
        <v>-2.7105054312137611E-20</v>
      </c>
      <c r="BD227" s="176">
        <f t="shared" ref="BD227:CI227" si="310">BD60*BD$168</f>
        <v>0</v>
      </c>
      <c r="BE227" s="176">
        <f t="shared" si="310"/>
        <v>0</v>
      </c>
      <c r="BF227" s="176">
        <f t="shared" si="310"/>
        <v>0</v>
      </c>
      <c r="BG227" s="176">
        <f t="shared" si="310"/>
        <v>0</v>
      </c>
      <c r="BH227" s="176">
        <f t="shared" si="310"/>
        <v>0</v>
      </c>
      <c r="BI227" s="176">
        <f t="shared" si="310"/>
        <v>0</v>
      </c>
      <c r="BJ227" s="176">
        <f t="shared" si="310"/>
        <v>0</v>
      </c>
      <c r="BK227" s="176">
        <f t="shared" si="310"/>
        <v>0</v>
      </c>
      <c r="BL227" s="176">
        <f t="shared" si="310"/>
        <v>0</v>
      </c>
      <c r="BM227" s="176">
        <f t="shared" si="310"/>
        <v>0</v>
      </c>
      <c r="BN227" s="176">
        <f t="shared" si="310"/>
        <v>0</v>
      </c>
      <c r="BO227" s="176">
        <f t="shared" si="310"/>
        <v>0</v>
      </c>
      <c r="BP227" s="176">
        <f t="shared" si="310"/>
        <v>0</v>
      </c>
      <c r="BQ227" s="176">
        <f t="shared" si="310"/>
        <v>0</v>
      </c>
      <c r="BR227" s="176">
        <f t="shared" si="310"/>
        <v>0</v>
      </c>
      <c r="BS227" s="176">
        <f t="shared" si="310"/>
        <v>0</v>
      </c>
      <c r="BT227" s="176">
        <f t="shared" si="310"/>
        <v>0</v>
      </c>
      <c r="BU227" s="176">
        <f t="shared" si="310"/>
        <v>0</v>
      </c>
      <c r="BV227" s="176">
        <f t="shared" si="310"/>
        <v>0</v>
      </c>
      <c r="BW227" s="176">
        <f t="shared" si="310"/>
        <v>0</v>
      </c>
      <c r="BX227" s="176">
        <f t="shared" si="310"/>
        <v>0</v>
      </c>
      <c r="BY227" s="176">
        <f t="shared" si="310"/>
        <v>0</v>
      </c>
      <c r="BZ227" s="176">
        <f t="shared" si="310"/>
        <v>0</v>
      </c>
      <c r="CA227" s="176">
        <f t="shared" si="310"/>
        <v>3.5710680048480178E-9</v>
      </c>
      <c r="CB227" s="176">
        <f t="shared" si="310"/>
        <v>0</v>
      </c>
      <c r="CC227" s="176">
        <f t="shared" si="310"/>
        <v>0</v>
      </c>
      <c r="CD227" s="176">
        <f t="shared" si="310"/>
        <v>0</v>
      </c>
      <c r="CE227" s="176">
        <f t="shared" si="310"/>
        <v>3.6109709338009787E-9</v>
      </c>
      <c r="CF227" s="176">
        <f t="shared" si="310"/>
        <v>0</v>
      </c>
      <c r="CG227" s="176">
        <f t="shared" si="310"/>
        <v>0</v>
      </c>
      <c r="CH227" s="176">
        <f t="shared" si="310"/>
        <v>0</v>
      </c>
      <c r="CI227" s="176">
        <f t="shared" si="310"/>
        <v>1.32261777957334E-9</v>
      </c>
      <c r="CJ227" s="176">
        <f t="shared" ref="CJ227:DO227" si="311">CJ60*CJ$168</f>
        <v>0</v>
      </c>
      <c r="CK227" s="176">
        <f t="shared" si="311"/>
        <v>0</v>
      </c>
      <c r="CL227" s="176">
        <f t="shared" si="311"/>
        <v>0</v>
      </c>
      <c r="CM227" s="176">
        <f t="shared" si="311"/>
        <v>0</v>
      </c>
      <c r="CN227" s="176">
        <f t="shared" si="311"/>
        <v>0</v>
      </c>
      <c r="CO227" s="176">
        <f t="shared" si="311"/>
        <v>0</v>
      </c>
      <c r="CP227" s="176">
        <f t="shared" si="311"/>
        <v>0</v>
      </c>
      <c r="CQ227" s="176">
        <f t="shared" si="311"/>
        <v>0</v>
      </c>
      <c r="CR227" s="176">
        <f t="shared" si="311"/>
        <v>0</v>
      </c>
      <c r="CS227" s="176">
        <f t="shared" si="311"/>
        <v>0</v>
      </c>
      <c r="CT227" s="176">
        <f t="shared" si="311"/>
        <v>0</v>
      </c>
      <c r="CU227" s="176">
        <f t="shared" si="311"/>
        <v>0</v>
      </c>
      <c r="CV227" s="176">
        <f t="shared" si="311"/>
        <v>0</v>
      </c>
      <c r="CW227" s="176">
        <f t="shared" si="311"/>
        <v>0</v>
      </c>
      <c r="CX227" s="176">
        <f t="shared" si="311"/>
        <v>0</v>
      </c>
      <c r="CY227" s="176">
        <f t="shared" si="311"/>
        <v>0</v>
      </c>
      <c r="CZ227" s="176">
        <f t="shared" si="311"/>
        <v>0</v>
      </c>
      <c r="DA227" s="176">
        <f t="shared" si="311"/>
        <v>0</v>
      </c>
      <c r="DB227" s="176">
        <f t="shared" si="311"/>
        <v>0</v>
      </c>
      <c r="DC227" s="176">
        <f t="shared" si="311"/>
        <v>0</v>
      </c>
      <c r="DD227" s="176">
        <f t="shared" si="311"/>
        <v>0</v>
      </c>
      <c r="DE227" s="176">
        <f t="shared" si="311"/>
        <v>0</v>
      </c>
      <c r="DF227" s="176">
        <f t="shared" si="311"/>
        <v>0</v>
      </c>
      <c r="DG227" s="176">
        <f t="shared" si="311"/>
        <v>0</v>
      </c>
      <c r="DH227" s="176">
        <f t="shared" si="311"/>
        <v>0</v>
      </c>
      <c r="DI227" s="176">
        <f t="shared" si="311"/>
        <v>0</v>
      </c>
      <c r="DJ227" s="176">
        <f t="shared" si="311"/>
        <v>0</v>
      </c>
      <c r="DK227" s="176">
        <f t="shared" si="311"/>
        <v>0</v>
      </c>
      <c r="DL227" s="176">
        <f t="shared" si="311"/>
        <v>0</v>
      </c>
      <c r="DM227" s="176">
        <f t="shared" si="311"/>
        <v>0</v>
      </c>
      <c r="DN227" s="176">
        <f t="shared" si="311"/>
        <v>0</v>
      </c>
      <c r="DO227" s="176">
        <f t="shared" si="311"/>
        <v>0</v>
      </c>
      <c r="DP227" s="176">
        <f t="shared" ref="DP227:EU227" si="312">DP60*DP$168</f>
        <v>0</v>
      </c>
      <c r="DQ227" s="176">
        <f t="shared" si="312"/>
        <v>0</v>
      </c>
      <c r="DR227" s="176">
        <f t="shared" si="312"/>
        <v>0</v>
      </c>
      <c r="DS227" s="176">
        <f t="shared" si="312"/>
        <v>0</v>
      </c>
      <c r="DT227" s="176">
        <f t="shared" si="312"/>
        <v>0</v>
      </c>
      <c r="DU227" s="176">
        <f t="shared" si="312"/>
        <v>0</v>
      </c>
      <c r="DV227" s="176">
        <f t="shared" si="312"/>
        <v>0</v>
      </c>
      <c r="DW227" s="176">
        <f t="shared" si="312"/>
        <v>0</v>
      </c>
      <c r="DX227" s="176">
        <f t="shared" si="312"/>
        <v>0</v>
      </c>
      <c r="DY227" s="176">
        <f t="shared" si="312"/>
        <v>0</v>
      </c>
      <c r="DZ227" s="176">
        <f t="shared" si="312"/>
        <v>0</v>
      </c>
      <c r="EA227" s="176">
        <f t="shared" si="312"/>
        <v>0</v>
      </c>
      <c r="EB227" s="176">
        <f t="shared" si="312"/>
        <v>0</v>
      </c>
      <c r="EC227" s="176">
        <f t="shared" si="312"/>
        <v>0</v>
      </c>
      <c r="ED227" s="176">
        <f t="shared" si="312"/>
        <v>0</v>
      </c>
      <c r="EE227" s="176">
        <f t="shared" si="312"/>
        <v>0</v>
      </c>
      <c r="EF227" s="182">
        <f t="shared" si="312"/>
        <v>0</v>
      </c>
      <c r="EG227" s="182">
        <f t="shared" si="312"/>
        <v>0</v>
      </c>
      <c r="EH227" s="182">
        <f t="shared" si="312"/>
        <v>0</v>
      </c>
      <c r="EI227" s="182">
        <f t="shared" si="312"/>
        <v>0</v>
      </c>
      <c r="EJ227" s="182">
        <f t="shared" si="312"/>
        <v>0</v>
      </c>
      <c r="EK227" s="182">
        <f t="shared" si="312"/>
        <v>0</v>
      </c>
      <c r="EL227" s="182">
        <f t="shared" si="312"/>
        <v>0</v>
      </c>
      <c r="EM227" s="182">
        <f t="shared" si="312"/>
        <v>0</v>
      </c>
      <c r="EN227" s="182">
        <f t="shared" si="312"/>
        <v>0</v>
      </c>
      <c r="EO227" s="182">
        <f t="shared" si="312"/>
        <v>0</v>
      </c>
      <c r="EP227" s="182">
        <f t="shared" si="312"/>
        <v>0</v>
      </c>
      <c r="EQ227" s="182">
        <f t="shared" si="312"/>
        <v>0</v>
      </c>
      <c r="ER227" s="182">
        <f t="shared" si="312"/>
        <v>0</v>
      </c>
      <c r="ES227" s="182">
        <f t="shared" si="312"/>
        <v>0</v>
      </c>
      <c r="ET227" s="182">
        <f t="shared" si="312"/>
        <v>0</v>
      </c>
      <c r="EU227" s="182">
        <f t="shared" si="312"/>
        <v>0</v>
      </c>
      <c r="EV227" s="182">
        <f t="shared" ref="EV227:FB227" si="313">EV60*EV$168</f>
        <v>0</v>
      </c>
      <c r="EW227" s="182">
        <f t="shared" si="313"/>
        <v>0</v>
      </c>
      <c r="EX227" s="182">
        <f t="shared" si="313"/>
        <v>0</v>
      </c>
      <c r="EY227" s="182">
        <f t="shared" si="313"/>
        <v>0</v>
      </c>
      <c r="EZ227" s="182">
        <f t="shared" si="313"/>
        <v>0</v>
      </c>
      <c r="FA227" s="182">
        <f t="shared" si="313"/>
        <v>0</v>
      </c>
      <c r="FB227" s="183">
        <f t="shared" si="313"/>
        <v>0</v>
      </c>
    </row>
    <row r="228" spans="2:158" ht="12.75" customHeight="1" x14ac:dyDescent="0.3">
      <c r="B228" s="199" t="s">
        <v>3871</v>
      </c>
      <c r="C228" s="193">
        <v>0</v>
      </c>
      <c r="D228" s="182">
        <f t="shared" si="200"/>
        <v>0</v>
      </c>
      <c r="E228" s="182">
        <f t="shared" si="206"/>
        <v>0</v>
      </c>
      <c r="F228" s="182">
        <f t="shared" si="212"/>
        <v>0</v>
      </c>
      <c r="G228" s="182">
        <f t="shared" si="218"/>
        <v>0</v>
      </c>
      <c r="H228" s="182">
        <f t="shared" si="224"/>
        <v>0</v>
      </c>
      <c r="I228" s="176">
        <f t="shared" si="230"/>
        <v>0</v>
      </c>
      <c r="J228" s="182">
        <f t="shared" si="236"/>
        <v>0</v>
      </c>
      <c r="K228" s="182">
        <f t="shared" si="242"/>
        <v>0</v>
      </c>
      <c r="L228" s="182">
        <f t="shared" si="248"/>
        <v>0</v>
      </c>
      <c r="M228" s="182">
        <f t="shared" si="254"/>
        <v>0</v>
      </c>
      <c r="N228" s="182">
        <f t="shared" si="260"/>
        <v>0</v>
      </c>
      <c r="O228" s="182">
        <f t="shared" si="266"/>
        <v>0</v>
      </c>
      <c r="P228" s="182">
        <f t="shared" si="272"/>
        <v>0</v>
      </c>
      <c r="Q228" s="182">
        <f t="shared" si="278"/>
        <v>0</v>
      </c>
      <c r="R228" s="182">
        <f t="shared" si="284"/>
        <v>0</v>
      </c>
      <c r="S228" s="182">
        <f t="shared" si="290"/>
        <v>0</v>
      </c>
      <c r="T228" s="182">
        <f t="shared" si="296"/>
        <v>0</v>
      </c>
      <c r="U228" s="182">
        <f t="shared" si="302"/>
        <v>0</v>
      </c>
      <c r="V228" s="182">
        <f t="shared" si="308"/>
        <v>0</v>
      </c>
      <c r="W228" s="182">
        <f t="shared" ref="W228:W259" si="314">W61*W$168</f>
        <v>0</v>
      </c>
      <c r="X228" s="182">
        <f t="shared" si="140"/>
        <v>0</v>
      </c>
      <c r="Y228" s="182">
        <f t="shared" si="145"/>
        <v>0</v>
      </c>
      <c r="Z228" s="182">
        <f t="shared" si="150"/>
        <v>0</v>
      </c>
      <c r="AA228" s="182">
        <f t="shared" si="155"/>
        <v>0</v>
      </c>
      <c r="AB228" s="182">
        <f t="shared" si="160"/>
        <v>0</v>
      </c>
      <c r="AC228" s="182">
        <f t="shared" si="165"/>
        <v>0</v>
      </c>
      <c r="AD228" s="182">
        <f t="shared" si="170"/>
        <v>0</v>
      </c>
      <c r="AE228" s="182">
        <f t="shared" si="175"/>
        <v>0</v>
      </c>
      <c r="AF228" s="182">
        <f t="shared" si="180"/>
        <v>0</v>
      </c>
      <c r="AG228" s="182">
        <f t="shared" si="185"/>
        <v>0</v>
      </c>
      <c r="AH228" s="182">
        <f t="shared" si="190"/>
        <v>0</v>
      </c>
      <c r="AI228" s="182">
        <f t="shared" si="195"/>
        <v>0</v>
      </c>
      <c r="AJ228" s="182">
        <f t="shared" si="201"/>
        <v>0</v>
      </c>
      <c r="AK228" s="182">
        <f t="shared" si="207"/>
        <v>0</v>
      </c>
      <c r="AL228" s="182">
        <f t="shared" si="213"/>
        <v>0</v>
      </c>
      <c r="AM228" s="182">
        <f t="shared" si="219"/>
        <v>0</v>
      </c>
      <c r="AN228" s="182">
        <f t="shared" si="225"/>
        <v>0</v>
      </c>
      <c r="AO228" s="182">
        <f t="shared" si="231"/>
        <v>0</v>
      </c>
      <c r="AP228" s="182">
        <f t="shared" si="237"/>
        <v>0</v>
      </c>
      <c r="AQ228" s="182">
        <f t="shared" si="243"/>
        <v>0</v>
      </c>
      <c r="AR228" s="182">
        <f t="shared" si="249"/>
        <v>0</v>
      </c>
      <c r="AS228" s="182">
        <f t="shared" si="255"/>
        <v>0</v>
      </c>
      <c r="AT228" s="182">
        <f t="shared" si="261"/>
        <v>0</v>
      </c>
      <c r="AU228" s="182">
        <f t="shared" si="267"/>
        <v>0</v>
      </c>
      <c r="AV228" s="182">
        <f t="shared" si="273"/>
        <v>0</v>
      </c>
      <c r="AW228" s="182">
        <f t="shared" si="279"/>
        <v>1.2491100607997367E-3</v>
      </c>
      <c r="AX228" s="182">
        <f t="shared" si="285"/>
        <v>0</v>
      </c>
      <c r="AY228" s="182">
        <f t="shared" si="291"/>
        <v>0</v>
      </c>
      <c r="AZ228" s="182">
        <f t="shared" si="297"/>
        <v>1.7457442727781958E-4</v>
      </c>
      <c r="BA228" s="182">
        <f t="shared" si="303"/>
        <v>0</v>
      </c>
      <c r="BB228" s="182">
        <f t="shared" si="309"/>
        <v>0</v>
      </c>
      <c r="BC228" s="182">
        <f t="shared" ref="BC228:BC259" si="315">BC61*BC$168</f>
        <v>1.2808606302739243E-4</v>
      </c>
      <c r="BD228" s="181">
        <f>$C228+SUM($D228:BC228,BE228:$FB228)-SUM(BD$176:BD227,BD229:BD$330)-BD$331</f>
        <v>0</v>
      </c>
      <c r="BE228" s="176">
        <f t="shared" ref="BE228:CJ228" si="316">BE61*BE$168</f>
        <v>0</v>
      </c>
      <c r="BF228" s="176">
        <f t="shared" si="316"/>
        <v>0</v>
      </c>
      <c r="BG228" s="176">
        <f t="shared" si="316"/>
        <v>0</v>
      </c>
      <c r="BH228" s="176">
        <f t="shared" si="316"/>
        <v>0</v>
      </c>
      <c r="BI228" s="176">
        <f t="shared" si="316"/>
        <v>0</v>
      </c>
      <c r="BJ228" s="176">
        <f t="shared" si="316"/>
        <v>0</v>
      </c>
      <c r="BK228" s="176">
        <f t="shared" si="316"/>
        <v>0</v>
      </c>
      <c r="BL228" s="176">
        <f t="shared" si="316"/>
        <v>0</v>
      </c>
      <c r="BM228" s="176">
        <f t="shared" si="316"/>
        <v>0</v>
      </c>
      <c r="BN228" s="176">
        <f t="shared" si="316"/>
        <v>0</v>
      </c>
      <c r="BO228" s="176">
        <f t="shared" si="316"/>
        <v>0</v>
      </c>
      <c r="BP228" s="176">
        <f t="shared" si="316"/>
        <v>0</v>
      </c>
      <c r="BQ228" s="176">
        <f t="shared" si="316"/>
        <v>0</v>
      </c>
      <c r="BR228" s="176">
        <f t="shared" si="316"/>
        <v>0</v>
      </c>
      <c r="BS228" s="176">
        <f t="shared" si="316"/>
        <v>0</v>
      </c>
      <c r="BT228" s="176">
        <f t="shared" si="316"/>
        <v>0</v>
      </c>
      <c r="BU228" s="176">
        <f t="shared" si="316"/>
        <v>0</v>
      </c>
      <c r="BV228" s="176">
        <f t="shared" si="316"/>
        <v>0</v>
      </c>
      <c r="BW228" s="176">
        <f t="shared" si="316"/>
        <v>0</v>
      </c>
      <c r="BX228" s="176">
        <f t="shared" si="316"/>
        <v>0</v>
      </c>
      <c r="BY228" s="176">
        <f t="shared" si="316"/>
        <v>0</v>
      </c>
      <c r="BZ228" s="176">
        <f t="shared" si="316"/>
        <v>0</v>
      </c>
      <c r="CA228" s="176">
        <f t="shared" si="316"/>
        <v>0</v>
      </c>
      <c r="CB228" s="176">
        <f t="shared" si="316"/>
        <v>4.401406294011481E-3</v>
      </c>
      <c r="CC228" s="176">
        <f t="shared" si="316"/>
        <v>0</v>
      </c>
      <c r="CD228" s="176">
        <f t="shared" si="316"/>
        <v>0</v>
      </c>
      <c r="CE228" s="176">
        <f t="shared" si="316"/>
        <v>0</v>
      </c>
      <c r="CF228" s="176">
        <f t="shared" si="316"/>
        <v>9.7809021997900727E-3</v>
      </c>
      <c r="CG228" s="176">
        <f t="shared" si="316"/>
        <v>0</v>
      </c>
      <c r="CH228" s="176">
        <f t="shared" si="316"/>
        <v>0</v>
      </c>
      <c r="CI228" s="176">
        <f t="shared" si="316"/>
        <v>0</v>
      </c>
      <c r="CJ228" s="176">
        <f t="shared" si="316"/>
        <v>1.6301504792635107E-3</v>
      </c>
      <c r="CK228" s="176">
        <f t="shared" ref="CK228:DP228" si="317">CK61*CK$168</f>
        <v>0</v>
      </c>
      <c r="CL228" s="176">
        <f t="shared" si="317"/>
        <v>0</v>
      </c>
      <c r="CM228" s="176">
        <f t="shared" si="317"/>
        <v>0</v>
      </c>
      <c r="CN228" s="176">
        <f t="shared" si="317"/>
        <v>0</v>
      </c>
      <c r="CO228" s="176">
        <f t="shared" si="317"/>
        <v>0</v>
      </c>
      <c r="CP228" s="176">
        <f t="shared" si="317"/>
        <v>0</v>
      </c>
      <c r="CQ228" s="176">
        <f t="shared" si="317"/>
        <v>0</v>
      </c>
      <c r="CR228" s="176">
        <f t="shared" si="317"/>
        <v>0</v>
      </c>
      <c r="CS228" s="176">
        <f t="shared" si="317"/>
        <v>0</v>
      </c>
      <c r="CT228" s="176">
        <f t="shared" si="317"/>
        <v>0</v>
      </c>
      <c r="CU228" s="176">
        <f t="shared" si="317"/>
        <v>0</v>
      </c>
      <c r="CV228" s="176">
        <f t="shared" si="317"/>
        <v>0</v>
      </c>
      <c r="CW228" s="176">
        <f t="shared" si="317"/>
        <v>0</v>
      </c>
      <c r="CX228" s="176">
        <f t="shared" si="317"/>
        <v>0</v>
      </c>
      <c r="CY228" s="176">
        <f t="shared" si="317"/>
        <v>0</v>
      </c>
      <c r="CZ228" s="176">
        <f t="shared" si="317"/>
        <v>0</v>
      </c>
      <c r="DA228" s="176">
        <f t="shared" si="317"/>
        <v>0</v>
      </c>
      <c r="DB228" s="176">
        <f t="shared" si="317"/>
        <v>0</v>
      </c>
      <c r="DC228" s="176">
        <f t="shared" si="317"/>
        <v>0</v>
      </c>
      <c r="DD228" s="176">
        <f t="shared" si="317"/>
        <v>0</v>
      </c>
      <c r="DE228" s="176">
        <f t="shared" si="317"/>
        <v>0</v>
      </c>
      <c r="DF228" s="176">
        <f t="shared" si="317"/>
        <v>0</v>
      </c>
      <c r="DG228" s="176">
        <f t="shared" si="317"/>
        <v>0</v>
      </c>
      <c r="DH228" s="176">
        <f t="shared" si="317"/>
        <v>0</v>
      </c>
      <c r="DI228" s="176">
        <f t="shared" si="317"/>
        <v>0</v>
      </c>
      <c r="DJ228" s="176">
        <f t="shared" si="317"/>
        <v>0</v>
      </c>
      <c r="DK228" s="176">
        <f t="shared" si="317"/>
        <v>0</v>
      </c>
      <c r="DL228" s="176">
        <f t="shared" si="317"/>
        <v>0</v>
      </c>
      <c r="DM228" s="176">
        <f t="shared" si="317"/>
        <v>0</v>
      </c>
      <c r="DN228" s="176">
        <f t="shared" si="317"/>
        <v>0</v>
      </c>
      <c r="DO228" s="176">
        <f t="shared" si="317"/>
        <v>0</v>
      </c>
      <c r="DP228" s="176">
        <f t="shared" si="317"/>
        <v>0</v>
      </c>
      <c r="DQ228" s="176">
        <f t="shared" ref="DQ228:EV228" si="318">DQ61*DQ$168</f>
        <v>0</v>
      </c>
      <c r="DR228" s="176">
        <f t="shared" si="318"/>
        <v>0</v>
      </c>
      <c r="DS228" s="176">
        <f t="shared" si="318"/>
        <v>0</v>
      </c>
      <c r="DT228" s="176">
        <f t="shared" si="318"/>
        <v>0</v>
      </c>
      <c r="DU228" s="176">
        <f t="shared" si="318"/>
        <v>0</v>
      </c>
      <c r="DV228" s="176">
        <f t="shared" si="318"/>
        <v>0</v>
      </c>
      <c r="DW228" s="176">
        <f t="shared" si="318"/>
        <v>0</v>
      </c>
      <c r="DX228" s="176">
        <f t="shared" si="318"/>
        <v>0</v>
      </c>
      <c r="DY228" s="176">
        <f t="shared" si="318"/>
        <v>0</v>
      </c>
      <c r="DZ228" s="176">
        <f t="shared" si="318"/>
        <v>0</v>
      </c>
      <c r="EA228" s="176">
        <f t="shared" si="318"/>
        <v>0</v>
      </c>
      <c r="EB228" s="176">
        <f t="shared" si="318"/>
        <v>0</v>
      </c>
      <c r="EC228" s="176">
        <f t="shared" si="318"/>
        <v>0</v>
      </c>
      <c r="ED228" s="176">
        <f t="shared" si="318"/>
        <v>0</v>
      </c>
      <c r="EE228" s="176">
        <f t="shared" si="318"/>
        <v>0</v>
      </c>
      <c r="EF228" s="182">
        <f t="shared" si="318"/>
        <v>0</v>
      </c>
      <c r="EG228" s="182">
        <f t="shared" si="318"/>
        <v>0</v>
      </c>
      <c r="EH228" s="182">
        <f t="shared" si="318"/>
        <v>0</v>
      </c>
      <c r="EI228" s="182">
        <f t="shared" si="318"/>
        <v>0</v>
      </c>
      <c r="EJ228" s="182">
        <f t="shared" si="318"/>
        <v>0</v>
      </c>
      <c r="EK228" s="182">
        <f t="shared" si="318"/>
        <v>0</v>
      </c>
      <c r="EL228" s="182">
        <f t="shared" si="318"/>
        <v>0</v>
      </c>
      <c r="EM228" s="182">
        <f t="shared" si="318"/>
        <v>0</v>
      </c>
      <c r="EN228" s="182">
        <f t="shared" si="318"/>
        <v>0</v>
      </c>
      <c r="EO228" s="182">
        <f t="shared" si="318"/>
        <v>0</v>
      </c>
      <c r="EP228" s="182">
        <f t="shared" si="318"/>
        <v>0</v>
      </c>
      <c r="EQ228" s="182">
        <f t="shared" si="318"/>
        <v>0</v>
      </c>
      <c r="ER228" s="182">
        <f t="shared" si="318"/>
        <v>0</v>
      </c>
      <c r="ES228" s="182">
        <f t="shared" si="318"/>
        <v>0</v>
      </c>
      <c r="ET228" s="182">
        <f t="shared" si="318"/>
        <v>0</v>
      </c>
      <c r="EU228" s="182">
        <f t="shared" si="318"/>
        <v>0</v>
      </c>
      <c r="EV228" s="182">
        <f t="shared" si="318"/>
        <v>0</v>
      </c>
      <c r="EW228" s="182">
        <f t="shared" ref="EW228:FB228" si="319">EW61*EW$168</f>
        <v>0</v>
      </c>
      <c r="EX228" s="182">
        <f t="shared" si="319"/>
        <v>0</v>
      </c>
      <c r="EY228" s="182">
        <f t="shared" si="319"/>
        <v>0</v>
      </c>
      <c r="EZ228" s="182">
        <f t="shared" si="319"/>
        <v>0</v>
      </c>
      <c r="FA228" s="182">
        <f t="shared" si="319"/>
        <v>0</v>
      </c>
      <c r="FB228" s="183">
        <f t="shared" si="319"/>
        <v>0</v>
      </c>
    </row>
    <row r="229" spans="2:158" ht="12.75" customHeight="1" x14ac:dyDescent="0.3">
      <c r="B229" s="199" t="s">
        <v>3872</v>
      </c>
      <c r="C229" s="193">
        <v>0</v>
      </c>
      <c r="D229" s="182">
        <f t="shared" si="200"/>
        <v>0</v>
      </c>
      <c r="E229" s="182">
        <f t="shared" si="206"/>
        <v>0</v>
      </c>
      <c r="F229" s="182">
        <f t="shared" si="212"/>
        <v>0</v>
      </c>
      <c r="G229" s="182">
        <f t="shared" si="218"/>
        <v>0</v>
      </c>
      <c r="H229" s="182">
        <f t="shared" si="224"/>
        <v>0</v>
      </c>
      <c r="I229" s="176">
        <f t="shared" si="230"/>
        <v>0</v>
      </c>
      <c r="J229" s="182">
        <f t="shared" si="236"/>
        <v>0</v>
      </c>
      <c r="K229" s="182">
        <f t="shared" si="242"/>
        <v>0</v>
      </c>
      <c r="L229" s="182">
        <f t="shared" si="248"/>
        <v>0</v>
      </c>
      <c r="M229" s="182">
        <f t="shared" si="254"/>
        <v>0</v>
      </c>
      <c r="N229" s="182">
        <f t="shared" si="260"/>
        <v>0</v>
      </c>
      <c r="O229" s="182">
        <f t="shared" si="266"/>
        <v>0</v>
      </c>
      <c r="P229" s="182">
        <f t="shared" si="272"/>
        <v>0</v>
      </c>
      <c r="Q229" s="182">
        <f t="shared" si="278"/>
        <v>0</v>
      </c>
      <c r="R229" s="182">
        <f t="shared" si="284"/>
        <v>0</v>
      </c>
      <c r="S229" s="182">
        <f t="shared" si="290"/>
        <v>0</v>
      </c>
      <c r="T229" s="182">
        <f t="shared" si="296"/>
        <v>0</v>
      </c>
      <c r="U229" s="182">
        <f t="shared" si="302"/>
        <v>0</v>
      </c>
      <c r="V229" s="182">
        <f t="shared" si="308"/>
        <v>0</v>
      </c>
      <c r="W229" s="182">
        <f t="shared" si="314"/>
        <v>0</v>
      </c>
      <c r="X229" s="182">
        <f t="shared" ref="X229:X260" si="320">X62*X$168</f>
        <v>0</v>
      </c>
      <c r="Y229" s="182">
        <f t="shared" si="145"/>
        <v>0</v>
      </c>
      <c r="Z229" s="182">
        <f t="shared" si="150"/>
        <v>0</v>
      </c>
      <c r="AA229" s="182">
        <f t="shared" si="155"/>
        <v>0</v>
      </c>
      <c r="AB229" s="182">
        <f t="shared" si="160"/>
        <v>0</v>
      </c>
      <c r="AC229" s="182">
        <f t="shared" si="165"/>
        <v>0</v>
      </c>
      <c r="AD229" s="182">
        <f t="shared" si="170"/>
        <v>0</v>
      </c>
      <c r="AE229" s="182">
        <f t="shared" si="175"/>
        <v>0</v>
      </c>
      <c r="AF229" s="182">
        <f t="shared" si="180"/>
        <v>0</v>
      </c>
      <c r="AG229" s="182">
        <f t="shared" si="185"/>
        <v>0</v>
      </c>
      <c r="AH229" s="182">
        <f t="shared" si="190"/>
        <v>0</v>
      </c>
      <c r="AI229" s="182">
        <f t="shared" si="195"/>
        <v>0</v>
      </c>
      <c r="AJ229" s="182">
        <f t="shared" si="201"/>
        <v>0</v>
      </c>
      <c r="AK229" s="182">
        <f t="shared" si="207"/>
        <v>0</v>
      </c>
      <c r="AL229" s="182">
        <f t="shared" si="213"/>
        <v>0</v>
      </c>
      <c r="AM229" s="182">
        <f t="shared" si="219"/>
        <v>0</v>
      </c>
      <c r="AN229" s="182">
        <f t="shared" si="225"/>
        <v>0</v>
      </c>
      <c r="AO229" s="182">
        <f t="shared" si="231"/>
        <v>0</v>
      </c>
      <c r="AP229" s="182">
        <f t="shared" si="237"/>
        <v>0</v>
      </c>
      <c r="AQ229" s="182">
        <f t="shared" si="243"/>
        <v>0</v>
      </c>
      <c r="AR229" s="182">
        <f t="shared" si="249"/>
        <v>0</v>
      </c>
      <c r="AS229" s="182">
        <f t="shared" si="255"/>
        <v>0</v>
      </c>
      <c r="AT229" s="182">
        <f t="shared" si="261"/>
        <v>0</v>
      </c>
      <c r="AU229" s="182">
        <f t="shared" si="267"/>
        <v>0</v>
      </c>
      <c r="AV229" s="182">
        <f t="shared" si="273"/>
        <v>0</v>
      </c>
      <c r="AW229" s="182">
        <f t="shared" si="279"/>
        <v>0</v>
      </c>
      <c r="AX229" s="182">
        <f t="shared" si="285"/>
        <v>2.1010204151550618E-8</v>
      </c>
      <c r="AY229" s="182">
        <f t="shared" si="291"/>
        <v>0</v>
      </c>
      <c r="AZ229" s="182">
        <f t="shared" si="297"/>
        <v>0</v>
      </c>
      <c r="BA229" s="182">
        <f t="shared" si="303"/>
        <v>1.5545343410644508E-6</v>
      </c>
      <c r="BB229" s="182">
        <f t="shared" si="309"/>
        <v>0</v>
      </c>
      <c r="BC229" s="182">
        <f t="shared" si="315"/>
        <v>2.3847457415227097E-7</v>
      </c>
      <c r="BD229" s="182">
        <f t="shared" ref="BD229:BD260" si="321">BD62*BD$168</f>
        <v>0</v>
      </c>
      <c r="BE229" s="181">
        <f>$C229+SUM($D229:BD229,BF229:$FB229)-SUM(BE$176:BE228,BE230:BE$330)-BE$331</f>
        <v>0</v>
      </c>
      <c r="BF229" s="176">
        <f t="shared" ref="BF229:CK229" si="322">BF62*BF$168</f>
        <v>0</v>
      </c>
      <c r="BG229" s="176">
        <f t="shared" si="322"/>
        <v>0</v>
      </c>
      <c r="BH229" s="176">
        <f t="shared" si="322"/>
        <v>0</v>
      </c>
      <c r="BI229" s="176">
        <f t="shared" si="322"/>
        <v>0</v>
      </c>
      <c r="BJ229" s="176">
        <f t="shared" si="322"/>
        <v>0</v>
      </c>
      <c r="BK229" s="176">
        <f t="shared" si="322"/>
        <v>0</v>
      </c>
      <c r="BL229" s="176">
        <f t="shared" si="322"/>
        <v>0</v>
      </c>
      <c r="BM229" s="176">
        <f t="shared" si="322"/>
        <v>0</v>
      </c>
      <c r="BN229" s="176">
        <f t="shared" si="322"/>
        <v>0</v>
      </c>
      <c r="BO229" s="176">
        <f t="shared" si="322"/>
        <v>0</v>
      </c>
      <c r="BP229" s="176">
        <f t="shared" si="322"/>
        <v>0</v>
      </c>
      <c r="BQ229" s="176">
        <f t="shared" si="322"/>
        <v>0</v>
      </c>
      <c r="BR229" s="176">
        <f t="shared" si="322"/>
        <v>0</v>
      </c>
      <c r="BS229" s="176">
        <f t="shared" si="322"/>
        <v>0</v>
      </c>
      <c r="BT229" s="176">
        <f t="shared" si="322"/>
        <v>0</v>
      </c>
      <c r="BU229" s="176">
        <f t="shared" si="322"/>
        <v>0</v>
      </c>
      <c r="BV229" s="176">
        <f t="shared" si="322"/>
        <v>0</v>
      </c>
      <c r="BW229" s="176">
        <f t="shared" si="322"/>
        <v>0</v>
      </c>
      <c r="BX229" s="176">
        <f t="shared" si="322"/>
        <v>0</v>
      </c>
      <c r="BY229" s="176">
        <f t="shared" si="322"/>
        <v>0</v>
      </c>
      <c r="BZ229" s="176">
        <f t="shared" si="322"/>
        <v>0</v>
      </c>
      <c r="CA229" s="176">
        <f t="shared" si="322"/>
        <v>0</v>
      </c>
      <c r="CB229" s="176">
        <f t="shared" si="322"/>
        <v>0</v>
      </c>
      <c r="CC229" s="176">
        <f t="shared" si="322"/>
        <v>1.3798043393582415E-4</v>
      </c>
      <c r="CD229" s="176">
        <f t="shared" si="322"/>
        <v>0</v>
      </c>
      <c r="CE229" s="176">
        <f t="shared" si="322"/>
        <v>0</v>
      </c>
      <c r="CF229" s="176">
        <f t="shared" si="322"/>
        <v>0</v>
      </c>
      <c r="CG229" s="176">
        <f t="shared" si="322"/>
        <v>3.0662421534244637E-4</v>
      </c>
      <c r="CH229" s="176">
        <f t="shared" si="322"/>
        <v>0</v>
      </c>
      <c r="CI229" s="176">
        <f t="shared" si="322"/>
        <v>0</v>
      </c>
      <c r="CJ229" s="176">
        <f t="shared" si="322"/>
        <v>0</v>
      </c>
      <c r="CK229" s="176">
        <f t="shared" si="322"/>
        <v>5.1103864420675605E-5</v>
      </c>
      <c r="CL229" s="176">
        <f t="shared" ref="CL229:DQ229" si="323">CL62*CL$168</f>
        <v>0</v>
      </c>
      <c r="CM229" s="176">
        <f t="shared" si="323"/>
        <v>0</v>
      </c>
      <c r="CN229" s="176">
        <f t="shared" si="323"/>
        <v>0</v>
      </c>
      <c r="CO229" s="176">
        <f t="shared" si="323"/>
        <v>0</v>
      </c>
      <c r="CP229" s="176">
        <f t="shared" si="323"/>
        <v>0</v>
      </c>
      <c r="CQ229" s="176">
        <f t="shared" si="323"/>
        <v>0</v>
      </c>
      <c r="CR229" s="176">
        <f t="shared" si="323"/>
        <v>0</v>
      </c>
      <c r="CS229" s="176">
        <f t="shared" si="323"/>
        <v>0</v>
      </c>
      <c r="CT229" s="176">
        <f t="shared" si="323"/>
        <v>0</v>
      </c>
      <c r="CU229" s="176">
        <f t="shared" si="323"/>
        <v>0</v>
      </c>
      <c r="CV229" s="176">
        <f t="shared" si="323"/>
        <v>0</v>
      </c>
      <c r="CW229" s="176">
        <f t="shared" si="323"/>
        <v>0</v>
      </c>
      <c r="CX229" s="176">
        <f t="shared" si="323"/>
        <v>0</v>
      </c>
      <c r="CY229" s="176">
        <f t="shared" si="323"/>
        <v>0</v>
      </c>
      <c r="CZ229" s="176">
        <f t="shared" si="323"/>
        <v>0</v>
      </c>
      <c r="DA229" s="176">
        <f t="shared" si="323"/>
        <v>0</v>
      </c>
      <c r="DB229" s="176">
        <f t="shared" si="323"/>
        <v>0</v>
      </c>
      <c r="DC229" s="176">
        <f t="shared" si="323"/>
        <v>0</v>
      </c>
      <c r="DD229" s="176">
        <f t="shared" si="323"/>
        <v>0</v>
      </c>
      <c r="DE229" s="176">
        <f t="shared" si="323"/>
        <v>0</v>
      </c>
      <c r="DF229" s="176">
        <f t="shared" si="323"/>
        <v>0</v>
      </c>
      <c r="DG229" s="176">
        <f t="shared" si="323"/>
        <v>0</v>
      </c>
      <c r="DH229" s="176">
        <f t="shared" si="323"/>
        <v>0</v>
      </c>
      <c r="DI229" s="176">
        <f t="shared" si="323"/>
        <v>0</v>
      </c>
      <c r="DJ229" s="176">
        <f t="shared" si="323"/>
        <v>0</v>
      </c>
      <c r="DK229" s="176">
        <f t="shared" si="323"/>
        <v>0</v>
      </c>
      <c r="DL229" s="176">
        <f t="shared" si="323"/>
        <v>0</v>
      </c>
      <c r="DM229" s="176">
        <f t="shared" si="323"/>
        <v>0</v>
      </c>
      <c r="DN229" s="176">
        <f t="shared" si="323"/>
        <v>0</v>
      </c>
      <c r="DO229" s="176">
        <f t="shared" si="323"/>
        <v>0</v>
      </c>
      <c r="DP229" s="176">
        <f t="shared" si="323"/>
        <v>0</v>
      </c>
      <c r="DQ229" s="176">
        <f t="shared" si="323"/>
        <v>0</v>
      </c>
      <c r="DR229" s="176">
        <f t="shared" ref="DR229:FB229" si="324">DR62*DR$168</f>
        <v>0</v>
      </c>
      <c r="DS229" s="176">
        <f t="shared" si="324"/>
        <v>0</v>
      </c>
      <c r="DT229" s="176">
        <f t="shared" si="324"/>
        <v>0</v>
      </c>
      <c r="DU229" s="176">
        <f t="shared" si="324"/>
        <v>0</v>
      </c>
      <c r="DV229" s="176">
        <f t="shared" si="324"/>
        <v>0</v>
      </c>
      <c r="DW229" s="176">
        <f t="shared" si="324"/>
        <v>0</v>
      </c>
      <c r="DX229" s="176">
        <f t="shared" si="324"/>
        <v>0</v>
      </c>
      <c r="DY229" s="176">
        <f t="shared" si="324"/>
        <v>0</v>
      </c>
      <c r="DZ229" s="176">
        <f t="shared" si="324"/>
        <v>0</v>
      </c>
      <c r="EA229" s="176">
        <f t="shared" si="324"/>
        <v>0</v>
      </c>
      <c r="EB229" s="176">
        <f t="shared" si="324"/>
        <v>0</v>
      </c>
      <c r="EC229" s="176">
        <f t="shared" si="324"/>
        <v>0</v>
      </c>
      <c r="ED229" s="176">
        <f t="shared" si="324"/>
        <v>0</v>
      </c>
      <c r="EE229" s="176">
        <f t="shared" si="324"/>
        <v>0</v>
      </c>
      <c r="EF229" s="182">
        <f t="shared" si="324"/>
        <v>0</v>
      </c>
      <c r="EG229" s="182">
        <f t="shared" si="324"/>
        <v>0</v>
      </c>
      <c r="EH229" s="182">
        <f t="shared" si="324"/>
        <v>0</v>
      </c>
      <c r="EI229" s="182">
        <f t="shared" si="324"/>
        <v>0</v>
      </c>
      <c r="EJ229" s="182">
        <f t="shared" si="324"/>
        <v>0</v>
      </c>
      <c r="EK229" s="182">
        <f t="shared" si="324"/>
        <v>0</v>
      </c>
      <c r="EL229" s="182">
        <f t="shared" si="324"/>
        <v>0</v>
      </c>
      <c r="EM229" s="182">
        <f t="shared" si="324"/>
        <v>0</v>
      </c>
      <c r="EN229" s="182">
        <f t="shared" si="324"/>
        <v>0</v>
      </c>
      <c r="EO229" s="182">
        <f t="shared" si="324"/>
        <v>0</v>
      </c>
      <c r="EP229" s="182">
        <f t="shared" si="324"/>
        <v>0</v>
      </c>
      <c r="EQ229" s="182">
        <f t="shared" si="324"/>
        <v>0</v>
      </c>
      <c r="ER229" s="182">
        <f t="shared" si="324"/>
        <v>0</v>
      </c>
      <c r="ES229" s="182">
        <f t="shared" si="324"/>
        <v>0</v>
      </c>
      <c r="ET229" s="182">
        <f t="shared" si="324"/>
        <v>0</v>
      </c>
      <c r="EU229" s="182">
        <f t="shared" si="324"/>
        <v>0</v>
      </c>
      <c r="EV229" s="182">
        <f t="shared" si="324"/>
        <v>0</v>
      </c>
      <c r="EW229" s="182">
        <f t="shared" si="324"/>
        <v>0</v>
      </c>
      <c r="EX229" s="182">
        <f t="shared" si="324"/>
        <v>0</v>
      </c>
      <c r="EY229" s="182">
        <f t="shared" si="324"/>
        <v>0</v>
      </c>
      <c r="EZ229" s="182">
        <f t="shared" si="324"/>
        <v>0</v>
      </c>
      <c r="FA229" s="182">
        <f t="shared" si="324"/>
        <v>0</v>
      </c>
      <c r="FB229" s="183">
        <f t="shared" si="324"/>
        <v>0</v>
      </c>
    </row>
    <row r="230" spans="2:158" ht="12.75" customHeight="1" x14ac:dyDescent="0.3">
      <c r="B230" s="199" t="s">
        <v>3873</v>
      </c>
      <c r="C230" s="193">
        <v>0</v>
      </c>
      <c r="D230" s="182">
        <f t="shared" si="200"/>
        <v>0</v>
      </c>
      <c r="E230" s="182">
        <f t="shared" si="206"/>
        <v>0</v>
      </c>
      <c r="F230" s="182">
        <f t="shared" si="212"/>
        <v>0</v>
      </c>
      <c r="G230" s="182">
        <f t="shared" si="218"/>
        <v>0</v>
      </c>
      <c r="H230" s="182">
        <f t="shared" si="224"/>
        <v>0</v>
      </c>
      <c r="I230" s="176">
        <f t="shared" si="230"/>
        <v>0</v>
      </c>
      <c r="J230" s="182">
        <f t="shared" si="236"/>
        <v>0</v>
      </c>
      <c r="K230" s="182">
        <f t="shared" si="242"/>
        <v>0</v>
      </c>
      <c r="L230" s="182">
        <f t="shared" si="248"/>
        <v>0</v>
      </c>
      <c r="M230" s="182">
        <f t="shared" si="254"/>
        <v>0</v>
      </c>
      <c r="N230" s="182">
        <f t="shared" si="260"/>
        <v>0</v>
      </c>
      <c r="O230" s="182">
        <f t="shared" si="266"/>
        <v>0</v>
      </c>
      <c r="P230" s="182">
        <f t="shared" si="272"/>
        <v>0</v>
      </c>
      <c r="Q230" s="182">
        <f t="shared" si="278"/>
        <v>0</v>
      </c>
      <c r="R230" s="182">
        <f t="shared" si="284"/>
        <v>0</v>
      </c>
      <c r="S230" s="182">
        <f t="shared" si="290"/>
        <v>0</v>
      </c>
      <c r="T230" s="182">
        <f t="shared" si="296"/>
        <v>0</v>
      </c>
      <c r="U230" s="182">
        <f t="shared" si="302"/>
        <v>0</v>
      </c>
      <c r="V230" s="182">
        <f t="shared" si="308"/>
        <v>0</v>
      </c>
      <c r="W230" s="182">
        <f t="shared" si="314"/>
        <v>0</v>
      </c>
      <c r="X230" s="182">
        <f t="shared" si="320"/>
        <v>0</v>
      </c>
      <c r="Y230" s="182">
        <f t="shared" ref="Y230:Y261" si="325">Y63*Y$168</f>
        <v>0</v>
      </c>
      <c r="Z230" s="182">
        <f t="shared" si="150"/>
        <v>0</v>
      </c>
      <c r="AA230" s="182">
        <f t="shared" si="155"/>
        <v>0</v>
      </c>
      <c r="AB230" s="182">
        <f t="shared" si="160"/>
        <v>0</v>
      </c>
      <c r="AC230" s="182">
        <f t="shared" si="165"/>
        <v>0</v>
      </c>
      <c r="AD230" s="182">
        <f t="shared" si="170"/>
        <v>0</v>
      </c>
      <c r="AE230" s="182">
        <f t="shared" si="175"/>
        <v>0</v>
      </c>
      <c r="AF230" s="182">
        <f t="shared" si="180"/>
        <v>0</v>
      </c>
      <c r="AG230" s="182">
        <f t="shared" si="185"/>
        <v>0</v>
      </c>
      <c r="AH230" s="182">
        <f t="shared" si="190"/>
        <v>0</v>
      </c>
      <c r="AI230" s="182">
        <f t="shared" si="195"/>
        <v>0</v>
      </c>
      <c r="AJ230" s="182">
        <f t="shared" si="201"/>
        <v>0</v>
      </c>
      <c r="AK230" s="182">
        <f t="shared" si="207"/>
        <v>0</v>
      </c>
      <c r="AL230" s="182">
        <f t="shared" si="213"/>
        <v>0</v>
      </c>
      <c r="AM230" s="182">
        <f t="shared" si="219"/>
        <v>0</v>
      </c>
      <c r="AN230" s="182">
        <f t="shared" si="225"/>
        <v>0</v>
      </c>
      <c r="AO230" s="182">
        <f t="shared" si="231"/>
        <v>0</v>
      </c>
      <c r="AP230" s="182">
        <f t="shared" si="237"/>
        <v>0</v>
      </c>
      <c r="AQ230" s="182">
        <f t="shared" si="243"/>
        <v>0</v>
      </c>
      <c r="AR230" s="182">
        <f t="shared" si="249"/>
        <v>0</v>
      </c>
      <c r="AS230" s="182">
        <f t="shared" si="255"/>
        <v>0</v>
      </c>
      <c r="AT230" s="182">
        <f t="shared" si="261"/>
        <v>0</v>
      </c>
      <c r="AU230" s="182">
        <f t="shared" si="267"/>
        <v>0</v>
      </c>
      <c r="AV230" s="182">
        <f t="shared" si="273"/>
        <v>0</v>
      </c>
      <c r="AW230" s="182">
        <f t="shared" si="279"/>
        <v>0</v>
      </c>
      <c r="AX230" s="182">
        <f t="shared" si="285"/>
        <v>0</v>
      </c>
      <c r="AY230" s="182">
        <f t="shared" si="291"/>
        <v>0</v>
      </c>
      <c r="AZ230" s="182">
        <f t="shared" si="297"/>
        <v>0</v>
      </c>
      <c r="BA230" s="182">
        <f t="shared" si="303"/>
        <v>0</v>
      </c>
      <c r="BB230" s="182">
        <f t="shared" si="309"/>
        <v>0</v>
      </c>
      <c r="BC230" s="182">
        <f t="shared" si="315"/>
        <v>0</v>
      </c>
      <c r="BD230" s="182">
        <f t="shared" si="321"/>
        <v>0</v>
      </c>
      <c r="BE230" s="182">
        <f t="shared" ref="BE230:BE261" si="326">BE63*BE$168</f>
        <v>0</v>
      </c>
      <c r="BF230" s="181">
        <f>$C230+SUM($D230:BE230,BG230:$FB230)-SUM(BF$176:BF229,BF231:BF$330)-BF$331</f>
        <v>0</v>
      </c>
      <c r="BG230" s="176">
        <f t="shared" ref="BG230:CL230" si="327">BG63*BG$168</f>
        <v>0</v>
      </c>
      <c r="BH230" s="176">
        <f t="shared" si="327"/>
        <v>0</v>
      </c>
      <c r="BI230" s="176">
        <f t="shared" si="327"/>
        <v>0</v>
      </c>
      <c r="BJ230" s="176">
        <f t="shared" si="327"/>
        <v>0</v>
      </c>
      <c r="BK230" s="176">
        <f t="shared" si="327"/>
        <v>0</v>
      </c>
      <c r="BL230" s="176">
        <f t="shared" si="327"/>
        <v>0</v>
      </c>
      <c r="BM230" s="176">
        <f t="shared" si="327"/>
        <v>0</v>
      </c>
      <c r="BN230" s="176">
        <f t="shared" si="327"/>
        <v>0</v>
      </c>
      <c r="BO230" s="176">
        <f t="shared" si="327"/>
        <v>0</v>
      </c>
      <c r="BP230" s="176">
        <f t="shared" si="327"/>
        <v>0</v>
      </c>
      <c r="BQ230" s="176">
        <f t="shared" si="327"/>
        <v>0</v>
      </c>
      <c r="BR230" s="176">
        <f t="shared" si="327"/>
        <v>0</v>
      </c>
      <c r="BS230" s="176">
        <f t="shared" si="327"/>
        <v>0</v>
      </c>
      <c r="BT230" s="176">
        <f t="shared" si="327"/>
        <v>0</v>
      </c>
      <c r="BU230" s="176">
        <f t="shared" si="327"/>
        <v>0</v>
      </c>
      <c r="BV230" s="176">
        <f t="shared" si="327"/>
        <v>0</v>
      </c>
      <c r="BW230" s="176">
        <f t="shared" si="327"/>
        <v>0</v>
      </c>
      <c r="BX230" s="176">
        <f t="shared" si="327"/>
        <v>0</v>
      </c>
      <c r="BY230" s="176">
        <f t="shared" si="327"/>
        <v>0</v>
      </c>
      <c r="BZ230" s="176">
        <f t="shared" si="327"/>
        <v>0</v>
      </c>
      <c r="CA230" s="176">
        <f t="shared" si="327"/>
        <v>0</v>
      </c>
      <c r="CB230" s="176">
        <f t="shared" si="327"/>
        <v>0</v>
      </c>
      <c r="CC230" s="176">
        <f t="shared" si="327"/>
        <v>0</v>
      </c>
      <c r="CD230" s="176">
        <f t="shared" si="327"/>
        <v>0</v>
      </c>
      <c r="CE230" s="176">
        <f t="shared" si="327"/>
        <v>0</v>
      </c>
      <c r="CF230" s="176">
        <f t="shared" si="327"/>
        <v>0</v>
      </c>
      <c r="CG230" s="176">
        <f t="shared" si="327"/>
        <v>0</v>
      </c>
      <c r="CH230" s="176">
        <f t="shared" si="327"/>
        <v>0</v>
      </c>
      <c r="CI230" s="176">
        <f t="shared" si="327"/>
        <v>0</v>
      </c>
      <c r="CJ230" s="176">
        <f t="shared" si="327"/>
        <v>0</v>
      </c>
      <c r="CK230" s="176">
        <f t="shared" si="327"/>
        <v>0</v>
      </c>
      <c r="CL230" s="176">
        <f t="shared" si="327"/>
        <v>0</v>
      </c>
      <c r="CM230" s="176">
        <f t="shared" ref="CM230:DR230" si="328">CM63*CM$168</f>
        <v>0</v>
      </c>
      <c r="CN230" s="176">
        <f t="shared" si="328"/>
        <v>0</v>
      </c>
      <c r="CO230" s="176">
        <f t="shared" si="328"/>
        <v>0</v>
      </c>
      <c r="CP230" s="176">
        <f t="shared" si="328"/>
        <v>0</v>
      </c>
      <c r="CQ230" s="176">
        <f t="shared" si="328"/>
        <v>0</v>
      </c>
      <c r="CR230" s="176">
        <f t="shared" si="328"/>
        <v>0</v>
      </c>
      <c r="CS230" s="176">
        <f t="shared" si="328"/>
        <v>0</v>
      </c>
      <c r="CT230" s="176">
        <f t="shared" si="328"/>
        <v>0</v>
      </c>
      <c r="CU230" s="176">
        <f t="shared" si="328"/>
        <v>0</v>
      </c>
      <c r="CV230" s="176">
        <f t="shared" si="328"/>
        <v>0</v>
      </c>
      <c r="CW230" s="176">
        <f t="shared" si="328"/>
        <v>0</v>
      </c>
      <c r="CX230" s="176">
        <f t="shared" si="328"/>
        <v>0</v>
      </c>
      <c r="CY230" s="176">
        <f t="shared" si="328"/>
        <v>0</v>
      </c>
      <c r="CZ230" s="176">
        <f t="shared" si="328"/>
        <v>0</v>
      </c>
      <c r="DA230" s="176">
        <f t="shared" si="328"/>
        <v>0</v>
      </c>
      <c r="DB230" s="176">
        <f t="shared" si="328"/>
        <v>0</v>
      </c>
      <c r="DC230" s="176">
        <f t="shared" si="328"/>
        <v>0</v>
      </c>
      <c r="DD230" s="176">
        <f t="shared" si="328"/>
        <v>0</v>
      </c>
      <c r="DE230" s="176">
        <f t="shared" si="328"/>
        <v>0</v>
      </c>
      <c r="DF230" s="176">
        <f t="shared" si="328"/>
        <v>0</v>
      </c>
      <c r="DG230" s="176">
        <f t="shared" si="328"/>
        <v>0</v>
      </c>
      <c r="DH230" s="176">
        <f t="shared" si="328"/>
        <v>0</v>
      </c>
      <c r="DI230" s="176">
        <f t="shared" si="328"/>
        <v>0</v>
      </c>
      <c r="DJ230" s="176">
        <f t="shared" si="328"/>
        <v>0</v>
      </c>
      <c r="DK230" s="176">
        <f t="shared" si="328"/>
        <v>0</v>
      </c>
      <c r="DL230" s="176">
        <f t="shared" si="328"/>
        <v>0</v>
      </c>
      <c r="DM230" s="176">
        <f t="shared" si="328"/>
        <v>0</v>
      </c>
      <c r="DN230" s="176">
        <f t="shared" si="328"/>
        <v>0</v>
      </c>
      <c r="DO230" s="176">
        <f t="shared" si="328"/>
        <v>0</v>
      </c>
      <c r="DP230" s="176">
        <f t="shared" si="328"/>
        <v>0</v>
      </c>
      <c r="DQ230" s="176">
        <f t="shared" si="328"/>
        <v>0</v>
      </c>
      <c r="DR230" s="176">
        <f t="shared" si="328"/>
        <v>0</v>
      </c>
      <c r="DS230" s="176">
        <f t="shared" ref="DS230:FB230" si="329">DS63*DS$168</f>
        <v>0</v>
      </c>
      <c r="DT230" s="176">
        <f t="shared" si="329"/>
        <v>0</v>
      </c>
      <c r="DU230" s="176">
        <f t="shared" si="329"/>
        <v>0</v>
      </c>
      <c r="DV230" s="176">
        <f t="shared" si="329"/>
        <v>0</v>
      </c>
      <c r="DW230" s="176">
        <f t="shared" si="329"/>
        <v>0</v>
      </c>
      <c r="DX230" s="176">
        <f t="shared" si="329"/>
        <v>0</v>
      </c>
      <c r="DY230" s="176">
        <f t="shared" si="329"/>
        <v>0</v>
      </c>
      <c r="DZ230" s="176">
        <f t="shared" si="329"/>
        <v>0</v>
      </c>
      <c r="EA230" s="176">
        <f t="shared" si="329"/>
        <v>0</v>
      </c>
      <c r="EB230" s="176">
        <f t="shared" si="329"/>
        <v>0</v>
      </c>
      <c r="EC230" s="176">
        <f t="shared" si="329"/>
        <v>0</v>
      </c>
      <c r="ED230" s="176">
        <f t="shared" si="329"/>
        <v>0</v>
      </c>
      <c r="EE230" s="176">
        <f t="shared" si="329"/>
        <v>0</v>
      </c>
      <c r="EF230" s="182">
        <f t="shared" si="329"/>
        <v>0</v>
      </c>
      <c r="EG230" s="182">
        <f t="shared" si="329"/>
        <v>0</v>
      </c>
      <c r="EH230" s="182">
        <f t="shared" si="329"/>
        <v>0</v>
      </c>
      <c r="EI230" s="182">
        <f t="shared" si="329"/>
        <v>0</v>
      </c>
      <c r="EJ230" s="182">
        <f t="shared" si="329"/>
        <v>0</v>
      </c>
      <c r="EK230" s="182">
        <f t="shared" si="329"/>
        <v>0</v>
      </c>
      <c r="EL230" s="182">
        <f t="shared" si="329"/>
        <v>0</v>
      </c>
      <c r="EM230" s="182">
        <f t="shared" si="329"/>
        <v>0</v>
      </c>
      <c r="EN230" s="182">
        <f t="shared" si="329"/>
        <v>0</v>
      </c>
      <c r="EO230" s="182">
        <f t="shared" si="329"/>
        <v>0</v>
      </c>
      <c r="EP230" s="182">
        <f t="shared" si="329"/>
        <v>0</v>
      </c>
      <c r="EQ230" s="182">
        <f t="shared" si="329"/>
        <v>0</v>
      </c>
      <c r="ER230" s="182">
        <f t="shared" si="329"/>
        <v>0</v>
      </c>
      <c r="ES230" s="182">
        <f t="shared" si="329"/>
        <v>0</v>
      </c>
      <c r="ET230" s="182">
        <f t="shared" si="329"/>
        <v>0</v>
      </c>
      <c r="EU230" s="182">
        <f t="shared" si="329"/>
        <v>0</v>
      </c>
      <c r="EV230" s="182">
        <f t="shared" si="329"/>
        <v>0</v>
      </c>
      <c r="EW230" s="182">
        <f t="shared" si="329"/>
        <v>0</v>
      </c>
      <c r="EX230" s="182">
        <f t="shared" si="329"/>
        <v>0</v>
      </c>
      <c r="EY230" s="182">
        <f t="shared" si="329"/>
        <v>0</v>
      </c>
      <c r="EZ230" s="182">
        <f t="shared" si="329"/>
        <v>0</v>
      </c>
      <c r="FA230" s="182">
        <f t="shared" si="329"/>
        <v>0</v>
      </c>
      <c r="FB230" s="183">
        <f t="shared" si="329"/>
        <v>0</v>
      </c>
    </row>
    <row r="231" spans="2:158" ht="12.75" customHeight="1" x14ac:dyDescent="0.3">
      <c r="B231" s="199" t="s">
        <v>3874</v>
      </c>
      <c r="C231" s="193">
        <v>0</v>
      </c>
      <c r="D231" s="182">
        <f t="shared" si="200"/>
        <v>0</v>
      </c>
      <c r="E231" s="182">
        <f t="shared" si="206"/>
        <v>0</v>
      </c>
      <c r="F231" s="182">
        <f t="shared" si="212"/>
        <v>0</v>
      </c>
      <c r="G231" s="182">
        <f t="shared" si="218"/>
        <v>0</v>
      </c>
      <c r="H231" s="182">
        <f t="shared" si="224"/>
        <v>0</v>
      </c>
      <c r="I231" s="176">
        <f t="shared" si="230"/>
        <v>0</v>
      </c>
      <c r="J231" s="182">
        <f t="shared" si="236"/>
        <v>0</v>
      </c>
      <c r="K231" s="182">
        <f t="shared" si="242"/>
        <v>0</v>
      </c>
      <c r="L231" s="182">
        <f t="shared" si="248"/>
        <v>0</v>
      </c>
      <c r="M231" s="182">
        <f t="shared" si="254"/>
        <v>0</v>
      </c>
      <c r="N231" s="182">
        <f t="shared" si="260"/>
        <v>0</v>
      </c>
      <c r="O231" s="182">
        <f t="shared" si="266"/>
        <v>0</v>
      </c>
      <c r="P231" s="182">
        <f t="shared" si="272"/>
        <v>0</v>
      </c>
      <c r="Q231" s="182">
        <f t="shared" si="278"/>
        <v>0</v>
      </c>
      <c r="R231" s="182">
        <f t="shared" si="284"/>
        <v>0</v>
      </c>
      <c r="S231" s="182">
        <f t="shared" si="290"/>
        <v>0</v>
      </c>
      <c r="T231" s="182">
        <f t="shared" si="296"/>
        <v>0</v>
      </c>
      <c r="U231" s="182">
        <f t="shared" si="302"/>
        <v>0</v>
      </c>
      <c r="V231" s="182">
        <f t="shared" si="308"/>
        <v>0</v>
      </c>
      <c r="W231" s="182">
        <f t="shared" si="314"/>
        <v>0</v>
      </c>
      <c r="X231" s="182">
        <f t="shared" si="320"/>
        <v>0</v>
      </c>
      <c r="Y231" s="182">
        <f t="shared" si="325"/>
        <v>0</v>
      </c>
      <c r="Z231" s="182">
        <f t="shared" ref="Z231:Z262" si="330">Z64*Z$168</f>
        <v>0</v>
      </c>
      <c r="AA231" s="182">
        <f t="shared" si="155"/>
        <v>0</v>
      </c>
      <c r="AB231" s="182">
        <f t="shared" si="160"/>
        <v>0</v>
      </c>
      <c r="AC231" s="182">
        <f t="shared" si="165"/>
        <v>0</v>
      </c>
      <c r="AD231" s="182">
        <f t="shared" si="170"/>
        <v>0</v>
      </c>
      <c r="AE231" s="182">
        <f t="shared" si="175"/>
        <v>0</v>
      </c>
      <c r="AF231" s="182">
        <f t="shared" si="180"/>
        <v>0</v>
      </c>
      <c r="AG231" s="182">
        <f t="shared" si="185"/>
        <v>0</v>
      </c>
      <c r="AH231" s="182">
        <f t="shared" si="190"/>
        <v>0</v>
      </c>
      <c r="AI231" s="182">
        <f t="shared" si="195"/>
        <v>0</v>
      </c>
      <c r="AJ231" s="182">
        <f t="shared" si="201"/>
        <v>0</v>
      </c>
      <c r="AK231" s="182">
        <f t="shared" si="207"/>
        <v>0</v>
      </c>
      <c r="AL231" s="182">
        <f t="shared" si="213"/>
        <v>0</v>
      </c>
      <c r="AM231" s="182">
        <f t="shared" si="219"/>
        <v>0</v>
      </c>
      <c r="AN231" s="182">
        <f t="shared" si="225"/>
        <v>0</v>
      </c>
      <c r="AO231" s="182">
        <f t="shared" si="231"/>
        <v>0</v>
      </c>
      <c r="AP231" s="182">
        <f t="shared" si="237"/>
        <v>0</v>
      </c>
      <c r="AQ231" s="182">
        <f t="shared" si="243"/>
        <v>0</v>
      </c>
      <c r="AR231" s="182">
        <f t="shared" si="249"/>
        <v>0</v>
      </c>
      <c r="AS231" s="182">
        <f t="shared" si="255"/>
        <v>0</v>
      </c>
      <c r="AT231" s="182">
        <f t="shared" si="261"/>
        <v>0</v>
      </c>
      <c r="AU231" s="182">
        <f t="shared" si="267"/>
        <v>0</v>
      </c>
      <c r="AV231" s="182">
        <f t="shared" si="273"/>
        <v>1.2693901713688469E-3</v>
      </c>
      <c r="AW231" s="182">
        <f t="shared" si="279"/>
        <v>0</v>
      </c>
      <c r="AX231" s="182">
        <f t="shared" si="285"/>
        <v>0</v>
      </c>
      <c r="AY231" s="182">
        <f t="shared" si="291"/>
        <v>1.4210762316121104E-4</v>
      </c>
      <c r="AZ231" s="182">
        <f t="shared" si="297"/>
        <v>0</v>
      </c>
      <c r="BA231" s="182">
        <f t="shared" si="303"/>
        <v>0</v>
      </c>
      <c r="BB231" s="182">
        <f t="shared" si="309"/>
        <v>0</v>
      </c>
      <c r="BC231" s="182">
        <f t="shared" si="315"/>
        <v>1.9426777826732155E-9</v>
      </c>
      <c r="BD231" s="182">
        <f t="shared" si="321"/>
        <v>0</v>
      </c>
      <c r="BE231" s="182">
        <f t="shared" si="326"/>
        <v>0</v>
      </c>
      <c r="BF231" s="182">
        <f t="shared" ref="BF231:BF262" si="331">BF64*BF$168</f>
        <v>0</v>
      </c>
      <c r="BG231" s="181">
        <f>$C231+SUM($D231:BF231,BH231:$FB231)-SUM(BG$176:BG230,BG232:BG$330)-BG$331</f>
        <v>2.1684043449710089E-19</v>
      </c>
      <c r="BH231" s="176">
        <f t="shared" ref="BH231:CM231" si="332">BH64*BH$168</f>
        <v>0</v>
      </c>
      <c r="BI231" s="176">
        <f t="shared" si="332"/>
        <v>0</v>
      </c>
      <c r="BJ231" s="176">
        <f t="shared" si="332"/>
        <v>0</v>
      </c>
      <c r="BK231" s="176">
        <f t="shared" si="332"/>
        <v>0</v>
      </c>
      <c r="BL231" s="176">
        <f t="shared" si="332"/>
        <v>0</v>
      </c>
      <c r="BM231" s="176">
        <f t="shared" si="332"/>
        <v>0</v>
      </c>
      <c r="BN231" s="176">
        <f t="shared" si="332"/>
        <v>0</v>
      </c>
      <c r="BO231" s="176">
        <f t="shared" si="332"/>
        <v>0</v>
      </c>
      <c r="BP231" s="176">
        <f t="shared" si="332"/>
        <v>0</v>
      </c>
      <c r="BQ231" s="176">
        <f t="shared" si="332"/>
        <v>0</v>
      </c>
      <c r="BR231" s="176">
        <f t="shared" si="332"/>
        <v>0</v>
      </c>
      <c r="BS231" s="176">
        <f t="shared" si="332"/>
        <v>3.099767398940006E-14</v>
      </c>
      <c r="BT231" s="176">
        <f t="shared" si="332"/>
        <v>0</v>
      </c>
      <c r="BU231" s="176">
        <f t="shared" si="332"/>
        <v>0</v>
      </c>
      <c r="BV231" s="176">
        <f t="shared" si="332"/>
        <v>0</v>
      </c>
      <c r="BW231" s="176">
        <f t="shared" si="332"/>
        <v>0</v>
      </c>
      <c r="BX231" s="176">
        <f t="shared" si="332"/>
        <v>0</v>
      </c>
      <c r="BY231" s="176">
        <f t="shared" si="332"/>
        <v>0</v>
      </c>
      <c r="BZ231" s="176">
        <f t="shared" si="332"/>
        <v>0</v>
      </c>
      <c r="CA231" s="176">
        <f t="shared" si="332"/>
        <v>3.9281748053328182E-8</v>
      </c>
      <c r="CB231" s="176">
        <f t="shared" si="332"/>
        <v>0</v>
      </c>
      <c r="CC231" s="176">
        <f t="shared" si="332"/>
        <v>0</v>
      </c>
      <c r="CD231" s="176">
        <f t="shared" si="332"/>
        <v>0</v>
      </c>
      <c r="CE231" s="176">
        <f t="shared" si="332"/>
        <v>3.9720680271810761E-8</v>
      </c>
      <c r="CF231" s="176">
        <f t="shared" si="332"/>
        <v>0</v>
      </c>
      <c r="CG231" s="176">
        <f t="shared" si="332"/>
        <v>0</v>
      </c>
      <c r="CH231" s="176">
        <f t="shared" si="332"/>
        <v>0</v>
      </c>
      <c r="CI231" s="176">
        <f t="shared" si="332"/>
        <v>1.4548795575306736E-8</v>
      </c>
      <c r="CJ231" s="176">
        <f t="shared" si="332"/>
        <v>0</v>
      </c>
      <c r="CK231" s="176">
        <f t="shared" si="332"/>
        <v>0</v>
      </c>
      <c r="CL231" s="176">
        <f t="shared" si="332"/>
        <v>0</v>
      </c>
      <c r="CM231" s="176">
        <f t="shared" si="332"/>
        <v>0</v>
      </c>
      <c r="CN231" s="176">
        <f t="shared" ref="CN231:DS231" si="333">CN64*CN$168</f>
        <v>0</v>
      </c>
      <c r="CO231" s="176">
        <f t="shared" si="333"/>
        <v>0</v>
      </c>
      <c r="CP231" s="176">
        <f t="shared" si="333"/>
        <v>0</v>
      </c>
      <c r="CQ231" s="176">
        <f t="shared" si="333"/>
        <v>0</v>
      </c>
      <c r="CR231" s="176">
        <f t="shared" si="333"/>
        <v>0</v>
      </c>
      <c r="CS231" s="176">
        <f t="shared" si="333"/>
        <v>0</v>
      </c>
      <c r="CT231" s="176">
        <f t="shared" si="333"/>
        <v>0</v>
      </c>
      <c r="CU231" s="176">
        <f t="shared" si="333"/>
        <v>0</v>
      </c>
      <c r="CV231" s="176">
        <f t="shared" si="333"/>
        <v>0</v>
      </c>
      <c r="CW231" s="176">
        <f t="shared" si="333"/>
        <v>0</v>
      </c>
      <c r="CX231" s="176">
        <f t="shared" si="333"/>
        <v>0</v>
      </c>
      <c r="CY231" s="176">
        <f t="shared" si="333"/>
        <v>0</v>
      </c>
      <c r="CZ231" s="176">
        <f t="shared" si="333"/>
        <v>0</v>
      </c>
      <c r="DA231" s="176">
        <f t="shared" si="333"/>
        <v>0</v>
      </c>
      <c r="DB231" s="176">
        <f t="shared" si="333"/>
        <v>0</v>
      </c>
      <c r="DC231" s="176">
        <f t="shared" si="333"/>
        <v>0</v>
      </c>
      <c r="DD231" s="176">
        <f t="shared" si="333"/>
        <v>0</v>
      </c>
      <c r="DE231" s="176">
        <f t="shared" si="333"/>
        <v>0</v>
      </c>
      <c r="DF231" s="176">
        <f t="shared" si="333"/>
        <v>0</v>
      </c>
      <c r="DG231" s="176">
        <f t="shared" si="333"/>
        <v>0</v>
      </c>
      <c r="DH231" s="176">
        <f t="shared" si="333"/>
        <v>0</v>
      </c>
      <c r="DI231" s="176">
        <f t="shared" si="333"/>
        <v>0</v>
      </c>
      <c r="DJ231" s="176">
        <f t="shared" si="333"/>
        <v>0</v>
      </c>
      <c r="DK231" s="176">
        <f t="shared" si="333"/>
        <v>0</v>
      </c>
      <c r="DL231" s="176">
        <f t="shared" si="333"/>
        <v>0</v>
      </c>
      <c r="DM231" s="176">
        <f t="shared" si="333"/>
        <v>0</v>
      </c>
      <c r="DN231" s="176">
        <f t="shared" si="333"/>
        <v>0</v>
      </c>
      <c r="DO231" s="176">
        <f t="shared" si="333"/>
        <v>0</v>
      </c>
      <c r="DP231" s="176">
        <f t="shared" si="333"/>
        <v>0</v>
      </c>
      <c r="DQ231" s="176">
        <f t="shared" si="333"/>
        <v>0</v>
      </c>
      <c r="DR231" s="176">
        <f t="shared" si="333"/>
        <v>0</v>
      </c>
      <c r="DS231" s="176">
        <f t="shared" si="333"/>
        <v>0</v>
      </c>
      <c r="DT231" s="176">
        <f t="shared" ref="DT231:FB231" si="334">DT64*DT$168</f>
        <v>0</v>
      </c>
      <c r="DU231" s="176">
        <f t="shared" si="334"/>
        <v>0</v>
      </c>
      <c r="DV231" s="176">
        <f t="shared" si="334"/>
        <v>0</v>
      </c>
      <c r="DW231" s="176">
        <f t="shared" si="334"/>
        <v>0</v>
      </c>
      <c r="DX231" s="176">
        <f t="shared" si="334"/>
        <v>0</v>
      </c>
      <c r="DY231" s="176">
        <f t="shared" si="334"/>
        <v>0</v>
      </c>
      <c r="DZ231" s="176">
        <f t="shared" si="334"/>
        <v>0</v>
      </c>
      <c r="EA231" s="176">
        <f t="shared" si="334"/>
        <v>0</v>
      </c>
      <c r="EB231" s="176">
        <f t="shared" si="334"/>
        <v>0</v>
      </c>
      <c r="EC231" s="176">
        <f t="shared" si="334"/>
        <v>0</v>
      </c>
      <c r="ED231" s="176">
        <f t="shared" si="334"/>
        <v>0</v>
      </c>
      <c r="EE231" s="176">
        <f t="shared" si="334"/>
        <v>0</v>
      </c>
      <c r="EF231" s="182">
        <f t="shared" si="334"/>
        <v>0</v>
      </c>
      <c r="EG231" s="182">
        <f t="shared" si="334"/>
        <v>0</v>
      </c>
      <c r="EH231" s="182">
        <f t="shared" si="334"/>
        <v>0</v>
      </c>
      <c r="EI231" s="182">
        <f t="shared" si="334"/>
        <v>0</v>
      </c>
      <c r="EJ231" s="182">
        <f t="shared" si="334"/>
        <v>0</v>
      </c>
      <c r="EK231" s="182">
        <f t="shared" si="334"/>
        <v>0</v>
      </c>
      <c r="EL231" s="182">
        <f t="shared" si="334"/>
        <v>0</v>
      </c>
      <c r="EM231" s="182">
        <f t="shared" si="334"/>
        <v>0</v>
      </c>
      <c r="EN231" s="182">
        <f t="shared" si="334"/>
        <v>0</v>
      </c>
      <c r="EO231" s="182">
        <f t="shared" si="334"/>
        <v>0</v>
      </c>
      <c r="EP231" s="182">
        <f t="shared" si="334"/>
        <v>0</v>
      </c>
      <c r="EQ231" s="182">
        <f t="shared" si="334"/>
        <v>0</v>
      </c>
      <c r="ER231" s="182">
        <f t="shared" si="334"/>
        <v>0</v>
      </c>
      <c r="ES231" s="182">
        <f t="shared" si="334"/>
        <v>0</v>
      </c>
      <c r="ET231" s="182">
        <f t="shared" si="334"/>
        <v>0</v>
      </c>
      <c r="EU231" s="182">
        <f t="shared" si="334"/>
        <v>0</v>
      </c>
      <c r="EV231" s="182">
        <f t="shared" si="334"/>
        <v>0</v>
      </c>
      <c r="EW231" s="182">
        <f t="shared" si="334"/>
        <v>0</v>
      </c>
      <c r="EX231" s="182">
        <f t="shared" si="334"/>
        <v>0</v>
      </c>
      <c r="EY231" s="182">
        <f t="shared" si="334"/>
        <v>0</v>
      </c>
      <c r="EZ231" s="182">
        <f t="shared" si="334"/>
        <v>0</v>
      </c>
      <c r="FA231" s="182">
        <f t="shared" si="334"/>
        <v>0</v>
      </c>
      <c r="FB231" s="183">
        <f t="shared" si="334"/>
        <v>0</v>
      </c>
    </row>
    <row r="232" spans="2:158" ht="12.75" customHeight="1" x14ac:dyDescent="0.3">
      <c r="B232" s="199" t="s">
        <v>3875</v>
      </c>
      <c r="C232" s="193">
        <v>0</v>
      </c>
      <c r="D232" s="182">
        <f t="shared" si="200"/>
        <v>0</v>
      </c>
      <c r="E232" s="182">
        <f t="shared" si="206"/>
        <v>0</v>
      </c>
      <c r="F232" s="182">
        <f t="shared" si="212"/>
        <v>0</v>
      </c>
      <c r="G232" s="182">
        <f t="shared" si="218"/>
        <v>0</v>
      </c>
      <c r="H232" s="182">
        <f t="shared" si="224"/>
        <v>0</v>
      </c>
      <c r="I232" s="176">
        <f t="shared" si="230"/>
        <v>0</v>
      </c>
      <c r="J232" s="182">
        <f t="shared" si="236"/>
        <v>0</v>
      </c>
      <c r="K232" s="182">
        <f t="shared" si="242"/>
        <v>0</v>
      </c>
      <c r="L232" s="182">
        <f t="shared" si="248"/>
        <v>0</v>
      </c>
      <c r="M232" s="182">
        <f t="shared" si="254"/>
        <v>0</v>
      </c>
      <c r="N232" s="182">
        <f t="shared" si="260"/>
        <v>0</v>
      </c>
      <c r="O232" s="182">
        <f t="shared" si="266"/>
        <v>0</v>
      </c>
      <c r="P232" s="182">
        <f t="shared" si="272"/>
        <v>0</v>
      </c>
      <c r="Q232" s="182">
        <f t="shared" si="278"/>
        <v>0</v>
      </c>
      <c r="R232" s="182">
        <f t="shared" si="284"/>
        <v>0</v>
      </c>
      <c r="S232" s="182">
        <f t="shared" si="290"/>
        <v>0</v>
      </c>
      <c r="T232" s="182">
        <f t="shared" si="296"/>
        <v>0</v>
      </c>
      <c r="U232" s="182">
        <f t="shared" si="302"/>
        <v>0</v>
      </c>
      <c r="V232" s="182">
        <f t="shared" si="308"/>
        <v>0</v>
      </c>
      <c r="W232" s="182">
        <f t="shared" si="314"/>
        <v>0</v>
      </c>
      <c r="X232" s="182">
        <f t="shared" si="320"/>
        <v>0</v>
      </c>
      <c r="Y232" s="182">
        <f t="shared" si="325"/>
        <v>0</v>
      </c>
      <c r="Z232" s="182">
        <f t="shared" si="330"/>
        <v>0</v>
      </c>
      <c r="AA232" s="182">
        <f t="shared" ref="AA232:AA263" si="335">AA65*AA$168</f>
        <v>0</v>
      </c>
      <c r="AB232" s="182">
        <f t="shared" si="160"/>
        <v>0</v>
      </c>
      <c r="AC232" s="182">
        <f t="shared" si="165"/>
        <v>0</v>
      </c>
      <c r="AD232" s="182">
        <f t="shared" si="170"/>
        <v>0</v>
      </c>
      <c r="AE232" s="182">
        <f t="shared" si="175"/>
        <v>0</v>
      </c>
      <c r="AF232" s="182">
        <f t="shared" si="180"/>
        <v>0</v>
      </c>
      <c r="AG232" s="182">
        <f t="shared" si="185"/>
        <v>0</v>
      </c>
      <c r="AH232" s="182">
        <f t="shared" si="190"/>
        <v>0</v>
      </c>
      <c r="AI232" s="182">
        <f t="shared" si="195"/>
        <v>0</v>
      </c>
      <c r="AJ232" s="182">
        <f t="shared" si="201"/>
        <v>0</v>
      </c>
      <c r="AK232" s="182">
        <f t="shared" si="207"/>
        <v>0</v>
      </c>
      <c r="AL232" s="182">
        <f t="shared" si="213"/>
        <v>0</v>
      </c>
      <c r="AM232" s="182">
        <f t="shared" si="219"/>
        <v>0</v>
      </c>
      <c r="AN232" s="182">
        <f t="shared" si="225"/>
        <v>0</v>
      </c>
      <c r="AO232" s="182">
        <f t="shared" si="231"/>
        <v>0</v>
      </c>
      <c r="AP232" s="182">
        <f t="shared" si="237"/>
        <v>0</v>
      </c>
      <c r="AQ232" s="182">
        <f t="shared" si="243"/>
        <v>0</v>
      </c>
      <c r="AR232" s="182">
        <f t="shared" si="249"/>
        <v>0</v>
      </c>
      <c r="AS232" s="182">
        <f t="shared" si="255"/>
        <v>0</v>
      </c>
      <c r="AT232" s="182">
        <f t="shared" si="261"/>
        <v>0</v>
      </c>
      <c r="AU232" s="182">
        <f t="shared" si="267"/>
        <v>0</v>
      </c>
      <c r="AV232" s="182">
        <f t="shared" si="273"/>
        <v>0</v>
      </c>
      <c r="AW232" s="182">
        <f t="shared" si="279"/>
        <v>1.37402106687971E-2</v>
      </c>
      <c r="AX232" s="182">
        <f t="shared" si="285"/>
        <v>0</v>
      </c>
      <c r="AY232" s="182">
        <f t="shared" si="291"/>
        <v>0</v>
      </c>
      <c r="AZ232" s="182">
        <f t="shared" si="297"/>
        <v>1.9203187000560147E-3</v>
      </c>
      <c r="BA232" s="182">
        <f t="shared" si="303"/>
        <v>0</v>
      </c>
      <c r="BB232" s="182">
        <f t="shared" si="309"/>
        <v>0</v>
      </c>
      <c r="BC232" s="182">
        <f t="shared" si="315"/>
        <v>0</v>
      </c>
      <c r="BD232" s="182">
        <f t="shared" si="321"/>
        <v>1.4412733754131471E-2</v>
      </c>
      <c r="BE232" s="182">
        <f t="shared" si="326"/>
        <v>0</v>
      </c>
      <c r="BF232" s="182">
        <f t="shared" si="331"/>
        <v>0</v>
      </c>
      <c r="BG232" s="182">
        <f t="shared" ref="BG232:BG263" si="336">BG65*BG$168</f>
        <v>1.2013321679853765E-3</v>
      </c>
      <c r="BH232" s="181">
        <f>$C232+SUM($D232:BG232,BI232:$FB232)-SUM(BH$176:BH231,BH233:BH$330)-BH$331</f>
        <v>0</v>
      </c>
      <c r="BI232" s="176">
        <f t="shared" ref="BI232:CN232" si="337">BI65*BI$168</f>
        <v>0</v>
      </c>
      <c r="BJ232" s="176">
        <f t="shared" si="337"/>
        <v>0</v>
      </c>
      <c r="BK232" s="176">
        <f t="shared" si="337"/>
        <v>0</v>
      </c>
      <c r="BL232" s="176">
        <f t="shared" si="337"/>
        <v>0</v>
      </c>
      <c r="BM232" s="176">
        <f t="shared" si="337"/>
        <v>0</v>
      </c>
      <c r="BN232" s="176">
        <f t="shared" si="337"/>
        <v>0</v>
      </c>
      <c r="BO232" s="176">
        <f t="shared" si="337"/>
        <v>0</v>
      </c>
      <c r="BP232" s="176">
        <f t="shared" si="337"/>
        <v>0</v>
      </c>
      <c r="BQ232" s="176">
        <f t="shared" si="337"/>
        <v>0</v>
      </c>
      <c r="BR232" s="176">
        <f t="shared" si="337"/>
        <v>0</v>
      </c>
      <c r="BS232" s="176">
        <f t="shared" si="337"/>
        <v>0</v>
      </c>
      <c r="BT232" s="176">
        <f t="shared" si="337"/>
        <v>4.072338886794033E-2</v>
      </c>
      <c r="BU232" s="176">
        <f t="shared" si="337"/>
        <v>0</v>
      </c>
      <c r="BV232" s="176">
        <f t="shared" si="337"/>
        <v>0</v>
      </c>
      <c r="BW232" s="176">
        <f t="shared" si="337"/>
        <v>0</v>
      </c>
      <c r="BX232" s="176">
        <f t="shared" si="337"/>
        <v>0</v>
      </c>
      <c r="BY232" s="176">
        <f t="shared" si="337"/>
        <v>0</v>
      </c>
      <c r="BZ232" s="176">
        <f t="shared" si="337"/>
        <v>0</v>
      </c>
      <c r="CA232" s="176">
        <f t="shared" si="337"/>
        <v>0</v>
      </c>
      <c r="CB232" s="176">
        <f t="shared" si="337"/>
        <v>4.8415469234126277E-2</v>
      </c>
      <c r="CC232" s="176">
        <f t="shared" si="337"/>
        <v>0</v>
      </c>
      <c r="CD232" s="176">
        <f t="shared" si="337"/>
        <v>0</v>
      </c>
      <c r="CE232" s="176">
        <f t="shared" si="337"/>
        <v>0</v>
      </c>
      <c r="CF232" s="176">
        <f t="shared" si="337"/>
        <v>0.10758992419769078</v>
      </c>
      <c r="CG232" s="176">
        <f t="shared" si="337"/>
        <v>0</v>
      </c>
      <c r="CH232" s="176">
        <f t="shared" si="337"/>
        <v>0</v>
      </c>
      <c r="CI232" s="176">
        <f t="shared" si="337"/>
        <v>0</v>
      </c>
      <c r="CJ232" s="176">
        <f t="shared" si="337"/>
        <v>1.7931655271898612E-2</v>
      </c>
      <c r="CK232" s="176">
        <f t="shared" si="337"/>
        <v>0</v>
      </c>
      <c r="CL232" s="176">
        <f t="shared" si="337"/>
        <v>0</v>
      </c>
      <c r="CM232" s="176">
        <f t="shared" si="337"/>
        <v>0</v>
      </c>
      <c r="CN232" s="176">
        <f t="shared" si="337"/>
        <v>0</v>
      </c>
      <c r="CO232" s="176">
        <f t="shared" ref="CO232:DT232" si="338">CO65*CO$168</f>
        <v>0</v>
      </c>
      <c r="CP232" s="176">
        <f t="shared" si="338"/>
        <v>0</v>
      </c>
      <c r="CQ232" s="176">
        <f t="shared" si="338"/>
        <v>0</v>
      </c>
      <c r="CR232" s="176">
        <f t="shared" si="338"/>
        <v>0</v>
      </c>
      <c r="CS232" s="176">
        <f t="shared" si="338"/>
        <v>0</v>
      </c>
      <c r="CT232" s="176">
        <f t="shared" si="338"/>
        <v>0</v>
      </c>
      <c r="CU232" s="176">
        <f t="shared" si="338"/>
        <v>0</v>
      </c>
      <c r="CV232" s="176">
        <f t="shared" si="338"/>
        <v>0</v>
      </c>
      <c r="CW232" s="176">
        <f t="shared" si="338"/>
        <v>0</v>
      </c>
      <c r="CX232" s="176">
        <f t="shared" si="338"/>
        <v>0</v>
      </c>
      <c r="CY232" s="176">
        <f t="shared" si="338"/>
        <v>0</v>
      </c>
      <c r="CZ232" s="176">
        <f t="shared" si="338"/>
        <v>0</v>
      </c>
      <c r="DA232" s="176">
        <f t="shared" si="338"/>
        <v>0</v>
      </c>
      <c r="DB232" s="176">
        <f t="shared" si="338"/>
        <v>0</v>
      </c>
      <c r="DC232" s="176">
        <f t="shared" si="338"/>
        <v>0</v>
      </c>
      <c r="DD232" s="176">
        <f t="shared" si="338"/>
        <v>0</v>
      </c>
      <c r="DE232" s="176">
        <f t="shared" si="338"/>
        <v>0</v>
      </c>
      <c r="DF232" s="176">
        <f t="shared" si="338"/>
        <v>0</v>
      </c>
      <c r="DG232" s="176">
        <f t="shared" si="338"/>
        <v>0</v>
      </c>
      <c r="DH232" s="176">
        <f t="shared" si="338"/>
        <v>0</v>
      </c>
      <c r="DI232" s="176">
        <f t="shared" si="338"/>
        <v>0</v>
      </c>
      <c r="DJ232" s="176">
        <f t="shared" si="338"/>
        <v>0</v>
      </c>
      <c r="DK232" s="176">
        <f t="shared" si="338"/>
        <v>0</v>
      </c>
      <c r="DL232" s="176">
        <f t="shared" si="338"/>
        <v>0</v>
      </c>
      <c r="DM232" s="176">
        <f t="shared" si="338"/>
        <v>0</v>
      </c>
      <c r="DN232" s="176">
        <f t="shared" si="338"/>
        <v>0</v>
      </c>
      <c r="DO232" s="176">
        <f t="shared" si="338"/>
        <v>0</v>
      </c>
      <c r="DP232" s="176">
        <f t="shared" si="338"/>
        <v>0</v>
      </c>
      <c r="DQ232" s="176">
        <f t="shared" si="338"/>
        <v>0</v>
      </c>
      <c r="DR232" s="176">
        <f t="shared" si="338"/>
        <v>0</v>
      </c>
      <c r="DS232" s="176">
        <f t="shared" si="338"/>
        <v>0</v>
      </c>
      <c r="DT232" s="176">
        <f t="shared" si="338"/>
        <v>0</v>
      </c>
      <c r="DU232" s="176">
        <f t="shared" ref="DU232:FB232" si="339">DU65*DU$168</f>
        <v>0</v>
      </c>
      <c r="DV232" s="176">
        <f t="shared" si="339"/>
        <v>0</v>
      </c>
      <c r="DW232" s="176">
        <f t="shared" si="339"/>
        <v>0</v>
      </c>
      <c r="DX232" s="176">
        <f t="shared" si="339"/>
        <v>0</v>
      </c>
      <c r="DY232" s="176">
        <f t="shared" si="339"/>
        <v>0</v>
      </c>
      <c r="DZ232" s="176">
        <f t="shared" si="339"/>
        <v>0</v>
      </c>
      <c r="EA232" s="176">
        <f t="shared" si="339"/>
        <v>0</v>
      </c>
      <c r="EB232" s="176">
        <f t="shared" si="339"/>
        <v>0</v>
      </c>
      <c r="EC232" s="176">
        <f t="shared" si="339"/>
        <v>0</v>
      </c>
      <c r="ED232" s="176">
        <f t="shared" si="339"/>
        <v>0</v>
      </c>
      <c r="EE232" s="176">
        <f t="shared" si="339"/>
        <v>0</v>
      </c>
      <c r="EF232" s="182">
        <f t="shared" si="339"/>
        <v>0</v>
      </c>
      <c r="EG232" s="182">
        <f t="shared" si="339"/>
        <v>0</v>
      </c>
      <c r="EH232" s="182">
        <f t="shared" si="339"/>
        <v>0</v>
      </c>
      <c r="EI232" s="182">
        <f t="shared" si="339"/>
        <v>0</v>
      </c>
      <c r="EJ232" s="182">
        <f t="shared" si="339"/>
        <v>0</v>
      </c>
      <c r="EK232" s="182">
        <f t="shared" si="339"/>
        <v>0</v>
      </c>
      <c r="EL232" s="182">
        <f t="shared" si="339"/>
        <v>0</v>
      </c>
      <c r="EM232" s="182">
        <f t="shared" si="339"/>
        <v>0</v>
      </c>
      <c r="EN232" s="182">
        <f t="shared" si="339"/>
        <v>0</v>
      </c>
      <c r="EO232" s="182">
        <f t="shared" si="339"/>
        <v>0</v>
      </c>
      <c r="EP232" s="182">
        <f t="shared" si="339"/>
        <v>0</v>
      </c>
      <c r="EQ232" s="182">
        <f t="shared" si="339"/>
        <v>0</v>
      </c>
      <c r="ER232" s="182">
        <f t="shared" si="339"/>
        <v>0</v>
      </c>
      <c r="ES232" s="182">
        <f t="shared" si="339"/>
        <v>0</v>
      </c>
      <c r="ET232" s="182">
        <f t="shared" si="339"/>
        <v>0</v>
      </c>
      <c r="EU232" s="182">
        <f t="shared" si="339"/>
        <v>0</v>
      </c>
      <c r="EV232" s="182">
        <f t="shared" si="339"/>
        <v>0</v>
      </c>
      <c r="EW232" s="182">
        <f t="shared" si="339"/>
        <v>0</v>
      </c>
      <c r="EX232" s="182">
        <f t="shared" si="339"/>
        <v>0</v>
      </c>
      <c r="EY232" s="182">
        <f t="shared" si="339"/>
        <v>0</v>
      </c>
      <c r="EZ232" s="182">
        <f t="shared" si="339"/>
        <v>0</v>
      </c>
      <c r="FA232" s="182">
        <f t="shared" si="339"/>
        <v>0</v>
      </c>
      <c r="FB232" s="183">
        <f t="shared" si="339"/>
        <v>0</v>
      </c>
    </row>
    <row r="233" spans="2:158" ht="12.75" customHeight="1" x14ac:dyDescent="0.3">
      <c r="B233" s="199" t="s">
        <v>3876</v>
      </c>
      <c r="C233" s="193">
        <v>0</v>
      </c>
      <c r="D233" s="182">
        <f t="shared" si="200"/>
        <v>0</v>
      </c>
      <c r="E233" s="182">
        <f t="shared" si="206"/>
        <v>0</v>
      </c>
      <c r="F233" s="182">
        <f t="shared" si="212"/>
        <v>0</v>
      </c>
      <c r="G233" s="182">
        <f t="shared" si="218"/>
        <v>0</v>
      </c>
      <c r="H233" s="182">
        <f t="shared" si="224"/>
        <v>0</v>
      </c>
      <c r="I233" s="176">
        <f t="shared" si="230"/>
        <v>0</v>
      </c>
      <c r="J233" s="182">
        <f t="shared" si="236"/>
        <v>0</v>
      </c>
      <c r="K233" s="182">
        <f t="shared" si="242"/>
        <v>0</v>
      </c>
      <c r="L233" s="182">
        <f t="shared" si="248"/>
        <v>0</v>
      </c>
      <c r="M233" s="182">
        <f t="shared" si="254"/>
        <v>0</v>
      </c>
      <c r="N233" s="182">
        <f t="shared" si="260"/>
        <v>0</v>
      </c>
      <c r="O233" s="182">
        <f t="shared" si="266"/>
        <v>0</v>
      </c>
      <c r="P233" s="182">
        <f t="shared" si="272"/>
        <v>0</v>
      </c>
      <c r="Q233" s="182">
        <f t="shared" si="278"/>
        <v>0</v>
      </c>
      <c r="R233" s="182">
        <f t="shared" si="284"/>
        <v>0</v>
      </c>
      <c r="S233" s="182">
        <f t="shared" si="290"/>
        <v>0</v>
      </c>
      <c r="T233" s="182">
        <f t="shared" si="296"/>
        <v>0</v>
      </c>
      <c r="U233" s="182">
        <f t="shared" si="302"/>
        <v>0</v>
      </c>
      <c r="V233" s="182">
        <f t="shared" si="308"/>
        <v>0</v>
      </c>
      <c r="W233" s="182">
        <f t="shared" si="314"/>
        <v>0</v>
      </c>
      <c r="X233" s="182">
        <f t="shared" si="320"/>
        <v>0</v>
      </c>
      <c r="Y233" s="182">
        <f t="shared" si="325"/>
        <v>0</v>
      </c>
      <c r="Z233" s="182">
        <f t="shared" si="330"/>
        <v>0</v>
      </c>
      <c r="AA233" s="182">
        <f t="shared" si="335"/>
        <v>0</v>
      </c>
      <c r="AB233" s="182">
        <f t="shared" ref="AB233:AB264" si="340">AB66*AB$168</f>
        <v>0</v>
      </c>
      <c r="AC233" s="182">
        <f t="shared" si="165"/>
        <v>0</v>
      </c>
      <c r="AD233" s="182">
        <f t="shared" si="170"/>
        <v>0</v>
      </c>
      <c r="AE233" s="182">
        <f t="shared" si="175"/>
        <v>0</v>
      </c>
      <c r="AF233" s="182">
        <f t="shared" si="180"/>
        <v>0</v>
      </c>
      <c r="AG233" s="182">
        <f t="shared" si="185"/>
        <v>0</v>
      </c>
      <c r="AH233" s="182">
        <f t="shared" si="190"/>
        <v>0</v>
      </c>
      <c r="AI233" s="182">
        <f t="shared" si="195"/>
        <v>0</v>
      </c>
      <c r="AJ233" s="182">
        <f t="shared" si="201"/>
        <v>0</v>
      </c>
      <c r="AK233" s="182">
        <f t="shared" si="207"/>
        <v>0</v>
      </c>
      <c r="AL233" s="182">
        <f t="shared" si="213"/>
        <v>0</v>
      </c>
      <c r="AM233" s="182">
        <f t="shared" si="219"/>
        <v>0</v>
      </c>
      <c r="AN233" s="182">
        <f t="shared" si="225"/>
        <v>0</v>
      </c>
      <c r="AO233" s="182">
        <f t="shared" si="231"/>
        <v>0</v>
      </c>
      <c r="AP233" s="182">
        <f t="shared" si="237"/>
        <v>0</v>
      </c>
      <c r="AQ233" s="182">
        <f t="shared" si="243"/>
        <v>0</v>
      </c>
      <c r="AR233" s="182">
        <f t="shared" si="249"/>
        <v>0</v>
      </c>
      <c r="AS233" s="182">
        <f t="shared" si="255"/>
        <v>0</v>
      </c>
      <c r="AT233" s="182">
        <f t="shared" si="261"/>
        <v>0</v>
      </c>
      <c r="AU233" s="182">
        <f t="shared" si="267"/>
        <v>0</v>
      </c>
      <c r="AV233" s="182">
        <f t="shared" si="273"/>
        <v>0</v>
      </c>
      <c r="AW233" s="182">
        <f t="shared" si="279"/>
        <v>0</v>
      </c>
      <c r="AX233" s="182">
        <f t="shared" si="285"/>
        <v>2.3111224566705674E-7</v>
      </c>
      <c r="AY233" s="182">
        <f t="shared" si="291"/>
        <v>0</v>
      </c>
      <c r="AZ233" s="182">
        <f t="shared" si="297"/>
        <v>0</v>
      </c>
      <c r="BA233" s="182">
        <f t="shared" si="303"/>
        <v>1.7099877751708953E-5</v>
      </c>
      <c r="BB233" s="182">
        <f t="shared" si="309"/>
        <v>0</v>
      </c>
      <c r="BC233" s="182">
        <f t="shared" si="315"/>
        <v>0</v>
      </c>
      <c r="BD233" s="182">
        <f t="shared" si="321"/>
        <v>0</v>
      </c>
      <c r="BE233" s="182">
        <f t="shared" si="326"/>
        <v>4.0225466554955968E-6</v>
      </c>
      <c r="BF233" s="182">
        <f t="shared" si="331"/>
        <v>0</v>
      </c>
      <c r="BG233" s="182">
        <f t="shared" si="336"/>
        <v>2.0971382183374024E-4</v>
      </c>
      <c r="BH233" s="182">
        <f t="shared" ref="BH233:BH264" si="341">BH66*BH$168</f>
        <v>0</v>
      </c>
      <c r="BI233" s="181">
        <f>$C233+SUM($D233:BH233,BJ233:$FB233)-SUM(BI$176:BI232,BI234:BI$330)-BI$331</f>
        <v>0</v>
      </c>
      <c r="BJ233" s="176">
        <f t="shared" ref="BJ233:CO233" si="342">BJ66*BJ$168</f>
        <v>0</v>
      </c>
      <c r="BK233" s="176">
        <f t="shared" si="342"/>
        <v>0</v>
      </c>
      <c r="BL233" s="176">
        <f t="shared" si="342"/>
        <v>0</v>
      </c>
      <c r="BM233" s="176">
        <f t="shared" si="342"/>
        <v>0</v>
      </c>
      <c r="BN233" s="176">
        <f t="shared" si="342"/>
        <v>0</v>
      </c>
      <c r="BO233" s="176">
        <f t="shared" si="342"/>
        <v>0</v>
      </c>
      <c r="BP233" s="176">
        <f t="shared" si="342"/>
        <v>0</v>
      </c>
      <c r="BQ233" s="176">
        <f t="shared" si="342"/>
        <v>0</v>
      </c>
      <c r="BR233" s="176">
        <f t="shared" si="342"/>
        <v>0</v>
      </c>
      <c r="BS233" s="176">
        <f t="shared" si="342"/>
        <v>0</v>
      </c>
      <c r="BT233" s="176">
        <f t="shared" si="342"/>
        <v>0</v>
      </c>
      <c r="BU233" s="176">
        <f t="shared" si="342"/>
        <v>4.7958619498433518E-2</v>
      </c>
      <c r="BV233" s="176">
        <f t="shared" si="342"/>
        <v>0</v>
      </c>
      <c r="BW233" s="176">
        <f t="shared" si="342"/>
        <v>0</v>
      </c>
      <c r="BX233" s="176">
        <f t="shared" si="342"/>
        <v>0</v>
      </c>
      <c r="BY233" s="176">
        <f t="shared" si="342"/>
        <v>0</v>
      </c>
      <c r="BZ233" s="176">
        <f t="shared" si="342"/>
        <v>0</v>
      </c>
      <c r="CA233" s="176">
        <f t="shared" si="342"/>
        <v>0</v>
      </c>
      <c r="CB233" s="176">
        <f t="shared" si="342"/>
        <v>0</v>
      </c>
      <c r="CC233" s="176">
        <f t="shared" si="342"/>
        <v>1.5177847732940652E-3</v>
      </c>
      <c r="CD233" s="176">
        <f t="shared" si="342"/>
        <v>0</v>
      </c>
      <c r="CE233" s="176">
        <f t="shared" si="342"/>
        <v>0</v>
      </c>
      <c r="CF233" s="176">
        <f t="shared" si="342"/>
        <v>0</v>
      </c>
      <c r="CG233" s="176">
        <f t="shared" si="342"/>
        <v>3.3728663687669093E-3</v>
      </c>
      <c r="CH233" s="176">
        <f t="shared" si="342"/>
        <v>0</v>
      </c>
      <c r="CI233" s="176">
        <f t="shared" si="342"/>
        <v>0</v>
      </c>
      <c r="CJ233" s="176">
        <f t="shared" si="342"/>
        <v>0</v>
      </c>
      <c r="CK233" s="176">
        <f t="shared" si="342"/>
        <v>5.6214250862743147E-4</v>
      </c>
      <c r="CL233" s="176">
        <f t="shared" si="342"/>
        <v>0</v>
      </c>
      <c r="CM233" s="176">
        <f t="shared" si="342"/>
        <v>0</v>
      </c>
      <c r="CN233" s="176">
        <f t="shared" si="342"/>
        <v>0</v>
      </c>
      <c r="CO233" s="176">
        <f t="shared" si="342"/>
        <v>0</v>
      </c>
      <c r="CP233" s="176">
        <f t="shared" ref="CP233:DU233" si="343">CP66*CP$168</f>
        <v>0</v>
      </c>
      <c r="CQ233" s="176">
        <f t="shared" si="343"/>
        <v>0</v>
      </c>
      <c r="CR233" s="176">
        <f t="shared" si="343"/>
        <v>0</v>
      </c>
      <c r="CS233" s="176">
        <f t="shared" si="343"/>
        <v>0</v>
      </c>
      <c r="CT233" s="176">
        <f t="shared" si="343"/>
        <v>0</v>
      </c>
      <c r="CU233" s="176">
        <f t="shared" si="343"/>
        <v>0</v>
      </c>
      <c r="CV233" s="176">
        <f t="shared" si="343"/>
        <v>0</v>
      </c>
      <c r="CW233" s="176">
        <f t="shared" si="343"/>
        <v>0</v>
      </c>
      <c r="CX233" s="176">
        <f t="shared" si="343"/>
        <v>0</v>
      </c>
      <c r="CY233" s="176">
        <f t="shared" si="343"/>
        <v>0</v>
      </c>
      <c r="CZ233" s="176">
        <f t="shared" si="343"/>
        <v>0</v>
      </c>
      <c r="DA233" s="176">
        <f t="shared" si="343"/>
        <v>0</v>
      </c>
      <c r="DB233" s="176">
        <f t="shared" si="343"/>
        <v>0</v>
      </c>
      <c r="DC233" s="176">
        <f t="shared" si="343"/>
        <v>0</v>
      </c>
      <c r="DD233" s="176">
        <f t="shared" si="343"/>
        <v>0</v>
      </c>
      <c r="DE233" s="176">
        <f t="shared" si="343"/>
        <v>0</v>
      </c>
      <c r="DF233" s="176">
        <f t="shared" si="343"/>
        <v>0</v>
      </c>
      <c r="DG233" s="176">
        <f t="shared" si="343"/>
        <v>0</v>
      </c>
      <c r="DH233" s="176">
        <f t="shared" si="343"/>
        <v>0</v>
      </c>
      <c r="DI233" s="176">
        <f t="shared" si="343"/>
        <v>0</v>
      </c>
      <c r="DJ233" s="176">
        <f t="shared" si="343"/>
        <v>0</v>
      </c>
      <c r="DK233" s="176">
        <f t="shared" si="343"/>
        <v>0</v>
      </c>
      <c r="DL233" s="176">
        <f t="shared" si="343"/>
        <v>0</v>
      </c>
      <c r="DM233" s="176">
        <f t="shared" si="343"/>
        <v>0</v>
      </c>
      <c r="DN233" s="176">
        <f t="shared" si="343"/>
        <v>0</v>
      </c>
      <c r="DO233" s="176">
        <f t="shared" si="343"/>
        <v>0</v>
      </c>
      <c r="DP233" s="176">
        <f t="shared" si="343"/>
        <v>0</v>
      </c>
      <c r="DQ233" s="176">
        <f t="shared" si="343"/>
        <v>0</v>
      </c>
      <c r="DR233" s="176">
        <f t="shared" si="343"/>
        <v>0</v>
      </c>
      <c r="DS233" s="176">
        <f t="shared" si="343"/>
        <v>0</v>
      </c>
      <c r="DT233" s="176">
        <f t="shared" si="343"/>
        <v>0</v>
      </c>
      <c r="DU233" s="176">
        <f t="shared" si="343"/>
        <v>0</v>
      </c>
      <c r="DV233" s="176">
        <f t="shared" ref="DV233:FB233" si="344">DV66*DV$168</f>
        <v>0</v>
      </c>
      <c r="DW233" s="176">
        <f t="shared" si="344"/>
        <v>0</v>
      </c>
      <c r="DX233" s="176">
        <f t="shared" si="344"/>
        <v>0</v>
      </c>
      <c r="DY233" s="176">
        <f t="shared" si="344"/>
        <v>0</v>
      </c>
      <c r="DZ233" s="176">
        <f t="shared" si="344"/>
        <v>0</v>
      </c>
      <c r="EA233" s="176">
        <f t="shared" si="344"/>
        <v>0</v>
      </c>
      <c r="EB233" s="176">
        <f t="shared" si="344"/>
        <v>0</v>
      </c>
      <c r="EC233" s="176">
        <f t="shared" si="344"/>
        <v>0</v>
      </c>
      <c r="ED233" s="176">
        <f t="shared" si="344"/>
        <v>0</v>
      </c>
      <c r="EE233" s="176">
        <f t="shared" si="344"/>
        <v>0</v>
      </c>
      <c r="EF233" s="182">
        <f t="shared" si="344"/>
        <v>0</v>
      </c>
      <c r="EG233" s="182">
        <f t="shared" si="344"/>
        <v>0</v>
      </c>
      <c r="EH233" s="182">
        <f t="shared" si="344"/>
        <v>0</v>
      </c>
      <c r="EI233" s="182">
        <f t="shared" si="344"/>
        <v>0</v>
      </c>
      <c r="EJ233" s="182">
        <f t="shared" si="344"/>
        <v>0</v>
      </c>
      <c r="EK233" s="182">
        <f t="shared" si="344"/>
        <v>0</v>
      </c>
      <c r="EL233" s="182">
        <f t="shared" si="344"/>
        <v>0</v>
      </c>
      <c r="EM233" s="182">
        <f t="shared" si="344"/>
        <v>0</v>
      </c>
      <c r="EN233" s="182">
        <f t="shared" si="344"/>
        <v>0</v>
      </c>
      <c r="EO233" s="182">
        <f t="shared" si="344"/>
        <v>0</v>
      </c>
      <c r="EP233" s="182">
        <f t="shared" si="344"/>
        <v>0</v>
      </c>
      <c r="EQ233" s="182">
        <f t="shared" si="344"/>
        <v>0</v>
      </c>
      <c r="ER233" s="182">
        <f t="shared" si="344"/>
        <v>0</v>
      </c>
      <c r="ES233" s="182">
        <f t="shared" si="344"/>
        <v>0</v>
      </c>
      <c r="ET233" s="182">
        <f t="shared" si="344"/>
        <v>0</v>
      </c>
      <c r="EU233" s="182">
        <f t="shared" si="344"/>
        <v>0</v>
      </c>
      <c r="EV233" s="182">
        <f t="shared" si="344"/>
        <v>0</v>
      </c>
      <c r="EW233" s="182">
        <f t="shared" si="344"/>
        <v>0</v>
      </c>
      <c r="EX233" s="182">
        <f t="shared" si="344"/>
        <v>0</v>
      </c>
      <c r="EY233" s="182">
        <f t="shared" si="344"/>
        <v>0</v>
      </c>
      <c r="EZ233" s="182">
        <f t="shared" si="344"/>
        <v>0</v>
      </c>
      <c r="FA233" s="182">
        <f t="shared" si="344"/>
        <v>0</v>
      </c>
      <c r="FB233" s="183">
        <f t="shared" si="344"/>
        <v>0</v>
      </c>
    </row>
    <row r="234" spans="2:158" ht="12.75" customHeight="1" x14ac:dyDescent="0.3">
      <c r="B234" s="199" t="s">
        <v>3877</v>
      </c>
      <c r="C234" s="193">
        <v>0</v>
      </c>
      <c r="D234" s="182">
        <f t="shared" si="200"/>
        <v>0</v>
      </c>
      <c r="E234" s="182">
        <f t="shared" si="206"/>
        <v>0</v>
      </c>
      <c r="F234" s="182">
        <f t="shared" si="212"/>
        <v>0</v>
      </c>
      <c r="G234" s="182">
        <f t="shared" si="218"/>
        <v>0</v>
      </c>
      <c r="H234" s="182">
        <f t="shared" si="224"/>
        <v>0</v>
      </c>
      <c r="I234" s="176">
        <f t="shared" si="230"/>
        <v>0</v>
      </c>
      <c r="J234" s="182">
        <f t="shared" si="236"/>
        <v>0</v>
      </c>
      <c r="K234" s="182">
        <f t="shared" si="242"/>
        <v>0</v>
      </c>
      <c r="L234" s="182">
        <f t="shared" si="248"/>
        <v>0</v>
      </c>
      <c r="M234" s="182">
        <f t="shared" si="254"/>
        <v>0</v>
      </c>
      <c r="N234" s="182">
        <f t="shared" si="260"/>
        <v>0</v>
      </c>
      <c r="O234" s="182">
        <f t="shared" si="266"/>
        <v>0</v>
      </c>
      <c r="P234" s="182">
        <f t="shared" si="272"/>
        <v>0</v>
      </c>
      <c r="Q234" s="182">
        <f t="shared" si="278"/>
        <v>0</v>
      </c>
      <c r="R234" s="182">
        <f t="shared" si="284"/>
        <v>0</v>
      </c>
      <c r="S234" s="182">
        <f t="shared" si="290"/>
        <v>0</v>
      </c>
      <c r="T234" s="182">
        <f t="shared" si="296"/>
        <v>0</v>
      </c>
      <c r="U234" s="182">
        <f t="shared" si="302"/>
        <v>0</v>
      </c>
      <c r="V234" s="182">
        <f t="shared" si="308"/>
        <v>0</v>
      </c>
      <c r="W234" s="182">
        <f t="shared" si="314"/>
        <v>0</v>
      </c>
      <c r="X234" s="182">
        <f t="shared" si="320"/>
        <v>0</v>
      </c>
      <c r="Y234" s="182">
        <f t="shared" si="325"/>
        <v>0</v>
      </c>
      <c r="Z234" s="182">
        <f t="shared" si="330"/>
        <v>0</v>
      </c>
      <c r="AA234" s="182">
        <f t="shared" si="335"/>
        <v>0</v>
      </c>
      <c r="AB234" s="182">
        <f t="shared" si="340"/>
        <v>0</v>
      </c>
      <c r="AC234" s="182">
        <f t="shared" ref="AC234:AC265" si="345">AC67*AC$168</f>
        <v>0</v>
      </c>
      <c r="AD234" s="182">
        <f t="shared" si="170"/>
        <v>0</v>
      </c>
      <c r="AE234" s="182">
        <f t="shared" si="175"/>
        <v>0</v>
      </c>
      <c r="AF234" s="182">
        <f t="shared" si="180"/>
        <v>0</v>
      </c>
      <c r="AG234" s="182">
        <f t="shared" si="185"/>
        <v>0</v>
      </c>
      <c r="AH234" s="182">
        <f t="shared" si="190"/>
        <v>0</v>
      </c>
      <c r="AI234" s="182">
        <f t="shared" si="195"/>
        <v>0</v>
      </c>
      <c r="AJ234" s="182">
        <f t="shared" si="201"/>
        <v>0</v>
      </c>
      <c r="AK234" s="182">
        <f t="shared" si="207"/>
        <v>0</v>
      </c>
      <c r="AL234" s="182">
        <f t="shared" si="213"/>
        <v>0</v>
      </c>
      <c r="AM234" s="182">
        <f t="shared" si="219"/>
        <v>0</v>
      </c>
      <c r="AN234" s="182">
        <f t="shared" si="225"/>
        <v>0</v>
      </c>
      <c r="AO234" s="182">
        <f t="shared" si="231"/>
        <v>0</v>
      </c>
      <c r="AP234" s="182">
        <f t="shared" si="237"/>
        <v>0</v>
      </c>
      <c r="AQ234" s="182">
        <f t="shared" si="243"/>
        <v>0</v>
      </c>
      <c r="AR234" s="182">
        <f t="shared" si="249"/>
        <v>0</v>
      </c>
      <c r="AS234" s="182">
        <f t="shared" si="255"/>
        <v>0</v>
      </c>
      <c r="AT234" s="182">
        <f t="shared" si="261"/>
        <v>0</v>
      </c>
      <c r="AU234" s="182">
        <f t="shared" si="267"/>
        <v>0</v>
      </c>
      <c r="AV234" s="182">
        <f t="shared" si="273"/>
        <v>0</v>
      </c>
      <c r="AW234" s="182">
        <f t="shared" si="279"/>
        <v>0</v>
      </c>
      <c r="AX234" s="182">
        <f t="shared" si="285"/>
        <v>0</v>
      </c>
      <c r="AY234" s="182">
        <f t="shared" si="291"/>
        <v>0</v>
      </c>
      <c r="AZ234" s="182">
        <f t="shared" si="297"/>
        <v>0</v>
      </c>
      <c r="BA234" s="182">
        <f t="shared" si="303"/>
        <v>0</v>
      </c>
      <c r="BB234" s="182">
        <f t="shared" si="309"/>
        <v>0</v>
      </c>
      <c r="BC234" s="182">
        <f t="shared" si="315"/>
        <v>0</v>
      </c>
      <c r="BD234" s="182">
        <f t="shared" si="321"/>
        <v>0</v>
      </c>
      <c r="BE234" s="182">
        <f t="shared" si="326"/>
        <v>0</v>
      </c>
      <c r="BF234" s="182">
        <f t="shared" si="331"/>
        <v>0</v>
      </c>
      <c r="BG234" s="182">
        <f t="shared" si="336"/>
        <v>0</v>
      </c>
      <c r="BH234" s="182">
        <f t="shared" si="341"/>
        <v>0</v>
      </c>
      <c r="BI234" s="182">
        <f t="shared" ref="BI234:BI265" si="346">BI67*BI$168</f>
        <v>0</v>
      </c>
      <c r="BJ234" s="181">
        <f>$C234+SUM($D234:BI234,BK234:$FB234)-SUM(BJ$176:BJ233,BJ235:BJ$330)-BJ$331</f>
        <v>0</v>
      </c>
      <c r="BK234" s="176">
        <f t="shared" ref="BK234:CP234" si="347">BK67*BK$168</f>
        <v>0</v>
      </c>
      <c r="BL234" s="176">
        <f t="shared" si="347"/>
        <v>0</v>
      </c>
      <c r="BM234" s="176">
        <f t="shared" si="347"/>
        <v>0</v>
      </c>
      <c r="BN234" s="176">
        <f t="shared" si="347"/>
        <v>0</v>
      </c>
      <c r="BO234" s="176">
        <f t="shared" si="347"/>
        <v>0</v>
      </c>
      <c r="BP234" s="176">
        <f t="shared" si="347"/>
        <v>0</v>
      </c>
      <c r="BQ234" s="176">
        <f t="shared" si="347"/>
        <v>0</v>
      </c>
      <c r="BR234" s="176">
        <f t="shared" si="347"/>
        <v>0</v>
      </c>
      <c r="BS234" s="176">
        <f t="shared" si="347"/>
        <v>0</v>
      </c>
      <c r="BT234" s="176">
        <f t="shared" si="347"/>
        <v>0</v>
      </c>
      <c r="BU234" s="176">
        <f t="shared" si="347"/>
        <v>0</v>
      </c>
      <c r="BV234" s="176">
        <f t="shared" si="347"/>
        <v>0</v>
      </c>
      <c r="BW234" s="176">
        <f t="shared" si="347"/>
        <v>0</v>
      </c>
      <c r="BX234" s="176">
        <f t="shared" si="347"/>
        <v>0</v>
      </c>
      <c r="BY234" s="176">
        <f t="shared" si="347"/>
        <v>0</v>
      </c>
      <c r="BZ234" s="176">
        <f t="shared" si="347"/>
        <v>0</v>
      </c>
      <c r="CA234" s="176">
        <f t="shared" si="347"/>
        <v>0</v>
      </c>
      <c r="CB234" s="176">
        <f t="shared" si="347"/>
        <v>0</v>
      </c>
      <c r="CC234" s="176">
        <f t="shared" si="347"/>
        <v>0</v>
      </c>
      <c r="CD234" s="176">
        <f t="shared" si="347"/>
        <v>0</v>
      </c>
      <c r="CE234" s="176">
        <f t="shared" si="347"/>
        <v>0</v>
      </c>
      <c r="CF234" s="176">
        <f t="shared" si="347"/>
        <v>0</v>
      </c>
      <c r="CG234" s="176">
        <f t="shared" si="347"/>
        <v>0</v>
      </c>
      <c r="CH234" s="176">
        <f t="shared" si="347"/>
        <v>0</v>
      </c>
      <c r="CI234" s="176">
        <f t="shared" si="347"/>
        <v>0</v>
      </c>
      <c r="CJ234" s="176">
        <f t="shared" si="347"/>
        <v>0</v>
      </c>
      <c r="CK234" s="176">
        <f t="shared" si="347"/>
        <v>0</v>
      </c>
      <c r="CL234" s="176">
        <f t="shared" si="347"/>
        <v>0</v>
      </c>
      <c r="CM234" s="176">
        <f t="shared" si="347"/>
        <v>0</v>
      </c>
      <c r="CN234" s="176">
        <f t="shared" si="347"/>
        <v>0</v>
      </c>
      <c r="CO234" s="176">
        <f t="shared" si="347"/>
        <v>0</v>
      </c>
      <c r="CP234" s="176">
        <f t="shared" si="347"/>
        <v>0</v>
      </c>
      <c r="CQ234" s="176">
        <f t="shared" ref="CQ234:DV234" si="348">CQ67*CQ$168</f>
        <v>0</v>
      </c>
      <c r="CR234" s="176">
        <f t="shared" si="348"/>
        <v>0</v>
      </c>
      <c r="CS234" s="176">
        <f t="shared" si="348"/>
        <v>0</v>
      </c>
      <c r="CT234" s="176">
        <f t="shared" si="348"/>
        <v>0</v>
      </c>
      <c r="CU234" s="176">
        <f t="shared" si="348"/>
        <v>0</v>
      </c>
      <c r="CV234" s="176">
        <f t="shared" si="348"/>
        <v>0</v>
      </c>
      <c r="CW234" s="176">
        <f t="shared" si="348"/>
        <v>0</v>
      </c>
      <c r="CX234" s="176">
        <f t="shared" si="348"/>
        <v>0</v>
      </c>
      <c r="CY234" s="176">
        <f t="shared" si="348"/>
        <v>0</v>
      </c>
      <c r="CZ234" s="176">
        <f t="shared" si="348"/>
        <v>0</v>
      </c>
      <c r="DA234" s="176">
        <f t="shared" si="348"/>
        <v>0</v>
      </c>
      <c r="DB234" s="176">
        <f t="shared" si="348"/>
        <v>0</v>
      </c>
      <c r="DC234" s="176">
        <f t="shared" si="348"/>
        <v>0</v>
      </c>
      <c r="DD234" s="176">
        <f t="shared" si="348"/>
        <v>0</v>
      </c>
      <c r="DE234" s="176">
        <f t="shared" si="348"/>
        <v>0</v>
      </c>
      <c r="DF234" s="176">
        <f t="shared" si="348"/>
        <v>0</v>
      </c>
      <c r="DG234" s="176">
        <f t="shared" si="348"/>
        <v>0</v>
      </c>
      <c r="DH234" s="176">
        <f t="shared" si="348"/>
        <v>0</v>
      </c>
      <c r="DI234" s="176">
        <f t="shared" si="348"/>
        <v>0</v>
      </c>
      <c r="DJ234" s="176">
        <f t="shared" si="348"/>
        <v>0</v>
      </c>
      <c r="DK234" s="176">
        <f t="shared" si="348"/>
        <v>0</v>
      </c>
      <c r="DL234" s="176">
        <f t="shared" si="348"/>
        <v>0</v>
      </c>
      <c r="DM234" s="176">
        <f t="shared" si="348"/>
        <v>0</v>
      </c>
      <c r="DN234" s="176">
        <f t="shared" si="348"/>
        <v>0</v>
      </c>
      <c r="DO234" s="176">
        <f t="shared" si="348"/>
        <v>0</v>
      </c>
      <c r="DP234" s="176">
        <f t="shared" si="348"/>
        <v>0</v>
      </c>
      <c r="DQ234" s="176">
        <f t="shared" si="348"/>
        <v>0</v>
      </c>
      <c r="DR234" s="176">
        <f t="shared" si="348"/>
        <v>0</v>
      </c>
      <c r="DS234" s="176">
        <f t="shared" si="348"/>
        <v>0</v>
      </c>
      <c r="DT234" s="176">
        <f t="shared" si="348"/>
        <v>0</v>
      </c>
      <c r="DU234" s="176">
        <f t="shared" si="348"/>
        <v>0</v>
      </c>
      <c r="DV234" s="176">
        <f t="shared" si="348"/>
        <v>0</v>
      </c>
      <c r="DW234" s="176">
        <f t="shared" ref="DW234:FB234" si="349">DW67*DW$168</f>
        <v>0</v>
      </c>
      <c r="DX234" s="176">
        <f t="shared" si="349"/>
        <v>0</v>
      </c>
      <c r="DY234" s="176">
        <f t="shared" si="349"/>
        <v>0</v>
      </c>
      <c r="DZ234" s="176">
        <f t="shared" si="349"/>
        <v>0</v>
      </c>
      <c r="EA234" s="176">
        <f t="shared" si="349"/>
        <v>0</v>
      </c>
      <c r="EB234" s="176">
        <f t="shared" si="349"/>
        <v>0</v>
      </c>
      <c r="EC234" s="176">
        <f t="shared" si="349"/>
        <v>0</v>
      </c>
      <c r="ED234" s="176">
        <f t="shared" si="349"/>
        <v>0</v>
      </c>
      <c r="EE234" s="176">
        <f t="shared" si="349"/>
        <v>0</v>
      </c>
      <c r="EF234" s="182">
        <f t="shared" si="349"/>
        <v>0</v>
      </c>
      <c r="EG234" s="182">
        <f t="shared" si="349"/>
        <v>0</v>
      </c>
      <c r="EH234" s="182">
        <f t="shared" si="349"/>
        <v>0</v>
      </c>
      <c r="EI234" s="182">
        <f t="shared" si="349"/>
        <v>0</v>
      </c>
      <c r="EJ234" s="182">
        <f t="shared" si="349"/>
        <v>0</v>
      </c>
      <c r="EK234" s="182">
        <f t="shared" si="349"/>
        <v>0</v>
      </c>
      <c r="EL234" s="182">
        <f t="shared" si="349"/>
        <v>0</v>
      </c>
      <c r="EM234" s="182">
        <f t="shared" si="349"/>
        <v>0</v>
      </c>
      <c r="EN234" s="182">
        <f t="shared" si="349"/>
        <v>0</v>
      </c>
      <c r="EO234" s="182">
        <f t="shared" si="349"/>
        <v>0</v>
      </c>
      <c r="EP234" s="182">
        <f t="shared" si="349"/>
        <v>0</v>
      </c>
      <c r="EQ234" s="182">
        <f t="shared" si="349"/>
        <v>0</v>
      </c>
      <c r="ER234" s="182">
        <f t="shared" si="349"/>
        <v>0</v>
      </c>
      <c r="ES234" s="182">
        <f t="shared" si="349"/>
        <v>0</v>
      </c>
      <c r="ET234" s="182">
        <f t="shared" si="349"/>
        <v>0</v>
      </c>
      <c r="EU234" s="182">
        <f t="shared" si="349"/>
        <v>0</v>
      </c>
      <c r="EV234" s="182">
        <f t="shared" si="349"/>
        <v>0</v>
      </c>
      <c r="EW234" s="182">
        <f t="shared" si="349"/>
        <v>0</v>
      </c>
      <c r="EX234" s="182">
        <f t="shared" si="349"/>
        <v>0</v>
      </c>
      <c r="EY234" s="182">
        <f t="shared" si="349"/>
        <v>0</v>
      </c>
      <c r="EZ234" s="182">
        <f t="shared" si="349"/>
        <v>0</v>
      </c>
      <c r="FA234" s="182">
        <f t="shared" si="349"/>
        <v>0</v>
      </c>
      <c r="FB234" s="183">
        <f t="shared" si="349"/>
        <v>0</v>
      </c>
    </row>
    <row r="235" spans="2:158" ht="12.75" customHeight="1" x14ac:dyDescent="0.3">
      <c r="B235" s="199" t="s">
        <v>3878</v>
      </c>
      <c r="C235" s="193">
        <v>0</v>
      </c>
      <c r="D235" s="182">
        <f t="shared" si="200"/>
        <v>0</v>
      </c>
      <c r="E235" s="182">
        <f t="shared" si="206"/>
        <v>0</v>
      </c>
      <c r="F235" s="182">
        <f t="shared" si="212"/>
        <v>0</v>
      </c>
      <c r="G235" s="182">
        <f t="shared" si="218"/>
        <v>0</v>
      </c>
      <c r="H235" s="182">
        <f t="shared" si="224"/>
        <v>0</v>
      </c>
      <c r="I235" s="176">
        <f t="shared" si="230"/>
        <v>0</v>
      </c>
      <c r="J235" s="182">
        <f t="shared" si="236"/>
        <v>0</v>
      </c>
      <c r="K235" s="182">
        <f t="shared" si="242"/>
        <v>0</v>
      </c>
      <c r="L235" s="182">
        <f t="shared" si="248"/>
        <v>0</v>
      </c>
      <c r="M235" s="182">
        <f t="shared" si="254"/>
        <v>0</v>
      </c>
      <c r="N235" s="182">
        <f t="shared" si="260"/>
        <v>0</v>
      </c>
      <c r="O235" s="182">
        <f t="shared" si="266"/>
        <v>0</v>
      </c>
      <c r="P235" s="182">
        <f t="shared" si="272"/>
        <v>0</v>
      </c>
      <c r="Q235" s="182">
        <f t="shared" si="278"/>
        <v>0</v>
      </c>
      <c r="R235" s="182">
        <f t="shared" si="284"/>
        <v>0</v>
      </c>
      <c r="S235" s="182">
        <f t="shared" si="290"/>
        <v>0</v>
      </c>
      <c r="T235" s="182">
        <f t="shared" si="296"/>
        <v>1.5983519990158574E-6</v>
      </c>
      <c r="U235" s="182">
        <f t="shared" si="302"/>
        <v>0</v>
      </c>
      <c r="V235" s="182">
        <f t="shared" si="308"/>
        <v>0</v>
      </c>
      <c r="W235" s="182">
        <f t="shared" si="314"/>
        <v>0</v>
      </c>
      <c r="X235" s="182">
        <f t="shared" si="320"/>
        <v>0</v>
      </c>
      <c r="Y235" s="182">
        <f t="shared" si="325"/>
        <v>0</v>
      </c>
      <c r="Z235" s="182">
        <f t="shared" si="330"/>
        <v>0</v>
      </c>
      <c r="AA235" s="182">
        <f t="shared" si="335"/>
        <v>0</v>
      </c>
      <c r="AB235" s="182">
        <f t="shared" si="340"/>
        <v>0</v>
      </c>
      <c r="AC235" s="182">
        <f t="shared" si="345"/>
        <v>0</v>
      </c>
      <c r="AD235" s="182">
        <f t="shared" ref="AD235:AD266" si="350">AD68*AD$168</f>
        <v>0</v>
      </c>
      <c r="AE235" s="182">
        <f t="shared" si="175"/>
        <v>0</v>
      </c>
      <c r="AF235" s="182">
        <f t="shared" si="180"/>
        <v>0</v>
      </c>
      <c r="AG235" s="182">
        <f t="shared" si="185"/>
        <v>0</v>
      </c>
      <c r="AH235" s="182">
        <f t="shared" si="190"/>
        <v>0</v>
      </c>
      <c r="AI235" s="182">
        <f t="shared" si="195"/>
        <v>0</v>
      </c>
      <c r="AJ235" s="182">
        <f t="shared" si="201"/>
        <v>0</v>
      </c>
      <c r="AK235" s="182">
        <f t="shared" si="207"/>
        <v>0</v>
      </c>
      <c r="AL235" s="182">
        <f t="shared" si="213"/>
        <v>0</v>
      </c>
      <c r="AM235" s="182">
        <f t="shared" si="219"/>
        <v>0</v>
      </c>
      <c r="AN235" s="182">
        <f t="shared" si="225"/>
        <v>0</v>
      </c>
      <c r="AO235" s="182">
        <f t="shared" si="231"/>
        <v>0</v>
      </c>
      <c r="AP235" s="182">
        <f t="shared" si="237"/>
        <v>0</v>
      </c>
      <c r="AQ235" s="182">
        <f t="shared" si="243"/>
        <v>0</v>
      </c>
      <c r="AR235" s="182">
        <f t="shared" si="249"/>
        <v>0</v>
      </c>
      <c r="AS235" s="182">
        <f t="shared" si="255"/>
        <v>0</v>
      </c>
      <c r="AT235" s="182">
        <f t="shared" si="261"/>
        <v>0</v>
      </c>
      <c r="AU235" s="182">
        <f t="shared" si="267"/>
        <v>0</v>
      </c>
      <c r="AV235" s="182">
        <f t="shared" si="273"/>
        <v>3.9471672109721967E-2</v>
      </c>
      <c r="AW235" s="182">
        <f t="shared" si="279"/>
        <v>0</v>
      </c>
      <c r="AX235" s="182">
        <f t="shared" si="285"/>
        <v>0</v>
      </c>
      <c r="AY235" s="182">
        <f t="shared" si="291"/>
        <v>5.5049088877293989E-3</v>
      </c>
      <c r="AZ235" s="182">
        <f t="shared" si="297"/>
        <v>0</v>
      </c>
      <c r="BA235" s="182">
        <f t="shared" si="303"/>
        <v>0</v>
      </c>
      <c r="BB235" s="182">
        <f t="shared" si="309"/>
        <v>0</v>
      </c>
      <c r="BC235" s="182">
        <f t="shared" si="315"/>
        <v>0</v>
      </c>
      <c r="BD235" s="182">
        <f t="shared" si="321"/>
        <v>0</v>
      </c>
      <c r="BE235" s="182">
        <f t="shared" si="326"/>
        <v>0</v>
      </c>
      <c r="BF235" s="182">
        <f t="shared" si="331"/>
        <v>0</v>
      </c>
      <c r="BG235" s="182">
        <f t="shared" si="336"/>
        <v>5.4553843972546572E-7</v>
      </c>
      <c r="BH235" s="182">
        <f t="shared" si="341"/>
        <v>0</v>
      </c>
      <c r="BI235" s="182">
        <f t="shared" si="346"/>
        <v>0</v>
      </c>
      <c r="BJ235" s="182">
        <f t="shared" ref="BJ235:BJ266" si="351">BJ68*BJ$168</f>
        <v>0</v>
      </c>
      <c r="BK235" s="181">
        <f>$C235+SUM($D235:BJ235,BL235:$FB235)-SUM(BK$176:BK234,BK236:BK$330)-BK$331</f>
        <v>6.9388939039072284E-18</v>
      </c>
      <c r="BL235" s="176">
        <f t="shared" ref="BL235:CQ235" si="352">BL68*BL$168</f>
        <v>0</v>
      </c>
      <c r="BM235" s="176">
        <f t="shared" si="352"/>
        <v>0</v>
      </c>
      <c r="BN235" s="176">
        <f t="shared" si="352"/>
        <v>0</v>
      </c>
      <c r="BO235" s="176">
        <f t="shared" si="352"/>
        <v>0</v>
      </c>
      <c r="BP235" s="176">
        <f t="shared" si="352"/>
        <v>0</v>
      </c>
      <c r="BQ235" s="176">
        <f t="shared" si="352"/>
        <v>0</v>
      </c>
      <c r="BR235" s="176">
        <f t="shared" si="352"/>
        <v>0</v>
      </c>
      <c r="BS235" s="176">
        <f t="shared" si="352"/>
        <v>0</v>
      </c>
      <c r="BT235" s="176">
        <f t="shared" si="352"/>
        <v>0</v>
      </c>
      <c r="BU235" s="176">
        <f t="shared" si="352"/>
        <v>0</v>
      </c>
      <c r="BV235" s="176">
        <f t="shared" si="352"/>
        <v>0</v>
      </c>
      <c r="BW235" s="176">
        <f t="shared" si="352"/>
        <v>5.7684614403035306E-17</v>
      </c>
      <c r="BX235" s="176">
        <f t="shared" si="352"/>
        <v>0</v>
      </c>
      <c r="BY235" s="176">
        <f t="shared" si="352"/>
        <v>0</v>
      </c>
      <c r="BZ235" s="176">
        <f t="shared" si="352"/>
        <v>0</v>
      </c>
      <c r="CA235" s="176">
        <f t="shared" si="352"/>
        <v>0</v>
      </c>
      <c r="CB235" s="176">
        <f t="shared" si="352"/>
        <v>0</v>
      </c>
      <c r="CC235" s="176">
        <f t="shared" si="352"/>
        <v>0</v>
      </c>
      <c r="CD235" s="176">
        <f t="shared" si="352"/>
        <v>0</v>
      </c>
      <c r="CE235" s="176">
        <f t="shared" si="352"/>
        <v>0</v>
      </c>
      <c r="CF235" s="176">
        <f t="shared" si="352"/>
        <v>0</v>
      </c>
      <c r="CG235" s="176">
        <f t="shared" si="352"/>
        <v>0</v>
      </c>
      <c r="CH235" s="176">
        <f t="shared" si="352"/>
        <v>0</v>
      </c>
      <c r="CI235" s="176">
        <f t="shared" si="352"/>
        <v>0</v>
      </c>
      <c r="CJ235" s="176">
        <f t="shared" si="352"/>
        <v>0</v>
      </c>
      <c r="CK235" s="176">
        <f t="shared" si="352"/>
        <v>0</v>
      </c>
      <c r="CL235" s="176">
        <f t="shared" si="352"/>
        <v>0</v>
      </c>
      <c r="CM235" s="176">
        <f t="shared" si="352"/>
        <v>0</v>
      </c>
      <c r="CN235" s="176">
        <f t="shared" si="352"/>
        <v>0</v>
      </c>
      <c r="CO235" s="176">
        <f t="shared" si="352"/>
        <v>0</v>
      </c>
      <c r="CP235" s="176">
        <f t="shared" si="352"/>
        <v>0</v>
      </c>
      <c r="CQ235" s="176">
        <f t="shared" si="352"/>
        <v>0</v>
      </c>
      <c r="CR235" s="176">
        <f t="shared" ref="CR235:DW235" si="353">CR68*CR$168</f>
        <v>0</v>
      </c>
      <c r="CS235" s="176">
        <f t="shared" si="353"/>
        <v>0</v>
      </c>
      <c r="CT235" s="176">
        <f t="shared" si="353"/>
        <v>5.3428138836416841E-9</v>
      </c>
      <c r="CU235" s="176">
        <f t="shared" si="353"/>
        <v>0</v>
      </c>
      <c r="CV235" s="176">
        <f t="shared" si="353"/>
        <v>0</v>
      </c>
      <c r="CW235" s="176">
        <f t="shared" si="353"/>
        <v>0</v>
      </c>
      <c r="CX235" s="176">
        <f t="shared" si="353"/>
        <v>0</v>
      </c>
      <c r="CY235" s="176">
        <f t="shared" si="353"/>
        <v>0</v>
      </c>
      <c r="CZ235" s="176">
        <f t="shared" si="353"/>
        <v>0</v>
      </c>
      <c r="DA235" s="176">
        <f t="shared" si="353"/>
        <v>0</v>
      </c>
      <c r="DB235" s="176">
        <f t="shared" si="353"/>
        <v>0</v>
      </c>
      <c r="DC235" s="176">
        <f t="shared" si="353"/>
        <v>0</v>
      </c>
      <c r="DD235" s="176">
        <f t="shared" si="353"/>
        <v>0</v>
      </c>
      <c r="DE235" s="176">
        <f t="shared" si="353"/>
        <v>0</v>
      </c>
      <c r="DF235" s="176">
        <f t="shared" si="353"/>
        <v>0</v>
      </c>
      <c r="DG235" s="176">
        <f t="shared" si="353"/>
        <v>0</v>
      </c>
      <c r="DH235" s="176">
        <f t="shared" si="353"/>
        <v>0</v>
      </c>
      <c r="DI235" s="176">
        <f t="shared" si="353"/>
        <v>0</v>
      </c>
      <c r="DJ235" s="176">
        <f t="shared" si="353"/>
        <v>0</v>
      </c>
      <c r="DK235" s="176">
        <f t="shared" si="353"/>
        <v>0</v>
      </c>
      <c r="DL235" s="176">
        <f t="shared" si="353"/>
        <v>0</v>
      </c>
      <c r="DM235" s="176">
        <f t="shared" si="353"/>
        <v>0</v>
      </c>
      <c r="DN235" s="176">
        <f t="shared" si="353"/>
        <v>0</v>
      </c>
      <c r="DO235" s="176">
        <f t="shared" si="353"/>
        <v>0</v>
      </c>
      <c r="DP235" s="176">
        <f t="shared" si="353"/>
        <v>0</v>
      </c>
      <c r="DQ235" s="176">
        <f t="shared" si="353"/>
        <v>0</v>
      </c>
      <c r="DR235" s="176">
        <f t="shared" si="353"/>
        <v>0</v>
      </c>
      <c r="DS235" s="176">
        <f t="shared" si="353"/>
        <v>0</v>
      </c>
      <c r="DT235" s="176">
        <f t="shared" si="353"/>
        <v>0</v>
      </c>
      <c r="DU235" s="176">
        <f t="shared" si="353"/>
        <v>0</v>
      </c>
      <c r="DV235" s="176">
        <f t="shared" si="353"/>
        <v>0</v>
      </c>
      <c r="DW235" s="176">
        <f t="shared" si="353"/>
        <v>0</v>
      </c>
      <c r="DX235" s="176">
        <f t="shared" ref="DX235:FB235" si="354">DX68*DX$168</f>
        <v>0</v>
      </c>
      <c r="DY235" s="176">
        <f t="shared" si="354"/>
        <v>0</v>
      </c>
      <c r="DZ235" s="176">
        <f t="shared" si="354"/>
        <v>0</v>
      </c>
      <c r="EA235" s="176">
        <f t="shared" si="354"/>
        <v>0</v>
      </c>
      <c r="EB235" s="176">
        <f t="shared" si="354"/>
        <v>0</v>
      </c>
      <c r="EC235" s="176">
        <f t="shared" si="354"/>
        <v>0</v>
      </c>
      <c r="ED235" s="176">
        <f t="shared" si="354"/>
        <v>0</v>
      </c>
      <c r="EE235" s="176">
        <f t="shared" si="354"/>
        <v>0</v>
      </c>
      <c r="EF235" s="182">
        <f t="shared" si="354"/>
        <v>0</v>
      </c>
      <c r="EG235" s="182">
        <f t="shared" si="354"/>
        <v>0</v>
      </c>
      <c r="EH235" s="182">
        <f t="shared" si="354"/>
        <v>0</v>
      </c>
      <c r="EI235" s="182">
        <f t="shared" si="354"/>
        <v>0</v>
      </c>
      <c r="EJ235" s="182">
        <f t="shared" si="354"/>
        <v>0</v>
      </c>
      <c r="EK235" s="182">
        <f t="shared" si="354"/>
        <v>0</v>
      </c>
      <c r="EL235" s="182">
        <f t="shared" si="354"/>
        <v>0</v>
      </c>
      <c r="EM235" s="182">
        <f t="shared" si="354"/>
        <v>0</v>
      </c>
      <c r="EN235" s="182">
        <f t="shared" si="354"/>
        <v>0</v>
      </c>
      <c r="EO235" s="182">
        <f t="shared" si="354"/>
        <v>0</v>
      </c>
      <c r="EP235" s="182">
        <f t="shared" si="354"/>
        <v>0</v>
      </c>
      <c r="EQ235" s="182">
        <f t="shared" si="354"/>
        <v>0</v>
      </c>
      <c r="ER235" s="182">
        <f t="shared" si="354"/>
        <v>0</v>
      </c>
      <c r="ES235" s="182">
        <f t="shared" si="354"/>
        <v>0</v>
      </c>
      <c r="ET235" s="182">
        <f t="shared" si="354"/>
        <v>0</v>
      </c>
      <c r="EU235" s="182">
        <f t="shared" si="354"/>
        <v>0</v>
      </c>
      <c r="EV235" s="182">
        <f t="shared" si="354"/>
        <v>0</v>
      </c>
      <c r="EW235" s="182">
        <f t="shared" si="354"/>
        <v>0</v>
      </c>
      <c r="EX235" s="182">
        <f t="shared" si="354"/>
        <v>0</v>
      </c>
      <c r="EY235" s="182">
        <f t="shared" si="354"/>
        <v>0</v>
      </c>
      <c r="EZ235" s="182">
        <f t="shared" si="354"/>
        <v>0</v>
      </c>
      <c r="FA235" s="182">
        <f t="shared" si="354"/>
        <v>0</v>
      </c>
      <c r="FB235" s="183">
        <f t="shared" si="354"/>
        <v>0</v>
      </c>
    </row>
    <row r="236" spans="2:158" ht="12.75" customHeight="1" x14ac:dyDescent="0.3">
      <c r="B236" s="199" t="s">
        <v>3879</v>
      </c>
      <c r="C236" s="193">
        <v>0</v>
      </c>
      <c r="D236" s="182">
        <f t="shared" si="200"/>
        <v>0</v>
      </c>
      <c r="E236" s="182">
        <f t="shared" si="206"/>
        <v>0</v>
      </c>
      <c r="F236" s="182">
        <f t="shared" si="212"/>
        <v>0</v>
      </c>
      <c r="G236" s="182">
        <f t="shared" si="218"/>
        <v>0</v>
      </c>
      <c r="H236" s="182">
        <f t="shared" si="224"/>
        <v>0</v>
      </c>
      <c r="I236" s="176">
        <f t="shared" si="230"/>
        <v>0</v>
      </c>
      <c r="J236" s="182">
        <f t="shared" si="236"/>
        <v>0</v>
      </c>
      <c r="K236" s="182">
        <f t="shared" si="242"/>
        <v>0</v>
      </c>
      <c r="L236" s="182">
        <f t="shared" si="248"/>
        <v>0</v>
      </c>
      <c r="M236" s="182">
        <f t="shared" si="254"/>
        <v>0</v>
      </c>
      <c r="N236" s="182">
        <f t="shared" si="260"/>
        <v>0</v>
      </c>
      <c r="O236" s="182">
        <f t="shared" si="266"/>
        <v>0</v>
      </c>
      <c r="P236" s="182">
        <f t="shared" si="272"/>
        <v>0</v>
      </c>
      <c r="Q236" s="182">
        <f t="shared" si="278"/>
        <v>0</v>
      </c>
      <c r="R236" s="182">
        <f t="shared" si="284"/>
        <v>0</v>
      </c>
      <c r="S236" s="182">
        <f t="shared" si="290"/>
        <v>0</v>
      </c>
      <c r="T236" s="182">
        <f t="shared" si="296"/>
        <v>0</v>
      </c>
      <c r="U236" s="182">
        <f t="shared" si="302"/>
        <v>7.1477114899311154</v>
      </c>
      <c r="V236" s="182">
        <f t="shared" si="308"/>
        <v>0</v>
      </c>
      <c r="W236" s="182">
        <f t="shared" si="314"/>
        <v>0</v>
      </c>
      <c r="X236" s="182">
        <f t="shared" si="320"/>
        <v>0</v>
      </c>
      <c r="Y236" s="182">
        <f t="shared" si="325"/>
        <v>0</v>
      </c>
      <c r="Z236" s="182">
        <f t="shared" si="330"/>
        <v>0</v>
      </c>
      <c r="AA236" s="182">
        <f t="shared" si="335"/>
        <v>0</v>
      </c>
      <c r="AB236" s="182">
        <f t="shared" si="340"/>
        <v>0</v>
      </c>
      <c r="AC236" s="182">
        <f t="shared" si="345"/>
        <v>0</v>
      </c>
      <c r="AD236" s="182">
        <f t="shared" si="350"/>
        <v>0</v>
      </c>
      <c r="AE236" s="182">
        <f t="shared" ref="AE236:AE267" si="355">AE69*AE$168</f>
        <v>0</v>
      </c>
      <c r="AF236" s="182">
        <f t="shared" si="180"/>
        <v>0</v>
      </c>
      <c r="AG236" s="182">
        <f t="shared" si="185"/>
        <v>0</v>
      </c>
      <c r="AH236" s="182">
        <f t="shared" si="190"/>
        <v>0</v>
      </c>
      <c r="AI236" s="182">
        <f t="shared" si="195"/>
        <v>0</v>
      </c>
      <c r="AJ236" s="182">
        <f t="shared" si="201"/>
        <v>0</v>
      </c>
      <c r="AK236" s="182">
        <f t="shared" si="207"/>
        <v>0</v>
      </c>
      <c r="AL236" s="182">
        <f t="shared" si="213"/>
        <v>0</v>
      </c>
      <c r="AM236" s="182">
        <f t="shared" si="219"/>
        <v>0</v>
      </c>
      <c r="AN236" s="182">
        <f t="shared" si="225"/>
        <v>0</v>
      </c>
      <c r="AO236" s="182">
        <f t="shared" si="231"/>
        <v>0</v>
      </c>
      <c r="AP236" s="182">
        <f t="shared" si="237"/>
        <v>0</v>
      </c>
      <c r="AQ236" s="182">
        <f t="shared" si="243"/>
        <v>0</v>
      </c>
      <c r="AR236" s="182">
        <f t="shared" si="249"/>
        <v>0</v>
      </c>
      <c r="AS236" s="182">
        <f t="shared" si="255"/>
        <v>0</v>
      </c>
      <c r="AT236" s="182">
        <f t="shared" si="261"/>
        <v>0</v>
      </c>
      <c r="AU236" s="182">
        <f t="shared" si="267"/>
        <v>0</v>
      </c>
      <c r="AV236" s="182">
        <f t="shared" si="273"/>
        <v>0</v>
      </c>
      <c r="AW236" s="182">
        <f t="shared" si="279"/>
        <v>0.49461089522966201</v>
      </c>
      <c r="AX236" s="182">
        <f t="shared" si="285"/>
        <v>0</v>
      </c>
      <c r="AY236" s="182">
        <f t="shared" si="291"/>
        <v>0</v>
      </c>
      <c r="AZ236" s="182">
        <f t="shared" si="297"/>
        <v>7.4388546117748144E-2</v>
      </c>
      <c r="BA236" s="182">
        <f t="shared" si="303"/>
        <v>0</v>
      </c>
      <c r="BB236" s="182">
        <f t="shared" si="309"/>
        <v>0</v>
      </c>
      <c r="BC236" s="182">
        <f t="shared" si="315"/>
        <v>0</v>
      </c>
      <c r="BD236" s="182">
        <f t="shared" si="321"/>
        <v>0</v>
      </c>
      <c r="BE236" s="182">
        <f t="shared" si="326"/>
        <v>0</v>
      </c>
      <c r="BF236" s="182">
        <f t="shared" si="331"/>
        <v>0</v>
      </c>
      <c r="BG236" s="182">
        <f t="shared" si="336"/>
        <v>0</v>
      </c>
      <c r="BH236" s="182">
        <f t="shared" si="341"/>
        <v>0.2007203157684623</v>
      </c>
      <c r="BI236" s="182">
        <f t="shared" si="346"/>
        <v>0</v>
      </c>
      <c r="BJ236" s="182">
        <f t="shared" si="351"/>
        <v>0</v>
      </c>
      <c r="BK236" s="182">
        <f t="shared" ref="BK236:BK267" si="356">BK69*BK$168</f>
        <v>4.3998650243761581E-2</v>
      </c>
      <c r="BL236" s="181">
        <f>$C236+SUM($D236:BK236,BM236:$FB236)-SUM(BL$176:BL235,BL237:BL$330)-BL$331</f>
        <v>0</v>
      </c>
      <c r="BM236" s="176">
        <f t="shared" ref="BM236:CR236" si="357">BM69*BM$168</f>
        <v>0</v>
      </c>
      <c r="BN236" s="176">
        <f t="shared" si="357"/>
        <v>0</v>
      </c>
      <c r="BO236" s="176">
        <f t="shared" si="357"/>
        <v>0</v>
      </c>
      <c r="BP236" s="176">
        <f t="shared" si="357"/>
        <v>0</v>
      </c>
      <c r="BQ236" s="176">
        <f t="shared" si="357"/>
        <v>0</v>
      </c>
      <c r="BR236" s="176">
        <f t="shared" si="357"/>
        <v>0</v>
      </c>
      <c r="BS236" s="176">
        <f t="shared" si="357"/>
        <v>0</v>
      </c>
      <c r="BT236" s="176">
        <f t="shared" si="357"/>
        <v>0</v>
      </c>
      <c r="BU236" s="176">
        <f t="shared" si="357"/>
        <v>0</v>
      </c>
      <c r="BV236" s="176">
        <f t="shared" si="357"/>
        <v>0</v>
      </c>
      <c r="BW236" s="176">
        <f t="shared" si="357"/>
        <v>0</v>
      </c>
      <c r="BX236" s="176">
        <f t="shared" si="357"/>
        <v>48.133147483410113</v>
      </c>
      <c r="BY236" s="176">
        <f t="shared" si="357"/>
        <v>0</v>
      </c>
      <c r="BZ236" s="176">
        <f t="shared" si="357"/>
        <v>0</v>
      </c>
      <c r="CA236" s="176">
        <f t="shared" si="357"/>
        <v>0</v>
      </c>
      <c r="CB236" s="176">
        <f t="shared" si="357"/>
        <v>0</v>
      </c>
      <c r="CC236" s="176">
        <f t="shared" si="357"/>
        <v>0</v>
      </c>
      <c r="CD236" s="176">
        <f t="shared" si="357"/>
        <v>0</v>
      </c>
      <c r="CE236" s="176">
        <f t="shared" si="357"/>
        <v>0</v>
      </c>
      <c r="CF236" s="176">
        <f t="shared" si="357"/>
        <v>0</v>
      </c>
      <c r="CG236" s="176">
        <f t="shared" si="357"/>
        <v>0</v>
      </c>
      <c r="CH236" s="176">
        <f t="shared" si="357"/>
        <v>0</v>
      </c>
      <c r="CI236" s="176">
        <f t="shared" si="357"/>
        <v>0</v>
      </c>
      <c r="CJ236" s="176">
        <f t="shared" si="357"/>
        <v>0</v>
      </c>
      <c r="CK236" s="176">
        <f t="shared" si="357"/>
        <v>0</v>
      </c>
      <c r="CL236" s="176">
        <f t="shared" si="357"/>
        <v>0</v>
      </c>
      <c r="CM236" s="176">
        <f t="shared" si="357"/>
        <v>0</v>
      </c>
      <c r="CN236" s="176">
        <f t="shared" si="357"/>
        <v>0</v>
      </c>
      <c r="CO236" s="176">
        <f t="shared" si="357"/>
        <v>0</v>
      </c>
      <c r="CP236" s="176">
        <f t="shared" si="357"/>
        <v>0</v>
      </c>
      <c r="CQ236" s="176">
        <f t="shared" si="357"/>
        <v>0</v>
      </c>
      <c r="CR236" s="176">
        <f t="shared" si="357"/>
        <v>0</v>
      </c>
      <c r="CS236" s="176">
        <f t="shared" ref="CS236:DX236" si="358">CS69*CS$168</f>
        <v>0</v>
      </c>
      <c r="CT236" s="176">
        <f t="shared" si="358"/>
        <v>0</v>
      </c>
      <c r="CU236" s="176">
        <f t="shared" si="358"/>
        <v>6865.1666491964625</v>
      </c>
      <c r="CV236" s="176">
        <f t="shared" si="358"/>
        <v>0</v>
      </c>
      <c r="CW236" s="176">
        <f t="shared" si="358"/>
        <v>0</v>
      </c>
      <c r="CX236" s="176">
        <f t="shared" si="358"/>
        <v>0</v>
      </c>
      <c r="CY236" s="176">
        <f t="shared" si="358"/>
        <v>0</v>
      </c>
      <c r="CZ236" s="176">
        <f t="shared" si="358"/>
        <v>0</v>
      </c>
      <c r="DA236" s="176">
        <f t="shared" si="358"/>
        <v>0</v>
      </c>
      <c r="DB236" s="176">
        <f t="shared" si="358"/>
        <v>0</v>
      </c>
      <c r="DC236" s="176">
        <f t="shared" si="358"/>
        <v>0</v>
      </c>
      <c r="DD236" s="176">
        <f t="shared" si="358"/>
        <v>0</v>
      </c>
      <c r="DE236" s="176">
        <f t="shared" si="358"/>
        <v>0</v>
      </c>
      <c r="DF236" s="176">
        <f t="shared" si="358"/>
        <v>0</v>
      </c>
      <c r="DG236" s="176">
        <f t="shared" si="358"/>
        <v>0</v>
      </c>
      <c r="DH236" s="176">
        <f t="shared" si="358"/>
        <v>0</v>
      </c>
      <c r="DI236" s="176">
        <f t="shared" si="358"/>
        <v>0</v>
      </c>
      <c r="DJ236" s="176">
        <f t="shared" si="358"/>
        <v>0</v>
      </c>
      <c r="DK236" s="176">
        <f t="shared" si="358"/>
        <v>0</v>
      </c>
      <c r="DL236" s="176">
        <f t="shared" si="358"/>
        <v>0</v>
      </c>
      <c r="DM236" s="176">
        <f t="shared" si="358"/>
        <v>0</v>
      </c>
      <c r="DN236" s="176">
        <f t="shared" si="358"/>
        <v>0</v>
      </c>
      <c r="DO236" s="176">
        <f t="shared" si="358"/>
        <v>0</v>
      </c>
      <c r="DP236" s="176">
        <f t="shared" si="358"/>
        <v>0</v>
      </c>
      <c r="DQ236" s="176">
        <f t="shared" si="358"/>
        <v>0</v>
      </c>
      <c r="DR236" s="176">
        <f t="shared" si="358"/>
        <v>0</v>
      </c>
      <c r="DS236" s="176">
        <f t="shared" si="358"/>
        <v>0</v>
      </c>
      <c r="DT236" s="176">
        <f t="shared" si="358"/>
        <v>0</v>
      </c>
      <c r="DU236" s="176">
        <f t="shared" si="358"/>
        <v>0</v>
      </c>
      <c r="DV236" s="176">
        <f t="shared" si="358"/>
        <v>0</v>
      </c>
      <c r="DW236" s="176">
        <f t="shared" si="358"/>
        <v>0</v>
      </c>
      <c r="DX236" s="176">
        <f t="shared" si="358"/>
        <v>0</v>
      </c>
      <c r="DY236" s="176">
        <f t="shared" ref="DY236:FB236" si="359">DY69*DY$168</f>
        <v>0</v>
      </c>
      <c r="DZ236" s="176">
        <f t="shared" si="359"/>
        <v>0</v>
      </c>
      <c r="EA236" s="176">
        <f t="shared" si="359"/>
        <v>0</v>
      </c>
      <c r="EB236" s="176">
        <f t="shared" si="359"/>
        <v>0</v>
      </c>
      <c r="EC236" s="176">
        <f t="shared" si="359"/>
        <v>0</v>
      </c>
      <c r="ED236" s="176">
        <f t="shared" si="359"/>
        <v>0</v>
      </c>
      <c r="EE236" s="176">
        <f t="shared" si="359"/>
        <v>0</v>
      </c>
      <c r="EF236" s="182">
        <f t="shared" si="359"/>
        <v>0</v>
      </c>
      <c r="EG236" s="182">
        <f t="shared" si="359"/>
        <v>0</v>
      </c>
      <c r="EH236" s="182">
        <f t="shared" si="359"/>
        <v>0</v>
      </c>
      <c r="EI236" s="182">
        <f t="shared" si="359"/>
        <v>0</v>
      </c>
      <c r="EJ236" s="182">
        <f t="shared" si="359"/>
        <v>0</v>
      </c>
      <c r="EK236" s="182">
        <f t="shared" si="359"/>
        <v>0</v>
      </c>
      <c r="EL236" s="182">
        <f t="shared" si="359"/>
        <v>0</v>
      </c>
      <c r="EM236" s="182">
        <f t="shared" si="359"/>
        <v>0</v>
      </c>
      <c r="EN236" s="182">
        <f t="shared" si="359"/>
        <v>0</v>
      </c>
      <c r="EO236" s="182">
        <f t="shared" si="359"/>
        <v>0</v>
      </c>
      <c r="EP236" s="182">
        <f t="shared" si="359"/>
        <v>0</v>
      </c>
      <c r="EQ236" s="182">
        <f t="shared" si="359"/>
        <v>0</v>
      </c>
      <c r="ER236" s="182">
        <f t="shared" si="359"/>
        <v>0</v>
      </c>
      <c r="ES236" s="182">
        <f t="shared" si="359"/>
        <v>0</v>
      </c>
      <c r="ET236" s="182">
        <f t="shared" si="359"/>
        <v>0</v>
      </c>
      <c r="EU236" s="182">
        <f t="shared" si="359"/>
        <v>0</v>
      </c>
      <c r="EV236" s="182">
        <f t="shared" si="359"/>
        <v>0</v>
      </c>
      <c r="EW236" s="182">
        <f t="shared" si="359"/>
        <v>0</v>
      </c>
      <c r="EX236" s="182">
        <f t="shared" si="359"/>
        <v>0</v>
      </c>
      <c r="EY236" s="182">
        <f t="shared" si="359"/>
        <v>0</v>
      </c>
      <c r="EZ236" s="182">
        <f t="shared" si="359"/>
        <v>0</v>
      </c>
      <c r="FA236" s="182">
        <f t="shared" si="359"/>
        <v>0</v>
      </c>
      <c r="FB236" s="183">
        <f t="shared" si="359"/>
        <v>0</v>
      </c>
    </row>
    <row r="237" spans="2:158" ht="12.75" customHeight="1" x14ac:dyDescent="0.3">
      <c r="B237" s="199" t="s">
        <v>3880</v>
      </c>
      <c r="C237" s="193">
        <v>0</v>
      </c>
      <c r="D237" s="182">
        <f t="shared" si="200"/>
        <v>0</v>
      </c>
      <c r="E237" s="182">
        <f t="shared" si="206"/>
        <v>0</v>
      </c>
      <c r="F237" s="182">
        <f t="shared" si="212"/>
        <v>0</v>
      </c>
      <c r="G237" s="182">
        <f t="shared" si="218"/>
        <v>0</v>
      </c>
      <c r="H237" s="182">
        <f t="shared" si="224"/>
        <v>0</v>
      </c>
      <c r="I237" s="176">
        <f t="shared" si="230"/>
        <v>0</v>
      </c>
      <c r="J237" s="182">
        <f t="shared" si="236"/>
        <v>0</v>
      </c>
      <c r="K237" s="182">
        <f t="shared" si="242"/>
        <v>0</v>
      </c>
      <c r="L237" s="182">
        <f t="shared" si="248"/>
        <v>0</v>
      </c>
      <c r="M237" s="182">
        <f t="shared" si="254"/>
        <v>0</v>
      </c>
      <c r="N237" s="182">
        <f t="shared" si="260"/>
        <v>0</v>
      </c>
      <c r="O237" s="182">
        <f t="shared" si="266"/>
        <v>0</v>
      </c>
      <c r="P237" s="182">
        <f t="shared" si="272"/>
        <v>0</v>
      </c>
      <c r="Q237" s="182">
        <f t="shared" si="278"/>
        <v>0</v>
      </c>
      <c r="R237" s="182">
        <f t="shared" si="284"/>
        <v>0</v>
      </c>
      <c r="S237" s="182">
        <f t="shared" si="290"/>
        <v>0</v>
      </c>
      <c r="T237" s="182">
        <f t="shared" si="296"/>
        <v>0</v>
      </c>
      <c r="U237" s="182">
        <f t="shared" si="302"/>
        <v>0</v>
      </c>
      <c r="V237" s="182">
        <f t="shared" si="308"/>
        <v>4.7876193557476653E-2</v>
      </c>
      <c r="W237" s="182">
        <f t="shared" si="314"/>
        <v>0</v>
      </c>
      <c r="X237" s="182">
        <f t="shared" si="320"/>
        <v>0</v>
      </c>
      <c r="Y237" s="182">
        <f t="shared" si="325"/>
        <v>0</v>
      </c>
      <c r="Z237" s="182">
        <f t="shared" si="330"/>
        <v>0</v>
      </c>
      <c r="AA237" s="182">
        <f t="shared" si="335"/>
        <v>0</v>
      </c>
      <c r="AB237" s="182">
        <f t="shared" si="340"/>
        <v>0</v>
      </c>
      <c r="AC237" s="182">
        <f t="shared" si="345"/>
        <v>0</v>
      </c>
      <c r="AD237" s="182">
        <f t="shared" si="350"/>
        <v>0</v>
      </c>
      <c r="AE237" s="182">
        <f t="shared" si="355"/>
        <v>0</v>
      </c>
      <c r="AF237" s="182">
        <f t="shared" ref="AF237:AF268" si="360">AF70*AF$168</f>
        <v>0</v>
      </c>
      <c r="AG237" s="182">
        <f t="shared" si="185"/>
        <v>0</v>
      </c>
      <c r="AH237" s="182">
        <f t="shared" si="190"/>
        <v>0</v>
      </c>
      <c r="AI237" s="182">
        <f t="shared" si="195"/>
        <v>0</v>
      </c>
      <c r="AJ237" s="182">
        <f t="shared" si="201"/>
        <v>0</v>
      </c>
      <c r="AK237" s="182">
        <f t="shared" si="207"/>
        <v>0</v>
      </c>
      <c r="AL237" s="182">
        <f t="shared" si="213"/>
        <v>0</v>
      </c>
      <c r="AM237" s="182">
        <f t="shared" si="219"/>
        <v>0</v>
      </c>
      <c r="AN237" s="182">
        <f t="shared" si="225"/>
        <v>0</v>
      </c>
      <c r="AO237" s="182">
        <f t="shared" si="231"/>
        <v>0</v>
      </c>
      <c r="AP237" s="182">
        <f t="shared" si="237"/>
        <v>0</v>
      </c>
      <c r="AQ237" s="182">
        <f t="shared" si="243"/>
        <v>0</v>
      </c>
      <c r="AR237" s="182">
        <f t="shared" si="249"/>
        <v>0</v>
      </c>
      <c r="AS237" s="182">
        <f t="shared" si="255"/>
        <v>0</v>
      </c>
      <c r="AT237" s="182">
        <f t="shared" si="261"/>
        <v>0</v>
      </c>
      <c r="AU237" s="182">
        <f t="shared" si="267"/>
        <v>0</v>
      </c>
      <c r="AV237" s="182">
        <f t="shared" si="273"/>
        <v>0</v>
      </c>
      <c r="AW237" s="182">
        <f t="shared" si="279"/>
        <v>0</v>
      </c>
      <c r="AX237" s="182">
        <f t="shared" si="285"/>
        <v>8.9527347438103388E-6</v>
      </c>
      <c r="AY237" s="182">
        <f t="shared" si="291"/>
        <v>0</v>
      </c>
      <c r="AZ237" s="182">
        <f t="shared" si="297"/>
        <v>0</v>
      </c>
      <c r="BA237" s="182">
        <f t="shared" si="303"/>
        <v>6.6240829957222842E-4</v>
      </c>
      <c r="BB237" s="182">
        <f t="shared" si="309"/>
        <v>0</v>
      </c>
      <c r="BC237" s="182">
        <f t="shared" si="315"/>
        <v>0</v>
      </c>
      <c r="BD237" s="182">
        <f t="shared" si="321"/>
        <v>0</v>
      </c>
      <c r="BE237" s="182">
        <f t="shared" si="326"/>
        <v>0</v>
      </c>
      <c r="BF237" s="182">
        <f t="shared" si="331"/>
        <v>0</v>
      </c>
      <c r="BG237" s="182">
        <f t="shared" si="336"/>
        <v>0</v>
      </c>
      <c r="BH237" s="182">
        <f t="shared" si="341"/>
        <v>0</v>
      </c>
      <c r="BI237" s="182">
        <f t="shared" si="346"/>
        <v>3.9456979123145953E-4</v>
      </c>
      <c r="BJ237" s="182">
        <f t="shared" si="351"/>
        <v>0</v>
      </c>
      <c r="BK237" s="182">
        <f t="shared" si="356"/>
        <v>9.7919820347932424E-4</v>
      </c>
      <c r="BL237" s="182">
        <f t="shared" ref="BL237:BL268" si="361">BL70*BL$168</f>
        <v>0</v>
      </c>
      <c r="BM237" s="181">
        <f>$C237+SUM($D237:BL237,BN237:$FB237)-SUM(BM$176:BM236,BM238:BM$330)-BM$331</f>
        <v>-1.1102230246251565E-16</v>
      </c>
      <c r="BN237" s="176">
        <f t="shared" ref="BN237:CS237" si="362">BN70*BN$168</f>
        <v>0</v>
      </c>
      <c r="BO237" s="176">
        <f t="shared" si="362"/>
        <v>0</v>
      </c>
      <c r="BP237" s="176">
        <f t="shared" si="362"/>
        <v>0</v>
      </c>
      <c r="BQ237" s="176">
        <f t="shared" si="362"/>
        <v>0</v>
      </c>
      <c r="BR237" s="176">
        <f t="shared" si="362"/>
        <v>0</v>
      </c>
      <c r="BS237" s="176">
        <f t="shared" si="362"/>
        <v>0</v>
      </c>
      <c r="BT237" s="176">
        <f t="shared" si="362"/>
        <v>0</v>
      </c>
      <c r="BU237" s="176">
        <f t="shared" si="362"/>
        <v>0</v>
      </c>
      <c r="BV237" s="176">
        <f t="shared" si="362"/>
        <v>0</v>
      </c>
      <c r="BW237" s="176">
        <f t="shared" si="362"/>
        <v>0</v>
      </c>
      <c r="BX237" s="176">
        <f t="shared" si="362"/>
        <v>0</v>
      </c>
      <c r="BY237" s="176">
        <f t="shared" si="362"/>
        <v>0.39462637915130738</v>
      </c>
      <c r="BZ237" s="176">
        <f t="shared" si="362"/>
        <v>0</v>
      </c>
      <c r="CA237" s="176">
        <f t="shared" si="362"/>
        <v>0</v>
      </c>
      <c r="CB237" s="176">
        <f t="shared" si="362"/>
        <v>0</v>
      </c>
      <c r="CC237" s="176">
        <f t="shared" si="362"/>
        <v>0</v>
      </c>
      <c r="CD237" s="176">
        <f t="shared" si="362"/>
        <v>0</v>
      </c>
      <c r="CE237" s="176">
        <f t="shared" si="362"/>
        <v>0</v>
      </c>
      <c r="CF237" s="176">
        <f t="shared" si="362"/>
        <v>0</v>
      </c>
      <c r="CG237" s="176">
        <f t="shared" si="362"/>
        <v>0</v>
      </c>
      <c r="CH237" s="176">
        <f t="shared" si="362"/>
        <v>0</v>
      </c>
      <c r="CI237" s="176">
        <f t="shared" si="362"/>
        <v>0</v>
      </c>
      <c r="CJ237" s="176">
        <f t="shared" si="362"/>
        <v>0</v>
      </c>
      <c r="CK237" s="176">
        <f t="shared" si="362"/>
        <v>0</v>
      </c>
      <c r="CL237" s="176">
        <f t="shared" si="362"/>
        <v>0</v>
      </c>
      <c r="CM237" s="176">
        <f t="shared" si="362"/>
        <v>0</v>
      </c>
      <c r="CN237" s="176">
        <f t="shared" si="362"/>
        <v>0</v>
      </c>
      <c r="CO237" s="176">
        <f t="shared" si="362"/>
        <v>0</v>
      </c>
      <c r="CP237" s="176">
        <f t="shared" si="362"/>
        <v>0</v>
      </c>
      <c r="CQ237" s="176">
        <f t="shared" si="362"/>
        <v>0</v>
      </c>
      <c r="CR237" s="176">
        <f t="shared" si="362"/>
        <v>0</v>
      </c>
      <c r="CS237" s="176">
        <f t="shared" si="362"/>
        <v>0</v>
      </c>
      <c r="CT237" s="176">
        <f t="shared" ref="CT237:DY237" si="363">CT70*CT$168</f>
        <v>0</v>
      </c>
      <c r="CU237" s="176">
        <f t="shared" si="363"/>
        <v>0</v>
      </c>
      <c r="CV237" s="176">
        <f t="shared" si="363"/>
        <v>8.5347678603624161E-2</v>
      </c>
      <c r="CW237" s="176">
        <f t="shared" si="363"/>
        <v>0</v>
      </c>
      <c r="CX237" s="176">
        <f t="shared" si="363"/>
        <v>0</v>
      </c>
      <c r="CY237" s="176">
        <f t="shared" si="363"/>
        <v>0</v>
      </c>
      <c r="CZ237" s="176">
        <f t="shared" si="363"/>
        <v>0</v>
      </c>
      <c r="DA237" s="176">
        <f t="shared" si="363"/>
        <v>0</v>
      </c>
      <c r="DB237" s="176">
        <f t="shared" si="363"/>
        <v>0</v>
      </c>
      <c r="DC237" s="176">
        <f t="shared" si="363"/>
        <v>0</v>
      </c>
      <c r="DD237" s="176">
        <f t="shared" si="363"/>
        <v>0</v>
      </c>
      <c r="DE237" s="176">
        <f t="shared" si="363"/>
        <v>0</v>
      </c>
      <c r="DF237" s="176">
        <f t="shared" si="363"/>
        <v>0</v>
      </c>
      <c r="DG237" s="176">
        <f t="shared" si="363"/>
        <v>0</v>
      </c>
      <c r="DH237" s="176">
        <f t="shared" si="363"/>
        <v>0</v>
      </c>
      <c r="DI237" s="176">
        <f t="shared" si="363"/>
        <v>0</v>
      </c>
      <c r="DJ237" s="176">
        <f t="shared" si="363"/>
        <v>0</v>
      </c>
      <c r="DK237" s="176">
        <f t="shared" si="363"/>
        <v>0</v>
      </c>
      <c r="DL237" s="176">
        <f t="shared" si="363"/>
        <v>0</v>
      </c>
      <c r="DM237" s="176">
        <f t="shared" si="363"/>
        <v>0</v>
      </c>
      <c r="DN237" s="176">
        <f t="shared" si="363"/>
        <v>0</v>
      </c>
      <c r="DO237" s="176">
        <f t="shared" si="363"/>
        <v>0</v>
      </c>
      <c r="DP237" s="176">
        <f t="shared" si="363"/>
        <v>0</v>
      </c>
      <c r="DQ237" s="176">
        <f t="shared" si="363"/>
        <v>0</v>
      </c>
      <c r="DR237" s="176">
        <f t="shared" si="363"/>
        <v>0</v>
      </c>
      <c r="DS237" s="176">
        <f t="shared" si="363"/>
        <v>0</v>
      </c>
      <c r="DT237" s="176">
        <f t="shared" si="363"/>
        <v>0</v>
      </c>
      <c r="DU237" s="176">
        <f t="shared" si="363"/>
        <v>0</v>
      </c>
      <c r="DV237" s="176">
        <f t="shared" si="363"/>
        <v>0</v>
      </c>
      <c r="DW237" s="176">
        <f t="shared" si="363"/>
        <v>0</v>
      </c>
      <c r="DX237" s="176">
        <f t="shared" si="363"/>
        <v>0</v>
      </c>
      <c r="DY237" s="176">
        <f t="shared" si="363"/>
        <v>0</v>
      </c>
      <c r="DZ237" s="176">
        <f t="shared" ref="DZ237:FB237" si="364">DZ70*DZ$168</f>
        <v>0</v>
      </c>
      <c r="EA237" s="176">
        <f t="shared" si="364"/>
        <v>0</v>
      </c>
      <c r="EB237" s="176">
        <f t="shared" si="364"/>
        <v>0</v>
      </c>
      <c r="EC237" s="176">
        <f t="shared" si="364"/>
        <v>0</v>
      </c>
      <c r="ED237" s="176">
        <f t="shared" si="364"/>
        <v>0</v>
      </c>
      <c r="EE237" s="176">
        <f t="shared" si="364"/>
        <v>0</v>
      </c>
      <c r="EF237" s="182">
        <f t="shared" si="364"/>
        <v>0</v>
      </c>
      <c r="EG237" s="182">
        <f t="shared" si="364"/>
        <v>0</v>
      </c>
      <c r="EH237" s="182">
        <f t="shared" si="364"/>
        <v>0</v>
      </c>
      <c r="EI237" s="182">
        <f t="shared" si="364"/>
        <v>0</v>
      </c>
      <c r="EJ237" s="182">
        <f t="shared" si="364"/>
        <v>0</v>
      </c>
      <c r="EK237" s="182">
        <f t="shared" si="364"/>
        <v>0</v>
      </c>
      <c r="EL237" s="182">
        <f t="shared" si="364"/>
        <v>0</v>
      </c>
      <c r="EM237" s="182">
        <f t="shared" si="364"/>
        <v>0</v>
      </c>
      <c r="EN237" s="182">
        <f t="shared" si="364"/>
        <v>0</v>
      </c>
      <c r="EO237" s="182">
        <f t="shared" si="364"/>
        <v>0</v>
      </c>
      <c r="EP237" s="182">
        <f t="shared" si="364"/>
        <v>0</v>
      </c>
      <c r="EQ237" s="182">
        <f t="shared" si="364"/>
        <v>0</v>
      </c>
      <c r="ER237" s="182">
        <f t="shared" si="364"/>
        <v>0</v>
      </c>
      <c r="ES237" s="182">
        <f t="shared" si="364"/>
        <v>0</v>
      </c>
      <c r="ET237" s="182">
        <f t="shared" si="364"/>
        <v>0</v>
      </c>
      <c r="EU237" s="182">
        <f t="shared" si="364"/>
        <v>0</v>
      </c>
      <c r="EV237" s="182">
        <f t="shared" si="364"/>
        <v>0</v>
      </c>
      <c r="EW237" s="182">
        <f t="shared" si="364"/>
        <v>0</v>
      </c>
      <c r="EX237" s="182">
        <f t="shared" si="364"/>
        <v>0</v>
      </c>
      <c r="EY237" s="182">
        <f t="shared" si="364"/>
        <v>0</v>
      </c>
      <c r="EZ237" s="182">
        <f t="shared" si="364"/>
        <v>0</v>
      </c>
      <c r="FA237" s="182">
        <f t="shared" si="364"/>
        <v>0</v>
      </c>
      <c r="FB237" s="183">
        <f t="shared" si="364"/>
        <v>0</v>
      </c>
    </row>
    <row r="238" spans="2:158" ht="12.75" customHeight="1" x14ac:dyDescent="0.3">
      <c r="B238" s="199" t="s">
        <v>3881</v>
      </c>
      <c r="C238" s="193">
        <v>0</v>
      </c>
      <c r="D238" s="182">
        <f t="shared" si="200"/>
        <v>0</v>
      </c>
      <c r="E238" s="182">
        <f t="shared" si="206"/>
        <v>0</v>
      </c>
      <c r="F238" s="182">
        <f t="shared" si="212"/>
        <v>0</v>
      </c>
      <c r="G238" s="182">
        <f t="shared" si="218"/>
        <v>0</v>
      </c>
      <c r="H238" s="182">
        <f t="shared" si="224"/>
        <v>0</v>
      </c>
      <c r="I238" s="176">
        <f t="shared" si="230"/>
        <v>0</v>
      </c>
      <c r="J238" s="182">
        <f t="shared" si="236"/>
        <v>0</v>
      </c>
      <c r="K238" s="182">
        <f t="shared" si="242"/>
        <v>0</v>
      </c>
      <c r="L238" s="182">
        <f t="shared" si="248"/>
        <v>0</v>
      </c>
      <c r="M238" s="182">
        <f t="shared" si="254"/>
        <v>0</v>
      </c>
      <c r="N238" s="182">
        <f t="shared" si="260"/>
        <v>0</v>
      </c>
      <c r="O238" s="182">
        <f t="shared" si="266"/>
        <v>0</v>
      </c>
      <c r="P238" s="182">
        <f t="shared" si="272"/>
        <v>0</v>
      </c>
      <c r="Q238" s="182">
        <f t="shared" si="278"/>
        <v>0</v>
      </c>
      <c r="R238" s="182">
        <f t="shared" si="284"/>
        <v>0</v>
      </c>
      <c r="S238" s="182">
        <f t="shared" si="290"/>
        <v>0</v>
      </c>
      <c r="T238" s="182">
        <f t="shared" si="296"/>
        <v>0</v>
      </c>
      <c r="U238" s="182">
        <f t="shared" si="302"/>
        <v>0</v>
      </c>
      <c r="V238" s="182">
        <f t="shared" si="308"/>
        <v>0</v>
      </c>
      <c r="W238" s="182">
        <f t="shared" si="314"/>
        <v>0</v>
      </c>
      <c r="X238" s="182">
        <f t="shared" si="320"/>
        <v>0</v>
      </c>
      <c r="Y238" s="182">
        <f t="shared" si="325"/>
        <v>0</v>
      </c>
      <c r="Z238" s="182">
        <f t="shared" si="330"/>
        <v>0</v>
      </c>
      <c r="AA238" s="182">
        <f t="shared" si="335"/>
        <v>0</v>
      </c>
      <c r="AB238" s="182">
        <f t="shared" si="340"/>
        <v>0</v>
      </c>
      <c r="AC238" s="182">
        <f t="shared" si="345"/>
        <v>0</v>
      </c>
      <c r="AD238" s="182">
        <f t="shared" si="350"/>
        <v>0</v>
      </c>
      <c r="AE238" s="182">
        <f t="shared" si="355"/>
        <v>0</v>
      </c>
      <c r="AF238" s="182">
        <f t="shared" si="360"/>
        <v>0</v>
      </c>
      <c r="AG238" s="182">
        <f t="shared" ref="AG238:AG269" si="365">AG71*AG$168</f>
        <v>0</v>
      </c>
      <c r="AH238" s="182">
        <f t="shared" si="190"/>
        <v>0</v>
      </c>
      <c r="AI238" s="182">
        <f t="shared" si="195"/>
        <v>0</v>
      </c>
      <c r="AJ238" s="182">
        <f t="shared" si="201"/>
        <v>0</v>
      </c>
      <c r="AK238" s="182">
        <f t="shared" si="207"/>
        <v>0</v>
      </c>
      <c r="AL238" s="182">
        <f t="shared" si="213"/>
        <v>0</v>
      </c>
      <c r="AM238" s="182">
        <f t="shared" si="219"/>
        <v>0</v>
      </c>
      <c r="AN238" s="182">
        <f t="shared" si="225"/>
        <v>0</v>
      </c>
      <c r="AO238" s="182">
        <f t="shared" si="231"/>
        <v>0</v>
      </c>
      <c r="AP238" s="182">
        <f t="shared" si="237"/>
        <v>0</v>
      </c>
      <c r="AQ238" s="182">
        <f t="shared" si="243"/>
        <v>0</v>
      </c>
      <c r="AR238" s="182">
        <f t="shared" si="249"/>
        <v>0</v>
      </c>
      <c r="AS238" s="182">
        <f t="shared" si="255"/>
        <v>0</v>
      </c>
      <c r="AT238" s="182">
        <f t="shared" si="261"/>
        <v>0</v>
      </c>
      <c r="AU238" s="182">
        <f t="shared" si="267"/>
        <v>0</v>
      </c>
      <c r="AV238" s="182">
        <f t="shared" si="273"/>
        <v>0</v>
      </c>
      <c r="AW238" s="182">
        <f t="shared" si="279"/>
        <v>0</v>
      </c>
      <c r="AX238" s="182">
        <f t="shared" si="285"/>
        <v>0</v>
      </c>
      <c r="AY238" s="182">
        <f t="shared" si="291"/>
        <v>0</v>
      </c>
      <c r="AZ238" s="182">
        <f t="shared" si="297"/>
        <v>0</v>
      </c>
      <c r="BA238" s="182">
        <f t="shared" si="303"/>
        <v>0</v>
      </c>
      <c r="BB238" s="182">
        <f t="shared" si="309"/>
        <v>0</v>
      </c>
      <c r="BC238" s="182">
        <f t="shared" si="315"/>
        <v>0</v>
      </c>
      <c r="BD238" s="182">
        <f t="shared" si="321"/>
        <v>0</v>
      </c>
      <c r="BE238" s="182">
        <f t="shared" si="326"/>
        <v>0</v>
      </c>
      <c r="BF238" s="182">
        <f t="shared" si="331"/>
        <v>0</v>
      </c>
      <c r="BG238" s="182">
        <f t="shared" si="336"/>
        <v>0</v>
      </c>
      <c r="BH238" s="182">
        <f t="shared" si="341"/>
        <v>0</v>
      </c>
      <c r="BI238" s="182">
        <f t="shared" si="346"/>
        <v>0</v>
      </c>
      <c r="BJ238" s="182">
        <f t="shared" si="351"/>
        <v>0</v>
      </c>
      <c r="BK238" s="182">
        <f t="shared" si="356"/>
        <v>0</v>
      </c>
      <c r="BL238" s="182">
        <f t="shared" si="361"/>
        <v>0</v>
      </c>
      <c r="BM238" s="182">
        <f t="shared" ref="BM238:BM269" si="366">BM71*BM$168</f>
        <v>0</v>
      </c>
      <c r="BN238" s="181">
        <f>$C238+SUM($D238:BM238,BO238:$FB238)-SUM(BN$176:BN237,BN239:BN$330)-BN$331</f>
        <v>0</v>
      </c>
      <c r="BO238" s="176">
        <f t="shared" ref="BO238:CT238" si="367">BO71*BO$168</f>
        <v>0</v>
      </c>
      <c r="BP238" s="176">
        <f t="shared" si="367"/>
        <v>0</v>
      </c>
      <c r="BQ238" s="176">
        <f t="shared" si="367"/>
        <v>0</v>
      </c>
      <c r="BR238" s="176">
        <f t="shared" si="367"/>
        <v>0</v>
      </c>
      <c r="BS238" s="176">
        <f t="shared" si="367"/>
        <v>0</v>
      </c>
      <c r="BT238" s="176">
        <f t="shared" si="367"/>
        <v>0</v>
      </c>
      <c r="BU238" s="176">
        <f t="shared" si="367"/>
        <v>0</v>
      </c>
      <c r="BV238" s="176">
        <f t="shared" si="367"/>
        <v>0</v>
      </c>
      <c r="BW238" s="176">
        <f t="shared" si="367"/>
        <v>0</v>
      </c>
      <c r="BX238" s="176">
        <f t="shared" si="367"/>
        <v>0</v>
      </c>
      <c r="BY238" s="176">
        <f t="shared" si="367"/>
        <v>0</v>
      </c>
      <c r="BZ238" s="176">
        <f t="shared" si="367"/>
        <v>0</v>
      </c>
      <c r="CA238" s="176">
        <f t="shared" si="367"/>
        <v>0</v>
      </c>
      <c r="CB238" s="176">
        <f t="shared" si="367"/>
        <v>0</v>
      </c>
      <c r="CC238" s="176">
        <f t="shared" si="367"/>
        <v>0</v>
      </c>
      <c r="CD238" s="176">
        <f t="shared" si="367"/>
        <v>0</v>
      </c>
      <c r="CE238" s="176">
        <f t="shared" si="367"/>
        <v>0</v>
      </c>
      <c r="CF238" s="176">
        <f t="shared" si="367"/>
        <v>0</v>
      </c>
      <c r="CG238" s="176">
        <f t="shared" si="367"/>
        <v>0</v>
      </c>
      <c r="CH238" s="176">
        <f t="shared" si="367"/>
        <v>0</v>
      </c>
      <c r="CI238" s="176">
        <f t="shared" si="367"/>
        <v>0</v>
      </c>
      <c r="CJ238" s="176">
        <f t="shared" si="367"/>
        <v>0</v>
      </c>
      <c r="CK238" s="176">
        <f t="shared" si="367"/>
        <v>0</v>
      </c>
      <c r="CL238" s="176">
        <f t="shared" si="367"/>
        <v>0</v>
      </c>
      <c r="CM238" s="176">
        <f t="shared" si="367"/>
        <v>0</v>
      </c>
      <c r="CN238" s="176">
        <f t="shared" si="367"/>
        <v>0</v>
      </c>
      <c r="CO238" s="176">
        <f t="shared" si="367"/>
        <v>0</v>
      </c>
      <c r="CP238" s="176">
        <f t="shared" si="367"/>
        <v>0</v>
      </c>
      <c r="CQ238" s="176">
        <f t="shared" si="367"/>
        <v>0</v>
      </c>
      <c r="CR238" s="176">
        <f t="shared" si="367"/>
        <v>0</v>
      </c>
      <c r="CS238" s="176">
        <f t="shared" si="367"/>
        <v>0</v>
      </c>
      <c r="CT238" s="176">
        <f t="shared" si="367"/>
        <v>0</v>
      </c>
      <c r="CU238" s="176">
        <f t="shared" ref="CU238:DZ238" si="368">CU71*CU$168</f>
        <v>0</v>
      </c>
      <c r="CV238" s="176">
        <f t="shared" si="368"/>
        <v>0</v>
      </c>
      <c r="CW238" s="176">
        <f t="shared" si="368"/>
        <v>0</v>
      </c>
      <c r="CX238" s="176">
        <f t="shared" si="368"/>
        <v>0</v>
      </c>
      <c r="CY238" s="176">
        <f t="shared" si="368"/>
        <v>0</v>
      </c>
      <c r="CZ238" s="176">
        <f t="shared" si="368"/>
        <v>0</v>
      </c>
      <c r="DA238" s="176">
        <f t="shared" si="368"/>
        <v>0</v>
      </c>
      <c r="DB238" s="176">
        <f t="shared" si="368"/>
        <v>0</v>
      </c>
      <c r="DC238" s="176">
        <f t="shared" si="368"/>
        <v>0</v>
      </c>
      <c r="DD238" s="176">
        <f t="shared" si="368"/>
        <v>0</v>
      </c>
      <c r="DE238" s="176">
        <f t="shared" si="368"/>
        <v>0</v>
      </c>
      <c r="DF238" s="176">
        <f t="shared" si="368"/>
        <v>0</v>
      </c>
      <c r="DG238" s="176">
        <f t="shared" si="368"/>
        <v>0</v>
      </c>
      <c r="DH238" s="176">
        <f t="shared" si="368"/>
        <v>0</v>
      </c>
      <c r="DI238" s="176">
        <f t="shared" si="368"/>
        <v>0</v>
      </c>
      <c r="DJ238" s="176">
        <f t="shared" si="368"/>
        <v>0</v>
      </c>
      <c r="DK238" s="176">
        <f t="shared" si="368"/>
        <v>0</v>
      </c>
      <c r="DL238" s="176">
        <f t="shared" si="368"/>
        <v>0</v>
      </c>
      <c r="DM238" s="176">
        <f t="shared" si="368"/>
        <v>0</v>
      </c>
      <c r="DN238" s="176">
        <f t="shared" si="368"/>
        <v>0</v>
      </c>
      <c r="DO238" s="176">
        <f t="shared" si="368"/>
        <v>0</v>
      </c>
      <c r="DP238" s="176">
        <f t="shared" si="368"/>
        <v>0</v>
      </c>
      <c r="DQ238" s="176">
        <f t="shared" si="368"/>
        <v>0</v>
      </c>
      <c r="DR238" s="176">
        <f t="shared" si="368"/>
        <v>0</v>
      </c>
      <c r="DS238" s="176">
        <f t="shared" si="368"/>
        <v>0</v>
      </c>
      <c r="DT238" s="176">
        <f t="shared" si="368"/>
        <v>0</v>
      </c>
      <c r="DU238" s="176">
        <f t="shared" si="368"/>
        <v>0</v>
      </c>
      <c r="DV238" s="176">
        <f t="shared" si="368"/>
        <v>0</v>
      </c>
      <c r="DW238" s="176">
        <f t="shared" si="368"/>
        <v>0</v>
      </c>
      <c r="DX238" s="176">
        <f t="shared" si="368"/>
        <v>0</v>
      </c>
      <c r="DY238" s="176">
        <f t="shared" si="368"/>
        <v>0</v>
      </c>
      <c r="DZ238" s="176">
        <f t="shared" si="368"/>
        <v>0</v>
      </c>
      <c r="EA238" s="176">
        <f t="shared" ref="EA238:FB238" si="369">EA71*EA$168</f>
        <v>0</v>
      </c>
      <c r="EB238" s="176">
        <f t="shared" si="369"/>
        <v>0</v>
      </c>
      <c r="EC238" s="176">
        <f t="shared" si="369"/>
        <v>0</v>
      </c>
      <c r="ED238" s="176">
        <f t="shared" si="369"/>
        <v>0</v>
      </c>
      <c r="EE238" s="176">
        <f t="shared" si="369"/>
        <v>0</v>
      </c>
      <c r="EF238" s="182">
        <f t="shared" si="369"/>
        <v>0</v>
      </c>
      <c r="EG238" s="182">
        <f t="shared" si="369"/>
        <v>0</v>
      </c>
      <c r="EH238" s="182">
        <f t="shared" si="369"/>
        <v>0</v>
      </c>
      <c r="EI238" s="182">
        <f t="shared" si="369"/>
        <v>0</v>
      </c>
      <c r="EJ238" s="182">
        <f t="shared" si="369"/>
        <v>0</v>
      </c>
      <c r="EK238" s="182">
        <f t="shared" si="369"/>
        <v>0</v>
      </c>
      <c r="EL238" s="182">
        <f t="shared" si="369"/>
        <v>0</v>
      </c>
      <c r="EM238" s="182">
        <f t="shared" si="369"/>
        <v>0</v>
      </c>
      <c r="EN238" s="182">
        <f t="shared" si="369"/>
        <v>0</v>
      </c>
      <c r="EO238" s="182">
        <f t="shared" si="369"/>
        <v>0</v>
      </c>
      <c r="EP238" s="182">
        <f t="shared" si="369"/>
        <v>0</v>
      </c>
      <c r="EQ238" s="182">
        <f t="shared" si="369"/>
        <v>0</v>
      </c>
      <c r="ER238" s="182">
        <f t="shared" si="369"/>
        <v>0</v>
      </c>
      <c r="ES238" s="182">
        <f t="shared" si="369"/>
        <v>0</v>
      </c>
      <c r="ET238" s="182">
        <f t="shared" si="369"/>
        <v>0</v>
      </c>
      <c r="EU238" s="182">
        <f t="shared" si="369"/>
        <v>0</v>
      </c>
      <c r="EV238" s="182">
        <f t="shared" si="369"/>
        <v>0</v>
      </c>
      <c r="EW238" s="182">
        <f t="shared" si="369"/>
        <v>0</v>
      </c>
      <c r="EX238" s="182">
        <f t="shared" si="369"/>
        <v>0</v>
      </c>
      <c r="EY238" s="182">
        <f t="shared" si="369"/>
        <v>0</v>
      </c>
      <c r="EZ238" s="182">
        <f t="shared" si="369"/>
        <v>0</v>
      </c>
      <c r="FA238" s="182">
        <f t="shared" si="369"/>
        <v>0</v>
      </c>
      <c r="FB238" s="183">
        <f t="shared" si="369"/>
        <v>0</v>
      </c>
    </row>
    <row r="239" spans="2:158" ht="12.75" customHeight="1" x14ac:dyDescent="0.3">
      <c r="B239" s="199" t="s">
        <v>3882</v>
      </c>
      <c r="C239" s="193">
        <v>0</v>
      </c>
      <c r="D239" s="182">
        <f t="shared" si="200"/>
        <v>0</v>
      </c>
      <c r="E239" s="182">
        <f t="shared" si="206"/>
        <v>0</v>
      </c>
      <c r="F239" s="182">
        <f t="shared" si="212"/>
        <v>0</v>
      </c>
      <c r="G239" s="182">
        <f t="shared" si="218"/>
        <v>0</v>
      </c>
      <c r="H239" s="182">
        <f t="shared" si="224"/>
        <v>0</v>
      </c>
      <c r="I239" s="176">
        <f t="shared" si="230"/>
        <v>0</v>
      </c>
      <c r="J239" s="182">
        <f t="shared" si="236"/>
        <v>0</v>
      </c>
      <c r="K239" s="182">
        <f t="shared" si="242"/>
        <v>0</v>
      </c>
      <c r="L239" s="182">
        <f t="shared" si="248"/>
        <v>0</v>
      </c>
      <c r="M239" s="182">
        <f t="shared" si="254"/>
        <v>0</v>
      </c>
      <c r="N239" s="182">
        <f t="shared" si="260"/>
        <v>0</v>
      </c>
      <c r="O239" s="182">
        <f t="shared" si="266"/>
        <v>0</v>
      </c>
      <c r="P239" s="182">
        <f t="shared" si="272"/>
        <v>0</v>
      </c>
      <c r="Q239" s="182">
        <f t="shared" si="278"/>
        <v>0</v>
      </c>
      <c r="R239" s="182">
        <f t="shared" si="284"/>
        <v>0</v>
      </c>
      <c r="S239" s="182">
        <f t="shared" si="290"/>
        <v>0</v>
      </c>
      <c r="T239" s="182">
        <f t="shared" si="296"/>
        <v>0</v>
      </c>
      <c r="U239" s="182">
        <f t="shared" si="302"/>
        <v>0</v>
      </c>
      <c r="V239" s="182">
        <f t="shared" si="308"/>
        <v>0</v>
      </c>
      <c r="W239" s="182">
        <f t="shared" si="314"/>
        <v>0</v>
      </c>
      <c r="X239" s="182">
        <f t="shared" si="320"/>
        <v>0</v>
      </c>
      <c r="Y239" s="182">
        <f t="shared" si="325"/>
        <v>0</v>
      </c>
      <c r="Z239" s="182">
        <f t="shared" si="330"/>
        <v>0</v>
      </c>
      <c r="AA239" s="182">
        <f t="shared" si="335"/>
        <v>0</v>
      </c>
      <c r="AB239" s="182">
        <f t="shared" si="340"/>
        <v>0</v>
      </c>
      <c r="AC239" s="182">
        <f t="shared" si="345"/>
        <v>0</v>
      </c>
      <c r="AD239" s="182">
        <f t="shared" si="350"/>
        <v>0</v>
      </c>
      <c r="AE239" s="182">
        <f t="shared" si="355"/>
        <v>0</v>
      </c>
      <c r="AF239" s="182">
        <f t="shared" si="360"/>
        <v>0</v>
      </c>
      <c r="AG239" s="182">
        <f t="shared" si="365"/>
        <v>0</v>
      </c>
      <c r="AH239" s="182">
        <f t="shared" ref="AH239:AH270" si="370">AH72*AH$168</f>
        <v>0</v>
      </c>
      <c r="AI239" s="182">
        <f t="shared" si="195"/>
        <v>0</v>
      </c>
      <c r="AJ239" s="182">
        <f t="shared" si="201"/>
        <v>0</v>
      </c>
      <c r="AK239" s="182">
        <f t="shared" si="207"/>
        <v>0</v>
      </c>
      <c r="AL239" s="182">
        <f t="shared" si="213"/>
        <v>0</v>
      </c>
      <c r="AM239" s="182">
        <f t="shared" si="219"/>
        <v>0</v>
      </c>
      <c r="AN239" s="182">
        <f t="shared" si="225"/>
        <v>0</v>
      </c>
      <c r="AO239" s="182">
        <f t="shared" si="231"/>
        <v>0</v>
      </c>
      <c r="AP239" s="182">
        <f t="shared" si="237"/>
        <v>0</v>
      </c>
      <c r="AQ239" s="182">
        <f t="shared" si="243"/>
        <v>0</v>
      </c>
      <c r="AR239" s="182">
        <f t="shared" si="249"/>
        <v>0</v>
      </c>
      <c r="AS239" s="182">
        <f t="shared" si="255"/>
        <v>0</v>
      </c>
      <c r="AT239" s="182">
        <f t="shared" si="261"/>
        <v>0</v>
      </c>
      <c r="AU239" s="182">
        <f t="shared" si="267"/>
        <v>0</v>
      </c>
      <c r="AV239" s="182">
        <f t="shared" si="273"/>
        <v>0</v>
      </c>
      <c r="AW239" s="182">
        <f t="shared" si="279"/>
        <v>0</v>
      </c>
      <c r="AX239" s="182">
        <f t="shared" si="285"/>
        <v>0</v>
      </c>
      <c r="AY239" s="182">
        <f t="shared" si="291"/>
        <v>0</v>
      </c>
      <c r="AZ239" s="182">
        <f t="shared" si="297"/>
        <v>0</v>
      </c>
      <c r="BA239" s="182">
        <f t="shared" si="303"/>
        <v>0</v>
      </c>
      <c r="BB239" s="182">
        <f t="shared" si="309"/>
        <v>0</v>
      </c>
      <c r="BC239" s="182">
        <f t="shared" si="315"/>
        <v>5.6983052365296701E-12</v>
      </c>
      <c r="BD239" s="182">
        <f t="shared" si="321"/>
        <v>0</v>
      </c>
      <c r="BE239" s="182">
        <f t="shared" si="326"/>
        <v>0</v>
      </c>
      <c r="BF239" s="182">
        <f t="shared" si="331"/>
        <v>0</v>
      </c>
      <c r="BG239" s="182">
        <f t="shared" si="336"/>
        <v>0</v>
      </c>
      <c r="BH239" s="182">
        <f t="shared" si="341"/>
        <v>0</v>
      </c>
      <c r="BI239" s="182">
        <f t="shared" si="346"/>
        <v>0</v>
      </c>
      <c r="BJ239" s="182">
        <f t="shared" si="351"/>
        <v>0</v>
      </c>
      <c r="BK239" s="182">
        <f t="shared" si="356"/>
        <v>0</v>
      </c>
      <c r="BL239" s="182">
        <f t="shared" si="361"/>
        <v>0</v>
      </c>
      <c r="BM239" s="182">
        <f t="shared" si="366"/>
        <v>0</v>
      </c>
      <c r="BN239" s="182">
        <f t="shared" ref="BN239:BN270" si="371">BN72*BN$168</f>
        <v>0</v>
      </c>
      <c r="BO239" s="181">
        <f>$C239+SUM($D239:BN239,BP239:$FB239)-SUM(BO$176:BO238,BO240:BO$330)-BO$331</f>
        <v>1.1232947882039665E-28</v>
      </c>
      <c r="BP239" s="176">
        <f t="shared" ref="BP239:CU239" si="372">BP72*BP$168</f>
        <v>0</v>
      </c>
      <c r="BQ239" s="176">
        <f t="shared" si="372"/>
        <v>0</v>
      </c>
      <c r="BR239" s="176">
        <f t="shared" si="372"/>
        <v>0</v>
      </c>
      <c r="BS239" s="176">
        <f t="shared" si="372"/>
        <v>0</v>
      </c>
      <c r="BT239" s="176">
        <f t="shared" si="372"/>
        <v>0</v>
      </c>
      <c r="BU239" s="176">
        <f t="shared" si="372"/>
        <v>0</v>
      </c>
      <c r="BV239" s="176">
        <f t="shared" si="372"/>
        <v>0</v>
      </c>
      <c r="BW239" s="176">
        <f t="shared" si="372"/>
        <v>0</v>
      </c>
      <c r="BX239" s="176">
        <f t="shared" si="372"/>
        <v>0</v>
      </c>
      <c r="BY239" s="176">
        <f t="shared" si="372"/>
        <v>0</v>
      </c>
      <c r="BZ239" s="176">
        <f t="shared" si="372"/>
        <v>0</v>
      </c>
      <c r="CA239" s="176">
        <f t="shared" si="372"/>
        <v>0</v>
      </c>
      <c r="CB239" s="176">
        <f t="shared" si="372"/>
        <v>0</v>
      </c>
      <c r="CC239" s="176">
        <f t="shared" si="372"/>
        <v>0</v>
      </c>
      <c r="CD239" s="176">
        <f t="shared" si="372"/>
        <v>0</v>
      </c>
      <c r="CE239" s="176">
        <f t="shared" si="372"/>
        <v>0</v>
      </c>
      <c r="CF239" s="176">
        <f t="shared" si="372"/>
        <v>0</v>
      </c>
      <c r="CG239" s="176">
        <f t="shared" si="372"/>
        <v>0</v>
      </c>
      <c r="CH239" s="176">
        <f t="shared" si="372"/>
        <v>0</v>
      </c>
      <c r="CI239" s="176">
        <f t="shared" si="372"/>
        <v>0</v>
      </c>
      <c r="CJ239" s="176">
        <f t="shared" si="372"/>
        <v>0</v>
      </c>
      <c r="CK239" s="176">
        <f t="shared" si="372"/>
        <v>0</v>
      </c>
      <c r="CL239" s="176">
        <f t="shared" si="372"/>
        <v>0</v>
      </c>
      <c r="CM239" s="176">
        <f t="shared" si="372"/>
        <v>0</v>
      </c>
      <c r="CN239" s="176">
        <f t="shared" si="372"/>
        <v>0</v>
      </c>
      <c r="CO239" s="176">
        <f t="shared" si="372"/>
        <v>0</v>
      </c>
      <c r="CP239" s="176">
        <f t="shared" si="372"/>
        <v>0</v>
      </c>
      <c r="CQ239" s="176">
        <f t="shared" si="372"/>
        <v>0</v>
      </c>
      <c r="CR239" s="176">
        <f t="shared" si="372"/>
        <v>0</v>
      </c>
      <c r="CS239" s="176">
        <f t="shared" si="372"/>
        <v>0</v>
      </c>
      <c r="CT239" s="176">
        <f t="shared" si="372"/>
        <v>0</v>
      </c>
      <c r="CU239" s="176">
        <f t="shared" si="372"/>
        <v>0</v>
      </c>
      <c r="CV239" s="176">
        <f t="shared" ref="CV239:EA239" si="373">CV72*CV$168</f>
        <v>0</v>
      </c>
      <c r="CW239" s="176">
        <f t="shared" si="373"/>
        <v>0</v>
      </c>
      <c r="CX239" s="176">
        <f t="shared" si="373"/>
        <v>0</v>
      </c>
      <c r="CY239" s="176">
        <f t="shared" si="373"/>
        <v>0</v>
      </c>
      <c r="CZ239" s="176">
        <f t="shared" si="373"/>
        <v>0</v>
      </c>
      <c r="DA239" s="176">
        <f t="shared" si="373"/>
        <v>0</v>
      </c>
      <c r="DB239" s="176">
        <f t="shared" si="373"/>
        <v>0</v>
      </c>
      <c r="DC239" s="176">
        <f t="shared" si="373"/>
        <v>0</v>
      </c>
      <c r="DD239" s="176">
        <f t="shared" si="373"/>
        <v>0</v>
      </c>
      <c r="DE239" s="176">
        <f t="shared" si="373"/>
        <v>0</v>
      </c>
      <c r="DF239" s="176">
        <f t="shared" si="373"/>
        <v>0</v>
      </c>
      <c r="DG239" s="176">
        <f t="shared" si="373"/>
        <v>0</v>
      </c>
      <c r="DH239" s="176">
        <f t="shared" si="373"/>
        <v>0</v>
      </c>
      <c r="DI239" s="176">
        <f t="shared" si="373"/>
        <v>0</v>
      </c>
      <c r="DJ239" s="176">
        <f t="shared" si="373"/>
        <v>0</v>
      </c>
      <c r="DK239" s="176">
        <f t="shared" si="373"/>
        <v>0</v>
      </c>
      <c r="DL239" s="176">
        <f t="shared" si="373"/>
        <v>0</v>
      </c>
      <c r="DM239" s="176">
        <f t="shared" si="373"/>
        <v>0</v>
      </c>
      <c r="DN239" s="176">
        <f t="shared" si="373"/>
        <v>0</v>
      </c>
      <c r="DO239" s="176">
        <f t="shared" si="373"/>
        <v>0</v>
      </c>
      <c r="DP239" s="176">
        <f t="shared" si="373"/>
        <v>0</v>
      </c>
      <c r="DQ239" s="176">
        <f t="shared" si="373"/>
        <v>0</v>
      </c>
      <c r="DR239" s="176">
        <f t="shared" si="373"/>
        <v>0</v>
      </c>
      <c r="DS239" s="176">
        <f t="shared" si="373"/>
        <v>0</v>
      </c>
      <c r="DT239" s="176">
        <f t="shared" si="373"/>
        <v>0</v>
      </c>
      <c r="DU239" s="176">
        <f t="shared" si="373"/>
        <v>0</v>
      </c>
      <c r="DV239" s="176">
        <f t="shared" si="373"/>
        <v>0</v>
      </c>
      <c r="DW239" s="176">
        <f t="shared" si="373"/>
        <v>0</v>
      </c>
      <c r="DX239" s="176">
        <f t="shared" si="373"/>
        <v>0</v>
      </c>
      <c r="DY239" s="176">
        <f t="shared" si="373"/>
        <v>0</v>
      </c>
      <c r="DZ239" s="176">
        <f t="shared" si="373"/>
        <v>0</v>
      </c>
      <c r="EA239" s="176">
        <f t="shared" si="373"/>
        <v>0</v>
      </c>
      <c r="EB239" s="176">
        <f t="shared" ref="EB239:FB239" si="374">EB72*EB$168</f>
        <v>0</v>
      </c>
      <c r="EC239" s="176">
        <f t="shared" si="374"/>
        <v>0</v>
      </c>
      <c r="ED239" s="176">
        <f t="shared" si="374"/>
        <v>0</v>
      </c>
      <c r="EE239" s="176">
        <f t="shared" si="374"/>
        <v>0</v>
      </c>
      <c r="EF239" s="182">
        <f t="shared" si="374"/>
        <v>0</v>
      </c>
      <c r="EG239" s="182">
        <f t="shared" si="374"/>
        <v>0</v>
      </c>
      <c r="EH239" s="182">
        <f t="shared" si="374"/>
        <v>0</v>
      </c>
      <c r="EI239" s="182">
        <f t="shared" si="374"/>
        <v>0</v>
      </c>
      <c r="EJ239" s="182">
        <f t="shared" si="374"/>
        <v>0</v>
      </c>
      <c r="EK239" s="182">
        <f t="shared" si="374"/>
        <v>0</v>
      </c>
      <c r="EL239" s="182">
        <f t="shared" si="374"/>
        <v>0</v>
      </c>
      <c r="EM239" s="182">
        <f t="shared" si="374"/>
        <v>0</v>
      </c>
      <c r="EN239" s="182">
        <f t="shared" si="374"/>
        <v>0</v>
      </c>
      <c r="EO239" s="182">
        <f t="shared" si="374"/>
        <v>0</v>
      </c>
      <c r="EP239" s="182">
        <f t="shared" si="374"/>
        <v>0</v>
      </c>
      <c r="EQ239" s="182">
        <f t="shared" si="374"/>
        <v>0</v>
      </c>
      <c r="ER239" s="182">
        <f t="shared" si="374"/>
        <v>0</v>
      </c>
      <c r="ES239" s="182">
        <f t="shared" si="374"/>
        <v>0</v>
      </c>
      <c r="ET239" s="182">
        <f t="shared" si="374"/>
        <v>0</v>
      </c>
      <c r="EU239" s="182">
        <f t="shared" si="374"/>
        <v>0</v>
      </c>
      <c r="EV239" s="182">
        <f t="shared" si="374"/>
        <v>0</v>
      </c>
      <c r="EW239" s="182">
        <f t="shared" si="374"/>
        <v>0</v>
      </c>
      <c r="EX239" s="182">
        <f t="shared" si="374"/>
        <v>0</v>
      </c>
      <c r="EY239" s="182">
        <f t="shared" si="374"/>
        <v>0</v>
      </c>
      <c r="EZ239" s="182">
        <f t="shared" si="374"/>
        <v>0</v>
      </c>
      <c r="FA239" s="182">
        <f t="shared" si="374"/>
        <v>0</v>
      </c>
      <c r="FB239" s="183">
        <f t="shared" si="374"/>
        <v>0</v>
      </c>
    </row>
    <row r="240" spans="2:158" ht="12.75" customHeight="1" x14ac:dyDescent="0.3">
      <c r="B240" s="199" t="s">
        <v>3883</v>
      </c>
      <c r="C240" s="193">
        <v>0</v>
      </c>
      <c r="D240" s="182">
        <f t="shared" si="200"/>
        <v>0</v>
      </c>
      <c r="E240" s="182">
        <f t="shared" si="206"/>
        <v>0</v>
      </c>
      <c r="F240" s="182">
        <f t="shared" si="212"/>
        <v>0</v>
      </c>
      <c r="G240" s="182">
        <f t="shared" si="218"/>
        <v>0</v>
      </c>
      <c r="H240" s="182">
        <f t="shared" si="224"/>
        <v>0</v>
      </c>
      <c r="I240" s="176">
        <f t="shared" si="230"/>
        <v>0</v>
      </c>
      <c r="J240" s="182">
        <f t="shared" si="236"/>
        <v>0</v>
      </c>
      <c r="K240" s="182">
        <f t="shared" si="242"/>
        <v>0</v>
      </c>
      <c r="L240" s="182">
        <f t="shared" si="248"/>
        <v>0</v>
      </c>
      <c r="M240" s="182">
        <f t="shared" si="254"/>
        <v>0</v>
      </c>
      <c r="N240" s="182">
        <f t="shared" si="260"/>
        <v>0</v>
      </c>
      <c r="O240" s="182">
        <f t="shared" si="266"/>
        <v>0</v>
      </c>
      <c r="P240" s="182">
        <f t="shared" si="272"/>
        <v>0</v>
      </c>
      <c r="Q240" s="182">
        <f t="shared" si="278"/>
        <v>0</v>
      </c>
      <c r="R240" s="182">
        <f t="shared" si="284"/>
        <v>0</v>
      </c>
      <c r="S240" s="182">
        <f t="shared" si="290"/>
        <v>0</v>
      </c>
      <c r="T240" s="182">
        <f t="shared" si="296"/>
        <v>0</v>
      </c>
      <c r="U240" s="182">
        <f t="shared" si="302"/>
        <v>0</v>
      </c>
      <c r="V240" s="182">
        <f t="shared" si="308"/>
        <v>0</v>
      </c>
      <c r="W240" s="182">
        <f t="shared" si="314"/>
        <v>0</v>
      </c>
      <c r="X240" s="182">
        <f t="shared" si="320"/>
        <v>0</v>
      </c>
      <c r="Y240" s="182">
        <f t="shared" si="325"/>
        <v>0</v>
      </c>
      <c r="Z240" s="182">
        <f t="shared" si="330"/>
        <v>0</v>
      </c>
      <c r="AA240" s="182">
        <f t="shared" si="335"/>
        <v>0</v>
      </c>
      <c r="AB240" s="182">
        <f t="shared" si="340"/>
        <v>0</v>
      </c>
      <c r="AC240" s="182">
        <f t="shared" si="345"/>
        <v>0</v>
      </c>
      <c r="AD240" s="182">
        <f t="shared" si="350"/>
        <v>0</v>
      </c>
      <c r="AE240" s="182">
        <f t="shared" si="355"/>
        <v>0</v>
      </c>
      <c r="AF240" s="182">
        <f t="shared" si="360"/>
        <v>0</v>
      </c>
      <c r="AG240" s="182">
        <f t="shared" si="365"/>
        <v>0</v>
      </c>
      <c r="AH240" s="182">
        <f t="shared" si="370"/>
        <v>0</v>
      </c>
      <c r="AI240" s="182">
        <f t="shared" ref="AI240:AI271" si="375">AI73*AI$168</f>
        <v>0</v>
      </c>
      <c r="AJ240" s="182">
        <f t="shared" si="201"/>
        <v>0</v>
      </c>
      <c r="AK240" s="182">
        <f t="shared" si="207"/>
        <v>0</v>
      </c>
      <c r="AL240" s="182">
        <f t="shared" si="213"/>
        <v>0</v>
      </c>
      <c r="AM240" s="182">
        <f t="shared" si="219"/>
        <v>0</v>
      </c>
      <c r="AN240" s="182">
        <f t="shared" si="225"/>
        <v>0</v>
      </c>
      <c r="AO240" s="182">
        <f t="shared" si="231"/>
        <v>0</v>
      </c>
      <c r="AP240" s="182">
        <f t="shared" si="237"/>
        <v>0</v>
      </c>
      <c r="AQ240" s="182">
        <f t="shared" si="243"/>
        <v>0</v>
      </c>
      <c r="AR240" s="182">
        <f t="shared" si="249"/>
        <v>0</v>
      </c>
      <c r="AS240" s="182">
        <f t="shared" si="255"/>
        <v>0</v>
      </c>
      <c r="AT240" s="182">
        <f t="shared" si="261"/>
        <v>0</v>
      </c>
      <c r="AU240" s="182">
        <f t="shared" si="267"/>
        <v>0</v>
      </c>
      <c r="AV240" s="182">
        <f t="shared" si="273"/>
        <v>0</v>
      </c>
      <c r="AW240" s="182">
        <f t="shared" si="279"/>
        <v>0</v>
      </c>
      <c r="AX240" s="182">
        <f t="shared" si="285"/>
        <v>0</v>
      </c>
      <c r="AY240" s="182">
        <f t="shared" si="291"/>
        <v>0</v>
      </c>
      <c r="AZ240" s="182">
        <f t="shared" si="297"/>
        <v>0</v>
      </c>
      <c r="BA240" s="182">
        <f t="shared" si="303"/>
        <v>0</v>
      </c>
      <c r="BB240" s="182">
        <f t="shared" si="309"/>
        <v>0</v>
      </c>
      <c r="BC240" s="182">
        <f t="shared" si="315"/>
        <v>0</v>
      </c>
      <c r="BD240" s="182">
        <f t="shared" si="321"/>
        <v>2.9514957700385387E-3</v>
      </c>
      <c r="BE240" s="182">
        <f t="shared" si="326"/>
        <v>0</v>
      </c>
      <c r="BF240" s="182">
        <f t="shared" si="331"/>
        <v>0</v>
      </c>
      <c r="BG240" s="182">
        <f t="shared" si="336"/>
        <v>0</v>
      </c>
      <c r="BH240" s="182">
        <f t="shared" si="341"/>
        <v>0</v>
      </c>
      <c r="BI240" s="182">
        <f t="shared" si="346"/>
        <v>0</v>
      </c>
      <c r="BJ240" s="182">
        <f t="shared" si="351"/>
        <v>0</v>
      </c>
      <c r="BK240" s="182">
        <f t="shared" si="356"/>
        <v>0</v>
      </c>
      <c r="BL240" s="182">
        <f t="shared" si="361"/>
        <v>0</v>
      </c>
      <c r="BM240" s="182">
        <f t="shared" si="366"/>
        <v>0</v>
      </c>
      <c r="BN240" s="182">
        <f t="shared" si="371"/>
        <v>0</v>
      </c>
      <c r="BO240" s="182">
        <f t="shared" ref="BO240:BO271" si="376">BO73*BO$168</f>
        <v>1.2170890097531709E-12</v>
      </c>
      <c r="BP240" s="181">
        <f>$C240+SUM($D240:BO240,BQ240:$FB240)-SUM(BP$176:BP239,BP241:BP$330)-BP$331</f>
        <v>0</v>
      </c>
      <c r="BQ240" s="176">
        <f t="shared" ref="BQ240:CV240" si="377">BQ73*BQ$168</f>
        <v>0</v>
      </c>
      <c r="BR240" s="176">
        <f t="shared" si="377"/>
        <v>0</v>
      </c>
      <c r="BS240" s="176">
        <f t="shared" si="377"/>
        <v>0</v>
      </c>
      <c r="BT240" s="176">
        <f t="shared" si="377"/>
        <v>0</v>
      </c>
      <c r="BU240" s="176">
        <f t="shared" si="377"/>
        <v>0</v>
      </c>
      <c r="BV240" s="176">
        <f t="shared" si="377"/>
        <v>0</v>
      </c>
      <c r="BW240" s="176">
        <f t="shared" si="377"/>
        <v>0</v>
      </c>
      <c r="BX240" s="176">
        <f t="shared" si="377"/>
        <v>0</v>
      </c>
      <c r="BY240" s="176">
        <f t="shared" si="377"/>
        <v>0</v>
      </c>
      <c r="BZ240" s="176">
        <f t="shared" si="377"/>
        <v>0</v>
      </c>
      <c r="CA240" s="176">
        <f t="shared" si="377"/>
        <v>0</v>
      </c>
      <c r="CB240" s="176">
        <f t="shared" si="377"/>
        <v>0</v>
      </c>
      <c r="CC240" s="176">
        <f t="shared" si="377"/>
        <v>0</v>
      </c>
      <c r="CD240" s="176">
        <f t="shared" si="377"/>
        <v>0</v>
      </c>
      <c r="CE240" s="176">
        <f t="shared" si="377"/>
        <v>0</v>
      </c>
      <c r="CF240" s="176">
        <f t="shared" si="377"/>
        <v>0</v>
      </c>
      <c r="CG240" s="176">
        <f t="shared" si="377"/>
        <v>0</v>
      </c>
      <c r="CH240" s="176">
        <f t="shared" si="377"/>
        <v>0</v>
      </c>
      <c r="CI240" s="176">
        <f t="shared" si="377"/>
        <v>0</v>
      </c>
      <c r="CJ240" s="176">
        <f t="shared" si="377"/>
        <v>0</v>
      </c>
      <c r="CK240" s="176">
        <f t="shared" si="377"/>
        <v>0</v>
      </c>
      <c r="CL240" s="176">
        <f t="shared" si="377"/>
        <v>0</v>
      </c>
      <c r="CM240" s="176">
        <f t="shared" si="377"/>
        <v>0</v>
      </c>
      <c r="CN240" s="176">
        <f t="shared" si="377"/>
        <v>0</v>
      </c>
      <c r="CO240" s="176">
        <f t="shared" si="377"/>
        <v>0</v>
      </c>
      <c r="CP240" s="176">
        <f t="shared" si="377"/>
        <v>0</v>
      </c>
      <c r="CQ240" s="176">
        <f t="shared" si="377"/>
        <v>0</v>
      </c>
      <c r="CR240" s="176">
        <f t="shared" si="377"/>
        <v>0</v>
      </c>
      <c r="CS240" s="176">
        <f t="shared" si="377"/>
        <v>0</v>
      </c>
      <c r="CT240" s="176">
        <f t="shared" si="377"/>
        <v>0</v>
      </c>
      <c r="CU240" s="176">
        <f t="shared" si="377"/>
        <v>0</v>
      </c>
      <c r="CV240" s="176">
        <f t="shared" si="377"/>
        <v>0</v>
      </c>
      <c r="CW240" s="176">
        <f t="shared" ref="CW240:EB240" si="378">CW73*CW$168</f>
        <v>0</v>
      </c>
      <c r="CX240" s="176">
        <f t="shared" si="378"/>
        <v>0</v>
      </c>
      <c r="CY240" s="176">
        <f t="shared" si="378"/>
        <v>0</v>
      </c>
      <c r="CZ240" s="176">
        <f t="shared" si="378"/>
        <v>0</v>
      </c>
      <c r="DA240" s="176">
        <f t="shared" si="378"/>
        <v>0</v>
      </c>
      <c r="DB240" s="176">
        <f t="shared" si="378"/>
        <v>0</v>
      </c>
      <c r="DC240" s="176">
        <f t="shared" si="378"/>
        <v>0</v>
      </c>
      <c r="DD240" s="176">
        <f t="shared" si="378"/>
        <v>0</v>
      </c>
      <c r="DE240" s="176">
        <f t="shared" si="378"/>
        <v>0</v>
      </c>
      <c r="DF240" s="176">
        <f t="shared" si="378"/>
        <v>0</v>
      </c>
      <c r="DG240" s="176">
        <f t="shared" si="378"/>
        <v>0</v>
      </c>
      <c r="DH240" s="176">
        <f t="shared" si="378"/>
        <v>0</v>
      </c>
      <c r="DI240" s="176">
        <f t="shared" si="378"/>
        <v>0</v>
      </c>
      <c r="DJ240" s="176">
        <f t="shared" si="378"/>
        <v>0</v>
      </c>
      <c r="DK240" s="176">
        <f t="shared" si="378"/>
        <v>0</v>
      </c>
      <c r="DL240" s="176">
        <f t="shared" si="378"/>
        <v>0</v>
      </c>
      <c r="DM240" s="176">
        <f t="shared" si="378"/>
        <v>0</v>
      </c>
      <c r="DN240" s="176">
        <f t="shared" si="378"/>
        <v>0</v>
      </c>
      <c r="DO240" s="176">
        <f t="shared" si="378"/>
        <v>0</v>
      </c>
      <c r="DP240" s="176">
        <f t="shared" si="378"/>
        <v>0</v>
      </c>
      <c r="DQ240" s="176">
        <f t="shared" si="378"/>
        <v>0</v>
      </c>
      <c r="DR240" s="176">
        <f t="shared" si="378"/>
        <v>0</v>
      </c>
      <c r="DS240" s="176">
        <f t="shared" si="378"/>
        <v>0</v>
      </c>
      <c r="DT240" s="176">
        <f t="shared" si="378"/>
        <v>0</v>
      </c>
      <c r="DU240" s="176">
        <f t="shared" si="378"/>
        <v>0</v>
      </c>
      <c r="DV240" s="176">
        <f t="shared" si="378"/>
        <v>0</v>
      </c>
      <c r="DW240" s="176">
        <f t="shared" si="378"/>
        <v>0</v>
      </c>
      <c r="DX240" s="176">
        <f t="shared" si="378"/>
        <v>0</v>
      </c>
      <c r="DY240" s="176">
        <f t="shared" si="378"/>
        <v>0</v>
      </c>
      <c r="DZ240" s="176">
        <f t="shared" si="378"/>
        <v>0</v>
      </c>
      <c r="EA240" s="176">
        <f t="shared" si="378"/>
        <v>0</v>
      </c>
      <c r="EB240" s="176">
        <f t="shared" si="378"/>
        <v>0</v>
      </c>
      <c r="EC240" s="176">
        <f t="shared" ref="EC240:FB240" si="379">EC73*EC$168</f>
        <v>0</v>
      </c>
      <c r="ED240" s="176">
        <f t="shared" si="379"/>
        <v>0</v>
      </c>
      <c r="EE240" s="176">
        <f t="shared" si="379"/>
        <v>0</v>
      </c>
      <c r="EF240" s="182">
        <f t="shared" si="379"/>
        <v>0</v>
      </c>
      <c r="EG240" s="182">
        <f t="shared" si="379"/>
        <v>0</v>
      </c>
      <c r="EH240" s="182">
        <f t="shared" si="379"/>
        <v>0</v>
      </c>
      <c r="EI240" s="182">
        <f t="shared" si="379"/>
        <v>0</v>
      </c>
      <c r="EJ240" s="182">
        <f t="shared" si="379"/>
        <v>0</v>
      </c>
      <c r="EK240" s="182">
        <f t="shared" si="379"/>
        <v>0</v>
      </c>
      <c r="EL240" s="182">
        <f t="shared" si="379"/>
        <v>0</v>
      </c>
      <c r="EM240" s="182">
        <f t="shared" si="379"/>
        <v>0</v>
      </c>
      <c r="EN240" s="182">
        <f t="shared" si="379"/>
        <v>0</v>
      </c>
      <c r="EO240" s="182">
        <f t="shared" si="379"/>
        <v>0</v>
      </c>
      <c r="EP240" s="182">
        <f t="shared" si="379"/>
        <v>0</v>
      </c>
      <c r="EQ240" s="182">
        <f t="shared" si="379"/>
        <v>0</v>
      </c>
      <c r="ER240" s="182">
        <f t="shared" si="379"/>
        <v>0</v>
      </c>
      <c r="ES240" s="182">
        <f t="shared" si="379"/>
        <v>0</v>
      </c>
      <c r="ET240" s="182">
        <f t="shared" si="379"/>
        <v>0</v>
      </c>
      <c r="EU240" s="182">
        <f t="shared" si="379"/>
        <v>0</v>
      </c>
      <c r="EV240" s="182">
        <f t="shared" si="379"/>
        <v>0</v>
      </c>
      <c r="EW240" s="182">
        <f t="shared" si="379"/>
        <v>0</v>
      </c>
      <c r="EX240" s="182">
        <f t="shared" si="379"/>
        <v>0</v>
      </c>
      <c r="EY240" s="182">
        <f t="shared" si="379"/>
        <v>0</v>
      </c>
      <c r="EZ240" s="182">
        <f t="shared" si="379"/>
        <v>0</v>
      </c>
      <c r="FA240" s="182">
        <f t="shared" si="379"/>
        <v>0</v>
      </c>
      <c r="FB240" s="183">
        <f t="shared" si="379"/>
        <v>0</v>
      </c>
    </row>
    <row r="241" spans="2:158" ht="12.75" customHeight="1" x14ac:dyDescent="0.3">
      <c r="B241" s="199" t="s">
        <v>3884</v>
      </c>
      <c r="C241" s="193">
        <v>0</v>
      </c>
      <c r="D241" s="182">
        <f t="shared" ref="D241:D272" si="380">D74*D$168</f>
        <v>0</v>
      </c>
      <c r="E241" s="182">
        <f t="shared" si="206"/>
        <v>0</v>
      </c>
      <c r="F241" s="182">
        <f t="shared" si="212"/>
        <v>0</v>
      </c>
      <c r="G241" s="182">
        <f t="shared" si="218"/>
        <v>0</v>
      </c>
      <c r="H241" s="182">
        <f t="shared" si="224"/>
        <v>0</v>
      </c>
      <c r="I241" s="176">
        <f t="shared" si="230"/>
        <v>0</v>
      </c>
      <c r="J241" s="182">
        <f t="shared" si="236"/>
        <v>0</v>
      </c>
      <c r="K241" s="182">
        <f t="shared" si="242"/>
        <v>0</v>
      </c>
      <c r="L241" s="182">
        <f t="shared" si="248"/>
        <v>0</v>
      </c>
      <c r="M241" s="182">
        <f t="shared" si="254"/>
        <v>0</v>
      </c>
      <c r="N241" s="182">
        <f t="shared" si="260"/>
        <v>0</v>
      </c>
      <c r="O241" s="182">
        <f t="shared" si="266"/>
        <v>0</v>
      </c>
      <c r="P241" s="182">
        <f t="shared" si="272"/>
        <v>0</v>
      </c>
      <c r="Q241" s="182">
        <f t="shared" si="278"/>
        <v>0</v>
      </c>
      <c r="R241" s="182">
        <f t="shared" si="284"/>
        <v>0</v>
      </c>
      <c r="S241" s="182">
        <f t="shared" si="290"/>
        <v>0</v>
      </c>
      <c r="T241" s="182">
        <f t="shared" si="296"/>
        <v>0</v>
      </c>
      <c r="U241" s="182">
        <f t="shared" si="302"/>
        <v>0</v>
      </c>
      <c r="V241" s="182">
        <f t="shared" si="308"/>
        <v>0</v>
      </c>
      <c r="W241" s="182">
        <f t="shared" si="314"/>
        <v>0</v>
      </c>
      <c r="X241" s="182">
        <f t="shared" si="320"/>
        <v>0</v>
      </c>
      <c r="Y241" s="182">
        <f t="shared" si="325"/>
        <v>0</v>
      </c>
      <c r="Z241" s="182">
        <f t="shared" si="330"/>
        <v>0</v>
      </c>
      <c r="AA241" s="182">
        <f t="shared" si="335"/>
        <v>0</v>
      </c>
      <c r="AB241" s="182">
        <f t="shared" si="340"/>
        <v>0</v>
      </c>
      <c r="AC241" s="182">
        <f t="shared" si="345"/>
        <v>0</v>
      </c>
      <c r="AD241" s="182">
        <f t="shared" si="350"/>
        <v>0</v>
      </c>
      <c r="AE241" s="182">
        <f t="shared" si="355"/>
        <v>0</v>
      </c>
      <c r="AF241" s="182">
        <f t="shared" si="360"/>
        <v>0</v>
      </c>
      <c r="AG241" s="182">
        <f t="shared" si="365"/>
        <v>0</v>
      </c>
      <c r="AH241" s="182">
        <f t="shared" si="370"/>
        <v>0</v>
      </c>
      <c r="AI241" s="182">
        <f t="shared" si="375"/>
        <v>0</v>
      </c>
      <c r="AJ241" s="182">
        <f t="shared" ref="AJ241:AJ272" si="381">AJ74*AJ$168</f>
        <v>0</v>
      </c>
      <c r="AK241" s="182">
        <f t="shared" si="207"/>
        <v>0</v>
      </c>
      <c r="AL241" s="182">
        <f t="shared" si="213"/>
        <v>0</v>
      </c>
      <c r="AM241" s="182">
        <f t="shared" si="219"/>
        <v>0</v>
      </c>
      <c r="AN241" s="182">
        <f t="shared" si="225"/>
        <v>0</v>
      </c>
      <c r="AO241" s="182">
        <f t="shared" si="231"/>
        <v>0</v>
      </c>
      <c r="AP241" s="182">
        <f t="shared" si="237"/>
        <v>0</v>
      </c>
      <c r="AQ241" s="182">
        <f t="shared" si="243"/>
        <v>0</v>
      </c>
      <c r="AR241" s="182">
        <f t="shared" si="249"/>
        <v>0</v>
      </c>
      <c r="AS241" s="182">
        <f t="shared" si="255"/>
        <v>0</v>
      </c>
      <c r="AT241" s="182">
        <f t="shared" si="261"/>
        <v>0</v>
      </c>
      <c r="AU241" s="182">
        <f t="shared" si="267"/>
        <v>0</v>
      </c>
      <c r="AV241" s="182">
        <f t="shared" si="273"/>
        <v>0</v>
      </c>
      <c r="AW241" s="182">
        <f t="shared" si="279"/>
        <v>0</v>
      </c>
      <c r="AX241" s="182">
        <f t="shared" si="285"/>
        <v>0</v>
      </c>
      <c r="AY241" s="182">
        <f t="shared" si="291"/>
        <v>0</v>
      </c>
      <c r="AZ241" s="182">
        <f t="shared" si="297"/>
        <v>0</v>
      </c>
      <c r="BA241" s="182">
        <f t="shared" si="303"/>
        <v>0</v>
      </c>
      <c r="BB241" s="182">
        <f t="shared" si="309"/>
        <v>0</v>
      </c>
      <c r="BC241" s="182">
        <f t="shared" si="315"/>
        <v>0</v>
      </c>
      <c r="BD241" s="182">
        <f t="shared" si="321"/>
        <v>0</v>
      </c>
      <c r="BE241" s="182">
        <f t="shared" si="326"/>
        <v>4.9349998616281883E-4</v>
      </c>
      <c r="BF241" s="182">
        <f t="shared" si="331"/>
        <v>0</v>
      </c>
      <c r="BG241" s="182">
        <f t="shared" si="336"/>
        <v>0</v>
      </c>
      <c r="BH241" s="182">
        <f t="shared" si="341"/>
        <v>0</v>
      </c>
      <c r="BI241" s="182">
        <f t="shared" si="346"/>
        <v>0</v>
      </c>
      <c r="BJ241" s="182">
        <f t="shared" si="351"/>
        <v>0</v>
      </c>
      <c r="BK241" s="182">
        <f t="shared" si="356"/>
        <v>0</v>
      </c>
      <c r="BL241" s="182">
        <f t="shared" si="361"/>
        <v>0</v>
      </c>
      <c r="BM241" s="182">
        <f t="shared" si="366"/>
        <v>0</v>
      </c>
      <c r="BN241" s="182">
        <f t="shared" si="371"/>
        <v>0</v>
      </c>
      <c r="BO241" s="182">
        <f t="shared" si="376"/>
        <v>4.4812051592542201E-12</v>
      </c>
      <c r="BP241" s="182">
        <f t="shared" ref="BP241:BP272" si="382">BP74*BP$168</f>
        <v>0</v>
      </c>
      <c r="BQ241" s="181">
        <f>$C241+SUM($D241:BP241,BR241:$FB241)-SUM(BQ$176:BQ240,BQ242:BQ$330)-BQ$331</f>
        <v>0</v>
      </c>
      <c r="BR241" s="176">
        <f t="shared" ref="BR241:CW241" si="383">BR74*BR$168</f>
        <v>0</v>
      </c>
      <c r="BS241" s="176">
        <f t="shared" si="383"/>
        <v>0</v>
      </c>
      <c r="BT241" s="176">
        <f t="shared" si="383"/>
        <v>0</v>
      </c>
      <c r="BU241" s="176">
        <f t="shared" si="383"/>
        <v>0</v>
      </c>
      <c r="BV241" s="176">
        <f t="shared" si="383"/>
        <v>0</v>
      </c>
      <c r="BW241" s="176">
        <f t="shared" si="383"/>
        <v>0</v>
      </c>
      <c r="BX241" s="176">
        <f t="shared" si="383"/>
        <v>0</v>
      </c>
      <c r="BY241" s="176">
        <f t="shared" si="383"/>
        <v>0</v>
      </c>
      <c r="BZ241" s="176">
        <f t="shared" si="383"/>
        <v>0</v>
      </c>
      <c r="CA241" s="176">
        <f t="shared" si="383"/>
        <v>0</v>
      </c>
      <c r="CB241" s="176">
        <f t="shared" si="383"/>
        <v>0</v>
      </c>
      <c r="CC241" s="176">
        <f t="shared" si="383"/>
        <v>0</v>
      </c>
      <c r="CD241" s="176">
        <f t="shared" si="383"/>
        <v>0</v>
      </c>
      <c r="CE241" s="176">
        <f t="shared" si="383"/>
        <v>0</v>
      </c>
      <c r="CF241" s="176">
        <f t="shared" si="383"/>
        <v>0</v>
      </c>
      <c r="CG241" s="176">
        <f t="shared" si="383"/>
        <v>0</v>
      </c>
      <c r="CH241" s="176">
        <f t="shared" si="383"/>
        <v>0</v>
      </c>
      <c r="CI241" s="176">
        <f t="shared" si="383"/>
        <v>0</v>
      </c>
      <c r="CJ241" s="176">
        <f t="shared" si="383"/>
        <v>0</v>
      </c>
      <c r="CK241" s="176">
        <f t="shared" si="383"/>
        <v>0</v>
      </c>
      <c r="CL241" s="176">
        <f t="shared" si="383"/>
        <v>0</v>
      </c>
      <c r="CM241" s="176">
        <f t="shared" si="383"/>
        <v>0</v>
      </c>
      <c r="CN241" s="176">
        <f t="shared" si="383"/>
        <v>0</v>
      </c>
      <c r="CO241" s="176">
        <f t="shared" si="383"/>
        <v>0</v>
      </c>
      <c r="CP241" s="176">
        <f t="shared" si="383"/>
        <v>0</v>
      </c>
      <c r="CQ241" s="176">
        <f t="shared" si="383"/>
        <v>0</v>
      </c>
      <c r="CR241" s="176">
        <f t="shared" si="383"/>
        <v>0</v>
      </c>
      <c r="CS241" s="176">
        <f t="shared" si="383"/>
        <v>0</v>
      </c>
      <c r="CT241" s="176">
        <f t="shared" si="383"/>
        <v>0</v>
      </c>
      <c r="CU241" s="176">
        <f t="shared" si="383"/>
        <v>0</v>
      </c>
      <c r="CV241" s="176">
        <f t="shared" si="383"/>
        <v>0</v>
      </c>
      <c r="CW241" s="176">
        <f t="shared" si="383"/>
        <v>0</v>
      </c>
      <c r="CX241" s="176">
        <f t="shared" ref="CX241:EC241" si="384">CX74*CX$168</f>
        <v>0</v>
      </c>
      <c r="CY241" s="176">
        <f t="shared" si="384"/>
        <v>0</v>
      </c>
      <c r="CZ241" s="176">
        <f t="shared" si="384"/>
        <v>0</v>
      </c>
      <c r="DA241" s="176">
        <f t="shared" si="384"/>
        <v>0</v>
      </c>
      <c r="DB241" s="176">
        <f t="shared" si="384"/>
        <v>0</v>
      </c>
      <c r="DC241" s="176">
        <f t="shared" si="384"/>
        <v>0</v>
      </c>
      <c r="DD241" s="176">
        <f t="shared" si="384"/>
        <v>0</v>
      </c>
      <c r="DE241" s="176">
        <f t="shared" si="384"/>
        <v>0</v>
      </c>
      <c r="DF241" s="176">
        <f t="shared" si="384"/>
        <v>0</v>
      </c>
      <c r="DG241" s="176">
        <f t="shared" si="384"/>
        <v>0</v>
      </c>
      <c r="DH241" s="176">
        <f t="shared" si="384"/>
        <v>0</v>
      </c>
      <c r="DI241" s="176">
        <f t="shared" si="384"/>
        <v>0</v>
      </c>
      <c r="DJ241" s="176">
        <f t="shared" si="384"/>
        <v>0</v>
      </c>
      <c r="DK241" s="176">
        <f t="shared" si="384"/>
        <v>0</v>
      </c>
      <c r="DL241" s="176">
        <f t="shared" si="384"/>
        <v>0</v>
      </c>
      <c r="DM241" s="176">
        <f t="shared" si="384"/>
        <v>0</v>
      </c>
      <c r="DN241" s="176">
        <f t="shared" si="384"/>
        <v>0</v>
      </c>
      <c r="DO241" s="176">
        <f t="shared" si="384"/>
        <v>0</v>
      </c>
      <c r="DP241" s="176">
        <f t="shared" si="384"/>
        <v>0</v>
      </c>
      <c r="DQ241" s="176">
        <f t="shared" si="384"/>
        <v>0</v>
      </c>
      <c r="DR241" s="176">
        <f t="shared" si="384"/>
        <v>0</v>
      </c>
      <c r="DS241" s="176">
        <f t="shared" si="384"/>
        <v>0</v>
      </c>
      <c r="DT241" s="176">
        <f t="shared" si="384"/>
        <v>0</v>
      </c>
      <c r="DU241" s="176">
        <f t="shared" si="384"/>
        <v>0</v>
      </c>
      <c r="DV241" s="176">
        <f t="shared" si="384"/>
        <v>0</v>
      </c>
      <c r="DW241" s="176">
        <f t="shared" si="384"/>
        <v>0</v>
      </c>
      <c r="DX241" s="176">
        <f t="shared" si="384"/>
        <v>0</v>
      </c>
      <c r="DY241" s="176">
        <f t="shared" si="384"/>
        <v>0</v>
      </c>
      <c r="DZ241" s="176">
        <f t="shared" si="384"/>
        <v>0</v>
      </c>
      <c r="EA241" s="176">
        <f t="shared" si="384"/>
        <v>0</v>
      </c>
      <c r="EB241" s="176">
        <f t="shared" si="384"/>
        <v>0</v>
      </c>
      <c r="EC241" s="176">
        <f t="shared" si="384"/>
        <v>0</v>
      </c>
      <c r="ED241" s="176">
        <f t="shared" ref="ED241:FB241" si="385">ED74*ED$168</f>
        <v>0</v>
      </c>
      <c r="EE241" s="176">
        <f t="shared" si="385"/>
        <v>0</v>
      </c>
      <c r="EF241" s="182">
        <f t="shared" si="385"/>
        <v>0</v>
      </c>
      <c r="EG241" s="182">
        <f t="shared" si="385"/>
        <v>0</v>
      </c>
      <c r="EH241" s="182">
        <f t="shared" si="385"/>
        <v>0</v>
      </c>
      <c r="EI241" s="182">
        <f t="shared" si="385"/>
        <v>0</v>
      </c>
      <c r="EJ241" s="182">
        <f t="shared" si="385"/>
        <v>0</v>
      </c>
      <c r="EK241" s="182">
        <f t="shared" si="385"/>
        <v>0</v>
      </c>
      <c r="EL241" s="182">
        <f t="shared" si="385"/>
        <v>0</v>
      </c>
      <c r="EM241" s="182">
        <f t="shared" si="385"/>
        <v>0</v>
      </c>
      <c r="EN241" s="182">
        <f t="shared" si="385"/>
        <v>0</v>
      </c>
      <c r="EO241" s="182">
        <f t="shared" si="385"/>
        <v>0</v>
      </c>
      <c r="EP241" s="182">
        <f t="shared" si="385"/>
        <v>0</v>
      </c>
      <c r="EQ241" s="182">
        <f t="shared" si="385"/>
        <v>0</v>
      </c>
      <c r="ER241" s="182">
        <f t="shared" si="385"/>
        <v>0</v>
      </c>
      <c r="ES241" s="182">
        <f t="shared" si="385"/>
        <v>0</v>
      </c>
      <c r="ET241" s="182">
        <f t="shared" si="385"/>
        <v>0</v>
      </c>
      <c r="EU241" s="182">
        <f t="shared" si="385"/>
        <v>0</v>
      </c>
      <c r="EV241" s="182">
        <f t="shared" si="385"/>
        <v>0</v>
      </c>
      <c r="EW241" s="182">
        <f t="shared" si="385"/>
        <v>0</v>
      </c>
      <c r="EX241" s="182">
        <f t="shared" si="385"/>
        <v>0</v>
      </c>
      <c r="EY241" s="182">
        <f t="shared" si="385"/>
        <v>0</v>
      </c>
      <c r="EZ241" s="182">
        <f t="shared" si="385"/>
        <v>0</v>
      </c>
      <c r="FA241" s="182">
        <f t="shared" si="385"/>
        <v>0</v>
      </c>
      <c r="FB241" s="183">
        <f t="shared" si="385"/>
        <v>0</v>
      </c>
    </row>
    <row r="242" spans="2:158" ht="12.75" customHeight="1" x14ac:dyDescent="0.3">
      <c r="B242" s="199" t="s">
        <v>3885</v>
      </c>
      <c r="C242" s="193">
        <v>0</v>
      </c>
      <c r="D242" s="182">
        <f t="shared" si="380"/>
        <v>0</v>
      </c>
      <c r="E242" s="182">
        <f t="shared" ref="E242:E273" si="386">E75*E$168</f>
        <v>0</v>
      </c>
      <c r="F242" s="182">
        <f t="shared" si="212"/>
        <v>0</v>
      </c>
      <c r="G242" s="182">
        <f t="shared" si="218"/>
        <v>0</v>
      </c>
      <c r="H242" s="182">
        <f t="shared" si="224"/>
        <v>0</v>
      </c>
      <c r="I242" s="176">
        <f t="shared" si="230"/>
        <v>0</v>
      </c>
      <c r="J242" s="182">
        <f t="shared" si="236"/>
        <v>0</v>
      </c>
      <c r="K242" s="182">
        <f t="shared" si="242"/>
        <v>0</v>
      </c>
      <c r="L242" s="182">
        <f t="shared" si="248"/>
        <v>0</v>
      </c>
      <c r="M242" s="182">
        <f t="shared" si="254"/>
        <v>0</v>
      </c>
      <c r="N242" s="182">
        <f t="shared" si="260"/>
        <v>0</v>
      </c>
      <c r="O242" s="182">
        <f t="shared" si="266"/>
        <v>0</v>
      </c>
      <c r="P242" s="182">
        <f t="shared" si="272"/>
        <v>0</v>
      </c>
      <c r="Q242" s="182">
        <f t="shared" si="278"/>
        <v>0</v>
      </c>
      <c r="R242" s="182">
        <f t="shared" si="284"/>
        <v>0</v>
      </c>
      <c r="S242" s="182">
        <f t="shared" si="290"/>
        <v>0</v>
      </c>
      <c r="T242" s="182">
        <f t="shared" si="296"/>
        <v>0</v>
      </c>
      <c r="U242" s="182">
        <f t="shared" si="302"/>
        <v>0</v>
      </c>
      <c r="V242" s="182">
        <f t="shared" si="308"/>
        <v>0</v>
      </c>
      <c r="W242" s="182">
        <f t="shared" si="314"/>
        <v>0</v>
      </c>
      <c r="X242" s="182">
        <f t="shared" si="320"/>
        <v>0</v>
      </c>
      <c r="Y242" s="182">
        <f t="shared" si="325"/>
        <v>0</v>
      </c>
      <c r="Z242" s="182">
        <f t="shared" si="330"/>
        <v>0</v>
      </c>
      <c r="AA242" s="182">
        <f t="shared" si="335"/>
        <v>0</v>
      </c>
      <c r="AB242" s="182">
        <f t="shared" si="340"/>
        <v>0</v>
      </c>
      <c r="AC242" s="182">
        <f t="shared" si="345"/>
        <v>0</v>
      </c>
      <c r="AD242" s="182">
        <f t="shared" si="350"/>
        <v>0</v>
      </c>
      <c r="AE242" s="182">
        <f t="shared" si="355"/>
        <v>0</v>
      </c>
      <c r="AF242" s="182">
        <f t="shared" si="360"/>
        <v>0</v>
      </c>
      <c r="AG242" s="182">
        <f t="shared" si="365"/>
        <v>0</v>
      </c>
      <c r="AH242" s="182">
        <f t="shared" si="370"/>
        <v>0</v>
      </c>
      <c r="AI242" s="182">
        <f t="shared" si="375"/>
        <v>0</v>
      </c>
      <c r="AJ242" s="182">
        <f t="shared" si="381"/>
        <v>0</v>
      </c>
      <c r="AK242" s="182">
        <f t="shared" ref="AK242:AK273" si="387">AK75*AK$168</f>
        <v>0</v>
      </c>
      <c r="AL242" s="182">
        <f t="shared" si="213"/>
        <v>0</v>
      </c>
      <c r="AM242" s="182">
        <f t="shared" si="219"/>
        <v>0</v>
      </c>
      <c r="AN242" s="182">
        <f t="shared" si="225"/>
        <v>0</v>
      </c>
      <c r="AO242" s="182">
        <f t="shared" si="231"/>
        <v>0</v>
      </c>
      <c r="AP242" s="182">
        <f t="shared" si="237"/>
        <v>0</v>
      </c>
      <c r="AQ242" s="182">
        <f t="shared" si="243"/>
        <v>0</v>
      </c>
      <c r="AR242" s="182">
        <f t="shared" si="249"/>
        <v>0</v>
      </c>
      <c r="AS242" s="182">
        <f t="shared" si="255"/>
        <v>0</v>
      </c>
      <c r="AT242" s="182">
        <f t="shared" si="261"/>
        <v>0</v>
      </c>
      <c r="AU242" s="182">
        <f t="shared" si="267"/>
        <v>0</v>
      </c>
      <c r="AV242" s="182">
        <f t="shared" si="273"/>
        <v>0</v>
      </c>
      <c r="AW242" s="182">
        <f t="shared" si="279"/>
        <v>0</v>
      </c>
      <c r="AX242" s="182">
        <f t="shared" si="285"/>
        <v>0</v>
      </c>
      <c r="AY242" s="182">
        <f t="shared" si="291"/>
        <v>0</v>
      </c>
      <c r="AZ242" s="182">
        <f t="shared" si="297"/>
        <v>0</v>
      </c>
      <c r="BA242" s="182">
        <f t="shared" si="303"/>
        <v>0</v>
      </c>
      <c r="BB242" s="182">
        <f t="shared" si="309"/>
        <v>0</v>
      </c>
      <c r="BC242" s="182">
        <f t="shared" si="315"/>
        <v>0</v>
      </c>
      <c r="BD242" s="182">
        <f t="shared" si="321"/>
        <v>0</v>
      </c>
      <c r="BE242" s="182">
        <f t="shared" si="326"/>
        <v>0</v>
      </c>
      <c r="BF242" s="182">
        <f t="shared" si="331"/>
        <v>0</v>
      </c>
      <c r="BG242" s="182">
        <f t="shared" si="336"/>
        <v>0</v>
      </c>
      <c r="BH242" s="182">
        <f t="shared" si="341"/>
        <v>0</v>
      </c>
      <c r="BI242" s="182">
        <f t="shared" si="346"/>
        <v>0</v>
      </c>
      <c r="BJ242" s="182">
        <f t="shared" si="351"/>
        <v>0</v>
      </c>
      <c r="BK242" s="182">
        <f t="shared" si="356"/>
        <v>0</v>
      </c>
      <c r="BL242" s="182">
        <f t="shared" si="361"/>
        <v>0</v>
      </c>
      <c r="BM242" s="182">
        <f t="shared" si="366"/>
        <v>0</v>
      </c>
      <c r="BN242" s="182">
        <f t="shared" si="371"/>
        <v>0</v>
      </c>
      <c r="BO242" s="182">
        <f t="shared" si="376"/>
        <v>0</v>
      </c>
      <c r="BP242" s="182">
        <f t="shared" si="382"/>
        <v>0</v>
      </c>
      <c r="BQ242" s="182">
        <f t="shared" ref="BQ242:BQ273" si="388">BQ75*BQ$168</f>
        <v>0</v>
      </c>
      <c r="BR242" s="181">
        <f>$C242+SUM($D242:BQ242,BS242:$FB242)-SUM(BR$176:BR241,BR243:BR$330)-BR$331</f>
        <v>0</v>
      </c>
      <c r="BS242" s="176">
        <f t="shared" ref="BS242:CX242" si="389">BS75*BS$168</f>
        <v>0</v>
      </c>
      <c r="BT242" s="176">
        <f t="shared" si="389"/>
        <v>0</v>
      </c>
      <c r="BU242" s="176">
        <f t="shared" si="389"/>
        <v>0</v>
      </c>
      <c r="BV242" s="176">
        <f t="shared" si="389"/>
        <v>0</v>
      </c>
      <c r="BW242" s="176">
        <f t="shared" si="389"/>
        <v>0</v>
      </c>
      <c r="BX242" s="176">
        <f t="shared" si="389"/>
        <v>0</v>
      </c>
      <c r="BY242" s="176">
        <f t="shared" si="389"/>
        <v>0</v>
      </c>
      <c r="BZ242" s="176">
        <f t="shared" si="389"/>
        <v>0</v>
      </c>
      <c r="CA242" s="176">
        <f t="shared" si="389"/>
        <v>0</v>
      </c>
      <c r="CB242" s="176">
        <f t="shared" si="389"/>
        <v>0</v>
      </c>
      <c r="CC242" s="176">
        <f t="shared" si="389"/>
        <v>0</v>
      </c>
      <c r="CD242" s="176">
        <f t="shared" si="389"/>
        <v>0</v>
      </c>
      <c r="CE242" s="176">
        <f t="shared" si="389"/>
        <v>0</v>
      </c>
      <c r="CF242" s="176">
        <f t="shared" si="389"/>
        <v>0</v>
      </c>
      <c r="CG242" s="176">
        <f t="shared" si="389"/>
        <v>0</v>
      </c>
      <c r="CH242" s="176">
        <f t="shared" si="389"/>
        <v>0</v>
      </c>
      <c r="CI242" s="176">
        <f t="shared" si="389"/>
        <v>0</v>
      </c>
      <c r="CJ242" s="176">
        <f t="shared" si="389"/>
        <v>0</v>
      </c>
      <c r="CK242" s="176">
        <f t="shared" si="389"/>
        <v>0</v>
      </c>
      <c r="CL242" s="176">
        <f t="shared" si="389"/>
        <v>0</v>
      </c>
      <c r="CM242" s="176">
        <f t="shared" si="389"/>
        <v>0</v>
      </c>
      <c r="CN242" s="176">
        <f t="shared" si="389"/>
        <v>0</v>
      </c>
      <c r="CO242" s="176">
        <f t="shared" si="389"/>
        <v>0</v>
      </c>
      <c r="CP242" s="176">
        <f t="shared" si="389"/>
        <v>0</v>
      </c>
      <c r="CQ242" s="176">
        <f t="shared" si="389"/>
        <v>0</v>
      </c>
      <c r="CR242" s="176">
        <f t="shared" si="389"/>
        <v>0</v>
      </c>
      <c r="CS242" s="176">
        <f t="shared" si="389"/>
        <v>0</v>
      </c>
      <c r="CT242" s="176">
        <f t="shared" si="389"/>
        <v>0</v>
      </c>
      <c r="CU242" s="176">
        <f t="shared" si="389"/>
        <v>0</v>
      </c>
      <c r="CV242" s="176">
        <f t="shared" si="389"/>
        <v>0</v>
      </c>
      <c r="CW242" s="176">
        <f t="shared" si="389"/>
        <v>0</v>
      </c>
      <c r="CX242" s="176">
        <f t="shared" si="389"/>
        <v>0</v>
      </c>
      <c r="CY242" s="176">
        <f t="shared" ref="CY242:ED242" si="390">CY75*CY$168</f>
        <v>0</v>
      </c>
      <c r="CZ242" s="176">
        <f t="shared" si="390"/>
        <v>0</v>
      </c>
      <c r="DA242" s="176">
        <f t="shared" si="390"/>
        <v>0</v>
      </c>
      <c r="DB242" s="176">
        <f t="shared" si="390"/>
        <v>0</v>
      </c>
      <c r="DC242" s="176">
        <f t="shared" si="390"/>
        <v>0</v>
      </c>
      <c r="DD242" s="176">
        <f t="shared" si="390"/>
        <v>0</v>
      </c>
      <c r="DE242" s="176">
        <f t="shared" si="390"/>
        <v>0</v>
      </c>
      <c r="DF242" s="176">
        <f t="shared" si="390"/>
        <v>0</v>
      </c>
      <c r="DG242" s="176">
        <f t="shared" si="390"/>
        <v>0</v>
      </c>
      <c r="DH242" s="176">
        <f t="shared" si="390"/>
        <v>0</v>
      </c>
      <c r="DI242" s="176">
        <f t="shared" si="390"/>
        <v>0</v>
      </c>
      <c r="DJ242" s="176">
        <f t="shared" si="390"/>
        <v>0</v>
      </c>
      <c r="DK242" s="176">
        <f t="shared" si="390"/>
        <v>0</v>
      </c>
      <c r="DL242" s="176">
        <f t="shared" si="390"/>
        <v>0</v>
      </c>
      <c r="DM242" s="176">
        <f t="shared" si="390"/>
        <v>0</v>
      </c>
      <c r="DN242" s="176">
        <f t="shared" si="390"/>
        <v>0</v>
      </c>
      <c r="DO242" s="176">
        <f t="shared" si="390"/>
        <v>0</v>
      </c>
      <c r="DP242" s="176">
        <f t="shared" si="390"/>
        <v>0</v>
      </c>
      <c r="DQ242" s="176">
        <f t="shared" si="390"/>
        <v>0</v>
      </c>
      <c r="DR242" s="176">
        <f t="shared" si="390"/>
        <v>0</v>
      </c>
      <c r="DS242" s="176">
        <f t="shared" si="390"/>
        <v>0</v>
      </c>
      <c r="DT242" s="176">
        <f t="shared" si="390"/>
        <v>0</v>
      </c>
      <c r="DU242" s="176">
        <f t="shared" si="390"/>
        <v>0</v>
      </c>
      <c r="DV242" s="176">
        <f t="shared" si="390"/>
        <v>0</v>
      </c>
      <c r="DW242" s="176">
        <f t="shared" si="390"/>
        <v>0</v>
      </c>
      <c r="DX242" s="176">
        <f t="shared" si="390"/>
        <v>0</v>
      </c>
      <c r="DY242" s="176">
        <f t="shared" si="390"/>
        <v>0</v>
      </c>
      <c r="DZ242" s="176">
        <f t="shared" si="390"/>
        <v>0</v>
      </c>
      <c r="EA242" s="176">
        <f t="shared" si="390"/>
        <v>0</v>
      </c>
      <c r="EB242" s="176">
        <f t="shared" si="390"/>
        <v>0</v>
      </c>
      <c r="EC242" s="176">
        <f t="shared" si="390"/>
        <v>0</v>
      </c>
      <c r="ED242" s="176">
        <f t="shared" si="390"/>
        <v>0</v>
      </c>
      <c r="EE242" s="176">
        <f t="shared" ref="EE242:FB242" si="391">EE75*EE$168</f>
        <v>0</v>
      </c>
      <c r="EF242" s="182">
        <f t="shared" si="391"/>
        <v>0</v>
      </c>
      <c r="EG242" s="182">
        <f t="shared" si="391"/>
        <v>0</v>
      </c>
      <c r="EH242" s="182">
        <f t="shared" si="391"/>
        <v>0</v>
      </c>
      <c r="EI242" s="182">
        <f t="shared" si="391"/>
        <v>0</v>
      </c>
      <c r="EJ242" s="182">
        <f t="shared" si="391"/>
        <v>0</v>
      </c>
      <c r="EK242" s="182">
        <f t="shared" si="391"/>
        <v>0</v>
      </c>
      <c r="EL242" s="182">
        <f t="shared" si="391"/>
        <v>0</v>
      </c>
      <c r="EM242" s="182">
        <f t="shared" si="391"/>
        <v>0</v>
      </c>
      <c r="EN242" s="182">
        <f t="shared" si="391"/>
        <v>0</v>
      </c>
      <c r="EO242" s="182">
        <f t="shared" si="391"/>
        <v>0</v>
      </c>
      <c r="EP242" s="182">
        <f t="shared" si="391"/>
        <v>0</v>
      </c>
      <c r="EQ242" s="182">
        <f t="shared" si="391"/>
        <v>0</v>
      </c>
      <c r="ER242" s="182">
        <f t="shared" si="391"/>
        <v>0</v>
      </c>
      <c r="ES242" s="182">
        <f t="shared" si="391"/>
        <v>0</v>
      </c>
      <c r="ET242" s="182">
        <f t="shared" si="391"/>
        <v>0</v>
      </c>
      <c r="EU242" s="182">
        <f t="shared" si="391"/>
        <v>0</v>
      </c>
      <c r="EV242" s="182">
        <f t="shared" si="391"/>
        <v>0</v>
      </c>
      <c r="EW242" s="182">
        <f t="shared" si="391"/>
        <v>0</v>
      </c>
      <c r="EX242" s="182">
        <f t="shared" si="391"/>
        <v>0</v>
      </c>
      <c r="EY242" s="182">
        <f t="shared" si="391"/>
        <v>0</v>
      </c>
      <c r="EZ242" s="182">
        <f t="shared" si="391"/>
        <v>0</v>
      </c>
      <c r="FA242" s="182">
        <f t="shared" si="391"/>
        <v>0</v>
      </c>
      <c r="FB242" s="183">
        <f t="shared" si="391"/>
        <v>0</v>
      </c>
    </row>
    <row r="243" spans="2:158" ht="12.75" customHeight="1" x14ac:dyDescent="0.3">
      <c r="B243" s="199" t="s">
        <v>3886</v>
      </c>
      <c r="C243" s="193">
        <v>0</v>
      </c>
      <c r="D243" s="182">
        <f t="shared" si="380"/>
        <v>0</v>
      </c>
      <c r="E243" s="182">
        <f t="shared" si="386"/>
        <v>0</v>
      </c>
      <c r="F243" s="182">
        <f t="shared" ref="F243:F274" si="392">F76*F$168</f>
        <v>0</v>
      </c>
      <c r="G243" s="182">
        <f t="shared" si="218"/>
        <v>0</v>
      </c>
      <c r="H243" s="182">
        <f t="shared" si="224"/>
        <v>0</v>
      </c>
      <c r="I243" s="176">
        <f t="shared" si="230"/>
        <v>0</v>
      </c>
      <c r="J243" s="182">
        <f t="shared" si="236"/>
        <v>0</v>
      </c>
      <c r="K243" s="182">
        <f t="shared" si="242"/>
        <v>0</v>
      </c>
      <c r="L243" s="182">
        <f t="shared" si="248"/>
        <v>0</v>
      </c>
      <c r="M243" s="182">
        <f t="shared" si="254"/>
        <v>0</v>
      </c>
      <c r="N243" s="182">
        <f t="shared" si="260"/>
        <v>0</v>
      </c>
      <c r="O243" s="182">
        <f t="shared" si="266"/>
        <v>0</v>
      </c>
      <c r="P243" s="182">
        <f t="shared" si="272"/>
        <v>0</v>
      </c>
      <c r="Q243" s="182">
        <f t="shared" si="278"/>
        <v>0</v>
      </c>
      <c r="R243" s="182">
        <f t="shared" si="284"/>
        <v>0</v>
      </c>
      <c r="S243" s="182">
        <f t="shared" si="290"/>
        <v>0</v>
      </c>
      <c r="T243" s="182">
        <f t="shared" si="296"/>
        <v>0</v>
      </c>
      <c r="U243" s="182">
        <f t="shared" si="302"/>
        <v>0</v>
      </c>
      <c r="V243" s="182">
        <f t="shared" si="308"/>
        <v>0</v>
      </c>
      <c r="W243" s="182">
        <f t="shared" si="314"/>
        <v>0</v>
      </c>
      <c r="X243" s="182">
        <f t="shared" si="320"/>
        <v>0</v>
      </c>
      <c r="Y243" s="182">
        <f t="shared" si="325"/>
        <v>0</v>
      </c>
      <c r="Z243" s="182">
        <f t="shared" si="330"/>
        <v>0</v>
      </c>
      <c r="AA243" s="182">
        <f t="shared" si="335"/>
        <v>0</v>
      </c>
      <c r="AB243" s="182">
        <f t="shared" si="340"/>
        <v>0</v>
      </c>
      <c r="AC243" s="182">
        <f t="shared" si="345"/>
        <v>0</v>
      </c>
      <c r="AD243" s="182">
        <f t="shared" si="350"/>
        <v>0</v>
      </c>
      <c r="AE243" s="182">
        <f t="shared" si="355"/>
        <v>0</v>
      </c>
      <c r="AF243" s="182">
        <f t="shared" si="360"/>
        <v>0</v>
      </c>
      <c r="AG243" s="182">
        <f t="shared" si="365"/>
        <v>0</v>
      </c>
      <c r="AH243" s="182">
        <f t="shared" si="370"/>
        <v>0</v>
      </c>
      <c r="AI243" s="182">
        <f t="shared" si="375"/>
        <v>0</v>
      </c>
      <c r="AJ243" s="182">
        <f t="shared" si="381"/>
        <v>0</v>
      </c>
      <c r="AK243" s="182">
        <f t="shared" si="387"/>
        <v>0</v>
      </c>
      <c r="AL243" s="182">
        <f t="shared" ref="AL243:AL274" si="393">AL76*AL$168</f>
        <v>0</v>
      </c>
      <c r="AM243" s="182">
        <f t="shared" si="219"/>
        <v>0</v>
      </c>
      <c r="AN243" s="182">
        <f t="shared" si="225"/>
        <v>0</v>
      </c>
      <c r="AO243" s="182">
        <f t="shared" si="231"/>
        <v>0</v>
      </c>
      <c r="AP243" s="182">
        <f t="shared" si="237"/>
        <v>0</v>
      </c>
      <c r="AQ243" s="182">
        <f t="shared" si="243"/>
        <v>0</v>
      </c>
      <c r="AR243" s="182">
        <f t="shared" si="249"/>
        <v>0</v>
      </c>
      <c r="AS243" s="182">
        <f t="shared" si="255"/>
        <v>0</v>
      </c>
      <c r="AT243" s="182">
        <f t="shared" si="261"/>
        <v>0</v>
      </c>
      <c r="AU243" s="182">
        <f t="shared" si="267"/>
        <v>0</v>
      </c>
      <c r="AV243" s="182">
        <f t="shared" si="273"/>
        <v>0</v>
      </c>
      <c r="AW243" s="182">
        <f t="shared" si="279"/>
        <v>0</v>
      </c>
      <c r="AX243" s="182">
        <f t="shared" si="285"/>
        <v>0</v>
      </c>
      <c r="AY243" s="182">
        <f t="shared" si="291"/>
        <v>0</v>
      </c>
      <c r="AZ243" s="182">
        <f t="shared" si="297"/>
        <v>0</v>
      </c>
      <c r="BA243" s="182">
        <f t="shared" si="303"/>
        <v>0</v>
      </c>
      <c r="BB243" s="182">
        <f t="shared" si="309"/>
        <v>0</v>
      </c>
      <c r="BC243" s="182">
        <f t="shared" si="315"/>
        <v>0</v>
      </c>
      <c r="BD243" s="182">
        <f t="shared" si="321"/>
        <v>0</v>
      </c>
      <c r="BE243" s="182">
        <f t="shared" si="326"/>
        <v>0</v>
      </c>
      <c r="BF243" s="182">
        <f t="shared" si="331"/>
        <v>0</v>
      </c>
      <c r="BG243" s="182">
        <f t="shared" si="336"/>
        <v>1.7602038964444359E-9</v>
      </c>
      <c r="BH243" s="182">
        <f t="shared" si="341"/>
        <v>0</v>
      </c>
      <c r="BI243" s="182">
        <f t="shared" si="346"/>
        <v>0</v>
      </c>
      <c r="BJ243" s="182">
        <f t="shared" si="351"/>
        <v>0</v>
      </c>
      <c r="BK243" s="182">
        <f t="shared" si="356"/>
        <v>0</v>
      </c>
      <c r="BL243" s="182">
        <f t="shared" si="361"/>
        <v>0</v>
      </c>
      <c r="BM243" s="182">
        <f t="shared" si="366"/>
        <v>0</v>
      </c>
      <c r="BN243" s="182">
        <f t="shared" si="371"/>
        <v>0</v>
      </c>
      <c r="BO243" s="182">
        <f t="shared" si="376"/>
        <v>0</v>
      </c>
      <c r="BP243" s="182">
        <f t="shared" si="382"/>
        <v>0</v>
      </c>
      <c r="BQ243" s="182">
        <f t="shared" si="388"/>
        <v>0</v>
      </c>
      <c r="BR243" s="182">
        <f t="shared" ref="BR243:BR274" si="394">BR76*BR$168</f>
        <v>0</v>
      </c>
      <c r="BS243" s="181">
        <f>$C243+SUM($D243:BR243,BT243:$FB243)-SUM(BS$176:BS242,BS244:BS$330)-BS$331</f>
        <v>6.7278593947452908E-25</v>
      </c>
      <c r="BT243" s="176">
        <f t="shared" ref="BT243:CY243" si="395">BT76*BT$168</f>
        <v>0</v>
      </c>
      <c r="BU243" s="176">
        <f t="shared" si="395"/>
        <v>0</v>
      </c>
      <c r="BV243" s="176">
        <f t="shared" si="395"/>
        <v>0</v>
      </c>
      <c r="BW243" s="176">
        <f t="shared" si="395"/>
        <v>0</v>
      </c>
      <c r="BX243" s="176">
        <f t="shared" si="395"/>
        <v>0</v>
      </c>
      <c r="BY243" s="176">
        <f t="shared" si="395"/>
        <v>0</v>
      </c>
      <c r="BZ243" s="176">
        <f t="shared" si="395"/>
        <v>0</v>
      </c>
      <c r="CA243" s="176">
        <f t="shared" si="395"/>
        <v>0</v>
      </c>
      <c r="CB243" s="176">
        <f t="shared" si="395"/>
        <v>0</v>
      </c>
      <c r="CC243" s="176">
        <f t="shared" si="395"/>
        <v>0</v>
      </c>
      <c r="CD243" s="176">
        <f t="shared" si="395"/>
        <v>0</v>
      </c>
      <c r="CE243" s="176">
        <f t="shared" si="395"/>
        <v>0</v>
      </c>
      <c r="CF243" s="176">
        <f t="shared" si="395"/>
        <v>0</v>
      </c>
      <c r="CG243" s="176">
        <f t="shared" si="395"/>
        <v>0</v>
      </c>
      <c r="CH243" s="176">
        <f t="shared" si="395"/>
        <v>0</v>
      </c>
      <c r="CI243" s="176">
        <f t="shared" si="395"/>
        <v>0</v>
      </c>
      <c r="CJ243" s="176">
        <f t="shared" si="395"/>
        <v>0</v>
      </c>
      <c r="CK243" s="176">
        <f t="shared" si="395"/>
        <v>0</v>
      </c>
      <c r="CL243" s="176">
        <f t="shared" si="395"/>
        <v>0</v>
      </c>
      <c r="CM243" s="176">
        <f t="shared" si="395"/>
        <v>0</v>
      </c>
      <c r="CN243" s="176">
        <f t="shared" si="395"/>
        <v>0</v>
      </c>
      <c r="CO243" s="176">
        <f t="shared" si="395"/>
        <v>0</v>
      </c>
      <c r="CP243" s="176">
        <f t="shared" si="395"/>
        <v>0</v>
      </c>
      <c r="CQ243" s="176">
        <f t="shared" si="395"/>
        <v>0</v>
      </c>
      <c r="CR243" s="176">
        <f t="shared" si="395"/>
        <v>0</v>
      </c>
      <c r="CS243" s="176">
        <f t="shared" si="395"/>
        <v>0</v>
      </c>
      <c r="CT243" s="176">
        <f t="shared" si="395"/>
        <v>0</v>
      </c>
      <c r="CU243" s="176">
        <f t="shared" si="395"/>
        <v>0</v>
      </c>
      <c r="CV243" s="176">
        <f t="shared" si="395"/>
        <v>0</v>
      </c>
      <c r="CW243" s="176">
        <f t="shared" si="395"/>
        <v>0</v>
      </c>
      <c r="CX243" s="176">
        <f t="shared" si="395"/>
        <v>0</v>
      </c>
      <c r="CY243" s="176">
        <f t="shared" si="395"/>
        <v>0</v>
      </c>
      <c r="CZ243" s="176">
        <f t="shared" ref="CZ243:EE243" si="396">CZ76*CZ$168</f>
        <v>0</v>
      </c>
      <c r="DA243" s="176">
        <f t="shared" si="396"/>
        <v>0</v>
      </c>
      <c r="DB243" s="176">
        <f t="shared" si="396"/>
        <v>0</v>
      </c>
      <c r="DC243" s="176">
        <f t="shared" si="396"/>
        <v>0</v>
      </c>
      <c r="DD243" s="176">
        <f t="shared" si="396"/>
        <v>0</v>
      </c>
      <c r="DE243" s="176">
        <f t="shared" si="396"/>
        <v>0</v>
      </c>
      <c r="DF243" s="176">
        <f t="shared" si="396"/>
        <v>0</v>
      </c>
      <c r="DG243" s="176">
        <f t="shared" si="396"/>
        <v>0</v>
      </c>
      <c r="DH243" s="176">
        <f t="shared" si="396"/>
        <v>0</v>
      </c>
      <c r="DI243" s="176">
        <f t="shared" si="396"/>
        <v>0</v>
      </c>
      <c r="DJ243" s="176">
        <f t="shared" si="396"/>
        <v>0</v>
      </c>
      <c r="DK243" s="176">
        <f t="shared" si="396"/>
        <v>0</v>
      </c>
      <c r="DL243" s="176">
        <f t="shared" si="396"/>
        <v>0</v>
      </c>
      <c r="DM243" s="176">
        <f t="shared" si="396"/>
        <v>0</v>
      </c>
      <c r="DN243" s="176">
        <f t="shared" si="396"/>
        <v>0</v>
      </c>
      <c r="DO243" s="176">
        <f t="shared" si="396"/>
        <v>0</v>
      </c>
      <c r="DP243" s="176">
        <f t="shared" si="396"/>
        <v>0</v>
      </c>
      <c r="DQ243" s="176">
        <f t="shared" si="396"/>
        <v>0</v>
      </c>
      <c r="DR243" s="176">
        <f t="shared" si="396"/>
        <v>0</v>
      </c>
      <c r="DS243" s="176">
        <f t="shared" si="396"/>
        <v>0</v>
      </c>
      <c r="DT243" s="176">
        <f t="shared" si="396"/>
        <v>0</v>
      </c>
      <c r="DU243" s="176">
        <f t="shared" si="396"/>
        <v>0</v>
      </c>
      <c r="DV243" s="176">
        <f t="shared" si="396"/>
        <v>0</v>
      </c>
      <c r="DW243" s="176">
        <f t="shared" si="396"/>
        <v>0</v>
      </c>
      <c r="DX243" s="176">
        <f t="shared" si="396"/>
        <v>0</v>
      </c>
      <c r="DY243" s="176">
        <f t="shared" si="396"/>
        <v>0</v>
      </c>
      <c r="DZ243" s="176">
        <f t="shared" si="396"/>
        <v>0</v>
      </c>
      <c r="EA243" s="176">
        <f t="shared" si="396"/>
        <v>0</v>
      </c>
      <c r="EB243" s="176">
        <f t="shared" si="396"/>
        <v>0</v>
      </c>
      <c r="EC243" s="176">
        <f t="shared" si="396"/>
        <v>0</v>
      </c>
      <c r="ED243" s="176">
        <f t="shared" si="396"/>
        <v>0</v>
      </c>
      <c r="EE243" s="176">
        <f t="shared" si="396"/>
        <v>0</v>
      </c>
      <c r="EF243" s="182">
        <f t="shared" ref="EF243:FB243" si="397">EF76*EF$168</f>
        <v>0</v>
      </c>
      <c r="EG243" s="182">
        <f t="shared" si="397"/>
        <v>0</v>
      </c>
      <c r="EH243" s="182">
        <f t="shared" si="397"/>
        <v>0</v>
      </c>
      <c r="EI243" s="182">
        <f t="shared" si="397"/>
        <v>0</v>
      </c>
      <c r="EJ243" s="182">
        <f t="shared" si="397"/>
        <v>0</v>
      </c>
      <c r="EK243" s="182">
        <f t="shared" si="397"/>
        <v>0</v>
      </c>
      <c r="EL243" s="182">
        <f t="shared" si="397"/>
        <v>0</v>
      </c>
      <c r="EM243" s="182">
        <f t="shared" si="397"/>
        <v>0</v>
      </c>
      <c r="EN243" s="182">
        <f t="shared" si="397"/>
        <v>0</v>
      </c>
      <c r="EO243" s="182">
        <f t="shared" si="397"/>
        <v>0</v>
      </c>
      <c r="EP243" s="182">
        <f t="shared" si="397"/>
        <v>0</v>
      </c>
      <c r="EQ243" s="182">
        <f t="shared" si="397"/>
        <v>0</v>
      </c>
      <c r="ER243" s="182">
        <f t="shared" si="397"/>
        <v>0</v>
      </c>
      <c r="ES243" s="182">
        <f t="shared" si="397"/>
        <v>0</v>
      </c>
      <c r="ET243" s="182">
        <f t="shared" si="397"/>
        <v>0</v>
      </c>
      <c r="EU243" s="182">
        <f t="shared" si="397"/>
        <v>0</v>
      </c>
      <c r="EV243" s="182">
        <f t="shared" si="397"/>
        <v>0</v>
      </c>
      <c r="EW243" s="182">
        <f t="shared" si="397"/>
        <v>0</v>
      </c>
      <c r="EX243" s="182">
        <f t="shared" si="397"/>
        <v>0</v>
      </c>
      <c r="EY243" s="182">
        <f t="shared" si="397"/>
        <v>0</v>
      </c>
      <c r="EZ243" s="182">
        <f t="shared" si="397"/>
        <v>0</v>
      </c>
      <c r="FA243" s="182">
        <f t="shared" si="397"/>
        <v>0</v>
      </c>
      <c r="FB243" s="183">
        <f t="shared" si="397"/>
        <v>0</v>
      </c>
    </row>
    <row r="244" spans="2:158" ht="12.75" customHeight="1" x14ac:dyDescent="0.3">
      <c r="B244" s="199" t="s">
        <v>3887</v>
      </c>
      <c r="C244" s="193">
        <v>0</v>
      </c>
      <c r="D244" s="182">
        <f t="shared" si="380"/>
        <v>0</v>
      </c>
      <c r="E244" s="182">
        <f t="shared" si="386"/>
        <v>0</v>
      </c>
      <c r="F244" s="182">
        <f t="shared" si="392"/>
        <v>0</v>
      </c>
      <c r="G244" s="182">
        <f t="shared" ref="G244:G275" si="398">G77*G$168</f>
        <v>0</v>
      </c>
      <c r="H244" s="182">
        <f t="shared" si="224"/>
        <v>0</v>
      </c>
      <c r="I244" s="176">
        <f t="shared" si="230"/>
        <v>0</v>
      </c>
      <c r="J244" s="182">
        <f t="shared" si="236"/>
        <v>0</v>
      </c>
      <c r="K244" s="182">
        <f t="shared" si="242"/>
        <v>0</v>
      </c>
      <c r="L244" s="182">
        <f t="shared" si="248"/>
        <v>0</v>
      </c>
      <c r="M244" s="182">
        <f t="shared" si="254"/>
        <v>0</v>
      </c>
      <c r="N244" s="182">
        <f t="shared" si="260"/>
        <v>0</v>
      </c>
      <c r="O244" s="182">
        <f t="shared" si="266"/>
        <v>0</v>
      </c>
      <c r="P244" s="182">
        <f t="shared" si="272"/>
        <v>0</v>
      </c>
      <c r="Q244" s="182">
        <f t="shared" si="278"/>
        <v>0</v>
      </c>
      <c r="R244" s="182">
        <f t="shared" si="284"/>
        <v>0</v>
      </c>
      <c r="S244" s="182">
        <f t="shared" si="290"/>
        <v>0</v>
      </c>
      <c r="T244" s="182">
        <f t="shared" si="296"/>
        <v>0</v>
      </c>
      <c r="U244" s="182">
        <f t="shared" si="302"/>
        <v>0</v>
      </c>
      <c r="V244" s="182">
        <f t="shared" si="308"/>
        <v>0</v>
      </c>
      <c r="W244" s="182">
        <f t="shared" si="314"/>
        <v>0</v>
      </c>
      <c r="X244" s="182">
        <f t="shared" si="320"/>
        <v>0</v>
      </c>
      <c r="Y244" s="182">
        <f t="shared" si="325"/>
        <v>0</v>
      </c>
      <c r="Z244" s="182">
        <f t="shared" si="330"/>
        <v>0</v>
      </c>
      <c r="AA244" s="182">
        <f t="shared" si="335"/>
        <v>0</v>
      </c>
      <c r="AB244" s="182">
        <f t="shared" si="340"/>
        <v>0</v>
      </c>
      <c r="AC244" s="182">
        <f t="shared" si="345"/>
        <v>0</v>
      </c>
      <c r="AD244" s="182">
        <f t="shared" si="350"/>
        <v>0</v>
      </c>
      <c r="AE244" s="182">
        <f t="shared" si="355"/>
        <v>0</v>
      </c>
      <c r="AF244" s="182">
        <f t="shared" si="360"/>
        <v>0</v>
      </c>
      <c r="AG244" s="182">
        <f t="shared" si="365"/>
        <v>0</v>
      </c>
      <c r="AH244" s="182">
        <f t="shared" si="370"/>
        <v>0</v>
      </c>
      <c r="AI244" s="182">
        <f t="shared" si="375"/>
        <v>0</v>
      </c>
      <c r="AJ244" s="182">
        <f t="shared" si="381"/>
        <v>0</v>
      </c>
      <c r="AK244" s="182">
        <f t="shared" si="387"/>
        <v>0</v>
      </c>
      <c r="AL244" s="182">
        <f t="shared" si="393"/>
        <v>0</v>
      </c>
      <c r="AM244" s="182">
        <f t="shared" ref="AM244:AM275" si="399">AM77*AM$168</f>
        <v>0</v>
      </c>
      <c r="AN244" s="182">
        <f t="shared" si="225"/>
        <v>0</v>
      </c>
      <c r="AO244" s="182">
        <f t="shared" si="231"/>
        <v>0</v>
      </c>
      <c r="AP244" s="182">
        <f t="shared" si="237"/>
        <v>0</v>
      </c>
      <c r="AQ244" s="182">
        <f t="shared" si="243"/>
        <v>0</v>
      </c>
      <c r="AR244" s="182">
        <f t="shared" si="249"/>
        <v>0</v>
      </c>
      <c r="AS244" s="182">
        <f t="shared" si="255"/>
        <v>0</v>
      </c>
      <c r="AT244" s="182">
        <f t="shared" si="261"/>
        <v>0</v>
      </c>
      <c r="AU244" s="182">
        <f t="shared" si="267"/>
        <v>0</v>
      </c>
      <c r="AV244" s="182">
        <f t="shared" si="273"/>
        <v>0</v>
      </c>
      <c r="AW244" s="182">
        <f t="shared" si="279"/>
        <v>0</v>
      </c>
      <c r="AX244" s="182">
        <f t="shared" si="285"/>
        <v>0</v>
      </c>
      <c r="AY244" s="182">
        <f t="shared" si="291"/>
        <v>0</v>
      </c>
      <c r="AZ244" s="182">
        <f t="shared" si="297"/>
        <v>0</v>
      </c>
      <c r="BA244" s="182">
        <f t="shared" si="303"/>
        <v>0</v>
      </c>
      <c r="BB244" s="182">
        <f t="shared" si="309"/>
        <v>0</v>
      </c>
      <c r="BC244" s="182">
        <f t="shared" si="315"/>
        <v>0</v>
      </c>
      <c r="BD244" s="182">
        <f t="shared" si="321"/>
        <v>0</v>
      </c>
      <c r="BE244" s="182">
        <f t="shared" si="326"/>
        <v>0</v>
      </c>
      <c r="BF244" s="182">
        <f t="shared" si="331"/>
        <v>0</v>
      </c>
      <c r="BG244" s="182">
        <f t="shared" si="336"/>
        <v>0</v>
      </c>
      <c r="BH244" s="182">
        <f t="shared" si="341"/>
        <v>4.5214717094163658E-2</v>
      </c>
      <c r="BI244" s="182">
        <f t="shared" si="346"/>
        <v>0</v>
      </c>
      <c r="BJ244" s="182">
        <f t="shared" si="351"/>
        <v>0</v>
      </c>
      <c r="BK244" s="182">
        <f t="shared" si="356"/>
        <v>0</v>
      </c>
      <c r="BL244" s="182">
        <f t="shared" si="361"/>
        <v>0</v>
      </c>
      <c r="BM244" s="182">
        <f t="shared" si="366"/>
        <v>0</v>
      </c>
      <c r="BN244" s="182">
        <f t="shared" si="371"/>
        <v>0</v>
      </c>
      <c r="BO244" s="182">
        <f t="shared" si="376"/>
        <v>0</v>
      </c>
      <c r="BP244" s="182">
        <f t="shared" si="382"/>
        <v>0</v>
      </c>
      <c r="BQ244" s="182">
        <f t="shared" si="388"/>
        <v>0</v>
      </c>
      <c r="BR244" s="182">
        <f t="shared" si="394"/>
        <v>0</v>
      </c>
      <c r="BS244" s="182">
        <f t="shared" ref="BS244:BS275" si="400">BS77*BS$168</f>
        <v>3.7595162095310408E-10</v>
      </c>
      <c r="BT244" s="181">
        <f>$C244+SUM($D244:BS244,BU244:$FB244)-SUM(BT$176:BT243,BT245:BT$330)-BT$331</f>
        <v>0</v>
      </c>
      <c r="BU244" s="176">
        <f t="shared" ref="BU244:CZ244" si="401">BU77*BU$168</f>
        <v>0</v>
      </c>
      <c r="BV244" s="176">
        <f t="shared" si="401"/>
        <v>0</v>
      </c>
      <c r="BW244" s="176">
        <f t="shared" si="401"/>
        <v>0</v>
      </c>
      <c r="BX244" s="176">
        <f t="shared" si="401"/>
        <v>0</v>
      </c>
      <c r="BY244" s="176">
        <f t="shared" si="401"/>
        <v>0</v>
      </c>
      <c r="BZ244" s="176">
        <f t="shared" si="401"/>
        <v>0</v>
      </c>
      <c r="CA244" s="176">
        <f t="shared" si="401"/>
        <v>0</v>
      </c>
      <c r="CB244" s="176">
        <f t="shared" si="401"/>
        <v>0</v>
      </c>
      <c r="CC244" s="176">
        <f t="shared" si="401"/>
        <v>0</v>
      </c>
      <c r="CD244" s="176">
        <f t="shared" si="401"/>
        <v>0</v>
      </c>
      <c r="CE244" s="176">
        <f t="shared" si="401"/>
        <v>0</v>
      </c>
      <c r="CF244" s="176">
        <f t="shared" si="401"/>
        <v>0</v>
      </c>
      <c r="CG244" s="176">
        <f t="shared" si="401"/>
        <v>0</v>
      </c>
      <c r="CH244" s="176">
        <f t="shared" si="401"/>
        <v>0</v>
      </c>
      <c r="CI244" s="176">
        <f t="shared" si="401"/>
        <v>0</v>
      </c>
      <c r="CJ244" s="176">
        <f t="shared" si="401"/>
        <v>0</v>
      </c>
      <c r="CK244" s="176">
        <f t="shared" si="401"/>
        <v>0</v>
      </c>
      <c r="CL244" s="176">
        <f t="shared" si="401"/>
        <v>0</v>
      </c>
      <c r="CM244" s="176">
        <f t="shared" si="401"/>
        <v>0</v>
      </c>
      <c r="CN244" s="176">
        <f t="shared" si="401"/>
        <v>0</v>
      </c>
      <c r="CO244" s="176">
        <f t="shared" si="401"/>
        <v>0</v>
      </c>
      <c r="CP244" s="176">
        <f t="shared" si="401"/>
        <v>0</v>
      </c>
      <c r="CQ244" s="176">
        <f t="shared" si="401"/>
        <v>0</v>
      </c>
      <c r="CR244" s="176">
        <f t="shared" si="401"/>
        <v>0</v>
      </c>
      <c r="CS244" s="176">
        <f t="shared" si="401"/>
        <v>0</v>
      </c>
      <c r="CT244" s="176">
        <f t="shared" si="401"/>
        <v>0</v>
      </c>
      <c r="CU244" s="176">
        <f t="shared" si="401"/>
        <v>0</v>
      </c>
      <c r="CV244" s="176">
        <f t="shared" si="401"/>
        <v>0</v>
      </c>
      <c r="CW244" s="176">
        <f t="shared" si="401"/>
        <v>0</v>
      </c>
      <c r="CX244" s="176">
        <f t="shared" si="401"/>
        <v>0</v>
      </c>
      <c r="CY244" s="176">
        <f t="shared" si="401"/>
        <v>0</v>
      </c>
      <c r="CZ244" s="176">
        <f t="shared" si="401"/>
        <v>0</v>
      </c>
      <c r="DA244" s="176">
        <f t="shared" ref="DA244:EF244" si="402">DA77*DA$168</f>
        <v>0</v>
      </c>
      <c r="DB244" s="176">
        <f t="shared" si="402"/>
        <v>0</v>
      </c>
      <c r="DC244" s="176">
        <f t="shared" si="402"/>
        <v>0</v>
      </c>
      <c r="DD244" s="176">
        <f t="shared" si="402"/>
        <v>0</v>
      </c>
      <c r="DE244" s="176">
        <f t="shared" si="402"/>
        <v>0</v>
      </c>
      <c r="DF244" s="176">
        <f t="shared" si="402"/>
        <v>0</v>
      </c>
      <c r="DG244" s="176">
        <f t="shared" si="402"/>
        <v>0</v>
      </c>
      <c r="DH244" s="176">
        <f t="shared" si="402"/>
        <v>0</v>
      </c>
      <c r="DI244" s="176">
        <f t="shared" si="402"/>
        <v>0</v>
      </c>
      <c r="DJ244" s="176">
        <f t="shared" si="402"/>
        <v>0</v>
      </c>
      <c r="DK244" s="176">
        <f t="shared" si="402"/>
        <v>0</v>
      </c>
      <c r="DL244" s="176">
        <f t="shared" si="402"/>
        <v>0</v>
      </c>
      <c r="DM244" s="176">
        <f t="shared" si="402"/>
        <v>0</v>
      </c>
      <c r="DN244" s="176">
        <f t="shared" si="402"/>
        <v>0</v>
      </c>
      <c r="DO244" s="176">
        <f t="shared" si="402"/>
        <v>0</v>
      </c>
      <c r="DP244" s="176">
        <f t="shared" si="402"/>
        <v>0</v>
      </c>
      <c r="DQ244" s="176">
        <f t="shared" si="402"/>
        <v>0</v>
      </c>
      <c r="DR244" s="176">
        <f t="shared" si="402"/>
        <v>0</v>
      </c>
      <c r="DS244" s="176">
        <f t="shared" si="402"/>
        <v>0</v>
      </c>
      <c r="DT244" s="176">
        <f t="shared" si="402"/>
        <v>0</v>
      </c>
      <c r="DU244" s="176">
        <f t="shared" si="402"/>
        <v>0</v>
      </c>
      <c r="DV244" s="176">
        <f t="shared" si="402"/>
        <v>0</v>
      </c>
      <c r="DW244" s="176">
        <f t="shared" si="402"/>
        <v>0</v>
      </c>
      <c r="DX244" s="176">
        <f t="shared" si="402"/>
        <v>0</v>
      </c>
      <c r="DY244" s="176">
        <f t="shared" si="402"/>
        <v>0</v>
      </c>
      <c r="DZ244" s="176">
        <f t="shared" si="402"/>
        <v>0</v>
      </c>
      <c r="EA244" s="176">
        <f t="shared" si="402"/>
        <v>0</v>
      </c>
      <c r="EB244" s="176">
        <f t="shared" si="402"/>
        <v>0</v>
      </c>
      <c r="EC244" s="176">
        <f t="shared" si="402"/>
        <v>0</v>
      </c>
      <c r="ED244" s="176">
        <f t="shared" si="402"/>
        <v>0</v>
      </c>
      <c r="EE244" s="176">
        <f t="shared" si="402"/>
        <v>0</v>
      </c>
      <c r="EF244" s="182">
        <f t="shared" si="402"/>
        <v>0</v>
      </c>
      <c r="EG244" s="182">
        <f t="shared" ref="EG244:FB244" si="403">EG77*EG$168</f>
        <v>0</v>
      </c>
      <c r="EH244" s="182">
        <f t="shared" si="403"/>
        <v>0</v>
      </c>
      <c r="EI244" s="182">
        <f t="shared" si="403"/>
        <v>0</v>
      </c>
      <c r="EJ244" s="182">
        <f t="shared" si="403"/>
        <v>0</v>
      </c>
      <c r="EK244" s="182">
        <f t="shared" si="403"/>
        <v>0</v>
      </c>
      <c r="EL244" s="182">
        <f t="shared" si="403"/>
        <v>0</v>
      </c>
      <c r="EM244" s="182">
        <f t="shared" si="403"/>
        <v>0</v>
      </c>
      <c r="EN244" s="182">
        <f t="shared" si="403"/>
        <v>0</v>
      </c>
      <c r="EO244" s="182">
        <f t="shared" si="403"/>
        <v>0</v>
      </c>
      <c r="EP244" s="182">
        <f t="shared" si="403"/>
        <v>0</v>
      </c>
      <c r="EQ244" s="182">
        <f t="shared" si="403"/>
        <v>0</v>
      </c>
      <c r="ER244" s="182">
        <f t="shared" si="403"/>
        <v>0</v>
      </c>
      <c r="ES244" s="182">
        <f t="shared" si="403"/>
        <v>0</v>
      </c>
      <c r="ET244" s="182">
        <f t="shared" si="403"/>
        <v>0</v>
      </c>
      <c r="EU244" s="182">
        <f t="shared" si="403"/>
        <v>0</v>
      </c>
      <c r="EV244" s="182">
        <f t="shared" si="403"/>
        <v>0</v>
      </c>
      <c r="EW244" s="182">
        <f t="shared" si="403"/>
        <v>0</v>
      </c>
      <c r="EX244" s="182">
        <f t="shared" si="403"/>
        <v>0</v>
      </c>
      <c r="EY244" s="182">
        <f t="shared" si="403"/>
        <v>0</v>
      </c>
      <c r="EZ244" s="182">
        <f t="shared" si="403"/>
        <v>0</v>
      </c>
      <c r="FA244" s="182">
        <f t="shared" si="403"/>
        <v>0</v>
      </c>
      <c r="FB244" s="183">
        <f t="shared" si="403"/>
        <v>0</v>
      </c>
    </row>
    <row r="245" spans="2:158" ht="12.75" customHeight="1" x14ac:dyDescent="0.3">
      <c r="B245" s="199" t="s">
        <v>3888</v>
      </c>
      <c r="C245" s="193">
        <v>0</v>
      </c>
      <c r="D245" s="182">
        <f t="shared" si="380"/>
        <v>0</v>
      </c>
      <c r="E245" s="182">
        <f t="shared" si="386"/>
        <v>0</v>
      </c>
      <c r="F245" s="182">
        <f t="shared" si="392"/>
        <v>0</v>
      </c>
      <c r="G245" s="182">
        <f t="shared" si="398"/>
        <v>0</v>
      </c>
      <c r="H245" s="182">
        <f t="shared" ref="H245:H276" si="404">H78*H$168</f>
        <v>0</v>
      </c>
      <c r="I245" s="176">
        <f t="shared" si="230"/>
        <v>0</v>
      </c>
      <c r="J245" s="182">
        <f t="shared" si="236"/>
        <v>0</v>
      </c>
      <c r="K245" s="182">
        <f t="shared" si="242"/>
        <v>0</v>
      </c>
      <c r="L245" s="182">
        <f t="shared" si="248"/>
        <v>0</v>
      </c>
      <c r="M245" s="182">
        <f t="shared" si="254"/>
        <v>0</v>
      </c>
      <c r="N245" s="182">
        <f t="shared" si="260"/>
        <v>0</v>
      </c>
      <c r="O245" s="182">
        <f t="shared" si="266"/>
        <v>0</v>
      </c>
      <c r="P245" s="182">
        <f t="shared" si="272"/>
        <v>0</v>
      </c>
      <c r="Q245" s="182">
        <f t="shared" si="278"/>
        <v>0</v>
      </c>
      <c r="R245" s="182">
        <f t="shared" si="284"/>
        <v>0</v>
      </c>
      <c r="S245" s="182">
        <f t="shared" si="290"/>
        <v>0</v>
      </c>
      <c r="T245" s="182">
        <f t="shared" si="296"/>
        <v>0</v>
      </c>
      <c r="U245" s="182">
        <f t="shared" si="302"/>
        <v>0</v>
      </c>
      <c r="V245" s="182">
        <f t="shared" si="308"/>
        <v>0</v>
      </c>
      <c r="W245" s="182">
        <f t="shared" si="314"/>
        <v>0</v>
      </c>
      <c r="X245" s="182">
        <f t="shared" si="320"/>
        <v>0</v>
      </c>
      <c r="Y245" s="182">
        <f t="shared" si="325"/>
        <v>0</v>
      </c>
      <c r="Z245" s="182">
        <f t="shared" si="330"/>
        <v>0</v>
      </c>
      <c r="AA245" s="182">
        <f t="shared" si="335"/>
        <v>0</v>
      </c>
      <c r="AB245" s="182">
        <f t="shared" si="340"/>
        <v>0</v>
      </c>
      <c r="AC245" s="182">
        <f t="shared" si="345"/>
        <v>0</v>
      </c>
      <c r="AD245" s="182">
        <f t="shared" si="350"/>
        <v>0</v>
      </c>
      <c r="AE245" s="182">
        <f t="shared" si="355"/>
        <v>0</v>
      </c>
      <c r="AF245" s="182">
        <f t="shared" si="360"/>
        <v>0</v>
      </c>
      <c r="AG245" s="182">
        <f t="shared" si="365"/>
        <v>0</v>
      </c>
      <c r="AH245" s="182">
        <f t="shared" si="370"/>
        <v>0</v>
      </c>
      <c r="AI245" s="182">
        <f t="shared" si="375"/>
        <v>0</v>
      </c>
      <c r="AJ245" s="182">
        <f t="shared" si="381"/>
        <v>0</v>
      </c>
      <c r="AK245" s="182">
        <f t="shared" si="387"/>
        <v>0</v>
      </c>
      <c r="AL245" s="182">
        <f t="shared" si="393"/>
        <v>0</v>
      </c>
      <c r="AM245" s="182">
        <f t="shared" si="399"/>
        <v>0</v>
      </c>
      <c r="AN245" s="182">
        <f t="shared" ref="AN245:AN276" si="405">AN78*AN$168</f>
        <v>0</v>
      </c>
      <c r="AO245" s="182">
        <f t="shared" si="231"/>
        <v>0</v>
      </c>
      <c r="AP245" s="182">
        <f t="shared" si="237"/>
        <v>0</v>
      </c>
      <c r="AQ245" s="182">
        <f t="shared" si="243"/>
        <v>0</v>
      </c>
      <c r="AR245" s="182">
        <f t="shared" si="249"/>
        <v>0</v>
      </c>
      <c r="AS245" s="182">
        <f t="shared" si="255"/>
        <v>0</v>
      </c>
      <c r="AT245" s="182">
        <f t="shared" si="261"/>
        <v>0</v>
      </c>
      <c r="AU245" s="182">
        <f t="shared" si="267"/>
        <v>0</v>
      </c>
      <c r="AV245" s="182">
        <f t="shared" si="273"/>
        <v>0</v>
      </c>
      <c r="AW245" s="182">
        <f t="shared" si="279"/>
        <v>0</v>
      </c>
      <c r="AX245" s="182">
        <f t="shared" si="285"/>
        <v>0</v>
      </c>
      <c r="AY245" s="182">
        <f t="shared" si="291"/>
        <v>0</v>
      </c>
      <c r="AZ245" s="182">
        <f t="shared" si="297"/>
        <v>0</v>
      </c>
      <c r="BA245" s="182">
        <f t="shared" si="303"/>
        <v>0</v>
      </c>
      <c r="BB245" s="182">
        <f t="shared" si="309"/>
        <v>0</v>
      </c>
      <c r="BC245" s="182">
        <f t="shared" si="315"/>
        <v>0</v>
      </c>
      <c r="BD245" s="182">
        <f t="shared" si="321"/>
        <v>0</v>
      </c>
      <c r="BE245" s="182">
        <f t="shared" si="326"/>
        <v>0</v>
      </c>
      <c r="BF245" s="182">
        <f t="shared" si="331"/>
        <v>0</v>
      </c>
      <c r="BG245" s="182">
        <f t="shared" si="336"/>
        <v>0</v>
      </c>
      <c r="BH245" s="182">
        <f t="shared" si="341"/>
        <v>0</v>
      </c>
      <c r="BI245" s="182">
        <f t="shared" si="346"/>
        <v>5.3247910716377071E-2</v>
      </c>
      <c r="BJ245" s="182">
        <f t="shared" si="351"/>
        <v>0</v>
      </c>
      <c r="BK245" s="182">
        <f t="shared" si="356"/>
        <v>0</v>
      </c>
      <c r="BL245" s="182">
        <f t="shared" si="361"/>
        <v>0</v>
      </c>
      <c r="BM245" s="182">
        <f t="shared" si="366"/>
        <v>0</v>
      </c>
      <c r="BN245" s="182">
        <f t="shared" si="371"/>
        <v>0</v>
      </c>
      <c r="BO245" s="182">
        <f t="shared" si="376"/>
        <v>0</v>
      </c>
      <c r="BP245" s="182">
        <f t="shared" si="382"/>
        <v>0</v>
      </c>
      <c r="BQ245" s="182">
        <f t="shared" si="388"/>
        <v>0</v>
      </c>
      <c r="BR245" s="182">
        <f t="shared" si="394"/>
        <v>0</v>
      </c>
      <c r="BS245" s="182">
        <f t="shared" si="400"/>
        <v>1.3842178591249475E-9</v>
      </c>
      <c r="BT245" s="182">
        <f t="shared" ref="BT245:BT276" si="406">BT78*BT$168</f>
        <v>0</v>
      </c>
      <c r="BU245" s="181">
        <f>$C245+SUM($D245:BT245,BV245:$FB245)-SUM(BU$176:BU244,BU246:BU$330)-BU$331</f>
        <v>-8.6736173798840355E-18</v>
      </c>
      <c r="BV245" s="176">
        <f t="shared" ref="BV245:DA245" si="407">BV78*BV$168</f>
        <v>0</v>
      </c>
      <c r="BW245" s="176">
        <f t="shared" si="407"/>
        <v>0</v>
      </c>
      <c r="BX245" s="176">
        <f t="shared" si="407"/>
        <v>0</v>
      </c>
      <c r="BY245" s="176">
        <f t="shared" si="407"/>
        <v>0</v>
      </c>
      <c r="BZ245" s="176">
        <f t="shared" si="407"/>
        <v>0</v>
      </c>
      <c r="CA245" s="176">
        <f t="shared" si="407"/>
        <v>0</v>
      </c>
      <c r="CB245" s="176">
        <f t="shared" si="407"/>
        <v>0</v>
      </c>
      <c r="CC245" s="176">
        <f t="shared" si="407"/>
        <v>0</v>
      </c>
      <c r="CD245" s="176">
        <f t="shared" si="407"/>
        <v>0</v>
      </c>
      <c r="CE245" s="176">
        <f t="shared" si="407"/>
        <v>0</v>
      </c>
      <c r="CF245" s="176">
        <f t="shared" si="407"/>
        <v>0</v>
      </c>
      <c r="CG245" s="176">
        <f t="shared" si="407"/>
        <v>0</v>
      </c>
      <c r="CH245" s="176">
        <f t="shared" si="407"/>
        <v>0</v>
      </c>
      <c r="CI245" s="176">
        <f t="shared" si="407"/>
        <v>0</v>
      </c>
      <c r="CJ245" s="176">
        <f t="shared" si="407"/>
        <v>0</v>
      </c>
      <c r="CK245" s="176">
        <f t="shared" si="407"/>
        <v>0</v>
      </c>
      <c r="CL245" s="176">
        <f t="shared" si="407"/>
        <v>0</v>
      </c>
      <c r="CM245" s="176">
        <f t="shared" si="407"/>
        <v>0</v>
      </c>
      <c r="CN245" s="176">
        <f t="shared" si="407"/>
        <v>0</v>
      </c>
      <c r="CO245" s="176">
        <f t="shared" si="407"/>
        <v>0</v>
      </c>
      <c r="CP245" s="176">
        <f t="shared" si="407"/>
        <v>0</v>
      </c>
      <c r="CQ245" s="176">
        <f t="shared" si="407"/>
        <v>0</v>
      </c>
      <c r="CR245" s="176">
        <f t="shared" si="407"/>
        <v>0</v>
      </c>
      <c r="CS245" s="176">
        <f t="shared" si="407"/>
        <v>0</v>
      </c>
      <c r="CT245" s="176">
        <f t="shared" si="407"/>
        <v>0</v>
      </c>
      <c r="CU245" s="176">
        <f t="shared" si="407"/>
        <v>0</v>
      </c>
      <c r="CV245" s="176">
        <f t="shared" si="407"/>
        <v>0</v>
      </c>
      <c r="CW245" s="176">
        <f t="shared" si="407"/>
        <v>0</v>
      </c>
      <c r="CX245" s="176">
        <f t="shared" si="407"/>
        <v>0</v>
      </c>
      <c r="CY245" s="176">
        <f t="shared" si="407"/>
        <v>0</v>
      </c>
      <c r="CZ245" s="176">
        <f t="shared" si="407"/>
        <v>0</v>
      </c>
      <c r="DA245" s="176">
        <f t="shared" si="407"/>
        <v>0</v>
      </c>
      <c r="DB245" s="176">
        <f t="shared" ref="DB245:EG245" si="408">DB78*DB$168</f>
        <v>0</v>
      </c>
      <c r="DC245" s="176">
        <f t="shared" si="408"/>
        <v>0</v>
      </c>
      <c r="DD245" s="176">
        <f t="shared" si="408"/>
        <v>0</v>
      </c>
      <c r="DE245" s="176">
        <f t="shared" si="408"/>
        <v>0</v>
      </c>
      <c r="DF245" s="176">
        <f t="shared" si="408"/>
        <v>0</v>
      </c>
      <c r="DG245" s="176">
        <f t="shared" si="408"/>
        <v>0</v>
      </c>
      <c r="DH245" s="176">
        <f t="shared" si="408"/>
        <v>0</v>
      </c>
      <c r="DI245" s="176">
        <f t="shared" si="408"/>
        <v>0</v>
      </c>
      <c r="DJ245" s="176">
        <f t="shared" si="408"/>
        <v>0</v>
      </c>
      <c r="DK245" s="176">
        <f t="shared" si="408"/>
        <v>0</v>
      </c>
      <c r="DL245" s="176">
        <f t="shared" si="408"/>
        <v>0</v>
      </c>
      <c r="DM245" s="176">
        <f t="shared" si="408"/>
        <v>0</v>
      </c>
      <c r="DN245" s="176">
        <f t="shared" si="408"/>
        <v>0</v>
      </c>
      <c r="DO245" s="176">
        <f t="shared" si="408"/>
        <v>0</v>
      </c>
      <c r="DP245" s="176">
        <f t="shared" si="408"/>
        <v>0</v>
      </c>
      <c r="DQ245" s="176">
        <f t="shared" si="408"/>
        <v>0</v>
      </c>
      <c r="DR245" s="176">
        <f t="shared" si="408"/>
        <v>0</v>
      </c>
      <c r="DS245" s="176">
        <f t="shared" si="408"/>
        <v>0</v>
      </c>
      <c r="DT245" s="176">
        <f t="shared" si="408"/>
        <v>0</v>
      </c>
      <c r="DU245" s="176">
        <f t="shared" si="408"/>
        <v>0</v>
      </c>
      <c r="DV245" s="176">
        <f t="shared" si="408"/>
        <v>0</v>
      </c>
      <c r="DW245" s="176">
        <f t="shared" si="408"/>
        <v>0</v>
      </c>
      <c r="DX245" s="176">
        <f t="shared" si="408"/>
        <v>0</v>
      </c>
      <c r="DY245" s="176">
        <f t="shared" si="408"/>
        <v>0</v>
      </c>
      <c r="DZ245" s="176">
        <f t="shared" si="408"/>
        <v>0</v>
      </c>
      <c r="EA245" s="176">
        <f t="shared" si="408"/>
        <v>0</v>
      </c>
      <c r="EB245" s="176">
        <f t="shared" si="408"/>
        <v>0</v>
      </c>
      <c r="EC245" s="176">
        <f t="shared" si="408"/>
        <v>0</v>
      </c>
      <c r="ED245" s="176">
        <f t="shared" si="408"/>
        <v>0</v>
      </c>
      <c r="EE245" s="176">
        <f t="shared" si="408"/>
        <v>0</v>
      </c>
      <c r="EF245" s="182">
        <f t="shared" si="408"/>
        <v>0</v>
      </c>
      <c r="EG245" s="182">
        <f t="shared" si="408"/>
        <v>0</v>
      </c>
      <c r="EH245" s="182">
        <f t="shared" ref="EH245:FB245" si="409">EH78*EH$168</f>
        <v>0</v>
      </c>
      <c r="EI245" s="182">
        <f t="shared" si="409"/>
        <v>0</v>
      </c>
      <c r="EJ245" s="182">
        <f t="shared" si="409"/>
        <v>0</v>
      </c>
      <c r="EK245" s="182">
        <f t="shared" si="409"/>
        <v>0</v>
      </c>
      <c r="EL245" s="182">
        <f t="shared" si="409"/>
        <v>0</v>
      </c>
      <c r="EM245" s="182">
        <f t="shared" si="409"/>
        <v>0</v>
      </c>
      <c r="EN245" s="182">
        <f t="shared" si="409"/>
        <v>0</v>
      </c>
      <c r="EO245" s="182">
        <f t="shared" si="409"/>
        <v>0</v>
      </c>
      <c r="EP245" s="182">
        <f t="shared" si="409"/>
        <v>0</v>
      </c>
      <c r="EQ245" s="182">
        <f t="shared" si="409"/>
        <v>0</v>
      </c>
      <c r="ER245" s="182">
        <f t="shared" si="409"/>
        <v>0</v>
      </c>
      <c r="ES245" s="182">
        <f t="shared" si="409"/>
        <v>0</v>
      </c>
      <c r="ET245" s="182">
        <f t="shared" si="409"/>
        <v>0</v>
      </c>
      <c r="EU245" s="182">
        <f t="shared" si="409"/>
        <v>0</v>
      </c>
      <c r="EV245" s="182">
        <f t="shared" si="409"/>
        <v>0</v>
      </c>
      <c r="EW245" s="182">
        <f t="shared" si="409"/>
        <v>0</v>
      </c>
      <c r="EX245" s="182">
        <f t="shared" si="409"/>
        <v>0</v>
      </c>
      <c r="EY245" s="182">
        <f t="shared" si="409"/>
        <v>0</v>
      </c>
      <c r="EZ245" s="182">
        <f t="shared" si="409"/>
        <v>0</v>
      </c>
      <c r="FA245" s="182">
        <f t="shared" si="409"/>
        <v>0</v>
      </c>
      <c r="FB245" s="183">
        <f t="shared" si="409"/>
        <v>0</v>
      </c>
    </row>
    <row r="246" spans="2:158" ht="12.75" customHeight="1" x14ac:dyDescent="0.3">
      <c r="B246" s="199" t="s">
        <v>3889</v>
      </c>
      <c r="C246" s="193">
        <v>0</v>
      </c>
      <c r="D246" s="182">
        <f t="shared" si="380"/>
        <v>0</v>
      </c>
      <c r="E246" s="182">
        <f t="shared" si="386"/>
        <v>0</v>
      </c>
      <c r="F246" s="182">
        <f t="shared" si="392"/>
        <v>0</v>
      </c>
      <c r="G246" s="182">
        <f t="shared" si="398"/>
        <v>0</v>
      </c>
      <c r="H246" s="182">
        <f t="shared" si="404"/>
        <v>0</v>
      </c>
      <c r="I246" s="176">
        <f t="shared" ref="I246:I277" si="410">I79*I$168</f>
        <v>0</v>
      </c>
      <c r="J246" s="182">
        <f t="shared" si="236"/>
        <v>0</v>
      </c>
      <c r="K246" s="182">
        <f t="shared" si="242"/>
        <v>0</v>
      </c>
      <c r="L246" s="182">
        <f t="shared" si="248"/>
        <v>0</v>
      </c>
      <c r="M246" s="182">
        <f t="shared" si="254"/>
        <v>0</v>
      </c>
      <c r="N246" s="182">
        <f t="shared" si="260"/>
        <v>0</v>
      </c>
      <c r="O246" s="182">
        <f t="shared" si="266"/>
        <v>0</v>
      </c>
      <c r="P246" s="182">
        <f t="shared" si="272"/>
        <v>0</v>
      </c>
      <c r="Q246" s="182">
        <f t="shared" si="278"/>
        <v>0</v>
      </c>
      <c r="R246" s="182">
        <f t="shared" si="284"/>
        <v>0</v>
      </c>
      <c r="S246" s="182">
        <f t="shared" si="290"/>
        <v>0</v>
      </c>
      <c r="T246" s="182">
        <f t="shared" si="296"/>
        <v>0</v>
      </c>
      <c r="U246" s="182">
        <f t="shared" si="302"/>
        <v>0</v>
      </c>
      <c r="V246" s="182">
        <f t="shared" si="308"/>
        <v>0</v>
      </c>
      <c r="W246" s="182">
        <f t="shared" si="314"/>
        <v>0</v>
      </c>
      <c r="X246" s="182">
        <f t="shared" si="320"/>
        <v>0</v>
      </c>
      <c r="Y246" s="182">
        <f t="shared" si="325"/>
        <v>0</v>
      </c>
      <c r="Z246" s="182">
        <f t="shared" si="330"/>
        <v>0</v>
      </c>
      <c r="AA246" s="182">
        <f t="shared" si="335"/>
        <v>0</v>
      </c>
      <c r="AB246" s="182">
        <f t="shared" si="340"/>
        <v>0</v>
      </c>
      <c r="AC246" s="182">
        <f t="shared" si="345"/>
        <v>0</v>
      </c>
      <c r="AD246" s="182">
        <f t="shared" si="350"/>
        <v>0</v>
      </c>
      <c r="AE246" s="182">
        <f t="shared" si="355"/>
        <v>0</v>
      </c>
      <c r="AF246" s="182">
        <f t="shared" si="360"/>
        <v>0</v>
      </c>
      <c r="AG246" s="182">
        <f t="shared" si="365"/>
        <v>0</v>
      </c>
      <c r="AH246" s="182">
        <f t="shared" si="370"/>
        <v>0</v>
      </c>
      <c r="AI246" s="182">
        <f t="shared" si="375"/>
        <v>0</v>
      </c>
      <c r="AJ246" s="182">
        <f t="shared" si="381"/>
        <v>0</v>
      </c>
      <c r="AK246" s="182">
        <f t="shared" si="387"/>
        <v>0</v>
      </c>
      <c r="AL246" s="182">
        <f t="shared" si="393"/>
        <v>0</v>
      </c>
      <c r="AM246" s="182">
        <f t="shared" si="399"/>
        <v>0</v>
      </c>
      <c r="AN246" s="182">
        <f t="shared" si="405"/>
        <v>0</v>
      </c>
      <c r="AO246" s="182">
        <f t="shared" ref="AO246:AO277" si="411">AO79*AO$168</f>
        <v>0</v>
      </c>
      <c r="AP246" s="182">
        <f t="shared" si="237"/>
        <v>0</v>
      </c>
      <c r="AQ246" s="182">
        <f t="shared" si="243"/>
        <v>0</v>
      </c>
      <c r="AR246" s="182">
        <f t="shared" si="249"/>
        <v>0</v>
      </c>
      <c r="AS246" s="182">
        <f t="shared" si="255"/>
        <v>0</v>
      </c>
      <c r="AT246" s="182">
        <f t="shared" si="261"/>
        <v>0</v>
      </c>
      <c r="AU246" s="182">
        <f t="shared" si="267"/>
        <v>0</v>
      </c>
      <c r="AV246" s="182">
        <f t="shared" si="273"/>
        <v>0</v>
      </c>
      <c r="AW246" s="182">
        <f t="shared" si="279"/>
        <v>0</v>
      </c>
      <c r="AX246" s="182">
        <f t="shared" si="285"/>
        <v>0</v>
      </c>
      <c r="AY246" s="182">
        <f t="shared" si="291"/>
        <v>0</v>
      </c>
      <c r="AZ246" s="182">
        <f t="shared" si="297"/>
        <v>0</v>
      </c>
      <c r="BA246" s="182">
        <f t="shared" si="303"/>
        <v>0</v>
      </c>
      <c r="BB246" s="182">
        <f t="shared" si="309"/>
        <v>0</v>
      </c>
      <c r="BC246" s="182">
        <f t="shared" si="315"/>
        <v>0</v>
      </c>
      <c r="BD246" s="182">
        <f t="shared" si="321"/>
        <v>0</v>
      </c>
      <c r="BE246" s="182">
        <f t="shared" si="326"/>
        <v>0</v>
      </c>
      <c r="BF246" s="182">
        <f t="shared" si="331"/>
        <v>0</v>
      </c>
      <c r="BG246" s="182">
        <f t="shared" si="336"/>
        <v>0</v>
      </c>
      <c r="BH246" s="182">
        <f t="shared" si="341"/>
        <v>0</v>
      </c>
      <c r="BI246" s="182">
        <f t="shared" si="346"/>
        <v>0</v>
      </c>
      <c r="BJ246" s="182">
        <f t="shared" si="351"/>
        <v>0</v>
      </c>
      <c r="BK246" s="182">
        <f t="shared" si="356"/>
        <v>0</v>
      </c>
      <c r="BL246" s="182">
        <f t="shared" si="361"/>
        <v>0</v>
      </c>
      <c r="BM246" s="182">
        <f t="shared" si="366"/>
        <v>0</v>
      </c>
      <c r="BN246" s="182">
        <f t="shared" si="371"/>
        <v>0</v>
      </c>
      <c r="BO246" s="182">
        <f t="shared" si="376"/>
        <v>0</v>
      </c>
      <c r="BP246" s="182">
        <f t="shared" si="382"/>
        <v>0</v>
      </c>
      <c r="BQ246" s="182">
        <f t="shared" si="388"/>
        <v>0</v>
      </c>
      <c r="BR246" s="182">
        <f t="shared" si="394"/>
        <v>0</v>
      </c>
      <c r="BS246" s="182">
        <f t="shared" si="400"/>
        <v>0</v>
      </c>
      <c r="BT246" s="182">
        <f t="shared" si="406"/>
        <v>0</v>
      </c>
      <c r="BU246" s="182">
        <f t="shared" ref="BU246:BU277" si="412">BU79*BU$168</f>
        <v>0</v>
      </c>
      <c r="BV246" s="181">
        <f>$C246+SUM($D246:BU246,BW246:$FB246)-SUM(BV$176:BV245,BV247:BV$330)-BV$331</f>
        <v>0</v>
      </c>
      <c r="BW246" s="176">
        <f t="shared" ref="BW246:DB246" si="413">BW79*BW$168</f>
        <v>0</v>
      </c>
      <c r="BX246" s="176">
        <f t="shared" si="413"/>
        <v>0</v>
      </c>
      <c r="BY246" s="176">
        <f t="shared" si="413"/>
        <v>0</v>
      </c>
      <c r="BZ246" s="176">
        <f t="shared" si="413"/>
        <v>0</v>
      </c>
      <c r="CA246" s="176">
        <f t="shared" si="413"/>
        <v>0</v>
      </c>
      <c r="CB246" s="176">
        <f t="shared" si="413"/>
        <v>0</v>
      </c>
      <c r="CC246" s="176">
        <f t="shared" si="413"/>
        <v>0</v>
      </c>
      <c r="CD246" s="176">
        <f t="shared" si="413"/>
        <v>0</v>
      </c>
      <c r="CE246" s="176">
        <f t="shared" si="413"/>
        <v>0</v>
      </c>
      <c r="CF246" s="176">
        <f t="shared" si="413"/>
        <v>0</v>
      </c>
      <c r="CG246" s="176">
        <f t="shared" si="413"/>
        <v>0</v>
      </c>
      <c r="CH246" s="176">
        <f t="shared" si="413"/>
        <v>0</v>
      </c>
      <c r="CI246" s="176">
        <f t="shared" si="413"/>
        <v>0</v>
      </c>
      <c r="CJ246" s="176">
        <f t="shared" si="413"/>
        <v>0</v>
      </c>
      <c r="CK246" s="176">
        <f t="shared" si="413"/>
        <v>0</v>
      </c>
      <c r="CL246" s="176">
        <f t="shared" si="413"/>
        <v>0</v>
      </c>
      <c r="CM246" s="176">
        <f t="shared" si="413"/>
        <v>0</v>
      </c>
      <c r="CN246" s="176">
        <f t="shared" si="413"/>
        <v>0</v>
      </c>
      <c r="CO246" s="176">
        <f t="shared" si="413"/>
        <v>0</v>
      </c>
      <c r="CP246" s="176">
        <f t="shared" si="413"/>
        <v>0</v>
      </c>
      <c r="CQ246" s="176">
        <f t="shared" si="413"/>
        <v>0</v>
      </c>
      <c r="CR246" s="176">
        <f t="shared" si="413"/>
        <v>0</v>
      </c>
      <c r="CS246" s="176">
        <f t="shared" si="413"/>
        <v>0</v>
      </c>
      <c r="CT246" s="176">
        <f t="shared" si="413"/>
        <v>0</v>
      </c>
      <c r="CU246" s="176">
        <f t="shared" si="413"/>
        <v>0</v>
      </c>
      <c r="CV246" s="176">
        <f t="shared" si="413"/>
        <v>0</v>
      </c>
      <c r="CW246" s="176">
        <f t="shared" si="413"/>
        <v>0</v>
      </c>
      <c r="CX246" s="176">
        <f t="shared" si="413"/>
        <v>0</v>
      </c>
      <c r="CY246" s="176">
        <f t="shared" si="413"/>
        <v>0</v>
      </c>
      <c r="CZ246" s="176">
        <f t="shared" si="413"/>
        <v>0</v>
      </c>
      <c r="DA246" s="176">
        <f t="shared" si="413"/>
        <v>0</v>
      </c>
      <c r="DB246" s="176">
        <f t="shared" si="413"/>
        <v>0</v>
      </c>
      <c r="DC246" s="176">
        <f t="shared" ref="DC246:EH246" si="414">DC79*DC$168</f>
        <v>0</v>
      </c>
      <c r="DD246" s="176">
        <f t="shared" si="414"/>
        <v>0</v>
      </c>
      <c r="DE246" s="176">
        <f t="shared" si="414"/>
        <v>0</v>
      </c>
      <c r="DF246" s="176">
        <f t="shared" si="414"/>
        <v>0</v>
      </c>
      <c r="DG246" s="176">
        <f t="shared" si="414"/>
        <v>0</v>
      </c>
      <c r="DH246" s="176">
        <f t="shared" si="414"/>
        <v>0</v>
      </c>
      <c r="DI246" s="176">
        <f t="shared" si="414"/>
        <v>0</v>
      </c>
      <c r="DJ246" s="176">
        <f t="shared" si="414"/>
        <v>0</v>
      </c>
      <c r="DK246" s="176">
        <f t="shared" si="414"/>
        <v>0</v>
      </c>
      <c r="DL246" s="176">
        <f t="shared" si="414"/>
        <v>0</v>
      </c>
      <c r="DM246" s="176">
        <f t="shared" si="414"/>
        <v>0</v>
      </c>
      <c r="DN246" s="176">
        <f t="shared" si="414"/>
        <v>0</v>
      </c>
      <c r="DO246" s="176">
        <f t="shared" si="414"/>
        <v>0</v>
      </c>
      <c r="DP246" s="176">
        <f t="shared" si="414"/>
        <v>0</v>
      </c>
      <c r="DQ246" s="176">
        <f t="shared" si="414"/>
        <v>0</v>
      </c>
      <c r="DR246" s="176">
        <f t="shared" si="414"/>
        <v>0</v>
      </c>
      <c r="DS246" s="176">
        <f t="shared" si="414"/>
        <v>0</v>
      </c>
      <c r="DT246" s="176">
        <f t="shared" si="414"/>
        <v>0</v>
      </c>
      <c r="DU246" s="176">
        <f t="shared" si="414"/>
        <v>0</v>
      </c>
      <c r="DV246" s="176">
        <f t="shared" si="414"/>
        <v>0</v>
      </c>
      <c r="DW246" s="176">
        <f t="shared" si="414"/>
        <v>0</v>
      </c>
      <c r="DX246" s="176">
        <f t="shared" si="414"/>
        <v>0</v>
      </c>
      <c r="DY246" s="176">
        <f t="shared" si="414"/>
        <v>0</v>
      </c>
      <c r="DZ246" s="176">
        <f t="shared" si="414"/>
        <v>0</v>
      </c>
      <c r="EA246" s="176">
        <f t="shared" si="414"/>
        <v>0</v>
      </c>
      <c r="EB246" s="176">
        <f t="shared" si="414"/>
        <v>0</v>
      </c>
      <c r="EC246" s="176">
        <f t="shared" si="414"/>
        <v>0</v>
      </c>
      <c r="ED246" s="176">
        <f t="shared" si="414"/>
        <v>0</v>
      </c>
      <c r="EE246" s="176">
        <f t="shared" si="414"/>
        <v>0</v>
      </c>
      <c r="EF246" s="182">
        <f t="shared" si="414"/>
        <v>0</v>
      </c>
      <c r="EG246" s="182">
        <f t="shared" si="414"/>
        <v>0</v>
      </c>
      <c r="EH246" s="182">
        <f t="shared" si="414"/>
        <v>0</v>
      </c>
      <c r="EI246" s="182">
        <f t="shared" ref="EI246:FB246" si="415">EI79*EI$168</f>
        <v>0</v>
      </c>
      <c r="EJ246" s="182">
        <f t="shared" si="415"/>
        <v>0</v>
      </c>
      <c r="EK246" s="182">
        <f t="shared" si="415"/>
        <v>0</v>
      </c>
      <c r="EL246" s="182">
        <f t="shared" si="415"/>
        <v>0</v>
      </c>
      <c r="EM246" s="182">
        <f t="shared" si="415"/>
        <v>0</v>
      </c>
      <c r="EN246" s="182">
        <f t="shared" si="415"/>
        <v>0</v>
      </c>
      <c r="EO246" s="182">
        <f t="shared" si="415"/>
        <v>0</v>
      </c>
      <c r="EP246" s="182">
        <f t="shared" si="415"/>
        <v>0</v>
      </c>
      <c r="EQ246" s="182">
        <f t="shared" si="415"/>
        <v>0</v>
      </c>
      <c r="ER246" s="182">
        <f t="shared" si="415"/>
        <v>0</v>
      </c>
      <c r="ES246" s="182">
        <f t="shared" si="415"/>
        <v>0</v>
      </c>
      <c r="ET246" s="182">
        <f t="shared" si="415"/>
        <v>0</v>
      </c>
      <c r="EU246" s="182">
        <f t="shared" si="415"/>
        <v>0</v>
      </c>
      <c r="EV246" s="182">
        <f t="shared" si="415"/>
        <v>0</v>
      </c>
      <c r="EW246" s="182">
        <f t="shared" si="415"/>
        <v>0</v>
      </c>
      <c r="EX246" s="182">
        <f t="shared" si="415"/>
        <v>0</v>
      </c>
      <c r="EY246" s="182">
        <f t="shared" si="415"/>
        <v>0</v>
      </c>
      <c r="EZ246" s="182">
        <f t="shared" si="415"/>
        <v>0</v>
      </c>
      <c r="FA246" s="182">
        <f t="shared" si="415"/>
        <v>0</v>
      </c>
      <c r="FB246" s="183">
        <f t="shared" si="415"/>
        <v>0</v>
      </c>
    </row>
    <row r="247" spans="2:158" ht="12.75" customHeight="1" x14ac:dyDescent="0.3">
      <c r="B247" s="199" t="s">
        <v>3890</v>
      </c>
      <c r="C247" s="193">
        <v>0</v>
      </c>
      <c r="D247" s="182">
        <f t="shared" si="380"/>
        <v>0</v>
      </c>
      <c r="E247" s="182">
        <f t="shared" si="386"/>
        <v>0</v>
      </c>
      <c r="F247" s="182">
        <f t="shared" si="392"/>
        <v>0</v>
      </c>
      <c r="G247" s="182">
        <f t="shared" si="398"/>
        <v>0</v>
      </c>
      <c r="H247" s="182">
        <f t="shared" si="404"/>
        <v>0</v>
      </c>
      <c r="I247" s="176">
        <f t="shared" si="410"/>
        <v>0</v>
      </c>
      <c r="J247" s="182">
        <f t="shared" ref="J247:J278" si="416">J80*J$168</f>
        <v>0</v>
      </c>
      <c r="K247" s="182">
        <f t="shared" si="242"/>
        <v>0</v>
      </c>
      <c r="L247" s="182">
        <f t="shared" si="248"/>
        <v>0</v>
      </c>
      <c r="M247" s="182">
        <f t="shared" si="254"/>
        <v>0</v>
      </c>
      <c r="N247" s="182">
        <f t="shared" si="260"/>
        <v>0</v>
      </c>
      <c r="O247" s="182">
        <f t="shared" si="266"/>
        <v>0</v>
      </c>
      <c r="P247" s="182">
        <f t="shared" si="272"/>
        <v>0</v>
      </c>
      <c r="Q247" s="182">
        <f t="shared" si="278"/>
        <v>0</v>
      </c>
      <c r="R247" s="182">
        <f t="shared" si="284"/>
        <v>0</v>
      </c>
      <c r="S247" s="182">
        <f t="shared" si="290"/>
        <v>0</v>
      </c>
      <c r="T247" s="182">
        <f t="shared" si="296"/>
        <v>0</v>
      </c>
      <c r="U247" s="182">
        <f t="shared" si="302"/>
        <v>0</v>
      </c>
      <c r="V247" s="182">
        <f t="shared" si="308"/>
        <v>0</v>
      </c>
      <c r="W247" s="182">
        <f t="shared" si="314"/>
        <v>0</v>
      </c>
      <c r="X247" s="182">
        <f t="shared" si="320"/>
        <v>0</v>
      </c>
      <c r="Y247" s="182">
        <f t="shared" si="325"/>
        <v>0</v>
      </c>
      <c r="Z247" s="182">
        <f t="shared" si="330"/>
        <v>0</v>
      </c>
      <c r="AA247" s="182">
        <f t="shared" si="335"/>
        <v>0</v>
      </c>
      <c r="AB247" s="182">
        <f t="shared" si="340"/>
        <v>0</v>
      </c>
      <c r="AC247" s="182">
        <f t="shared" si="345"/>
        <v>0</v>
      </c>
      <c r="AD247" s="182">
        <f t="shared" si="350"/>
        <v>0</v>
      </c>
      <c r="AE247" s="182">
        <f t="shared" si="355"/>
        <v>0</v>
      </c>
      <c r="AF247" s="182">
        <f t="shared" si="360"/>
        <v>0</v>
      </c>
      <c r="AG247" s="182">
        <f t="shared" si="365"/>
        <v>0</v>
      </c>
      <c r="AH247" s="182">
        <f t="shared" si="370"/>
        <v>0</v>
      </c>
      <c r="AI247" s="182">
        <f t="shared" si="375"/>
        <v>0</v>
      </c>
      <c r="AJ247" s="182">
        <f t="shared" si="381"/>
        <v>0</v>
      </c>
      <c r="AK247" s="182">
        <f t="shared" si="387"/>
        <v>0</v>
      </c>
      <c r="AL247" s="182">
        <f t="shared" si="393"/>
        <v>0</v>
      </c>
      <c r="AM247" s="182">
        <f t="shared" si="399"/>
        <v>0</v>
      </c>
      <c r="AN247" s="182">
        <f t="shared" si="405"/>
        <v>0</v>
      </c>
      <c r="AO247" s="182">
        <f t="shared" si="411"/>
        <v>0</v>
      </c>
      <c r="AP247" s="182">
        <f t="shared" ref="AP247:AP278" si="417">AP80*AP$168</f>
        <v>0</v>
      </c>
      <c r="AQ247" s="182">
        <f t="shared" si="243"/>
        <v>0</v>
      </c>
      <c r="AR247" s="182">
        <f t="shared" si="249"/>
        <v>0</v>
      </c>
      <c r="AS247" s="182">
        <f t="shared" si="255"/>
        <v>0</v>
      </c>
      <c r="AT247" s="182">
        <f t="shared" si="261"/>
        <v>0</v>
      </c>
      <c r="AU247" s="182">
        <f t="shared" si="267"/>
        <v>0</v>
      </c>
      <c r="AV247" s="182">
        <f t="shared" si="273"/>
        <v>0</v>
      </c>
      <c r="AW247" s="182">
        <f t="shared" si="279"/>
        <v>0</v>
      </c>
      <c r="AX247" s="182">
        <f t="shared" si="285"/>
        <v>0</v>
      </c>
      <c r="AY247" s="182">
        <f t="shared" si="291"/>
        <v>0</v>
      </c>
      <c r="AZ247" s="182">
        <f t="shared" si="297"/>
        <v>0</v>
      </c>
      <c r="BA247" s="182">
        <f t="shared" si="303"/>
        <v>0</v>
      </c>
      <c r="BB247" s="182">
        <f t="shared" si="309"/>
        <v>0</v>
      </c>
      <c r="BC247" s="182">
        <f t="shared" si="315"/>
        <v>0</v>
      </c>
      <c r="BD247" s="182">
        <f t="shared" si="321"/>
        <v>0</v>
      </c>
      <c r="BE247" s="182">
        <f t="shared" si="326"/>
        <v>0</v>
      </c>
      <c r="BF247" s="182">
        <f t="shared" si="331"/>
        <v>0</v>
      </c>
      <c r="BG247" s="182">
        <f t="shared" si="336"/>
        <v>0</v>
      </c>
      <c r="BH247" s="182">
        <f t="shared" si="341"/>
        <v>0</v>
      </c>
      <c r="BI247" s="182">
        <f t="shared" si="346"/>
        <v>0</v>
      </c>
      <c r="BJ247" s="182">
        <f t="shared" si="351"/>
        <v>0</v>
      </c>
      <c r="BK247" s="182">
        <f t="shared" si="356"/>
        <v>9.7763286967860451E-11</v>
      </c>
      <c r="BL247" s="182">
        <f t="shared" si="361"/>
        <v>0</v>
      </c>
      <c r="BM247" s="182">
        <f t="shared" si="366"/>
        <v>0</v>
      </c>
      <c r="BN247" s="182">
        <f t="shared" si="371"/>
        <v>0</v>
      </c>
      <c r="BO247" s="182">
        <f t="shared" si="376"/>
        <v>0</v>
      </c>
      <c r="BP247" s="182">
        <f t="shared" si="382"/>
        <v>0</v>
      </c>
      <c r="BQ247" s="182">
        <f t="shared" si="388"/>
        <v>0</v>
      </c>
      <c r="BR247" s="182">
        <f t="shared" si="394"/>
        <v>0</v>
      </c>
      <c r="BS247" s="182">
        <f t="shared" si="400"/>
        <v>0</v>
      </c>
      <c r="BT247" s="182">
        <f t="shared" si="406"/>
        <v>0</v>
      </c>
      <c r="BU247" s="182">
        <f t="shared" si="412"/>
        <v>0</v>
      </c>
      <c r="BV247" s="182">
        <f t="shared" ref="BV247:BV278" si="418">BV80*BV$168</f>
        <v>0</v>
      </c>
      <c r="BW247" s="181">
        <f>$C247+SUM($D247:BV247,BX247:$FB247)-SUM(BW$176:BW246,BW248:BW$330)-BW$331</f>
        <v>1.0737721959859709E-26</v>
      </c>
      <c r="BX247" s="176">
        <f t="shared" ref="BX247:DC247" si="419">BX80*BX$168</f>
        <v>0</v>
      </c>
      <c r="BY247" s="176">
        <f t="shared" si="419"/>
        <v>0</v>
      </c>
      <c r="BZ247" s="176">
        <f t="shared" si="419"/>
        <v>0</v>
      </c>
      <c r="CA247" s="176">
        <f t="shared" si="419"/>
        <v>0</v>
      </c>
      <c r="CB247" s="176">
        <f t="shared" si="419"/>
        <v>0</v>
      </c>
      <c r="CC247" s="176">
        <f t="shared" si="419"/>
        <v>0</v>
      </c>
      <c r="CD247" s="176">
        <f t="shared" si="419"/>
        <v>0</v>
      </c>
      <c r="CE247" s="176">
        <f t="shared" si="419"/>
        <v>0</v>
      </c>
      <c r="CF247" s="176">
        <f t="shared" si="419"/>
        <v>0</v>
      </c>
      <c r="CG247" s="176">
        <f t="shared" si="419"/>
        <v>0</v>
      </c>
      <c r="CH247" s="176">
        <f t="shared" si="419"/>
        <v>0</v>
      </c>
      <c r="CI247" s="176">
        <f t="shared" si="419"/>
        <v>0</v>
      </c>
      <c r="CJ247" s="176">
        <f t="shared" si="419"/>
        <v>0</v>
      </c>
      <c r="CK247" s="176">
        <f t="shared" si="419"/>
        <v>0</v>
      </c>
      <c r="CL247" s="176">
        <f t="shared" si="419"/>
        <v>0</v>
      </c>
      <c r="CM247" s="176">
        <f t="shared" si="419"/>
        <v>0</v>
      </c>
      <c r="CN247" s="176">
        <f t="shared" si="419"/>
        <v>0</v>
      </c>
      <c r="CO247" s="176">
        <f t="shared" si="419"/>
        <v>0</v>
      </c>
      <c r="CP247" s="176">
        <f t="shared" si="419"/>
        <v>0</v>
      </c>
      <c r="CQ247" s="176">
        <f t="shared" si="419"/>
        <v>0</v>
      </c>
      <c r="CR247" s="176">
        <f t="shared" si="419"/>
        <v>0</v>
      </c>
      <c r="CS247" s="176">
        <f t="shared" si="419"/>
        <v>0</v>
      </c>
      <c r="CT247" s="176">
        <f t="shared" si="419"/>
        <v>0</v>
      </c>
      <c r="CU247" s="176">
        <f t="shared" si="419"/>
        <v>0</v>
      </c>
      <c r="CV247" s="176">
        <f t="shared" si="419"/>
        <v>0</v>
      </c>
      <c r="CW247" s="176">
        <f t="shared" si="419"/>
        <v>0</v>
      </c>
      <c r="CX247" s="176">
        <f t="shared" si="419"/>
        <v>0</v>
      </c>
      <c r="CY247" s="176">
        <f t="shared" si="419"/>
        <v>0</v>
      </c>
      <c r="CZ247" s="176">
        <f t="shared" si="419"/>
        <v>0</v>
      </c>
      <c r="DA247" s="176">
        <f t="shared" si="419"/>
        <v>0</v>
      </c>
      <c r="DB247" s="176">
        <f t="shared" si="419"/>
        <v>0</v>
      </c>
      <c r="DC247" s="176">
        <f t="shared" si="419"/>
        <v>0</v>
      </c>
      <c r="DD247" s="176">
        <f t="shared" ref="DD247:EI247" si="420">DD80*DD$168</f>
        <v>0</v>
      </c>
      <c r="DE247" s="176">
        <f t="shared" si="420"/>
        <v>0</v>
      </c>
      <c r="DF247" s="176">
        <f t="shared" si="420"/>
        <v>0</v>
      </c>
      <c r="DG247" s="176">
        <f t="shared" si="420"/>
        <v>0</v>
      </c>
      <c r="DH247" s="176">
        <f t="shared" si="420"/>
        <v>0</v>
      </c>
      <c r="DI247" s="176">
        <f t="shared" si="420"/>
        <v>0</v>
      </c>
      <c r="DJ247" s="176">
        <f t="shared" si="420"/>
        <v>0</v>
      </c>
      <c r="DK247" s="176">
        <f t="shared" si="420"/>
        <v>0</v>
      </c>
      <c r="DL247" s="176">
        <f t="shared" si="420"/>
        <v>0</v>
      </c>
      <c r="DM247" s="176">
        <f t="shared" si="420"/>
        <v>0</v>
      </c>
      <c r="DN247" s="176">
        <f t="shared" si="420"/>
        <v>0</v>
      </c>
      <c r="DO247" s="176">
        <f t="shared" si="420"/>
        <v>0</v>
      </c>
      <c r="DP247" s="176">
        <f t="shared" si="420"/>
        <v>0</v>
      </c>
      <c r="DQ247" s="176">
        <f t="shared" si="420"/>
        <v>0</v>
      </c>
      <c r="DR247" s="176">
        <f t="shared" si="420"/>
        <v>0</v>
      </c>
      <c r="DS247" s="176">
        <f t="shared" si="420"/>
        <v>0</v>
      </c>
      <c r="DT247" s="176">
        <f t="shared" si="420"/>
        <v>0</v>
      </c>
      <c r="DU247" s="176">
        <f t="shared" si="420"/>
        <v>0</v>
      </c>
      <c r="DV247" s="176">
        <f t="shared" si="420"/>
        <v>0</v>
      </c>
      <c r="DW247" s="176">
        <f t="shared" si="420"/>
        <v>0</v>
      </c>
      <c r="DX247" s="176">
        <f t="shared" si="420"/>
        <v>0</v>
      </c>
      <c r="DY247" s="176">
        <f t="shared" si="420"/>
        <v>0</v>
      </c>
      <c r="DZ247" s="176">
        <f t="shared" si="420"/>
        <v>0</v>
      </c>
      <c r="EA247" s="176">
        <f t="shared" si="420"/>
        <v>0</v>
      </c>
      <c r="EB247" s="176">
        <f t="shared" si="420"/>
        <v>0</v>
      </c>
      <c r="EC247" s="176">
        <f t="shared" si="420"/>
        <v>0</v>
      </c>
      <c r="ED247" s="176">
        <f t="shared" si="420"/>
        <v>0</v>
      </c>
      <c r="EE247" s="176">
        <f t="shared" si="420"/>
        <v>0</v>
      </c>
      <c r="EF247" s="182">
        <f t="shared" si="420"/>
        <v>0</v>
      </c>
      <c r="EG247" s="182">
        <f t="shared" si="420"/>
        <v>0</v>
      </c>
      <c r="EH247" s="182">
        <f t="shared" si="420"/>
        <v>0</v>
      </c>
      <c r="EI247" s="182">
        <f t="shared" si="420"/>
        <v>0</v>
      </c>
      <c r="EJ247" s="182">
        <f t="shared" ref="EJ247:FB247" si="421">EJ80*EJ$168</f>
        <v>0</v>
      </c>
      <c r="EK247" s="182">
        <f t="shared" si="421"/>
        <v>0</v>
      </c>
      <c r="EL247" s="182">
        <f t="shared" si="421"/>
        <v>0</v>
      </c>
      <c r="EM247" s="182">
        <f t="shared" si="421"/>
        <v>0</v>
      </c>
      <c r="EN247" s="182">
        <f t="shared" si="421"/>
        <v>0</v>
      </c>
      <c r="EO247" s="182">
        <f t="shared" si="421"/>
        <v>0</v>
      </c>
      <c r="EP247" s="182">
        <f t="shared" si="421"/>
        <v>0</v>
      </c>
      <c r="EQ247" s="182">
        <f t="shared" si="421"/>
        <v>0</v>
      </c>
      <c r="ER247" s="182">
        <f t="shared" si="421"/>
        <v>0</v>
      </c>
      <c r="ES247" s="182">
        <f t="shared" si="421"/>
        <v>0</v>
      </c>
      <c r="ET247" s="182">
        <f t="shared" si="421"/>
        <v>0</v>
      </c>
      <c r="EU247" s="182">
        <f t="shared" si="421"/>
        <v>0</v>
      </c>
      <c r="EV247" s="182">
        <f t="shared" si="421"/>
        <v>0</v>
      </c>
      <c r="EW247" s="182">
        <f t="shared" si="421"/>
        <v>0</v>
      </c>
      <c r="EX247" s="182">
        <f t="shared" si="421"/>
        <v>0</v>
      </c>
      <c r="EY247" s="182">
        <f t="shared" si="421"/>
        <v>0</v>
      </c>
      <c r="EZ247" s="182">
        <f t="shared" si="421"/>
        <v>0</v>
      </c>
      <c r="FA247" s="182">
        <f t="shared" si="421"/>
        <v>0</v>
      </c>
      <c r="FB247" s="183">
        <f t="shared" si="421"/>
        <v>0</v>
      </c>
    </row>
    <row r="248" spans="2:158" ht="12.75" customHeight="1" x14ac:dyDescent="0.3">
      <c r="B248" s="199" t="s">
        <v>3891</v>
      </c>
      <c r="C248" s="193">
        <v>0</v>
      </c>
      <c r="D248" s="182">
        <f t="shared" si="380"/>
        <v>0</v>
      </c>
      <c r="E248" s="182">
        <f t="shared" si="386"/>
        <v>0</v>
      </c>
      <c r="F248" s="182">
        <f t="shared" si="392"/>
        <v>0</v>
      </c>
      <c r="G248" s="182">
        <f t="shared" si="398"/>
        <v>0</v>
      </c>
      <c r="H248" s="182">
        <f t="shared" si="404"/>
        <v>0</v>
      </c>
      <c r="I248" s="176">
        <f t="shared" si="410"/>
        <v>0</v>
      </c>
      <c r="J248" s="182">
        <f t="shared" si="416"/>
        <v>0</v>
      </c>
      <c r="K248" s="182">
        <f t="shared" ref="K248:K279" si="422">K81*K$168</f>
        <v>0</v>
      </c>
      <c r="L248" s="182">
        <f t="shared" si="248"/>
        <v>0</v>
      </c>
      <c r="M248" s="182">
        <f t="shared" si="254"/>
        <v>0</v>
      </c>
      <c r="N248" s="182">
        <f t="shared" si="260"/>
        <v>0</v>
      </c>
      <c r="O248" s="182">
        <f t="shared" si="266"/>
        <v>0</v>
      </c>
      <c r="P248" s="182">
        <f t="shared" si="272"/>
        <v>0</v>
      </c>
      <c r="Q248" s="182">
        <f t="shared" si="278"/>
        <v>0</v>
      </c>
      <c r="R248" s="182">
        <f t="shared" si="284"/>
        <v>0</v>
      </c>
      <c r="S248" s="182">
        <f t="shared" si="290"/>
        <v>0</v>
      </c>
      <c r="T248" s="182">
        <f t="shared" si="296"/>
        <v>0</v>
      </c>
      <c r="U248" s="182">
        <f t="shared" si="302"/>
        <v>0</v>
      </c>
      <c r="V248" s="182">
        <f t="shared" si="308"/>
        <v>0</v>
      </c>
      <c r="W248" s="182">
        <f t="shared" si="314"/>
        <v>0</v>
      </c>
      <c r="X248" s="182">
        <f t="shared" si="320"/>
        <v>0</v>
      </c>
      <c r="Y248" s="182">
        <f t="shared" si="325"/>
        <v>0</v>
      </c>
      <c r="Z248" s="182">
        <f t="shared" si="330"/>
        <v>0</v>
      </c>
      <c r="AA248" s="182">
        <f t="shared" si="335"/>
        <v>0</v>
      </c>
      <c r="AB248" s="182">
        <f t="shared" si="340"/>
        <v>0</v>
      </c>
      <c r="AC248" s="182">
        <f t="shared" si="345"/>
        <v>0</v>
      </c>
      <c r="AD248" s="182">
        <f t="shared" si="350"/>
        <v>0</v>
      </c>
      <c r="AE248" s="182">
        <f t="shared" si="355"/>
        <v>0</v>
      </c>
      <c r="AF248" s="182">
        <f t="shared" si="360"/>
        <v>0</v>
      </c>
      <c r="AG248" s="182">
        <f t="shared" si="365"/>
        <v>0</v>
      </c>
      <c r="AH248" s="182">
        <f t="shared" si="370"/>
        <v>0</v>
      </c>
      <c r="AI248" s="182">
        <f t="shared" si="375"/>
        <v>0</v>
      </c>
      <c r="AJ248" s="182">
        <f t="shared" si="381"/>
        <v>0</v>
      </c>
      <c r="AK248" s="182">
        <f t="shared" si="387"/>
        <v>0</v>
      </c>
      <c r="AL248" s="182">
        <f t="shared" si="393"/>
        <v>0</v>
      </c>
      <c r="AM248" s="182">
        <f t="shared" si="399"/>
        <v>0</v>
      </c>
      <c r="AN248" s="182">
        <f t="shared" si="405"/>
        <v>0</v>
      </c>
      <c r="AO248" s="182">
        <f t="shared" si="411"/>
        <v>0</v>
      </c>
      <c r="AP248" s="182">
        <f t="shared" si="417"/>
        <v>0</v>
      </c>
      <c r="AQ248" s="182">
        <f t="shared" ref="AQ248:AQ279" si="423">AQ81*AQ$168</f>
        <v>0</v>
      </c>
      <c r="AR248" s="182">
        <f t="shared" si="249"/>
        <v>0</v>
      </c>
      <c r="AS248" s="182">
        <f t="shared" si="255"/>
        <v>0</v>
      </c>
      <c r="AT248" s="182">
        <f t="shared" si="261"/>
        <v>0</v>
      </c>
      <c r="AU248" s="182">
        <f t="shared" si="267"/>
        <v>0</v>
      </c>
      <c r="AV248" s="182">
        <f t="shared" si="273"/>
        <v>0</v>
      </c>
      <c r="AW248" s="182">
        <f t="shared" si="279"/>
        <v>0</v>
      </c>
      <c r="AX248" s="182">
        <f t="shared" si="285"/>
        <v>0</v>
      </c>
      <c r="AY248" s="182">
        <f t="shared" si="291"/>
        <v>0</v>
      </c>
      <c r="AZ248" s="182">
        <f t="shared" si="297"/>
        <v>0</v>
      </c>
      <c r="BA248" s="182">
        <f t="shared" si="303"/>
        <v>0</v>
      </c>
      <c r="BB248" s="182">
        <f t="shared" si="309"/>
        <v>0</v>
      </c>
      <c r="BC248" s="182">
        <f t="shared" si="315"/>
        <v>0</v>
      </c>
      <c r="BD248" s="182">
        <f t="shared" si="321"/>
        <v>0</v>
      </c>
      <c r="BE248" s="182">
        <f t="shared" si="326"/>
        <v>0</v>
      </c>
      <c r="BF248" s="182">
        <f t="shared" si="331"/>
        <v>0</v>
      </c>
      <c r="BG248" s="182">
        <f t="shared" si="336"/>
        <v>0</v>
      </c>
      <c r="BH248" s="182">
        <f t="shared" si="341"/>
        <v>0</v>
      </c>
      <c r="BI248" s="182">
        <f t="shared" si="346"/>
        <v>0</v>
      </c>
      <c r="BJ248" s="182">
        <f t="shared" si="351"/>
        <v>0</v>
      </c>
      <c r="BK248" s="182">
        <f t="shared" si="356"/>
        <v>0</v>
      </c>
      <c r="BL248" s="182">
        <f t="shared" si="361"/>
        <v>53.16784462991415</v>
      </c>
      <c r="BM248" s="182">
        <f t="shared" si="366"/>
        <v>0</v>
      </c>
      <c r="BN248" s="182">
        <f t="shared" si="371"/>
        <v>0</v>
      </c>
      <c r="BO248" s="182">
        <f t="shared" si="376"/>
        <v>0</v>
      </c>
      <c r="BP248" s="182">
        <f t="shared" si="382"/>
        <v>0</v>
      </c>
      <c r="BQ248" s="182">
        <f t="shared" si="388"/>
        <v>0</v>
      </c>
      <c r="BR248" s="182">
        <f t="shared" si="394"/>
        <v>0</v>
      </c>
      <c r="BS248" s="182">
        <f t="shared" si="400"/>
        <v>0</v>
      </c>
      <c r="BT248" s="182">
        <f t="shared" si="406"/>
        <v>0</v>
      </c>
      <c r="BU248" s="182">
        <f t="shared" si="412"/>
        <v>0</v>
      </c>
      <c r="BV248" s="182">
        <f t="shared" si="418"/>
        <v>0</v>
      </c>
      <c r="BW248" s="182">
        <f t="shared" ref="BW248:BW279" si="424">BW81*BW$168</f>
        <v>2.0881081433481713E-11</v>
      </c>
      <c r="BX248" s="181">
        <f>$C248+SUM($D248:BW248,BY248:$FB248)-SUM(BX$176:BX247,BX249:BX$330)-BX$331</f>
        <v>0</v>
      </c>
      <c r="BY248" s="176">
        <f t="shared" ref="BY248:DD248" si="425">BY81*BY$168</f>
        <v>0</v>
      </c>
      <c r="BZ248" s="176">
        <f t="shared" si="425"/>
        <v>0</v>
      </c>
      <c r="CA248" s="176">
        <f t="shared" si="425"/>
        <v>0</v>
      </c>
      <c r="CB248" s="176">
        <f t="shared" si="425"/>
        <v>0</v>
      </c>
      <c r="CC248" s="176">
        <f t="shared" si="425"/>
        <v>0</v>
      </c>
      <c r="CD248" s="176">
        <f t="shared" si="425"/>
        <v>0</v>
      </c>
      <c r="CE248" s="176">
        <f t="shared" si="425"/>
        <v>0</v>
      </c>
      <c r="CF248" s="176">
        <f t="shared" si="425"/>
        <v>0</v>
      </c>
      <c r="CG248" s="176">
        <f t="shared" si="425"/>
        <v>0</v>
      </c>
      <c r="CH248" s="176">
        <f t="shared" si="425"/>
        <v>0</v>
      </c>
      <c r="CI248" s="176">
        <f t="shared" si="425"/>
        <v>0</v>
      </c>
      <c r="CJ248" s="176">
        <f t="shared" si="425"/>
        <v>0</v>
      </c>
      <c r="CK248" s="176">
        <f t="shared" si="425"/>
        <v>0</v>
      </c>
      <c r="CL248" s="176">
        <f t="shared" si="425"/>
        <v>0</v>
      </c>
      <c r="CM248" s="176">
        <f t="shared" si="425"/>
        <v>0</v>
      </c>
      <c r="CN248" s="176">
        <f t="shared" si="425"/>
        <v>0</v>
      </c>
      <c r="CO248" s="176">
        <f t="shared" si="425"/>
        <v>0</v>
      </c>
      <c r="CP248" s="176">
        <f t="shared" si="425"/>
        <v>0</v>
      </c>
      <c r="CQ248" s="176">
        <f t="shared" si="425"/>
        <v>0</v>
      </c>
      <c r="CR248" s="176">
        <f t="shared" si="425"/>
        <v>0</v>
      </c>
      <c r="CS248" s="176">
        <f t="shared" si="425"/>
        <v>0</v>
      </c>
      <c r="CT248" s="176">
        <f t="shared" si="425"/>
        <v>0</v>
      </c>
      <c r="CU248" s="176">
        <f t="shared" si="425"/>
        <v>0</v>
      </c>
      <c r="CV248" s="176">
        <f t="shared" si="425"/>
        <v>0</v>
      </c>
      <c r="CW248" s="176">
        <f t="shared" si="425"/>
        <v>0</v>
      </c>
      <c r="CX248" s="176">
        <f t="shared" si="425"/>
        <v>0</v>
      </c>
      <c r="CY248" s="176">
        <f t="shared" si="425"/>
        <v>0</v>
      </c>
      <c r="CZ248" s="176">
        <f t="shared" si="425"/>
        <v>0</v>
      </c>
      <c r="DA248" s="176">
        <f t="shared" si="425"/>
        <v>0</v>
      </c>
      <c r="DB248" s="176">
        <f t="shared" si="425"/>
        <v>0</v>
      </c>
      <c r="DC248" s="176">
        <f t="shared" si="425"/>
        <v>0</v>
      </c>
      <c r="DD248" s="176">
        <f t="shared" si="425"/>
        <v>0</v>
      </c>
      <c r="DE248" s="176">
        <f t="shared" ref="DE248:EJ248" si="426">DE81*DE$168</f>
        <v>0</v>
      </c>
      <c r="DF248" s="176">
        <f t="shared" si="426"/>
        <v>0</v>
      </c>
      <c r="DG248" s="176">
        <f t="shared" si="426"/>
        <v>0</v>
      </c>
      <c r="DH248" s="176">
        <f t="shared" si="426"/>
        <v>0</v>
      </c>
      <c r="DI248" s="176">
        <f t="shared" si="426"/>
        <v>0</v>
      </c>
      <c r="DJ248" s="176">
        <f t="shared" si="426"/>
        <v>0</v>
      </c>
      <c r="DK248" s="176">
        <f t="shared" si="426"/>
        <v>0</v>
      </c>
      <c r="DL248" s="176">
        <f t="shared" si="426"/>
        <v>0</v>
      </c>
      <c r="DM248" s="176">
        <f t="shared" si="426"/>
        <v>0</v>
      </c>
      <c r="DN248" s="176">
        <f t="shared" si="426"/>
        <v>0</v>
      </c>
      <c r="DO248" s="176">
        <f t="shared" si="426"/>
        <v>0</v>
      </c>
      <c r="DP248" s="176">
        <f t="shared" si="426"/>
        <v>0</v>
      </c>
      <c r="DQ248" s="176">
        <f t="shared" si="426"/>
        <v>0</v>
      </c>
      <c r="DR248" s="176">
        <f t="shared" si="426"/>
        <v>0</v>
      </c>
      <c r="DS248" s="176">
        <f t="shared" si="426"/>
        <v>0</v>
      </c>
      <c r="DT248" s="176">
        <f t="shared" si="426"/>
        <v>0</v>
      </c>
      <c r="DU248" s="176">
        <f t="shared" si="426"/>
        <v>0</v>
      </c>
      <c r="DV248" s="176">
        <f t="shared" si="426"/>
        <v>0</v>
      </c>
      <c r="DW248" s="176">
        <f t="shared" si="426"/>
        <v>0</v>
      </c>
      <c r="DX248" s="176">
        <f t="shared" si="426"/>
        <v>0</v>
      </c>
      <c r="DY248" s="176">
        <f t="shared" si="426"/>
        <v>0</v>
      </c>
      <c r="DZ248" s="176">
        <f t="shared" si="426"/>
        <v>0</v>
      </c>
      <c r="EA248" s="176">
        <f t="shared" si="426"/>
        <v>0</v>
      </c>
      <c r="EB248" s="176">
        <f t="shared" si="426"/>
        <v>0</v>
      </c>
      <c r="EC248" s="176">
        <f t="shared" si="426"/>
        <v>0</v>
      </c>
      <c r="ED248" s="176">
        <f t="shared" si="426"/>
        <v>0</v>
      </c>
      <c r="EE248" s="176">
        <f t="shared" si="426"/>
        <v>0</v>
      </c>
      <c r="EF248" s="182">
        <f t="shared" si="426"/>
        <v>0</v>
      </c>
      <c r="EG248" s="182">
        <f t="shared" si="426"/>
        <v>0</v>
      </c>
      <c r="EH248" s="182">
        <f t="shared" si="426"/>
        <v>0</v>
      </c>
      <c r="EI248" s="182">
        <f t="shared" si="426"/>
        <v>0</v>
      </c>
      <c r="EJ248" s="182">
        <f t="shared" si="426"/>
        <v>0</v>
      </c>
      <c r="EK248" s="182">
        <f t="shared" ref="EK248:FB248" si="427">EK81*EK$168</f>
        <v>0</v>
      </c>
      <c r="EL248" s="182">
        <f t="shared" si="427"/>
        <v>0</v>
      </c>
      <c r="EM248" s="182">
        <f t="shared" si="427"/>
        <v>0</v>
      </c>
      <c r="EN248" s="182">
        <f t="shared" si="427"/>
        <v>0</v>
      </c>
      <c r="EO248" s="182">
        <f t="shared" si="427"/>
        <v>0</v>
      </c>
      <c r="EP248" s="182">
        <f t="shared" si="427"/>
        <v>0</v>
      </c>
      <c r="EQ248" s="182">
        <f t="shared" si="427"/>
        <v>0</v>
      </c>
      <c r="ER248" s="182">
        <f t="shared" si="427"/>
        <v>0</v>
      </c>
      <c r="ES248" s="182">
        <f t="shared" si="427"/>
        <v>0</v>
      </c>
      <c r="ET248" s="182">
        <f t="shared" si="427"/>
        <v>0</v>
      </c>
      <c r="EU248" s="182">
        <f t="shared" si="427"/>
        <v>0</v>
      </c>
      <c r="EV248" s="182">
        <f t="shared" si="427"/>
        <v>0</v>
      </c>
      <c r="EW248" s="182">
        <f t="shared" si="427"/>
        <v>0</v>
      </c>
      <c r="EX248" s="182">
        <f t="shared" si="427"/>
        <v>0</v>
      </c>
      <c r="EY248" s="182">
        <f t="shared" si="427"/>
        <v>0</v>
      </c>
      <c r="EZ248" s="182">
        <f t="shared" si="427"/>
        <v>0</v>
      </c>
      <c r="FA248" s="182">
        <f t="shared" si="427"/>
        <v>0</v>
      </c>
      <c r="FB248" s="183">
        <f t="shared" si="427"/>
        <v>0</v>
      </c>
    </row>
    <row r="249" spans="2:158" ht="12.75" customHeight="1" x14ac:dyDescent="0.3">
      <c r="B249" s="199" t="s">
        <v>3892</v>
      </c>
      <c r="C249" s="193">
        <v>0</v>
      </c>
      <c r="D249" s="182">
        <f t="shared" si="380"/>
        <v>0</v>
      </c>
      <c r="E249" s="182">
        <f t="shared" si="386"/>
        <v>0</v>
      </c>
      <c r="F249" s="182">
        <f t="shared" si="392"/>
        <v>0</v>
      </c>
      <c r="G249" s="182">
        <f t="shared" si="398"/>
        <v>0</v>
      </c>
      <c r="H249" s="182">
        <f t="shared" si="404"/>
        <v>0</v>
      </c>
      <c r="I249" s="176">
        <f t="shared" si="410"/>
        <v>0</v>
      </c>
      <c r="J249" s="182">
        <f t="shared" si="416"/>
        <v>0</v>
      </c>
      <c r="K249" s="182">
        <f t="shared" si="422"/>
        <v>0</v>
      </c>
      <c r="L249" s="182">
        <f t="shared" ref="L249:L280" si="428">L82*L$168</f>
        <v>0</v>
      </c>
      <c r="M249" s="182">
        <f t="shared" si="254"/>
        <v>0</v>
      </c>
      <c r="N249" s="182">
        <f t="shared" si="260"/>
        <v>0</v>
      </c>
      <c r="O249" s="182">
        <f t="shared" si="266"/>
        <v>0</v>
      </c>
      <c r="P249" s="182">
        <f t="shared" si="272"/>
        <v>0</v>
      </c>
      <c r="Q249" s="182">
        <f t="shared" si="278"/>
        <v>0</v>
      </c>
      <c r="R249" s="182">
        <f t="shared" si="284"/>
        <v>0</v>
      </c>
      <c r="S249" s="182">
        <f t="shared" si="290"/>
        <v>0</v>
      </c>
      <c r="T249" s="182">
        <f t="shared" si="296"/>
        <v>0</v>
      </c>
      <c r="U249" s="182">
        <f t="shared" si="302"/>
        <v>0</v>
      </c>
      <c r="V249" s="182">
        <f t="shared" si="308"/>
        <v>0</v>
      </c>
      <c r="W249" s="182">
        <f t="shared" si="314"/>
        <v>0</v>
      </c>
      <c r="X249" s="182">
        <f t="shared" si="320"/>
        <v>0</v>
      </c>
      <c r="Y249" s="182">
        <f t="shared" si="325"/>
        <v>0</v>
      </c>
      <c r="Z249" s="182">
        <f t="shared" si="330"/>
        <v>0</v>
      </c>
      <c r="AA249" s="182">
        <f t="shared" si="335"/>
        <v>0</v>
      </c>
      <c r="AB249" s="182">
        <f t="shared" si="340"/>
        <v>0</v>
      </c>
      <c r="AC249" s="182">
        <f t="shared" si="345"/>
        <v>0</v>
      </c>
      <c r="AD249" s="182">
        <f t="shared" si="350"/>
        <v>0</v>
      </c>
      <c r="AE249" s="182">
        <f t="shared" si="355"/>
        <v>0</v>
      </c>
      <c r="AF249" s="182">
        <f t="shared" si="360"/>
        <v>0</v>
      </c>
      <c r="AG249" s="182">
        <f t="shared" si="365"/>
        <v>0</v>
      </c>
      <c r="AH249" s="182">
        <f t="shared" si="370"/>
        <v>0</v>
      </c>
      <c r="AI249" s="182">
        <f t="shared" si="375"/>
        <v>0</v>
      </c>
      <c r="AJ249" s="182">
        <f t="shared" si="381"/>
        <v>0</v>
      </c>
      <c r="AK249" s="182">
        <f t="shared" si="387"/>
        <v>0</v>
      </c>
      <c r="AL249" s="182">
        <f t="shared" si="393"/>
        <v>0</v>
      </c>
      <c r="AM249" s="182">
        <f t="shared" si="399"/>
        <v>0</v>
      </c>
      <c r="AN249" s="182">
        <f t="shared" si="405"/>
        <v>0</v>
      </c>
      <c r="AO249" s="182">
        <f t="shared" si="411"/>
        <v>0</v>
      </c>
      <c r="AP249" s="182">
        <f t="shared" si="417"/>
        <v>0</v>
      </c>
      <c r="AQ249" s="182">
        <f t="shared" si="423"/>
        <v>0</v>
      </c>
      <c r="AR249" s="182">
        <f t="shared" ref="AR249:AR280" si="429">AR82*AR$168</f>
        <v>0</v>
      </c>
      <c r="AS249" s="182">
        <f t="shared" si="255"/>
        <v>0</v>
      </c>
      <c r="AT249" s="182">
        <f t="shared" si="261"/>
        <v>0</v>
      </c>
      <c r="AU249" s="182">
        <f t="shared" si="267"/>
        <v>0</v>
      </c>
      <c r="AV249" s="182">
        <f t="shared" si="273"/>
        <v>0</v>
      </c>
      <c r="AW249" s="182">
        <f t="shared" si="279"/>
        <v>0</v>
      </c>
      <c r="AX249" s="182">
        <f t="shared" si="285"/>
        <v>0</v>
      </c>
      <c r="AY249" s="182">
        <f t="shared" si="291"/>
        <v>0</v>
      </c>
      <c r="AZ249" s="182">
        <f t="shared" si="297"/>
        <v>0</v>
      </c>
      <c r="BA249" s="182">
        <f t="shared" si="303"/>
        <v>0</v>
      </c>
      <c r="BB249" s="182">
        <f t="shared" si="309"/>
        <v>0</v>
      </c>
      <c r="BC249" s="182">
        <f t="shared" si="315"/>
        <v>0</v>
      </c>
      <c r="BD249" s="182">
        <f t="shared" si="321"/>
        <v>0</v>
      </c>
      <c r="BE249" s="182">
        <f t="shared" si="326"/>
        <v>0</v>
      </c>
      <c r="BF249" s="182">
        <f t="shared" si="331"/>
        <v>0</v>
      </c>
      <c r="BG249" s="182">
        <f t="shared" si="336"/>
        <v>0</v>
      </c>
      <c r="BH249" s="182">
        <f t="shared" si="341"/>
        <v>0</v>
      </c>
      <c r="BI249" s="182">
        <f t="shared" si="346"/>
        <v>0</v>
      </c>
      <c r="BJ249" s="182">
        <f t="shared" si="351"/>
        <v>0</v>
      </c>
      <c r="BK249" s="182">
        <f t="shared" si="356"/>
        <v>0</v>
      </c>
      <c r="BL249" s="182">
        <f t="shared" si="361"/>
        <v>0</v>
      </c>
      <c r="BM249" s="182">
        <f t="shared" si="366"/>
        <v>0.4359040517165757</v>
      </c>
      <c r="BN249" s="182">
        <f t="shared" si="371"/>
        <v>0</v>
      </c>
      <c r="BO249" s="182">
        <f t="shared" si="376"/>
        <v>0</v>
      </c>
      <c r="BP249" s="182">
        <f t="shared" si="382"/>
        <v>0</v>
      </c>
      <c r="BQ249" s="182">
        <f t="shared" si="388"/>
        <v>0</v>
      </c>
      <c r="BR249" s="182">
        <f t="shared" si="394"/>
        <v>0</v>
      </c>
      <c r="BS249" s="182">
        <f t="shared" si="400"/>
        <v>0</v>
      </c>
      <c r="BT249" s="182">
        <f t="shared" si="406"/>
        <v>0</v>
      </c>
      <c r="BU249" s="182">
        <f t="shared" si="412"/>
        <v>0</v>
      </c>
      <c r="BV249" s="182">
        <f t="shared" si="418"/>
        <v>0</v>
      </c>
      <c r="BW249" s="182">
        <f t="shared" si="424"/>
        <v>7.6882141815989711E-11</v>
      </c>
      <c r="BX249" s="182">
        <f t="shared" ref="BX249:BX280" si="430">BX82*BX$168</f>
        <v>0</v>
      </c>
      <c r="BY249" s="181">
        <f>$C249+SUM($D249:BX249,BZ249:$FB249)-SUM(BY$176:BY248,BY250:BY$330)-BY$331</f>
        <v>9.0205620750793969E-17</v>
      </c>
      <c r="BZ249" s="176">
        <f t="shared" ref="BZ249:DE249" si="431">BZ82*BZ$168</f>
        <v>0</v>
      </c>
      <c r="CA249" s="176">
        <f t="shared" si="431"/>
        <v>0</v>
      </c>
      <c r="CB249" s="176">
        <f t="shared" si="431"/>
        <v>0</v>
      </c>
      <c r="CC249" s="176">
        <f t="shared" si="431"/>
        <v>0</v>
      </c>
      <c r="CD249" s="176">
        <f t="shared" si="431"/>
        <v>0</v>
      </c>
      <c r="CE249" s="176">
        <f t="shared" si="431"/>
        <v>0</v>
      </c>
      <c r="CF249" s="176">
        <f t="shared" si="431"/>
        <v>0</v>
      </c>
      <c r="CG249" s="176">
        <f t="shared" si="431"/>
        <v>0</v>
      </c>
      <c r="CH249" s="176">
        <f t="shared" si="431"/>
        <v>0</v>
      </c>
      <c r="CI249" s="176">
        <f t="shared" si="431"/>
        <v>0</v>
      </c>
      <c r="CJ249" s="176">
        <f t="shared" si="431"/>
        <v>0</v>
      </c>
      <c r="CK249" s="176">
        <f t="shared" si="431"/>
        <v>0</v>
      </c>
      <c r="CL249" s="176">
        <f t="shared" si="431"/>
        <v>0</v>
      </c>
      <c r="CM249" s="176">
        <f t="shared" si="431"/>
        <v>0</v>
      </c>
      <c r="CN249" s="176">
        <f t="shared" si="431"/>
        <v>0</v>
      </c>
      <c r="CO249" s="176">
        <f t="shared" si="431"/>
        <v>0</v>
      </c>
      <c r="CP249" s="176">
        <f t="shared" si="431"/>
        <v>0</v>
      </c>
      <c r="CQ249" s="176">
        <f t="shared" si="431"/>
        <v>0</v>
      </c>
      <c r="CR249" s="176">
        <f t="shared" si="431"/>
        <v>0</v>
      </c>
      <c r="CS249" s="176">
        <f t="shared" si="431"/>
        <v>0</v>
      </c>
      <c r="CT249" s="176">
        <f t="shared" si="431"/>
        <v>0</v>
      </c>
      <c r="CU249" s="176">
        <f t="shared" si="431"/>
        <v>0</v>
      </c>
      <c r="CV249" s="176">
        <f t="shared" si="431"/>
        <v>0</v>
      </c>
      <c r="CW249" s="176">
        <f t="shared" si="431"/>
        <v>0</v>
      </c>
      <c r="CX249" s="176">
        <f t="shared" si="431"/>
        <v>0</v>
      </c>
      <c r="CY249" s="176">
        <f t="shared" si="431"/>
        <v>0</v>
      </c>
      <c r="CZ249" s="176">
        <f t="shared" si="431"/>
        <v>0</v>
      </c>
      <c r="DA249" s="176">
        <f t="shared" si="431"/>
        <v>0</v>
      </c>
      <c r="DB249" s="176">
        <f t="shared" si="431"/>
        <v>0</v>
      </c>
      <c r="DC249" s="176">
        <f t="shared" si="431"/>
        <v>0</v>
      </c>
      <c r="DD249" s="176">
        <f t="shared" si="431"/>
        <v>0</v>
      </c>
      <c r="DE249" s="176">
        <f t="shared" si="431"/>
        <v>0</v>
      </c>
      <c r="DF249" s="176">
        <f t="shared" ref="DF249:EK249" si="432">DF82*DF$168</f>
        <v>0</v>
      </c>
      <c r="DG249" s="176">
        <f t="shared" si="432"/>
        <v>0</v>
      </c>
      <c r="DH249" s="176">
        <f t="shared" si="432"/>
        <v>0</v>
      </c>
      <c r="DI249" s="176">
        <f t="shared" si="432"/>
        <v>0</v>
      </c>
      <c r="DJ249" s="176">
        <f t="shared" si="432"/>
        <v>0</v>
      </c>
      <c r="DK249" s="176">
        <f t="shared" si="432"/>
        <v>0</v>
      </c>
      <c r="DL249" s="176">
        <f t="shared" si="432"/>
        <v>0</v>
      </c>
      <c r="DM249" s="176">
        <f t="shared" si="432"/>
        <v>0</v>
      </c>
      <c r="DN249" s="176">
        <f t="shared" si="432"/>
        <v>0</v>
      </c>
      <c r="DO249" s="176">
        <f t="shared" si="432"/>
        <v>0</v>
      </c>
      <c r="DP249" s="176">
        <f t="shared" si="432"/>
        <v>0</v>
      </c>
      <c r="DQ249" s="176">
        <f t="shared" si="432"/>
        <v>0</v>
      </c>
      <c r="DR249" s="176">
        <f t="shared" si="432"/>
        <v>0</v>
      </c>
      <c r="DS249" s="176">
        <f t="shared" si="432"/>
        <v>0</v>
      </c>
      <c r="DT249" s="176">
        <f t="shared" si="432"/>
        <v>0</v>
      </c>
      <c r="DU249" s="176">
        <f t="shared" si="432"/>
        <v>0</v>
      </c>
      <c r="DV249" s="176">
        <f t="shared" si="432"/>
        <v>0</v>
      </c>
      <c r="DW249" s="176">
        <f t="shared" si="432"/>
        <v>0</v>
      </c>
      <c r="DX249" s="176">
        <f t="shared" si="432"/>
        <v>0</v>
      </c>
      <c r="DY249" s="176">
        <f t="shared" si="432"/>
        <v>0</v>
      </c>
      <c r="DZ249" s="176">
        <f t="shared" si="432"/>
        <v>0</v>
      </c>
      <c r="EA249" s="176">
        <f t="shared" si="432"/>
        <v>0</v>
      </c>
      <c r="EB249" s="176">
        <f t="shared" si="432"/>
        <v>0</v>
      </c>
      <c r="EC249" s="176">
        <f t="shared" si="432"/>
        <v>0</v>
      </c>
      <c r="ED249" s="176">
        <f t="shared" si="432"/>
        <v>0</v>
      </c>
      <c r="EE249" s="176">
        <f t="shared" si="432"/>
        <v>0</v>
      </c>
      <c r="EF249" s="182">
        <f t="shared" si="432"/>
        <v>0</v>
      </c>
      <c r="EG249" s="182">
        <f t="shared" si="432"/>
        <v>0</v>
      </c>
      <c r="EH249" s="182">
        <f t="shared" si="432"/>
        <v>0</v>
      </c>
      <c r="EI249" s="182">
        <f t="shared" si="432"/>
        <v>0</v>
      </c>
      <c r="EJ249" s="182">
        <f t="shared" si="432"/>
        <v>0</v>
      </c>
      <c r="EK249" s="182">
        <f t="shared" si="432"/>
        <v>0</v>
      </c>
      <c r="EL249" s="182">
        <f t="shared" ref="EL249:FB249" si="433">EL82*EL$168</f>
        <v>0</v>
      </c>
      <c r="EM249" s="182">
        <f t="shared" si="433"/>
        <v>0</v>
      </c>
      <c r="EN249" s="182">
        <f t="shared" si="433"/>
        <v>0</v>
      </c>
      <c r="EO249" s="182">
        <f t="shared" si="433"/>
        <v>0</v>
      </c>
      <c r="EP249" s="182">
        <f t="shared" si="433"/>
        <v>0</v>
      </c>
      <c r="EQ249" s="182">
        <f t="shared" si="433"/>
        <v>0</v>
      </c>
      <c r="ER249" s="182">
        <f t="shared" si="433"/>
        <v>0</v>
      </c>
      <c r="ES249" s="182">
        <f t="shared" si="433"/>
        <v>0</v>
      </c>
      <c r="ET249" s="182">
        <f t="shared" si="433"/>
        <v>0</v>
      </c>
      <c r="EU249" s="182">
        <f t="shared" si="433"/>
        <v>0</v>
      </c>
      <c r="EV249" s="182">
        <f t="shared" si="433"/>
        <v>0</v>
      </c>
      <c r="EW249" s="182">
        <f t="shared" si="433"/>
        <v>0</v>
      </c>
      <c r="EX249" s="182">
        <f t="shared" si="433"/>
        <v>0</v>
      </c>
      <c r="EY249" s="182">
        <f t="shared" si="433"/>
        <v>0</v>
      </c>
      <c r="EZ249" s="182">
        <f t="shared" si="433"/>
        <v>0</v>
      </c>
      <c r="FA249" s="182">
        <f t="shared" si="433"/>
        <v>0</v>
      </c>
      <c r="FB249" s="183">
        <f t="shared" si="433"/>
        <v>0</v>
      </c>
    </row>
    <row r="250" spans="2:158" ht="12.75" customHeight="1" x14ac:dyDescent="0.3">
      <c r="B250" s="199" t="s">
        <v>3893</v>
      </c>
      <c r="C250" s="193">
        <v>0</v>
      </c>
      <c r="D250" s="182">
        <f t="shared" si="380"/>
        <v>0</v>
      </c>
      <c r="E250" s="182">
        <f t="shared" si="386"/>
        <v>0</v>
      </c>
      <c r="F250" s="182">
        <f t="shared" si="392"/>
        <v>0</v>
      </c>
      <c r="G250" s="182">
        <f t="shared" si="398"/>
        <v>0</v>
      </c>
      <c r="H250" s="182">
        <f t="shared" si="404"/>
        <v>0</v>
      </c>
      <c r="I250" s="176">
        <f t="shared" si="410"/>
        <v>0</v>
      </c>
      <c r="J250" s="182">
        <f t="shared" si="416"/>
        <v>0</v>
      </c>
      <c r="K250" s="182">
        <f t="shared" si="422"/>
        <v>0</v>
      </c>
      <c r="L250" s="182">
        <f t="shared" si="428"/>
        <v>0</v>
      </c>
      <c r="M250" s="182">
        <f t="shared" ref="M250:M281" si="434">M83*M$168</f>
        <v>0</v>
      </c>
      <c r="N250" s="182">
        <f t="shared" si="260"/>
        <v>0</v>
      </c>
      <c r="O250" s="182">
        <f t="shared" si="266"/>
        <v>0</v>
      </c>
      <c r="P250" s="182">
        <f t="shared" si="272"/>
        <v>0</v>
      </c>
      <c r="Q250" s="182">
        <f t="shared" si="278"/>
        <v>0</v>
      </c>
      <c r="R250" s="182">
        <f t="shared" si="284"/>
        <v>0</v>
      </c>
      <c r="S250" s="182">
        <f t="shared" si="290"/>
        <v>0</v>
      </c>
      <c r="T250" s="182">
        <f t="shared" si="296"/>
        <v>0</v>
      </c>
      <c r="U250" s="182">
        <f t="shared" si="302"/>
        <v>0</v>
      </c>
      <c r="V250" s="182">
        <f t="shared" si="308"/>
        <v>0</v>
      </c>
      <c r="W250" s="182">
        <f t="shared" si="314"/>
        <v>0</v>
      </c>
      <c r="X250" s="182">
        <f t="shared" si="320"/>
        <v>0</v>
      </c>
      <c r="Y250" s="182">
        <f t="shared" si="325"/>
        <v>0</v>
      </c>
      <c r="Z250" s="182">
        <f t="shared" si="330"/>
        <v>0</v>
      </c>
      <c r="AA250" s="182">
        <f t="shared" si="335"/>
        <v>0</v>
      </c>
      <c r="AB250" s="182">
        <f t="shared" si="340"/>
        <v>0</v>
      </c>
      <c r="AC250" s="182">
        <f t="shared" si="345"/>
        <v>0</v>
      </c>
      <c r="AD250" s="182">
        <f t="shared" si="350"/>
        <v>0</v>
      </c>
      <c r="AE250" s="182">
        <f t="shared" si="355"/>
        <v>0</v>
      </c>
      <c r="AF250" s="182">
        <f t="shared" si="360"/>
        <v>0</v>
      </c>
      <c r="AG250" s="182">
        <f t="shared" si="365"/>
        <v>0</v>
      </c>
      <c r="AH250" s="182">
        <f t="shared" si="370"/>
        <v>0</v>
      </c>
      <c r="AI250" s="182">
        <f t="shared" si="375"/>
        <v>0</v>
      </c>
      <c r="AJ250" s="182">
        <f t="shared" si="381"/>
        <v>0</v>
      </c>
      <c r="AK250" s="182">
        <f t="shared" si="387"/>
        <v>0</v>
      </c>
      <c r="AL250" s="182">
        <f t="shared" si="393"/>
        <v>0</v>
      </c>
      <c r="AM250" s="182">
        <f t="shared" si="399"/>
        <v>0</v>
      </c>
      <c r="AN250" s="182">
        <f t="shared" si="405"/>
        <v>0</v>
      </c>
      <c r="AO250" s="182">
        <f t="shared" si="411"/>
        <v>0</v>
      </c>
      <c r="AP250" s="182">
        <f t="shared" si="417"/>
        <v>0</v>
      </c>
      <c r="AQ250" s="182">
        <f t="shared" si="423"/>
        <v>0</v>
      </c>
      <c r="AR250" s="182">
        <f t="shared" si="429"/>
        <v>0</v>
      </c>
      <c r="AS250" s="182">
        <f t="shared" ref="AS250:AS281" si="435">AS83*AS$168</f>
        <v>0</v>
      </c>
      <c r="AT250" s="182">
        <f t="shared" si="261"/>
        <v>0</v>
      </c>
      <c r="AU250" s="182">
        <f t="shared" si="267"/>
        <v>0</v>
      </c>
      <c r="AV250" s="182">
        <f t="shared" si="273"/>
        <v>0</v>
      </c>
      <c r="AW250" s="182">
        <f t="shared" si="279"/>
        <v>0</v>
      </c>
      <c r="AX250" s="182">
        <f t="shared" si="285"/>
        <v>0</v>
      </c>
      <c r="AY250" s="182">
        <f t="shared" si="291"/>
        <v>0</v>
      </c>
      <c r="AZ250" s="182">
        <f t="shared" si="297"/>
        <v>0</v>
      </c>
      <c r="BA250" s="182">
        <f t="shared" si="303"/>
        <v>0</v>
      </c>
      <c r="BB250" s="182">
        <f t="shared" si="309"/>
        <v>0</v>
      </c>
      <c r="BC250" s="182">
        <f t="shared" si="315"/>
        <v>0</v>
      </c>
      <c r="BD250" s="182">
        <f t="shared" si="321"/>
        <v>0</v>
      </c>
      <c r="BE250" s="182">
        <f t="shared" si="326"/>
        <v>0</v>
      </c>
      <c r="BF250" s="182">
        <f t="shared" si="331"/>
        <v>0</v>
      </c>
      <c r="BG250" s="182">
        <f t="shared" si="336"/>
        <v>0</v>
      </c>
      <c r="BH250" s="182">
        <f t="shared" si="341"/>
        <v>0</v>
      </c>
      <c r="BI250" s="182">
        <f t="shared" si="346"/>
        <v>0</v>
      </c>
      <c r="BJ250" s="182">
        <f t="shared" si="351"/>
        <v>0</v>
      </c>
      <c r="BK250" s="182">
        <f t="shared" si="356"/>
        <v>0</v>
      </c>
      <c r="BL250" s="182">
        <f t="shared" si="361"/>
        <v>0</v>
      </c>
      <c r="BM250" s="182">
        <f t="shared" si="366"/>
        <v>0</v>
      </c>
      <c r="BN250" s="182">
        <f t="shared" si="371"/>
        <v>0</v>
      </c>
      <c r="BO250" s="182">
        <f t="shared" si="376"/>
        <v>0</v>
      </c>
      <c r="BP250" s="182">
        <f t="shared" si="382"/>
        <v>0</v>
      </c>
      <c r="BQ250" s="182">
        <f t="shared" si="388"/>
        <v>0</v>
      </c>
      <c r="BR250" s="182">
        <f t="shared" si="394"/>
        <v>0</v>
      </c>
      <c r="BS250" s="182">
        <f t="shared" si="400"/>
        <v>0</v>
      </c>
      <c r="BT250" s="182">
        <f t="shared" si="406"/>
        <v>0</v>
      </c>
      <c r="BU250" s="182">
        <f t="shared" si="412"/>
        <v>0</v>
      </c>
      <c r="BV250" s="182">
        <f t="shared" si="418"/>
        <v>0</v>
      </c>
      <c r="BW250" s="182">
        <f t="shared" si="424"/>
        <v>0</v>
      </c>
      <c r="BX250" s="182">
        <f t="shared" si="430"/>
        <v>0</v>
      </c>
      <c r="BY250" s="182">
        <f t="shared" ref="BY250:BY281" si="436">BY83*BY$168</f>
        <v>0</v>
      </c>
      <c r="BZ250" s="181">
        <f>$C250+SUM($D250:BY250,CA250:$FB250)-SUM(BZ$176:BZ249,BZ251:BZ$330)-BZ$331</f>
        <v>0</v>
      </c>
      <c r="CA250" s="176">
        <f t="shared" ref="CA250:DF250" si="437">CA83*CA$168</f>
        <v>0</v>
      </c>
      <c r="CB250" s="176">
        <f t="shared" si="437"/>
        <v>0</v>
      </c>
      <c r="CC250" s="176">
        <f t="shared" si="437"/>
        <v>0</v>
      </c>
      <c r="CD250" s="176">
        <f t="shared" si="437"/>
        <v>0</v>
      </c>
      <c r="CE250" s="176">
        <f t="shared" si="437"/>
        <v>0</v>
      </c>
      <c r="CF250" s="176">
        <f t="shared" si="437"/>
        <v>0</v>
      </c>
      <c r="CG250" s="176">
        <f t="shared" si="437"/>
        <v>0</v>
      </c>
      <c r="CH250" s="176">
        <f t="shared" si="437"/>
        <v>0</v>
      </c>
      <c r="CI250" s="176">
        <f t="shared" si="437"/>
        <v>0</v>
      </c>
      <c r="CJ250" s="176">
        <f t="shared" si="437"/>
        <v>0</v>
      </c>
      <c r="CK250" s="176">
        <f t="shared" si="437"/>
        <v>0</v>
      </c>
      <c r="CL250" s="176">
        <f t="shared" si="437"/>
        <v>0</v>
      </c>
      <c r="CM250" s="176">
        <f t="shared" si="437"/>
        <v>0</v>
      </c>
      <c r="CN250" s="176">
        <f t="shared" si="437"/>
        <v>0</v>
      </c>
      <c r="CO250" s="176">
        <f t="shared" si="437"/>
        <v>0</v>
      </c>
      <c r="CP250" s="176">
        <f t="shared" si="437"/>
        <v>0</v>
      </c>
      <c r="CQ250" s="176">
        <f t="shared" si="437"/>
        <v>0</v>
      </c>
      <c r="CR250" s="176">
        <f t="shared" si="437"/>
        <v>0</v>
      </c>
      <c r="CS250" s="176">
        <f t="shared" si="437"/>
        <v>0</v>
      </c>
      <c r="CT250" s="176">
        <f t="shared" si="437"/>
        <v>0</v>
      </c>
      <c r="CU250" s="176">
        <f t="shared" si="437"/>
        <v>0</v>
      </c>
      <c r="CV250" s="176">
        <f t="shared" si="437"/>
        <v>0</v>
      </c>
      <c r="CW250" s="176">
        <f t="shared" si="437"/>
        <v>0</v>
      </c>
      <c r="CX250" s="176">
        <f t="shared" si="437"/>
        <v>0</v>
      </c>
      <c r="CY250" s="176">
        <f t="shared" si="437"/>
        <v>0</v>
      </c>
      <c r="CZ250" s="176">
        <f t="shared" si="437"/>
        <v>0</v>
      </c>
      <c r="DA250" s="176">
        <f t="shared" si="437"/>
        <v>0</v>
      </c>
      <c r="DB250" s="176">
        <f t="shared" si="437"/>
        <v>0</v>
      </c>
      <c r="DC250" s="176">
        <f t="shared" si="437"/>
        <v>0</v>
      </c>
      <c r="DD250" s="176">
        <f t="shared" si="437"/>
        <v>0</v>
      </c>
      <c r="DE250" s="176">
        <f t="shared" si="437"/>
        <v>0</v>
      </c>
      <c r="DF250" s="176">
        <f t="shared" si="437"/>
        <v>0</v>
      </c>
      <c r="DG250" s="176">
        <f t="shared" ref="DG250:EL250" si="438">DG83*DG$168</f>
        <v>0</v>
      </c>
      <c r="DH250" s="176">
        <f t="shared" si="438"/>
        <v>0</v>
      </c>
      <c r="DI250" s="176">
        <f t="shared" si="438"/>
        <v>0</v>
      </c>
      <c r="DJ250" s="176">
        <f t="shared" si="438"/>
        <v>0</v>
      </c>
      <c r="DK250" s="176">
        <f t="shared" si="438"/>
        <v>0</v>
      </c>
      <c r="DL250" s="176">
        <f t="shared" si="438"/>
        <v>0</v>
      </c>
      <c r="DM250" s="176">
        <f t="shared" si="438"/>
        <v>0</v>
      </c>
      <c r="DN250" s="176">
        <f t="shared" si="438"/>
        <v>0</v>
      </c>
      <c r="DO250" s="176">
        <f t="shared" si="438"/>
        <v>0</v>
      </c>
      <c r="DP250" s="176">
        <f t="shared" si="438"/>
        <v>0</v>
      </c>
      <c r="DQ250" s="176">
        <f t="shared" si="438"/>
        <v>0</v>
      </c>
      <c r="DR250" s="176">
        <f t="shared" si="438"/>
        <v>0</v>
      </c>
      <c r="DS250" s="176">
        <f t="shared" si="438"/>
        <v>0</v>
      </c>
      <c r="DT250" s="176">
        <f t="shared" si="438"/>
        <v>0</v>
      </c>
      <c r="DU250" s="176">
        <f t="shared" si="438"/>
        <v>0</v>
      </c>
      <c r="DV250" s="176">
        <f t="shared" si="438"/>
        <v>0</v>
      </c>
      <c r="DW250" s="176">
        <f t="shared" si="438"/>
        <v>0</v>
      </c>
      <c r="DX250" s="176">
        <f t="shared" si="438"/>
        <v>0</v>
      </c>
      <c r="DY250" s="176">
        <f t="shared" si="438"/>
        <v>0</v>
      </c>
      <c r="DZ250" s="176">
        <f t="shared" si="438"/>
        <v>0</v>
      </c>
      <c r="EA250" s="176">
        <f t="shared" si="438"/>
        <v>0</v>
      </c>
      <c r="EB250" s="176">
        <f t="shared" si="438"/>
        <v>0</v>
      </c>
      <c r="EC250" s="176">
        <f t="shared" si="438"/>
        <v>0</v>
      </c>
      <c r="ED250" s="176">
        <f t="shared" si="438"/>
        <v>0</v>
      </c>
      <c r="EE250" s="176">
        <f t="shared" si="438"/>
        <v>0</v>
      </c>
      <c r="EF250" s="182">
        <f t="shared" si="438"/>
        <v>0</v>
      </c>
      <c r="EG250" s="182">
        <f t="shared" si="438"/>
        <v>0</v>
      </c>
      <c r="EH250" s="182">
        <f t="shared" si="438"/>
        <v>0</v>
      </c>
      <c r="EI250" s="182">
        <f t="shared" si="438"/>
        <v>0</v>
      </c>
      <c r="EJ250" s="182">
        <f t="shared" si="438"/>
        <v>0</v>
      </c>
      <c r="EK250" s="182">
        <f t="shared" si="438"/>
        <v>0</v>
      </c>
      <c r="EL250" s="182">
        <f t="shared" si="438"/>
        <v>0</v>
      </c>
      <c r="EM250" s="182">
        <f t="shared" ref="EM250:FB250" si="439">EM83*EM$168</f>
        <v>0</v>
      </c>
      <c r="EN250" s="182">
        <f t="shared" si="439"/>
        <v>0</v>
      </c>
      <c r="EO250" s="182">
        <f t="shared" si="439"/>
        <v>0</v>
      </c>
      <c r="EP250" s="182">
        <f t="shared" si="439"/>
        <v>0</v>
      </c>
      <c r="EQ250" s="182">
        <f t="shared" si="439"/>
        <v>0</v>
      </c>
      <c r="ER250" s="182">
        <f t="shared" si="439"/>
        <v>0</v>
      </c>
      <c r="ES250" s="182">
        <f t="shared" si="439"/>
        <v>0</v>
      </c>
      <c r="ET250" s="182">
        <f t="shared" si="439"/>
        <v>0</v>
      </c>
      <c r="EU250" s="182">
        <f t="shared" si="439"/>
        <v>0</v>
      </c>
      <c r="EV250" s="182">
        <f t="shared" si="439"/>
        <v>0</v>
      </c>
      <c r="EW250" s="182">
        <f t="shared" si="439"/>
        <v>0</v>
      </c>
      <c r="EX250" s="182">
        <f t="shared" si="439"/>
        <v>0</v>
      </c>
      <c r="EY250" s="182">
        <f t="shared" si="439"/>
        <v>0</v>
      </c>
      <c r="EZ250" s="182">
        <f t="shared" si="439"/>
        <v>0</v>
      </c>
      <c r="FA250" s="182">
        <f t="shared" si="439"/>
        <v>0</v>
      </c>
      <c r="FB250" s="183">
        <f t="shared" si="439"/>
        <v>0</v>
      </c>
    </row>
    <row r="251" spans="2:158" ht="12.75" customHeight="1" x14ac:dyDescent="0.3">
      <c r="B251" s="199" t="s">
        <v>3894</v>
      </c>
      <c r="C251" s="193">
        <v>0</v>
      </c>
      <c r="D251" s="182">
        <f t="shared" si="380"/>
        <v>0</v>
      </c>
      <c r="E251" s="182">
        <f t="shared" si="386"/>
        <v>0</v>
      </c>
      <c r="F251" s="182">
        <f t="shared" si="392"/>
        <v>0</v>
      </c>
      <c r="G251" s="182">
        <f t="shared" si="398"/>
        <v>0</v>
      </c>
      <c r="H251" s="182">
        <f t="shared" si="404"/>
        <v>0</v>
      </c>
      <c r="I251" s="176">
        <f t="shared" si="410"/>
        <v>0</v>
      </c>
      <c r="J251" s="182">
        <f t="shared" si="416"/>
        <v>0</v>
      </c>
      <c r="K251" s="182">
        <f t="shared" si="422"/>
        <v>0</v>
      </c>
      <c r="L251" s="182">
        <f t="shared" si="428"/>
        <v>0</v>
      </c>
      <c r="M251" s="182">
        <f t="shared" si="434"/>
        <v>0</v>
      </c>
      <c r="N251" s="182">
        <f t="shared" ref="N251:N282" si="440">N84*N$168</f>
        <v>0</v>
      </c>
      <c r="O251" s="182">
        <f t="shared" si="266"/>
        <v>0</v>
      </c>
      <c r="P251" s="182">
        <f t="shared" si="272"/>
        <v>0</v>
      </c>
      <c r="Q251" s="182">
        <f t="shared" si="278"/>
        <v>0</v>
      </c>
      <c r="R251" s="182">
        <f t="shared" si="284"/>
        <v>0</v>
      </c>
      <c r="S251" s="182">
        <f t="shared" si="290"/>
        <v>0</v>
      </c>
      <c r="T251" s="182">
        <f t="shared" si="296"/>
        <v>0</v>
      </c>
      <c r="U251" s="182">
        <f t="shared" si="302"/>
        <v>0</v>
      </c>
      <c r="V251" s="182">
        <f t="shared" si="308"/>
        <v>0</v>
      </c>
      <c r="W251" s="182">
        <f t="shared" si="314"/>
        <v>0</v>
      </c>
      <c r="X251" s="182">
        <f t="shared" si="320"/>
        <v>0</v>
      </c>
      <c r="Y251" s="182">
        <f t="shared" si="325"/>
        <v>0</v>
      </c>
      <c r="Z251" s="182">
        <f t="shared" si="330"/>
        <v>0</v>
      </c>
      <c r="AA251" s="182">
        <f t="shared" si="335"/>
        <v>0</v>
      </c>
      <c r="AB251" s="182">
        <f t="shared" si="340"/>
        <v>0</v>
      </c>
      <c r="AC251" s="182">
        <f t="shared" si="345"/>
        <v>0</v>
      </c>
      <c r="AD251" s="182">
        <f t="shared" si="350"/>
        <v>0</v>
      </c>
      <c r="AE251" s="182">
        <f t="shared" si="355"/>
        <v>0</v>
      </c>
      <c r="AF251" s="182">
        <f t="shared" si="360"/>
        <v>0</v>
      </c>
      <c r="AG251" s="182">
        <f t="shared" si="365"/>
        <v>0</v>
      </c>
      <c r="AH251" s="182">
        <f t="shared" si="370"/>
        <v>0</v>
      </c>
      <c r="AI251" s="182">
        <f t="shared" si="375"/>
        <v>0</v>
      </c>
      <c r="AJ251" s="182">
        <f t="shared" si="381"/>
        <v>0</v>
      </c>
      <c r="AK251" s="182">
        <f t="shared" si="387"/>
        <v>0</v>
      </c>
      <c r="AL251" s="182">
        <f t="shared" si="393"/>
        <v>0</v>
      </c>
      <c r="AM251" s="182">
        <f t="shared" si="399"/>
        <v>0</v>
      </c>
      <c r="AN251" s="182">
        <f t="shared" si="405"/>
        <v>0</v>
      </c>
      <c r="AO251" s="182">
        <f t="shared" si="411"/>
        <v>0</v>
      </c>
      <c r="AP251" s="182">
        <f t="shared" si="417"/>
        <v>0</v>
      </c>
      <c r="AQ251" s="182">
        <f t="shared" si="423"/>
        <v>0</v>
      </c>
      <c r="AR251" s="182">
        <f t="shared" si="429"/>
        <v>0</v>
      </c>
      <c r="AS251" s="182">
        <f t="shared" si="435"/>
        <v>0</v>
      </c>
      <c r="AT251" s="182">
        <f t="shared" ref="AT251:AT282" si="441">AT84*AT$168</f>
        <v>0</v>
      </c>
      <c r="AU251" s="182">
        <f t="shared" si="267"/>
        <v>0</v>
      </c>
      <c r="AV251" s="182">
        <f t="shared" si="273"/>
        <v>4.8917620328186142E-3</v>
      </c>
      <c r="AW251" s="182">
        <f t="shared" si="279"/>
        <v>0</v>
      </c>
      <c r="AX251" s="182">
        <f t="shared" si="285"/>
        <v>0</v>
      </c>
      <c r="AY251" s="182">
        <f t="shared" si="291"/>
        <v>1.3952384819464361E-3</v>
      </c>
      <c r="AZ251" s="182">
        <f t="shared" si="297"/>
        <v>0</v>
      </c>
      <c r="BA251" s="182">
        <f t="shared" si="303"/>
        <v>0</v>
      </c>
      <c r="BB251" s="182">
        <f t="shared" si="309"/>
        <v>0</v>
      </c>
      <c r="BC251" s="182">
        <f t="shared" si="315"/>
        <v>0</v>
      </c>
      <c r="BD251" s="182">
        <f t="shared" si="321"/>
        <v>0</v>
      </c>
      <c r="BE251" s="182">
        <f t="shared" si="326"/>
        <v>0</v>
      </c>
      <c r="BF251" s="182">
        <f t="shared" si="331"/>
        <v>0</v>
      </c>
      <c r="BG251" s="182">
        <f t="shared" si="336"/>
        <v>0</v>
      </c>
      <c r="BH251" s="182">
        <f t="shared" si="341"/>
        <v>0</v>
      </c>
      <c r="BI251" s="182">
        <f t="shared" si="346"/>
        <v>0</v>
      </c>
      <c r="BJ251" s="182">
        <f t="shared" si="351"/>
        <v>0</v>
      </c>
      <c r="BK251" s="182">
        <f t="shared" si="356"/>
        <v>0</v>
      </c>
      <c r="BL251" s="182">
        <f t="shared" si="361"/>
        <v>0</v>
      </c>
      <c r="BM251" s="182">
        <f t="shared" si="366"/>
        <v>0</v>
      </c>
      <c r="BN251" s="182">
        <f t="shared" si="371"/>
        <v>0</v>
      </c>
      <c r="BO251" s="182">
        <f t="shared" si="376"/>
        <v>0</v>
      </c>
      <c r="BP251" s="182">
        <f t="shared" si="382"/>
        <v>0</v>
      </c>
      <c r="BQ251" s="182">
        <f t="shared" si="388"/>
        <v>0</v>
      </c>
      <c r="BR251" s="182">
        <f t="shared" si="394"/>
        <v>0</v>
      </c>
      <c r="BS251" s="182">
        <f t="shared" si="400"/>
        <v>0</v>
      </c>
      <c r="BT251" s="182">
        <f t="shared" si="406"/>
        <v>0</v>
      </c>
      <c r="BU251" s="182">
        <f t="shared" si="412"/>
        <v>0</v>
      </c>
      <c r="BV251" s="182">
        <f t="shared" si="418"/>
        <v>0</v>
      </c>
      <c r="BW251" s="182">
        <f t="shared" si="424"/>
        <v>0</v>
      </c>
      <c r="BX251" s="182">
        <f t="shared" si="430"/>
        <v>0</v>
      </c>
      <c r="BY251" s="182">
        <f t="shared" si="436"/>
        <v>0</v>
      </c>
      <c r="BZ251" s="182">
        <f t="shared" ref="BZ251:BZ282" si="442">BZ84*BZ$168</f>
        <v>0</v>
      </c>
      <c r="CA251" s="181">
        <f>$C251+SUM($D251:BZ251,CB251:$FB251)-SUM(CA$176:CA250,CA252:CA$330)-CA$331</f>
        <v>2.2195630877131525E-18</v>
      </c>
      <c r="CB251" s="176">
        <f t="shared" ref="CB251:DG251" si="443">CB84*CB$168</f>
        <v>0</v>
      </c>
      <c r="CC251" s="176">
        <f t="shared" si="443"/>
        <v>0</v>
      </c>
      <c r="CD251" s="176">
        <f t="shared" si="443"/>
        <v>0</v>
      </c>
      <c r="CE251" s="176">
        <f t="shared" si="443"/>
        <v>0</v>
      </c>
      <c r="CF251" s="176">
        <f t="shared" si="443"/>
        <v>0</v>
      </c>
      <c r="CG251" s="176">
        <f t="shared" si="443"/>
        <v>0</v>
      </c>
      <c r="CH251" s="176">
        <f t="shared" si="443"/>
        <v>0</v>
      </c>
      <c r="CI251" s="176">
        <f t="shared" si="443"/>
        <v>0</v>
      </c>
      <c r="CJ251" s="176">
        <f t="shared" si="443"/>
        <v>0</v>
      </c>
      <c r="CK251" s="176">
        <f t="shared" si="443"/>
        <v>0</v>
      </c>
      <c r="CL251" s="176">
        <f t="shared" si="443"/>
        <v>0</v>
      </c>
      <c r="CM251" s="176">
        <f t="shared" si="443"/>
        <v>0</v>
      </c>
      <c r="CN251" s="176">
        <f t="shared" si="443"/>
        <v>0</v>
      </c>
      <c r="CO251" s="176">
        <f t="shared" si="443"/>
        <v>0</v>
      </c>
      <c r="CP251" s="176">
        <f t="shared" si="443"/>
        <v>0</v>
      </c>
      <c r="CQ251" s="176">
        <f t="shared" si="443"/>
        <v>0</v>
      </c>
      <c r="CR251" s="176">
        <f t="shared" si="443"/>
        <v>0</v>
      </c>
      <c r="CS251" s="176">
        <f t="shared" si="443"/>
        <v>0</v>
      </c>
      <c r="CT251" s="176">
        <f t="shared" si="443"/>
        <v>0</v>
      </c>
      <c r="CU251" s="176">
        <f t="shared" si="443"/>
        <v>0</v>
      </c>
      <c r="CV251" s="176">
        <f t="shared" si="443"/>
        <v>0</v>
      </c>
      <c r="CW251" s="176">
        <f t="shared" si="443"/>
        <v>0</v>
      </c>
      <c r="CX251" s="176">
        <f t="shared" si="443"/>
        <v>0</v>
      </c>
      <c r="CY251" s="176">
        <f t="shared" si="443"/>
        <v>0</v>
      </c>
      <c r="CZ251" s="176">
        <f t="shared" si="443"/>
        <v>0</v>
      </c>
      <c r="DA251" s="176">
        <f t="shared" si="443"/>
        <v>0</v>
      </c>
      <c r="DB251" s="176">
        <f t="shared" si="443"/>
        <v>0</v>
      </c>
      <c r="DC251" s="176">
        <f t="shared" si="443"/>
        <v>0</v>
      </c>
      <c r="DD251" s="176">
        <f t="shared" si="443"/>
        <v>0</v>
      </c>
      <c r="DE251" s="176">
        <f t="shared" si="443"/>
        <v>0</v>
      </c>
      <c r="DF251" s="176">
        <f t="shared" si="443"/>
        <v>0</v>
      </c>
      <c r="DG251" s="176">
        <f t="shared" si="443"/>
        <v>0</v>
      </c>
      <c r="DH251" s="176">
        <f t="shared" ref="DH251:EM251" si="444">DH84*DH$168</f>
        <v>0</v>
      </c>
      <c r="DI251" s="176">
        <f t="shared" si="444"/>
        <v>0</v>
      </c>
      <c r="DJ251" s="176">
        <f t="shared" si="444"/>
        <v>0</v>
      </c>
      <c r="DK251" s="176">
        <f t="shared" si="444"/>
        <v>0</v>
      </c>
      <c r="DL251" s="176">
        <f t="shared" si="444"/>
        <v>0</v>
      </c>
      <c r="DM251" s="176">
        <f t="shared" si="444"/>
        <v>0</v>
      </c>
      <c r="DN251" s="176">
        <f t="shared" si="444"/>
        <v>0</v>
      </c>
      <c r="DO251" s="176">
        <f t="shared" si="444"/>
        <v>0</v>
      </c>
      <c r="DP251" s="176">
        <f t="shared" si="444"/>
        <v>0</v>
      </c>
      <c r="DQ251" s="176">
        <f t="shared" si="444"/>
        <v>0</v>
      </c>
      <c r="DR251" s="176">
        <f t="shared" si="444"/>
        <v>0</v>
      </c>
      <c r="DS251" s="176">
        <f t="shared" si="444"/>
        <v>0</v>
      </c>
      <c r="DT251" s="176">
        <f t="shared" si="444"/>
        <v>0</v>
      </c>
      <c r="DU251" s="176">
        <f t="shared" si="444"/>
        <v>0</v>
      </c>
      <c r="DV251" s="176">
        <f t="shared" si="444"/>
        <v>0</v>
      </c>
      <c r="DW251" s="176">
        <f t="shared" si="444"/>
        <v>0</v>
      </c>
      <c r="DX251" s="176">
        <f t="shared" si="444"/>
        <v>0</v>
      </c>
      <c r="DY251" s="176">
        <f t="shared" si="444"/>
        <v>0</v>
      </c>
      <c r="DZ251" s="176">
        <f t="shared" si="444"/>
        <v>0</v>
      </c>
      <c r="EA251" s="176">
        <f t="shared" si="444"/>
        <v>0</v>
      </c>
      <c r="EB251" s="176">
        <f t="shared" si="444"/>
        <v>0</v>
      </c>
      <c r="EC251" s="176">
        <f t="shared" si="444"/>
        <v>0</v>
      </c>
      <c r="ED251" s="176">
        <f t="shared" si="444"/>
        <v>0</v>
      </c>
      <c r="EE251" s="176">
        <f t="shared" si="444"/>
        <v>0</v>
      </c>
      <c r="EF251" s="182">
        <f t="shared" si="444"/>
        <v>0</v>
      </c>
      <c r="EG251" s="182">
        <f t="shared" si="444"/>
        <v>0</v>
      </c>
      <c r="EH251" s="182">
        <f t="shared" si="444"/>
        <v>0</v>
      </c>
      <c r="EI251" s="182">
        <f t="shared" si="444"/>
        <v>0</v>
      </c>
      <c r="EJ251" s="182">
        <f t="shared" si="444"/>
        <v>0</v>
      </c>
      <c r="EK251" s="182">
        <f t="shared" si="444"/>
        <v>0</v>
      </c>
      <c r="EL251" s="182">
        <f t="shared" si="444"/>
        <v>0</v>
      </c>
      <c r="EM251" s="182">
        <f t="shared" si="444"/>
        <v>0</v>
      </c>
      <c r="EN251" s="182">
        <f t="shared" ref="EN251:FB251" si="445">EN84*EN$168</f>
        <v>0</v>
      </c>
      <c r="EO251" s="182">
        <f t="shared" si="445"/>
        <v>0</v>
      </c>
      <c r="EP251" s="182">
        <f t="shared" si="445"/>
        <v>0</v>
      </c>
      <c r="EQ251" s="182">
        <f t="shared" si="445"/>
        <v>0</v>
      </c>
      <c r="ER251" s="182">
        <f t="shared" si="445"/>
        <v>0</v>
      </c>
      <c r="ES251" s="182">
        <f t="shared" si="445"/>
        <v>0</v>
      </c>
      <c r="ET251" s="182">
        <f t="shared" si="445"/>
        <v>0</v>
      </c>
      <c r="EU251" s="182">
        <f t="shared" si="445"/>
        <v>0</v>
      </c>
      <c r="EV251" s="182">
        <f t="shared" si="445"/>
        <v>0</v>
      </c>
      <c r="EW251" s="182">
        <f t="shared" si="445"/>
        <v>0</v>
      </c>
      <c r="EX251" s="182">
        <f t="shared" si="445"/>
        <v>0</v>
      </c>
      <c r="EY251" s="182">
        <f t="shared" si="445"/>
        <v>0</v>
      </c>
      <c r="EZ251" s="182">
        <f t="shared" si="445"/>
        <v>0</v>
      </c>
      <c r="FA251" s="182">
        <f t="shared" si="445"/>
        <v>0</v>
      </c>
      <c r="FB251" s="183">
        <f t="shared" si="445"/>
        <v>0</v>
      </c>
    </row>
    <row r="252" spans="2:158" ht="12.75" customHeight="1" x14ac:dyDescent="0.3">
      <c r="B252" s="199" t="s">
        <v>3895</v>
      </c>
      <c r="C252" s="193">
        <v>0</v>
      </c>
      <c r="D252" s="182">
        <f t="shared" si="380"/>
        <v>0</v>
      </c>
      <c r="E252" s="182">
        <f t="shared" si="386"/>
        <v>0</v>
      </c>
      <c r="F252" s="182">
        <f t="shared" si="392"/>
        <v>0</v>
      </c>
      <c r="G252" s="182">
        <f t="shared" si="398"/>
        <v>0</v>
      </c>
      <c r="H252" s="182">
        <f t="shared" si="404"/>
        <v>0</v>
      </c>
      <c r="I252" s="176">
        <f t="shared" si="410"/>
        <v>0</v>
      </c>
      <c r="J252" s="182">
        <f t="shared" si="416"/>
        <v>0</v>
      </c>
      <c r="K252" s="182">
        <f t="shared" si="422"/>
        <v>0</v>
      </c>
      <c r="L252" s="182">
        <f t="shared" si="428"/>
        <v>0</v>
      </c>
      <c r="M252" s="182">
        <f t="shared" si="434"/>
        <v>0</v>
      </c>
      <c r="N252" s="182">
        <f t="shared" si="440"/>
        <v>0</v>
      </c>
      <c r="O252" s="182">
        <f t="shared" ref="O252:O283" si="446">O85*O$168</f>
        <v>0</v>
      </c>
      <c r="P252" s="182">
        <f t="shared" si="272"/>
        <v>0</v>
      </c>
      <c r="Q252" s="182">
        <f t="shared" si="278"/>
        <v>0</v>
      </c>
      <c r="R252" s="182">
        <f t="shared" si="284"/>
        <v>0</v>
      </c>
      <c r="S252" s="182">
        <f t="shared" si="290"/>
        <v>0</v>
      </c>
      <c r="T252" s="182">
        <f t="shared" si="296"/>
        <v>0</v>
      </c>
      <c r="U252" s="182">
        <f t="shared" si="302"/>
        <v>0</v>
      </c>
      <c r="V252" s="182">
        <f t="shared" si="308"/>
        <v>0</v>
      </c>
      <c r="W252" s="182">
        <f t="shared" si="314"/>
        <v>0</v>
      </c>
      <c r="X252" s="182">
        <f t="shared" si="320"/>
        <v>0</v>
      </c>
      <c r="Y252" s="182">
        <f t="shared" si="325"/>
        <v>0</v>
      </c>
      <c r="Z252" s="182">
        <f t="shared" si="330"/>
        <v>0</v>
      </c>
      <c r="AA252" s="182">
        <f t="shared" si="335"/>
        <v>0</v>
      </c>
      <c r="AB252" s="182">
        <f t="shared" si="340"/>
        <v>0</v>
      </c>
      <c r="AC252" s="182">
        <f t="shared" si="345"/>
        <v>0</v>
      </c>
      <c r="AD252" s="182">
        <f t="shared" si="350"/>
        <v>0</v>
      </c>
      <c r="AE252" s="182">
        <f t="shared" si="355"/>
        <v>0</v>
      </c>
      <c r="AF252" s="182">
        <f t="shared" si="360"/>
        <v>0</v>
      </c>
      <c r="AG252" s="182">
        <f t="shared" si="365"/>
        <v>0</v>
      </c>
      <c r="AH252" s="182">
        <f t="shared" si="370"/>
        <v>0</v>
      </c>
      <c r="AI252" s="182">
        <f t="shared" si="375"/>
        <v>0</v>
      </c>
      <c r="AJ252" s="182">
        <f t="shared" si="381"/>
        <v>0</v>
      </c>
      <c r="AK252" s="182">
        <f t="shared" si="387"/>
        <v>0</v>
      </c>
      <c r="AL252" s="182">
        <f t="shared" si="393"/>
        <v>0</v>
      </c>
      <c r="AM252" s="182">
        <f t="shared" si="399"/>
        <v>0</v>
      </c>
      <c r="AN252" s="182">
        <f t="shared" si="405"/>
        <v>0</v>
      </c>
      <c r="AO252" s="182">
        <f t="shared" si="411"/>
        <v>0</v>
      </c>
      <c r="AP252" s="182">
        <f t="shared" si="417"/>
        <v>0</v>
      </c>
      <c r="AQ252" s="182">
        <f t="shared" si="423"/>
        <v>0</v>
      </c>
      <c r="AR252" s="182">
        <f t="shared" si="429"/>
        <v>0</v>
      </c>
      <c r="AS252" s="182">
        <f t="shared" si="435"/>
        <v>0</v>
      </c>
      <c r="AT252" s="182">
        <f t="shared" si="441"/>
        <v>0</v>
      </c>
      <c r="AU252" s="182">
        <f t="shared" ref="AU252:AU283" si="447">AU85*AU$168</f>
        <v>0</v>
      </c>
      <c r="AV252" s="182">
        <f t="shared" si="273"/>
        <v>0</v>
      </c>
      <c r="AW252" s="182">
        <f t="shared" si="279"/>
        <v>2.9517315710481641E-2</v>
      </c>
      <c r="AX252" s="182">
        <f t="shared" si="285"/>
        <v>0</v>
      </c>
      <c r="AY252" s="182">
        <f t="shared" si="291"/>
        <v>0</v>
      </c>
      <c r="AZ252" s="182">
        <f t="shared" si="297"/>
        <v>1.8854038146004514E-2</v>
      </c>
      <c r="BA252" s="182">
        <f t="shared" si="303"/>
        <v>0</v>
      </c>
      <c r="BB252" s="182">
        <f t="shared" si="309"/>
        <v>0</v>
      </c>
      <c r="BC252" s="182">
        <f t="shared" si="315"/>
        <v>0</v>
      </c>
      <c r="BD252" s="182">
        <f t="shared" si="321"/>
        <v>0</v>
      </c>
      <c r="BE252" s="182">
        <f t="shared" si="326"/>
        <v>0</v>
      </c>
      <c r="BF252" s="182">
        <f t="shared" si="331"/>
        <v>0</v>
      </c>
      <c r="BG252" s="182">
        <f t="shared" si="336"/>
        <v>0</v>
      </c>
      <c r="BH252" s="182">
        <f t="shared" si="341"/>
        <v>0</v>
      </c>
      <c r="BI252" s="182">
        <f t="shared" si="346"/>
        <v>0</v>
      </c>
      <c r="BJ252" s="182">
        <f t="shared" si="351"/>
        <v>0</v>
      </c>
      <c r="BK252" s="182">
        <f t="shared" si="356"/>
        <v>0</v>
      </c>
      <c r="BL252" s="182">
        <f t="shared" si="361"/>
        <v>0</v>
      </c>
      <c r="BM252" s="182">
        <f t="shared" si="366"/>
        <v>0</v>
      </c>
      <c r="BN252" s="182">
        <f t="shared" si="371"/>
        <v>0</v>
      </c>
      <c r="BO252" s="182">
        <f t="shared" si="376"/>
        <v>0</v>
      </c>
      <c r="BP252" s="182">
        <f t="shared" si="382"/>
        <v>0</v>
      </c>
      <c r="BQ252" s="182">
        <f t="shared" si="388"/>
        <v>0</v>
      </c>
      <c r="BR252" s="182">
        <f t="shared" si="394"/>
        <v>0</v>
      </c>
      <c r="BS252" s="182">
        <f t="shared" si="400"/>
        <v>0</v>
      </c>
      <c r="BT252" s="182">
        <f t="shared" si="406"/>
        <v>0</v>
      </c>
      <c r="BU252" s="182">
        <f t="shared" si="412"/>
        <v>0</v>
      </c>
      <c r="BV252" s="182">
        <f t="shared" si="418"/>
        <v>0</v>
      </c>
      <c r="BW252" s="182">
        <f t="shared" si="424"/>
        <v>0</v>
      </c>
      <c r="BX252" s="182">
        <f t="shared" si="430"/>
        <v>0</v>
      </c>
      <c r="BY252" s="182">
        <f t="shared" si="436"/>
        <v>0</v>
      </c>
      <c r="BZ252" s="182">
        <f t="shared" si="442"/>
        <v>0</v>
      </c>
      <c r="CA252" s="182">
        <f t="shared" ref="CA252:CA283" si="448">CA85*CA$168</f>
        <v>4.8013509769013725E-3</v>
      </c>
      <c r="CB252" s="181">
        <f>$C252+SUM($D252:CA252,CC252:$FB252)-SUM(CB$176:CB251,CB253:CB$330)-CB$331</f>
        <v>-3.2526065174565133E-18</v>
      </c>
      <c r="CC252" s="176">
        <f t="shared" ref="CC252:DH252" si="449">CC85*CC$168</f>
        <v>0</v>
      </c>
      <c r="CD252" s="176">
        <f t="shared" si="449"/>
        <v>0</v>
      </c>
      <c r="CE252" s="176">
        <f t="shared" si="449"/>
        <v>0</v>
      </c>
      <c r="CF252" s="176">
        <f t="shared" si="449"/>
        <v>0</v>
      </c>
      <c r="CG252" s="176">
        <f t="shared" si="449"/>
        <v>0</v>
      </c>
      <c r="CH252" s="176">
        <f t="shared" si="449"/>
        <v>0</v>
      </c>
      <c r="CI252" s="176">
        <f t="shared" si="449"/>
        <v>0</v>
      </c>
      <c r="CJ252" s="176">
        <f t="shared" si="449"/>
        <v>0</v>
      </c>
      <c r="CK252" s="176">
        <f t="shared" si="449"/>
        <v>0</v>
      </c>
      <c r="CL252" s="176">
        <f t="shared" si="449"/>
        <v>0</v>
      </c>
      <c r="CM252" s="176">
        <f t="shared" si="449"/>
        <v>0</v>
      </c>
      <c r="CN252" s="176">
        <f t="shared" si="449"/>
        <v>0</v>
      </c>
      <c r="CO252" s="176">
        <f t="shared" si="449"/>
        <v>0</v>
      </c>
      <c r="CP252" s="176">
        <f t="shared" si="449"/>
        <v>0</v>
      </c>
      <c r="CQ252" s="176">
        <f t="shared" si="449"/>
        <v>0</v>
      </c>
      <c r="CR252" s="176">
        <f t="shared" si="449"/>
        <v>0</v>
      </c>
      <c r="CS252" s="176">
        <f t="shared" si="449"/>
        <v>0</v>
      </c>
      <c r="CT252" s="176">
        <f t="shared" si="449"/>
        <v>0</v>
      </c>
      <c r="CU252" s="176">
        <f t="shared" si="449"/>
        <v>0</v>
      </c>
      <c r="CV252" s="176">
        <f t="shared" si="449"/>
        <v>0</v>
      </c>
      <c r="CW252" s="176">
        <f t="shared" si="449"/>
        <v>0</v>
      </c>
      <c r="CX252" s="176">
        <f t="shared" si="449"/>
        <v>0</v>
      </c>
      <c r="CY252" s="176">
        <f t="shared" si="449"/>
        <v>0</v>
      </c>
      <c r="CZ252" s="176">
        <f t="shared" si="449"/>
        <v>0</v>
      </c>
      <c r="DA252" s="176">
        <f t="shared" si="449"/>
        <v>0</v>
      </c>
      <c r="DB252" s="176">
        <f t="shared" si="449"/>
        <v>0</v>
      </c>
      <c r="DC252" s="176">
        <f t="shared" si="449"/>
        <v>0</v>
      </c>
      <c r="DD252" s="176">
        <f t="shared" si="449"/>
        <v>0</v>
      </c>
      <c r="DE252" s="176">
        <f t="shared" si="449"/>
        <v>0</v>
      </c>
      <c r="DF252" s="176">
        <f t="shared" si="449"/>
        <v>0</v>
      </c>
      <c r="DG252" s="176">
        <f t="shared" si="449"/>
        <v>0</v>
      </c>
      <c r="DH252" s="176">
        <f t="shared" si="449"/>
        <v>0</v>
      </c>
      <c r="DI252" s="176">
        <f t="shared" ref="DI252:EN252" si="450">DI85*DI$168</f>
        <v>0</v>
      </c>
      <c r="DJ252" s="176">
        <f t="shared" si="450"/>
        <v>0</v>
      </c>
      <c r="DK252" s="176">
        <f t="shared" si="450"/>
        <v>0</v>
      </c>
      <c r="DL252" s="176">
        <f t="shared" si="450"/>
        <v>0</v>
      </c>
      <c r="DM252" s="176">
        <f t="shared" si="450"/>
        <v>0</v>
      </c>
      <c r="DN252" s="176">
        <f t="shared" si="450"/>
        <v>0</v>
      </c>
      <c r="DO252" s="176">
        <f t="shared" si="450"/>
        <v>0</v>
      </c>
      <c r="DP252" s="176">
        <f t="shared" si="450"/>
        <v>0</v>
      </c>
      <c r="DQ252" s="176">
        <f t="shared" si="450"/>
        <v>0</v>
      </c>
      <c r="DR252" s="176">
        <f t="shared" si="450"/>
        <v>0</v>
      </c>
      <c r="DS252" s="176">
        <f t="shared" si="450"/>
        <v>0</v>
      </c>
      <c r="DT252" s="176">
        <f t="shared" si="450"/>
        <v>0</v>
      </c>
      <c r="DU252" s="176">
        <f t="shared" si="450"/>
        <v>0</v>
      </c>
      <c r="DV252" s="176">
        <f t="shared" si="450"/>
        <v>0</v>
      </c>
      <c r="DW252" s="176">
        <f t="shared" si="450"/>
        <v>0</v>
      </c>
      <c r="DX252" s="176">
        <f t="shared" si="450"/>
        <v>0</v>
      </c>
      <c r="DY252" s="176">
        <f t="shared" si="450"/>
        <v>0</v>
      </c>
      <c r="DZ252" s="176">
        <f t="shared" si="450"/>
        <v>0</v>
      </c>
      <c r="EA252" s="176">
        <f t="shared" si="450"/>
        <v>0</v>
      </c>
      <c r="EB252" s="176">
        <f t="shared" si="450"/>
        <v>0</v>
      </c>
      <c r="EC252" s="176">
        <f t="shared" si="450"/>
        <v>0</v>
      </c>
      <c r="ED252" s="176">
        <f t="shared" si="450"/>
        <v>0</v>
      </c>
      <c r="EE252" s="176">
        <f t="shared" si="450"/>
        <v>0</v>
      </c>
      <c r="EF252" s="182">
        <f t="shared" si="450"/>
        <v>0</v>
      </c>
      <c r="EG252" s="182">
        <f t="shared" si="450"/>
        <v>0</v>
      </c>
      <c r="EH252" s="182">
        <f t="shared" si="450"/>
        <v>0</v>
      </c>
      <c r="EI252" s="182">
        <f t="shared" si="450"/>
        <v>0</v>
      </c>
      <c r="EJ252" s="182">
        <f t="shared" si="450"/>
        <v>0</v>
      </c>
      <c r="EK252" s="182">
        <f t="shared" si="450"/>
        <v>0</v>
      </c>
      <c r="EL252" s="182">
        <f t="shared" si="450"/>
        <v>0</v>
      </c>
      <c r="EM252" s="182">
        <f t="shared" si="450"/>
        <v>0</v>
      </c>
      <c r="EN252" s="182">
        <f t="shared" si="450"/>
        <v>0</v>
      </c>
      <c r="EO252" s="182">
        <f t="shared" ref="EO252:FB252" si="451">EO85*EO$168</f>
        <v>0</v>
      </c>
      <c r="EP252" s="182">
        <f t="shared" si="451"/>
        <v>0</v>
      </c>
      <c r="EQ252" s="182">
        <f t="shared" si="451"/>
        <v>0</v>
      </c>
      <c r="ER252" s="182">
        <f t="shared" si="451"/>
        <v>0</v>
      </c>
      <c r="ES252" s="182">
        <f t="shared" si="451"/>
        <v>0</v>
      </c>
      <c r="ET252" s="182">
        <f t="shared" si="451"/>
        <v>0</v>
      </c>
      <c r="EU252" s="182">
        <f t="shared" si="451"/>
        <v>0</v>
      </c>
      <c r="EV252" s="182">
        <f t="shared" si="451"/>
        <v>0</v>
      </c>
      <c r="EW252" s="182">
        <f t="shared" si="451"/>
        <v>0</v>
      </c>
      <c r="EX252" s="182">
        <f t="shared" si="451"/>
        <v>0</v>
      </c>
      <c r="EY252" s="182">
        <f t="shared" si="451"/>
        <v>0</v>
      </c>
      <c r="EZ252" s="182">
        <f t="shared" si="451"/>
        <v>0</v>
      </c>
      <c r="FA252" s="182">
        <f t="shared" si="451"/>
        <v>0</v>
      </c>
      <c r="FB252" s="183">
        <f t="shared" si="451"/>
        <v>0</v>
      </c>
    </row>
    <row r="253" spans="2:158" ht="12.75" customHeight="1" x14ac:dyDescent="0.3">
      <c r="B253" s="199" t="s">
        <v>3896</v>
      </c>
      <c r="C253" s="193">
        <v>0</v>
      </c>
      <c r="D253" s="182">
        <f t="shared" si="380"/>
        <v>0</v>
      </c>
      <c r="E253" s="182">
        <f t="shared" si="386"/>
        <v>0</v>
      </c>
      <c r="F253" s="182">
        <f t="shared" si="392"/>
        <v>0</v>
      </c>
      <c r="G253" s="182">
        <f t="shared" si="398"/>
        <v>0</v>
      </c>
      <c r="H253" s="182">
        <f t="shared" si="404"/>
        <v>0</v>
      </c>
      <c r="I253" s="176">
        <f t="shared" si="410"/>
        <v>0</v>
      </c>
      <c r="J253" s="182">
        <f t="shared" si="416"/>
        <v>0</v>
      </c>
      <c r="K253" s="182">
        <f t="shared" si="422"/>
        <v>0</v>
      </c>
      <c r="L253" s="182">
        <f t="shared" si="428"/>
        <v>0</v>
      </c>
      <c r="M253" s="182">
        <f t="shared" si="434"/>
        <v>0</v>
      </c>
      <c r="N253" s="182">
        <f t="shared" si="440"/>
        <v>0</v>
      </c>
      <c r="O253" s="182">
        <f t="shared" si="446"/>
        <v>0</v>
      </c>
      <c r="P253" s="182">
        <f t="shared" ref="P253:P284" si="452">P86*P$168</f>
        <v>0</v>
      </c>
      <c r="Q253" s="182">
        <f t="shared" si="278"/>
        <v>0</v>
      </c>
      <c r="R253" s="182">
        <f t="shared" si="284"/>
        <v>0</v>
      </c>
      <c r="S253" s="182">
        <f t="shared" si="290"/>
        <v>0</v>
      </c>
      <c r="T253" s="182">
        <f t="shared" si="296"/>
        <v>0</v>
      </c>
      <c r="U253" s="182">
        <f t="shared" si="302"/>
        <v>0</v>
      </c>
      <c r="V253" s="182">
        <f t="shared" si="308"/>
        <v>0</v>
      </c>
      <c r="W253" s="182">
        <f t="shared" si="314"/>
        <v>0</v>
      </c>
      <c r="X253" s="182">
        <f t="shared" si="320"/>
        <v>0</v>
      </c>
      <c r="Y253" s="182">
        <f t="shared" si="325"/>
        <v>0</v>
      </c>
      <c r="Z253" s="182">
        <f t="shared" si="330"/>
        <v>0</v>
      </c>
      <c r="AA253" s="182">
        <f t="shared" si="335"/>
        <v>0</v>
      </c>
      <c r="AB253" s="182">
        <f t="shared" si="340"/>
        <v>0</v>
      </c>
      <c r="AC253" s="182">
        <f t="shared" si="345"/>
        <v>0</v>
      </c>
      <c r="AD253" s="182">
        <f t="shared" si="350"/>
        <v>0</v>
      </c>
      <c r="AE253" s="182">
        <f t="shared" si="355"/>
        <v>0</v>
      </c>
      <c r="AF253" s="182">
        <f t="shared" si="360"/>
        <v>0</v>
      </c>
      <c r="AG253" s="182">
        <f t="shared" si="365"/>
        <v>0</v>
      </c>
      <c r="AH253" s="182">
        <f t="shared" si="370"/>
        <v>0</v>
      </c>
      <c r="AI253" s="182">
        <f t="shared" si="375"/>
        <v>0</v>
      </c>
      <c r="AJ253" s="182">
        <f t="shared" si="381"/>
        <v>0</v>
      </c>
      <c r="AK253" s="182">
        <f t="shared" si="387"/>
        <v>0</v>
      </c>
      <c r="AL253" s="182">
        <f t="shared" si="393"/>
        <v>0</v>
      </c>
      <c r="AM253" s="182">
        <f t="shared" si="399"/>
        <v>0</v>
      </c>
      <c r="AN253" s="182">
        <f t="shared" si="405"/>
        <v>0</v>
      </c>
      <c r="AO253" s="182">
        <f t="shared" si="411"/>
        <v>0</v>
      </c>
      <c r="AP253" s="182">
        <f t="shared" si="417"/>
        <v>0</v>
      </c>
      <c r="AQ253" s="182">
        <f t="shared" si="423"/>
        <v>0</v>
      </c>
      <c r="AR253" s="182">
        <f t="shared" si="429"/>
        <v>0</v>
      </c>
      <c r="AS253" s="182">
        <f t="shared" si="435"/>
        <v>0</v>
      </c>
      <c r="AT253" s="182">
        <f t="shared" si="441"/>
        <v>0</v>
      </c>
      <c r="AU253" s="182">
        <f t="shared" si="447"/>
        <v>0</v>
      </c>
      <c r="AV253" s="182">
        <f t="shared" ref="AV253:AV284" si="453">AV86*AV$168</f>
        <v>0</v>
      </c>
      <c r="AW253" s="182">
        <f t="shared" si="279"/>
        <v>0</v>
      </c>
      <c r="AX253" s="182">
        <f t="shared" si="285"/>
        <v>2.2691020483674664E-6</v>
      </c>
      <c r="AY253" s="182">
        <f t="shared" si="291"/>
        <v>0</v>
      </c>
      <c r="AZ253" s="182">
        <f t="shared" si="297"/>
        <v>0</v>
      </c>
      <c r="BA253" s="182">
        <f t="shared" si="303"/>
        <v>1.6788970883496068E-4</v>
      </c>
      <c r="BB253" s="182">
        <f t="shared" si="309"/>
        <v>0</v>
      </c>
      <c r="BC253" s="182">
        <f t="shared" si="315"/>
        <v>0</v>
      </c>
      <c r="BD253" s="182">
        <f t="shared" si="321"/>
        <v>0</v>
      </c>
      <c r="BE253" s="182">
        <f t="shared" si="326"/>
        <v>0</v>
      </c>
      <c r="BF253" s="182">
        <f t="shared" si="331"/>
        <v>0</v>
      </c>
      <c r="BG253" s="182">
        <f t="shared" si="336"/>
        <v>0</v>
      </c>
      <c r="BH253" s="182">
        <f t="shared" si="341"/>
        <v>0</v>
      </c>
      <c r="BI253" s="182">
        <f t="shared" si="346"/>
        <v>0</v>
      </c>
      <c r="BJ253" s="182">
        <f t="shared" si="351"/>
        <v>0</v>
      </c>
      <c r="BK253" s="182">
        <f t="shared" si="356"/>
        <v>0</v>
      </c>
      <c r="BL253" s="182">
        <f t="shared" si="361"/>
        <v>0</v>
      </c>
      <c r="BM253" s="182">
        <f t="shared" si="366"/>
        <v>0</v>
      </c>
      <c r="BN253" s="182">
        <f t="shared" si="371"/>
        <v>0</v>
      </c>
      <c r="BO253" s="182">
        <f t="shared" si="376"/>
        <v>0</v>
      </c>
      <c r="BP253" s="182">
        <f t="shared" si="382"/>
        <v>0</v>
      </c>
      <c r="BQ253" s="182">
        <f t="shared" si="388"/>
        <v>0</v>
      </c>
      <c r="BR253" s="182">
        <f t="shared" si="394"/>
        <v>0</v>
      </c>
      <c r="BS253" s="182">
        <f t="shared" si="400"/>
        <v>0</v>
      </c>
      <c r="BT253" s="182">
        <f t="shared" si="406"/>
        <v>0</v>
      </c>
      <c r="BU253" s="182">
        <f t="shared" si="412"/>
        <v>0</v>
      </c>
      <c r="BV253" s="182">
        <f t="shared" si="418"/>
        <v>0</v>
      </c>
      <c r="BW253" s="182">
        <f t="shared" si="424"/>
        <v>0</v>
      </c>
      <c r="BX253" s="182">
        <f t="shared" si="430"/>
        <v>0</v>
      </c>
      <c r="BY253" s="182">
        <f t="shared" si="436"/>
        <v>0</v>
      </c>
      <c r="BZ253" s="182">
        <f t="shared" si="442"/>
        <v>0</v>
      </c>
      <c r="CA253" s="182">
        <f t="shared" si="448"/>
        <v>1.485606396346561E-3</v>
      </c>
      <c r="CB253" s="182">
        <f t="shared" ref="CB253:CB284" si="454">CB86*CB$168</f>
        <v>0</v>
      </c>
      <c r="CC253" s="181">
        <f>$C253+SUM($D253:CB253,CD253:$FB253)-SUM(CC$176:CC252,CC254:CC$330)-CC$331</f>
        <v>-2.1684043449710089E-19</v>
      </c>
      <c r="CD253" s="176">
        <f t="shared" ref="CD253:DI253" si="455">CD86*CD$168</f>
        <v>0</v>
      </c>
      <c r="CE253" s="176">
        <f t="shared" si="455"/>
        <v>0</v>
      </c>
      <c r="CF253" s="176">
        <f t="shared" si="455"/>
        <v>0</v>
      </c>
      <c r="CG253" s="176">
        <f t="shared" si="455"/>
        <v>0</v>
      </c>
      <c r="CH253" s="176">
        <f t="shared" si="455"/>
        <v>0</v>
      </c>
      <c r="CI253" s="176">
        <f t="shared" si="455"/>
        <v>0</v>
      </c>
      <c r="CJ253" s="176">
        <f t="shared" si="455"/>
        <v>0</v>
      </c>
      <c r="CK253" s="176">
        <f t="shared" si="455"/>
        <v>0</v>
      </c>
      <c r="CL253" s="176">
        <f t="shared" si="455"/>
        <v>0</v>
      </c>
      <c r="CM253" s="176">
        <f t="shared" si="455"/>
        <v>0</v>
      </c>
      <c r="CN253" s="176">
        <f t="shared" si="455"/>
        <v>0</v>
      </c>
      <c r="CO253" s="176">
        <f t="shared" si="455"/>
        <v>0</v>
      </c>
      <c r="CP253" s="176">
        <f t="shared" si="455"/>
        <v>0</v>
      </c>
      <c r="CQ253" s="176">
        <f t="shared" si="455"/>
        <v>0</v>
      </c>
      <c r="CR253" s="176">
        <f t="shared" si="455"/>
        <v>0</v>
      </c>
      <c r="CS253" s="176">
        <f t="shared" si="455"/>
        <v>0</v>
      </c>
      <c r="CT253" s="176">
        <f t="shared" si="455"/>
        <v>0</v>
      </c>
      <c r="CU253" s="176">
        <f t="shared" si="455"/>
        <v>0</v>
      </c>
      <c r="CV253" s="176">
        <f t="shared" si="455"/>
        <v>0</v>
      </c>
      <c r="CW253" s="176">
        <f t="shared" si="455"/>
        <v>0</v>
      </c>
      <c r="CX253" s="176">
        <f t="shared" si="455"/>
        <v>0</v>
      </c>
      <c r="CY253" s="176">
        <f t="shared" si="455"/>
        <v>0</v>
      </c>
      <c r="CZ253" s="176">
        <f t="shared" si="455"/>
        <v>0</v>
      </c>
      <c r="DA253" s="176">
        <f t="shared" si="455"/>
        <v>0</v>
      </c>
      <c r="DB253" s="176">
        <f t="shared" si="455"/>
        <v>0</v>
      </c>
      <c r="DC253" s="176">
        <f t="shared" si="455"/>
        <v>0</v>
      </c>
      <c r="DD253" s="176">
        <f t="shared" si="455"/>
        <v>0</v>
      </c>
      <c r="DE253" s="176">
        <f t="shared" si="455"/>
        <v>0</v>
      </c>
      <c r="DF253" s="176">
        <f t="shared" si="455"/>
        <v>0</v>
      </c>
      <c r="DG253" s="176">
        <f t="shared" si="455"/>
        <v>0</v>
      </c>
      <c r="DH253" s="176">
        <f t="shared" si="455"/>
        <v>0</v>
      </c>
      <c r="DI253" s="176">
        <f t="shared" si="455"/>
        <v>0</v>
      </c>
      <c r="DJ253" s="176">
        <f t="shared" ref="DJ253:EO253" si="456">DJ86*DJ$168</f>
        <v>0</v>
      </c>
      <c r="DK253" s="176">
        <f t="shared" si="456"/>
        <v>0</v>
      </c>
      <c r="DL253" s="176">
        <f t="shared" si="456"/>
        <v>0</v>
      </c>
      <c r="DM253" s="176">
        <f t="shared" si="456"/>
        <v>0</v>
      </c>
      <c r="DN253" s="176">
        <f t="shared" si="456"/>
        <v>0</v>
      </c>
      <c r="DO253" s="176">
        <f t="shared" si="456"/>
        <v>0</v>
      </c>
      <c r="DP253" s="176">
        <f t="shared" si="456"/>
        <v>0</v>
      </c>
      <c r="DQ253" s="176">
        <f t="shared" si="456"/>
        <v>0</v>
      </c>
      <c r="DR253" s="176">
        <f t="shared" si="456"/>
        <v>0</v>
      </c>
      <c r="DS253" s="176">
        <f t="shared" si="456"/>
        <v>0</v>
      </c>
      <c r="DT253" s="176">
        <f t="shared" si="456"/>
        <v>0</v>
      </c>
      <c r="DU253" s="176">
        <f t="shared" si="456"/>
        <v>0</v>
      </c>
      <c r="DV253" s="176">
        <f t="shared" si="456"/>
        <v>0</v>
      </c>
      <c r="DW253" s="176">
        <f t="shared" si="456"/>
        <v>0</v>
      </c>
      <c r="DX253" s="176">
        <f t="shared" si="456"/>
        <v>0</v>
      </c>
      <c r="DY253" s="176">
        <f t="shared" si="456"/>
        <v>0</v>
      </c>
      <c r="DZ253" s="176">
        <f t="shared" si="456"/>
        <v>0</v>
      </c>
      <c r="EA253" s="176">
        <f t="shared" si="456"/>
        <v>0</v>
      </c>
      <c r="EB253" s="176">
        <f t="shared" si="456"/>
        <v>0</v>
      </c>
      <c r="EC253" s="176">
        <f t="shared" si="456"/>
        <v>0</v>
      </c>
      <c r="ED253" s="176">
        <f t="shared" si="456"/>
        <v>0</v>
      </c>
      <c r="EE253" s="176">
        <f t="shared" si="456"/>
        <v>0</v>
      </c>
      <c r="EF253" s="182">
        <f t="shared" si="456"/>
        <v>0</v>
      </c>
      <c r="EG253" s="182">
        <f t="shared" si="456"/>
        <v>0</v>
      </c>
      <c r="EH253" s="182">
        <f t="shared" si="456"/>
        <v>0</v>
      </c>
      <c r="EI253" s="182">
        <f t="shared" si="456"/>
        <v>0</v>
      </c>
      <c r="EJ253" s="182">
        <f t="shared" si="456"/>
        <v>0</v>
      </c>
      <c r="EK253" s="182">
        <f t="shared" si="456"/>
        <v>0</v>
      </c>
      <c r="EL253" s="182">
        <f t="shared" si="456"/>
        <v>0</v>
      </c>
      <c r="EM253" s="182">
        <f t="shared" si="456"/>
        <v>0</v>
      </c>
      <c r="EN253" s="182">
        <f t="shared" si="456"/>
        <v>0</v>
      </c>
      <c r="EO253" s="182">
        <f t="shared" si="456"/>
        <v>0</v>
      </c>
      <c r="EP253" s="182">
        <f t="shared" ref="EP253:FB253" si="457">EP86*EP$168</f>
        <v>0</v>
      </c>
      <c r="EQ253" s="182">
        <f t="shared" si="457"/>
        <v>0</v>
      </c>
      <c r="ER253" s="182">
        <f t="shared" si="457"/>
        <v>0</v>
      </c>
      <c r="ES253" s="182">
        <f t="shared" si="457"/>
        <v>0</v>
      </c>
      <c r="ET253" s="182">
        <f t="shared" si="457"/>
        <v>0</v>
      </c>
      <c r="EU253" s="182">
        <f t="shared" si="457"/>
        <v>0</v>
      </c>
      <c r="EV253" s="182">
        <f t="shared" si="457"/>
        <v>0</v>
      </c>
      <c r="EW253" s="182">
        <f t="shared" si="457"/>
        <v>0</v>
      </c>
      <c r="EX253" s="182">
        <f t="shared" si="457"/>
        <v>0</v>
      </c>
      <c r="EY253" s="182">
        <f t="shared" si="457"/>
        <v>0</v>
      </c>
      <c r="EZ253" s="182">
        <f t="shared" si="457"/>
        <v>0</v>
      </c>
      <c r="FA253" s="182">
        <f t="shared" si="457"/>
        <v>0</v>
      </c>
      <c r="FB253" s="183">
        <f t="shared" si="457"/>
        <v>0</v>
      </c>
    </row>
    <row r="254" spans="2:158" ht="12.75" customHeight="1" x14ac:dyDescent="0.3">
      <c r="B254" s="199" t="s">
        <v>3897</v>
      </c>
      <c r="C254" s="193">
        <v>0</v>
      </c>
      <c r="D254" s="182">
        <f t="shared" si="380"/>
        <v>0</v>
      </c>
      <c r="E254" s="182">
        <f t="shared" si="386"/>
        <v>0</v>
      </c>
      <c r="F254" s="182">
        <f t="shared" si="392"/>
        <v>0</v>
      </c>
      <c r="G254" s="182">
        <f t="shared" si="398"/>
        <v>0</v>
      </c>
      <c r="H254" s="182">
        <f t="shared" si="404"/>
        <v>0</v>
      </c>
      <c r="I254" s="176">
        <f t="shared" si="410"/>
        <v>0</v>
      </c>
      <c r="J254" s="182">
        <f t="shared" si="416"/>
        <v>0</v>
      </c>
      <c r="K254" s="182">
        <f t="shared" si="422"/>
        <v>0</v>
      </c>
      <c r="L254" s="182">
        <f t="shared" si="428"/>
        <v>0</v>
      </c>
      <c r="M254" s="182">
        <f t="shared" si="434"/>
        <v>0</v>
      </c>
      <c r="N254" s="182">
        <f t="shared" si="440"/>
        <v>0</v>
      </c>
      <c r="O254" s="182">
        <f t="shared" si="446"/>
        <v>0</v>
      </c>
      <c r="P254" s="182">
        <f t="shared" si="452"/>
        <v>0</v>
      </c>
      <c r="Q254" s="182">
        <f t="shared" ref="Q254:Q285" si="458">Q87*Q$168</f>
        <v>0</v>
      </c>
      <c r="R254" s="182">
        <f t="shared" si="284"/>
        <v>0</v>
      </c>
      <c r="S254" s="182">
        <f t="shared" si="290"/>
        <v>0</v>
      </c>
      <c r="T254" s="182">
        <f t="shared" si="296"/>
        <v>0</v>
      </c>
      <c r="U254" s="182">
        <f t="shared" si="302"/>
        <v>0</v>
      </c>
      <c r="V254" s="182">
        <f t="shared" si="308"/>
        <v>0</v>
      </c>
      <c r="W254" s="182">
        <f t="shared" si="314"/>
        <v>0</v>
      </c>
      <c r="X254" s="182">
        <f t="shared" si="320"/>
        <v>0</v>
      </c>
      <c r="Y254" s="182">
        <f t="shared" si="325"/>
        <v>0</v>
      </c>
      <c r="Z254" s="182">
        <f t="shared" si="330"/>
        <v>0</v>
      </c>
      <c r="AA254" s="182">
        <f t="shared" si="335"/>
        <v>0</v>
      </c>
      <c r="AB254" s="182">
        <f t="shared" si="340"/>
        <v>0</v>
      </c>
      <c r="AC254" s="182">
        <f t="shared" si="345"/>
        <v>0</v>
      </c>
      <c r="AD254" s="182">
        <f t="shared" si="350"/>
        <v>0</v>
      </c>
      <c r="AE254" s="182">
        <f t="shared" si="355"/>
        <v>0</v>
      </c>
      <c r="AF254" s="182">
        <f t="shared" si="360"/>
        <v>0</v>
      </c>
      <c r="AG254" s="182">
        <f t="shared" si="365"/>
        <v>0</v>
      </c>
      <c r="AH254" s="182">
        <f t="shared" si="370"/>
        <v>0</v>
      </c>
      <c r="AI254" s="182">
        <f t="shared" si="375"/>
        <v>0</v>
      </c>
      <c r="AJ254" s="182">
        <f t="shared" si="381"/>
        <v>0</v>
      </c>
      <c r="AK254" s="182">
        <f t="shared" si="387"/>
        <v>0</v>
      </c>
      <c r="AL254" s="182">
        <f t="shared" si="393"/>
        <v>0</v>
      </c>
      <c r="AM254" s="182">
        <f t="shared" si="399"/>
        <v>0</v>
      </c>
      <c r="AN254" s="182">
        <f t="shared" si="405"/>
        <v>0</v>
      </c>
      <c r="AO254" s="182">
        <f t="shared" si="411"/>
        <v>0</v>
      </c>
      <c r="AP254" s="182">
        <f t="shared" si="417"/>
        <v>0</v>
      </c>
      <c r="AQ254" s="182">
        <f t="shared" si="423"/>
        <v>0</v>
      </c>
      <c r="AR254" s="182">
        <f t="shared" si="429"/>
        <v>0</v>
      </c>
      <c r="AS254" s="182">
        <f t="shared" si="435"/>
        <v>0</v>
      </c>
      <c r="AT254" s="182">
        <f t="shared" si="441"/>
        <v>0</v>
      </c>
      <c r="AU254" s="182">
        <f t="shared" si="447"/>
        <v>0</v>
      </c>
      <c r="AV254" s="182">
        <f t="shared" si="453"/>
        <v>0</v>
      </c>
      <c r="AW254" s="182">
        <f t="shared" ref="AW254:AW285" si="459">AW87*AW$168</f>
        <v>0</v>
      </c>
      <c r="AX254" s="182">
        <f t="shared" si="285"/>
        <v>0</v>
      </c>
      <c r="AY254" s="182">
        <f t="shared" si="291"/>
        <v>0</v>
      </c>
      <c r="AZ254" s="182">
        <f t="shared" si="297"/>
        <v>0</v>
      </c>
      <c r="BA254" s="182">
        <f t="shared" si="303"/>
        <v>0</v>
      </c>
      <c r="BB254" s="182">
        <f t="shared" si="309"/>
        <v>0</v>
      </c>
      <c r="BC254" s="182">
        <f t="shared" si="315"/>
        <v>0</v>
      </c>
      <c r="BD254" s="182">
        <f t="shared" si="321"/>
        <v>0</v>
      </c>
      <c r="BE254" s="182">
        <f t="shared" si="326"/>
        <v>0</v>
      </c>
      <c r="BF254" s="182">
        <f t="shared" si="331"/>
        <v>0</v>
      </c>
      <c r="BG254" s="182">
        <f t="shared" si="336"/>
        <v>0</v>
      </c>
      <c r="BH254" s="182">
        <f t="shared" si="341"/>
        <v>0</v>
      </c>
      <c r="BI254" s="182">
        <f t="shared" si="346"/>
        <v>0</v>
      </c>
      <c r="BJ254" s="182">
        <f t="shared" si="351"/>
        <v>0</v>
      </c>
      <c r="BK254" s="182">
        <f t="shared" si="356"/>
        <v>0</v>
      </c>
      <c r="BL254" s="182">
        <f t="shared" si="361"/>
        <v>0</v>
      </c>
      <c r="BM254" s="182">
        <f t="shared" si="366"/>
        <v>0</v>
      </c>
      <c r="BN254" s="182">
        <f t="shared" si="371"/>
        <v>0</v>
      </c>
      <c r="BO254" s="182">
        <f t="shared" si="376"/>
        <v>0</v>
      </c>
      <c r="BP254" s="182">
        <f t="shared" si="382"/>
        <v>0</v>
      </c>
      <c r="BQ254" s="182">
        <f t="shared" si="388"/>
        <v>0</v>
      </c>
      <c r="BR254" s="182">
        <f t="shared" si="394"/>
        <v>0</v>
      </c>
      <c r="BS254" s="182">
        <f t="shared" si="400"/>
        <v>0</v>
      </c>
      <c r="BT254" s="182">
        <f t="shared" si="406"/>
        <v>0</v>
      </c>
      <c r="BU254" s="182">
        <f t="shared" si="412"/>
        <v>0</v>
      </c>
      <c r="BV254" s="182">
        <f t="shared" si="418"/>
        <v>0</v>
      </c>
      <c r="BW254" s="182">
        <f t="shared" si="424"/>
        <v>0</v>
      </c>
      <c r="BX254" s="182">
        <f t="shared" si="430"/>
        <v>0</v>
      </c>
      <c r="BY254" s="182">
        <f t="shared" si="436"/>
        <v>0</v>
      </c>
      <c r="BZ254" s="182">
        <f t="shared" si="442"/>
        <v>0</v>
      </c>
      <c r="CA254" s="182">
        <f t="shared" si="448"/>
        <v>0</v>
      </c>
      <c r="CB254" s="182">
        <f t="shared" si="454"/>
        <v>0</v>
      </c>
      <c r="CC254" s="182">
        <f t="shared" ref="CC254:CC285" si="460">CC87*CC$168</f>
        <v>0</v>
      </c>
      <c r="CD254" s="181">
        <f>$C254+SUM($D254:CC254,CE254:$FB254)-SUM(CD$176:CD253,CD255:CD$330)-CD$331</f>
        <v>0</v>
      </c>
      <c r="CE254" s="176">
        <f t="shared" ref="CE254:DJ254" si="461">CE87*CE$168</f>
        <v>0</v>
      </c>
      <c r="CF254" s="176">
        <f t="shared" si="461"/>
        <v>0</v>
      </c>
      <c r="CG254" s="176">
        <f t="shared" si="461"/>
        <v>0</v>
      </c>
      <c r="CH254" s="176">
        <f t="shared" si="461"/>
        <v>0</v>
      </c>
      <c r="CI254" s="176">
        <f t="shared" si="461"/>
        <v>0</v>
      </c>
      <c r="CJ254" s="176">
        <f t="shared" si="461"/>
        <v>0</v>
      </c>
      <c r="CK254" s="176">
        <f t="shared" si="461"/>
        <v>0</v>
      </c>
      <c r="CL254" s="176">
        <f t="shared" si="461"/>
        <v>0</v>
      </c>
      <c r="CM254" s="176">
        <f t="shared" si="461"/>
        <v>0</v>
      </c>
      <c r="CN254" s="176">
        <f t="shared" si="461"/>
        <v>0</v>
      </c>
      <c r="CO254" s="176">
        <f t="shared" si="461"/>
        <v>0</v>
      </c>
      <c r="CP254" s="176">
        <f t="shared" si="461"/>
        <v>0</v>
      </c>
      <c r="CQ254" s="176">
        <f t="shared" si="461"/>
        <v>0</v>
      </c>
      <c r="CR254" s="176">
        <f t="shared" si="461"/>
        <v>0</v>
      </c>
      <c r="CS254" s="176">
        <f t="shared" si="461"/>
        <v>0</v>
      </c>
      <c r="CT254" s="176">
        <f t="shared" si="461"/>
        <v>0</v>
      </c>
      <c r="CU254" s="176">
        <f t="shared" si="461"/>
        <v>0</v>
      </c>
      <c r="CV254" s="176">
        <f t="shared" si="461"/>
        <v>0</v>
      </c>
      <c r="CW254" s="176">
        <f t="shared" si="461"/>
        <v>0</v>
      </c>
      <c r="CX254" s="176">
        <f t="shared" si="461"/>
        <v>0</v>
      </c>
      <c r="CY254" s="176">
        <f t="shared" si="461"/>
        <v>0</v>
      </c>
      <c r="CZ254" s="176">
        <f t="shared" si="461"/>
        <v>0</v>
      </c>
      <c r="DA254" s="176">
        <f t="shared" si="461"/>
        <v>0</v>
      </c>
      <c r="DB254" s="176">
        <f t="shared" si="461"/>
        <v>0</v>
      </c>
      <c r="DC254" s="176">
        <f t="shared" si="461"/>
        <v>0</v>
      </c>
      <c r="DD254" s="176">
        <f t="shared" si="461"/>
        <v>0</v>
      </c>
      <c r="DE254" s="176">
        <f t="shared" si="461"/>
        <v>0</v>
      </c>
      <c r="DF254" s="176">
        <f t="shared" si="461"/>
        <v>0</v>
      </c>
      <c r="DG254" s="176">
        <f t="shared" si="461"/>
        <v>0</v>
      </c>
      <c r="DH254" s="176">
        <f t="shared" si="461"/>
        <v>0</v>
      </c>
      <c r="DI254" s="176">
        <f t="shared" si="461"/>
        <v>0</v>
      </c>
      <c r="DJ254" s="176">
        <f t="shared" si="461"/>
        <v>0</v>
      </c>
      <c r="DK254" s="176">
        <f t="shared" ref="DK254:EP254" si="462">DK87*DK$168</f>
        <v>0</v>
      </c>
      <c r="DL254" s="176">
        <f t="shared" si="462"/>
        <v>0</v>
      </c>
      <c r="DM254" s="176">
        <f t="shared" si="462"/>
        <v>0</v>
      </c>
      <c r="DN254" s="176">
        <f t="shared" si="462"/>
        <v>0</v>
      </c>
      <c r="DO254" s="176">
        <f t="shared" si="462"/>
        <v>0</v>
      </c>
      <c r="DP254" s="176">
        <f t="shared" si="462"/>
        <v>0</v>
      </c>
      <c r="DQ254" s="176">
        <f t="shared" si="462"/>
        <v>0</v>
      </c>
      <c r="DR254" s="176">
        <f t="shared" si="462"/>
        <v>0</v>
      </c>
      <c r="DS254" s="176">
        <f t="shared" si="462"/>
        <v>0</v>
      </c>
      <c r="DT254" s="176">
        <f t="shared" si="462"/>
        <v>0</v>
      </c>
      <c r="DU254" s="176">
        <f t="shared" si="462"/>
        <v>0</v>
      </c>
      <c r="DV254" s="176">
        <f t="shared" si="462"/>
        <v>0</v>
      </c>
      <c r="DW254" s="176">
        <f t="shared" si="462"/>
        <v>0</v>
      </c>
      <c r="DX254" s="176">
        <f t="shared" si="462"/>
        <v>0</v>
      </c>
      <c r="DY254" s="176">
        <f t="shared" si="462"/>
        <v>0</v>
      </c>
      <c r="DZ254" s="176">
        <f t="shared" si="462"/>
        <v>0</v>
      </c>
      <c r="EA254" s="176">
        <f t="shared" si="462"/>
        <v>0</v>
      </c>
      <c r="EB254" s="176">
        <f t="shared" si="462"/>
        <v>0</v>
      </c>
      <c r="EC254" s="176">
        <f t="shared" si="462"/>
        <v>0</v>
      </c>
      <c r="ED254" s="176">
        <f t="shared" si="462"/>
        <v>0</v>
      </c>
      <c r="EE254" s="176">
        <f t="shared" si="462"/>
        <v>0</v>
      </c>
      <c r="EF254" s="182">
        <f t="shared" si="462"/>
        <v>0</v>
      </c>
      <c r="EG254" s="182">
        <f t="shared" si="462"/>
        <v>0</v>
      </c>
      <c r="EH254" s="182">
        <f t="shared" si="462"/>
        <v>0</v>
      </c>
      <c r="EI254" s="182">
        <f t="shared" si="462"/>
        <v>0</v>
      </c>
      <c r="EJ254" s="182">
        <f t="shared" si="462"/>
        <v>0</v>
      </c>
      <c r="EK254" s="182">
        <f t="shared" si="462"/>
        <v>0</v>
      </c>
      <c r="EL254" s="182">
        <f t="shared" si="462"/>
        <v>0</v>
      </c>
      <c r="EM254" s="182">
        <f t="shared" si="462"/>
        <v>0</v>
      </c>
      <c r="EN254" s="182">
        <f t="shared" si="462"/>
        <v>0</v>
      </c>
      <c r="EO254" s="182">
        <f t="shared" si="462"/>
        <v>0</v>
      </c>
      <c r="EP254" s="182">
        <f t="shared" si="462"/>
        <v>0</v>
      </c>
      <c r="EQ254" s="182">
        <f t="shared" ref="EQ254:FB254" si="463">EQ87*EQ$168</f>
        <v>0</v>
      </c>
      <c r="ER254" s="182">
        <f t="shared" si="463"/>
        <v>0</v>
      </c>
      <c r="ES254" s="182">
        <f t="shared" si="463"/>
        <v>0</v>
      </c>
      <c r="ET254" s="182">
        <f t="shared" si="463"/>
        <v>0</v>
      </c>
      <c r="EU254" s="182">
        <f t="shared" si="463"/>
        <v>0</v>
      </c>
      <c r="EV254" s="182">
        <f t="shared" si="463"/>
        <v>0</v>
      </c>
      <c r="EW254" s="182">
        <f t="shared" si="463"/>
        <v>0</v>
      </c>
      <c r="EX254" s="182">
        <f t="shared" si="463"/>
        <v>0</v>
      </c>
      <c r="EY254" s="182">
        <f t="shared" si="463"/>
        <v>0</v>
      </c>
      <c r="EZ254" s="182">
        <f t="shared" si="463"/>
        <v>0</v>
      </c>
      <c r="FA254" s="182">
        <f t="shared" si="463"/>
        <v>0</v>
      </c>
      <c r="FB254" s="183">
        <f t="shared" si="463"/>
        <v>0</v>
      </c>
    </row>
    <row r="255" spans="2:158" ht="12.75" customHeight="1" x14ac:dyDescent="0.3">
      <c r="B255" s="199" t="s">
        <v>3898</v>
      </c>
      <c r="C255" s="193">
        <v>0</v>
      </c>
      <c r="D255" s="182">
        <f t="shared" si="380"/>
        <v>0</v>
      </c>
      <c r="E255" s="182">
        <f t="shared" si="386"/>
        <v>0</v>
      </c>
      <c r="F255" s="182">
        <f t="shared" si="392"/>
        <v>0</v>
      </c>
      <c r="G255" s="182">
        <f t="shared" si="398"/>
        <v>0</v>
      </c>
      <c r="H255" s="182">
        <f t="shared" si="404"/>
        <v>0</v>
      </c>
      <c r="I255" s="176">
        <f t="shared" si="410"/>
        <v>0</v>
      </c>
      <c r="J255" s="182">
        <f t="shared" si="416"/>
        <v>0</v>
      </c>
      <c r="K255" s="182">
        <f t="shared" si="422"/>
        <v>0</v>
      </c>
      <c r="L255" s="182">
        <f t="shared" si="428"/>
        <v>0</v>
      </c>
      <c r="M255" s="182">
        <f t="shared" si="434"/>
        <v>0</v>
      </c>
      <c r="N255" s="182">
        <f t="shared" si="440"/>
        <v>0</v>
      </c>
      <c r="O255" s="182">
        <f t="shared" si="446"/>
        <v>0</v>
      </c>
      <c r="P255" s="182">
        <f t="shared" si="452"/>
        <v>0</v>
      </c>
      <c r="Q255" s="182">
        <f t="shared" si="458"/>
        <v>0</v>
      </c>
      <c r="R255" s="182">
        <f t="shared" ref="R255:R286" si="464">R88*R$168</f>
        <v>0</v>
      </c>
      <c r="S255" s="182">
        <f t="shared" si="290"/>
        <v>0</v>
      </c>
      <c r="T255" s="182">
        <f t="shared" si="296"/>
        <v>0</v>
      </c>
      <c r="U255" s="182">
        <f t="shared" si="302"/>
        <v>0</v>
      </c>
      <c r="V255" s="182">
        <f t="shared" si="308"/>
        <v>0</v>
      </c>
      <c r="W255" s="182">
        <f t="shared" si="314"/>
        <v>0</v>
      </c>
      <c r="X255" s="182">
        <f t="shared" si="320"/>
        <v>0</v>
      </c>
      <c r="Y255" s="182">
        <f t="shared" si="325"/>
        <v>0</v>
      </c>
      <c r="Z255" s="182">
        <f t="shared" si="330"/>
        <v>0</v>
      </c>
      <c r="AA255" s="182">
        <f t="shared" si="335"/>
        <v>0</v>
      </c>
      <c r="AB255" s="182">
        <f t="shared" si="340"/>
        <v>0</v>
      </c>
      <c r="AC255" s="182">
        <f t="shared" si="345"/>
        <v>0</v>
      </c>
      <c r="AD255" s="182">
        <f t="shared" si="350"/>
        <v>0</v>
      </c>
      <c r="AE255" s="182">
        <f t="shared" si="355"/>
        <v>0</v>
      </c>
      <c r="AF255" s="182">
        <f t="shared" si="360"/>
        <v>0</v>
      </c>
      <c r="AG255" s="182">
        <f t="shared" si="365"/>
        <v>0</v>
      </c>
      <c r="AH255" s="182">
        <f t="shared" si="370"/>
        <v>0</v>
      </c>
      <c r="AI255" s="182">
        <f t="shared" si="375"/>
        <v>0</v>
      </c>
      <c r="AJ255" s="182">
        <f t="shared" si="381"/>
        <v>0</v>
      </c>
      <c r="AK255" s="182">
        <f t="shared" si="387"/>
        <v>0</v>
      </c>
      <c r="AL255" s="182">
        <f t="shared" si="393"/>
        <v>0</v>
      </c>
      <c r="AM255" s="182">
        <f t="shared" si="399"/>
        <v>0</v>
      </c>
      <c r="AN255" s="182">
        <f t="shared" si="405"/>
        <v>0</v>
      </c>
      <c r="AO255" s="182">
        <f t="shared" si="411"/>
        <v>0</v>
      </c>
      <c r="AP255" s="182">
        <f t="shared" si="417"/>
        <v>0</v>
      </c>
      <c r="AQ255" s="182">
        <f t="shared" si="423"/>
        <v>0</v>
      </c>
      <c r="AR255" s="182">
        <f t="shared" si="429"/>
        <v>0</v>
      </c>
      <c r="AS255" s="182">
        <f t="shared" si="435"/>
        <v>0</v>
      </c>
      <c r="AT255" s="182">
        <f t="shared" si="441"/>
        <v>0</v>
      </c>
      <c r="AU255" s="182">
        <f t="shared" si="447"/>
        <v>0</v>
      </c>
      <c r="AV255" s="182">
        <f t="shared" si="453"/>
        <v>1.0870582295152476E-2</v>
      </c>
      <c r="AW255" s="182">
        <f t="shared" si="459"/>
        <v>0</v>
      </c>
      <c r="AX255" s="182">
        <f t="shared" ref="AX255:AX286" si="465">AX88*AX$168</f>
        <v>0</v>
      </c>
      <c r="AY255" s="182">
        <f t="shared" si="291"/>
        <v>3.1005299598809689E-3</v>
      </c>
      <c r="AZ255" s="182">
        <f t="shared" si="297"/>
        <v>0</v>
      </c>
      <c r="BA255" s="182">
        <f t="shared" si="303"/>
        <v>0</v>
      </c>
      <c r="BB255" s="182">
        <f t="shared" si="309"/>
        <v>0</v>
      </c>
      <c r="BC255" s="182">
        <f t="shared" si="315"/>
        <v>0</v>
      </c>
      <c r="BD255" s="182">
        <f t="shared" si="321"/>
        <v>0</v>
      </c>
      <c r="BE255" s="182">
        <f t="shared" si="326"/>
        <v>0</v>
      </c>
      <c r="BF255" s="182">
        <f t="shared" si="331"/>
        <v>0</v>
      </c>
      <c r="BG255" s="182">
        <f t="shared" si="336"/>
        <v>0</v>
      </c>
      <c r="BH255" s="182">
        <f t="shared" si="341"/>
        <v>0</v>
      </c>
      <c r="BI255" s="182">
        <f t="shared" si="346"/>
        <v>0</v>
      </c>
      <c r="BJ255" s="182">
        <f t="shared" si="351"/>
        <v>0</v>
      </c>
      <c r="BK255" s="182">
        <f t="shared" si="356"/>
        <v>0</v>
      </c>
      <c r="BL255" s="182">
        <f t="shared" si="361"/>
        <v>0</v>
      </c>
      <c r="BM255" s="182">
        <f t="shared" si="366"/>
        <v>0</v>
      </c>
      <c r="BN255" s="182">
        <f t="shared" si="371"/>
        <v>0</v>
      </c>
      <c r="BO255" s="182">
        <f t="shared" si="376"/>
        <v>0</v>
      </c>
      <c r="BP255" s="182">
        <f t="shared" si="382"/>
        <v>0</v>
      </c>
      <c r="BQ255" s="182">
        <f t="shared" si="388"/>
        <v>0</v>
      </c>
      <c r="BR255" s="182">
        <f t="shared" si="394"/>
        <v>0</v>
      </c>
      <c r="BS255" s="182">
        <f t="shared" si="400"/>
        <v>0</v>
      </c>
      <c r="BT255" s="182">
        <f t="shared" si="406"/>
        <v>0</v>
      </c>
      <c r="BU255" s="182">
        <f t="shared" si="412"/>
        <v>0</v>
      </c>
      <c r="BV255" s="182">
        <f t="shared" si="418"/>
        <v>0</v>
      </c>
      <c r="BW255" s="182">
        <f t="shared" si="424"/>
        <v>0</v>
      </c>
      <c r="BX255" s="182">
        <f t="shared" si="430"/>
        <v>0</v>
      </c>
      <c r="BY255" s="182">
        <f t="shared" si="436"/>
        <v>0</v>
      </c>
      <c r="BZ255" s="182">
        <f t="shared" si="442"/>
        <v>0</v>
      </c>
      <c r="CA255" s="182">
        <f t="shared" si="448"/>
        <v>0</v>
      </c>
      <c r="CB255" s="182">
        <f t="shared" si="454"/>
        <v>0</v>
      </c>
      <c r="CC255" s="182">
        <f t="shared" si="460"/>
        <v>0</v>
      </c>
      <c r="CD255" s="182">
        <f t="shared" ref="CD255:CD286" si="466">CD88*CD$168</f>
        <v>0</v>
      </c>
      <c r="CE255" s="181">
        <f>$C255+SUM($D255:CD255,CF255:$FB255)-SUM(CE$176:CE254,CE256:CE$330)-CE$331</f>
        <v>3.7676662422942945E-18</v>
      </c>
      <c r="CF255" s="176">
        <f t="shared" ref="CF255:DK255" si="467">CF88*CF$168</f>
        <v>0</v>
      </c>
      <c r="CG255" s="176">
        <f t="shared" si="467"/>
        <v>0</v>
      </c>
      <c r="CH255" s="176">
        <f t="shared" si="467"/>
        <v>0</v>
      </c>
      <c r="CI255" s="176">
        <f t="shared" si="467"/>
        <v>0</v>
      </c>
      <c r="CJ255" s="176">
        <f t="shared" si="467"/>
        <v>0</v>
      </c>
      <c r="CK255" s="176">
        <f t="shared" si="467"/>
        <v>0</v>
      </c>
      <c r="CL255" s="176">
        <f t="shared" si="467"/>
        <v>0</v>
      </c>
      <c r="CM255" s="176">
        <f t="shared" si="467"/>
        <v>0</v>
      </c>
      <c r="CN255" s="176">
        <f t="shared" si="467"/>
        <v>0</v>
      </c>
      <c r="CO255" s="176">
        <f t="shared" si="467"/>
        <v>0</v>
      </c>
      <c r="CP255" s="176">
        <f t="shared" si="467"/>
        <v>0</v>
      </c>
      <c r="CQ255" s="176">
        <f t="shared" si="467"/>
        <v>0</v>
      </c>
      <c r="CR255" s="176">
        <f t="shared" si="467"/>
        <v>0</v>
      </c>
      <c r="CS255" s="176">
        <f t="shared" si="467"/>
        <v>0</v>
      </c>
      <c r="CT255" s="176">
        <f t="shared" si="467"/>
        <v>0</v>
      </c>
      <c r="CU255" s="176">
        <f t="shared" si="467"/>
        <v>0</v>
      </c>
      <c r="CV255" s="176">
        <f t="shared" si="467"/>
        <v>0</v>
      </c>
      <c r="CW255" s="176">
        <f t="shared" si="467"/>
        <v>0</v>
      </c>
      <c r="CX255" s="176">
        <f t="shared" si="467"/>
        <v>0</v>
      </c>
      <c r="CY255" s="176">
        <f t="shared" si="467"/>
        <v>0</v>
      </c>
      <c r="CZ255" s="176">
        <f t="shared" si="467"/>
        <v>0</v>
      </c>
      <c r="DA255" s="176">
        <f t="shared" si="467"/>
        <v>0</v>
      </c>
      <c r="DB255" s="176">
        <f t="shared" si="467"/>
        <v>0</v>
      </c>
      <c r="DC255" s="176">
        <f t="shared" si="467"/>
        <v>0</v>
      </c>
      <c r="DD255" s="176">
        <f t="shared" si="467"/>
        <v>0</v>
      </c>
      <c r="DE255" s="176">
        <f t="shared" si="467"/>
        <v>0</v>
      </c>
      <c r="DF255" s="176">
        <f t="shared" si="467"/>
        <v>0</v>
      </c>
      <c r="DG255" s="176">
        <f t="shared" si="467"/>
        <v>0</v>
      </c>
      <c r="DH255" s="176">
        <f t="shared" si="467"/>
        <v>0</v>
      </c>
      <c r="DI255" s="176">
        <f t="shared" si="467"/>
        <v>0</v>
      </c>
      <c r="DJ255" s="176">
        <f t="shared" si="467"/>
        <v>0</v>
      </c>
      <c r="DK255" s="176">
        <f t="shared" si="467"/>
        <v>0</v>
      </c>
      <c r="DL255" s="176">
        <f t="shared" ref="DL255:EQ255" si="468">DL88*DL$168</f>
        <v>0</v>
      </c>
      <c r="DM255" s="176">
        <f t="shared" si="468"/>
        <v>0</v>
      </c>
      <c r="DN255" s="176">
        <f t="shared" si="468"/>
        <v>0</v>
      </c>
      <c r="DO255" s="176">
        <f t="shared" si="468"/>
        <v>0</v>
      </c>
      <c r="DP255" s="176">
        <f t="shared" si="468"/>
        <v>0</v>
      </c>
      <c r="DQ255" s="176">
        <f t="shared" si="468"/>
        <v>0</v>
      </c>
      <c r="DR255" s="176">
        <f t="shared" si="468"/>
        <v>0</v>
      </c>
      <c r="DS255" s="176">
        <f t="shared" si="468"/>
        <v>0</v>
      </c>
      <c r="DT255" s="176">
        <f t="shared" si="468"/>
        <v>0</v>
      </c>
      <c r="DU255" s="176">
        <f t="shared" si="468"/>
        <v>0</v>
      </c>
      <c r="DV255" s="176">
        <f t="shared" si="468"/>
        <v>0</v>
      </c>
      <c r="DW255" s="176">
        <f t="shared" si="468"/>
        <v>0</v>
      </c>
      <c r="DX255" s="176">
        <f t="shared" si="468"/>
        <v>0</v>
      </c>
      <c r="DY255" s="176">
        <f t="shared" si="468"/>
        <v>0</v>
      </c>
      <c r="DZ255" s="176">
        <f t="shared" si="468"/>
        <v>0</v>
      </c>
      <c r="EA255" s="176">
        <f t="shared" si="468"/>
        <v>0</v>
      </c>
      <c r="EB255" s="176">
        <f t="shared" si="468"/>
        <v>0</v>
      </c>
      <c r="EC255" s="176">
        <f t="shared" si="468"/>
        <v>0</v>
      </c>
      <c r="ED255" s="176">
        <f t="shared" si="468"/>
        <v>0</v>
      </c>
      <c r="EE255" s="176">
        <f t="shared" si="468"/>
        <v>0</v>
      </c>
      <c r="EF255" s="182">
        <f t="shared" si="468"/>
        <v>0</v>
      </c>
      <c r="EG255" s="182">
        <f t="shared" si="468"/>
        <v>0</v>
      </c>
      <c r="EH255" s="182">
        <f t="shared" si="468"/>
        <v>0</v>
      </c>
      <c r="EI255" s="182">
        <f t="shared" si="468"/>
        <v>0</v>
      </c>
      <c r="EJ255" s="182">
        <f t="shared" si="468"/>
        <v>0</v>
      </c>
      <c r="EK255" s="182">
        <f t="shared" si="468"/>
        <v>0</v>
      </c>
      <c r="EL255" s="182">
        <f t="shared" si="468"/>
        <v>0</v>
      </c>
      <c r="EM255" s="182">
        <f t="shared" si="468"/>
        <v>0</v>
      </c>
      <c r="EN255" s="182">
        <f t="shared" si="468"/>
        <v>0</v>
      </c>
      <c r="EO255" s="182">
        <f t="shared" si="468"/>
        <v>0</v>
      </c>
      <c r="EP255" s="182">
        <f t="shared" si="468"/>
        <v>0</v>
      </c>
      <c r="EQ255" s="182">
        <f t="shared" si="468"/>
        <v>0</v>
      </c>
      <c r="ER255" s="182">
        <f t="shared" ref="ER255:FB255" si="469">ER88*ER$168</f>
        <v>0</v>
      </c>
      <c r="ES255" s="182">
        <f t="shared" si="469"/>
        <v>0</v>
      </c>
      <c r="ET255" s="182">
        <f t="shared" si="469"/>
        <v>0</v>
      </c>
      <c r="EU255" s="182">
        <f t="shared" si="469"/>
        <v>0</v>
      </c>
      <c r="EV255" s="182">
        <f t="shared" si="469"/>
        <v>0</v>
      </c>
      <c r="EW255" s="182">
        <f t="shared" si="469"/>
        <v>0</v>
      </c>
      <c r="EX255" s="182">
        <f t="shared" si="469"/>
        <v>0</v>
      </c>
      <c r="EY255" s="182">
        <f t="shared" si="469"/>
        <v>0</v>
      </c>
      <c r="EZ255" s="182">
        <f t="shared" si="469"/>
        <v>0</v>
      </c>
      <c r="FA255" s="182">
        <f t="shared" si="469"/>
        <v>0</v>
      </c>
      <c r="FB255" s="183">
        <f t="shared" si="469"/>
        <v>0</v>
      </c>
    </row>
    <row r="256" spans="2:158" ht="12.75" customHeight="1" x14ac:dyDescent="0.3">
      <c r="B256" s="199" t="s">
        <v>3899</v>
      </c>
      <c r="C256" s="193">
        <v>0</v>
      </c>
      <c r="D256" s="182">
        <f t="shared" si="380"/>
        <v>0</v>
      </c>
      <c r="E256" s="182">
        <f t="shared" si="386"/>
        <v>0</v>
      </c>
      <c r="F256" s="182">
        <f t="shared" si="392"/>
        <v>0</v>
      </c>
      <c r="G256" s="182">
        <f t="shared" si="398"/>
        <v>0</v>
      </c>
      <c r="H256" s="182">
        <f t="shared" si="404"/>
        <v>0</v>
      </c>
      <c r="I256" s="176">
        <f t="shared" si="410"/>
        <v>0</v>
      </c>
      <c r="J256" s="182">
        <f t="shared" si="416"/>
        <v>0</v>
      </c>
      <c r="K256" s="182">
        <f t="shared" si="422"/>
        <v>0</v>
      </c>
      <c r="L256" s="182">
        <f t="shared" si="428"/>
        <v>0</v>
      </c>
      <c r="M256" s="182">
        <f t="shared" si="434"/>
        <v>0</v>
      </c>
      <c r="N256" s="182">
        <f t="shared" si="440"/>
        <v>0</v>
      </c>
      <c r="O256" s="182">
        <f t="shared" si="446"/>
        <v>0</v>
      </c>
      <c r="P256" s="182">
        <f t="shared" si="452"/>
        <v>0</v>
      </c>
      <c r="Q256" s="182">
        <f t="shared" si="458"/>
        <v>0</v>
      </c>
      <c r="R256" s="182">
        <f t="shared" si="464"/>
        <v>0</v>
      </c>
      <c r="S256" s="182">
        <f t="shared" ref="S256:S287" si="470">S89*S$168</f>
        <v>0</v>
      </c>
      <c r="T256" s="182">
        <f t="shared" si="296"/>
        <v>0</v>
      </c>
      <c r="U256" s="182">
        <f t="shared" si="302"/>
        <v>0</v>
      </c>
      <c r="V256" s="182">
        <f t="shared" si="308"/>
        <v>0</v>
      </c>
      <c r="W256" s="182">
        <f t="shared" si="314"/>
        <v>0</v>
      </c>
      <c r="X256" s="182">
        <f t="shared" si="320"/>
        <v>0</v>
      </c>
      <c r="Y256" s="182">
        <f t="shared" si="325"/>
        <v>0</v>
      </c>
      <c r="Z256" s="182">
        <f t="shared" si="330"/>
        <v>0</v>
      </c>
      <c r="AA256" s="182">
        <f t="shared" si="335"/>
        <v>0</v>
      </c>
      <c r="AB256" s="182">
        <f t="shared" si="340"/>
        <v>0</v>
      </c>
      <c r="AC256" s="182">
        <f t="shared" si="345"/>
        <v>0</v>
      </c>
      <c r="AD256" s="182">
        <f t="shared" si="350"/>
        <v>0</v>
      </c>
      <c r="AE256" s="182">
        <f t="shared" si="355"/>
        <v>0</v>
      </c>
      <c r="AF256" s="182">
        <f t="shared" si="360"/>
        <v>0</v>
      </c>
      <c r="AG256" s="182">
        <f t="shared" si="365"/>
        <v>0</v>
      </c>
      <c r="AH256" s="182">
        <f t="shared" si="370"/>
        <v>0</v>
      </c>
      <c r="AI256" s="182">
        <f t="shared" si="375"/>
        <v>0</v>
      </c>
      <c r="AJ256" s="182">
        <f t="shared" si="381"/>
        <v>0</v>
      </c>
      <c r="AK256" s="182">
        <f t="shared" si="387"/>
        <v>0</v>
      </c>
      <c r="AL256" s="182">
        <f t="shared" si="393"/>
        <v>0</v>
      </c>
      <c r="AM256" s="182">
        <f t="shared" si="399"/>
        <v>0</v>
      </c>
      <c r="AN256" s="182">
        <f t="shared" si="405"/>
        <v>0</v>
      </c>
      <c r="AO256" s="182">
        <f t="shared" si="411"/>
        <v>0</v>
      </c>
      <c r="AP256" s="182">
        <f t="shared" si="417"/>
        <v>0</v>
      </c>
      <c r="AQ256" s="182">
        <f t="shared" si="423"/>
        <v>0</v>
      </c>
      <c r="AR256" s="182">
        <f t="shared" si="429"/>
        <v>0</v>
      </c>
      <c r="AS256" s="182">
        <f t="shared" si="435"/>
        <v>0</v>
      </c>
      <c r="AT256" s="182">
        <f t="shared" si="441"/>
        <v>0</v>
      </c>
      <c r="AU256" s="182">
        <f t="shared" si="447"/>
        <v>0</v>
      </c>
      <c r="AV256" s="182">
        <f t="shared" si="453"/>
        <v>0</v>
      </c>
      <c r="AW256" s="182">
        <f t="shared" si="459"/>
        <v>6.5594034912181423E-2</v>
      </c>
      <c r="AX256" s="182">
        <f t="shared" si="465"/>
        <v>0</v>
      </c>
      <c r="AY256" s="182">
        <f t="shared" ref="AY256:AY287" si="471">AY89*AY$168</f>
        <v>0</v>
      </c>
      <c r="AZ256" s="182">
        <f t="shared" si="297"/>
        <v>4.1897862546676698E-2</v>
      </c>
      <c r="BA256" s="182">
        <f t="shared" si="303"/>
        <v>0</v>
      </c>
      <c r="BB256" s="182">
        <f t="shared" si="309"/>
        <v>0</v>
      </c>
      <c r="BC256" s="182">
        <f t="shared" si="315"/>
        <v>0</v>
      </c>
      <c r="BD256" s="182">
        <f t="shared" si="321"/>
        <v>0</v>
      </c>
      <c r="BE256" s="182">
        <f t="shared" si="326"/>
        <v>0</v>
      </c>
      <c r="BF256" s="182">
        <f t="shared" si="331"/>
        <v>0</v>
      </c>
      <c r="BG256" s="182">
        <f t="shared" si="336"/>
        <v>0</v>
      </c>
      <c r="BH256" s="182">
        <f t="shared" si="341"/>
        <v>0</v>
      </c>
      <c r="BI256" s="182">
        <f t="shared" si="346"/>
        <v>0</v>
      </c>
      <c r="BJ256" s="182">
        <f t="shared" si="351"/>
        <v>0</v>
      </c>
      <c r="BK256" s="182">
        <f t="shared" si="356"/>
        <v>0</v>
      </c>
      <c r="BL256" s="182">
        <f t="shared" si="361"/>
        <v>0</v>
      </c>
      <c r="BM256" s="182">
        <f t="shared" si="366"/>
        <v>0</v>
      </c>
      <c r="BN256" s="182">
        <f t="shared" si="371"/>
        <v>0</v>
      </c>
      <c r="BO256" s="182">
        <f t="shared" si="376"/>
        <v>0</v>
      </c>
      <c r="BP256" s="182">
        <f t="shared" si="382"/>
        <v>0</v>
      </c>
      <c r="BQ256" s="182">
        <f t="shared" si="388"/>
        <v>0</v>
      </c>
      <c r="BR256" s="182">
        <f t="shared" si="394"/>
        <v>0</v>
      </c>
      <c r="BS256" s="182">
        <f t="shared" si="400"/>
        <v>0</v>
      </c>
      <c r="BT256" s="182">
        <f t="shared" si="406"/>
        <v>0</v>
      </c>
      <c r="BU256" s="182">
        <f t="shared" si="412"/>
        <v>0</v>
      </c>
      <c r="BV256" s="182">
        <f t="shared" si="418"/>
        <v>0</v>
      </c>
      <c r="BW256" s="182">
        <f t="shared" si="424"/>
        <v>0</v>
      </c>
      <c r="BX256" s="182">
        <f t="shared" si="430"/>
        <v>0</v>
      </c>
      <c r="BY256" s="182">
        <f t="shared" si="436"/>
        <v>0</v>
      </c>
      <c r="BZ256" s="182">
        <f t="shared" si="442"/>
        <v>0</v>
      </c>
      <c r="CA256" s="182">
        <f t="shared" si="448"/>
        <v>0</v>
      </c>
      <c r="CB256" s="182">
        <f t="shared" si="454"/>
        <v>0</v>
      </c>
      <c r="CC256" s="182">
        <f t="shared" si="460"/>
        <v>0</v>
      </c>
      <c r="CD256" s="182">
        <f t="shared" si="466"/>
        <v>0</v>
      </c>
      <c r="CE256" s="182">
        <f t="shared" ref="CE256:CE287" si="472">CE89*CE$168</f>
        <v>1.0669708738179988E-2</v>
      </c>
      <c r="CF256" s="181">
        <f>$C256+SUM($D256:CE256,CG256:$FB256)-SUM(CF$176:CF255,CF257:CF$330)-CF$331</f>
        <v>6.3967928176644762E-18</v>
      </c>
      <c r="CG256" s="176">
        <f t="shared" ref="CG256:DL256" si="473">CG89*CG$168</f>
        <v>0</v>
      </c>
      <c r="CH256" s="176">
        <f t="shared" si="473"/>
        <v>0</v>
      </c>
      <c r="CI256" s="176">
        <f t="shared" si="473"/>
        <v>0</v>
      </c>
      <c r="CJ256" s="176">
        <f t="shared" si="473"/>
        <v>0</v>
      </c>
      <c r="CK256" s="176">
        <f t="shared" si="473"/>
        <v>0</v>
      </c>
      <c r="CL256" s="176">
        <f t="shared" si="473"/>
        <v>0</v>
      </c>
      <c r="CM256" s="176">
        <f t="shared" si="473"/>
        <v>0</v>
      </c>
      <c r="CN256" s="176">
        <f t="shared" si="473"/>
        <v>0</v>
      </c>
      <c r="CO256" s="176">
        <f t="shared" si="473"/>
        <v>0</v>
      </c>
      <c r="CP256" s="176">
        <f t="shared" si="473"/>
        <v>0</v>
      </c>
      <c r="CQ256" s="176">
        <f t="shared" si="473"/>
        <v>0</v>
      </c>
      <c r="CR256" s="176">
        <f t="shared" si="473"/>
        <v>0</v>
      </c>
      <c r="CS256" s="176">
        <f t="shared" si="473"/>
        <v>0</v>
      </c>
      <c r="CT256" s="176">
        <f t="shared" si="473"/>
        <v>0</v>
      </c>
      <c r="CU256" s="176">
        <f t="shared" si="473"/>
        <v>0</v>
      </c>
      <c r="CV256" s="176">
        <f t="shared" si="473"/>
        <v>0</v>
      </c>
      <c r="CW256" s="176">
        <f t="shared" si="473"/>
        <v>0</v>
      </c>
      <c r="CX256" s="176">
        <f t="shared" si="473"/>
        <v>0</v>
      </c>
      <c r="CY256" s="176">
        <f t="shared" si="473"/>
        <v>0</v>
      </c>
      <c r="CZ256" s="176">
        <f t="shared" si="473"/>
        <v>0</v>
      </c>
      <c r="DA256" s="176">
        <f t="shared" si="473"/>
        <v>0</v>
      </c>
      <c r="DB256" s="176">
        <f t="shared" si="473"/>
        <v>0</v>
      </c>
      <c r="DC256" s="176">
        <f t="shared" si="473"/>
        <v>0</v>
      </c>
      <c r="DD256" s="176">
        <f t="shared" si="473"/>
        <v>0</v>
      </c>
      <c r="DE256" s="176">
        <f t="shared" si="473"/>
        <v>0</v>
      </c>
      <c r="DF256" s="176">
        <f t="shared" si="473"/>
        <v>0</v>
      </c>
      <c r="DG256" s="176">
        <f t="shared" si="473"/>
        <v>0</v>
      </c>
      <c r="DH256" s="176">
        <f t="shared" si="473"/>
        <v>0</v>
      </c>
      <c r="DI256" s="176">
        <f t="shared" si="473"/>
        <v>0</v>
      </c>
      <c r="DJ256" s="176">
        <f t="shared" si="473"/>
        <v>0</v>
      </c>
      <c r="DK256" s="176">
        <f t="shared" si="473"/>
        <v>0</v>
      </c>
      <c r="DL256" s="176">
        <f t="shared" si="473"/>
        <v>0</v>
      </c>
      <c r="DM256" s="176">
        <f t="shared" ref="DM256:ER256" si="474">DM89*DM$168</f>
        <v>0</v>
      </c>
      <c r="DN256" s="176">
        <f t="shared" si="474"/>
        <v>0</v>
      </c>
      <c r="DO256" s="176">
        <f t="shared" si="474"/>
        <v>0</v>
      </c>
      <c r="DP256" s="176">
        <f t="shared" si="474"/>
        <v>0</v>
      </c>
      <c r="DQ256" s="176">
        <f t="shared" si="474"/>
        <v>0</v>
      </c>
      <c r="DR256" s="176">
        <f t="shared" si="474"/>
        <v>0</v>
      </c>
      <c r="DS256" s="176">
        <f t="shared" si="474"/>
        <v>0</v>
      </c>
      <c r="DT256" s="176">
        <f t="shared" si="474"/>
        <v>0</v>
      </c>
      <c r="DU256" s="176">
        <f t="shared" si="474"/>
        <v>0</v>
      </c>
      <c r="DV256" s="176">
        <f t="shared" si="474"/>
        <v>0</v>
      </c>
      <c r="DW256" s="176">
        <f t="shared" si="474"/>
        <v>0</v>
      </c>
      <c r="DX256" s="176">
        <f t="shared" si="474"/>
        <v>0</v>
      </c>
      <c r="DY256" s="176">
        <f t="shared" si="474"/>
        <v>0</v>
      </c>
      <c r="DZ256" s="176">
        <f t="shared" si="474"/>
        <v>0</v>
      </c>
      <c r="EA256" s="176">
        <f t="shared" si="474"/>
        <v>0</v>
      </c>
      <c r="EB256" s="176">
        <f t="shared" si="474"/>
        <v>0</v>
      </c>
      <c r="EC256" s="176">
        <f t="shared" si="474"/>
        <v>0</v>
      </c>
      <c r="ED256" s="176">
        <f t="shared" si="474"/>
        <v>0</v>
      </c>
      <c r="EE256" s="176">
        <f t="shared" si="474"/>
        <v>0</v>
      </c>
      <c r="EF256" s="182">
        <f t="shared" si="474"/>
        <v>0</v>
      </c>
      <c r="EG256" s="182">
        <f t="shared" si="474"/>
        <v>0</v>
      </c>
      <c r="EH256" s="182">
        <f t="shared" si="474"/>
        <v>0</v>
      </c>
      <c r="EI256" s="182">
        <f t="shared" si="474"/>
        <v>0</v>
      </c>
      <c r="EJ256" s="182">
        <f t="shared" si="474"/>
        <v>0</v>
      </c>
      <c r="EK256" s="182">
        <f t="shared" si="474"/>
        <v>0</v>
      </c>
      <c r="EL256" s="182">
        <f t="shared" si="474"/>
        <v>0</v>
      </c>
      <c r="EM256" s="182">
        <f t="shared" si="474"/>
        <v>0</v>
      </c>
      <c r="EN256" s="182">
        <f t="shared" si="474"/>
        <v>0</v>
      </c>
      <c r="EO256" s="182">
        <f t="shared" si="474"/>
        <v>0</v>
      </c>
      <c r="EP256" s="182">
        <f t="shared" si="474"/>
        <v>0</v>
      </c>
      <c r="EQ256" s="182">
        <f t="shared" si="474"/>
        <v>0</v>
      </c>
      <c r="ER256" s="182">
        <f t="shared" si="474"/>
        <v>0</v>
      </c>
      <c r="ES256" s="182">
        <f t="shared" ref="ES256:FB256" si="475">ES89*ES$168</f>
        <v>0</v>
      </c>
      <c r="ET256" s="182">
        <f t="shared" si="475"/>
        <v>0</v>
      </c>
      <c r="EU256" s="182">
        <f t="shared" si="475"/>
        <v>0</v>
      </c>
      <c r="EV256" s="182">
        <f t="shared" si="475"/>
        <v>0</v>
      </c>
      <c r="EW256" s="182">
        <f t="shared" si="475"/>
        <v>0</v>
      </c>
      <c r="EX256" s="182">
        <f t="shared" si="475"/>
        <v>0</v>
      </c>
      <c r="EY256" s="182">
        <f t="shared" si="475"/>
        <v>0</v>
      </c>
      <c r="EZ256" s="182">
        <f t="shared" si="475"/>
        <v>0</v>
      </c>
      <c r="FA256" s="182">
        <f t="shared" si="475"/>
        <v>0</v>
      </c>
      <c r="FB256" s="183">
        <f t="shared" si="475"/>
        <v>0</v>
      </c>
    </row>
    <row r="257" spans="2:158" ht="12.75" customHeight="1" x14ac:dyDescent="0.3">
      <c r="B257" s="199" t="s">
        <v>3900</v>
      </c>
      <c r="C257" s="193">
        <v>0</v>
      </c>
      <c r="D257" s="182">
        <f t="shared" si="380"/>
        <v>0</v>
      </c>
      <c r="E257" s="182">
        <f t="shared" si="386"/>
        <v>0</v>
      </c>
      <c r="F257" s="182">
        <f t="shared" si="392"/>
        <v>0</v>
      </c>
      <c r="G257" s="182">
        <f t="shared" si="398"/>
        <v>0</v>
      </c>
      <c r="H257" s="182">
        <f t="shared" si="404"/>
        <v>0</v>
      </c>
      <c r="I257" s="176">
        <f t="shared" si="410"/>
        <v>0</v>
      </c>
      <c r="J257" s="182">
        <f t="shared" si="416"/>
        <v>0</v>
      </c>
      <c r="K257" s="182">
        <f t="shared" si="422"/>
        <v>0</v>
      </c>
      <c r="L257" s="182">
        <f t="shared" si="428"/>
        <v>0</v>
      </c>
      <c r="M257" s="182">
        <f t="shared" si="434"/>
        <v>0</v>
      </c>
      <c r="N257" s="182">
        <f t="shared" si="440"/>
        <v>0</v>
      </c>
      <c r="O257" s="182">
        <f t="shared" si="446"/>
        <v>0</v>
      </c>
      <c r="P257" s="182">
        <f t="shared" si="452"/>
        <v>0</v>
      </c>
      <c r="Q257" s="182">
        <f t="shared" si="458"/>
        <v>0</v>
      </c>
      <c r="R257" s="182">
        <f t="shared" si="464"/>
        <v>0</v>
      </c>
      <c r="S257" s="182">
        <f t="shared" si="470"/>
        <v>0</v>
      </c>
      <c r="T257" s="182">
        <f t="shared" ref="T257:T288" si="476">T90*T$168</f>
        <v>0</v>
      </c>
      <c r="U257" s="182">
        <f t="shared" si="302"/>
        <v>0</v>
      </c>
      <c r="V257" s="182">
        <f t="shared" si="308"/>
        <v>0</v>
      </c>
      <c r="W257" s="182">
        <f t="shared" si="314"/>
        <v>0</v>
      </c>
      <c r="X257" s="182">
        <f t="shared" si="320"/>
        <v>0</v>
      </c>
      <c r="Y257" s="182">
        <f t="shared" si="325"/>
        <v>0</v>
      </c>
      <c r="Z257" s="182">
        <f t="shared" si="330"/>
        <v>0</v>
      </c>
      <c r="AA257" s="182">
        <f t="shared" si="335"/>
        <v>0</v>
      </c>
      <c r="AB257" s="182">
        <f t="shared" si="340"/>
        <v>0</v>
      </c>
      <c r="AC257" s="182">
        <f t="shared" si="345"/>
        <v>0</v>
      </c>
      <c r="AD257" s="182">
        <f t="shared" si="350"/>
        <v>0</v>
      </c>
      <c r="AE257" s="182">
        <f t="shared" si="355"/>
        <v>0</v>
      </c>
      <c r="AF257" s="182">
        <f t="shared" si="360"/>
        <v>0</v>
      </c>
      <c r="AG257" s="182">
        <f t="shared" si="365"/>
        <v>0</v>
      </c>
      <c r="AH257" s="182">
        <f t="shared" si="370"/>
        <v>0</v>
      </c>
      <c r="AI257" s="182">
        <f t="shared" si="375"/>
        <v>0</v>
      </c>
      <c r="AJ257" s="182">
        <f t="shared" si="381"/>
        <v>0</v>
      </c>
      <c r="AK257" s="182">
        <f t="shared" si="387"/>
        <v>0</v>
      </c>
      <c r="AL257" s="182">
        <f t="shared" si="393"/>
        <v>0</v>
      </c>
      <c r="AM257" s="182">
        <f t="shared" si="399"/>
        <v>0</v>
      </c>
      <c r="AN257" s="182">
        <f t="shared" si="405"/>
        <v>0</v>
      </c>
      <c r="AO257" s="182">
        <f t="shared" si="411"/>
        <v>0</v>
      </c>
      <c r="AP257" s="182">
        <f t="shared" si="417"/>
        <v>0</v>
      </c>
      <c r="AQ257" s="182">
        <f t="shared" si="423"/>
        <v>0</v>
      </c>
      <c r="AR257" s="182">
        <f t="shared" si="429"/>
        <v>0</v>
      </c>
      <c r="AS257" s="182">
        <f t="shared" si="435"/>
        <v>0</v>
      </c>
      <c r="AT257" s="182">
        <f t="shared" si="441"/>
        <v>0</v>
      </c>
      <c r="AU257" s="182">
        <f t="shared" si="447"/>
        <v>0</v>
      </c>
      <c r="AV257" s="182">
        <f t="shared" si="453"/>
        <v>0</v>
      </c>
      <c r="AW257" s="182">
        <f t="shared" si="459"/>
        <v>0</v>
      </c>
      <c r="AX257" s="182">
        <f t="shared" si="465"/>
        <v>5.042448996372147E-6</v>
      </c>
      <c r="AY257" s="182">
        <f t="shared" si="471"/>
        <v>0</v>
      </c>
      <c r="AZ257" s="182">
        <f t="shared" ref="AZ257:AZ288" si="477">AZ90*AZ$168</f>
        <v>0</v>
      </c>
      <c r="BA257" s="182">
        <f t="shared" si="303"/>
        <v>3.7308824185546815E-4</v>
      </c>
      <c r="BB257" s="182">
        <f t="shared" si="309"/>
        <v>0</v>
      </c>
      <c r="BC257" s="182">
        <f t="shared" si="315"/>
        <v>0</v>
      </c>
      <c r="BD257" s="182">
        <f t="shared" si="321"/>
        <v>0</v>
      </c>
      <c r="BE257" s="182">
        <f t="shared" si="326"/>
        <v>0</v>
      </c>
      <c r="BF257" s="182">
        <f t="shared" si="331"/>
        <v>0</v>
      </c>
      <c r="BG257" s="182">
        <f t="shared" si="336"/>
        <v>0</v>
      </c>
      <c r="BH257" s="182">
        <f t="shared" si="341"/>
        <v>0</v>
      </c>
      <c r="BI257" s="182">
        <f t="shared" si="346"/>
        <v>0</v>
      </c>
      <c r="BJ257" s="182">
        <f t="shared" si="351"/>
        <v>0</v>
      </c>
      <c r="BK257" s="182">
        <f t="shared" si="356"/>
        <v>0</v>
      </c>
      <c r="BL257" s="182">
        <f t="shared" si="361"/>
        <v>0</v>
      </c>
      <c r="BM257" s="182">
        <f t="shared" si="366"/>
        <v>0</v>
      </c>
      <c r="BN257" s="182">
        <f t="shared" si="371"/>
        <v>0</v>
      </c>
      <c r="BO257" s="182">
        <f t="shared" si="376"/>
        <v>0</v>
      </c>
      <c r="BP257" s="182">
        <f t="shared" si="382"/>
        <v>0</v>
      </c>
      <c r="BQ257" s="182">
        <f t="shared" si="388"/>
        <v>0</v>
      </c>
      <c r="BR257" s="182">
        <f t="shared" si="394"/>
        <v>0</v>
      </c>
      <c r="BS257" s="182">
        <f t="shared" si="400"/>
        <v>0</v>
      </c>
      <c r="BT257" s="182">
        <f t="shared" si="406"/>
        <v>0</v>
      </c>
      <c r="BU257" s="182">
        <f t="shared" si="412"/>
        <v>0</v>
      </c>
      <c r="BV257" s="182">
        <f t="shared" si="418"/>
        <v>0</v>
      </c>
      <c r="BW257" s="182">
        <f t="shared" si="424"/>
        <v>0</v>
      </c>
      <c r="BX257" s="182">
        <f t="shared" si="430"/>
        <v>0</v>
      </c>
      <c r="BY257" s="182">
        <f t="shared" si="436"/>
        <v>0</v>
      </c>
      <c r="BZ257" s="182">
        <f t="shared" si="442"/>
        <v>0</v>
      </c>
      <c r="CA257" s="182">
        <f t="shared" si="448"/>
        <v>0</v>
      </c>
      <c r="CB257" s="182">
        <f t="shared" si="454"/>
        <v>0</v>
      </c>
      <c r="CC257" s="182">
        <f t="shared" si="460"/>
        <v>0</v>
      </c>
      <c r="CD257" s="182">
        <f t="shared" si="466"/>
        <v>0</v>
      </c>
      <c r="CE257" s="182">
        <f t="shared" si="472"/>
        <v>3.3013598932575155E-3</v>
      </c>
      <c r="CF257" s="182">
        <f t="shared" ref="CF257:CF288" si="478">CF90*CF$168</f>
        <v>0</v>
      </c>
      <c r="CG257" s="181">
        <f>$C257+SUM($D257:CF257,CH257:$FB257)-SUM(CG$176:CG256,CG258:CG$330)-CG$331</f>
        <v>4.3368086899420177E-19</v>
      </c>
      <c r="CH257" s="176">
        <f t="shared" ref="CH257:DM257" si="479">CH90*CH$168</f>
        <v>0</v>
      </c>
      <c r="CI257" s="176">
        <f t="shared" si="479"/>
        <v>0</v>
      </c>
      <c r="CJ257" s="176">
        <f t="shared" si="479"/>
        <v>0</v>
      </c>
      <c r="CK257" s="176">
        <f t="shared" si="479"/>
        <v>0</v>
      </c>
      <c r="CL257" s="176">
        <f t="shared" si="479"/>
        <v>0</v>
      </c>
      <c r="CM257" s="176">
        <f t="shared" si="479"/>
        <v>0</v>
      </c>
      <c r="CN257" s="176">
        <f t="shared" si="479"/>
        <v>0</v>
      </c>
      <c r="CO257" s="176">
        <f t="shared" si="479"/>
        <v>0</v>
      </c>
      <c r="CP257" s="176">
        <f t="shared" si="479"/>
        <v>0</v>
      </c>
      <c r="CQ257" s="176">
        <f t="shared" si="479"/>
        <v>0</v>
      </c>
      <c r="CR257" s="176">
        <f t="shared" si="479"/>
        <v>0</v>
      </c>
      <c r="CS257" s="176">
        <f t="shared" si="479"/>
        <v>0</v>
      </c>
      <c r="CT257" s="176">
        <f t="shared" si="479"/>
        <v>0</v>
      </c>
      <c r="CU257" s="176">
        <f t="shared" si="479"/>
        <v>0</v>
      </c>
      <c r="CV257" s="176">
        <f t="shared" si="479"/>
        <v>0</v>
      </c>
      <c r="CW257" s="176">
        <f t="shared" si="479"/>
        <v>0</v>
      </c>
      <c r="CX257" s="176">
        <f t="shared" si="479"/>
        <v>0</v>
      </c>
      <c r="CY257" s="176">
        <f t="shared" si="479"/>
        <v>0</v>
      </c>
      <c r="CZ257" s="176">
        <f t="shared" si="479"/>
        <v>0</v>
      </c>
      <c r="DA257" s="176">
        <f t="shared" si="479"/>
        <v>0</v>
      </c>
      <c r="DB257" s="176">
        <f t="shared" si="479"/>
        <v>0</v>
      </c>
      <c r="DC257" s="176">
        <f t="shared" si="479"/>
        <v>0</v>
      </c>
      <c r="DD257" s="176">
        <f t="shared" si="479"/>
        <v>0</v>
      </c>
      <c r="DE257" s="176">
        <f t="shared" si="479"/>
        <v>0</v>
      </c>
      <c r="DF257" s="176">
        <f t="shared" si="479"/>
        <v>0</v>
      </c>
      <c r="DG257" s="176">
        <f t="shared" si="479"/>
        <v>0</v>
      </c>
      <c r="DH257" s="176">
        <f t="shared" si="479"/>
        <v>0</v>
      </c>
      <c r="DI257" s="176">
        <f t="shared" si="479"/>
        <v>0</v>
      </c>
      <c r="DJ257" s="176">
        <f t="shared" si="479"/>
        <v>0</v>
      </c>
      <c r="DK257" s="176">
        <f t="shared" si="479"/>
        <v>0</v>
      </c>
      <c r="DL257" s="176">
        <f t="shared" si="479"/>
        <v>0</v>
      </c>
      <c r="DM257" s="176">
        <f t="shared" si="479"/>
        <v>0</v>
      </c>
      <c r="DN257" s="176">
        <f t="shared" ref="DN257:ES257" si="480">DN90*DN$168</f>
        <v>0</v>
      </c>
      <c r="DO257" s="176">
        <f t="shared" si="480"/>
        <v>0</v>
      </c>
      <c r="DP257" s="176">
        <f t="shared" si="480"/>
        <v>0</v>
      </c>
      <c r="DQ257" s="176">
        <f t="shared" si="480"/>
        <v>0</v>
      </c>
      <c r="DR257" s="176">
        <f t="shared" si="480"/>
        <v>0</v>
      </c>
      <c r="DS257" s="176">
        <f t="shared" si="480"/>
        <v>0</v>
      </c>
      <c r="DT257" s="176">
        <f t="shared" si="480"/>
        <v>0</v>
      </c>
      <c r="DU257" s="176">
        <f t="shared" si="480"/>
        <v>0</v>
      </c>
      <c r="DV257" s="176">
        <f t="shared" si="480"/>
        <v>0</v>
      </c>
      <c r="DW257" s="176">
        <f t="shared" si="480"/>
        <v>0</v>
      </c>
      <c r="DX257" s="176">
        <f t="shared" si="480"/>
        <v>0</v>
      </c>
      <c r="DY257" s="176">
        <f t="shared" si="480"/>
        <v>0</v>
      </c>
      <c r="DZ257" s="176">
        <f t="shared" si="480"/>
        <v>0</v>
      </c>
      <c r="EA257" s="176">
        <f t="shared" si="480"/>
        <v>0</v>
      </c>
      <c r="EB257" s="176">
        <f t="shared" si="480"/>
        <v>0</v>
      </c>
      <c r="EC257" s="176">
        <f t="shared" si="480"/>
        <v>0</v>
      </c>
      <c r="ED257" s="176">
        <f t="shared" si="480"/>
        <v>0</v>
      </c>
      <c r="EE257" s="176">
        <f t="shared" si="480"/>
        <v>0</v>
      </c>
      <c r="EF257" s="182">
        <f t="shared" si="480"/>
        <v>0</v>
      </c>
      <c r="EG257" s="182">
        <f t="shared" si="480"/>
        <v>0</v>
      </c>
      <c r="EH257" s="182">
        <f t="shared" si="480"/>
        <v>0</v>
      </c>
      <c r="EI257" s="182">
        <f t="shared" si="480"/>
        <v>0</v>
      </c>
      <c r="EJ257" s="182">
        <f t="shared" si="480"/>
        <v>0</v>
      </c>
      <c r="EK257" s="182">
        <f t="shared" si="480"/>
        <v>0</v>
      </c>
      <c r="EL257" s="182">
        <f t="shared" si="480"/>
        <v>0</v>
      </c>
      <c r="EM257" s="182">
        <f t="shared" si="480"/>
        <v>0</v>
      </c>
      <c r="EN257" s="182">
        <f t="shared" si="480"/>
        <v>0</v>
      </c>
      <c r="EO257" s="182">
        <f t="shared" si="480"/>
        <v>0</v>
      </c>
      <c r="EP257" s="182">
        <f t="shared" si="480"/>
        <v>0</v>
      </c>
      <c r="EQ257" s="182">
        <f t="shared" si="480"/>
        <v>0</v>
      </c>
      <c r="ER257" s="182">
        <f t="shared" si="480"/>
        <v>0</v>
      </c>
      <c r="ES257" s="182">
        <f t="shared" si="480"/>
        <v>0</v>
      </c>
      <c r="ET257" s="182">
        <f t="shared" ref="ET257:FB257" si="481">ET90*ET$168</f>
        <v>0</v>
      </c>
      <c r="EU257" s="182">
        <f t="shared" si="481"/>
        <v>0</v>
      </c>
      <c r="EV257" s="182">
        <f t="shared" si="481"/>
        <v>0</v>
      </c>
      <c r="EW257" s="182">
        <f t="shared" si="481"/>
        <v>0</v>
      </c>
      <c r="EX257" s="182">
        <f t="shared" si="481"/>
        <v>0</v>
      </c>
      <c r="EY257" s="182">
        <f t="shared" si="481"/>
        <v>0</v>
      </c>
      <c r="EZ257" s="182">
        <f t="shared" si="481"/>
        <v>0</v>
      </c>
      <c r="FA257" s="182">
        <f t="shared" si="481"/>
        <v>0</v>
      </c>
      <c r="FB257" s="183">
        <f t="shared" si="481"/>
        <v>0</v>
      </c>
    </row>
    <row r="258" spans="2:158" ht="12.75" customHeight="1" x14ac:dyDescent="0.3">
      <c r="B258" s="199" t="s">
        <v>3901</v>
      </c>
      <c r="C258" s="193">
        <v>0</v>
      </c>
      <c r="D258" s="182">
        <f t="shared" si="380"/>
        <v>0</v>
      </c>
      <c r="E258" s="182">
        <f t="shared" si="386"/>
        <v>0</v>
      </c>
      <c r="F258" s="182">
        <f t="shared" si="392"/>
        <v>0</v>
      </c>
      <c r="G258" s="182">
        <f t="shared" si="398"/>
        <v>0</v>
      </c>
      <c r="H258" s="182">
        <f t="shared" si="404"/>
        <v>0</v>
      </c>
      <c r="I258" s="176">
        <f t="shared" si="410"/>
        <v>0</v>
      </c>
      <c r="J258" s="182">
        <f t="shared" si="416"/>
        <v>0</v>
      </c>
      <c r="K258" s="182">
        <f t="shared" si="422"/>
        <v>0</v>
      </c>
      <c r="L258" s="182">
        <f t="shared" si="428"/>
        <v>0</v>
      </c>
      <c r="M258" s="182">
        <f t="shared" si="434"/>
        <v>0</v>
      </c>
      <c r="N258" s="182">
        <f t="shared" si="440"/>
        <v>0</v>
      </c>
      <c r="O258" s="182">
        <f t="shared" si="446"/>
        <v>0</v>
      </c>
      <c r="P258" s="182">
        <f t="shared" si="452"/>
        <v>0</v>
      </c>
      <c r="Q258" s="182">
        <f t="shared" si="458"/>
        <v>0</v>
      </c>
      <c r="R258" s="182">
        <f t="shared" si="464"/>
        <v>0</v>
      </c>
      <c r="S258" s="182">
        <f t="shared" si="470"/>
        <v>0</v>
      </c>
      <c r="T258" s="182">
        <f t="shared" si="476"/>
        <v>0</v>
      </c>
      <c r="U258" s="182">
        <f t="shared" ref="U258:U289" si="482">U91*U$168</f>
        <v>0</v>
      </c>
      <c r="V258" s="182">
        <f t="shared" si="308"/>
        <v>0</v>
      </c>
      <c r="W258" s="182">
        <f t="shared" si="314"/>
        <v>0</v>
      </c>
      <c r="X258" s="182">
        <f t="shared" si="320"/>
        <v>0</v>
      </c>
      <c r="Y258" s="182">
        <f t="shared" si="325"/>
        <v>0</v>
      </c>
      <c r="Z258" s="182">
        <f t="shared" si="330"/>
        <v>0</v>
      </c>
      <c r="AA258" s="182">
        <f t="shared" si="335"/>
        <v>0</v>
      </c>
      <c r="AB258" s="182">
        <f t="shared" si="340"/>
        <v>0</v>
      </c>
      <c r="AC258" s="182">
        <f t="shared" si="345"/>
        <v>0</v>
      </c>
      <c r="AD258" s="182">
        <f t="shared" si="350"/>
        <v>0</v>
      </c>
      <c r="AE258" s="182">
        <f t="shared" si="355"/>
        <v>0</v>
      </c>
      <c r="AF258" s="182">
        <f t="shared" si="360"/>
        <v>0</v>
      </c>
      <c r="AG258" s="182">
        <f t="shared" si="365"/>
        <v>0</v>
      </c>
      <c r="AH258" s="182">
        <f t="shared" si="370"/>
        <v>0</v>
      </c>
      <c r="AI258" s="182">
        <f t="shared" si="375"/>
        <v>0</v>
      </c>
      <c r="AJ258" s="182">
        <f t="shared" si="381"/>
        <v>0</v>
      </c>
      <c r="AK258" s="182">
        <f t="shared" si="387"/>
        <v>0</v>
      </c>
      <c r="AL258" s="182">
        <f t="shared" si="393"/>
        <v>0</v>
      </c>
      <c r="AM258" s="182">
        <f t="shared" si="399"/>
        <v>0</v>
      </c>
      <c r="AN258" s="182">
        <f t="shared" si="405"/>
        <v>0</v>
      </c>
      <c r="AO258" s="182">
        <f t="shared" si="411"/>
        <v>0</v>
      </c>
      <c r="AP258" s="182">
        <f t="shared" si="417"/>
        <v>0</v>
      </c>
      <c r="AQ258" s="182">
        <f t="shared" si="423"/>
        <v>0</v>
      </c>
      <c r="AR258" s="182">
        <f t="shared" si="429"/>
        <v>0</v>
      </c>
      <c r="AS258" s="182">
        <f t="shared" si="435"/>
        <v>0</v>
      </c>
      <c r="AT258" s="182">
        <f t="shared" si="441"/>
        <v>0</v>
      </c>
      <c r="AU258" s="182">
        <f t="shared" si="447"/>
        <v>0</v>
      </c>
      <c r="AV258" s="182">
        <f t="shared" si="453"/>
        <v>0</v>
      </c>
      <c r="AW258" s="182">
        <f t="shared" si="459"/>
        <v>0</v>
      </c>
      <c r="AX258" s="182">
        <f t="shared" si="465"/>
        <v>0</v>
      </c>
      <c r="AY258" s="182">
        <f t="shared" si="471"/>
        <v>0</v>
      </c>
      <c r="AZ258" s="182">
        <f t="shared" si="477"/>
        <v>0</v>
      </c>
      <c r="BA258" s="182">
        <f t="shared" ref="BA258:BA289" si="483">BA91*BA$168</f>
        <v>0</v>
      </c>
      <c r="BB258" s="182">
        <f t="shared" si="309"/>
        <v>0</v>
      </c>
      <c r="BC258" s="182">
        <f t="shared" si="315"/>
        <v>0</v>
      </c>
      <c r="BD258" s="182">
        <f t="shared" si="321"/>
        <v>0</v>
      </c>
      <c r="BE258" s="182">
        <f t="shared" si="326"/>
        <v>0</v>
      </c>
      <c r="BF258" s="182">
        <f t="shared" si="331"/>
        <v>0</v>
      </c>
      <c r="BG258" s="182">
        <f t="shared" si="336"/>
        <v>0</v>
      </c>
      <c r="BH258" s="182">
        <f t="shared" si="341"/>
        <v>0</v>
      </c>
      <c r="BI258" s="182">
        <f t="shared" si="346"/>
        <v>0</v>
      </c>
      <c r="BJ258" s="182">
        <f t="shared" si="351"/>
        <v>0</v>
      </c>
      <c r="BK258" s="182">
        <f t="shared" si="356"/>
        <v>0</v>
      </c>
      <c r="BL258" s="182">
        <f t="shared" si="361"/>
        <v>0</v>
      </c>
      <c r="BM258" s="182">
        <f t="shared" si="366"/>
        <v>0</v>
      </c>
      <c r="BN258" s="182">
        <f t="shared" si="371"/>
        <v>0</v>
      </c>
      <c r="BO258" s="182">
        <f t="shared" si="376"/>
        <v>0</v>
      </c>
      <c r="BP258" s="182">
        <f t="shared" si="382"/>
        <v>0</v>
      </c>
      <c r="BQ258" s="182">
        <f t="shared" si="388"/>
        <v>0</v>
      </c>
      <c r="BR258" s="182">
        <f t="shared" si="394"/>
        <v>0</v>
      </c>
      <c r="BS258" s="182">
        <f t="shared" si="400"/>
        <v>0</v>
      </c>
      <c r="BT258" s="182">
        <f t="shared" si="406"/>
        <v>0</v>
      </c>
      <c r="BU258" s="182">
        <f t="shared" si="412"/>
        <v>0</v>
      </c>
      <c r="BV258" s="182">
        <f t="shared" si="418"/>
        <v>0</v>
      </c>
      <c r="BW258" s="182">
        <f t="shared" si="424"/>
        <v>0</v>
      </c>
      <c r="BX258" s="182">
        <f t="shared" si="430"/>
        <v>0</v>
      </c>
      <c r="BY258" s="182">
        <f t="shared" si="436"/>
        <v>0</v>
      </c>
      <c r="BZ258" s="182">
        <f t="shared" si="442"/>
        <v>0</v>
      </c>
      <c r="CA258" s="182">
        <f t="shared" si="448"/>
        <v>0</v>
      </c>
      <c r="CB258" s="182">
        <f t="shared" si="454"/>
        <v>0</v>
      </c>
      <c r="CC258" s="182">
        <f t="shared" si="460"/>
        <v>0</v>
      </c>
      <c r="CD258" s="182">
        <f t="shared" si="466"/>
        <v>0</v>
      </c>
      <c r="CE258" s="182">
        <f t="shared" si="472"/>
        <v>0</v>
      </c>
      <c r="CF258" s="182">
        <f t="shared" si="478"/>
        <v>0</v>
      </c>
      <c r="CG258" s="182">
        <f t="shared" ref="CG258:CG289" si="484">CG91*CG$168</f>
        <v>0</v>
      </c>
      <c r="CH258" s="181">
        <f>$C258+SUM($D258:CG258,CI258:$FB258)-SUM(CH$176:CH257,CH259:CH$330)-CH$331</f>
        <v>0</v>
      </c>
      <c r="CI258" s="176">
        <f t="shared" ref="CI258:DN258" si="485">CI91*CI$168</f>
        <v>0</v>
      </c>
      <c r="CJ258" s="176">
        <f t="shared" si="485"/>
        <v>0</v>
      </c>
      <c r="CK258" s="176">
        <f t="shared" si="485"/>
        <v>0</v>
      </c>
      <c r="CL258" s="176">
        <f t="shared" si="485"/>
        <v>0</v>
      </c>
      <c r="CM258" s="176">
        <f t="shared" si="485"/>
        <v>0</v>
      </c>
      <c r="CN258" s="176">
        <f t="shared" si="485"/>
        <v>0</v>
      </c>
      <c r="CO258" s="176">
        <f t="shared" si="485"/>
        <v>0</v>
      </c>
      <c r="CP258" s="176">
        <f t="shared" si="485"/>
        <v>0</v>
      </c>
      <c r="CQ258" s="176">
        <f t="shared" si="485"/>
        <v>0</v>
      </c>
      <c r="CR258" s="176">
        <f t="shared" si="485"/>
        <v>0</v>
      </c>
      <c r="CS258" s="176">
        <f t="shared" si="485"/>
        <v>0</v>
      </c>
      <c r="CT258" s="176">
        <f t="shared" si="485"/>
        <v>0</v>
      </c>
      <c r="CU258" s="176">
        <f t="shared" si="485"/>
        <v>0</v>
      </c>
      <c r="CV258" s="176">
        <f t="shared" si="485"/>
        <v>0</v>
      </c>
      <c r="CW258" s="176">
        <f t="shared" si="485"/>
        <v>0</v>
      </c>
      <c r="CX258" s="176">
        <f t="shared" si="485"/>
        <v>0</v>
      </c>
      <c r="CY258" s="176">
        <f t="shared" si="485"/>
        <v>0</v>
      </c>
      <c r="CZ258" s="176">
        <f t="shared" si="485"/>
        <v>0</v>
      </c>
      <c r="DA258" s="176">
        <f t="shared" si="485"/>
        <v>0</v>
      </c>
      <c r="DB258" s="176">
        <f t="shared" si="485"/>
        <v>0</v>
      </c>
      <c r="DC258" s="176">
        <f t="shared" si="485"/>
        <v>0</v>
      </c>
      <c r="DD258" s="176">
        <f t="shared" si="485"/>
        <v>0</v>
      </c>
      <c r="DE258" s="176">
        <f t="shared" si="485"/>
        <v>0</v>
      </c>
      <c r="DF258" s="176">
        <f t="shared" si="485"/>
        <v>0</v>
      </c>
      <c r="DG258" s="176">
        <f t="shared" si="485"/>
        <v>0</v>
      </c>
      <c r="DH258" s="176">
        <f t="shared" si="485"/>
        <v>0</v>
      </c>
      <c r="DI258" s="176">
        <f t="shared" si="485"/>
        <v>0</v>
      </c>
      <c r="DJ258" s="176">
        <f t="shared" si="485"/>
        <v>0</v>
      </c>
      <c r="DK258" s="176">
        <f t="shared" si="485"/>
        <v>0</v>
      </c>
      <c r="DL258" s="176">
        <f t="shared" si="485"/>
        <v>0</v>
      </c>
      <c r="DM258" s="176">
        <f t="shared" si="485"/>
        <v>0</v>
      </c>
      <c r="DN258" s="176">
        <f t="shared" si="485"/>
        <v>0</v>
      </c>
      <c r="DO258" s="176">
        <f t="shared" ref="DO258:ET258" si="486">DO91*DO$168</f>
        <v>0</v>
      </c>
      <c r="DP258" s="176">
        <f t="shared" si="486"/>
        <v>0</v>
      </c>
      <c r="DQ258" s="176">
        <f t="shared" si="486"/>
        <v>0</v>
      </c>
      <c r="DR258" s="176">
        <f t="shared" si="486"/>
        <v>0</v>
      </c>
      <c r="DS258" s="176">
        <f t="shared" si="486"/>
        <v>0</v>
      </c>
      <c r="DT258" s="176">
        <f t="shared" si="486"/>
        <v>0</v>
      </c>
      <c r="DU258" s="176">
        <f t="shared" si="486"/>
        <v>0</v>
      </c>
      <c r="DV258" s="176">
        <f t="shared" si="486"/>
        <v>0</v>
      </c>
      <c r="DW258" s="176">
        <f t="shared" si="486"/>
        <v>0</v>
      </c>
      <c r="DX258" s="176">
        <f t="shared" si="486"/>
        <v>0</v>
      </c>
      <c r="DY258" s="176">
        <f t="shared" si="486"/>
        <v>0</v>
      </c>
      <c r="DZ258" s="176">
        <f t="shared" si="486"/>
        <v>0</v>
      </c>
      <c r="EA258" s="176">
        <f t="shared" si="486"/>
        <v>0</v>
      </c>
      <c r="EB258" s="176">
        <f t="shared" si="486"/>
        <v>0</v>
      </c>
      <c r="EC258" s="176">
        <f t="shared" si="486"/>
        <v>0</v>
      </c>
      <c r="ED258" s="176">
        <f t="shared" si="486"/>
        <v>0</v>
      </c>
      <c r="EE258" s="176">
        <f t="shared" si="486"/>
        <v>0</v>
      </c>
      <c r="EF258" s="182">
        <f t="shared" si="486"/>
        <v>0</v>
      </c>
      <c r="EG258" s="182">
        <f t="shared" si="486"/>
        <v>0</v>
      </c>
      <c r="EH258" s="182">
        <f t="shared" si="486"/>
        <v>0</v>
      </c>
      <c r="EI258" s="182">
        <f t="shared" si="486"/>
        <v>0</v>
      </c>
      <c r="EJ258" s="182">
        <f t="shared" si="486"/>
        <v>0</v>
      </c>
      <c r="EK258" s="182">
        <f t="shared" si="486"/>
        <v>0</v>
      </c>
      <c r="EL258" s="182">
        <f t="shared" si="486"/>
        <v>0</v>
      </c>
      <c r="EM258" s="182">
        <f t="shared" si="486"/>
        <v>0</v>
      </c>
      <c r="EN258" s="182">
        <f t="shared" si="486"/>
        <v>0</v>
      </c>
      <c r="EO258" s="182">
        <f t="shared" si="486"/>
        <v>0</v>
      </c>
      <c r="EP258" s="182">
        <f t="shared" si="486"/>
        <v>0</v>
      </c>
      <c r="EQ258" s="182">
        <f t="shared" si="486"/>
        <v>0</v>
      </c>
      <c r="ER258" s="182">
        <f t="shared" si="486"/>
        <v>0</v>
      </c>
      <c r="ES258" s="182">
        <f t="shared" si="486"/>
        <v>0</v>
      </c>
      <c r="ET258" s="182">
        <f t="shared" si="486"/>
        <v>0</v>
      </c>
      <c r="EU258" s="182">
        <f t="shared" ref="EU258:FB258" si="487">EU91*EU$168</f>
        <v>0</v>
      </c>
      <c r="EV258" s="182">
        <f t="shared" si="487"/>
        <v>0</v>
      </c>
      <c r="EW258" s="182">
        <f t="shared" si="487"/>
        <v>0</v>
      </c>
      <c r="EX258" s="182">
        <f t="shared" si="487"/>
        <v>0</v>
      </c>
      <c r="EY258" s="182">
        <f t="shared" si="487"/>
        <v>0</v>
      </c>
      <c r="EZ258" s="182">
        <f t="shared" si="487"/>
        <v>0</v>
      </c>
      <c r="FA258" s="182">
        <f t="shared" si="487"/>
        <v>0</v>
      </c>
      <c r="FB258" s="183">
        <f t="shared" si="487"/>
        <v>0</v>
      </c>
    </row>
    <row r="259" spans="2:158" ht="12.75" customHeight="1" x14ac:dyDescent="0.3">
      <c r="B259" s="199" t="s">
        <v>3902</v>
      </c>
      <c r="C259" s="193">
        <v>0</v>
      </c>
      <c r="D259" s="182">
        <f t="shared" si="380"/>
        <v>0</v>
      </c>
      <c r="E259" s="182">
        <f t="shared" si="386"/>
        <v>0</v>
      </c>
      <c r="F259" s="182">
        <f t="shared" si="392"/>
        <v>0</v>
      </c>
      <c r="G259" s="182">
        <f t="shared" si="398"/>
        <v>0</v>
      </c>
      <c r="H259" s="182">
        <f t="shared" si="404"/>
        <v>0</v>
      </c>
      <c r="I259" s="176">
        <f t="shared" si="410"/>
        <v>0</v>
      </c>
      <c r="J259" s="182">
        <f t="shared" si="416"/>
        <v>0</v>
      </c>
      <c r="K259" s="182">
        <f t="shared" si="422"/>
        <v>0</v>
      </c>
      <c r="L259" s="182">
        <f t="shared" si="428"/>
        <v>0</v>
      </c>
      <c r="M259" s="182">
        <f t="shared" si="434"/>
        <v>0</v>
      </c>
      <c r="N259" s="182">
        <f t="shared" si="440"/>
        <v>0</v>
      </c>
      <c r="O259" s="182">
        <f t="shared" si="446"/>
        <v>0</v>
      </c>
      <c r="P259" s="182">
        <f t="shared" si="452"/>
        <v>0</v>
      </c>
      <c r="Q259" s="182">
        <f t="shared" si="458"/>
        <v>0</v>
      </c>
      <c r="R259" s="182">
        <f t="shared" si="464"/>
        <v>0</v>
      </c>
      <c r="S259" s="182">
        <f t="shared" si="470"/>
        <v>0</v>
      </c>
      <c r="T259" s="182">
        <f t="shared" si="476"/>
        <v>0</v>
      </c>
      <c r="U259" s="182">
        <f t="shared" si="482"/>
        <v>0</v>
      </c>
      <c r="V259" s="182">
        <f t="shared" ref="V259:V290" si="488">V92*V$168</f>
        <v>0</v>
      </c>
      <c r="W259" s="182">
        <f t="shared" si="314"/>
        <v>0</v>
      </c>
      <c r="X259" s="182">
        <f t="shared" si="320"/>
        <v>0</v>
      </c>
      <c r="Y259" s="182">
        <f t="shared" si="325"/>
        <v>0</v>
      </c>
      <c r="Z259" s="182">
        <f t="shared" si="330"/>
        <v>0</v>
      </c>
      <c r="AA259" s="182">
        <f t="shared" si="335"/>
        <v>0</v>
      </c>
      <c r="AB259" s="182">
        <f t="shared" si="340"/>
        <v>0</v>
      </c>
      <c r="AC259" s="182">
        <f t="shared" si="345"/>
        <v>0</v>
      </c>
      <c r="AD259" s="182">
        <f t="shared" si="350"/>
        <v>0</v>
      </c>
      <c r="AE259" s="182">
        <f t="shared" si="355"/>
        <v>0</v>
      </c>
      <c r="AF259" s="182">
        <f t="shared" si="360"/>
        <v>0</v>
      </c>
      <c r="AG259" s="182">
        <f t="shared" si="365"/>
        <v>0</v>
      </c>
      <c r="AH259" s="182">
        <f t="shared" si="370"/>
        <v>0</v>
      </c>
      <c r="AI259" s="182">
        <f t="shared" si="375"/>
        <v>0</v>
      </c>
      <c r="AJ259" s="182">
        <f t="shared" si="381"/>
        <v>0</v>
      </c>
      <c r="AK259" s="182">
        <f t="shared" si="387"/>
        <v>0</v>
      </c>
      <c r="AL259" s="182">
        <f t="shared" si="393"/>
        <v>0</v>
      </c>
      <c r="AM259" s="182">
        <f t="shared" si="399"/>
        <v>0</v>
      </c>
      <c r="AN259" s="182">
        <f t="shared" si="405"/>
        <v>0</v>
      </c>
      <c r="AO259" s="182">
        <f t="shared" si="411"/>
        <v>0</v>
      </c>
      <c r="AP259" s="182">
        <f t="shared" si="417"/>
        <v>0</v>
      </c>
      <c r="AQ259" s="182">
        <f t="shared" si="423"/>
        <v>0</v>
      </c>
      <c r="AR259" s="182">
        <f t="shared" si="429"/>
        <v>0</v>
      </c>
      <c r="AS259" s="182">
        <f t="shared" si="435"/>
        <v>0</v>
      </c>
      <c r="AT259" s="182">
        <f t="shared" si="441"/>
        <v>0</v>
      </c>
      <c r="AU259" s="182">
        <f t="shared" si="447"/>
        <v>0</v>
      </c>
      <c r="AV259" s="182">
        <f t="shared" si="453"/>
        <v>1.8117637158587456E-3</v>
      </c>
      <c r="AW259" s="182">
        <f t="shared" si="459"/>
        <v>0</v>
      </c>
      <c r="AX259" s="182">
        <f t="shared" si="465"/>
        <v>0</v>
      </c>
      <c r="AY259" s="182">
        <f t="shared" si="471"/>
        <v>5.1675499331349474E-4</v>
      </c>
      <c r="AZ259" s="182">
        <f t="shared" si="477"/>
        <v>0</v>
      </c>
      <c r="BA259" s="182">
        <f t="shared" si="483"/>
        <v>0</v>
      </c>
      <c r="BB259" s="182">
        <f t="shared" ref="BB259:BB290" si="489">BB92*BB$168</f>
        <v>0</v>
      </c>
      <c r="BC259" s="182">
        <f t="shared" si="315"/>
        <v>0</v>
      </c>
      <c r="BD259" s="182">
        <f t="shared" si="321"/>
        <v>0</v>
      </c>
      <c r="BE259" s="182">
        <f t="shared" si="326"/>
        <v>0</v>
      </c>
      <c r="BF259" s="182">
        <f t="shared" si="331"/>
        <v>0</v>
      </c>
      <c r="BG259" s="182">
        <f t="shared" si="336"/>
        <v>0</v>
      </c>
      <c r="BH259" s="182">
        <f t="shared" si="341"/>
        <v>0</v>
      </c>
      <c r="BI259" s="182">
        <f t="shared" si="346"/>
        <v>0</v>
      </c>
      <c r="BJ259" s="182">
        <f t="shared" si="351"/>
        <v>0</v>
      </c>
      <c r="BK259" s="182">
        <f t="shared" si="356"/>
        <v>0</v>
      </c>
      <c r="BL259" s="182">
        <f t="shared" si="361"/>
        <v>0</v>
      </c>
      <c r="BM259" s="182">
        <f t="shared" si="366"/>
        <v>0</v>
      </c>
      <c r="BN259" s="182">
        <f t="shared" si="371"/>
        <v>0</v>
      </c>
      <c r="BO259" s="182">
        <f t="shared" si="376"/>
        <v>0</v>
      </c>
      <c r="BP259" s="182">
        <f t="shared" si="382"/>
        <v>0</v>
      </c>
      <c r="BQ259" s="182">
        <f t="shared" si="388"/>
        <v>0</v>
      </c>
      <c r="BR259" s="182">
        <f t="shared" si="394"/>
        <v>0</v>
      </c>
      <c r="BS259" s="182">
        <f t="shared" si="400"/>
        <v>0</v>
      </c>
      <c r="BT259" s="182">
        <f t="shared" si="406"/>
        <v>0</v>
      </c>
      <c r="BU259" s="182">
        <f t="shared" si="412"/>
        <v>0</v>
      </c>
      <c r="BV259" s="182">
        <f t="shared" si="418"/>
        <v>0</v>
      </c>
      <c r="BW259" s="182">
        <f t="shared" si="424"/>
        <v>0</v>
      </c>
      <c r="BX259" s="182">
        <f t="shared" si="430"/>
        <v>0</v>
      </c>
      <c r="BY259" s="182">
        <f t="shared" si="436"/>
        <v>0</v>
      </c>
      <c r="BZ259" s="182">
        <f t="shared" si="442"/>
        <v>0</v>
      </c>
      <c r="CA259" s="182">
        <f t="shared" si="448"/>
        <v>0</v>
      </c>
      <c r="CB259" s="182">
        <f t="shared" si="454"/>
        <v>0</v>
      </c>
      <c r="CC259" s="182">
        <f t="shared" si="460"/>
        <v>0</v>
      </c>
      <c r="CD259" s="182">
        <f t="shared" si="466"/>
        <v>0</v>
      </c>
      <c r="CE259" s="182">
        <f t="shared" si="472"/>
        <v>0</v>
      </c>
      <c r="CF259" s="182">
        <f t="shared" si="478"/>
        <v>0</v>
      </c>
      <c r="CG259" s="182">
        <f t="shared" si="484"/>
        <v>0</v>
      </c>
      <c r="CH259" s="182">
        <f t="shared" ref="CH259:CH290" si="490">CH92*CH$168</f>
        <v>0</v>
      </c>
      <c r="CI259" s="181">
        <f>$C259+SUM($D259:CH259,CJ259:$FB259)-SUM(CI$176:CI258,CI260:CI$330)-CI$331</f>
        <v>-2.9239089819644924E-20</v>
      </c>
      <c r="CJ259" s="176">
        <f t="shared" ref="CJ259:DO259" si="491">CJ92*CJ$168</f>
        <v>0</v>
      </c>
      <c r="CK259" s="176">
        <f t="shared" si="491"/>
        <v>0</v>
      </c>
      <c r="CL259" s="176">
        <f t="shared" si="491"/>
        <v>0</v>
      </c>
      <c r="CM259" s="176">
        <f t="shared" si="491"/>
        <v>0</v>
      </c>
      <c r="CN259" s="176">
        <f t="shared" si="491"/>
        <v>0</v>
      </c>
      <c r="CO259" s="176">
        <f t="shared" si="491"/>
        <v>0</v>
      </c>
      <c r="CP259" s="176">
        <f t="shared" si="491"/>
        <v>0</v>
      </c>
      <c r="CQ259" s="176">
        <f t="shared" si="491"/>
        <v>0</v>
      </c>
      <c r="CR259" s="176">
        <f t="shared" si="491"/>
        <v>0</v>
      </c>
      <c r="CS259" s="176">
        <f t="shared" si="491"/>
        <v>0</v>
      </c>
      <c r="CT259" s="176">
        <f t="shared" si="491"/>
        <v>0</v>
      </c>
      <c r="CU259" s="176">
        <f t="shared" si="491"/>
        <v>0</v>
      </c>
      <c r="CV259" s="176">
        <f t="shared" si="491"/>
        <v>0</v>
      </c>
      <c r="CW259" s="176">
        <f t="shared" si="491"/>
        <v>0</v>
      </c>
      <c r="CX259" s="176">
        <f t="shared" si="491"/>
        <v>0</v>
      </c>
      <c r="CY259" s="176">
        <f t="shared" si="491"/>
        <v>0</v>
      </c>
      <c r="CZ259" s="176">
        <f t="shared" si="491"/>
        <v>0</v>
      </c>
      <c r="DA259" s="176">
        <f t="shared" si="491"/>
        <v>0</v>
      </c>
      <c r="DB259" s="176">
        <f t="shared" si="491"/>
        <v>0</v>
      </c>
      <c r="DC259" s="176">
        <f t="shared" si="491"/>
        <v>0</v>
      </c>
      <c r="DD259" s="176">
        <f t="shared" si="491"/>
        <v>0</v>
      </c>
      <c r="DE259" s="176">
        <f t="shared" si="491"/>
        <v>0</v>
      </c>
      <c r="DF259" s="176">
        <f t="shared" si="491"/>
        <v>0</v>
      </c>
      <c r="DG259" s="176">
        <f t="shared" si="491"/>
        <v>0</v>
      </c>
      <c r="DH259" s="176">
        <f t="shared" si="491"/>
        <v>0</v>
      </c>
      <c r="DI259" s="176">
        <f t="shared" si="491"/>
        <v>0</v>
      </c>
      <c r="DJ259" s="176">
        <f t="shared" si="491"/>
        <v>0</v>
      </c>
      <c r="DK259" s="176">
        <f t="shared" si="491"/>
        <v>0</v>
      </c>
      <c r="DL259" s="176">
        <f t="shared" si="491"/>
        <v>0</v>
      </c>
      <c r="DM259" s="176">
        <f t="shared" si="491"/>
        <v>0</v>
      </c>
      <c r="DN259" s="176">
        <f t="shared" si="491"/>
        <v>0</v>
      </c>
      <c r="DO259" s="176">
        <f t="shared" si="491"/>
        <v>0</v>
      </c>
      <c r="DP259" s="176">
        <f t="shared" ref="DP259:EU259" si="492">DP92*DP$168</f>
        <v>0</v>
      </c>
      <c r="DQ259" s="176">
        <f t="shared" si="492"/>
        <v>0</v>
      </c>
      <c r="DR259" s="176">
        <f t="shared" si="492"/>
        <v>0</v>
      </c>
      <c r="DS259" s="176">
        <f t="shared" si="492"/>
        <v>0</v>
      </c>
      <c r="DT259" s="176">
        <f t="shared" si="492"/>
        <v>0</v>
      </c>
      <c r="DU259" s="176">
        <f t="shared" si="492"/>
        <v>0</v>
      </c>
      <c r="DV259" s="176">
        <f t="shared" si="492"/>
        <v>0</v>
      </c>
      <c r="DW259" s="176">
        <f t="shared" si="492"/>
        <v>0</v>
      </c>
      <c r="DX259" s="176">
        <f t="shared" si="492"/>
        <v>0</v>
      </c>
      <c r="DY259" s="176">
        <f t="shared" si="492"/>
        <v>0</v>
      </c>
      <c r="DZ259" s="176">
        <f t="shared" si="492"/>
        <v>0</v>
      </c>
      <c r="EA259" s="176">
        <f t="shared" si="492"/>
        <v>0</v>
      </c>
      <c r="EB259" s="176">
        <f t="shared" si="492"/>
        <v>0</v>
      </c>
      <c r="EC259" s="176">
        <f t="shared" si="492"/>
        <v>0</v>
      </c>
      <c r="ED259" s="176">
        <f t="shared" si="492"/>
        <v>0</v>
      </c>
      <c r="EE259" s="176">
        <f t="shared" si="492"/>
        <v>0</v>
      </c>
      <c r="EF259" s="182">
        <f t="shared" si="492"/>
        <v>0</v>
      </c>
      <c r="EG259" s="182">
        <f t="shared" si="492"/>
        <v>0</v>
      </c>
      <c r="EH259" s="182">
        <f t="shared" si="492"/>
        <v>0</v>
      </c>
      <c r="EI259" s="182">
        <f t="shared" si="492"/>
        <v>0</v>
      </c>
      <c r="EJ259" s="182">
        <f t="shared" si="492"/>
        <v>0</v>
      </c>
      <c r="EK259" s="182">
        <f t="shared" si="492"/>
        <v>0</v>
      </c>
      <c r="EL259" s="182">
        <f t="shared" si="492"/>
        <v>0</v>
      </c>
      <c r="EM259" s="182">
        <f t="shared" si="492"/>
        <v>0</v>
      </c>
      <c r="EN259" s="182">
        <f t="shared" si="492"/>
        <v>0</v>
      </c>
      <c r="EO259" s="182">
        <f t="shared" si="492"/>
        <v>0</v>
      </c>
      <c r="EP259" s="182">
        <f t="shared" si="492"/>
        <v>0</v>
      </c>
      <c r="EQ259" s="182">
        <f t="shared" si="492"/>
        <v>0</v>
      </c>
      <c r="ER259" s="182">
        <f t="shared" si="492"/>
        <v>0</v>
      </c>
      <c r="ES259" s="182">
        <f t="shared" si="492"/>
        <v>0</v>
      </c>
      <c r="ET259" s="182">
        <f t="shared" si="492"/>
        <v>0</v>
      </c>
      <c r="EU259" s="182">
        <f t="shared" si="492"/>
        <v>0</v>
      </c>
      <c r="EV259" s="182">
        <f t="shared" ref="EV259:FB259" si="493">EV92*EV$168</f>
        <v>0</v>
      </c>
      <c r="EW259" s="182">
        <f t="shared" si="493"/>
        <v>0</v>
      </c>
      <c r="EX259" s="182">
        <f t="shared" si="493"/>
        <v>0</v>
      </c>
      <c r="EY259" s="182">
        <f t="shared" si="493"/>
        <v>0</v>
      </c>
      <c r="EZ259" s="182">
        <f t="shared" si="493"/>
        <v>0</v>
      </c>
      <c r="FA259" s="182">
        <f t="shared" si="493"/>
        <v>0</v>
      </c>
      <c r="FB259" s="183">
        <f t="shared" si="493"/>
        <v>0</v>
      </c>
    </row>
    <row r="260" spans="2:158" ht="12.75" customHeight="1" x14ac:dyDescent="0.3">
      <c r="B260" s="199" t="s">
        <v>3903</v>
      </c>
      <c r="C260" s="193">
        <v>0</v>
      </c>
      <c r="D260" s="182">
        <f t="shared" si="380"/>
        <v>0</v>
      </c>
      <c r="E260" s="182">
        <f t="shared" si="386"/>
        <v>0</v>
      </c>
      <c r="F260" s="182">
        <f t="shared" si="392"/>
        <v>0</v>
      </c>
      <c r="G260" s="182">
        <f t="shared" si="398"/>
        <v>0</v>
      </c>
      <c r="H260" s="182">
        <f t="shared" si="404"/>
        <v>0</v>
      </c>
      <c r="I260" s="176">
        <f t="shared" si="410"/>
        <v>0</v>
      </c>
      <c r="J260" s="182">
        <f t="shared" si="416"/>
        <v>0</v>
      </c>
      <c r="K260" s="182">
        <f t="shared" si="422"/>
        <v>0</v>
      </c>
      <c r="L260" s="182">
        <f t="shared" si="428"/>
        <v>0</v>
      </c>
      <c r="M260" s="182">
        <f t="shared" si="434"/>
        <v>0</v>
      </c>
      <c r="N260" s="182">
        <f t="shared" si="440"/>
        <v>0</v>
      </c>
      <c r="O260" s="182">
        <f t="shared" si="446"/>
        <v>0</v>
      </c>
      <c r="P260" s="182">
        <f t="shared" si="452"/>
        <v>0</v>
      </c>
      <c r="Q260" s="182">
        <f t="shared" si="458"/>
        <v>0</v>
      </c>
      <c r="R260" s="182">
        <f t="shared" si="464"/>
        <v>0</v>
      </c>
      <c r="S260" s="182">
        <f t="shared" si="470"/>
        <v>0</v>
      </c>
      <c r="T260" s="182">
        <f t="shared" si="476"/>
        <v>0</v>
      </c>
      <c r="U260" s="182">
        <f t="shared" si="482"/>
        <v>0</v>
      </c>
      <c r="V260" s="182">
        <f t="shared" si="488"/>
        <v>0</v>
      </c>
      <c r="W260" s="182">
        <f t="shared" ref="W260:W291" si="494">W93*W$168</f>
        <v>0</v>
      </c>
      <c r="X260" s="182">
        <f t="shared" si="320"/>
        <v>0</v>
      </c>
      <c r="Y260" s="182">
        <f t="shared" si="325"/>
        <v>0</v>
      </c>
      <c r="Z260" s="182">
        <f t="shared" si="330"/>
        <v>0</v>
      </c>
      <c r="AA260" s="182">
        <f t="shared" si="335"/>
        <v>0</v>
      </c>
      <c r="AB260" s="182">
        <f t="shared" si="340"/>
        <v>0</v>
      </c>
      <c r="AC260" s="182">
        <f t="shared" si="345"/>
        <v>0</v>
      </c>
      <c r="AD260" s="182">
        <f t="shared" si="350"/>
        <v>0</v>
      </c>
      <c r="AE260" s="182">
        <f t="shared" si="355"/>
        <v>0</v>
      </c>
      <c r="AF260" s="182">
        <f t="shared" si="360"/>
        <v>0</v>
      </c>
      <c r="AG260" s="182">
        <f t="shared" si="365"/>
        <v>0</v>
      </c>
      <c r="AH260" s="182">
        <f t="shared" si="370"/>
        <v>0</v>
      </c>
      <c r="AI260" s="182">
        <f t="shared" si="375"/>
        <v>0</v>
      </c>
      <c r="AJ260" s="182">
        <f t="shared" si="381"/>
        <v>0</v>
      </c>
      <c r="AK260" s="182">
        <f t="shared" si="387"/>
        <v>0</v>
      </c>
      <c r="AL260" s="182">
        <f t="shared" si="393"/>
        <v>0</v>
      </c>
      <c r="AM260" s="182">
        <f t="shared" si="399"/>
        <v>0</v>
      </c>
      <c r="AN260" s="182">
        <f t="shared" si="405"/>
        <v>0</v>
      </c>
      <c r="AO260" s="182">
        <f t="shared" si="411"/>
        <v>0</v>
      </c>
      <c r="AP260" s="182">
        <f t="shared" si="417"/>
        <v>0</v>
      </c>
      <c r="AQ260" s="182">
        <f t="shared" si="423"/>
        <v>0</v>
      </c>
      <c r="AR260" s="182">
        <f t="shared" si="429"/>
        <v>0</v>
      </c>
      <c r="AS260" s="182">
        <f t="shared" si="435"/>
        <v>0</v>
      </c>
      <c r="AT260" s="182">
        <f t="shared" si="441"/>
        <v>0</v>
      </c>
      <c r="AU260" s="182">
        <f t="shared" si="447"/>
        <v>0</v>
      </c>
      <c r="AV260" s="182">
        <f t="shared" si="453"/>
        <v>0</v>
      </c>
      <c r="AW260" s="182">
        <f t="shared" si="459"/>
        <v>1.0932339152030233E-2</v>
      </c>
      <c r="AX260" s="182">
        <f t="shared" si="465"/>
        <v>0</v>
      </c>
      <c r="AY260" s="182">
        <f t="shared" si="471"/>
        <v>0</v>
      </c>
      <c r="AZ260" s="182">
        <f t="shared" si="477"/>
        <v>6.982977091112781E-3</v>
      </c>
      <c r="BA260" s="182">
        <f t="shared" si="483"/>
        <v>0</v>
      </c>
      <c r="BB260" s="182">
        <f t="shared" si="489"/>
        <v>0</v>
      </c>
      <c r="BC260" s="182">
        <f t="shared" ref="BC260:BC291" si="495">BC93*BC$168</f>
        <v>0</v>
      </c>
      <c r="BD260" s="182">
        <f t="shared" si="321"/>
        <v>0</v>
      </c>
      <c r="BE260" s="182">
        <f t="shared" si="326"/>
        <v>0</v>
      </c>
      <c r="BF260" s="182">
        <f t="shared" si="331"/>
        <v>0</v>
      </c>
      <c r="BG260" s="182">
        <f t="shared" si="336"/>
        <v>0</v>
      </c>
      <c r="BH260" s="182">
        <f t="shared" si="341"/>
        <v>0</v>
      </c>
      <c r="BI260" s="182">
        <f t="shared" si="346"/>
        <v>0</v>
      </c>
      <c r="BJ260" s="182">
        <f t="shared" si="351"/>
        <v>0</v>
      </c>
      <c r="BK260" s="182">
        <f t="shared" si="356"/>
        <v>0</v>
      </c>
      <c r="BL260" s="182">
        <f t="shared" si="361"/>
        <v>0</v>
      </c>
      <c r="BM260" s="182">
        <f t="shared" si="366"/>
        <v>0</v>
      </c>
      <c r="BN260" s="182">
        <f t="shared" si="371"/>
        <v>0</v>
      </c>
      <c r="BO260" s="182">
        <f t="shared" si="376"/>
        <v>0</v>
      </c>
      <c r="BP260" s="182">
        <f t="shared" si="382"/>
        <v>0</v>
      </c>
      <c r="BQ260" s="182">
        <f t="shared" si="388"/>
        <v>0</v>
      </c>
      <c r="BR260" s="182">
        <f t="shared" si="394"/>
        <v>0</v>
      </c>
      <c r="BS260" s="182">
        <f t="shared" si="400"/>
        <v>0</v>
      </c>
      <c r="BT260" s="182">
        <f t="shared" si="406"/>
        <v>0</v>
      </c>
      <c r="BU260" s="182">
        <f t="shared" si="412"/>
        <v>0</v>
      </c>
      <c r="BV260" s="182">
        <f t="shared" si="418"/>
        <v>0</v>
      </c>
      <c r="BW260" s="182">
        <f t="shared" si="424"/>
        <v>0</v>
      </c>
      <c r="BX260" s="182">
        <f t="shared" si="430"/>
        <v>0</v>
      </c>
      <c r="BY260" s="182">
        <f t="shared" si="436"/>
        <v>0</v>
      </c>
      <c r="BZ260" s="182">
        <f t="shared" si="442"/>
        <v>0</v>
      </c>
      <c r="CA260" s="182">
        <f t="shared" si="448"/>
        <v>0</v>
      </c>
      <c r="CB260" s="182">
        <f t="shared" si="454"/>
        <v>0</v>
      </c>
      <c r="CC260" s="182">
        <f t="shared" si="460"/>
        <v>0</v>
      </c>
      <c r="CD260" s="182">
        <f t="shared" si="466"/>
        <v>0</v>
      </c>
      <c r="CE260" s="182">
        <f t="shared" si="472"/>
        <v>0</v>
      </c>
      <c r="CF260" s="182">
        <f t="shared" si="478"/>
        <v>0</v>
      </c>
      <c r="CG260" s="182">
        <f t="shared" si="484"/>
        <v>0</v>
      </c>
      <c r="CH260" s="182">
        <f t="shared" si="490"/>
        <v>0</v>
      </c>
      <c r="CI260" s="182">
        <f t="shared" ref="CI260:CI291" si="496">CI93*CI$168</f>
        <v>1.7782781395931011E-3</v>
      </c>
      <c r="CJ260" s="181">
        <f>$C260+SUM($D260:CI260,CK260:$FB260)-SUM(CJ$176:CJ259,CJ261:CJ$330)-CJ$331</f>
        <v>1.0299920638612292E-18</v>
      </c>
      <c r="CK260" s="176">
        <f t="shared" ref="CK260:DP260" si="497">CK93*CK$168</f>
        <v>0</v>
      </c>
      <c r="CL260" s="176">
        <f t="shared" si="497"/>
        <v>0</v>
      </c>
      <c r="CM260" s="176">
        <f t="shared" si="497"/>
        <v>0</v>
      </c>
      <c r="CN260" s="176">
        <f t="shared" si="497"/>
        <v>0</v>
      </c>
      <c r="CO260" s="176">
        <f t="shared" si="497"/>
        <v>0</v>
      </c>
      <c r="CP260" s="176">
        <f t="shared" si="497"/>
        <v>0</v>
      </c>
      <c r="CQ260" s="176">
        <f t="shared" si="497"/>
        <v>0</v>
      </c>
      <c r="CR260" s="176">
        <f t="shared" si="497"/>
        <v>0</v>
      </c>
      <c r="CS260" s="176">
        <f t="shared" si="497"/>
        <v>0</v>
      </c>
      <c r="CT260" s="176">
        <f t="shared" si="497"/>
        <v>0</v>
      </c>
      <c r="CU260" s="176">
        <f t="shared" si="497"/>
        <v>0</v>
      </c>
      <c r="CV260" s="176">
        <f t="shared" si="497"/>
        <v>0</v>
      </c>
      <c r="CW260" s="176">
        <f t="shared" si="497"/>
        <v>0</v>
      </c>
      <c r="CX260" s="176">
        <f t="shared" si="497"/>
        <v>0</v>
      </c>
      <c r="CY260" s="176">
        <f t="shared" si="497"/>
        <v>0</v>
      </c>
      <c r="CZ260" s="176">
        <f t="shared" si="497"/>
        <v>0</v>
      </c>
      <c r="DA260" s="176">
        <f t="shared" si="497"/>
        <v>0</v>
      </c>
      <c r="DB260" s="176">
        <f t="shared" si="497"/>
        <v>0</v>
      </c>
      <c r="DC260" s="176">
        <f t="shared" si="497"/>
        <v>0</v>
      </c>
      <c r="DD260" s="176">
        <f t="shared" si="497"/>
        <v>0</v>
      </c>
      <c r="DE260" s="176">
        <f t="shared" si="497"/>
        <v>0</v>
      </c>
      <c r="DF260" s="176">
        <f t="shared" si="497"/>
        <v>0</v>
      </c>
      <c r="DG260" s="176">
        <f t="shared" si="497"/>
        <v>0</v>
      </c>
      <c r="DH260" s="176">
        <f t="shared" si="497"/>
        <v>0</v>
      </c>
      <c r="DI260" s="176">
        <f t="shared" si="497"/>
        <v>0</v>
      </c>
      <c r="DJ260" s="176">
        <f t="shared" si="497"/>
        <v>0</v>
      </c>
      <c r="DK260" s="176">
        <f t="shared" si="497"/>
        <v>0</v>
      </c>
      <c r="DL260" s="176">
        <f t="shared" si="497"/>
        <v>0</v>
      </c>
      <c r="DM260" s="176">
        <f t="shared" si="497"/>
        <v>0</v>
      </c>
      <c r="DN260" s="176">
        <f t="shared" si="497"/>
        <v>0</v>
      </c>
      <c r="DO260" s="176">
        <f t="shared" si="497"/>
        <v>0</v>
      </c>
      <c r="DP260" s="176">
        <f t="shared" si="497"/>
        <v>0</v>
      </c>
      <c r="DQ260" s="176">
        <f t="shared" ref="DQ260:EV260" si="498">DQ93*DQ$168</f>
        <v>0</v>
      </c>
      <c r="DR260" s="176">
        <f t="shared" si="498"/>
        <v>0</v>
      </c>
      <c r="DS260" s="176">
        <f t="shared" si="498"/>
        <v>0</v>
      </c>
      <c r="DT260" s="176">
        <f t="shared" si="498"/>
        <v>0</v>
      </c>
      <c r="DU260" s="176">
        <f t="shared" si="498"/>
        <v>0</v>
      </c>
      <c r="DV260" s="176">
        <f t="shared" si="498"/>
        <v>0</v>
      </c>
      <c r="DW260" s="176">
        <f t="shared" si="498"/>
        <v>0</v>
      </c>
      <c r="DX260" s="176">
        <f t="shared" si="498"/>
        <v>0</v>
      </c>
      <c r="DY260" s="176">
        <f t="shared" si="498"/>
        <v>0</v>
      </c>
      <c r="DZ260" s="176">
        <f t="shared" si="498"/>
        <v>0</v>
      </c>
      <c r="EA260" s="176">
        <f t="shared" si="498"/>
        <v>0</v>
      </c>
      <c r="EB260" s="176">
        <f t="shared" si="498"/>
        <v>0</v>
      </c>
      <c r="EC260" s="176">
        <f t="shared" si="498"/>
        <v>0</v>
      </c>
      <c r="ED260" s="176">
        <f t="shared" si="498"/>
        <v>0</v>
      </c>
      <c r="EE260" s="176">
        <f t="shared" si="498"/>
        <v>0</v>
      </c>
      <c r="EF260" s="182">
        <f t="shared" si="498"/>
        <v>0</v>
      </c>
      <c r="EG260" s="182">
        <f t="shared" si="498"/>
        <v>0</v>
      </c>
      <c r="EH260" s="182">
        <f t="shared" si="498"/>
        <v>0</v>
      </c>
      <c r="EI260" s="182">
        <f t="shared" si="498"/>
        <v>0</v>
      </c>
      <c r="EJ260" s="182">
        <f t="shared" si="498"/>
        <v>0</v>
      </c>
      <c r="EK260" s="182">
        <f t="shared" si="498"/>
        <v>0</v>
      </c>
      <c r="EL260" s="182">
        <f t="shared" si="498"/>
        <v>0</v>
      </c>
      <c r="EM260" s="182">
        <f t="shared" si="498"/>
        <v>0</v>
      </c>
      <c r="EN260" s="182">
        <f t="shared" si="498"/>
        <v>0</v>
      </c>
      <c r="EO260" s="182">
        <f t="shared" si="498"/>
        <v>0</v>
      </c>
      <c r="EP260" s="182">
        <f t="shared" si="498"/>
        <v>0</v>
      </c>
      <c r="EQ260" s="182">
        <f t="shared" si="498"/>
        <v>0</v>
      </c>
      <c r="ER260" s="182">
        <f t="shared" si="498"/>
        <v>0</v>
      </c>
      <c r="ES260" s="182">
        <f t="shared" si="498"/>
        <v>0</v>
      </c>
      <c r="ET260" s="182">
        <f t="shared" si="498"/>
        <v>0</v>
      </c>
      <c r="EU260" s="182">
        <f t="shared" si="498"/>
        <v>0</v>
      </c>
      <c r="EV260" s="182">
        <f t="shared" si="498"/>
        <v>0</v>
      </c>
      <c r="EW260" s="182">
        <f t="shared" ref="EW260:FB260" si="499">EW93*EW$168</f>
        <v>0</v>
      </c>
      <c r="EX260" s="182">
        <f t="shared" si="499"/>
        <v>0</v>
      </c>
      <c r="EY260" s="182">
        <f t="shared" si="499"/>
        <v>0</v>
      </c>
      <c r="EZ260" s="182">
        <f t="shared" si="499"/>
        <v>0</v>
      </c>
      <c r="FA260" s="182">
        <f t="shared" si="499"/>
        <v>0</v>
      </c>
      <c r="FB260" s="183">
        <f t="shared" si="499"/>
        <v>0</v>
      </c>
    </row>
    <row r="261" spans="2:158" ht="12.75" customHeight="1" x14ac:dyDescent="0.3">
      <c r="B261" s="199" t="s">
        <v>3904</v>
      </c>
      <c r="C261" s="193">
        <v>0</v>
      </c>
      <c r="D261" s="182">
        <f t="shared" si="380"/>
        <v>0</v>
      </c>
      <c r="E261" s="182">
        <f t="shared" si="386"/>
        <v>0</v>
      </c>
      <c r="F261" s="182">
        <f t="shared" si="392"/>
        <v>0</v>
      </c>
      <c r="G261" s="182">
        <f t="shared" si="398"/>
        <v>0</v>
      </c>
      <c r="H261" s="182">
        <f t="shared" si="404"/>
        <v>0</v>
      </c>
      <c r="I261" s="176">
        <f t="shared" si="410"/>
        <v>0</v>
      </c>
      <c r="J261" s="182">
        <f t="shared" si="416"/>
        <v>0</v>
      </c>
      <c r="K261" s="182">
        <f t="shared" si="422"/>
        <v>0</v>
      </c>
      <c r="L261" s="182">
        <f t="shared" si="428"/>
        <v>0</v>
      </c>
      <c r="M261" s="182">
        <f t="shared" si="434"/>
        <v>0</v>
      </c>
      <c r="N261" s="182">
        <f t="shared" si="440"/>
        <v>0</v>
      </c>
      <c r="O261" s="182">
        <f t="shared" si="446"/>
        <v>0</v>
      </c>
      <c r="P261" s="182">
        <f t="shared" si="452"/>
        <v>0</v>
      </c>
      <c r="Q261" s="182">
        <f t="shared" si="458"/>
        <v>0</v>
      </c>
      <c r="R261" s="182">
        <f t="shared" si="464"/>
        <v>0</v>
      </c>
      <c r="S261" s="182">
        <f t="shared" si="470"/>
        <v>0</v>
      </c>
      <c r="T261" s="182">
        <f t="shared" si="476"/>
        <v>0</v>
      </c>
      <c r="U261" s="182">
        <f t="shared" si="482"/>
        <v>0</v>
      </c>
      <c r="V261" s="182">
        <f t="shared" si="488"/>
        <v>0</v>
      </c>
      <c r="W261" s="182">
        <f t="shared" si="494"/>
        <v>0</v>
      </c>
      <c r="X261" s="182">
        <f t="shared" ref="X261:X292" si="500">X94*X$168</f>
        <v>0</v>
      </c>
      <c r="Y261" s="182">
        <f t="shared" si="325"/>
        <v>0</v>
      </c>
      <c r="Z261" s="182">
        <f t="shared" si="330"/>
        <v>0</v>
      </c>
      <c r="AA261" s="182">
        <f t="shared" si="335"/>
        <v>0</v>
      </c>
      <c r="AB261" s="182">
        <f t="shared" si="340"/>
        <v>0</v>
      </c>
      <c r="AC261" s="182">
        <f t="shared" si="345"/>
        <v>0</v>
      </c>
      <c r="AD261" s="182">
        <f t="shared" si="350"/>
        <v>0</v>
      </c>
      <c r="AE261" s="182">
        <f t="shared" si="355"/>
        <v>0</v>
      </c>
      <c r="AF261" s="182">
        <f t="shared" si="360"/>
        <v>0</v>
      </c>
      <c r="AG261" s="182">
        <f t="shared" si="365"/>
        <v>0</v>
      </c>
      <c r="AH261" s="182">
        <f t="shared" si="370"/>
        <v>0</v>
      </c>
      <c r="AI261" s="182">
        <f t="shared" si="375"/>
        <v>0</v>
      </c>
      <c r="AJ261" s="182">
        <f t="shared" si="381"/>
        <v>0</v>
      </c>
      <c r="AK261" s="182">
        <f t="shared" si="387"/>
        <v>0</v>
      </c>
      <c r="AL261" s="182">
        <f t="shared" si="393"/>
        <v>0</v>
      </c>
      <c r="AM261" s="182">
        <f t="shared" si="399"/>
        <v>0</v>
      </c>
      <c r="AN261" s="182">
        <f t="shared" si="405"/>
        <v>0</v>
      </c>
      <c r="AO261" s="182">
        <f t="shared" si="411"/>
        <v>0</v>
      </c>
      <c r="AP261" s="182">
        <f t="shared" si="417"/>
        <v>0</v>
      </c>
      <c r="AQ261" s="182">
        <f t="shared" si="423"/>
        <v>0</v>
      </c>
      <c r="AR261" s="182">
        <f t="shared" si="429"/>
        <v>0</v>
      </c>
      <c r="AS261" s="182">
        <f t="shared" si="435"/>
        <v>0</v>
      </c>
      <c r="AT261" s="182">
        <f t="shared" si="441"/>
        <v>0</v>
      </c>
      <c r="AU261" s="182">
        <f t="shared" si="447"/>
        <v>0</v>
      </c>
      <c r="AV261" s="182">
        <f t="shared" si="453"/>
        <v>0</v>
      </c>
      <c r="AW261" s="182">
        <f t="shared" si="459"/>
        <v>0</v>
      </c>
      <c r="AX261" s="182">
        <f t="shared" si="465"/>
        <v>8.4040816606202453E-7</v>
      </c>
      <c r="AY261" s="182">
        <f t="shared" si="471"/>
        <v>0</v>
      </c>
      <c r="AZ261" s="182">
        <f t="shared" si="477"/>
        <v>0</v>
      </c>
      <c r="BA261" s="182">
        <f t="shared" si="483"/>
        <v>6.2181373642578012E-5</v>
      </c>
      <c r="BB261" s="182">
        <f t="shared" si="489"/>
        <v>0</v>
      </c>
      <c r="BC261" s="182">
        <f t="shared" si="495"/>
        <v>0</v>
      </c>
      <c r="BD261" s="182">
        <f t="shared" ref="BD261:BD292" si="501">BD94*BD$168</f>
        <v>0</v>
      </c>
      <c r="BE261" s="182">
        <f t="shared" si="326"/>
        <v>0</v>
      </c>
      <c r="BF261" s="182">
        <f t="shared" si="331"/>
        <v>0</v>
      </c>
      <c r="BG261" s="182">
        <f t="shared" si="336"/>
        <v>0</v>
      </c>
      <c r="BH261" s="182">
        <f t="shared" si="341"/>
        <v>0</v>
      </c>
      <c r="BI261" s="182">
        <f t="shared" si="346"/>
        <v>0</v>
      </c>
      <c r="BJ261" s="182">
        <f t="shared" si="351"/>
        <v>0</v>
      </c>
      <c r="BK261" s="182">
        <f t="shared" si="356"/>
        <v>0</v>
      </c>
      <c r="BL261" s="182">
        <f t="shared" si="361"/>
        <v>0</v>
      </c>
      <c r="BM261" s="182">
        <f t="shared" si="366"/>
        <v>0</v>
      </c>
      <c r="BN261" s="182">
        <f t="shared" si="371"/>
        <v>0</v>
      </c>
      <c r="BO261" s="182">
        <f t="shared" si="376"/>
        <v>0</v>
      </c>
      <c r="BP261" s="182">
        <f t="shared" si="382"/>
        <v>0</v>
      </c>
      <c r="BQ261" s="182">
        <f t="shared" si="388"/>
        <v>0</v>
      </c>
      <c r="BR261" s="182">
        <f t="shared" si="394"/>
        <v>0</v>
      </c>
      <c r="BS261" s="182">
        <f t="shared" si="400"/>
        <v>0</v>
      </c>
      <c r="BT261" s="182">
        <f t="shared" si="406"/>
        <v>0</v>
      </c>
      <c r="BU261" s="182">
        <f t="shared" si="412"/>
        <v>0</v>
      </c>
      <c r="BV261" s="182">
        <f t="shared" si="418"/>
        <v>0</v>
      </c>
      <c r="BW261" s="182">
        <f t="shared" si="424"/>
        <v>0</v>
      </c>
      <c r="BX261" s="182">
        <f t="shared" si="430"/>
        <v>0</v>
      </c>
      <c r="BY261" s="182">
        <f t="shared" si="436"/>
        <v>0</v>
      </c>
      <c r="BZ261" s="182">
        <f t="shared" si="442"/>
        <v>0</v>
      </c>
      <c r="CA261" s="182">
        <f t="shared" si="448"/>
        <v>0</v>
      </c>
      <c r="CB261" s="182">
        <f t="shared" si="454"/>
        <v>0</v>
      </c>
      <c r="CC261" s="182">
        <f t="shared" si="460"/>
        <v>0</v>
      </c>
      <c r="CD261" s="182">
        <f t="shared" si="466"/>
        <v>0</v>
      </c>
      <c r="CE261" s="182">
        <f t="shared" si="472"/>
        <v>0</v>
      </c>
      <c r="CF261" s="182">
        <f t="shared" si="478"/>
        <v>0</v>
      </c>
      <c r="CG261" s="182">
        <f t="shared" si="484"/>
        <v>0</v>
      </c>
      <c r="CH261" s="182">
        <f t="shared" si="490"/>
        <v>0</v>
      </c>
      <c r="CI261" s="182">
        <f t="shared" si="496"/>
        <v>5.5022459123946709E-4</v>
      </c>
      <c r="CJ261" s="182">
        <f t="shared" ref="CJ261:CJ292" si="502">CJ94*CJ$168</f>
        <v>0</v>
      </c>
      <c r="CK261" s="181">
        <f>$C261+SUM($D261:CJ261,CL261:$FB261)-SUM(CK$176:CK260,CK262:CK$330)-CK$331</f>
        <v>1.0842021724855044E-19</v>
      </c>
      <c r="CL261" s="176">
        <f t="shared" ref="CL261:DQ261" si="503">CL94*CL$168</f>
        <v>0</v>
      </c>
      <c r="CM261" s="176">
        <f t="shared" si="503"/>
        <v>0</v>
      </c>
      <c r="CN261" s="176">
        <f t="shared" si="503"/>
        <v>0</v>
      </c>
      <c r="CO261" s="176">
        <f t="shared" si="503"/>
        <v>0</v>
      </c>
      <c r="CP261" s="176">
        <f t="shared" si="503"/>
        <v>0</v>
      </c>
      <c r="CQ261" s="176">
        <f t="shared" si="503"/>
        <v>0</v>
      </c>
      <c r="CR261" s="176">
        <f t="shared" si="503"/>
        <v>0</v>
      </c>
      <c r="CS261" s="176">
        <f t="shared" si="503"/>
        <v>0</v>
      </c>
      <c r="CT261" s="176">
        <f t="shared" si="503"/>
        <v>0</v>
      </c>
      <c r="CU261" s="176">
        <f t="shared" si="503"/>
        <v>0</v>
      </c>
      <c r="CV261" s="176">
        <f t="shared" si="503"/>
        <v>0</v>
      </c>
      <c r="CW261" s="176">
        <f t="shared" si="503"/>
        <v>0</v>
      </c>
      <c r="CX261" s="176">
        <f t="shared" si="503"/>
        <v>0</v>
      </c>
      <c r="CY261" s="176">
        <f t="shared" si="503"/>
        <v>0</v>
      </c>
      <c r="CZ261" s="176">
        <f t="shared" si="503"/>
        <v>0</v>
      </c>
      <c r="DA261" s="176">
        <f t="shared" si="503"/>
        <v>0</v>
      </c>
      <c r="DB261" s="176">
        <f t="shared" si="503"/>
        <v>0</v>
      </c>
      <c r="DC261" s="176">
        <f t="shared" si="503"/>
        <v>0</v>
      </c>
      <c r="DD261" s="176">
        <f t="shared" si="503"/>
        <v>0</v>
      </c>
      <c r="DE261" s="176">
        <f t="shared" si="503"/>
        <v>0</v>
      </c>
      <c r="DF261" s="176">
        <f t="shared" si="503"/>
        <v>0</v>
      </c>
      <c r="DG261" s="176">
        <f t="shared" si="503"/>
        <v>0</v>
      </c>
      <c r="DH261" s="176">
        <f t="shared" si="503"/>
        <v>0</v>
      </c>
      <c r="DI261" s="176">
        <f t="shared" si="503"/>
        <v>0</v>
      </c>
      <c r="DJ261" s="176">
        <f t="shared" si="503"/>
        <v>0</v>
      </c>
      <c r="DK261" s="176">
        <f t="shared" si="503"/>
        <v>0</v>
      </c>
      <c r="DL261" s="176">
        <f t="shared" si="503"/>
        <v>0</v>
      </c>
      <c r="DM261" s="176">
        <f t="shared" si="503"/>
        <v>0</v>
      </c>
      <c r="DN261" s="176">
        <f t="shared" si="503"/>
        <v>0</v>
      </c>
      <c r="DO261" s="176">
        <f t="shared" si="503"/>
        <v>0</v>
      </c>
      <c r="DP261" s="176">
        <f t="shared" si="503"/>
        <v>0</v>
      </c>
      <c r="DQ261" s="176">
        <f t="shared" si="503"/>
        <v>0</v>
      </c>
      <c r="DR261" s="176">
        <f t="shared" ref="DR261:FB261" si="504">DR94*DR$168</f>
        <v>0</v>
      </c>
      <c r="DS261" s="176">
        <f t="shared" si="504"/>
        <v>0</v>
      </c>
      <c r="DT261" s="176">
        <f t="shared" si="504"/>
        <v>0</v>
      </c>
      <c r="DU261" s="176">
        <f t="shared" si="504"/>
        <v>0</v>
      </c>
      <c r="DV261" s="176">
        <f t="shared" si="504"/>
        <v>0</v>
      </c>
      <c r="DW261" s="176">
        <f t="shared" si="504"/>
        <v>0</v>
      </c>
      <c r="DX261" s="176">
        <f t="shared" si="504"/>
        <v>0</v>
      </c>
      <c r="DY261" s="176">
        <f t="shared" si="504"/>
        <v>0</v>
      </c>
      <c r="DZ261" s="176">
        <f t="shared" si="504"/>
        <v>0</v>
      </c>
      <c r="EA261" s="176">
        <f t="shared" si="504"/>
        <v>0</v>
      </c>
      <c r="EB261" s="176">
        <f t="shared" si="504"/>
        <v>0</v>
      </c>
      <c r="EC261" s="176">
        <f t="shared" si="504"/>
        <v>0</v>
      </c>
      <c r="ED261" s="176">
        <f t="shared" si="504"/>
        <v>0</v>
      </c>
      <c r="EE261" s="176">
        <f t="shared" si="504"/>
        <v>0</v>
      </c>
      <c r="EF261" s="182">
        <f t="shared" si="504"/>
        <v>0</v>
      </c>
      <c r="EG261" s="182">
        <f t="shared" si="504"/>
        <v>0</v>
      </c>
      <c r="EH261" s="182">
        <f t="shared" si="504"/>
        <v>0</v>
      </c>
      <c r="EI261" s="182">
        <f t="shared" si="504"/>
        <v>0</v>
      </c>
      <c r="EJ261" s="182">
        <f t="shared" si="504"/>
        <v>0</v>
      </c>
      <c r="EK261" s="182">
        <f t="shared" si="504"/>
        <v>0</v>
      </c>
      <c r="EL261" s="182">
        <f t="shared" si="504"/>
        <v>0</v>
      </c>
      <c r="EM261" s="182">
        <f t="shared" si="504"/>
        <v>0</v>
      </c>
      <c r="EN261" s="182">
        <f t="shared" si="504"/>
        <v>0</v>
      </c>
      <c r="EO261" s="182">
        <f t="shared" si="504"/>
        <v>0</v>
      </c>
      <c r="EP261" s="182">
        <f t="shared" si="504"/>
        <v>0</v>
      </c>
      <c r="EQ261" s="182">
        <f t="shared" si="504"/>
        <v>0</v>
      </c>
      <c r="ER261" s="182">
        <f t="shared" si="504"/>
        <v>0</v>
      </c>
      <c r="ES261" s="182">
        <f t="shared" si="504"/>
        <v>0</v>
      </c>
      <c r="ET261" s="182">
        <f t="shared" si="504"/>
        <v>0</v>
      </c>
      <c r="EU261" s="182">
        <f t="shared" si="504"/>
        <v>0</v>
      </c>
      <c r="EV261" s="182">
        <f t="shared" si="504"/>
        <v>0</v>
      </c>
      <c r="EW261" s="182">
        <f t="shared" si="504"/>
        <v>0</v>
      </c>
      <c r="EX261" s="182">
        <f t="shared" si="504"/>
        <v>0</v>
      </c>
      <c r="EY261" s="182">
        <f t="shared" si="504"/>
        <v>0</v>
      </c>
      <c r="EZ261" s="182">
        <f t="shared" si="504"/>
        <v>0</v>
      </c>
      <c r="FA261" s="182">
        <f t="shared" si="504"/>
        <v>0</v>
      </c>
      <c r="FB261" s="183">
        <f t="shared" si="504"/>
        <v>0</v>
      </c>
    </row>
    <row r="262" spans="2:158" ht="12.75" customHeight="1" x14ac:dyDescent="0.3">
      <c r="B262" s="199" t="s">
        <v>3905</v>
      </c>
      <c r="C262" s="193">
        <v>0</v>
      </c>
      <c r="D262" s="182">
        <f t="shared" si="380"/>
        <v>0</v>
      </c>
      <c r="E262" s="182">
        <f t="shared" si="386"/>
        <v>0</v>
      </c>
      <c r="F262" s="182">
        <f t="shared" si="392"/>
        <v>0</v>
      </c>
      <c r="G262" s="182">
        <f t="shared" si="398"/>
        <v>0</v>
      </c>
      <c r="H262" s="182">
        <f t="shared" si="404"/>
        <v>0</v>
      </c>
      <c r="I262" s="176">
        <f t="shared" si="410"/>
        <v>0</v>
      </c>
      <c r="J262" s="182">
        <f t="shared" si="416"/>
        <v>0</v>
      </c>
      <c r="K262" s="182">
        <f t="shared" si="422"/>
        <v>0</v>
      </c>
      <c r="L262" s="182">
        <f t="shared" si="428"/>
        <v>0</v>
      </c>
      <c r="M262" s="182">
        <f t="shared" si="434"/>
        <v>0</v>
      </c>
      <c r="N262" s="182">
        <f t="shared" si="440"/>
        <v>0</v>
      </c>
      <c r="O262" s="182">
        <f t="shared" si="446"/>
        <v>0</v>
      </c>
      <c r="P262" s="182">
        <f t="shared" si="452"/>
        <v>0</v>
      </c>
      <c r="Q262" s="182">
        <f t="shared" si="458"/>
        <v>0</v>
      </c>
      <c r="R262" s="182">
        <f t="shared" si="464"/>
        <v>0</v>
      </c>
      <c r="S262" s="182">
        <f t="shared" si="470"/>
        <v>0</v>
      </c>
      <c r="T262" s="182">
        <f t="shared" si="476"/>
        <v>0</v>
      </c>
      <c r="U262" s="182">
        <f t="shared" si="482"/>
        <v>0</v>
      </c>
      <c r="V262" s="182">
        <f t="shared" si="488"/>
        <v>0</v>
      </c>
      <c r="W262" s="182">
        <f t="shared" si="494"/>
        <v>0</v>
      </c>
      <c r="X262" s="182">
        <f t="shared" si="500"/>
        <v>0</v>
      </c>
      <c r="Y262" s="182">
        <f t="shared" ref="Y262:Y293" si="505">Y95*Y$168</f>
        <v>0</v>
      </c>
      <c r="Z262" s="182">
        <f t="shared" si="330"/>
        <v>0</v>
      </c>
      <c r="AA262" s="182">
        <f t="shared" si="335"/>
        <v>0</v>
      </c>
      <c r="AB262" s="182">
        <f t="shared" si="340"/>
        <v>0</v>
      </c>
      <c r="AC262" s="182">
        <f t="shared" si="345"/>
        <v>0</v>
      </c>
      <c r="AD262" s="182">
        <f t="shared" si="350"/>
        <v>0</v>
      </c>
      <c r="AE262" s="182">
        <f t="shared" si="355"/>
        <v>0</v>
      </c>
      <c r="AF262" s="182">
        <f t="shared" si="360"/>
        <v>0</v>
      </c>
      <c r="AG262" s="182">
        <f t="shared" si="365"/>
        <v>0</v>
      </c>
      <c r="AH262" s="182">
        <f t="shared" si="370"/>
        <v>0</v>
      </c>
      <c r="AI262" s="182">
        <f t="shared" si="375"/>
        <v>0</v>
      </c>
      <c r="AJ262" s="182">
        <f t="shared" si="381"/>
        <v>0</v>
      </c>
      <c r="AK262" s="182">
        <f t="shared" si="387"/>
        <v>0</v>
      </c>
      <c r="AL262" s="182">
        <f t="shared" si="393"/>
        <v>0</v>
      </c>
      <c r="AM262" s="182">
        <f t="shared" si="399"/>
        <v>0</v>
      </c>
      <c r="AN262" s="182">
        <f t="shared" si="405"/>
        <v>0</v>
      </c>
      <c r="AO262" s="182">
        <f t="shared" si="411"/>
        <v>0</v>
      </c>
      <c r="AP262" s="182">
        <f t="shared" si="417"/>
        <v>0</v>
      </c>
      <c r="AQ262" s="182">
        <f t="shared" si="423"/>
        <v>0</v>
      </c>
      <c r="AR262" s="182">
        <f t="shared" si="429"/>
        <v>0</v>
      </c>
      <c r="AS262" s="182">
        <f t="shared" si="435"/>
        <v>0</v>
      </c>
      <c r="AT262" s="182">
        <f t="shared" si="441"/>
        <v>0</v>
      </c>
      <c r="AU262" s="182">
        <f t="shared" si="447"/>
        <v>0</v>
      </c>
      <c r="AV262" s="182">
        <f t="shared" si="453"/>
        <v>0</v>
      </c>
      <c r="AW262" s="182">
        <f t="shared" si="459"/>
        <v>0</v>
      </c>
      <c r="AX262" s="182">
        <f t="shared" si="465"/>
        <v>0</v>
      </c>
      <c r="AY262" s="182">
        <f t="shared" si="471"/>
        <v>0</v>
      </c>
      <c r="AZ262" s="182">
        <f t="shared" si="477"/>
        <v>0</v>
      </c>
      <c r="BA262" s="182">
        <f t="shared" si="483"/>
        <v>0</v>
      </c>
      <c r="BB262" s="182">
        <f t="shared" si="489"/>
        <v>0</v>
      </c>
      <c r="BC262" s="182">
        <f t="shared" si="495"/>
        <v>0</v>
      </c>
      <c r="BD262" s="182">
        <f t="shared" si="501"/>
        <v>0</v>
      </c>
      <c r="BE262" s="182">
        <f t="shared" ref="BE262:BE293" si="506">BE95*BE$168</f>
        <v>0</v>
      </c>
      <c r="BF262" s="182">
        <f t="shared" si="331"/>
        <v>0</v>
      </c>
      <c r="BG262" s="182">
        <f t="shared" si="336"/>
        <v>0</v>
      </c>
      <c r="BH262" s="182">
        <f t="shared" si="341"/>
        <v>0</v>
      </c>
      <c r="BI262" s="182">
        <f t="shared" si="346"/>
        <v>0</v>
      </c>
      <c r="BJ262" s="182">
        <f t="shared" si="351"/>
        <v>0</v>
      </c>
      <c r="BK262" s="182">
        <f t="shared" si="356"/>
        <v>0</v>
      </c>
      <c r="BL262" s="182">
        <f t="shared" si="361"/>
        <v>0</v>
      </c>
      <c r="BM262" s="182">
        <f t="shared" si="366"/>
        <v>0</v>
      </c>
      <c r="BN262" s="182">
        <f t="shared" si="371"/>
        <v>0</v>
      </c>
      <c r="BO262" s="182">
        <f t="shared" si="376"/>
        <v>0</v>
      </c>
      <c r="BP262" s="182">
        <f t="shared" si="382"/>
        <v>0</v>
      </c>
      <c r="BQ262" s="182">
        <f t="shared" si="388"/>
        <v>0</v>
      </c>
      <c r="BR262" s="182">
        <f t="shared" si="394"/>
        <v>0</v>
      </c>
      <c r="BS262" s="182">
        <f t="shared" si="400"/>
        <v>0</v>
      </c>
      <c r="BT262" s="182">
        <f t="shared" si="406"/>
        <v>0</v>
      </c>
      <c r="BU262" s="182">
        <f t="shared" si="412"/>
        <v>0</v>
      </c>
      <c r="BV262" s="182">
        <f t="shared" si="418"/>
        <v>0</v>
      </c>
      <c r="BW262" s="182">
        <f t="shared" si="424"/>
        <v>0</v>
      </c>
      <c r="BX262" s="182">
        <f t="shared" si="430"/>
        <v>0</v>
      </c>
      <c r="BY262" s="182">
        <f t="shared" si="436"/>
        <v>0</v>
      </c>
      <c r="BZ262" s="182">
        <f t="shared" si="442"/>
        <v>0</v>
      </c>
      <c r="CA262" s="182">
        <f t="shared" si="448"/>
        <v>0</v>
      </c>
      <c r="CB262" s="182">
        <f t="shared" si="454"/>
        <v>0</v>
      </c>
      <c r="CC262" s="182">
        <f t="shared" si="460"/>
        <v>0</v>
      </c>
      <c r="CD262" s="182">
        <f t="shared" si="466"/>
        <v>0</v>
      </c>
      <c r="CE262" s="182">
        <f t="shared" si="472"/>
        <v>0</v>
      </c>
      <c r="CF262" s="182">
        <f t="shared" si="478"/>
        <v>0</v>
      </c>
      <c r="CG262" s="182">
        <f t="shared" si="484"/>
        <v>0</v>
      </c>
      <c r="CH262" s="182">
        <f t="shared" si="490"/>
        <v>0</v>
      </c>
      <c r="CI262" s="182">
        <f t="shared" si="496"/>
        <v>0</v>
      </c>
      <c r="CJ262" s="182">
        <f t="shared" si="502"/>
        <v>0</v>
      </c>
      <c r="CK262" s="182">
        <f t="shared" ref="CK262:CK293" si="507">CK95*CK$168</f>
        <v>0</v>
      </c>
      <c r="CL262" s="181">
        <f>$C262+SUM($D262:CK262,CM262:$FB262)-SUM(CL$176:CL261,CL263:CL$330)-CL$331</f>
        <v>0</v>
      </c>
      <c r="CM262" s="176">
        <f t="shared" ref="CM262:DR262" si="508">CM95*CM$168</f>
        <v>0</v>
      </c>
      <c r="CN262" s="176">
        <f t="shared" si="508"/>
        <v>0</v>
      </c>
      <c r="CO262" s="176">
        <f t="shared" si="508"/>
        <v>0</v>
      </c>
      <c r="CP262" s="176">
        <f t="shared" si="508"/>
        <v>0</v>
      </c>
      <c r="CQ262" s="176">
        <f t="shared" si="508"/>
        <v>0</v>
      </c>
      <c r="CR262" s="176">
        <f t="shared" si="508"/>
        <v>0</v>
      </c>
      <c r="CS262" s="176">
        <f t="shared" si="508"/>
        <v>0</v>
      </c>
      <c r="CT262" s="176">
        <f t="shared" si="508"/>
        <v>0</v>
      </c>
      <c r="CU262" s="176">
        <f t="shared" si="508"/>
        <v>0</v>
      </c>
      <c r="CV262" s="176">
        <f t="shared" si="508"/>
        <v>0</v>
      </c>
      <c r="CW262" s="176">
        <f t="shared" si="508"/>
        <v>0</v>
      </c>
      <c r="CX262" s="176">
        <f t="shared" si="508"/>
        <v>0</v>
      </c>
      <c r="CY262" s="176">
        <f t="shared" si="508"/>
        <v>0</v>
      </c>
      <c r="CZ262" s="176">
        <f t="shared" si="508"/>
        <v>0</v>
      </c>
      <c r="DA262" s="176">
        <f t="shared" si="508"/>
        <v>0</v>
      </c>
      <c r="DB262" s="176">
        <f t="shared" si="508"/>
        <v>0</v>
      </c>
      <c r="DC262" s="176">
        <f t="shared" si="508"/>
        <v>0</v>
      </c>
      <c r="DD262" s="176">
        <f t="shared" si="508"/>
        <v>0</v>
      </c>
      <c r="DE262" s="176">
        <f t="shared" si="508"/>
        <v>0</v>
      </c>
      <c r="DF262" s="176">
        <f t="shared" si="508"/>
        <v>0</v>
      </c>
      <c r="DG262" s="176">
        <f t="shared" si="508"/>
        <v>0</v>
      </c>
      <c r="DH262" s="176">
        <f t="shared" si="508"/>
        <v>0</v>
      </c>
      <c r="DI262" s="176">
        <f t="shared" si="508"/>
        <v>0</v>
      </c>
      <c r="DJ262" s="176">
        <f t="shared" si="508"/>
        <v>0</v>
      </c>
      <c r="DK262" s="176">
        <f t="shared" si="508"/>
        <v>0</v>
      </c>
      <c r="DL262" s="176">
        <f t="shared" si="508"/>
        <v>0</v>
      </c>
      <c r="DM262" s="176">
        <f t="shared" si="508"/>
        <v>0</v>
      </c>
      <c r="DN262" s="176">
        <f t="shared" si="508"/>
        <v>0</v>
      </c>
      <c r="DO262" s="176">
        <f t="shared" si="508"/>
        <v>0</v>
      </c>
      <c r="DP262" s="176">
        <f t="shared" si="508"/>
        <v>0</v>
      </c>
      <c r="DQ262" s="176">
        <f t="shared" si="508"/>
        <v>0</v>
      </c>
      <c r="DR262" s="176">
        <f t="shared" si="508"/>
        <v>0</v>
      </c>
      <c r="DS262" s="176">
        <f t="shared" ref="DS262:FB262" si="509">DS95*DS$168</f>
        <v>0</v>
      </c>
      <c r="DT262" s="176">
        <f t="shared" si="509"/>
        <v>0</v>
      </c>
      <c r="DU262" s="176">
        <f t="shared" si="509"/>
        <v>0</v>
      </c>
      <c r="DV262" s="176">
        <f t="shared" si="509"/>
        <v>0</v>
      </c>
      <c r="DW262" s="176">
        <f t="shared" si="509"/>
        <v>0</v>
      </c>
      <c r="DX262" s="176">
        <f t="shared" si="509"/>
        <v>0</v>
      </c>
      <c r="DY262" s="176">
        <f t="shared" si="509"/>
        <v>0</v>
      </c>
      <c r="DZ262" s="176">
        <f t="shared" si="509"/>
        <v>0</v>
      </c>
      <c r="EA262" s="176">
        <f t="shared" si="509"/>
        <v>0</v>
      </c>
      <c r="EB262" s="176">
        <f t="shared" si="509"/>
        <v>0</v>
      </c>
      <c r="EC262" s="176">
        <f t="shared" si="509"/>
        <v>0</v>
      </c>
      <c r="ED262" s="176">
        <f t="shared" si="509"/>
        <v>0</v>
      </c>
      <c r="EE262" s="176">
        <f t="shared" si="509"/>
        <v>0</v>
      </c>
      <c r="EF262" s="182">
        <f t="shared" si="509"/>
        <v>0</v>
      </c>
      <c r="EG262" s="182">
        <f t="shared" si="509"/>
        <v>0</v>
      </c>
      <c r="EH262" s="182">
        <f t="shared" si="509"/>
        <v>0</v>
      </c>
      <c r="EI262" s="182">
        <f t="shared" si="509"/>
        <v>0</v>
      </c>
      <c r="EJ262" s="182">
        <f t="shared" si="509"/>
        <v>0</v>
      </c>
      <c r="EK262" s="182">
        <f t="shared" si="509"/>
        <v>0</v>
      </c>
      <c r="EL262" s="182">
        <f t="shared" si="509"/>
        <v>0</v>
      </c>
      <c r="EM262" s="182">
        <f t="shared" si="509"/>
        <v>0</v>
      </c>
      <c r="EN262" s="182">
        <f t="shared" si="509"/>
        <v>0</v>
      </c>
      <c r="EO262" s="182">
        <f t="shared" si="509"/>
        <v>0</v>
      </c>
      <c r="EP262" s="182">
        <f t="shared" si="509"/>
        <v>0</v>
      </c>
      <c r="EQ262" s="182">
        <f t="shared" si="509"/>
        <v>0</v>
      </c>
      <c r="ER262" s="182">
        <f t="shared" si="509"/>
        <v>0</v>
      </c>
      <c r="ES262" s="182">
        <f t="shared" si="509"/>
        <v>0</v>
      </c>
      <c r="ET262" s="182">
        <f t="shared" si="509"/>
        <v>0</v>
      </c>
      <c r="EU262" s="182">
        <f t="shared" si="509"/>
        <v>0</v>
      </c>
      <c r="EV262" s="182">
        <f t="shared" si="509"/>
        <v>0</v>
      </c>
      <c r="EW262" s="182">
        <f t="shared" si="509"/>
        <v>0</v>
      </c>
      <c r="EX262" s="182">
        <f t="shared" si="509"/>
        <v>0</v>
      </c>
      <c r="EY262" s="182">
        <f t="shared" si="509"/>
        <v>0</v>
      </c>
      <c r="EZ262" s="182">
        <f t="shared" si="509"/>
        <v>0</v>
      </c>
      <c r="FA262" s="182">
        <f t="shared" si="509"/>
        <v>0</v>
      </c>
      <c r="FB262" s="183">
        <f t="shared" si="509"/>
        <v>0</v>
      </c>
    </row>
    <row r="263" spans="2:158" ht="12.75" customHeight="1" x14ac:dyDescent="0.3">
      <c r="B263" s="199" t="s">
        <v>3906</v>
      </c>
      <c r="C263" s="193">
        <v>0</v>
      </c>
      <c r="D263" s="182">
        <f t="shared" si="380"/>
        <v>0</v>
      </c>
      <c r="E263" s="182">
        <f t="shared" si="386"/>
        <v>0</v>
      </c>
      <c r="F263" s="182">
        <f t="shared" si="392"/>
        <v>0</v>
      </c>
      <c r="G263" s="182">
        <f t="shared" si="398"/>
        <v>0</v>
      </c>
      <c r="H263" s="182">
        <f t="shared" si="404"/>
        <v>0</v>
      </c>
      <c r="I263" s="176">
        <f t="shared" si="410"/>
        <v>0</v>
      </c>
      <c r="J263" s="182">
        <f t="shared" si="416"/>
        <v>0</v>
      </c>
      <c r="K263" s="182">
        <f t="shared" si="422"/>
        <v>0</v>
      </c>
      <c r="L263" s="182">
        <f t="shared" si="428"/>
        <v>0</v>
      </c>
      <c r="M263" s="182">
        <f t="shared" si="434"/>
        <v>0</v>
      </c>
      <c r="N263" s="182">
        <f t="shared" si="440"/>
        <v>0</v>
      </c>
      <c r="O263" s="182">
        <f t="shared" si="446"/>
        <v>0</v>
      </c>
      <c r="P263" s="182">
        <f t="shared" si="452"/>
        <v>0</v>
      </c>
      <c r="Q263" s="182">
        <f t="shared" si="458"/>
        <v>0</v>
      </c>
      <c r="R263" s="182">
        <f t="shared" si="464"/>
        <v>0</v>
      </c>
      <c r="S263" s="182">
        <f t="shared" si="470"/>
        <v>0</v>
      </c>
      <c r="T263" s="182">
        <f t="shared" si="476"/>
        <v>0</v>
      </c>
      <c r="U263" s="182">
        <f t="shared" si="482"/>
        <v>0</v>
      </c>
      <c r="V263" s="182">
        <f t="shared" si="488"/>
        <v>0</v>
      </c>
      <c r="W263" s="182">
        <f t="shared" si="494"/>
        <v>0</v>
      </c>
      <c r="X263" s="182">
        <f t="shared" si="500"/>
        <v>0</v>
      </c>
      <c r="Y263" s="182">
        <f t="shared" si="505"/>
        <v>0</v>
      </c>
      <c r="Z263" s="182">
        <f t="shared" ref="Z263:Z294" si="510">Z96*Z$168</f>
        <v>0</v>
      </c>
      <c r="AA263" s="182">
        <f t="shared" si="335"/>
        <v>0</v>
      </c>
      <c r="AB263" s="182">
        <f t="shared" si="340"/>
        <v>0</v>
      </c>
      <c r="AC263" s="182">
        <f t="shared" si="345"/>
        <v>0</v>
      </c>
      <c r="AD263" s="182">
        <f t="shared" si="350"/>
        <v>0</v>
      </c>
      <c r="AE263" s="182">
        <f t="shared" si="355"/>
        <v>0</v>
      </c>
      <c r="AF263" s="182">
        <f t="shared" si="360"/>
        <v>0</v>
      </c>
      <c r="AG263" s="182">
        <f t="shared" si="365"/>
        <v>0</v>
      </c>
      <c r="AH263" s="182">
        <f t="shared" si="370"/>
        <v>0</v>
      </c>
      <c r="AI263" s="182">
        <f t="shared" si="375"/>
        <v>0</v>
      </c>
      <c r="AJ263" s="182">
        <f t="shared" si="381"/>
        <v>0</v>
      </c>
      <c r="AK263" s="182">
        <f t="shared" si="387"/>
        <v>0</v>
      </c>
      <c r="AL263" s="182">
        <f t="shared" si="393"/>
        <v>0</v>
      </c>
      <c r="AM263" s="182">
        <f t="shared" si="399"/>
        <v>0</v>
      </c>
      <c r="AN263" s="182">
        <f t="shared" si="405"/>
        <v>0</v>
      </c>
      <c r="AO263" s="182">
        <f t="shared" si="411"/>
        <v>0</v>
      </c>
      <c r="AP263" s="182">
        <f t="shared" si="417"/>
        <v>0</v>
      </c>
      <c r="AQ263" s="182">
        <f t="shared" si="423"/>
        <v>0</v>
      </c>
      <c r="AR263" s="182">
        <f t="shared" si="429"/>
        <v>0</v>
      </c>
      <c r="AS263" s="182">
        <f t="shared" si="435"/>
        <v>0</v>
      </c>
      <c r="AT263" s="182">
        <f t="shared" si="441"/>
        <v>0</v>
      </c>
      <c r="AU263" s="182">
        <f t="shared" si="447"/>
        <v>0</v>
      </c>
      <c r="AV263" s="182">
        <f t="shared" si="453"/>
        <v>3.2682617648996201E-2</v>
      </c>
      <c r="AW263" s="182">
        <f t="shared" si="459"/>
        <v>0</v>
      </c>
      <c r="AX263" s="182">
        <f t="shared" si="465"/>
        <v>0</v>
      </c>
      <c r="AY263" s="182">
        <f t="shared" si="471"/>
        <v>0</v>
      </c>
      <c r="AZ263" s="182">
        <f t="shared" si="477"/>
        <v>0</v>
      </c>
      <c r="BA263" s="182">
        <f t="shared" si="483"/>
        <v>0</v>
      </c>
      <c r="BB263" s="182">
        <f t="shared" si="489"/>
        <v>0</v>
      </c>
      <c r="BC263" s="182">
        <f t="shared" si="495"/>
        <v>0</v>
      </c>
      <c r="BD263" s="182">
        <f t="shared" si="501"/>
        <v>0</v>
      </c>
      <c r="BE263" s="182">
        <f t="shared" si="506"/>
        <v>0</v>
      </c>
      <c r="BF263" s="182">
        <f t="shared" ref="BF263:BF294" si="511">BF96*BF$168</f>
        <v>0</v>
      </c>
      <c r="BG263" s="182">
        <f t="shared" si="336"/>
        <v>0</v>
      </c>
      <c r="BH263" s="182">
        <f t="shared" si="341"/>
        <v>0</v>
      </c>
      <c r="BI263" s="182">
        <f t="shared" si="346"/>
        <v>0</v>
      </c>
      <c r="BJ263" s="182">
        <f t="shared" si="351"/>
        <v>0</v>
      </c>
      <c r="BK263" s="182">
        <f t="shared" si="356"/>
        <v>0</v>
      </c>
      <c r="BL263" s="182">
        <f t="shared" si="361"/>
        <v>0</v>
      </c>
      <c r="BM263" s="182">
        <f t="shared" si="366"/>
        <v>0</v>
      </c>
      <c r="BN263" s="182">
        <f t="shared" si="371"/>
        <v>0</v>
      </c>
      <c r="BO263" s="182">
        <f t="shared" si="376"/>
        <v>0</v>
      </c>
      <c r="BP263" s="182">
        <f t="shared" si="382"/>
        <v>0</v>
      </c>
      <c r="BQ263" s="182">
        <f t="shared" si="388"/>
        <v>0</v>
      </c>
      <c r="BR263" s="182">
        <f t="shared" si="394"/>
        <v>0</v>
      </c>
      <c r="BS263" s="182">
        <f t="shared" si="400"/>
        <v>0</v>
      </c>
      <c r="BT263" s="182">
        <f t="shared" si="406"/>
        <v>0</v>
      </c>
      <c r="BU263" s="182">
        <f t="shared" si="412"/>
        <v>0</v>
      </c>
      <c r="BV263" s="182">
        <f t="shared" si="418"/>
        <v>0</v>
      </c>
      <c r="BW263" s="182">
        <f t="shared" si="424"/>
        <v>0</v>
      </c>
      <c r="BX263" s="182">
        <f t="shared" si="430"/>
        <v>0</v>
      </c>
      <c r="BY263" s="182">
        <f t="shared" si="436"/>
        <v>0</v>
      </c>
      <c r="BZ263" s="182">
        <f t="shared" si="442"/>
        <v>0</v>
      </c>
      <c r="CA263" s="182">
        <f t="shared" si="448"/>
        <v>0</v>
      </c>
      <c r="CB263" s="182">
        <f t="shared" si="454"/>
        <v>0</v>
      </c>
      <c r="CC263" s="182">
        <f t="shared" si="460"/>
        <v>0</v>
      </c>
      <c r="CD263" s="182">
        <f t="shared" si="466"/>
        <v>0</v>
      </c>
      <c r="CE263" s="182">
        <f t="shared" si="472"/>
        <v>0</v>
      </c>
      <c r="CF263" s="182">
        <f t="shared" si="478"/>
        <v>0</v>
      </c>
      <c r="CG263" s="182">
        <f t="shared" si="484"/>
        <v>0</v>
      </c>
      <c r="CH263" s="182">
        <f t="shared" si="490"/>
        <v>0</v>
      </c>
      <c r="CI263" s="182">
        <f t="shared" si="496"/>
        <v>0</v>
      </c>
      <c r="CJ263" s="182">
        <f t="shared" si="502"/>
        <v>0</v>
      </c>
      <c r="CK263" s="182">
        <f t="shared" si="507"/>
        <v>0</v>
      </c>
      <c r="CL263" s="182">
        <f t="shared" ref="CL263:CL294" si="512">CL96*CL$168</f>
        <v>0</v>
      </c>
      <c r="CM263" s="181">
        <f>$C263+SUM($D263:CL263,CN263:$FB263)-SUM(CM$176:CM262,CM264:CM$330)-CM$331</f>
        <v>8.5977549915455722E-18</v>
      </c>
      <c r="CN263" s="176">
        <f t="shared" ref="CN263:DS263" si="513">CN96*CN$168</f>
        <v>0</v>
      </c>
      <c r="CO263" s="176">
        <f t="shared" si="513"/>
        <v>0</v>
      </c>
      <c r="CP263" s="176">
        <f t="shared" si="513"/>
        <v>0</v>
      </c>
      <c r="CQ263" s="176">
        <f t="shared" si="513"/>
        <v>0</v>
      </c>
      <c r="CR263" s="176">
        <f t="shared" si="513"/>
        <v>0</v>
      </c>
      <c r="CS263" s="176">
        <f t="shared" si="513"/>
        <v>0</v>
      </c>
      <c r="CT263" s="176">
        <f t="shared" si="513"/>
        <v>0</v>
      </c>
      <c r="CU263" s="176">
        <f t="shared" si="513"/>
        <v>0</v>
      </c>
      <c r="CV263" s="176">
        <f t="shared" si="513"/>
        <v>0</v>
      </c>
      <c r="CW263" s="176">
        <f t="shared" si="513"/>
        <v>0</v>
      </c>
      <c r="CX263" s="176">
        <f t="shared" si="513"/>
        <v>0</v>
      </c>
      <c r="CY263" s="176">
        <f t="shared" si="513"/>
        <v>0</v>
      </c>
      <c r="CZ263" s="176">
        <f t="shared" si="513"/>
        <v>0</v>
      </c>
      <c r="DA263" s="176">
        <f t="shared" si="513"/>
        <v>0</v>
      </c>
      <c r="DB263" s="176">
        <f t="shared" si="513"/>
        <v>0</v>
      </c>
      <c r="DC263" s="176">
        <f t="shared" si="513"/>
        <v>0</v>
      </c>
      <c r="DD263" s="176">
        <f t="shared" si="513"/>
        <v>0</v>
      </c>
      <c r="DE263" s="176">
        <f t="shared" si="513"/>
        <v>0</v>
      </c>
      <c r="DF263" s="176">
        <f t="shared" si="513"/>
        <v>0</v>
      </c>
      <c r="DG263" s="176">
        <f t="shared" si="513"/>
        <v>0</v>
      </c>
      <c r="DH263" s="176">
        <f t="shared" si="513"/>
        <v>0</v>
      </c>
      <c r="DI263" s="176">
        <f t="shared" si="513"/>
        <v>0</v>
      </c>
      <c r="DJ263" s="176">
        <f t="shared" si="513"/>
        <v>1.3186166366752005E-5</v>
      </c>
      <c r="DK263" s="176">
        <f t="shared" si="513"/>
        <v>0</v>
      </c>
      <c r="DL263" s="176">
        <f t="shared" si="513"/>
        <v>0</v>
      </c>
      <c r="DM263" s="176">
        <f t="shared" si="513"/>
        <v>0</v>
      </c>
      <c r="DN263" s="176">
        <f t="shared" si="513"/>
        <v>0</v>
      </c>
      <c r="DO263" s="176">
        <f t="shared" si="513"/>
        <v>0</v>
      </c>
      <c r="DP263" s="176">
        <f t="shared" si="513"/>
        <v>0</v>
      </c>
      <c r="DQ263" s="176">
        <f t="shared" si="513"/>
        <v>0</v>
      </c>
      <c r="DR263" s="176">
        <f t="shared" si="513"/>
        <v>0</v>
      </c>
      <c r="DS263" s="176">
        <f t="shared" si="513"/>
        <v>0</v>
      </c>
      <c r="DT263" s="176">
        <f t="shared" ref="DT263:FB263" si="514">DT96*DT$168</f>
        <v>0</v>
      </c>
      <c r="DU263" s="176">
        <f t="shared" si="514"/>
        <v>0</v>
      </c>
      <c r="DV263" s="176">
        <f t="shared" si="514"/>
        <v>0</v>
      </c>
      <c r="DW263" s="176">
        <f t="shared" si="514"/>
        <v>0</v>
      </c>
      <c r="DX263" s="176">
        <f t="shared" si="514"/>
        <v>0</v>
      </c>
      <c r="DY263" s="176">
        <f t="shared" si="514"/>
        <v>0</v>
      </c>
      <c r="DZ263" s="176">
        <f t="shared" si="514"/>
        <v>0</v>
      </c>
      <c r="EA263" s="176">
        <f t="shared" si="514"/>
        <v>0</v>
      </c>
      <c r="EB263" s="176">
        <f t="shared" si="514"/>
        <v>0</v>
      </c>
      <c r="EC263" s="176">
        <f t="shared" si="514"/>
        <v>0</v>
      </c>
      <c r="ED263" s="176">
        <f t="shared" si="514"/>
        <v>0</v>
      </c>
      <c r="EE263" s="176">
        <f t="shared" si="514"/>
        <v>0</v>
      </c>
      <c r="EF263" s="182">
        <f t="shared" si="514"/>
        <v>0</v>
      </c>
      <c r="EG263" s="182">
        <f t="shared" si="514"/>
        <v>1.2128769231955929E-5</v>
      </c>
      <c r="EH263" s="182">
        <f t="shared" si="514"/>
        <v>0</v>
      </c>
      <c r="EI263" s="182">
        <f t="shared" si="514"/>
        <v>0</v>
      </c>
      <c r="EJ263" s="182">
        <f t="shared" si="514"/>
        <v>0</v>
      </c>
      <c r="EK263" s="182">
        <f t="shared" si="514"/>
        <v>0</v>
      </c>
      <c r="EL263" s="182">
        <f t="shared" si="514"/>
        <v>0</v>
      </c>
      <c r="EM263" s="182">
        <f t="shared" si="514"/>
        <v>0</v>
      </c>
      <c r="EN263" s="182">
        <f t="shared" si="514"/>
        <v>0</v>
      </c>
      <c r="EO263" s="182">
        <f t="shared" si="514"/>
        <v>0</v>
      </c>
      <c r="EP263" s="182">
        <f t="shared" si="514"/>
        <v>0</v>
      </c>
      <c r="EQ263" s="182">
        <f t="shared" si="514"/>
        <v>0</v>
      </c>
      <c r="ER263" s="182">
        <f t="shared" si="514"/>
        <v>0</v>
      </c>
      <c r="ES263" s="182">
        <f t="shared" si="514"/>
        <v>0</v>
      </c>
      <c r="ET263" s="182">
        <f t="shared" si="514"/>
        <v>0</v>
      </c>
      <c r="EU263" s="182">
        <f t="shared" si="514"/>
        <v>0</v>
      </c>
      <c r="EV263" s="182">
        <f t="shared" si="514"/>
        <v>0</v>
      </c>
      <c r="EW263" s="182">
        <f t="shared" si="514"/>
        <v>0</v>
      </c>
      <c r="EX263" s="182">
        <f t="shared" si="514"/>
        <v>0</v>
      </c>
      <c r="EY263" s="182">
        <f t="shared" si="514"/>
        <v>0</v>
      </c>
      <c r="EZ263" s="182">
        <f t="shared" si="514"/>
        <v>0</v>
      </c>
      <c r="FA263" s="182">
        <f t="shared" si="514"/>
        <v>0</v>
      </c>
      <c r="FB263" s="183">
        <f t="shared" si="514"/>
        <v>0</v>
      </c>
    </row>
    <row r="264" spans="2:158" ht="12.75" customHeight="1" x14ac:dyDescent="0.3">
      <c r="B264" s="199" t="s">
        <v>3907</v>
      </c>
      <c r="C264" s="193">
        <v>0</v>
      </c>
      <c r="D264" s="182">
        <f t="shared" si="380"/>
        <v>0</v>
      </c>
      <c r="E264" s="182">
        <f t="shared" si="386"/>
        <v>0</v>
      </c>
      <c r="F264" s="182">
        <f t="shared" si="392"/>
        <v>0</v>
      </c>
      <c r="G264" s="182">
        <f t="shared" si="398"/>
        <v>0</v>
      </c>
      <c r="H264" s="182">
        <f t="shared" si="404"/>
        <v>0</v>
      </c>
      <c r="I264" s="176">
        <f t="shared" si="410"/>
        <v>0</v>
      </c>
      <c r="J264" s="182">
        <f t="shared" si="416"/>
        <v>0</v>
      </c>
      <c r="K264" s="182">
        <f t="shared" si="422"/>
        <v>0</v>
      </c>
      <c r="L264" s="182">
        <f t="shared" si="428"/>
        <v>0</v>
      </c>
      <c r="M264" s="182">
        <f t="shared" si="434"/>
        <v>0</v>
      </c>
      <c r="N264" s="182">
        <f t="shared" si="440"/>
        <v>0</v>
      </c>
      <c r="O264" s="182">
        <f t="shared" si="446"/>
        <v>0</v>
      </c>
      <c r="P264" s="182">
        <f t="shared" si="452"/>
        <v>0</v>
      </c>
      <c r="Q264" s="182">
        <f t="shared" si="458"/>
        <v>0</v>
      </c>
      <c r="R264" s="182">
        <f t="shared" si="464"/>
        <v>0</v>
      </c>
      <c r="S264" s="182">
        <f t="shared" si="470"/>
        <v>0</v>
      </c>
      <c r="T264" s="182">
        <f t="shared" si="476"/>
        <v>0</v>
      </c>
      <c r="U264" s="182">
        <f t="shared" si="482"/>
        <v>0</v>
      </c>
      <c r="V264" s="182">
        <f t="shared" si="488"/>
        <v>0</v>
      </c>
      <c r="W264" s="182">
        <f t="shared" si="494"/>
        <v>0</v>
      </c>
      <c r="X264" s="182">
        <f t="shared" si="500"/>
        <v>0</v>
      </c>
      <c r="Y264" s="182">
        <f t="shared" si="505"/>
        <v>0</v>
      </c>
      <c r="Z264" s="182">
        <f t="shared" si="510"/>
        <v>0</v>
      </c>
      <c r="AA264" s="182">
        <f t="shared" ref="AA264:AA295" si="515">AA97*AA$168</f>
        <v>0</v>
      </c>
      <c r="AB264" s="182">
        <f t="shared" si="340"/>
        <v>0</v>
      </c>
      <c r="AC264" s="182">
        <f t="shared" si="345"/>
        <v>0</v>
      </c>
      <c r="AD264" s="182">
        <f t="shared" si="350"/>
        <v>0</v>
      </c>
      <c r="AE264" s="182">
        <f t="shared" si="355"/>
        <v>0</v>
      </c>
      <c r="AF264" s="182">
        <f t="shared" si="360"/>
        <v>0</v>
      </c>
      <c r="AG264" s="182">
        <f t="shared" si="365"/>
        <v>0</v>
      </c>
      <c r="AH264" s="182">
        <f t="shared" si="370"/>
        <v>0</v>
      </c>
      <c r="AI264" s="182">
        <f t="shared" si="375"/>
        <v>0</v>
      </c>
      <c r="AJ264" s="182">
        <f t="shared" si="381"/>
        <v>0</v>
      </c>
      <c r="AK264" s="182">
        <f t="shared" si="387"/>
        <v>0</v>
      </c>
      <c r="AL264" s="182">
        <f t="shared" si="393"/>
        <v>0</v>
      </c>
      <c r="AM264" s="182">
        <f t="shared" si="399"/>
        <v>0</v>
      </c>
      <c r="AN264" s="182">
        <f t="shared" si="405"/>
        <v>0</v>
      </c>
      <c r="AO264" s="182">
        <f t="shared" si="411"/>
        <v>0</v>
      </c>
      <c r="AP264" s="182">
        <f t="shared" si="417"/>
        <v>0</v>
      </c>
      <c r="AQ264" s="182">
        <f t="shared" si="423"/>
        <v>0</v>
      </c>
      <c r="AR264" s="182">
        <f t="shared" si="429"/>
        <v>0</v>
      </c>
      <c r="AS264" s="182">
        <f t="shared" si="435"/>
        <v>0</v>
      </c>
      <c r="AT264" s="182">
        <f t="shared" si="441"/>
        <v>0</v>
      </c>
      <c r="AU264" s="182">
        <f t="shared" si="447"/>
        <v>0</v>
      </c>
      <c r="AV264" s="182">
        <f t="shared" si="453"/>
        <v>0</v>
      </c>
      <c r="AW264" s="182">
        <f t="shared" si="459"/>
        <v>1.1396593763399605</v>
      </c>
      <c r="AX264" s="182">
        <f t="shared" si="465"/>
        <v>0</v>
      </c>
      <c r="AY264" s="182">
        <f t="shared" si="471"/>
        <v>0</v>
      </c>
      <c r="AZ264" s="182">
        <f t="shared" si="477"/>
        <v>0</v>
      </c>
      <c r="BA264" s="182">
        <f t="shared" si="483"/>
        <v>0</v>
      </c>
      <c r="BB264" s="182">
        <f t="shared" si="489"/>
        <v>0</v>
      </c>
      <c r="BC264" s="182">
        <f t="shared" si="495"/>
        <v>0</v>
      </c>
      <c r="BD264" s="182">
        <f t="shared" si="501"/>
        <v>0</v>
      </c>
      <c r="BE264" s="182">
        <f t="shared" si="506"/>
        <v>0</v>
      </c>
      <c r="BF264" s="182">
        <f t="shared" si="511"/>
        <v>0</v>
      </c>
      <c r="BG264" s="182">
        <f t="shared" ref="BG264:BG295" si="516">BG97*BG$168</f>
        <v>0</v>
      </c>
      <c r="BH264" s="182">
        <f t="shared" si="341"/>
        <v>0</v>
      </c>
      <c r="BI264" s="182">
        <f t="shared" si="346"/>
        <v>0</v>
      </c>
      <c r="BJ264" s="182">
        <f t="shared" si="351"/>
        <v>0</v>
      </c>
      <c r="BK264" s="182">
        <f t="shared" si="356"/>
        <v>0</v>
      </c>
      <c r="BL264" s="182">
        <f t="shared" si="361"/>
        <v>0</v>
      </c>
      <c r="BM264" s="182">
        <f t="shared" si="366"/>
        <v>0</v>
      </c>
      <c r="BN264" s="182">
        <f t="shared" si="371"/>
        <v>0</v>
      </c>
      <c r="BO264" s="182">
        <f t="shared" si="376"/>
        <v>0</v>
      </c>
      <c r="BP264" s="182">
        <f t="shared" si="382"/>
        <v>0</v>
      </c>
      <c r="BQ264" s="182">
        <f t="shared" si="388"/>
        <v>0</v>
      </c>
      <c r="BR264" s="182">
        <f t="shared" si="394"/>
        <v>0</v>
      </c>
      <c r="BS264" s="182">
        <f t="shared" si="400"/>
        <v>0</v>
      </c>
      <c r="BT264" s="182">
        <f t="shared" si="406"/>
        <v>0</v>
      </c>
      <c r="BU264" s="182">
        <f t="shared" si="412"/>
        <v>0</v>
      </c>
      <c r="BV264" s="182">
        <f t="shared" si="418"/>
        <v>0</v>
      </c>
      <c r="BW264" s="182">
        <f t="shared" si="424"/>
        <v>0</v>
      </c>
      <c r="BX264" s="182">
        <f t="shared" si="430"/>
        <v>0</v>
      </c>
      <c r="BY264" s="182">
        <f t="shared" si="436"/>
        <v>0</v>
      </c>
      <c r="BZ264" s="182">
        <f t="shared" si="442"/>
        <v>0</v>
      </c>
      <c r="CA264" s="182">
        <f t="shared" si="448"/>
        <v>0</v>
      </c>
      <c r="CB264" s="182">
        <f t="shared" si="454"/>
        <v>0</v>
      </c>
      <c r="CC264" s="182">
        <f t="shared" si="460"/>
        <v>0</v>
      </c>
      <c r="CD264" s="182">
        <f t="shared" si="466"/>
        <v>0</v>
      </c>
      <c r="CE264" s="182">
        <f t="shared" si="472"/>
        <v>0</v>
      </c>
      <c r="CF264" s="182">
        <f t="shared" si="478"/>
        <v>0</v>
      </c>
      <c r="CG264" s="182">
        <f t="shared" si="484"/>
        <v>0</v>
      </c>
      <c r="CH264" s="182">
        <f t="shared" si="490"/>
        <v>0</v>
      </c>
      <c r="CI264" s="182">
        <f t="shared" si="496"/>
        <v>0</v>
      </c>
      <c r="CJ264" s="182">
        <f t="shared" si="502"/>
        <v>0</v>
      </c>
      <c r="CK264" s="182">
        <f t="shared" si="507"/>
        <v>0</v>
      </c>
      <c r="CL264" s="182">
        <f t="shared" si="512"/>
        <v>0</v>
      </c>
      <c r="CM264" s="182">
        <f t="shared" ref="CM264:CM295" si="517">CM97*CM$168</f>
        <v>2.6601229073725731E-2</v>
      </c>
      <c r="CN264" s="181">
        <f>$C264+SUM($D264:CM264,CO264:$FB264)-SUM(CN$176:CN263,CN265:CN$330)-CN$331</f>
        <v>-1.1880145305009915E-16</v>
      </c>
      <c r="CO264" s="176">
        <f t="shared" ref="CO264:DT264" si="518">CO97*CO$168</f>
        <v>0</v>
      </c>
      <c r="CP264" s="176">
        <f t="shared" si="518"/>
        <v>0</v>
      </c>
      <c r="CQ264" s="176">
        <f t="shared" si="518"/>
        <v>0</v>
      </c>
      <c r="CR264" s="176">
        <f t="shared" si="518"/>
        <v>0</v>
      </c>
      <c r="CS264" s="176">
        <f t="shared" si="518"/>
        <v>0</v>
      </c>
      <c r="CT264" s="176">
        <f t="shared" si="518"/>
        <v>0</v>
      </c>
      <c r="CU264" s="176">
        <f t="shared" si="518"/>
        <v>0</v>
      </c>
      <c r="CV264" s="176">
        <f t="shared" si="518"/>
        <v>0</v>
      </c>
      <c r="CW264" s="176">
        <f t="shared" si="518"/>
        <v>0</v>
      </c>
      <c r="CX264" s="176">
        <f t="shared" si="518"/>
        <v>0</v>
      </c>
      <c r="CY264" s="176">
        <f t="shared" si="518"/>
        <v>0</v>
      </c>
      <c r="CZ264" s="176">
        <f t="shared" si="518"/>
        <v>0</v>
      </c>
      <c r="DA264" s="176">
        <f t="shared" si="518"/>
        <v>0</v>
      </c>
      <c r="DB264" s="176">
        <f t="shared" si="518"/>
        <v>0</v>
      </c>
      <c r="DC264" s="176">
        <f t="shared" si="518"/>
        <v>0</v>
      </c>
      <c r="DD264" s="176">
        <f t="shared" si="518"/>
        <v>0</v>
      </c>
      <c r="DE264" s="176">
        <f t="shared" si="518"/>
        <v>0</v>
      </c>
      <c r="DF264" s="176">
        <f t="shared" si="518"/>
        <v>0</v>
      </c>
      <c r="DG264" s="176">
        <f t="shared" si="518"/>
        <v>0</v>
      </c>
      <c r="DH264" s="176">
        <f t="shared" si="518"/>
        <v>0</v>
      </c>
      <c r="DI264" s="176">
        <f t="shared" si="518"/>
        <v>0</v>
      </c>
      <c r="DJ264" s="176">
        <f t="shared" si="518"/>
        <v>0</v>
      </c>
      <c r="DK264" s="176">
        <f t="shared" si="518"/>
        <v>7.4254360388424673E-2</v>
      </c>
      <c r="DL264" s="176">
        <f t="shared" si="518"/>
        <v>0</v>
      </c>
      <c r="DM264" s="176">
        <f t="shared" si="518"/>
        <v>0</v>
      </c>
      <c r="DN264" s="176">
        <f t="shared" si="518"/>
        <v>0</v>
      </c>
      <c r="DO264" s="176">
        <f t="shared" si="518"/>
        <v>0</v>
      </c>
      <c r="DP264" s="176">
        <f t="shared" si="518"/>
        <v>0</v>
      </c>
      <c r="DQ264" s="176">
        <f t="shared" si="518"/>
        <v>0</v>
      </c>
      <c r="DR264" s="176">
        <f t="shared" si="518"/>
        <v>0</v>
      </c>
      <c r="DS264" s="176">
        <f t="shared" si="518"/>
        <v>0</v>
      </c>
      <c r="DT264" s="176">
        <f t="shared" si="518"/>
        <v>0</v>
      </c>
      <c r="DU264" s="176">
        <f t="shared" ref="DU264:FB264" si="519">DU97*DU$168</f>
        <v>0</v>
      </c>
      <c r="DV264" s="176">
        <f t="shared" si="519"/>
        <v>0</v>
      </c>
      <c r="DW264" s="176">
        <f t="shared" si="519"/>
        <v>0</v>
      </c>
      <c r="DX264" s="176">
        <f t="shared" si="519"/>
        <v>0</v>
      </c>
      <c r="DY264" s="176">
        <f t="shared" si="519"/>
        <v>0</v>
      </c>
      <c r="DZ264" s="176">
        <f t="shared" si="519"/>
        <v>0</v>
      </c>
      <c r="EA264" s="176">
        <f t="shared" si="519"/>
        <v>0</v>
      </c>
      <c r="EB264" s="176">
        <f t="shared" si="519"/>
        <v>0</v>
      </c>
      <c r="EC264" s="176">
        <f t="shared" si="519"/>
        <v>0</v>
      </c>
      <c r="ED264" s="176">
        <f t="shared" si="519"/>
        <v>0</v>
      </c>
      <c r="EE264" s="176">
        <f t="shared" si="519"/>
        <v>0</v>
      </c>
      <c r="EF264" s="182">
        <f t="shared" si="519"/>
        <v>0</v>
      </c>
      <c r="EG264" s="182">
        <f t="shared" si="519"/>
        <v>0</v>
      </c>
      <c r="EH264" s="182">
        <f t="shared" si="519"/>
        <v>6.4419311676845267E-2</v>
      </c>
      <c r="EI264" s="182">
        <f t="shared" si="519"/>
        <v>0</v>
      </c>
      <c r="EJ264" s="182">
        <f t="shared" si="519"/>
        <v>0</v>
      </c>
      <c r="EK264" s="182">
        <f t="shared" si="519"/>
        <v>0</v>
      </c>
      <c r="EL264" s="182">
        <f t="shared" si="519"/>
        <v>0</v>
      </c>
      <c r="EM264" s="182">
        <f t="shared" si="519"/>
        <v>0</v>
      </c>
      <c r="EN264" s="182">
        <f t="shared" si="519"/>
        <v>0</v>
      </c>
      <c r="EO264" s="182">
        <f t="shared" si="519"/>
        <v>0</v>
      </c>
      <c r="EP264" s="182">
        <f t="shared" si="519"/>
        <v>0</v>
      </c>
      <c r="EQ264" s="182">
        <f t="shared" si="519"/>
        <v>0</v>
      </c>
      <c r="ER264" s="182">
        <f t="shared" si="519"/>
        <v>0</v>
      </c>
      <c r="ES264" s="182">
        <f t="shared" si="519"/>
        <v>0</v>
      </c>
      <c r="ET264" s="182">
        <f t="shared" si="519"/>
        <v>0</v>
      </c>
      <c r="EU264" s="182">
        <f t="shared" si="519"/>
        <v>0</v>
      </c>
      <c r="EV264" s="182">
        <f t="shared" si="519"/>
        <v>0</v>
      </c>
      <c r="EW264" s="182">
        <f t="shared" si="519"/>
        <v>0</v>
      </c>
      <c r="EX264" s="182">
        <f t="shared" si="519"/>
        <v>0</v>
      </c>
      <c r="EY264" s="182">
        <f t="shared" si="519"/>
        <v>0</v>
      </c>
      <c r="EZ264" s="182">
        <f t="shared" si="519"/>
        <v>0</v>
      </c>
      <c r="FA264" s="182">
        <f t="shared" si="519"/>
        <v>0</v>
      </c>
      <c r="FB264" s="183">
        <f t="shared" si="519"/>
        <v>0</v>
      </c>
    </row>
    <row r="265" spans="2:158" ht="12.75" customHeight="1" x14ac:dyDescent="0.3">
      <c r="B265" s="199" t="s">
        <v>3908</v>
      </c>
      <c r="C265" s="193">
        <v>0</v>
      </c>
      <c r="D265" s="182">
        <f t="shared" si="380"/>
        <v>0</v>
      </c>
      <c r="E265" s="182">
        <f t="shared" si="386"/>
        <v>0</v>
      </c>
      <c r="F265" s="182">
        <f t="shared" si="392"/>
        <v>0</v>
      </c>
      <c r="G265" s="182">
        <f t="shared" si="398"/>
        <v>0</v>
      </c>
      <c r="H265" s="182">
        <f t="shared" si="404"/>
        <v>0</v>
      </c>
      <c r="I265" s="176">
        <f t="shared" si="410"/>
        <v>0</v>
      </c>
      <c r="J265" s="182">
        <f t="shared" si="416"/>
        <v>0</v>
      </c>
      <c r="K265" s="182">
        <f t="shared" si="422"/>
        <v>0</v>
      </c>
      <c r="L265" s="182">
        <f t="shared" si="428"/>
        <v>0</v>
      </c>
      <c r="M265" s="182">
        <f t="shared" si="434"/>
        <v>0</v>
      </c>
      <c r="N265" s="182">
        <f t="shared" si="440"/>
        <v>0</v>
      </c>
      <c r="O265" s="182">
        <f t="shared" si="446"/>
        <v>0</v>
      </c>
      <c r="P265" s="182">
        <f t="shared" si="452"/>
        <v>0</v>
      </c>
      <c r="Q265" s="182">
        <f t="shared" si="458"/>
        <v>0</v>
      </c>
      <c r="R265" s="182">
        <f t="shared" si="464"/>
        <v>0</v>
      </c>
      <c r="S265" s="182">
        <f t="shared" si="470"/>
        <v>0</v>
      </c>
      <c r="T265" s="182">
        <f t="shared" si="476"/>
        <v>0</v>
      </c>
      <c r="U265" s="182">
        <f t="shared" si="482"/>
        <v>0</v>
      </c>
      <c r="V265" s="182">
        <f t="shared" si="488"/>
        <v>0</v>
      </c>
      <c r="W265" s="182">
        <f t="shared" si="494"/>
        <v>0</v>
      </c>
      <c r="X265" s="182">
        <f t="shared" si="500"/>
        <v>0</v>
      </c>
      <c r="Y265" s="182">
        <f t="shared" si="505"/>
        <v>0</v>
      </c>
      <c r="Z265" s="182">
        <f t="shared" si="510"/>
        <v>0</v>
      </c>
      <c r="AA265" s="182">
        <f t="shared" si="515"/>
        <v>0</v>
      </c>
      <c r="AB265" s="182">
        <f t="shared" ref="AB265:AB296" si="520">AB98*AB$168</f>
        <v>0</v>
      </c>
      <c r="AC265" s="182">
        <f t="shared" si="345"/>
        <v>0</v>
      </c>
      <c r="AD265" s="182">
        <f t="shared" si="350"/>
        <v>0</v>
      </c>
      <c r="AE265" s="182">
        <f t="shared" si="355"/>
        <v>0</v>
      </c>
      <c r="AF265" s="182">
        <f t="shared" si="360"/>
        <v>0</v>
      </c>
      <c r="AG265" s="182">
        <f t="shared" si="365"/>
        <v>0</v>
      </c>
      <c r="AH265" s="182">
        <f t="shared" si="370"/>
        <v>0</v>
      </c>
      <c r="AI265" s="182">
        <f t="shared" si="375"/>
        <v>0</v>
      </c>
      <c r="AJ265" s="182">
        <f t="shared" si="381"/>
        <v>0</v>
      </c>
      <c r="AK265" s="182">
        <f t="shared" si="387"/>
        <v>0</v>
      </c>
      <c r="AL265" s="182">
        <f t="shared" si="393"/>
        <v>0</v>
      </c>
      <c r="AM265" s="182">
        <f t="shared" si="399"/>
        <v>0</v>
      </c>
      <c r="AN265" s="182">
        <f t="shared" si="405"/>
        <v>0</v>
      </c>
      <c r="AO265" s="182">
        <f t="shared" si="411"/>
        <v>0</v>
      </c>
      <c r="AP265" s="182">
        <f t="shared" si="417"/>
        <v>0</v>
      </c>
      <c r="AQ265" s="182">
        <f t="shared" si="423"/>
        <v>0</v>
      </c>
      <c r="AR265" s="182">
        <f t="shared" si="429"/>
        <v>0</v>
      </c>
      <c r="AS265" s="182">
        <f t="shared" si="435"/>
        <v>0</v>
      </c>
      <c r="AT265" s="182">
        <f t="shared" si="441"/>
        <v>0</v>
      </c>
      <c r="AU265" s="182">
        <f t="shared" si="447"/>
        <v>0</v>
      </c>
      <c r="AV265" s="182">
        <f t="shared" si="453"/>
        <v>0</v>
      </c>
      <c r="AW265" s="182">
        <f t="shared" si="459"/>
        <v>0</v>
      </c>
      <c r="AX265" s="182">
        <f t="shared" si="465"/>
        <v>2.3983399384768313E-5</v>
      </c>
      <c r="AY265" s="182">
        <f t="shared" si="471"/>
        <v>0</v>
      </c>
      <c r="AZ265" s="182">
        <f t="shared" si="477"/>
        <v>0</v>
      </c>
      <c r="BA265" s="182">
        <f t="shared" si="483"/>
        <v>0</v>
      </c>
      <c r="BB265" s="182">
        <f t="shared" si="489"/>
        <v>0</v>
      </c>
      <c r="BC265" s="182">
        <f t="shared" si="495"/>
        <v>0</v>
      </c>
      <c r="BD265" s="182">
        <f t="shared" si="501"/>
        <v>0</v>
      </c>
      <c r="BE265" s="182">
        <f t="shared" si="506"/>
        <v>0</v>
      </c>
      <c r="BF265" s="182">
        <f t="shared" si="511"/>
        <v>0</v>
      </c>
      <c r="BG265" s="182">
        <f t="shared" si="516"/>
        <v>0</v>
      </c>
      <c r="BH265" s="182">
        <f t="shared" ref="BH265:BH296" si="521">BH98*BH$168</f>
        <v>0</v>
      </c>
      <c r="BI265" s="182">
        <f t="shared" si="346"/>
        <v>0</v>
      </c>
      <c r="BJ265" s="182">
        <f t="shared" si="351"/>
        <v>0</v>
      </c>
      <c r="BK265" s="182">
        <f t="shared" si="356"/>
        <v>0</v>
      </c>
      <c r="BL265" s="182">
        <f t="shared" si="361"/>
        <v>0</v>
      </c>
      <c r="BM265" s="182">
        <f t="shared" si="366"/>
        <v>0</v>
      </c>
      <c r="BN265" s="182">
        <f t="shared" si="371"/>
        <v>0</v>
      </c>
      <c r="BO265" s="182">
        <f t="shared" si="376"/>
        <v>0</v>
      </c>
      <c r="BP265" s="182">
        <f t="shared" si="382"/>
        <v>0</v>
      </c>
      <c r="BQ265" s="182">
        <f t="shared" si="388"/>
        <v>0</v>
      </c>
      <c r="BR265" s="182">
        <f t="shared" si="394"/>
        <v>0</v>
      </c>
      <c r="BS265" s="182">
        <f t="shared" si="400"/>
        <v>0</v>
      </c>
      <c r="BT265" s="182">
        <f t="shared" si="406"/>
        <v>0</v>
      </c>
      <c r="BU265" s="182">
        <f t="shared" si="412"/>
        <v>0</v>
      </c>
      <c r="BV265" s="182">
        <f t="shared" si="418"/>
        <v>0</v>
      </c>
      <c r="BW265" s="182">
        <f t="shared" si="424"/>
        <v>0</v>
      </c>
      <c r="BX265" s="182">
        <f t="shared" si="430"/>
        <v>0</v>
      </c>
      <c r="BY265" s="182">
        <f t="shared" si="436"/>
        <v>0</v>
      </c>
      <c r="BZ265" s="182">
        <f t="shared" si="442"/>
        <v>0</v>
      </c>
      <c r="CA265" s="182">
        <f t="shared" si="448"/>
        <v>0</v>
      </c>
      <c r="CB265" s="182">
        <f t="shared" si="454"/>
        <v>0</v>
      </c>
      <c r="CC265" s="182">
        <f t="shared" si="460"/>
        <v>0</v>
      </c>
      <c r="CD265" s="182">
        <f t="shared" si="466"/>
        <v>0</v>
      </c>
      <c r="CE265" s="182">
        <f t="shared" si="472"/>
        <v>0</v>
      </c>
      <c r="CF265" s="182">
        <f t="shared" si="478"/>
        <v>0</v>
      </c>
      <c r="CG265" s="182">
        <f t="shared" si="484"/>
        <v>0</v>
      </c>
      <c r="CH265" s="182">
        <f t="shared" si="490"/>
        <v>0</v>
      </c>
      <c r="CI265" s="182">
        <f t="shared" si="496"/>
        <v>0</v>
      </c>
      <c r="CJ265" s="182">
        <f t="shared" si="502"/>
        <v>0</v>
      </c>
      <c r="CK265" s="182">
        <f t="shared" si="507"/>
        <v>0</v>
      </c>
      <c r="CL265" s="182">
        <f t="shared" si="512"/>
        <v>0</v>
      </c>
      <c r="CM265" s="182">
        <f t="shared" si="517"/>
        <v>5.3258990376974885E-5</v>
      </c>
      <c r="CN265" s="182">
        <f t="shared" ref="CN265:CN296" si="522">CN98*CN$168</f>
        <v>0</v>
      </c>
      <c r="CO265" s="181">
        <f>$C265+SUM($D265:CN265,CP265:$FB265)-SUM(CO$176:CO264,CO266:CO$330)-CO$331</f>
        <v>1.1152462608746196E-21</v>
      </c>
      <c r="CP265" s="176">
        <f t="shared" ref="CP265:DU265" si="523">CP98*CP$168</f>
        <v>0</v>
      </c>
      <c r="CQ265" s="176">
        <f t="shared" si="523"/>
        <v>0</v>
      </c>
      <c r="CR265" s="176">
        <f t="shared" si="523"/>
        <v>0</v>
      </c>
      <c r="CS265" s="176">
        <f t="shared" si="523"/>
        <v>0</v>
      </c>
      <c r="CT265" s="176">
        <f t="shared" si="523"/>
        <v>0</v>
      </c>
      <c r="CU265" s="176">
        <f t="shared" si="523"/>
        <v>0</v>
      </c>
      <c r="CV265" s="176">
        <f t="shared" si="523"/>
        <v>0</v>
      </c>
      <c r="CW265" s="176">
        <f t="shared" si="523"/>
        <v>0</v>
      </c>
      <c r="CX265" s="176">
        <f t="shared" si="523"/>
        <v>0</v>
      </c>
      <c r="CY265" s="176">
        <f t="shared" si="523"/>
        <v>0</v>
      </c>
      <c r="CZ265" s="176">
        <f t="shared" si="523"/>
        <v>0</v>
      </c>
      <c r="DA265" s="176">
        <f t="shared" si="523"/>
        <v>0</v>
      </c>
      <c r="DB265" s="176">
        <f t="shared" si="523"/>
        <v>0</v>
      </c>
      <c r="DC265" s="176">
        <f t="shared" si="523"/>
        <v>0</v>
      </c>
      <c r="DD265" s="176">
        <f t="shared" si="523"/>
        <v>0</v>
      </c>
      <c r="DE265" s="176">
        <f t="shared" si="523"/>
        <v>0</v>
      </c>
      <c r="DF265" s="176">
        <f t="shared" si="523"/>
        <v>0</v>
      </c>
      <c r="DG265" s="176">
        <f t="shared" si="523"/>
        <v>0</v>
      </c>
      <c r="DH265" s="176">
        <f t="shared" si="523"/>
        <v>0</v>
      </c>
      <c r="DI265" s="176">
        <f t="shared" si="523"/>
        <v>0</v>
      </c>
      <c r="DJ265" s="176">
        <f t="shared" si="523"/>
        <v>0</v>
      </c>
      <c r="DK265" s="176">
        <f t="shared" si="523"/>
        <v>0</v>
      </c>
      <c r="DL265" s="176">
        <f t="shared" si="523"/>
        <v>2.8172641177358235E-8</v>
      </c>
      <c r="DM265" s="176">
        <f t="shared" si="523"/>
        <v>0</v>
      </c>
      <c r="DN265" s="176">
        <f t="shared" si="523"/>
        <v>0</v>
      </c>
      <c r="DO265" s="176">
        <f t="shared" si="523"/>
        <v>0</v>
      </c>
      <c r="DP265" s="176">
        <f t="shared" si="523"/>
        <v>0</v>
      </c>
      <c r="DQ265" s="176">
        <f t="shared" si="523"/>
        <v>0</v>
      </c>
      <c r="DR265" s="176">
        <f t="shared" si="523"/>
        <v>0</v>
      </c>
      <c r="DS265" s="176">
        <f t="shared" si="523"/>
        <v>0</v>
      </c>
      <c r="DT265" s="176">
        <f t="shared" si="523"/>
        <v>0</v>
      </c>
      <c r="DU265" s="176">
        <f t="shared" si="523"/>
        <v>0</v>
      </c>
      <c r="DV265" s="176">
        <f t="shared" ref="DV265:FB265" si="524">DV98*DV$168</f>
        <v>0</v>
      </c>
      <c r="DW265" s="176">
        <f t="shared" si="524"/>
        <v>0</v>
      </c>
      <c r="DX265" s="176">
        <f t="shared" si="524"/>
        <v>0</v>
      </c>
      <c r="DY265" s="176">
        <f t="shared" si="524"/>
        <v>0</v>
      </c>
      <c r="DZ265" s="176">
        <f t="shared" si="524"/>
        <v>0</v>
      </c>
      <c r="EA265" s="176">
        <f t="shared" si="524"/>
        <v>0</v>
      </c>
      <c r="EB265" s="176">
        <f t="shared" si="524"/>
        <v>0</v>
      </c>
      <c r="EC265" s="176">
        <f t="shared" si="524"/>
        <v>0</v>
      </c>
      <c r="ED265" s="176">
        <f t="shared" si="524"/>
        <v>0</v>
      </c>
      <c r="EE265" s="176">
        <f t="shared" si="524"/>
        <v>0</v>
      </c>
      <c r="EF265" s="182">
        <f t="shared" si="524"/>
        <v>0</v>
      </c>
      <c r="EG265" s="182">
        <f t="shared" si="524"/>
        <v>0</v>
      </c>
      <c r="EH265" s="182">
        <f t="shared" si="524"/>
        <v>0</v>
      </c>
      <c r="EI265" s="182">
        <f t="shared" si="524"/>
        <v>5.8312412493107892E-9</v>
      </c>
      <c r="EJ265" s="182">
        <f t="shared" si="524"/>
        <v>0</v>
      </c>
      <c r="EK265" s="182">
        <f t="shared" si="524"/>
        <v>0</v>
      </c>
      <c r="EL265" s="182">
        <f t="shared" si="524"/>
        <v>0</v>
      </c>
      <c r="EM265" s="182">
        <f t="shared" si="524"/>
        <v>0</v>
      </c>
      <c r="EN265" s="182">
        <f t="shared" si="524"/>
        <v>0</v>
      </c>
      <c r="EO265" s="182">
        <f t="shared" si="524"/>
        <v>0</v>
      </c>
      <c r="EP265" s="182">
        <f t="shared" si="524"/>
        <v>0</v>
      </c>
      <c r="EQ265" s="182">
        <f t="shared" si="524"/>
        <v>0</v>
      </c>
      <c r="ER265" s="182">
        <f t="shared" si="524"/>
        <v>0</v>
      </c>
      <c r="ES265" s="182">
        <f t="shared" si="524"/>
        <v>0</v>
      </c>
      <c r="ET265" s="182">
        <f t="shared" si="524"/>
        <v>0</v>
      </c>
      <c r="EU265" s="182">
        <f t="shared" si="524"/>
        <v>0</v>
      </c>
      <c r="EV265" s="182">
        <f t="shared" si="524"/>
        <v>0</v>
      </c>
      <c r="EW265" s="182">
        <f t="shared" si="524"/>
        <v>0</v>
      </c>
      <c r="EX265" s="182">
        <f t="shared" si="524"/>
        <v>0</v>
      </c>
      <c r="EY265" s="182">
        <f t="shared" si="524"/>
        <v>0</v>
      </c>
      <c r="EZ265" s="182">
        <f t="shared" si="524"/>
        <v>0</v>
      </c>
      <c r="FA265" s="182">
        <f t="shared" si="524"/>
        <v>0</v>
      </c>
      <c r="FB265" s="183">
        <f t="shared" si="524"/>
        <v>0</v>
      </c>
    </row>
    <row r="266" spans="2:158" ht="12.75" customHeight="1" x14ac:dyDescent="0.3">
      <c r="B266" s="199" t="s">
        <v>3909</v>
      </c>
      <c r="C266" s="193">
        <v>0</v>
      </c>
      <c r="D266" s="182">
        <f t="shared" si="380"/>
        <v>0</v>
      </c>
      <c r="E266" s="182">
        <f t="shared" si="386"/>
        <v>0</v>
      </c>
      <c r="F266" s="182">
        <f t="shared" si="392"/>
        <v>0</v>
      </c>
      <c r="G266" s="182">
        <f t="shared" si="398"/>
        <v>0</v>
      </c>
      <c r="H266" s="182">
        <f t="shared" si="404"/>
        <v>0</v>
      </c>
      <c r="I266" s="176">
        <f t="shared" si="410"/>
        <v>0</v>
      </c>
      <c r="J266" s="182">
        <f t="shared" si="416"/>
        <v>0</v>
      </c>
      <c r="K266" s="182">
        <f t="shared" si="422"/>
        <v>0</v>
      </c>
      <c r="L266" s="182">
        <f t="shared" si="428"/>
        <v>0</v>
      </c>
      <c r="M266" s="182">
        <f t="shared" si="434"/>
        <v>0</v>
      </c>
      <c r="N266" s="182">
        <f t="shared" si="440"/>
        <v>0</v>
      </c>
      <c r="O266" s="182">
        <f t="shared" si="446"/>
        <v>0</v>
      </c>
      <c r="P266" s="182">
        <f t="shared" si="452"/>
        <v>0</v>
      </c>
      <c r="Q266" s="182">
        <f t="shared" si="458"/>
        <v>0</v>
      </c>
      <c r="R266" s="182">
        <f t="shared" si="464"/>
        <v>0</v>
      </c>
      <c r="S266" s="182">
        <f t="shared" si="470"/>
        <v>0</v>
      </c>
      <c r="T266" s="182">
        <f t="shared" si="476"/>
        <v>0</v>
      </c>
      <c r="U266" s="182">
        <f t="shared" si="482"/>
        <v>0</v>
      </c>
      <c r="V266" s="182">
        <f t="shared" si="488"/>
        <v>0</v>
      </c>
      <c r="W266" s="182">
        <f t="shared" si="494"/>
        <v>0</v>
      </c>
      <c r="X266" s="182">
        <f t="shared" si="500"/>
        <v>0</v>
      </c>
      <c r="Y266" s="182">
        <f t="shared" si="505"/>
        <v>0</v>
      </c>
      <c r="Z266" s="182">
        <f t="shared" si="510"/>
        <v>0</v>
      </c>
      <c r="AA266" s="182">
        <f t="shared" si="515"/>
        <v>0</v>
      </c>
      <c r="AB266" s="182">
        <f t="shared" si="520"/>
        <v>0</v>
      </c>
      <c r="AC266" s="182">
        <f t="shared" ref="AC266:AC297" si="525">AC99*AC$168</f>
        <v>0</v>
      </c>
      <c r="AD266" s="182">
        <f t="shared" si="350"/>
        <v>0</v>
      </c>
      <c r="AE266" s="182">
        <f t="shared" si="355"/>
        <v>0</v>
      </c>
      <c r="AF266" s="182">
        <f t="shared" si="360"/>
        <v>0</v>
      </c>
      <c r="AG266" s="182">
        <f t="shared" si="365"/>
        <v>0</v>
      </c>
      <c r="AH266" s="182">
        <f t="shared" si="370"/>
        <v>0</v>
      </c>
      <c r="AI266" s="182">
        <f t="shared" si="375"/>
        <v>0</v>
      </c>
      <c r="AJ266" s="182">
        <f t="shared" si="381"/>
        <v>0</v>
      </c>
      <c r="AK266" s="182">
        <f t="shared" si="387"/>
        <v>0</v>
      </c>
      <c r="AL266" s="182">
        <f t="shared" si="393"/>
        <v>0</v>
      </c>
      <c r="AM266" s="182">
        <f t="shared" si="399"/>
        <v>0</v>
      </c>
      <c r="AN266" s="182">
        <f t="shared" si="405"/>
        <v>0</v>
      </c>
      <c r="AO266" s="182">
        <f t="shared" si="411"/>
        <v>0</v>
      </c>
      <c r="AP266" s="182">
        <f t="shared" si="417"/>
        <v>0</v>
      </c>
      <c r="AQ266" s="182">
        <f t="shared" si="423"/>
        <v>0</v>
      </c>
      <c r="AR266" s="182">
        <f t="shared" si="429"/>
        <v>0</v>
      </c>
      <c r="AS266" s="182">
        <f t="shared" si="435"/>
        <v>0</v>
      </c>
      <c r="AT266" s="182">
        <f t="shared" si="441"/>
        <v>0</v>
      </c>
      <c r="AU266" s="182">
        <f t="shared" si="447"/>
        <v>0</v>
      </c>
      <c r="AV266" s="182">
        <f t="shared" si="453"/>
        <v>0</v>
      </c>
      <c r="AW266" s="182">
        <f t="shared" si="459"/>
        <v>0</v>
      </c>
      <c r="AX266" s="182">
        <f t="shared" si="465"/>
        <v>0</v>
      </c>
      <c r="AY266" s="182">
        <f t="shared" si="471"/>
        <v>0</v>
      </c>
      <c r="AZ266" s="182">
        <f t="shared" si="477"/>
        <v>0</v>
      </c>
      <c r="BA266" s="182">
        <f t="shared" si="483"/>
        <v>0</v>
      </c>
      <c r="BB266" s="182">
        <f t="shared" si="489"/>
        <v>0</v>
      </c>
      <c r="BC266" s="182">
        <f t="shared" si="495"/>
        <v>0</v>
      </c>
      <c r="BD266" s="182">
        <f t="shared" si="501"/>
        <v>0</v>
      </c>
      <c r="BE266" s="182">
        <f t="shared" si="506"/>
        <v>0</v>
      </c>
      <c r="BF266" s="182">
        <f t="shared" si="511"/>
        <v>0</v>
      </c>
      <c r="BG266" s="182">
        <f t="shared" si="516"/>
        <v>0</v>
      </c>
      <c r="BH266" s="182">
        <f t="shared" si="521"/>
        <v>0</v>
      </c>
      <c r="BI266" s="182">
        <f t="shared" ref="BI266:BI297" si="526">BI99*BI$168</f>
        <v>0</v>
      </c>
      <c r="BJ266" s="182">
        <f t="shared" si="351"/>
        <v>0</v>
      </c>
      <c r="BK266" s="182">
        <f t="shared" si="356"/>
        <v>0</v>
      </c>
      <c r="BL266" s="182">
        <f t="shared" si="361"/>
        <v>0</v>
      </c>
      <c r="BM266" s="182">
        <f t="shared" si="366"/>
        <v>0</v>
      </c>
      <c r="BN266" s="182">
        <f t="shared" si="371"/>
        <v>0</v>
      </c>
      <c r="BO266" s="182">
        <f t="shared" si="376"/>
        <v>0</v>
      </c>
      <c r="BP266" s="182">
        <f t="shared" si="382"/>
        <v>0</v>
      </c>
      <c r="BQ266" s="182">
        <f t="shared" si="388"/>
        <v>0</v>
      </c>
      <c r="BR266" s="182">
        <f t="shared" si="394"/>
        <v>0</v>
      </c>
      <c r="BS266" s="182">
        <f t="shared" si="400"/>
        <v>0</v>
      </c>
      <c r="BT266" s="182">
        <f t="shared" si="406"/>
        <v>0</v>
      </c>
      <c r="BU266" s="182">
        <f t="shared" si="412"/>
        <v>0</v>
      </c>
      <c r="BV266" s="182">
        <f t="shared" si="418"/>
        <v>0</v>
      </c>
      <c r="BW266" s="182">
        <f t="shared" si="424"/>
        <v>0</v>
      </c>
      <c r="BX266" s="182">
        <f t="shared" si="430"/>
        <v>0</v>
      </c>
      <c r="BY266" s="182">
        <f t="shared" si="436"/>
        <v>0</v>
      </c>
      <c r="BZ266" s="182">
        <f t="shared" si="442"/>
        <v>0</v>
      </c>
      <c r="CA266" s="182">
        <f t="shared" si="448"/>
        <v>0</v>
      </c>
      <c r="CB266" s="182">
        <f t="shared" si="454"/>
        <v>0</v>
      </c>
      <c r="CC266" s="182">
        <f t="shared" si="460"/>
        <v>0</v>
      </c>
      <c r="CD266" s="182">
        <f t="shared" si="466"/>
        <v>0</v>
      </c>
      <c r="CE266" s="182">
        <f t="shared" si="472"/>
        <v>0</v>
      </c>
      <c r="CF266" s="182">
        <f t="shared" si="478"/>
        <v>0</v>
      </c>
      <c r="CG266" s="182">
        <f t="shared" si="484"/>
        <v>0</v>
      </c>
      <c r="CH266" s="182">
        <f t="shared" si="490"/>
        <v>0</v>
      </c>
      <c r="CI266" s="182">
        <f t="shared" si="496"/>
        <v>0</v>
      </c>
      <c r="CJ266" s="182">
        <f t="shared" si="502"/>
        <v>0</v>
      </c>
      <c r="CK266" s="182">
        <f t="shared" si="507"/>
        <v>0</v>
      </c>
      <c r="CL266" s="182">
        <f t="shared" si="512"/>
        <v>0</v>
      </c>
      <c r="CM266" s="182">
        <f t="shared" si="517"/>
        <v>1.6217519379171622E-3</v>
      </c>
      <c r="CN266" s="182">
        <f t="shared" si="522"/>
        <v>0</v>
      </c>
      <c r="CO266" s="182">
        <f t="shared" ref="CO266:CO297" si="527">CO99*CO$168</f>
        <v>0</v>
      </c>
      <c r="CP266" s="181">
        <f>$C266+SUM($D266:CO266,CQ266:$FB266)-SUM(CP$176:CP265,CP267:CP$330)-CP$331</f>
        <v>0</v>
      </c>
      <c r="CQ266" s="176">
        <f t="shared" ref="CQ266:DV266" si="528">CQ99*CQ$168</f>
        <v>0</v>
      </c>
      <c r="CR266" s="176">
        <f t="shared" si="528"/>
        <v>0</v>
      </c>
      <c r="CS266" s="176">
        <f t="shared" si="528"/>
        <v>0</v>
      </c>
      <c r="CT266" s="176">
        <f t="shared" si="528"/>
        <v>0</v>
      </c>
      <c r="CU266" s="176">
        <f t="shared" si="528"/>
        <v>0</v>
      </c>
      <c r="CV266" s="176">
        <f t="shared" si="528"/>
        <v>0</v>
      </c>
      <c r="CW266" s="176">
        <f t="shared" si="528"/>
        <v>0</v>
      </c>
      <c r="CX266" s="176">
        <f t="shared" si="528"/>
        <v>0</v>
      </c>
      <c r="CY266" s="176">
        <f t="shared" si="528"/>
        <v>0</v>
      </c>
      <c r="CZ266" s="176">
        <f t="shared" si="528"/>
        <v>0</v>
      </c>
      <c r="DA266" s="176">
        <f t="shared" si="528"/>
        <v>0</v>
      </c>
      <c r="DB266" s="176">
        <f t="shared" si="528"/>
        <v>0</v>
      </c>
      <c r="DC266" s="176">
        <f t="shared" si="528"/>
        <v>0</v>
      </c>
      <c r="DD266" s="176">
        <f t="shared" si="528"/>
        <v>0</v>
      </c>
      <c r="DE266" s="176">
        <f t="shared" si="528"/>
        <v>0</v>
      </c>
      <c r="DF266" s="176">
        <f t="shared" si="528"/>
        <v>0</v>
      </c>
      <c r="DG266" s="176">
        <f t="shared" si="528"/>
        <v>0</v>
      </c>
      <c r="DH266" s="176">
        <f t="shared" si="528"/>
        <v>0</v>
      </c>
      <c r="DI266" s="176">
        <f t="shared" si="528"/>
        <v>0</v>
      </c>
      <c r="DJ266" s="176">
        <f t="shared" si="528"/>
        <v>0</v>
      </c>
      <c r="DK266" s="176">
        <f t="shared" si="528"/>
        <v>0</v>
      </c>
      <c r="DL266" s="176">
        <f t="shared" si="528"/>
        <v>0</v>
      </c>
      <c r="DM266" s="176">
        <f t="shared" si="528"/>
        <v>0</v>
      </c>
      <c r="DN266" s="176">
        <f t="shared" si="528"/>
        <v>0</v>
      </c>
      <c r="DO266" s="176">
        <f t="shared" si="528"/>
        <v>0</v>
      </c>
      <c r="DP266" s="176">
        <f t="shared" si="528"/>
        <v>0</v>
      </c>
      <c r="DQ266" s="176">
        <f t="shared" si="528"/>
        <v>0</v>
      </c>
      <c r="DR266" s="176">
        <f t="shared" si="528"/>
        <v>0</v>
      </c>
      <c r="DS266" s="176">
        <f t="shared" si="528"/>
        <v>0</v>
      </c>
      <c r="DT266" s="176">
        <f t="shared" si="528"/>
        <v>0</v>
      </c>
      <c r="DU266" s="176">
        <f t="shared" si="528"/>
        <v>0</v>
      </c>
      <c r="DV266" s="176">
        <f t="shared" si="528"/>
        <v>0</v>
      </c>
      <c r="DW266" s="176">
        <f t="shared" ref="DW266:FB266" si="529">DW99*DW$168</f>
        <v>0</v>
      </c>
      <c r="DX266" s="176">
        <f t="shared" si="529"/>
        <v>0</v>
      </c>
      <c r="DY266" s="176">
        <f t="shared" si="529"/>
        <v>0</v>
      </c>
      <c r="DZ266" s="176">
        <f t="shared" si="529"/>
        <v>0</v>
      </c>
      <c r="EA266" s="176">
        <f t="shared" si="529"/>
        <v>0</v>
      </c>
      <c r="EB266" s="176">
        <f t="shared" si="529"/>
        <v>0</v>
      </c>
      <c r="EC266" s="176">
        <f t="shared" si="529"/>
        <v>0</v>
      </c>
      <c r="ED266" s="176">
        <f t="shared" si="529"/>
        <v>0</v>
      </c>
      <c r="EE266" s="176">
        <f t="shared" si="529"/>
        <v>0</v>
      </c>
      <c r="EF266" s="182">
        <f t="shared" si="529"/>
        <v>0</v>
      </c>
      <c r="EG266" s="182">
        <f t="shared" si="529"/>
        <v>0</v>
      </c>
      <c r="EH266" s="182">
        <f t="shared" si="529"/>
        <v>0</v>
      </c>
      <c r="EI266" s="182">
        <f t="shared" si="529"/>
        <v>0</v>
      </c>
      <c r="EJ266" s="182">
        <f t="shared" si="529"/>
        <v>0</v>
      </c>
      <c r="EK266" s="182">
        <f t="shared" si="529"/>
        <v>0</v>
      </c>
      <c r="EL266" s="182">
        <f t="shared" si="529"/>
        <v>0</v>
      </c>
      <c r="EM266" s="182">
        <f t="shared" si="529"/>
        <v>0</v>
      </c>
      <c r="EN266" s="182">
        <f t="shared" si="529"/>
        <v>0</v>
      </c>
      <c r="EO266" s="182">
        <f t="shared" si="529"/>
        <v>0</v>
      </c>
      <c r="EP266" s="182">
        <f t="shared" si="529"/>
        <v>0</v>
      </c>
      <c r="EQ266" s="182">
        <f t="shared" si="529"/>
        <v>0</v>
      </c>
      <c r="ER266" s="182">
        <f t="shared" si="529"/>
        <v>0</v>
      </c>
      <c r="ES266" s="182">
        <f t="shared" si="529"/>
        <v>0</v>
      </c>
      <c r="ET266" s="182">
        <f t="shared" si="529"/>
        <v>0</v>
      </c>
      <c r="EU266" s="182">
        <f t="shared" si="529"/>
        <v>0</v>
      </c>
      <c r="EV266" s="182">
        <f t="shared" si="529"/>
        <v>0</v>
      </c>
      <c r="EW266" s="182">
        <f t="shared" si="529"/>
        <v>0</v>
      </c>
      <c r="EX266" s="182">
        <f t="shared" si="529"/>
        <v>0</v>
      </c>
      <c r="EY266" s="182">
        <f t="shared" si="529"/>
        <v>0</v>
      </c>
      <c r="EZ266" s="182">
        <f t="shared" si="529"/>
        <v>0</v>
      </c>
      <c r="FA266" s="182">
        <f t="shared" si="529"/>
        <v>0</v>
      </c>
      <c r="FB266" s="183">
        <f t="shared" si="529"/>
        <v>0</v>
      </c>
    </row>
    <row r="267" spans="2:158" ht="12.75" customHeight="1" x14ac:dyDescent="0.3">
      <c r="B267" s="199" t="s">
        <v>3910</v>
      </c>
      <c r="C267" s="193">
        <v>0</v>
      </c>
      <c r="D267" s="182">
        <f t="shared" si="380"/>
        <v>0</v>
      </c>
      <c r="E267" s="182">
        <f t="shared" si="386"/>
        <v>0</v>
      </c>
      <c r="F267" s="182">
        <f t="shared" si="392"/>
        <v>0</v>
      </c>
      <c r="G267" s="182">
        <f t="shared" si="398"/>
        <v>0</v>
      </c>
      <c r="H267" s="182">
        <f t="shared" si="404"/>
        <v>0</v>
      </c>
      <c r="I267" s="176">
        <f t="shared" si="410"/>
        <v>0</v>
      </c>
      <c r="J267" s="182">
        <f t="shared" si="416"/>
        <v>0</v>
      </c>
      <c r="K267" s="182">
        <f t="shared" si="422"/>
        <v>0</v>
      </c>
      <c r="L267" s="182">
        <f t="shared" si="428"/>
        <v>0</v>
      </c>
      <c r="M267" s="182">
        <f t="shared" si="434"/>
        <v>0</v>
      </c>
      <c r="N267" s="182">
        <f t="shared" si="440"/>
        <v>0</v>
      </c>
      <c r="O267" s="182">
        <f t="shared" si="446"/>
        <v>0</v>
      </c>
      <c r="P267" s="182">
        <f t="shared" si="452"/>
        <v>0</v>
      </c>
      <c r="Q267" s="182">
        <f t="shared" si="458"/>
        <v>0</v>
      </c>
      <c r="R267" s="182">
        <f t="shared" si="464"/>
        <v>0</v>
      </c>
      <c r="S267" s="182">
        <f t="shared" si="470"/>
        <v>0</v>
      </c>
      <c r="T267" s="182">
        <f t="shared" si="476"/>
        <v>0</v>
      </c>
      <c r="U267" s="182">
        <f t="shared" si="482"/>
        <v>0</v>
      </c>
      <c r="V267" s="182">
        <f t="shared" si="488"/>
        <v>0</v>
      </c>
      <c r="W267" s="182">
        <f t="shared" si="494"/>
        <v>0</v>
      </c>
      <c r="X267" s="182">
        <f t="shared" si="500"/>
        <v>0</v>
      </c>
      <c r="Y267" s="182">
        <f t="shared" si="505"/>
        <v>0</v>
      </c>
      <c r="Z267" s="182">
        <f t="shared" si="510"/>
        <v>0</v>
      </c>
      <c r="AA267" s="182">
        <f t="shared" si="515"/>
        <v>0</v>
      </c>
      <c r="AB267" s="182">
        <f t="shared" si="520"/>
        <v>0</v>
      </c>
      <c r="AC267" s="182">
        <f t="shared" si="525"/>
        <v>0</v>
      </c>
      <c r="AD267" s="182">
        <f t="shared" ref="AD267:AD298" si="530">AD100*AD$168</f>
        <v>0</v>
      </c>
      <c r="AE267" s="182">
        <f t="shared" si="355"/>
        <v>0</v>
      </c>
      <c r="AF267" s="182">
        <f t="shared" si="360"/>
        <v>0</v>
      </c>
      <c r="AG267" s="182">
        <f t="shared" si="365"/>
        <v>0</v>
      </c>
      <c r="AH267" s="182">
        <f t="shared" si="370"/>
        <v>0</v>
      </c>
      <c r="AI267" s="182">
        <f t="shared" si="375"/>
        <v>0</v>
      </c>
      <c r="AJ267" s="182">
        <f t="shared" si="381"/>
        <v>0</v>
      </c>
      <c r="AK267" s="182">
        <f t="shared" si="387"/>
        <v>0</v>
      </c>
      <c r="AL267" s="182">
        <f t="shared" si="393"/>
        <v>0</v>
      </c>
      <c r="AM267" s="182">
        <f t="shared" si="399"/>
        <v>0</v>
      </c>
      <c r="AN267" s="182">
        <f t="shared" si="405"/>
        <v>0</v>
      </c>
      <c r="AO267" s="182">
        <f t="shared" si="411"/>
        <v>0</v>
      </c>
      <c r="AP267" s="182">
        <f t="shared" si="417"/>
        <v>0</v>
      </c>
      <c r="AQ267" s="182">
        <f t="shared" si="423"/>
        <v>0</v>
      </c>
      <c r="AR267" s="182">
        <f t="shared" si="429"/>
        <v>0</v>
      </c>
      <c r="AS267" s="182">
        <f t="shared" si="435"/>
        <v>0</v>
      </c>
      <c r="AT267" s="182">
        <f t="shared" si="441"/>
        <v>0</v>
      </c>
      <c r="AU267" s="182">
        <f t="shared" si="447"/>
        <v>0</v>
      </c>
      <c r="AV267" s="182">
        <f t="shared" si="453"/>
        <v>0</v>
      </c>
      <c r="AW267" s="182">
        <f t="shared" si="459"/>
        <v>0</v>
      </c>
      <c r="AX267" s="182">
        <f t="shared" si="465"/>
        <v>0</v>
      </c>
      <c r="AY267" s="182">
        <f t="shared" si="471"/>
        <v>0</v>
      </c>
      <c r="AZ267" s="182">
        <f t="shared" si="477"/>
        <v>0</v>
      </c>
      <c r="BA267" s="182">
        <f t="shared" si="483"/>
        <v>0</v>
      </c>
      <c r="BB267" s="182">
        <f t="shared" si="489"/>
        <v>0</v>
      </c>
      <c r="BC267" s="182">
        <f t="shared" si="495"/>
        <v>0</v>
      </c>
      <c r="BD267" s="182">
        <f t="shared" si="501"/>
        <v>0</v>
      </c>
      <c r="BE267" s="182">
        <f t="shared" si="506"/>
        <v>0</v>
      </c>
      <c r="BF267" s="182">
        <f t="shared" si="511"/>
        <v>0</v>
      </c>
      <c r="BG267" s="182">
        <f t="shared" si="516"/>
        <v>0</v>
      </c>
      <c r="BH267" s="182">
        <f t="shared" si="521"/>
        <v>0</v>
      </c>
      <c r="BI267" s="182">
        <f t="shared" si="526"/>
        <v>0</v>
      </c>
      <c r="BJ267" s="182">
        <f t="shared" ref="BJ267:BJ298" si="531">BJ100*BJ$168</f>
        <v>0</v>
      </c>
      <c r="BK267" s="182">
        <f t="shared" si="356"/>
        <v>0</v>
      </c>
      <c r="BL267" s="182">
        <f t="shared" si="361"/>
        <v>0</v>
      </c>
      <c r="BM267" s="182">
        <f t="shared" si="366"/>
        <v>0</v>
      </c>
      <c r="BN267" s="182">
        <f t="shared" si="371"/>
        <v>0</v>
      </c>
      <c r="BO267" s="182">
        <f t="shared" si="376"/>
        <v>0</v>
      </c>
      <c r="BP267" s="182">
        <f t="shared" si="382"/>
        <v>0</v>
      </c>
      <c r="BQ267" s="182">
        <f t="shared" si="388"/>
        <v>0</v>
      </c>
      <c r="BR267" s="182">
        <f t="shared" si="394"/>
        <v>0</v>
      </c>
      <c r="BS267" s="182">
        <f t="shared" si="400"/>
        <v>0</v>
      </c>
      <c r="BT267" s="182">
        <f t="shared" si="406"/>
        <v>0</v>
      </c>
      <c r="BU267" s="182">
        <f t="shared" si="412"/>
        <v>0</v>
      </c>
      <c r="BV267" s="182">
        <f t="shared" si="418"/>
        <v>0</v>
      </c>
      <c r="BW267" s="182">
        <f t="shared" si="424"/>
        <v>0</v>
      </c>
      <c r="BX267" s="182">
        <f t="shared" si="430"/>
        <v>0</v>
      </c>
      <c r="BY267" s="182">
        <f t="shared" si="436"/>
        <v>0</v>
      </c>
      <c r="BZ267" s="182">
        <f t="shared" si="442"/>
        <v>0</v>
      </c>
      <c r="CA267" s="182">
        <f t="shared" si="448"/>
        <v>0</v>
      </c>
      <c r="CB267" s="182">
        <f t="shared" si="454"/>
        <v>0</v>
      </c>
      <c r="CC267" s="182">
        <f t="shared" si="460"/>
        <v>0</v>
      </c>
      <c r="CD267" s="182">
        <f t="shared" si="466"/>
        <v>0</v>
      </c>
      <c r="CE267" s="182">
        <f t="shared" si="472"/>
        <v>0</v>
      </c>
      <c r="CF267" s="182">
        <f t="shared" si="478"/>
        <v>0</v>
      </c>
      <c r="CG267" s="182">
        <f t="shared" si="484"/>
        <v>0</v>
      </c>
      <c r="CH267" s="182">
        <f t="shared" si="490"/>
        <v>0</v>
      </c>
      <c r="CI267" s="182">
        <f t="shared" si="496"/>
        <v>0</v>
      </c>
      <c r="CJ267" s="182">
        <f t="shared" si="502"/>
        <v>0</v>
      </c>
      <c r="CK267" s="182">
        <f t="shared" si="507"/>
        <v>0</v>
      </c>
      <c r="CL267" s="182">
        <f t="shared" si="512"/>
        <v>0</v>
      </c>
      <c r="CM267" s="182">
        <f t="shared" si="517"/>
        <v>0</v>
      </c>
      <c r="CN267" s="182">
        <f t="shared" si="522"/>
        <v>0.31871903539976282</v>
      </c>
      <c r="CO267" s="182">
        <f t="shared" si="527"/>
        <v>0</v>
      </c>
      <c r="CP267" s="182">
        <f t="shared" ref="CP267:CP298" si="532">CP100*CP$168</f>
        <v>0</v>
      </c>
      <c r="CQ267" s="181">
        <f>$C267+SUM($D267:CP267,CR267:$FB267)-SUM(CQ$176:CQ266,CQ268:CQ$330)-CQ$331</f>
        <v>-5.5511151231257827E-17</v>
      </c>
      <c r="CR267" s="176">
        <f t="shared" ref="CR267:DW267" si="533">CR100*CR$168</f>
        <v>0</v>
      </c>
      <c r="CS267" s="176">
        <f t="shared" si="533"/>
        <v>0</v>
      </c>
      <c r="CT267" s="176">
        <f t="shared" si="533"/>
        <v>0</v>
      </c>
      <c r="CU267" s="176">
        <f t="shared" si="533"/>
        <v>0</v>
      </c>
      <c r="CV267" s="176">
        <f t="shared" si="533"/>
        <v>0</v>
      </c>
      <c r="CW267" s="176">
        <f t="shared" si="533"/>
        <v>0</v>
      </c>
      <c r="CX267" s="176">
        <f t="shared" si="533"/>
        <v>0</v>
      </c>
      <c r="CY267" s="176">
        <f t="shared" si="533"/>
        <v>0</v>
      </c>
      <c r="CZ267" s="176">
        <f t="shared" si="533"/>
        <v>0</v>
      </c>
      <c r="DA267" s="176">
        <f t="shared" si="533"/>
        <v>0</v>
      </c>
      <c r="DB267" s="176">
        <f t="shared" si="533"/>
        <v>0</v>
      </c>
      <c r="DC267" s="176">
        <f t="shared" si="533"/>
        <v>0</v>
      </c>
      <c r="DD267" s="176">
        <f t="shared" si="533"/>
        <v>0</v>
      </c>
      <c r="DE267" s="176">
        <f t="shared" si="533"/>
        <v>0</v>
      </c>
      <c r="DF267" s="176">
        <f t="shared" si="533"/>
        <v>0</v>
      </c>
      <c r="DG267" s="176">
        <f t="shared" si="533"/>
        <v>0</v>
      </c>
      <c r="DH267" s="176">
        <f t="shared" si="533"/>
        <v>0</v>
      </c>
      <c r="DI267" s="176">
        <f t="shared" si="533"/>
        <v>0</v>
      </c>
      <c r="DJ267" s="176">
        <f t="shared" si="533"/>
        <v>0</v>
      </c>
      <c r="DK267" s="176">
        <f t="shared" si="533"/>
        <v>0</v>
      </c>
      <c r="DL267" s="176">
        <f t="shared" si="533"/>
        <v>0</v>
      </c>
      <c r="DM267" s="176">
        <f t="shared" si="533"/>
        <v>0</v>
      </c>
      <c r="DN267" s="176">
        <f t="shared" si="533"/>
        <v>0</v>
      </c>
      <c r="DO267" s="176">
        <f t="shared" si="533"/>
        <v>0</v>
      </c>
      <c r="DP267" s="176">
        <f t="shared" si="533"/>
        <v>0</v>
      </c>
      <c r="DQ267" s="176">
        <f t="shared" si="533"/>
        <v>0</v>
      </c>
      <c r="DR267" s="176">
        <f t="shared" si="533"/>
        <v>0</v>
      </c>
      <c r="DS267" s="176">
        <f t="shared" si="533"/>
        <v>0</v>
      </c>
      <c r="DT267" s="176">
        <f t="shared" si="533"/>
        <v>0</v>
      </c>
      <c r="DU267" s="176">
        <f t="shared" si="533"/>
        <v>0</v>
      </c>
      <c r="DV267" s="176">
        <f t="shared" si="533"/>
        <v>0</v>
      </c>
      <c r="DW267" s="176">
        <f t="shared" si="533"/>
        <v>0</v>
      </c>
      <c r="DX267" s="176">
        <f t="shared" ref="DX267:FB267" si="534">DX100*DX$168</f>
        <v>0</v>
      </c>
      <c r="DY267" s="176">
        <f t="shared" si="534"/>
        <v>0</v>
      </c>
      <c r="DZ267" s="176">
        <f t="shared" si="534"/>
        <v>0</v>
      </c>
      <c r="EA267" s="176">
        <f t="shared" si="534"/>
        <v>0</v>
      </c>
      <c r="EB267" s="176">
        <f t="shared" si="534"/>
        <v>0</v>
      </c>
      <c r="EC267" s="176">
        <f t="shared" si="534"/>
        <v>0</v>
      </c>
      <c r="ED267" s="176">
        <f t="shared" si="534"/>
        <v>0</v>
      </c>
      <c r="EE267" s="176">
        <f t="shared" si="534"/>
        <v>0</v>
      </c>
      <c r="EF267" s="182">
        <f t="shared" si="534"/>
        <v>0</v>
      </c>
      <c r="EG267" s="182">
        <f t="shared" si="534"/>
        <v>0</v>
      </c>
      <c r="EH267" s="182">
        <f t="shared" si="534"/>
        <v>0</v>
      </c>
      <c r="EI267" s="182">
        <f t="shared" si="534"/>
        <v>0</v>
      </c>
      <c r="EJ267" s="182">
        <f t="shared" si="534"/>
        <v>0</v>
      </c>
      <c r="EK267" s="182">
        <f t="shared" si="534"/>
        <v>0</v>
      </c>
      <c r="EL267" s="182">
        <f t="shared" si="534"/>
        <v>0</v>
      </c>
      <c r="EM267" s="182">
        <f t="shared" si="534"/>
        <v>0</v>
      </c>
      <c r="EN267" s="182">
        <f t="shared" si="534"/>
        <v>0</v>
      </c>
      <c r="EO267" s="182">
        <f t="shared" si="534"/>
        <v>0</v>
      </c>
      <c r="EP267" s="182">
        <f t="shared" si="534"/>
        <v>0</v>
      </c>
      <c r="EQ267" s="182">
        <f t="shared" si="534"/>
        <v>0</v>
      </c>
      <c r="ER267" s="182">
        <f t="shared" si="534"/>
        <v>0</v>
      </c>
      <c r="ES267" s="182">
        <f t="shared" si="534"/>
        <v>0</v>
      </c>
      <c r="ET267" s="182">
        <f t="shared" si="534"/>
        <v>0</v>
      </c>
      <c r="EU267" s="182">
        <f t="shared" si="534"/>
        <v>0</v>
      </c>
      <c r="EV267" s="182">
        <f t="shared" si="534"/>
        <v>0</v>
      </c>
      <c r="EW267" s="182">
        <f t="shared" si="534"/>
        <v>0</v>
      </c>
      <c r="EX267" s="182">
        <f t="shared" si="534"/>
        <v>0</v>
      </c>
      <c r="EY267" s="182">
        <f t="shared" si="534"/>
        <v>0</v>
      </c>
      <c r="EZ267" s="182">
        <f t="shared" si="534"/>
        <v>0</v>
      </c>
      <c r="FA267" s="182">
        <f t="shared" si="534"/>
        <v>0</v>
      </c>
      <c r="FB267" s="183">
        <f t="shared" si="534"/>
        <v>0</v>
      </c>
    </row>
    <row r="268" spans="2:158" ht="12.75" customHeight="1" x14ac:dyDescent="0.3">
      <c r="B268" s="199" t="s">
        <v>3911</v>
      </c>
      <c r="C268" s="193">
        <v>0</v>
      </c>
      <c r="D268" s="182">
        <f t="shared" si="380"/>
        <v>0</v>
      </c>
      <c r="E268" s="182">
        <f t="shared" si="386"/>
        <v>0</v>
      </c>
      <c r="F268" s="182">
        <f t="shared" si="392"/>
        <v>0</v>
      </c>
      <c r="G268" s="182">
        <f t="shared" si="398"/>
        <v>0</v>
      </c>
      <c r="H268" s="182">
        <f t="shared" si="404"/>
        <v>0</v>
      </c>
      <c r="I268" s="176">
        <f t="shared" si="410"/>
        <v>0</v>
      </c>
      <c r="J268" s="182">
        <f t="shared" si="416"/>
        <v>0</v>
      </c>
      <c r="K268" s="182">
        <f t="shared" si="422"/>
        <v>0</v>
      </c>
      <c r="L268" s="182">
        <f t="shared" si="428"/>
        <v>0</v>
      </c>
      <c r="M268" s="182">
        <f t="shared" si="434"/>
        <v>0</v>
      </c>
      <c r="N268" s="182">
        <f t="shared" si="440"/>
        <v>0</v>
      </c>
      <c r="O268" s="182">
        <f t="shared" si="446"/>
        <v>0</v>
      </c>
      <c r="P268" s="182">
        <f t="shared" si="452"/>
        <v>0</v>
      </c>
      <c r="Q268" s="182">
        <f t="shared" si="458"/>
        <v>0</v>
      </c>
      <c r="R268" s="182">
        <f t="shared" si="464"/>
        <v>0</v>
      </c>
      <c r="S268" s="182">
        <f t="shared" si="470"/>
        <v>0</v>
      </c>
      <c r="T268" s="182">
        <f t="shared" si="476"/>
        <v>0</v>
      </c>
      <c r="U268" s="182">
        <f t="shared" si="482"/>
        <v>0</v>
      </c>
      <c r="V268" s="182">
        <f t="shared" si="488"/>
        <v>0</v>
      </c>
      <c r="W268" s="182">
        <f t="shared" si="494"/>
        <v>0</v>
      </c>
      <c r="X268" s="182">
        <f t="shared" si="500"/>
        <v>0</v>
      </c>
      <c r="Y268" s="182">
        <f t="shared" si="505"/>
        <v>0</v>
      </c>
      <c r="Z268" s="182">
        <f t="shared" si="510"/>
        <v>0</v>
      </c>
      <c r="AA268" s="182">
        <f t="shared" si="515"/>
        <v>0</v>
      </c>
      <c r="AB268" s="182">
        <f t="shared" si="520"/>
        <v>0</v>
      </c>
      <c r="AC268" s="182">
        <f t="shared" si="525"/>
        <v>0</v>
      </c>
      <c r="AD268" s="182">
        <f t="shared" si="530"/>
        <v>0</v>
      </c>
      <c r="AE268" s="182">
        <f t="shared" ref="AE268:AE299" si="535">AE101*AE$168</f>
        <v>0</v>
      </c>
      <c r="AF268" s="182">
        <f t="shared" si="360"/>
        <v>0</v>
      </c>
      <c r="AG268" s="182">
        <f t="shared" si="365"/>
        <v>0</v>
      </c>
      <c r="AH268" s="182">
        <f t="shared" si="370"/>
        <v>0</v>
      </c>
      <c r="AI268" s="182">
        <f t="shared" si="375"/>
        <v>0</v>
      </c>
      <c r="AJ268" s="182">
        <f t="shared" si="381"/>
        <v>0</v>
      </c>
      <c r="AK268" s="182">
        <f t="shared" si="387"/>
        <v>0</v>
      </c>
      <c r="AL268" s="182">
        <f t="shared" si="393"/>
        <v>0</v>
      </c>
      <c r="AM268" s="182">
        <f t="shared" si="399"/>
        <v>0</v>
      </c>
      <c r="AN268" s="182">
        <f t="shared" si="405"/>
        <v>0</v>
      </c>
      <c r="AO268" s="182">
        <f t="shared" si="411"/>
        <v>0</v>
      </c>
      <c r="AP268" s="182">
        <f t="shared" si="417"/>
        <v>0</v>
      </c>
      <c r="AQ268" s="182">
        <f t="shared" si="423"/>
        <v>0</v>
      </c>
      <c r="AR268" s="182">
        <f t="shared" si="429"/>
        <v>0</v>
      </c>
      <c r="AS268" s="182">
        <f t="shared" si="435"/>
        <v>0</v>
      </c>
      <c r="AT268" s="182">
        <f t="shared" si="441"/>
        <v>0</v>
      </c>
      <c r="AU268" s="182">
        <f t="shared" si="447"/>
        <v>0</v>
      </c>
      <c r="AV268" s="182">
        <f t="shared" si="453"/>
        <v>0</v>
      </c>
      <c r="AW268" s="182">
        <f t="shared" si="459"/>
        <v>0</v>
      </c>
      <c r="AX268" s="182">
        <f t="shared" si="465"/>
        <v>0</v>
      </c>
      <c r="AY268" s="182">
        <f t="shared" si="471"/>
        <v>0</v>
      </c>
      <c r="AZ268" s="182">
        <f t="shared" si="477"/>
        <v>0</v>
      </c>
      <c r="BA268" s="182">
        <f t="shared" si="483"/>
        <v>0</v>
      </c>
      <c r="BB268" s="182">
        <f t="shared" si="489"/>
        <v>0</v>
      </c>
      <c r="BC268" s="182">
        <f t="shared" si="495"/>
        <v>0</v>
      </c>
      <c r="BD268" s="182">
        <f t="shared" si="501"/>
        <v>0</v>
      </c>
      <c r="BE268" s="182">
        <f t="shared" si="506"/>
        <v>0</v>
      </c>
      <c r="BF268" s="182">
        <f t="shared" si="511"/>
        <v>0</v>
      </c>
      <c r="BG268" s="182">
        <f t="shared" si="516"/>
        <v>0</v>
      </c>
      <c r="BH268" s="182">
        <f t="shared" si="521"/>
        <v>0</v>
      </c>
      <c r="BI268" s="182">
        <f t="shared" si="526"/>
        <v>0</v>
      </c>
      <c r="BJ268" s="182">
        <f t="shared" si="531"/>
        <v>0</v>
      </c>
      <c r="BK268" s="182">
        <f t="shared" ref="BK268:BK299" si="536">BK101*BK$168</f>
        <v>0</v>
      </c>
      <c r="BL268" s="182">
        <f t="shared" si="361"/>
        <v>0</v>
      </c>
      <c r="BM268" s="182">
        <f t="shared" si="366"/>
        <v>0</v>
      </c>
      <c r="BN268" s="182">
        <f t="shared" si="371"/>
        <v>0</v>
      </c>
      <c r="BO268" s="182">
        <f t="shared" si="376"/>
        <v>0</v>
      </c>
      <c r="BP268" s="182">
        <f t="shared" si="382"/>
        <v>0</v>
      </c>
      <c r="BQ268" s="182">
        <f t="shared" si="388"/>
        <v>0</v>
      </c>
      <c r="BR268" s="182">
        <f t="shared" si="394"/>
        <v>0</v>
      </c>
      <c r="BS268" s="182">
        <f t="shared" si="400"/>
        <v>0</v>
      </c>
      <c r="BT268" s="182">
        <f t="shared" si="406"/>
        <v>0</v>
      </c>
      <c r="BU268" s="182">
        <f t="shared" si="412"/>
        <v>0</v>
      </c>
      <c r="BV268" s="182">
        <f t="shared" si="418"/>
        <v>0</v>
      </c>
      <c r="BW268" s="182">
        <f t="shared" si="424"/>
        <v>0</v>
      </c>
      <c r="BX268" s="182">
        <f t="shared" si="430"/>
        <v>0</v>
      </c>
      <c r="BY268" s="182">
        <f t="shared" si="436"/>
        <v>0</v>
      </c>
      <c r="BZ268" s="182">
        <f t="shared" si="442"/>
        <v>0</v>
      </c>
      <c r="CA268" s="182">
        <f t="shared" si="448"/>
        <v>0</v>
      </c>
      <c r="CB268" s="182">
        <f t="shared" si="454"/>
        <v>0</v>
      </c>
      <c r="CC268" s="182">
        <f t="shared" si="460"/>
        <v>0</v>
      </c>
      <c r="CD268" s="182">
        <f t="shared" si="466"/>
        <v>0</v>
      </c>
      <c r="CE268" s="182">
        <f t="shared" si="472"/>
        <v>0</v>
      </c>
      <c r="CF268" s="182">
        <f t="shared" si="478"/>
        <v>0</v>
      </c>
      <c r="CG268" s="182">
        <f t="shared" si="484"/>
        <v>0</v>
      </c>
      <c r="CH268" s="182">
        <f t="shared" si="490"/>
        <v>0</v>
      </c>
      <c r="CI268" s="182">
        <f t="shared" si="496"/>
        <v>0</v>
      </c>
      <c r="CJ268" s="182">
        <f t="shared" si="502"/>
        <v>0</v>
      </c>
      <c r="CK268" s="182">
        <f t="shared" si="507"/>
        <v>0</v>
      </c>
      <c r="CL268" s="182">
        <f t="shared" si="512"/>
        <v>0</v>
      </c>
      <c r="CM268" s="182">
        <f t="shared" si="517"/>
        <v>0</v>
      </c>
      <c r="CN268" s="182">
        <f t="shared" si="522"/>
        <v>0</v>
      </c>
      <c r="CO268" s="182">
        <f t="shared" si="527"/>
        <v>7.5079561394938055E-5</v>
      </c>
      <c r="CP268" s="182">
        <f t="shared" si="532"/>
        <v>0</v>
      </c>
      <c r="CQ268" s="182">
        <f t="shared" ref="CQ268:CQ299" si="537">CQ101*CQ$168</f>
        <v>0</v>
      </c>
      <c r="CR268" s="181">
        <f>$C268+SUM($D268:CQ268,CS268:$FB268)-SUM(CR$176:CR267,CR269:CR$330)-CR$331</f>
        <v>1.3552527156068805E-20</v>
      </c>
      <c r="CS268" s="176">
        <f t="shared" ref="CS268:DX268" si="538">CS101*CS$168</f>
        <v>0</v>
      </c>
      <c r="CT268" s="176">
        <f t="shared" si="538"/>
        <v>0</v>
      </c>
      <c r="CU268" s="176">
        <f t="shared" si="538"/>
        <v>0</v>
      </c>
      <c r="CV268" s="176">
        <f t="shared" si="538"/>
        <v>0</v>
      </c>
      <c r="CW268" s="176">
        <f t="shared" si="538"/>
        <v>0</v>
      </c>
      <c r="CX268" s="176">
        <f t="shared" si="538"/>
        <v>0</v>
      </c>
      <c r="CY268" s="176">
        <f t="shared" si="538"/>
        <v>0</v>
      </c>
      <c r="CZ268" s="176">
        <f t="shared" si="538"/>
        <v>0</v>
      </c>
      <c r="DA268" s="176">
        <f t="shared" si="538"/>
        <v>0</v>
      </c>
      <c r="DB268" s="176">
        <f t="shared" si="538"/>
        <v>0</v>
      </c>
      <c r="DC268" s="176">
        <f t="shared" si="538"/>
        <v>0</v>
      </c>
      <c r="DD268" s="176">
        <f t="shared" si="538"/>
        <v>0</v>
      </c>
      <c r="DE268" s="176">
        <f t="shared" si="538"/>
        <v>0</v>
      </c>
      <c r="DF268" s="176">
        <f t="shared" si="538"/>
        <v>0</v>
      </c>
      <c r="DG268" s="176">
        <f t="shared" si="538"/>
        <v>0</v>
      </c>
      <c r="DH268" s="176">
        <f t="shared" si="538"/>
        <v>0</v>
      </c>
      <c r="DI268" s="176">
        <f t="shared" si="538"/>
        <v>0</v>
      </c>
      <c r="DJ268" s="176">
        <f t="shared" si="538"/>
        <v>0</v>
      </c>
      <c r="DK268" s="176">
        <f t="shared" si="538"/>
        <v>0</v>
      </c>
      <c r="DL268" s="176">
        <f t="shared" si="538"/>
        <v>0</v>
      </c>
      <c r="DM268" s="176">
        <f t="shared" si="538"/>
        <v>0</v>
      </c>
      <c r="DN268" s="176">
        <f t="shared" si="538"/>
        <v>0</v>
      </c>
      <c r="DO268" s="176">
        <f t="shared" si="538"/>
        <v>0</v>
      </c>
      <c r="DP268" s="176">
        <f t="shared" si="538"/>
        <v>0</v>
      </c>
      <c r="DQ268" s="176">
        <f t="shared" si="538"/>
        <v>0</v>
      </c>
      <c r="DR268" s="176">
        <f t="shared" si="538"/>
        <v>0</v>
      </c>
      <c r="DS268" s="176">
        <f t="shared" si="538"/>
        <v>0</v>
      </c>
      <c r="DT268" s="176">
        <f t="shared" si="538"/>
        <v>0</v>
      </c>
      <c r="DU268" s="176">
        <f t="shared" si="538"/>
        <v>0</v>
      </c>
      <c r="DV268" s="176">
        <f t="shared" si="538"/>
        <v>0</v>
      </c>
      <c r="DW268" s="176">
        <f t="shared" si="538"/>
        <v>0</v>
      </c>
      <c r="DX268" s="176">
        <f t="shared" si="538"/>
        <v>0</v>
      </c>
      <c r="DY268" s="176">
        <f t="shared" ref="DY268:FB268" si="539">DY101*DY$168</f>
        <v>0</v>
      </c>
      <c r="DZ268" s="176">
        <f t="shared" si="539"/>
        <v>0</v>
      </c>
      <c r="EA268" s="176">
        <f t="shared" si="539"/>
        <v>0</v>
      </c>
      <c r="EB268" s="176">
        <f t="shared" si="539"/>
        <v>0</v>
      </c>
      <c r="EC268" s="176">
        <f t="shared" si="539"/>
        <v>0</v>
      </c>
      <c r="ED268" s="176">
        <f t="shared" si="539"/>
        <v>0</v>
      </c>
      <c r="EE268" s="176">
        <f t="shared" si="539"/>
        <v>0</v>
      </c>
      <c r="EF268" s="182">
        <f t="shared" si="539"/>
        <v>0</v>
      </c>
      <c r="EG268" s="182">
        <f t="shared" si="539"/>
        <v>0</v>
      </c>
      <c r="EH268" s="182">
        <f t="shared" si="539"/>
        <v>0</v>
      </c>
      <c r="EI268" s="182">
        <f t="shared" si="539"/>
        <v>0</v>
      </c>
      <c r="EJ268" s="182">
        <f t="shared" si="539"/>
        <v>0</v>
      </c>
      <c r="EK268" s="182">
        <f t="shared" si="539"/>
        <v>0</v>
      </c>
      <c r="EL268" s="182">
        <f t="shared" si="539"/>
        <v>0</v>
      </c>
      <c r="EM268" s="182">
        <f t="shared" si="539"/>
        <v>0</v>
      </c>
      <c r="EN268" s="182">
        <f t="shared" si="539"/>
        <v>0</v>
      </c>
      <c r="EO268" s="182">
        <f t="shared" si="539"/>
        <v>0</v>
      </c>
      <c r="EP268" s="182">
        <f t="shared" si="539"/>
        <v>0</v>
      </c>
      <c r="EQ268" s="182">
        <f t="shared" si="539"/>
        <v>0</v>
      </c>
      <c r="ER268" s="182">
        <f t="shared" si="539"/>
        <v>0</v>
      </c>
      <c r="ES268" s="182">
        <f t="shared" si="539"/>
        <v>0</v>
      </c>
      <c r="ET268" s="182">
        <f t="shared" si="539"/>
        <v>0</v>
      </c>
      <c r="EU268" s="182">
        <f t="shared" si="539"/>
        <v>0</v>
      </c>
      <c r="EV268" s="182">
        <f t="shared" si="539"/>
        <v>0</v>
      </c>
      <c r="EW268" s="182">
        <f t="shared" si="539"/>
        <v>0</v>
      </c>
      <c r="EX268" s="182">
        <f t="shared" si="539"/>
        <v>0</v>
      </c>
      <c r="EY268" s="182">
        <f t="shared" si="539"/>
        <v>0</v>
      </c>
      <c r="EZ268" s="182">
        <f t="shared" si="539"/>
        <v>0</v>
      </c>
      <c r="FA268" s="182">
        <f t="shared" si="539"/>
        <v>0</v>
      </c>
      <c r="FB268" s="183">
        <f t="shared" si="539"/>
        <v>0</v>
      </c>
    </row>
    <row r="269" spans="2:158" ht="12.75" customHeight="1" x14ac:dyDescent="0.3">
      <c r="B269" s="199" t="s">
        <v>3912</v>
      </c>
      <c r="C269" s="193">
        <v>0</v>
      </c>
      <c r="D269" s="182">
        <f t="shared" si="380"/>
        <v>0</v>
      </c>
      <c r="E269" s="182">
        <f t="shared" si="386"/>
        <v>0</v>
      </c>
      <c r="F269" s="182">
        <f t="shared" si="392"/>
        <v>0</v>
      </c>
      <c r="G269" s="182">
        <f t="shared" si="398"/>
        <v>0</v>
      </c>
      <c r="H269" s="182">
        <f t="shared" si="404"/>
        <v>0</v>
      </c>
      <c r="I269" s="176">
        <f t="shared" si="410"/>
        <v>0</v>
      </c>
      <c r="J269" s="182">
        <f t="shared" si="416"/>
        <v>0</v>
      </c>
      <c r="K269" s="182">
        <f t="shared" si="422"/>
        <v>0</v>
      </c>
      <c r="L269" s="182">
        <f t="shared" si="428"/>
        <v>0</v>
      </c>
      <c r="M269" s="182">
        <f t="shared" si="434"/>
        <v>0</v>
      </c>
      <c r="N269" s="182">
        <f t="shared" si="440"/>
        <v>0</v>
      </c>
      <c r="O269" s="182">
        <f t="shared" si="446"/>
        <v>0</v>
      </c>
      <c r="P269" s="182">
        <f t="shared" si="452"/>
        <v>0</v>
      </c>
      <c r="Q269" s="182">
        <f t="shared" si="458"/>
        <v>0</v>
      </c>
      <c r="R269" s="182">
        <f t="shared" si="464"/>
        <v>0</v>
      </c>
      <c r="S269" s="182">
        <f t="shared" si="470"/>
        <v>0</v>
      </c>
      <c r="T269" s="182">
        <f t="shared" si="476"/>
        <v>0</v>
      </c>
      <c r="U269" s="182">
        <f t="shared" si="482"/>
        <v>0</v>
      </c>
      <c r="V269" s="182">
        <f t="shared" si="488"/>
        <v>0</v>
      </c>
      <c r="W269" s="182">
        <f t="shared" si="494"/>
        <v>0</v>
      </c>
      <c r="X269" s="182">
        <f t="shared" si="500"/>
        <v>0</v>
      </c>
      <c r="Y269" s="182">
        <f t="shared" si="505"/>
        <v>0</v>
      </c>
      <c r="Z269" s="182">
        <f t="shared" si="510"/>
        <v>0</v>
      </c>
      <c r="AA269" s="182">
        <f t="shared" si="515"/>
        <v>0</v>
      </c>
      <c r="AB269" s="182">
        <f t="shared" si="520"/>
        <v>0</v>
      </c>
      <c r="AC269" s="182">
        <f t="shared" si="525"/>
        <v>0</v>
      </c>
      <c r="AD269" s="182">
        <f t="shared" si="530"/>
        <v>0</v>
      </c>
      <c r="AE269" s="182">
        <f t="shared" si="535"/>
        <v>0</v>
      </c>
      <c r="AF269" s="182">
        <f t="shared" ref="AF269:AF300" si="540">AF102*AF$168</f>
        <v>0</v>
      </c>
      <c r="AG269" s="182">
        <f t="shared" si="365"/>
        <v>0</v>
      </c>
      <c r="AH269" s="182">
        <f t="shared" si="370"/>
        <v>0</v>
      </c>
      <c r="AI269" s="182">
        <f t="shared" si="375"/>
        <v>0</v>
      </c>
      <c r="AJ269" s="182">
        <f t="shared" si="381"/>
        <v>0</v>
      </c>
      <c r="AK269" s="182">
        <f t="shared" si="387"/>
        <v>0</v>
      </c>
      <c r="AL269" s="182">
        <f t="shared" si="393"/>
        <v>0</v>
      </c>
      <c r="AM269" s="182">
        <f t="shared" si="399"/>
        <v>0</v>
      </c>
      <c r="AN269" s="182">
        <f t="shared" si="405"/>
        <v>0</v>
      </c>
      <c r="AO269" s="182">
        <f t="shared" si="411"/>
        <v>0</v>
      </c>
      <c r="AP269" s="182">
        <f t="shared" si="417"/>
        <v>0</v>
      </c>
      <c r="AQ269" s="182">
        <f t="shared" si="423"/>
        <v>0</v>
      </c>
      <c r="AR269" s="182">
        <f t="shared" si="429"/>
        <v>0</v>
      </c>
      <c r="AS269" s="182">
        <f t="shared" si="435"/>
        <v>0</v>
      </c>
      <c r="AT269" s="182">
        <f t="shared" si="441"/>
        <v>0</v>
      </c>
      <c r="AU269" s="182">
        <f t="shared" si="447"/>
        <v>0</v>
      </c>
      <c r="AV269" s="182">
        <f t="shared" si="453"/>
        <v>0</v>
      </c>
      <c r="AW269" s="182">
        <f t="shared" si="459"/>
        <v>0</v>
      </c>
      <c r="AX269" s="182">
        <f t="shared" si="465"/>
        <v>0</v>
      </c>
      <c r="AY269" s="182">
        <f t="shared" si="471"/>
        <v>0</v>
      </c>
      <c r="AZ269" s="182">
        <f t="shared" si="477"/>
        <v>0</v>
      </c>
      <c r="BA269" s="182">
        <f t="shared" si="483"/>
        <v>0</v>
      </c>
      <c r="BB269" s="182">
        <f t="shared" si="489"/>
        <v>0</v>
      </c>
      <c r="BC269" s="182">
        <f t="shared" si="495"/>
        <v>0</v>
      </c>
      <c r="BD269" s="182">
        <f t="shared" si="501"/>
        <v>0</v>
      </c>
      <c r="BE269" s="182">
        <f t="shared" si="506"/>
        <v>0</v>
      </c>
      <c r="BF269" s="182">
        <f t="shared" si="511"/>
        <v>0</v>
      </c>
      <c r="BG269" s="182">
        <f t="shared" si="516"/>
        <v>0</v>
      </c>
      <c r="BH269" s="182">
        <f t="shared" si="521"/>
        <v>0</v>
      </c>
      <c r="BI269" s="182">
        <f t="shared" si="526"/>
        <v>0</v>
      </c>
      <c r="BJ269" s="182">
        <f t="shared" si="531"/>
        <v>0</v>
      </c>
      <c r="BK269" s="182">
        <f t="shared" si="536"/>
        <v>0</v>
      </c>
      <c r="BL269" s="182">
        <f t="shared" ref="BL269:BL300" si="541">BL102*BL$168</f>
        <v>0</v>
      </c>
      <c r="BM269" s="182">
        <f t="shared" si="366"/>
        <v>0</v>
      </c>
      <c r="BN269" s="182">
        <f t="shared" si="371"/>
        <v>0</v>
      </c>
      <c r="BO269" s="182">
        <f t="shared" si="376"/>
        <v>0</v>
      </c>
      <c r="BP269" s="182">
        <f t="shared" si="382"/>
        <v>0</v>
      </c>
      <c r="BQ269" s="182">
        <f t="shared" si="388"/>
        <v>0</v>
      </c>
      <c r="BR269" s="182">
        <f t="shared" si="394"/>
        <v>0</v>
      </c>
      <c r="BS269" s="182">
        <f t="shared" si="400"/>
        <v>0</v>
      </c>
      <c r="BT269" s="182">
        <f t="shared" si="406"/>
        <v>0</v>
      </c>
      <c r="BU269" s="182">
        <f t="shared" si="412"/>
        <v>0</v>
      </c>
      <c r="BV269" s="182">
        <f t="shared" si="418"/>
        <v>0</v>
      </c>
      <c r="BW269" s="182">
        <f t="shared" si="424"/>
        <v>0</v>
      </c>
      <c r="BX269" s="182">
        <f t="shared" si="430"/>
        <v>0</v>
      </c>
      <c r="BY269" s="182">
        <f t="shared" si="436"/>
        <v>0</v>
      </c>
      <c r="BZ269" s="182">
        <f t="shared" si="442"/>
        <v>0</v>
      </c>
      <c r="CA269" s="182">
        <f t="shared" si="448"/>
        <v>0</v>
      </c>
      <c r="CB269" s="182">
        <f t="shared" si="454"/>
        <v>0</v>
      </c>
      <c r="CC269" s="182">
        <f t="shared" si="460"/>
        <v>0</v>
      </c>
      <c r="CD269" s="182">
        <f t="shared" si="466"/>
        <v>0</v>
      </c>
      <c r="CE269" s="182">
        <f t="shared" si="472"/>
        <v>0</v>
      </c>
      <c r="CF269" s="182">
        <f t="shared" si="478"/>
        <v>0</v>
      </c>
      <c r="CG269" s="182">
        <f t="shared" si="484"/>
        <v>0</v>
      </c>
      <c r="CH269" s="182">
        <f t="shared" si="490"/>
        <v>0</v>
      </c>
      <c r="CI269" s="182">
        <f t="shared" si="496"/>
        <v>0</v>
      </c>
      <c r="CJ269" s="182">
        <f t="shared" si="502"/>
        <v>0</v>
      </c>
      <c r="CK269" s="182">
        <f t="shared" si="507"/>
        <v>0</v>
      </c>
      <c r="CL269" s="182">
        <f t="shared" si="512"/>
        <v>0</v>
      </c>
      <c r="CM269" s="182">
        <f t="shared" si="517"/>
        <v>0</v>
      </c>
      <c r="CN269" s="182">
        <f t="shared" si="522"/>
        <v>0</v>
      </c>
      <c r="CO269" s="182">
        <f t="shared" si="527"/>
        <v>0</v>
      </c>
      <c r="CP269" s="182">
        <f t="shared" si="532"/>
        <v>0</v>
      </c>
      <c r="CQ269" s="182">
        <f t="shared" si="537"/>
        <v>0</v>
      </c>
      <c r="CR269" s="182">
        <f t="shared" ref="CR269:CR300" si="542">CR102*CR$168</f>
        <v>0</v>
      </c>
      <c r="CS269" s="181">
        <f>$C269+SUM($D269:CR269,CT269:$FB269)-SUM(CS$176:CS268,CS270:CS$330)-CS$331</f>
        <v>0</v>
      </c>
      <c r="CT269" s="176">
        <f t="shared" ref="CT269:DY269" si="543">CT102*CT$168</f>
        <v>0</v>
      </c>
      <c r="CU269" s="176">
        <f t="shared" si="543"/>
        <v>0</v>
      </c>
      <c r="CV269" s="176">
        <f t="shared" si="543"/>
        <v>0</v>
      </c>
      <c r="CW269" s="176">
        <f t="shared" si="543"/>
        <v>0</v>
      </c>
      <c r="CX269" s="176">
        <f t="shared" si="543"/>
        <v>0</v>
      </c>
      <c r="CY269" s="176">
        <f t="shared" si="543"/>
        <v>0</v>
      </c>
      <c r="CZ269" s="176">
        <f t="shared" si="543"/>
        <v>0</v>
      </c>
      <c r="DA269" s="176">
        <f t="shared" si="543"/>
        <v>0</v>
      </c>
      <c r="DB269" s="176">
        <f t="shared" si="543"/>
        <v>0</v>
      </c>
      <c r="DC269" s="176">
        <f t="shared" si="543"/>
        <v>0</v>
      </c>
      <c r="DD269" s="176">
        <f t="shared" si="543"/>
        <v>0</v>
      </c>
      <c r="DE269" s="176">
        <f t="shared" si="543"/>
        <v>0</v>
      </c>
      <c r="DF269" s="176">
        <f t="shared" si="543"/>
        <v>0</v>
      </c>
      <c r="DG269" s="176">
        <f t="shared" si="543"/>
        <v>0</v>
      </c>
      <c r="DH269" s="176">
        <f t="shared" si="543"/>
        <v>0</v>
      </c>
      <c r="DI269" s="176">
        <f t="shared" si="543"/>
        <v>0</v>
      </c>
      <c r="DJ269" s="176">
        <f t="shared" si="543"/>
        <v>0</v>
      </c>
      <c r="DK269" s="176">
        <f t="shared" si="543"/>
        <v>0</v>
      </c>
      <c r="DL269" s="176">
        <f t="shared" si="543"/>
        <v>0</v>
      </c>
      <c r="DM269" s="176">
        <f t="shared" si="543"/>
        <v>0</v>
      </c>
      <c r="DN269" s="176">
        <f t="shared" si="543"/>
        <v>0</v>
      </c>
      <c r="DO269" s="176">
        <f t="shared" si="543"/>
        <v>0</v>
      </c>
      <c r="DP269" s="176">
        <f t="shared" si="543"/>
        <v>0</v>
      </c>
      <c r="DQ269" s="176">
        <f t="shared" si="543"/>
        <v>0</v>
      </c>
      <c r="DR269" s="176">
        <f t="shared" si="543"/>
        <v>0</v>
      </c>
      <c r="DS269" s="176">
        <f t="shared" si="543"/>
        <v>0</v>
      </c>
      <c r="DT269" s="176">
        <f t="shared" si="543"/>
        <v>0</v>
      </c>
      <c r="DU269" s="176">
        <f t="shared" si="543"/>
        <v>0</v>
      </c>
      <c r="DV269" s="176">
        <f t="shared" si="543"/>
        <v>0</v>
      </c>
      <c r="DW269" s="176">
        <f t="shared" si="543"/>
        <v>0</v>
      </c>
      <c r="DX269" s="176">
        <f t="shared" si="543"/>
        <v>0</v>
      </c>
      <c r="DY269" s="176">
        <f t="shared" si="543"/>
        <v>0</v>
      </c>
      <c r="DZ269" s="176">
        <f t="shared" ref="DZ269:FB269" si="544">DZ102*DZ$168</f>
        <v>0</v>
      </c>
      <c r="EA269" s="176">
        <f t="shared" si="544"/>
        <v>0</v>
      </c>
      <c r="EB269" s="176">
        <f t="shared" si="544"/>
        <v>0</v>
      </c>
      <c r="EC269" s="176">
        <f t="shared" si="544"/>
        <v>0</v>
      </c>
      <c r="ED269" s="176">
        <f t="shared" si="544"/>
        <v>0</v>
      </c>
      <c r="EE269" s="176">
        <f t="shared" si="544"/>
        <v>0</v>
      </c>
      <c r="EF269" s="182">
        <f t="shared" si="544"/>
        <v>0</v>
      </c>
      <c r="EG269" s="182">
        <f t="shared" si="544"/>
        <v>0</v>
      </c>
      <c r="EH269" s="182">
        <f t="shared" si="544"/>
        <v>0</v>
      </c>
      <c r="EI269" s="182">
        <f t="shared" si="544"/>
        <v>0</v>
      </c>
      <c r="EJ269" s="182">
        <f t="shared" si="544"/>
        <v>0</v>
      </c>
      <c r="EK269" s="182">
        <f t="shared" si="544"/>
        <v>0</v>
      </c>
      <c r="EL269" s="182">
        <f t="shared" si="544"/>
        <v>0</v>
      </c>
      <c r="EM269" s="182">
        <f t="shared" si="544"/>
        <v>0</v>
      </c>
      <c r="EN269" s="182">
        <f t="shared" si="544"/>
        <v>0</v>
      </c>
      <c r="EO269" s="182">
        <f t="shared" si="544"/>
        <v>0</v>
      </c>
      <c r="EP269" s="182">
        <f t="shared" si="544"/>
        <v>0</v>
      </c>
      <c r="EQ269" s="182">
        <f t="shared" si="544"/>
        <v>0</v>
      </c>
      <c r="ER269" s="182">
        <f t="shared" si="544"/>
        <v>0</v>
      </c>
      <c r="ES269" s="182">
        <f t="shared" si="544"/>
        <v>0</v>
      </c>
      <c r="ET269" s="182">
        <f t="shared" si="544"/>
        <v>0</v>
      </c>
      <c r="EU269" s="182">
        <f t="shared" si="544"/>
        <v>0</v>
      </c>
      <c r="EV269" s="182">
        <f t="shared" si="544"/>
        <v>0</v>
      </c>
      <c r="EW269" s="182">
        <f t="shared" si="544"/>
        <v>0</v>
      </c>
      <c r="EX269" s="182">
        <f t="shared" si="544"/>
        <v>0</v>
      </c>
      <c r="EY269" s="182">
        <f t="shared" si="544"/>
        <v>0</v>
      </c>
      <c r="EZ269" s="182">
        <f t="shared" si="544"/>
        <v>0</v>
      </c>
      <c r="FA269" s="182">
        <f t="shared" si="544"/>
        <v>0</v>
      </c>
      <c r="FB269" s="183">
        <f t="shared" si="544"/>
        <v>0</v>
      </c>
    </row>
    <row r="270" spans="2:158" ht="12.75" customHeight="1" x14ac:dyDescent="0.3">
      <c r="B270" s="199" t="s">
        <v>3913</v>
      </c>
      <c r="C270" s="193">
        <v>0</v>
      </c>
      <c r="D270" s="182">
        <f t="shared" si="380"/>
        <v>0</v>
      </c>
      <c r="E270" s="182">
        <f t="shared" si="386"/>
        <v>0</v>
      </c>
      <c r="F270" s="182">
        <f t="shared" si="392"/>
        <v>0</v>
      </c>
      <c r="G270" s="182">
        <f t="shared" si="398"/>
        <v>0</v>
      </c>
      <c r="H270" s="182">
        <f t="shared" si="404"/>
        <v>0</v>
      </c>
      <c r="I270" s="176">
        <f t="shared" si="410"/>
        <v>0</v>
      </c>
      <c r="J270" s="182">
        <f t="shared" si="416"/>
        <v>0</v>
      </c>
      <c r="K270" s="182">
        <f t="shared" si="422"/>
        <v>0</v>
      </c>
      <c r="L270" s="182">
        <f t="shared" si="428"/>
        <v>0</v>
      </c>
      <c r="M270" s="182">
        <f t="shared" si="434"/>
        <v>0</v>
      </c>
      <c r="N270" s="182">
        <f t="shared" si="440"/>
        <v>0</v>
      </c>
      <c r="O270" s="182">
        <f t="shared" si="446"/>
        <v>0</v>
      </c>
      <c r="P270" s="182">
        <f t="shared" si="452"/>
        <v>0</v>
      </c>
      <c r="Q270" s="182">
        <f t="shared" si="458"/>
        <v>0</v>
      </c>
      <c r="R270" s="182">
        <f t="shared" si="464"/>
        <v>0</v>
      </c>
      <c r="S270" s="182">
        <f t="shared" si="470"/>
        <v>0</v>
      </c>
      <c r="T270" s="182">
        <f t="shared" si="476"/>
        <v>0</v>
      </c>
      <c r="U270" s="182">
        <f t="shared" si="482"/>
        <v>0</v>
      </c>
      <c r="V270" s="182">
        <f t="shared" si="488"/>
        <v>0</v>
      </c>
      <c r="W270" s="182">
        <f t="shared" si="494"/>
        <v>0</v>
      </c>
      <c r="X270" s="182">
        <f t="shared" si="500"/>
        <v>0</v>
      </c>
      <c r="Y270" s="182">
        <f t="shared" si="505"/>
        <v>0</v>
      </c>
      <c r="Z270" s="182">
        <f t="shared" si="510"/>
        <v>0</v>
      </c>
      <c r="AA270" s="182">
        <f t="shared" si="515"/>
        <v>0</v>
      </c>
      <c r="AB270" s="182">
        <f t="shared" si="520"/>
        <v>0</v>
      </c>
      <c r="AC270" s="182">
        <f t="shared" si="525"/>
        <v>0</v>
      </c>
      <c r="AD270" s="182">
        <f t="shared" si="530"/>
        <v>0</v>
      </c>
      <c r="AE270" s="182">
        <f t="shared" si="535"/>
        <v>0</v>
      </c>
      <c r="AF270" s="182">
        <f t="shared" si="540"/>
        <v>0</v>
      </c>
      <c r="AG270" s="182">
        <f t="shared" ref="AG270:AG301" si="545">AG103*AG$168</f>
        <v>0</v>
      </c>
      <c r="AH270" s="182">
        <f t="shared" si="370"/>
        <v>0</v>
      </c>
      <c r="AI270" s="182">
        <f t="shared" si="375"/>
        <v>0</v>
      </c>
      <c r="AJ270" s="182">
        <f t="shared" si="381"/>
        <v>0</v>
      </c>
      <c r="AK270" s="182">
        <f t="shared" si="387"/>
        <v>0</v>
      </c>
      <c r="AL270" s="182">
        <f t="shared" si="393"/>
        <v>0</v>
      </c>
      <c r="AM270" s="182">
        <f t="shared" si="399"/>
        <v>0</v>
      </c>
      <c r="AN270" s="182">
        <f t="shared" si="405"/>
        <v>0</v>
      </c>
      <c r="AO270" s="182">
        <f t="shared" si="411"/>
        <v>0</v>
      </c>
      <c r="AP270" s="182">
        <f t="shared" si="417"/>
        <v>0</v>
      </c>
      <c r="AQ270" s="182">
        <f t="shared" si="423"/>
        <v>0</v>
      </c>
      <c r="AR270" s="182">
        <f t="shared" si="429"/>
        <v>0</v>
      </c>
      <c r="AS270" s="182">
        <f t="shared" si="435"/>
        <v>0</v>
      </c>
      <c r="AT270" s="182">
        <f t="shared" si="441"/>
        <v>0</v>
      </c>
      <c r="AU270" s="182">
        <f t="shared" si="447"/>
        <v>0</v>
      </c>
      <c r="AV270" s="182">
        <f t="shared" si="453"/>
        <v>0</v>
      </c>
      <c r="AW270" s="182">
        <f t="shared" si="459"/>
        <v>0</v>
      </c>
      <c r="AX270" s="182">
        <f t="shared" si="465"/>
        <v>0</v>
      </c>
      <c r="AY270" s="182">
        <f t="shared" si="471"/>
        <v>0</v>
      </c>
      <c r="AZ270" s="182">
        <f t="shared" si="477"/>
        <v>0</v>
      </c>
      <c r="BA270" s="182">
        <f t="shared" si="483"/>
        <v>0</v>
      </c>
      <c r="BB270" s="182">
        <f t="shared" si="489"/>
        <v>0</v>
      </c>
      <c r="BC270" s="182">
        <f t="shared" si="495"/>
        <v>0</v>
      </c>
      <c r="BD270" s="182">
        <f t="shared" si="501"/>
        <v>0</v>
      </c>
      <c r="BE270" s="182">
        <f t="shared" si="506"/>
        <v>0</v>
      </c>
      <c r="BF270" s="182">
        <f t="shared" si="511"/>
        <v>0</v>
      </c>
      <c r="BG270" s="182">
        <f t="shared" si="516"/>
        <v>0</v>
      </c>
      <c r="BH270" s="182">
        <f t="shared" si="521"/>
        <v>0</v>
      </c>
      <c r="BI270" s="182">
        <f t="shared" si="526"/>
        <v>0</v>
      </c>
      <c r="BJ270" s="182">
        <f t="shared" si="531"/>
        <v>0</v>
      </c>
      <c r="BK270" s="182">
        <f t="shared" si="536"/>
        <v>8.812241063403081E-7</v>
      </c>
      <c r="BL270" s="182">
        <f t="shared" si="541"/>
        <v>0</v>
      </c>
      <c r="BM270" s="182">
        <f t="shared" ref="BM270:BM301" si="546">BM103*BM$168</f>
        <v>0</v>
      </c>
      <c r="BN270" s="182">
        <f t="shared" si="371"/>
        <v>0</v>
      </c>
      <c r="BO270" s="182">
        <f t="shared" si="376"/>
        <v>0</v>
      </c>
      <c r="BP270" s="182">
        <f t="shared" si="382"/>
        <v>0</v>
      </c>
      <c r="BQ270" s="182">
        <f t="shared" si="388"/>
        <v>0</v>
      </c>
      <c r="BR270" s="182">
        <f t="shared" si="394"/>
        <v>0</v>
      </c>
      <c r="BS270" s="182">
        <f t="shared" si="400"/>
        <v>0</v>
      </c>
      <c r="BT270" s="182">
        <f t="shared" si="406"/>
        <v>0</v>
      </c>
      <c r="BU270" s="182">
        <f t="shared" si="412"/>
        <v>0</v>
      </c>
      <c r="BV270" s="182">
        <f t="shared" si="418"/>
        <v>0</v>
      </c>
      <c r="BW270" s="182">
        <f t="shared" si="424"/>
        <v>0</v>
      </c>
      <c r="BX270" s="182">
        <f t="shared" si="430"/>
        <v>0</v>
      </c>
      <c r="BY270" s="182">
        <f t="shared" si="436"/>
        <v>0</v>
      </c>
      <c r="BZ270" s="182">
        <f t="shared" si="442"/>
        <v>0</v>
      </c>
      <c r="CA270" s="182">
        <f t="shared" si="448"/>
        <v>0</v>
      </c>
      <c r="CB270" s="182">
        <f t="shared" si="454"/>
        <v>0</v>
      </c>
      <c r="CC270" s="182">
        <f t="shared" si="460"/>
        <v>0</v>
      </c>
      <c r="CD270" s="182">
        <f t="shared" si="466"/>
        <v>0</v>
      </c>
      <c r="CE270" s="182">
        <f t="shared" si="472"/>
        <v>0</v>
      </c>
      <c r="CF270" s="182">
        <f t="shared" si="478"/>
        <v>0</v>
      </c>
      <c r="CG270" s="182">
        <f t="shared" si="484"/>
        <v>0</v>
      </c>
      <c r="CH270" s="182">
        <f t="shared" si="490"/>
        <v>0</v>
      </c>
      <c r="CI270" s="182">
        <f t="shared" si="496"/>
        <v>0</v>
      </c>
      <c r="CJ270" s="182">
        <f t="shared" si="502"/>
        <v>0</v>
      </c>
      <c r="CK270" s="182">
        <f t="shared" si="507"/>
        <v>0</v>
      </c>
      <c r="CL270" s="182">
        <f t="shared" si="512"/>
        <v>0</v>
      </c>
      <c r="CM270" s="182">
        <f t="shared" si="517"/>
        <v>2.0057459527775862E-3</v>
      </c>
      <c r="CN270" s="182">
        <f t="shared" si="522"/>
        <v>0</v>
      </c>
      <c r="CO270" s="182">
        <f t="shared" si="527"/>
        <v>0</v>
      </c>
      <c r="CP270" s="182">
        <f t="shared" si="532"/>
        <v>8.1087596895858109E-4</v>
      </c>
      <c r="CQ270" s="182">
        <f t="shared" si="537"/>
        <v>0</v>
      </c>
      <c r="CR270" s="182">
        <f t="shared" si="542"/>
        <v>0</v>
      </c>
      <c r="CS270" s="182">
        <f t="shared" ref="CS270:CS301" si="547">CS103*CS$168</f>
        <v>0</v>
      </c>
      <c r="CT270" s="181">
        <f>$C270+SUM($D270:CS270,CU270:$FB270)-SUM(CT$176:CT269,CT271:CT$330)-CT$331</f>
        <v>-8.6736173798840355E-19</v>
      </c>
      <c r="CU270" s="176">
        <f t="shared" ref="CU270:DZ270" si="548">CU103*CU$168</f>
        <v>0</v>
      </c>
      <c r="CV270" s="176">
        <f t="shared" si="548"/>
        <v>0</v>
      </c>
      <c r="CW270" s="176">
        <f t="shared" si="548"/>
        <v>0</v>
      </c>
      <c r="CX270" s="176">
        <f t="shared" si="548"/>
        <v>5.691749055555543E-13</v>
      </c>
      <c r="CY270" s="176">
        <f t="shared" si="548"/>
        <v>0</v>
      </c>
      <c r="CZ270" s="176">
        <f t="shared" si="548"/>
        <v>0</v>
      </c>
      <c r="DA270" s="176">
        <f t="shared" si="548"/>
        <v>0</v>
      </c>
      <c r="DB270" s="176">
        <f t="shared" si="548"/>
        <v>0</v>
      </c>
      <c r="DC270" s="176">
        <f t="shared" si="548"/>
        <v>0</v>
      </c>
      <c r="DD270" s="176">
        <f t="shared" si="548"/>
        <v>0</v>
      </c>
      <c r="DE270" s="176">
        <f t="shared" si="548"/>
        <v>0</v>
      </c>
      <c r="DF270" s="176">
        <f t="shared" si="548"/>
        <v>1.2217395546709433E-8</v>
      </c>
      <c r="DG270" s="176">
        <f t="shared" si="548"/>
        <v>0</v>
      </c>
      <c r="DH270" s="176">
        <f t="shared" si="548"/>
        <v>0</v>
      </c>
      <c r="DI270" s="176">
        <f t="shared" si="548"/>
        <v>0</v>
      </c>
      <c r="DJ270" s="176">
        <f t="shared" si="548"/>
        <v>0</v>
      </c>
      <c r="DK270" s="176">
        <f t="shared" si="548"/>
        <v>0</v>
      </c>
      <c r="DL270" s="176">
        <f t="shared" si="548"/>
        <v>0</v>
      </c>
      <c r="DM270" s="176">
        <f t="shared" si="548"/>
        <v>0</v>
      </c>
      <c r="DN270" s="176">
        <f t="shared" si="548"/>
        <v>0</v>
      </c>
      <c r="DO270" s="176">
        <f t="shared" si="548"/>
        <v>0</v>
      </c>
      <c r="DP270" s="176">
        <f t="shared" si="548"/>
        <v>0</v>
      </c>
      <c r="DQ270" s="176">
        <f t="shared" si="548"/>
        <v>0</v>
      </c>
      <c r="DR270" s="176">
        <f t="shared" si="548"/>
        <v>0</v>
      </c>
      <c r="DS270" s="176">
        <f t="shared" si="548"/>
        <v>0</v>
      </c>
      <c r="DT270" s="176">
        <f t="shared" si="548"/>
        <v>0</v>
      </c>
      <c r="DU270" s="176">
        <f t="shared" si="548"/>
        <v>0</v>
      </c>
      <c r="DV270" s="176">
        <f t="shared" si="548"/>
        <v>0</v>
      </c>
      <c r="DW270" s="176">
        <f t="shared" si="548"/>
        <v>0</v>
      </c>
      <c r="DX270" s="176">
        <f t="shared" si="548"/>
        <v>0</v>
      </c>
      <c r="DY270" s="176">
        <f t="shared" si="548"/>
        <v>0</v>
      </c>
      <c r="DZ270" s="176">
        <f t="shared" si="548"/>
        <v>0</v>
      </c>
      <c r="EA270" s="176">
        <f t="shared" ref="EA270:FB270" si="549">EA103*EA$168</f>
        <v>0</v>
      </c>
      <c r="EB270" s="176">
        <f t="shared" si="549"/>
        <v>0</v>
      </c>
      <c r="EC270" s="176">
        <f t="shared" si="549"/>
        <v>0</v>
      </c>
      <c r="ED270" s="176">
        <f t="shared" si="549"/>
        <v>0</v>
      </c>
      <c r="EE270" s="176">
        <f t="shared" si="549"/>
        <v>0</v>
      </c>
      <c r="EF270" s="182">
        <f t="shared" si="549"/>
        <v>0</v>
      </c>
      <c r="EG270" s="182">
        <f t="shared" si="549"/>
        <v>0</v>
      </c>
      <c r="EH270" s="182">
        <f t="shared" si="549"/>
        <v>0</v>
      </c>
      <c r="EI270" s="182">
        <f t="shared" si="549"/>
        <v>0</v>
      </c>
      <c r="EJ270" s="182">
        <f t="shared" si="549"/>
        <v>0</v>
      </c>
      <c r="EK270" s="182">
        <f t="shared" si="549"/>
        <v>0</v>
      </c>
      <c r="EL270" s="182">
        <f t="shared" si="549"/>
        <v>0</v>
      </c>
      <c r="EM270" s="182">
        <f t="shared" si="549"/>
        <v>0</v>
      </c>
      <c r="EN270" s="182">
        <f t="shared" si="549"/>
        <v>5.3067873374493149E-10</v>
      </c>
      <c r="EO270" s="182">
        <f t="shared" si="549"/>
        <v>0</v>
      </c>
      <c r="EP270" s="182">
        <f t="shared" si="549"/>
        <v>0</v>
      </c>
      <c r="EQ270" s="182">
        <f t="shared" si="549"/>
        <v>0</v>
      </c>
      <c r="ER270" s="182">
        <f t="shared" si="549"/>
        <v>0</v>
      </c>
      <c r="ES270" s="182">
        <f t="shared" si="549"/>
        <v>0</v>
      </c>
      <c r="ET270" s="182">
        <f t="shared" si="549"/>
        <v>0</v>
      </c>
      <c r="EU270" s="182">
        <f t="shared" si="549"/>
        <v>0</v>
      </c>
      <c r="EV270" s="182">
        <f t="shared" si="549"/>
        <v>0</v>
      </c>
      <c r="EW270" s="182">
        <f t="shared" si="549"/>
        <v>0</v>
      </c>
      <c r="EX270" s="182">
        <f t="shared" si="549"/>
        <v>0</v>
      </c>
      <c r="EY270" s="182">
        <f t="shared" si="549"/>
        <v>0</v>
      </c>
      <c r="EZ270" s="182">
        <f t="shared" si="549"/>
        <v>0</v>
      </c>
      <c r="FA270" s="182">
        <f t="shared" si="549"/>
        <v>0</v>
      </c>
      <c r="FB270" s="183">
        <f t="shared" si="549"/>
        <v>0</v>
      </c>
    </row>
    <row r="271" spans="2:158" ht="12.75" customHeight="1" x14ac:dyDescent="0.3">
      <c r="B271" s="199" t="s">
        <v>3914</v>
      </c>
      <c r="C271" s="193">
        <v>0</v>
      </c>
      <c r="D271" s="182">
        <f t="shared" si="380"/>
        <v>0</v>
      </c>
      <c r="E271" s="182">
        <f t="shared" si="386"/>
        <v>0</v>
      </c>
      <c r="F271" s="182">
        <f t="shared" si="392"/>
        <v>0</v>
      </c>
      <c r="G271" s="182">
        <f t="shared" si="398"/>
        <v>0</v>
      </c>
      <c r="H271" s="182">
        <f t="shared" si="404"/>
        <v>0</v>
      </c>
      <c r="I271" s="176">
        <f t="shared" si="410"/>
        <v>0</v>
      </c>
      <c r="J271" s="182">
        <f t="shared" si="416"/>
        <v>0</v>
      </c>
      <c r="K271" s="182">
        <f t="shared" si="422"/>
        <v>0</v>
      </c>
      <c r="L271" s="182">
        <f t="shared" si="428"/>
        <v>0</v>
      </c>
      <c r="M271" s="182">
        <f t="shared" si="434"/>
        <v>0</v>
      </c>
      <c r="N271" s="182">
        <f t="shared" si="440"/>
        <v>0</v>
      </c>
      <c r="O271" s="182">
        <f t="shared" si="446"/>
        <v>0</v>
      </c>
      <c r="P271" s="182">
        <f t="shared" si="452"/>
        <v>0</v>
      </c>
      <c r="Q271" s="182">
        <f t="shared" si="458"/>
        <v>0</v>
      </c>
      <c r="R271" s="182">
        <f t="shared" si="464"/>
        <v>0</v>
      </c>
      <c r="S271" s="182">
        <f t="shared" si="470"/>
        <v>0</v>
      </c>
      <c r="T271" s="182">
        <f t="shared" si="476"/>
        <v>0</v>
      </c>
      <c r="U271" s="182">
        <f t="shared" si="482"/>
        <v>0</v>
      </c>
      <c r="V271" s="182">
        <f t="shared" si="488"/>
        <v>0</v>
      </c>
      <c r="W271" s="182">
        <f t="shared" si="494"/>
        <v>0</v>
      </c>
      <c r="X271" s="182">
        <f t="shared" si="500"/>
        <v>0</v>
      </c>
      <c r="Y271" s="182">
        <f t="shared" si="505"/>
        <v>0</v>
      </c>
      <c r="Z271" s="182">
        <f t="shared" si="510"/>
        <v>0</v>
      </c>
      <c r="AA271" s="182">
        <f t="shared" si="515"/>
        <v>0</v>
      </c>
      <c r="AB271" s="182">
        <f t="shared" si="520"/>
        <v>0</v>
      </c>
      <c r="AC271" s="182">
        <f t="shared" si="525"/>
        <v>0</v>
      </c>
      <c r="AD271" s="182">
        <f t="shared" si="530"/>
        <v>0</v>
      </c>
      <c r="AE271" s="182">
        <f t="shared" si="535"/>
        <v>0</v>
      </c>
      <c r="AF271" s="182">
        <f t="shared" si="540"/>
        <v>0</v>
      </c>
      <c r="AG271" s="182">
        <f t="shared" si="545"/>
        <v>0</v>
      </c>
      <c r="AH271" s="182">
        <f t="shared" ref="AH271:AH302" si="550">AH104*AH$168</f>
        <v>0</v>
      </c>
      <c r="AI271" s="182">
        <f t="shared" si="375"/>
        <v>0</v>
      </c>
      <c r="AJ271" s="182">
        <f t="shared" si="381"/>
        <v>0</v>
      </c>
      <c r="AK271" s="182">
        <f t="shared" si="387"/>
        <v>0</v>
      </c>
      <c r="AL271" s="182">
        <f t="shared" si="393"/>
        <v>0</v>
      </c>
      <c r="AM271" s="182">
        <f t="shared" si="399"/>
        <v>0</v>
      </c>
      <c r="AN271" s="182">
        <f t="shared" si="405"/>
        <v>0</v>
      </c>
      <c r="AO271" s="182">
        <f t="shared" si="411"/>
        <v>0</v>
      </c>
      <c r="AP271" s="182">
        <f t="shared" si="417"/>
        <v>0</v>
      </c>
      <c r="AQ271" s="182">
        <f t="shared" si="423"/>
        <v>0</v>
      </c>
      <c r="AR271" s="182">
        <f t="shared" si="429"/>
        <v>0</v>
      </c>
      <c r="AS271" s="182">
        <f t="shared" si="435"/>
        <v>0</v>
      </c>
      <c r="AT271" s="182">
        <f t="shared" si="441"/>
        <v>0</v>
      </c>
      <c r="AU271" s="182">
        <f t="shared" si="447"/>
        <v>0</v>
      </c>
      <c r="AV271" s="182">
        <f t="shared" si="453"/>
        <v>0</v>
      </c>
      <c r="AW271" s="182">
        <f t="shared" si="459"/>
        <v>0</v>
      </c>
      <c r="AX271" s="182">
        <f t="shared" si="465"/>
        <v>0</v>
      </c>
      <c r="AY271" s="182">
        <f t="shared" si="471"/>
        <v>0</v>
      </c>
      <c r="AZ271" s="182">
        <f t="shared" si="477"/>
        <v>0</v>
      </c>
      <c r="BA271" s="182">
        <f t="shared" si="483"/>
        <v>0</v>
      </c>
      <c r="BB271" s="182">
        <f t="shared" si="489"/>
        <v>0</v>
      </c>
      <c r="BC271" s="182">
        <f t="shared" si="495"/>
        <v>0</v>
      </c>
      <c r="BD271" s="182">
        <f t="shared" si="501"/>
        <v>0</v>
      </c>
      <c r="BE271" s="182">
        <f t="shared" si="506"/>
        <v>0</v>
      </c>
      <c r="BF271" s="182">
        <f t="shared" si="511"/>
        <v>0</v>
      </c>
      <c r="BG271" s="182">
        <f t="shared" si="516"/>
        <v>0</v>
      </c>
      <c r="BH271" s="182">
        <f t="shared" si="521"/>
        <v>0</v>
      </c>
      <c r="BI271" s="182">
        <f t="shared" si="526"/>
        <v>0</v>
      </c>
      <c r="BJ271" s="182">
        <f t="shared" si="531"/>
        <v>0</v>
      </c>
      <c r="BK271" s="182">
        <f t="shared" si="536"/>
        <v>0</v>
      </c>
      <c r="BL271" s="182">
        <f t="shared" si="541"/>
        <v>6864.4976931460942</v>
      </c>
      <c r="BM271" s="182">
        <f t="shared" si="546"/>
        <v>0</v>
      </c>
      <c r="BN271" s="182">
        <f t="shared" ref="BN271:BN302" si="551">BN104*BN$168</f>
        <v>0</v>
      </c>
      <c r="BO271" s="182">
        <f t="shared" si="376"/>
        <v>0</v>
      </c>
      <c r="BP271" s="182">
        <f t="shared" si="382"/>
        <v>0</v>
      </c>
      <c r="BQ271" s="182">
        <f t="shared" si="388"/>
        <v>0</v>
      </c>
      <c r="BR271" s="182">
        <f t="shared" si="394"/>
        <v>0</v>
      </c>
      <c r="BS271" s="182">
        <f t="shared" si="400"/>
        <v>0</v>
      </c>
      <c r="BT271" s="182">
        <f t="shared" si="406"/>
        <v>0</v>
      </c>
      <c r="BU271" s="182">
        <f t="shared" si="412"/>
        <v>0</v>
      </c>
      <c r="BV271" s="182">
        <f t="shared" si="418"/>
        <v>0</v>
      </c>
      <c r="BW271" s="182">
        <f t="shared" si="424"/>
        <v>0</v>
      </c>
      <c r="BX271" s="182">
        <f t="shared" si="430"/>
        <v>0</v>
      </c>
      <c r="BY271" s="182">
        <f t="shared" si="436"/>
        <v>0</v>
      </c>
      <c r="BZ271" s="182">
        <f t="shared" si="442"/>
        <v>0</v>
      </c>
      <c r="CA271" s="182">
        <f t="shared" si="448"/>
        <v>0</v>
      </c>
      <c r="CB271" s="182">
        <f t="shared" si="454"/>
        <v>0</v>
      </c>
      <c r="CC271" s="182">
        <f t="shared" si="460"/>
        <v>0</v>
      </c>
      <c r="CD271" s="182">
        <f t="shared" si="466"/>
        <v>0</v>
      </c>
      <c r="CE271" s="182">
        <f t="shared" si="472"/>
        <v>0</v>
      </c>
      <c r="CF271" s="182">
        <f t="shared" si="478"/>
        <v>0</v>
      </c>
      <c r="CG271" s="182">
        <f t="shared" si="484"/>
        <v>0</v>
      </c>
      <c r="CH271" s="182">
        <f t="shared" si="490"/>
        <v>0</v>
      </c>
      <c r="CI271" s="182">
        <f t="shared" si="496"/>
        <v>0</v>
      </c>
      <c r="CJ271" s="182">
        <f t="shared" si="502"/>
        <v>0</v>
      </c>
      <c r="CK271" s="182">
        <f t="shared" si="507"/>
        <v>0</v>
      </c>
      <c r="CL271" s="182">
        <f t="shared" si="512"/>
        <v>0</v>
      </c>
      <c r="CM271" s="182">
        <f t="shared" si="517"/>
        <v>0</v>
      </c>
      <c r="CN271" s="182">
        <f t="shared" si="522"/>
        <v>0.30358703277494531</v>
      </c>
      <c r="CO271" s="182">
        <f t="shared" si="527"/>
        <v>0</v>
      </c>
      <c r="CP271" s="182">
        <f t="shared" si="532"/>
        <v>0</v>
      </c>
      <c r="CQ271" s="182">
        <f t="shared" si="537"/>
        <v>0.15935951769988144</v>
      </c>
      <c r="CR271" s="182">
        <f t="shared" si="542"/>
        <v>0</v>
      </c>
      <c r="CS271" s="182">
        <f t="shared" si="547"/>
        <v>0</v>
      </c>
      <c r="CT271" s="182">
        <f t="shared" ref="CT271:CT302" si="552">CT104*CT$168</f>
        <v>2.7862528789697472E-3</v>
      </c>
      <c r="CU271" s="181">
        <f>$C271+SUM($D271:CT271,CV271:$FB271)-SUM(CU$176:CU270,CU272:CU$330)-CU$331</f>
        <v>-5.8207660913467407E-11</v>
      </c>
      <c r="CV271" s="176">
        <f t="shared" ref="CV271:EA271" si="553">CV104*CV$168</f>
        <v>0</v>
      </c>
      <c r="CW271" s="176">
        <f t="shared" si="553"/>
        <v>0</v>
      </c>
      <c r="CX271" s="176">
        <f t="shared" si="553"/>
        <v>0</v>
      </c>
      <c r="CY271" s="176">
        <f t="shared" si="553"/>
        <v>282300.95229471667</v>
      </c>
      <c r="CZ271" s="176">
        <f t="shared" si="553"/>
        <v>0</v>
      </c>
      <c r="DA271" s="176">
        <f t="shared" si="553"/>
        <v>0</v>
      </c>
      <c r="DB271" s="176">
        <f t="shared" si="553"/>
        <v>0</v>
      </c>
      <c r="DC271" s="176">
        <f t="shared" si="553"/>
        <v>0</v>
      </c>
      <c r="DD271" s="176">
        <f t="shared" si="553"/>
        <v>0</v>
      </c>
      <c r="DE271" s="176">
        <f t="shared" si="553"/>
        <v>0</v>
      </c>
      <c r="DF271" s="176">
        <f t="shared" si="553"/>
        <v>0</v>
      </c>
      <c r="DG271" s="176">
        <f t="shared" si="553"/>
        <v>0.23340831403602288</v>
      </c>
      <c r="DH271" s="176">
        <f t="shared" si="553"/>
        <v>0</v>
      </c>
      <c r="DI271" s="176">
        <f t="shared" si="553"/>
        <v>0</v>
      </c>
      <c r="DJ271" s="176">
        <f t="shared" si="553"/>
        <v>0</v>
      </c>
      <c r="DK271" s="176">
        <f t="shared" si="553"/>
        <v>0</v>
      </c>
      <c r="DL271" s="176">
        <f t="shared" si="553"/>
        <v>0</v>
      </c>
      <c r="DM271" s="176">
        <f t="shared" si="553"/>
        <v>0</v>
      </c>
      <c r="DN271" s="176">
        <f t="shared" si="553"/>
        <v>0</v>
      </c>
      <c r="DO271" s="176">
        <f t="shared" si="553"/>
        <v>0</v>
      </c>
      <c r="DP271" s="176">
        <f t="shared" si="553"/>
        <v>0</v>
      </c>
      <c r="DQ271" s="176">
        <f t="shared" si="553"/>
        <v>0</v>
      </c>
      <c r="DR271" s="176">
        <f t="shared" si="553"/>
        <v>0</v>
      </c>
      <c r="DS271" s="176">
        <f t="shared" si="553"/>
        <v>0</v>
      </c>
      <c r="DT271" s="176">
        <f t="shared" si="553"/>
        <v>0</v>
      </c>
      <c r="DU271" s="176">
        <f t="shared" si="553"/>
        <v>0</v>
      </c>
      <c r="DV271" s="176">
        <f t="shared" si="553"/>
        <v>0</v>
      </c>
      <c r="DW271" s="176">
        <f t="shared" si="553"/>
        <v>0</v>
      </c>
      <c r="DX271" s="176">
        <f t="shared" si="553"/>
        <v>0</v>
      </c>
      <c r="DY271" s="176">
        <f t="shared" si="553"/>
        <v>0</v>
      </c>
      <c r="DZ271" s="176">
        <f t="shared" si="553"/>
        <v>0</v>
      </c>
      <c r="EA271" s="176">
        <f t="shared" si="553"/>
        <v>0</v>
      </c>
      <c r="EB271" s="176">
        <f t="shared" ref="EB271:FB271" si="554">EB104*EB$168</f>
        <v>0</v>
      </c>
      <c r="EC271" s="176">
        <f t="shared" si="554"/>
        <v>0</v>
      </c>
      <c r="ED271" s="176">
        <f t="shared" si="554"/>
        <v>0</v>
      </c>
      <c r="EE271" s="176">
        <f t="shared" si="554"/>
        <v>0</v>
      </c>
      <c r="EF271" s="182">
        <f t="shared" si="554"/>
        <v>0</v>
      </c>
      <c r="EG271" s="182">
        <f t="shared" si="554"/>
        <v>0</v>
      </c>
      <c r="EH271" s="182">
        <f t="shared" si="554"/>
        <v>0</v>
      </c>
      <c r="EI271" s="182">
        <f t="shared" si="554"/>
        <v>0</v>
      </c>
      <c r="EJ271" s="182">
        <f t="shared" si="554"/>
        <v>0</v>
      </c>
      <c r="EK271" s="182">
        <f t="shared" si="554"/>
        <v>0</v>
      </c>
      <c r="EL271" s="182">
        <f t="shared" si="554"/>
        <v>0</v>
      </c>
      <c r="EM271" s="182">
        <f t="shared" si="554"/>
        <v>0</v>
      </c>
      <c r="EN271" s="182">
        <f t="shared" si="554"/>
        <v>0</v>
      </c>
      <c r="EO271" s="182">
        <f t="shared" si="554"/>
        <v>43826.799044355626</v>
      </c>
      <c r="EP271" s="182">
        <f t="shared" si="554"/>
        <v>0</v>
      </c>
      <c r="EQ271" s="182">
        <f t="shared" si="554"/>
        <v>0</v>
      </c>
      <c r="ER271" s="182">
        <f t="shared" si="554"/>
        <v>0</v>
      </c>
      <c r="ES271" s="182">
        <f t="shared" si="554"/>
        <v>0</v>
      </c>
      <c r="ET271" s="182">
        <f t="shared" si="554"/>
        <v>0</v>
      </c>
      <c r="EU271" s="182">
        <f t="shared" si="554"/>
        <v>0</v>
      </c>
      <c r="EV271" s="182">
        <f t="shared" si="554"/>
        <v>0</v>
      </c>
      <c r="EW271" s="182">
        <f t="shared" si="554"/>
        <v>0</v>
      </c>
      <c r="EX271" s="182">
        <f t="shared" si="554"/>
        <v>0</v>
      </c>
      <c r="EY271" s="182">
        <f t="shared" si="554"/>
        <v>0</v>
      </c>
      <c r="EZ271" s="182">
        <f t="shared" si="554"/>
        <v>0</v>
      </c>
      <c r="FA271" s="182">
        <f t="shared" si="554"/>
        <v>0</v>
      </c>
      <c r="FB271" s="183">
        <f t="shared" si="554"/>
        <v>0</v>
      </c>
    </row>
    <row r="272" spans="2:158" ht="12.75" customHeight="1" x14ac:dyDescent="0.3">
      <c r="B272" s="199" t="s">
        <v>3915</v>
      </c>
      <c r="C272" s="193">
        <v>0</v>
      </c>
      <c r="D272" s="182">
        <f t="shared" si="380"/>
        <v>0</v>
      </c>
      <c r="E272" s="182">
        <f t="shared" si="386"/>
        <v>0</v>
      </c>
      <c r="F272" s="182">
        <f t="shared" si="392"/>
        <v>0</v>
      </c>
      <c r="G272" s="182">
        <f t="shared" si="398"/>
        <v>0</v>
      </c>
      <c r="H272" s="182">
        <f t="shared" si="404"/>
        <v>0</v>
      </c>
      <c r="I272" s="176">
        <f t="shared" si="410"/>
        <v>0</v>
      </c>
      <c r="J272" s="182">
        <f t="shared" si="416"/>
        <v>0</v>
      </c>
      <c r="K272" s="182">
        <f t="shared" si="422"/>
        <v>0</v>
      </c>
      <c r="L272" s="182">
        <f t="shared" si="428"/>
        <v>0</v>
      </c>
      <c r="M272" s="182">
        <f t="shared" si="434"/>
        <v>0</v>
      </c>
      <c r="N272" s="182">
        <f t="shared" si="440"/>
        <v>0</v>
      </c>
      <c r="O272" s="182">
        <f t="shared" si="446"/>
        <v>0</v>
      </c>
      <c r="P272" s="182">
        <f t="shared" si="452"/>
        <v>0</v>
      </c>
      <c r="Q272" s="182">
        <f t="shared" si="458"/>
        <v>0</v>
      </c>
      <c r="R272" s="182">
        <f t="shared" si="464"/>
        <v>0</v>
      </c>
      <c r="S272" s="182">
        <f t="shared" si="470"/>
        <v>0</v>
      </c>
      <c r="T272" s="182">
        <f t="shared" si="476"/>
        <v>0</v>
      </c>
      <c r="U272" s="182">
        <f t="shared" si="482"/>
        <v>0</v>
      </c>
      <c r="V272" s="182">
        <f t="shared" si="488"/>
        <v>0</v>
      </c>
      <c r="W272" s="182">
        <f t="shared" si="494"/>
        <v>0</v>
      </c>
      <c r="X272" s="182">
        <f t="shared" si="500"/>
        <v>0</v>
      </c>
      <c r="Y272" s="182">
        <f t="shared" si="505"/>
        <v>0</v>
      </c>
      <c r="Z272" s="182">
        <f t="shared" si="510"/>
        <v>0</v>
      </c>
      <c r="AA272" s="182">
        <f t="shared" si="515"/>
        <v>0</v>
      </c>
      <c r="AB272" s="182">
        <f t="shared" si="520"/>
        <v>0</v>
      </c>
      <c r="AC272" s="182">
        <f t="shared" si="525"/>
        <v>0</v>
      </c>
      <c r="AD272" s="182">
        <f t="shared" si="530"/>
        <v>0</v>
      </c>
      <c r="AE272" s="182">
        <f t="shared" si="535"/>
        <v>0</v>
      </c>
      <c r="AF272" s="182">
        <f t="shared" si="540"/>
        <v>0</v>
      </c>
      <c r="AG272" s="182">
        <f t="shared" si="545"/>
        <v>0</v>
      </c>
      <c r="AH272" s="182">
        <f t="shared" si="550"/>
        <v>0</v>
      </c>
      <c r="AI272" s="182">
        <f t="shared" ref="AI272:AI303" si="555">AI105*AI$168</f>
        <v>0</v>
      </c>
      <c r="AJ272" s="182">
        <f t="shared" si="381"/>
        <v>0</v>
      </c>
      <c r="AK272" s="182">
        <f t="shared" si="387"/>
        <v>0</v>
      </c>
      <c r="AL272" s="182">
        <f t="shared" si="393"/>
        <v>0</v>
      </c>
      <c r="AM272" s="182">
        <f t="shared" si="399"/>
        <v>0</v>
      </c>
      <c r="AN272" s="182">
        <f t="shared" si="405"/>
        <v>0</v>
      </c>
      <c r="AO272" s="182">
        <f t="shared" si="411"/>
        <v>0</v>
      </c>
      <c r="AP272" s="182">
        <f t="shared" si="417"/>
        <v>0</v>
      </c>
      <c r="AQ272" s="182">
        <f t="shared" si="423"/>
        <v>0</v>
      </c>
      <c r="AR272" s="182">
        <f t="shared" si="429"/>
        <v>0</v>
      </c>
      <c r="AS272" s="182">
        <f t="shared" si="435"/>
        <v>0</v>
      </c>
      <c r="AT272" s="182">
        <f t="shared" si="441"/>
        <v>0</v>
      </c>
      <c r="AU272" s="182">
        <f t="shared" si="447"/>
        <v>0</v>
      </c>
      <c r="AV272" s="182">
        <f t="shared" si="453"/>
        <v>0</v>
      </c>
      <c r="AW272" s="182">
        <f t="shared" si="459"/>
        <v>0</v>
      </c>
      <c r="AX272" s="182">
        <f t="shared" si="465"/>
        <v>0</v>
      </c>
      <c r="AY272" s="182">
        <f t="shared" si="471"/>
        <v>0</v>
      </c>
      <c r="AZ272" s="182">
        <f t="shared" si="477"/>
        <v>0</v>
      </c>
      <c r="BA272" s="182">
        <f t="shared" si="483"/>
        <v>0</v>
      </c>
      <c r="BB272" s="182">
        <f t="shared" si="489"/>
        <v>0</v>
      </c>
      <c r="BC272" s="182">
        <f t="shared" si="495"/>
        <v>0</v>
      </c>
      <c r="BD272" s="182">
        <f t="shared" si="501"/>
        <v>0</v>
      </c>
      <c r="BE272" s="182">
        <f t="shared" si="506"/>
        <v>0</v>
      </c>
      <c r="BF272" s="182">
        <f t="shared" si="511"/>
        <v>0</v>
      </c>
      <c r="BG272" s="182">
        <f t="shared" si="516"/>
        <v>0</v>
      </c>
      <c r="BH272" s="182">
        <f t="shared" si="521"/>
        <v>0</v>
      </c>
      <c r="BI272" s="182">
        <f t="shared" si="526"/>
        <v>0</v>
      </c>
      <c r="BJ272" s="182">
        <f t="shared" si="531"/>
        <v>0</v>
      </c>
      <c r="BK272" s="182">
        <f t="shared" si="536"/>
        <v>0</v>
      </c>
      <c r="BL272" s="182">
        <f t="shared" si="541"/>
        <v>0</v>
      </c>
      <c r="BM272" s="182">
        <f t="shared" si="546"/>
        <v>9.3942120853656025E-2</v>
      </c>
      <c r="BN272" s="182">
        <f t="shared" si="551"/>
        <v>0</v>
      </c>
      <c r="BO272" s="182">
        <f t="shared" ref="BO272:BO303" si="556">BO105*BO$168</f>
        <v>0</v>
      </c>
      <c r="BP272" s="182">
        <f t="shared" si="382"/>
        <v>0</v>
      </c>
      <c r="BQ272" s="182">
        <f t="shared" si="388"/>
        <v>0</v>
      </c>
      <c r="BR272" s="182">
        <f t="shared" si="394"/>
        <v>0</v>
      </c>
      <c r="BS272" s="182">
        <f t="shared" si="400"/>
        <v>0</v>
      </c>
      <c r="BT272" s="182">
        <f t="shared" si="406"/>
        <v>0</v>
      </c>
      <c r="BU272" s="182">
        <f t="shared" si="412"/>
        <v>0</v>
      </c>
      <c r="BV272" s="182">
        <f t="shared" si="418"/>
        <v>0</v>
      </c>
      <c r="BW272" s="182">
        <f t="shared" si="424"/>
        <v>0</v>
      </c>
      <c r="BX272" s="182">
        <f t="shared" si="430"/>
        <v>0</v>
      </c>
      <c r="BY272" s="182">
        <f t="shared" si="436"/>
        <v>0</v>
      </c>
      <c r="BZ272" s="182">
        <f t="shared" si="442"/>
        <v>0</v>
      </c>
      <c r="CA272" s="182">
        <f t="shared" si="448"/>
        <v>0</v>
      </c>
      <c r="CB272" s="182">
        <f t="shared" si="454"/>
        <v>0</v>
      </c>
      <c r="CC272" s="182">
        <f t="shared" si="460"/>
        <v>0</v>
      </c>
      <c r="CD272" s="182">
        <f t="shared" si="466"/>
        <v>0</v>
      </c>
      <c r="CE272" s="182">
        <f t="shared" si="472"/>
        <v>0</v>
      </c>
      <c r="CF272" s="182">
        <f t="shared" si="478"/>
        <v>0</v>
      </c>
      <c r="CG272" s="182">
        <f t="shared" si="484"/>
        <v>0</v>
      </c>
      <c r="CH272" s="182">
        <f t="shared" si="490"/>
        <v>0</v>
      </c>
      <c r="CI272" s="182">
        <f t="shared" si="496"/>
        <v>0</v>
      </c>
      <c r="CJ272" s="182">
        <f t="shared" si="502"/>
        <v>0</v>
      </c>
      <c r="CK272" s="182">
        <f t="shared" si="507"/>
        <v>0</v>
      </c>
      <c r="CL272" s="182">
        <f t="shared" si="512"/>
        <v>0</v>
      </c>
      <c r="CM272" s="182">
        <f t="shared" si="517"/>
        <v>0</v>
      </c>
      <c r="CN272" s="182">
        <f t="shared" si="522"/>
        <v>0</v>
      </c>
      <c r="CO272" s="182">
        <f t="shared" si="527"/>
        <v>5.0736637681364863E-7</v>
      </c>
      <c r="CP272" s="182">
        <f t="shared" si="532"/>
        <v>0</v>
      </c>
      <c r="CQ272" s="182">
        <f t="shared" si="537"/>
        <v>0</v>
      </c>
      <c r="CR272" s="182">
        <f t="shared" si="542"/>
        <v>3.7539780697469021E-5</v>
      </c>
      <c r="CS272" s="182">
        <f t="shared" si="547"/>
        <v>0</v>
      </c>
      <c r="CT272" s="182">
        <f t="shared" si="552"/>
        <v>3.1004289886291529E-5</v>
      </c>
      <c r="CU272" s="182">
        <f t="shared" ref="CU272:CU303" si="557">CU105*CU$168</f>
        <v>0</v>
      </c>
      <c r="CV272" s="181">
        <f>$C272+SUM($D272:CU272,CW272:$FB272)-SUM(CV$176:CV271,CV273:CV$330)-CV$331</f>
        <v>-1.7763568394002505E-15</v>
      </c>
      <c r="CW272" s="176">
        <f t="shared" ref="CW272:EB272" si="558">CW105*CW$168</f>
        <v>0</v>
      </c>
      <c r="CX272" s="176">
        <f t="shared" si="558"/>
        <v>0</v>
      </c>
      <c r="CY272" s="176">
        <f t="shared" si="558"/>
        <v>0</v>
      </c>
      <c r="CZ272" s="176">
        <f t="shared" si="558"/>
        <v>7.0813448422988969</v>
      </c>
      <c r="DA272" s="176">
        <f t="shared" si="558"/>
        <v>0</v>
      </c>
      <c r="DB272" s="176">
        <f t="shared" si="558"/>
        <v>0</v>
      </c>
      <c r="DC272" s="176">
        <f t="shared" si="558"/>
        <v>0</v>
      </c>
      <c r="DD272" s="176">
        <f t="shared" si="558"/>
        <v>0</v>
      </c>
      <c r="DE272" s="176">
        <f t="shared" si="558"/>
        <v>0</v>
      </c>
      <c r="DF272" s="176">
        <f t="shared" si="558"/>
        <v>0</v>
      </c>
      <c r="DG272" s="176">
        <f t="shared" si="558"/>
        <v>0</v>
      </c>
      <c r="DH272" s="176">
        <f t="shared" si="558"/>
        <v>4.615955305981819E-4</v>
      </c>
      <c r="DI272" s="176">
        <f t="shared" si="558"/>
        <v>0</v>
      </c>
      <c r="DJ272" s="176">
        <f t="shared" si="558"/>
        <v>0</v>
      </c>
      <c r="DK272" s="176">
        <f t="shared" si="558"/>
        <v>0</v>
      </c>
      <c r="DL272" s="176">
        <f t="shared" si="558"/>
        <v>0</v>
      </c>
      <c r="DM272" s="176">
        <f t="shared" si="558"/>
        <v>0</v>
      </c>
      <c r="DN272" s="176">
        <f t="shared" si="558"/>
        <v>0</v>
      </c>
      <c r="DO272" s="176">
        <f t="shared" si="558"/>
        <v>0</v>
      </c>
      <c r="DP272" s="176">
        <f t="shared" si="558"/>
        <v>0</v>
      </c>
      <c r="DQ272" s="176">
        <f t="shared" si="558"/>
        <v>0</v>
      </c>
      <c r="DR272" s="176">
        <f t="shared" si="558"/>
        <v>0</v>
      </c>
      <c r="DS272" s="176">
        <f t="shared" si="558"/>
        <v>0</v>
      </c>
      <c r="DT272" s="176">
        <f t="shared" si="558"/>
        <v>0</v>
      </c>
      <c r="DU272" s="176">
        <f t="shared" si="558"/>
        <v>0</v>
      </c>
      <c r="DV272" s="176">
        <f t="shared" si="558"/>
        <v>0</v>
      </c>
      <c r="DW272" s="176">
        <f t="shared" si="558"/>
        <v>0</v>
      </c>
      <c r="DX272" s="176">
        <f t="shared" si="558"/>
        <v>0</v>
      </c>
      <c r="DY272" s="176">
        <f t="shared" si="558"/>
        <v>0</v>
      </c>
      <c r="DZ272" s="176">
        <f t="shared" si="558"/>
        <v>0</v>
      </c>
      <c r="EA272" s="176">
        <f t="shared" si="558"/>
        <v>0</v>
      </c>
      <c r="EB272" s="176">
        <f t="shared" si="558"/>
        <v>0</v>
      </c>
      <c r="EC272" s="176">
        <f t="shared" ref="EC272:FB272" si="559">EC105*EC$168</f>
        <v>0</v>
      </c>
      <c r="ED272" s="176">
        <f t="shared" si="559"/>
        <v>0</v>
      </c>
      <c r="EE272" s="176">
        <f t="shared" si="559"/>
        <v>0</v>
      </c>
      <c r="EF272" s="182">
        <f t="shared" si="559"/>
        <v>0</v>
      </c>
      <c r="EG272" s="182">
        <f t="shared" si="559"/>
        <v>0</v>
      </c>
      <c r="EH272" s="182">
        <f t="shared" si="559"/>
        <v>0</v>
      </c>
      <c r="EI272" s="182">
        <f t="shared" si="559"/>
        <v>0</v>
      </c>
      <c r="EJ272" s="182">
        <f t="shared" si="559"/>
        <v>0</v>
      </c>
      <c r="EK272" s="182">
        <f t="shared" si="559"/>
        <v>0</v>
      </c>
      <c r="EL272" s="182">
        <f t="shared" si="559"/>
        <v>0</v>
      </c>
      <c r="EM272" s="182">
        <f t="shared" si="559"/>
        <v>0</v>
      </c>
      <c r="EN272" s="182">
        <f t="shared" si="559"/>
        <v>0</v>
      </c>
      <c r="EO272" s="182">
        <f t="shared" si="559"/>
        <v>0</v>
      </c>
      <c r="EP272" s="182">
        <f t="shared" si="559"/>
        <v>1.0934163178313969</v>
      </c>
      <c r="EQ272" s="182">
        <f t="shared" si="559"/>
        <v>0</v>
      </c>
      <c r="ER272" s="182">
        <f t="shared" si="559"/>
        <v>0</v>
      </c>
      <c r="ES272" s="182">
        <f t="shared" si="559"/>
        <v>0</v>
      </c>
      <c r="ET272" s="182">
        <f t="shared" si="559"/>
        <v>0</v>
      </c>
      <c r="EU272" s="182">
        <f t="shared" si="559"/>
        <v>0</v>
      </c>
      <c r="EV272" s="182">
        <f t="shared" si="559"/>
        <v>0</v>
      </c>
      <c r="EW272" s="182">
        <f t="shared" si="559"/>
        <v>0</v>
      </c>
      <c r="EX272" s="182">
        <f t="shared" si="559"/>
        <v>0</v>
      </c>
      <c r="EY272" s="182">
        <f t="shared" si="559"/>
        <v>0</v>
      </c>
      <c r="EZ272" s="182">
        <f t="shared" si="559"/>
        <v>0</v>
      </c>
      <c r="FA272" s="182">
        <f t="shared" si="559"/>
        <v>0</v>
      </c>
      <c r="FB272" s="183">
        <f t="shared" si="559"/>
        <v>0</v>
      </c>
    </row>
    <row r="273" spans="2:158" ht="12.75" customHeight="1" x14ac:dyDescent="0.3">
      <c r="B273" s="199" t="s">
        <v>3916</v>
      </c>
      <c r="C273" s="193">
        <v>0</v>
      </c>
      <c r="D273" s="182">
        <f t="shared" ref="D273:D304" si="560">D106*D$168</f>
        <v>0</v>
      </c>
      <c r="E273" s="182">
        <f t="shared" si="386"/>
        <v>0</v>
      </c>
      <c r="F273" s="182">
        <f t="shared" si="392"/>
        <v>0</v>
      </c>
      <c r="G273" s="182">
        <f t="shared" si="398"/>
        <v>0</v>
      </c>
      <c r="H273" s="182">
        <f t="shared" si="404"/>
        <v>0</v>
      </c>
      <c r="I273" s="176">
        <f t="shared" si="410"/>
        <v>0</v>
      </c>
      <c r="J273" s="182">
        <f t="shared" si="416"/>
        <v>0</v>
      </c>
      <c r="K273" s="182">
        <f t="shared" si="422"/>
        <v>0</v>
      </c>
      <c r="L273" s="182">
        <f t="shared" si="428"/>
        <v>0</v>
      </c>
      <c r="M273" s="182">
        <f t="shared" si="434"/>
        <v>0</v>
      </c>
      <c r="N273" s="182">
        <f t="shared" si="440"/>
        <v>0</v>
      </c>
      <c r="O273" s="182">
        <f t="shared" si="446"/>
        <v>0</v>
      </c>
      <c r="P273" s="182">
        <f t="shared" si="452"/>
        <v>0</v>
      </c>
      <c r="Q273" s="182">
        <f t="shared" si="458"/>
        <v>0</v>
      </c>
      <c r="R273" s="182">
        <f t="shared" si="464"/>
        <v>0</v>
      </c>
      <c r="S273" s="182">
        <f t="shared" si="470"/>
        <v>0</v>
      </c>
      <c r="T273" s="182">
        <f t="shared" si="476"/>
        <v>0</v>
      </c>
      <c r="U273" s="182">
        <f t="shared" si="482"/>
        <v>0</v>
      </c>
      <c r="V273" s="182">
        <f t="shared" si="488"/>
        <v>0</v>
      </c>
      <c r="W273" s="182">
        <f t="shared" si="494"/>
        <v>0</v>
      </c>
      <c r="X273" s="182">
        <f t="shared" si="500"/>
        <v>0</v>
      </c>
      <c r="Y273" s="182">
        <f t="shared" si="505"/>
        <v>0</v>
      </c>
      <c r="Z273" s="182">
        <f t="shared" si="510"/>
        <v>0</v>
      </c>
      <c r="AA273" s="182">
        <f t="shared" si="515"/>
        <v>0</v>
      </c>
      <c r="AB273" s="182">
        <f t="shared" si="520"/>
        <v>0</v>
      </c>
      <c r="AC273" s="182">
        <f t="shared" si="525"/>
        <v>0</v>
      </c>
      <c r="AD273" s="182">
        <f t="shared" si="530"/>
        <v>0</v>
      </c>
      <c r="AE273" s="182">
        <f t="shared" si="535"/>
        <v>0</v>
      </c>
      <c r="AF273" s="182">
        <f t="shared" si="540"/>
        <v>0</v>
      </c>
      <c r="AG273" s="182">
        <f t="shared" si="545"/>
        <v>0</v>
      </c>
      <c r="AH273" s="182">
        <f t="shared" si="550"/>
        <v>0</v>
      </c>
      <c r="AI273" s="182">
        <f t="shared" si="555"/>
        <v>0</v>
      </c>
      <c r="AJ273" s="182">
        <f t="shared" ref="AJ273:AJ304" si="561">AJ106*AJ$168</f>
        <v>0</v>
      </c>
      <c r="AK273" s="182">
        <f t="shared" si="387"/>
        <v>0</v>
      </c>
      <c r="AL273" s="182">
        <f t="shared" si="393"/>
        <v>0</v>
      </c>
      <c r="AM273" s="182">
        <f t="shared" si="399"/>
        <v>0</v>
      </c>
      <c r="AN273" s="182">
        <f t="shared" si="405"/>
        <v>0</v>
      </c>
      <c r="AO273" s="182">
        <f t="shared" si="411"/>
        <v>0</v>
      </c>
      <c r="AP273" s="182">
        <f t="shared" si="417"/>
        <v>0</v>
      </c>
      <c r="AQ273" s="182">
        <f t="shared" si="423"/>
        <v>0</v>
      </c>
      <c r="AR273" s="182">
        <f t="shared" si="429"/>
        <v>0</v>
      </c>
      <c r="AS273" s="182">
        <f t="shared" si="435"/>
        <v>0</v>
      </c>
      <c r="AT273" s="182">
        <f t="shared" si="441"/>
        <v>0</v>
      </c>
      <c r="AU273" s="182">
        <f t="shared" si="447"/>
        <v>0</v>
      </c>
      <c r="AV273" s="182">
        <f t="shared" si="453"/>
        <v>0</v>
      </c>
      <c r="AW273" s="182">
        <f t="shared" si="459"/>
        <v>0</v>
      </c>
      <c r="AX273" s="182">
        <f t="shared" si="465"/>
        <v>0</v>
      </c>
      <c r="AY273" s="182">
        <f t="shared" si="471"/>
        <v>0</v>
      </c>
      <c r="AZ273" s="182">
        <f t="shared" si="477"/>
        <v>0</v>
      </c>
      <c r="BA273" s="182">
        <f t="shared" si="483"/>
        <v>0</v>
      </c>
      <c r="BB273" s="182">
        <f t="shared" si="489"/>
        <v>0</v>
      </c>
      <c r="BC273" s="182">
        <f t="shared" si="495"/>
        <v>0</v>
      </c>
      <c r="BD273" s="182">
        <f t="shared" si="501"/>
        <v>0</v>
      </c>
      <c r="BE273" s="182">
        <f t="shared" si="506"/>
        <v>0</v>
      </c>
      <c r="BF273" s="182">
        <f t="shared" si="511"/>
        <v>0</v>
      </c>
      <c r="BG273" s="182">
        <f t="shared" si="516"/>
        <v>0</v>
      </c>
      <c r="BH273" s="182">
        <f t="shared" si="521"/>
        <v>0</v>
      </c>
      <c r="BI273" s="182">
        <f t="shared" si="526"/>
        <v>0</v>
      </c>
      <c r="BJ273" s="182">
        <f t="shared" si="531"/>
        <v>0</v>
      </c>
      <c r="BK273" s="182">
        <f t="shared" si="536"/>
        <v>0</v>
      </c>
      <c r="BL273" s="182">
        <f t="shared" si="541"/>
        <v>0</v>
      </c>
      <c r="BM273" s="182">
        <f t="shared" si="546"/>
        <v>0</v>
      </c>
      <c r="BN273" s="182">
        <f t="shared" si="551"/>
        <v>0</v>
      </c>
      <c r="BO273" s="182">
        <f t="shared" si="556"/>
        <v>0</v>
      </c>
      <c r="BP273" s="182">
        <f t="shared" ref="BP273:BP304" si="562">BP106*BP$168</f>
        <v>0</v>
      </c>
      <c r="BQ273" s="182">
        <f t="shared" si="388"/>
        <v>0</v>
      </c>
      <c r="BR273" s="182">
        <f t="shared" si="394"/>
        <v>0</v>
      </c>
      <c r="BS273" s="182">
        <f t="shared" si="400"/>
        <v>0</v>
      </c>
      <c r="BT273" s="182">
        <f t="shared" si="406"/>
        <v>0</v>
      </c>
      <c r="BU273" s="182">
        <f t="shared" si="412"/>
        <v>0</v>
      </c>
      <c r="BV273" s="182">
        <f t="shared" si="418"/>
        <v>0</v>
      </c>
      <c r="BW273" s="182">
        <f t="shared" si="424"/>
        <v>0</v>
      </c>
      <c r="BX273" s="182">
        <f t="shared" si="430"/>
        <v>0</v>
      </c>
      <c r="BY273" s="182">
        <f t="shared" si="436"/>
        <v>0</v>
      </c>
      <c r="BZ273" s="182">
        <f t="shared" si="442"/>
        <v>0</v>
      </c>
      <c r="CA273" s="182">
        <f t="shared" si="448"/>
        <v>0</v>
      </c>
      <c r="CB273" s="182">
        <f t="shared" si="454"/>
        <v>0</v>
      </c>
      <c r="CC273" s="182">
        <f t="shared" si="460"/>
        <v>0</v>
      </c>
      <c r="CD273" s="182">
        <f t="shared" si="466"/>
        <v>0</v>
      </c>
      <c r="CE273" s="182">
        <f t="shared" si="472"/>
        <v>0</v>
      </c>
      <c r="CF273" s="182">
        <f t="shared" si="478"/>
        <v>0</v>
      </c>
      <c r="CG273" s="182">
        <f t="shared" si="484"/>
        <v>0</v>
      </c>
      <c r="CH273" s="182">
        <f t="shared" si="490"/>
        <v>0</v>
      </c>
      <c r="CI273" s="182">
        <f t="shared" si="496"/>
        <v>0</v>
      </c>
      <c r="CJ273" s="182">
        <f t="shared" si="502"/>
        <v>0</v>
      </c>
      <c r="CK273" s="182">
        <f t="shared" si="507"/>
        <v>0</v>
      </c>
      <c r="CL273" s="182">
        <f t="shared" si="512"/>
        <v>0</v>
      </c>
      <c r="CM273" s="182">
        <f t="shared" si="517"/>
        <v>0</v>
      </c>
      <c r="CN273" s="182">
        <f t="shared" si="522"/>
        <v>0</v>
      </c>
      <c r="CO273" s="182">
        <f t="shared" si="527"/>
        <v>0</v>
      </c>
      <c r="CP273" s="182">
        <f t="shared" si="532"/>
        <v>0</v>
      </c>
      <c r="CQ273" s="182">
        <f t="shared" si="537"/>
        <v>0</v>
      </c>
      <c r="CR273" s="182">
        <f t="shared" si="542"/>
        <v>0</v>
      </c>
      <c r="CS273" s="182">
        <f t="shared" si="547"/>
        <v>0</v>
      </c>
      <c r="CT273" s="182">
        <f t="shared" si="552"/>
        <v>0</v>
      </c>
      <c r="CU273" s="182">
        <f t="shared" si="557"/>
        <v>0</v>
      </c>
      <c r="CV273" s="182">
        <f t="shared" ref="CV273:CV304" si="563">CV106*CV$168</f>
        <v>0</v>
      </c>
      <c r="CW273" s="181">
        <f>$C273+SUM($D273:CV273,CX273:$FB273)-SUM(CW$176:CW272,CW274:CW$330)-CW$331</f>
        <v>0</v>
      </c>
      <c r="CX273" s="176">
        <f t="shared" ref="CX273:EC273" si="564">CX106*CX$168</f>
        <v>0</v>
      </c>
      <c r="CY273" s="176">
        <f t="shared" si="564"/>
        <v>0</v>
      </c>
      <c r="CZ273" s="176">
        <f t="shared" si="564"/>
        <v>0</v>
      </c>
      <c r="DA273" s="176">
        <f t="shared" si="564"/>
        <v>0</v>
      </c>
      <c r="DB273" s="176">
        <f t="shared" si="564"/>
        <v>0</v>
      </c>
      <c r="DC273" s="176">
        <f t="shared" si="564"/>
        <v>0</v>
      </c>
      <c r="DD273" s="176">
        <f t="shared" si="564"/>
        <v>0</v>
      </c>
      <c r="DE273" s="176">
        <f t="shared" si="564"/>
        <v>0</v>
      </c>
      <c r="DF273" s="176">
        <f t="shared" si="564"/>
        <v>0</v>
      </c>
      <c r="DG273" s="176">
        <f t="shared" si="564"/>
        <v>0</v>
      </c>
      <c r="DH273" s="176">
        <f t="shared" si="564"/>
        <v>0</v>
      </c>
      <c r="DI273" s="176">
        <f t="shared" si="564"/>
        <v>0</v>
      </c>
      <c r="DJ273" s="176">
        <f t="shared" si="564"/>
        <v>0</v>
      </c>
      <c r="DK273" s="176">
        <f t="shared" si="564"/>
        <v>0</v>
      </c>
      <c r="DL273" s="176">
        <f t="shared" si="564"/>
        <v>0</v>
      </c>
      <c r="DM273" s="176">
        <f t="shared" si="564"/>
        <v>0</v>
      </c>
      <c r="DN273" s="176">
        <f t="shared" si="564"/>
        <v>0</v>
      </c>
      <c r="DO273" s="176">
        <f t="shared" si="564"/>
        <v>0</v>
      </c>
      <c r="DP273" s="176">
        <f t="shared" si="564"/>
        <v>0</v>
      </c>
      <c r="DQ273" s="176">
        <f t="shared" si="564"/>
        <v>0</v>
      </c>
      <c r="DR273" s="176">
        <f t="shared" si="564"/>
        <v>0</v>
      </c>
      <c r="DS273" s="176">
        <f t="shared" si="564"/>
        <v>0</v>
      </c>
      <c r="DT273" s="176">
        <f t="shared" si="564"/>
        <v>0</v>
      </c>
      <c r="DU273" s="176">
        <f t="shared" si="564"/>
        <v>0</v>
      </c>
      <c r="DV273" s="176">
        <f t="shared" si="564"/>
        <v>0</v>
      </c>
      <c r="DW273" s="176">
        <f t="shared" si="564"/>
        <v>0</v>
      </c>
      <c r="DX273" s="176">
        <f t="shared" si="564"/>
        <v>0</v>
      </c>
      <c r="DY273" s="176">
        <f t="shared" si="564"/>
        <v>0</v>
      </c>
      <c r="DZ273" s="176">
        <f t="shared" si="564"/>
        <v>0</v>
      </c>
      <c r="EA273" s="176">
        <f t="shared" si="564"/>
        <v>0</v>
      </c>
      <c r="EB273" s="176">
        <f t="shared" si="564"/>
        <v>0</v>
      </c>
      <c r="EC273" s="176">
        <f t="shared" si="564"/>
        <v>0</v>
      </c>
      <c r="ED273" s="176">
        <f t="shared" ref="ED273:FB273" si="565">ED106*ED$168</f>
        <v>0</v>
      </c>
      <c r="EE273" s="176">
        <f t="shared" si="565"/>
        <v>0</v>
      </c>
      <c r="EF273" s="182">
        <f t="shared" si="565"/>
        <v>0</v>
      </c>
      <c r="EG273" s="182">
        <f t="shared" si="565"/>
        <v>0</v>
      </c>
      <c r="EH273" s="182">
        <f t="shared" si="565"/>
        <v>0</v>
      </c>
      <c r="EI273" s="182">
        <f t="shared" si="565"/>
        <v>0</v>
      </c>
      <c r="EJ273" s="182">
        <f t="shared" si="565"/>
        <v>0</v>
      </c>
      <c r="EK273" s="182">
        <f t="shared" si="565"/>
        <v>0</v>
      </c>
      <c r="EL273" s="182">
        <f t="shared" si="565"/>
        <v>0</v>
      </c>
      <c r="EM273" s="182">
        <f t="shared" si="565"/>
        <v>0</v>
      </c>
      <c r="EN273" s="182">
        <f t="shared" si="565"/>
        <v>0</v>
      </c>
      <c r="EO273" s="182">
        <f t="shared" si="565"/>
        <v>0</v>
      </c>
      <c r="EP273" s="182">
        <f t="shared" si="565"/>
        <v>0</v>
      </c>
      <c r="EQ273" s="182">
        <f t="shared" si="565"/>
        <v>0</v>
      </c>
      <c r="ER273" s="182">
        <f t="shared" si="565"/>
        <v>0</v>
      </c>
      <c r="ES273" s="182">
        <f t="shared" si="565"/>
        <v>0</v>
      </c>
      <c r="ET273" s="182">
        <f t="shared" si="565"/>
        <v>0</v>
      </c>
      <c r="EU273" s="182">
        <f t="shared" si="565"/>
        <v>0</v>
      </c>
      <c r="EV273" s="182">
        <f t="shared" si="565"/>
        <v>0</v>
      </c>
      <c r="EW273" s="182">
        <f t="shared" si="565"/>
        <v>0</v>
      </c>
      <c r="EX273" s="182">
        <f t="shared" si="565"/>
        <v>0</v>
      </c>
      <c r="EY273" s="182">
        <f t="shared" si="565"/>
        <v>0</v>
      </c>
      <c r="EZ273" s="182">
        <f t="shared" si="565"/>
        <v>0</v>
      </c>
      <c r="FA273" s="182">
        <f t="shared" si="565"/>
        <v>0</v>
      </c>
      <c r="FB273" s="183">
        <f t="shared" si="565"/>
        <v>0</v>
      </c>
    </row>
    <row r="274" spans="2:158" ht="12.75" customHeight="1" x14ac:dyDescent="0.3">
      <c r="B274" s="199" t="s">
        <v>3917</v>
      </c>
      <c r="C274" s="193">
        <v>0</v>
      </c>
      <c r="D274" s="182">
        <f t="shared" si="560"/>
        <v>0</v>
      </c>
      <c r="E274" s="182">
        <f t="shared" ref="E274:E305" si="566">E107*E$168</f>
        <v>0</v>
      </c>
      <c r="F274" s="182">
        <f t="shared" si="392"/>
        <v>0</v>
      </c>
      <c r="G274" s="182">
        <f t="shared" si="398"/>
        <v>0</v>
      </c>
      <c r="H274" s="182">
        <f t="shared" si="404"/>
        <v>0</v>
      </c>
      <c r="I274" s="176">
        <f t="shared" si="410"/>
        <v>0</v>
      </c>
      <c r="J274" s="182">
        <f t="shared" si="416"/>
        <v>0</v>
      </c>
      <c r="K274" s="182">
        <f t="shared" si="422"/>
        <v>0</v>
      </c>
      <c r="L274" s="182">
        <f t="shared" si="428"/>
        <v>0</v>
      </c>
      <c r="M274" s="182">
        <f t="shared" si="434"/>
        <v>0</v>
      </c>
      <c r="N274" s="182">
        <f t="shared" si="440"/>
        <v>0</v>
      </c>
      <c r="O274" s="182">
        <f t="shared" si="446"/>
        <v>0</v>
      </c>
      <c r="P274" s="182">
        <f t="shared" si="452"/>
        <v>0</v>
      </c>
      <c r="Q274" s="182">
        <f t="shared" si="458"/>
        <v>0</v>
      </c>
      <c r="R274" s="182">
        <f t="shared" si="464"/>
        <v>0</v>
      </c>
      <c r="S274" s="182">
        <f t="shared" si="470"/>
        <v>0</v>
      </c>
      <c r="T274" s="182">
        <f t="shared" si="476"/>
        <v>0</v>
      </c>
      <c r="U274" s="182">
        <f t="shared" si="482"/>
        <v>0</v>
      </c>
      <c r="V274" s="182">
        <f t="shared" si="488"/>
        <v>0</v>
      </c>
      <c r="W274" s="182">
        <f t="shared" si="494"/>
        <v>0</v>
      </c>
      <c r="X274" s="182">
        <f t="shared" si="500"/>
        <v>0</v>
      </c>
      <c r="Y274" s="182">
        <f t="shared" si="505"/>
        <v>0</v>
      </c>
      <c r="Z274" s="182">
        <f t="shared" si="510"/>
        <v>0</v>
      </c>
      <c r="AA274" s="182">
        <f t="shared" si="515"/>
        <v>0</v>
      </c>
      <c r="AB274" s="182">
        <f t="shared" si="520"/>
        <v>0</v>
      </c>
      <c r="AC274" s="182">
        <f t="shared" si="525"/>
        <v>0</v>
      </c>
      <c r="AD274" s="182">
        <f t="shared" si="530"/>
        <v>0</v>
      </c>
      <c r="AE274" s="182">
        <f t="shared" si="535"/>
        <v>0</v>
      </c>
      <c r="AF274" s="182">
        <f t="shared" si="540"/>
        <v>0</v>
      </c>
      <c r="AG274" s="182">
        <f t="shared" si="545"/>
        <v>0</v>
      </c>
      <c r="AH274" s="182">
        <f t="shared" si="550"/>
        <v>0</v>
      </c>
      <c r="AI274" s="182">
        <f t="shared" si="555"/>
        <v>0</v>
      </c>
      <c r="AJ274" s="182">
        <f t="shared" si="561"/>
        <v>0</v>
      </c>
      <c r="AK274" s="182">
        <f t="shared" ref="AK274:AK305" si="567">AK107*AK$168</f>
        <v>0</v>
      </c>
      <c r="AL274" s="182">
        <f t="shared" si="393"/>
        <v>0</v>
      </c>
      <c r="AM274" s="182">
        <f t="shared" si="399"/>
        <v>0</v>
      </c>
      <c r="AN274" s="182">
        <f t="shared" si="405"/>
        <v>0</v>
      </c>
      <c r="AO274" s="182">
        <f t="shared" si="411"/>
        <v>0</v>
      </c>
      <c r="AP274" s="182">
        <f t="shared" si="417"/>
        <v>0</v>
      </c>
      <c r="AQ274" s="182">
        <f t="shared" si="423"/>
        <v>0</v>
      </c>
      <c r="AR274" s="182">
        <f t="shared" si="429"/>
        <v>0</v>
      </c>
      <c r="AS274" s="182">
        <f t="shared" si="435"/>
        <v>0</v>
      </c>
      <c r="AT274" s="182">
        <f t="shared" si="441"/>
        <v>0</v>
      </c>
      <c r="AU274" s="182">
        <f t="shared" si="447"/>
        <v>0</v>
      </c>
      <c r="AV274" s="182">
        <f t="shared" si="453"/>
        <v>0</v>
      </c>
      <c r="AW274" s="182">
        <f t="shared" si="459"/>
        <v>0</v>
      </c>
      <c r="AX274" s="182">
        <f t="shared" si="465"/>
        <v>0</v>
      </c>
      <c r="AY274" s="182">
        <f t="shared" si="471"/>
        <v>0</v>
      </c>
      <c r="AZ274" s="182">
        <f t="shared" si="477"/>
        <v>0</v>
      </c>
      <c r="BA274" s="182">
        <f t="shared" si="483"/>
        <v>0</v>
      </c>
      <c r="BB274" s="182">
        <f t="shared" si="489"/>
        <v>0</v>
      </c>
      <c r="BC274" s="182">
        <f t="shared" si="495"/>
        <v>0</v>
      </c>
      <c r="BD274" s="182">
        <f t="shared" si="501"/>
        <v>0</v>
      </c>
      <c r="BE274" s="182">
        <f t="shared" si="506"/>
        <v>0</v>
      </c>
      <c r="BF274" s="182">
        <f t="shared" si="511"/>
        <v>0</v>
      </c>
      <c r="BG274" s="182">
        <f t="shared" si="516"/>
        <v>0</v>
      </c>
      <c r="BH274" s="182">
        <f t="shared" si="521"/>
        <v>0</v>
      </c>
      <c r="BI274" s="182">
        <f t="shared" si="526"/>
        <v>0</v>
      </c>
      <c r="BJ274" s="182">
        <f t="shared" si="531"/>
        <v>0</v>
      </c>
      <c r="BK274" s="182">
        <f t="shared" si="536"/>
        <v>0</v>
      </c>
      <c r="BL274" s="182">
        <f t="shared" si="541"/>
        <v>0</v>
      </c>
      <c r="BM274" s="182">
        <f t="shared" si="546"/>
        <v>0</v>
      </c>
      <c r="BN274" s="182">
        <f t="shared" si="551"/>
        <v>0</v>
      </c>
      <c r="BO274" s="182">
        <f t="shared" si="556"/>
        <v>0</v>
      </c>
      <c r="BP274" s="182">
        <f t="shared" si="562"/>
        <v>0</v>
      </c>
      <c r="BQ274" s="182">
        <f t="shared" ref="BQ274:BQ305" si="568">BQ107*BQ$168</f>
        <v>0</v>
      </c>
      <c r="BR274" s="182">
        <f t="shared" si="394"/>
        <v>0</v>
      </c>
      <c r="BS274" s="182">
        <f t="shared" si="400"/>
        <v>0</v>
      </c>
      <c r="BT274" s="182">
        <f t="shared" si="406"/>
        <v>0</v>
      </c>
      <c r="BU274" s="182">
        <f t="shared" si="412"/>
        <v>0</v>
      </c>
      <c r="BV274" s="182">
        <f t="shared" si="418"/>
        <v>0</v>
      </c>
      <c r="BW274" s="182">
        <f t="shared" si="424"/>
        <v>0</v>
      </c>
      <c r="BX274" s="182">
        <f t="shared" si="430"/>
        <v>0</v>
      </c>
      <c r="BY274" s="182">
        <f t="shared" si="436"/>
        <v>0</v>
      </c>
      <c r="BZ274" s="182">
        <f t="shared" si="442"/>
        <v>0</v>
      </c>
      <c r="CA274" s="182">
        <f t="shared" si="448"/>
        <v>0</v>
      </c>
      <c r="CB274" s="182">
        <f t="shared" si="454"/>
        <v>0</v>
      </c>
      <c r="CC274" s="182">
        <f t="shared" si="460"/>
        <v>0</v>
      </c>
      <c r="CD274" s="182">
        <f t="shared" si="466"/>
        <v>0</v>
      </c>
      <c r="CE274" s="182">
        <f t="shared" si="472"/>
        <v>0</v>
      </c>
      <c r="CF274" s="182">
        <f t="shared" si="478"/>
        <v>0</v>
      </c>
      <c r="CG274" s="182">
        <f t="shared" si="484"/>
        <v>0</v>
      </c>
      <c r="CH274" s="182">
        <f t="shared" si="490"/>
        <v>0</v>
      </c>
      <c r="CI274" s="182">
        <f t="shared" si="496"/>
        <v>0</v>
      </c>
      <c r="CJ274" s="182">
        <f t="shared" si="502"/>
        <v>0</v>
      </c>
      <c r="CK274" s="182">
        <f t="shared" si="507"/>
        <v>0</v>
      </c>
      <c r="CL274" s="182">
        <f t="shared" si="512"/>
        <v>0</v>
      </c>
      <c r="CM274" s="182">
        <f t="shared" si="517"/>
        <v>0</v>
      </c>
      <c r="CN274" s="182">
        <f t="shared" si="522"/>
        <v>0</v>
      </c>
      <c r="CO274" s="182">
        <f t="shared" si="527"/>
        <v>0</v>
      </c>
      <c r="CP274" s="182">
        <f t="shared" si="532"/>
        <v>0</v>
      </c>
      <c r="CQ274" s="182">
        <f t="shared" si="537"/>
        <v>0</v>
      </c>
      <c r="CR274" s="182">
        <f t="shared" si="542"/>
        <v>0</v>
      </c>
      <c r="CS274" s="182">
        <f t="shared" si="547"/>
        <v>0</v>
      </c>
      <c r="CT274" s="182">
        <f t="shared" si="552"/>
        <v>2.1933276996061591E-7</v>
      </c>
      <c r="CU274" s="182">
        <f t="shared" si="557"/>
        <v>0</v>
      </c>
      <c r="CV274" s="182">
        <f t="shared" si="563"/>
        <v>0</v>
      </c>
      <c r="CW274" s="182">
        <f t="shared" ref="CW274:CW305" si="569">CW107*CW$168</f>
        <v>0</v>
      </c>
      <c r="CX274" s="181">
        <f>$C274+SUM($D274:CW274,CY274:$FB274)-SUM(CX$176:CX273,CX275:CX$330)-CX$331</f>
        <v>-5.2939559203393771E-23</v>
      </c>
      <c r="CY274" s="176">
        <f t="shared" ref="CY274:ED274" si="570">CY107*CY$168</f>
        <v>0</v>
      </c>
      <c r="CZ274" s="176">
        <f t="shared" si="570"/>
        <v>0</v>
      </c>
      <c r="DA274" s="176">
        <f t="shared" si="570"/>
        <v>0</v>
      </c>
      <c r="DB274" s="176">
        <f t="shared" si="570"/>
        <v>1.0468056612588009E-23</v>
      </c>
      <c r="DC274" s="176">
        <f t="shared" si="570"/>
        <v>0</v>
      </c>
      <c r="DD274" s="176">
        <f t="shared" si="570"/>
        <v>0</v>
      </c>
      <c r="DE274" s="176">
        <f t="shared" si="570"/>
        <v>0</v>
      </c>
      <c r="DF274" s="176">
        <f t="shared" si="570"/>
        <v>0</v>
      </c>
      <c r="DG274" s="176">
        <f t="shared" si="570"/>
        <v>0</v>
      </c>
      <c r="DH274" s="176">
        <f t="shared" si="570"/>
        <v>0</v>
      </c>
      <c r="DI274" s="176">
        <f t="shared" si="570"/>
        <v>0</v>
      </c>
      <c r="DJ274" s="176">
        <f t="shared" si="570"/>
        <v>0</v>
      </c>
      <c r="DK274" s="176">
        <f t="shared" si="570"/>
        <v>0</v>
      </c>
      <c r="DL274" s="176">
        <f t="shared" si="570"/>
        <v>0</v>
      </c>
      <c r="DM274" s="176">
        <f t="shared" si="570"/>
        <v>0</v>
      </c>
      <c r="DN274" s="176">
        <f t="shared" si="570"/>
        <v>0</v>
      </c>
      <c r="DO274" s="176">
        <f t="shared" si="570"/>
        <v>0</v>
      </c>
      <c r="DP274" s="176">
        <f t="shared" si="570"/>
        <v>0</v>
      </c>
      <c r="DQ274" s="176">
        <f t="shared" si="570"/>
        <v>0</v>
      </c>
      <c r="DR274" s="176">
        <f t="shared" si="570"/>
        <v>0</v>
      </c>
      <c r="DS274" s="176">
        <f t="shared" si="570"/>
        <v>0</v>
      </c>
      <c r="DT274" s="176">
        <f t="shared" si="570"/>
        <v>0</v>
      </c>
      <c r="DU274" s="176">
        <f t="shared" si="570"/>
        <v>2.7722116825378237E-15</v>
      </c>
      <c r="DV274" s="176">
        <f t="shared" si="570"/>
        <v>0</v>
      </c>
      <c r="DW274" s="176">
        <f t="shared" si="570"/>
        <v>0</v>
      </c>
      <c r="DX274" s="176">
        <f t="shared" si="570"/>
        <v>0</v>
      </c>
      <c r="DY274" s="176">
        <f t="shared" si="570"/>
        <v>0</v>
      </c>
      <c r="DZ274" s="176">
        <f t="shared" si="570"/>
        <v>0</v>
      </c>
      <c r="EA274" s="176">
        <f t="shared" si="570"/>
        <v>0</v>
      </c>
      <c r="EB274" s="176">
        <f t="shared" si="570"/>
        <v>0</v>
      </c>
      <c r="EC274" s="176">
        <f t="shared" si="570"/>
        <v>0</v>
      </c>
      <c r="ED274" s="176">
        <f t="shared" si="570"/>
        <v>0</v>
      </c>
      <c r="EE274" s="176">
        <f t="shared" ref="EE274:FB274" si="571">EE107*EE$168</f>
        <v>0</v>
      </c>
      <c r="EF274" s="182">
        <f t="shared" si="571"/>
        <v>0</v>
      </c>
      <c r="EG274" s="182">
        <f t="shared" si="571"/>
        <v>0</v>
      </c>
      <c r="EH274" s="182">
        <f t="shared" si="571"/>
        <v>0</v>
      </c>
      <c r="EI274" s="182">
        <f t="shared" si="571"/>
        <v>0</v>
      </c>
      <c r="EJ274" s="182">
        <f t="shared" si="571"/>
        <v>0</v>
      </c>
      <c r="EK274" s="182">
        <f t="shared" si="571"/>
        <v>0</v>
      </c>
      <c r="EL274" s="182">
        <f t="shared" si="571"/>
        <v>0</v>
      </c>
      <c r="EM274" s="182">
        <f t="shared" si="571"/>
        <v>0</v>
      </c>
      <c r="EN274" s="182">
        <f t="shared" si="571"/>
        <v>0</v>
      </c>
      <c r="EO274" s="182">
        <f t="shared" si="571"/>
        <v>0</v>
      </c>
      <c r="EP274" s="182">
        <f t="shared" si="571"/>
        <v>0</v>
      </c>
      <c r="EQ274" s="182">
        <f t="shared" si="571"/>
        <v>0</v>
      </c>
      <c r="ER274" s="182">
        <f t="shared" si="571"/>
        <v>0</v>
      </c>
      <c r="ES274" s="182">
        <f t="shared" si="571"/>
        <v>0</v>
      </c>
      <c r="ET274" s="182">
        <f t="shared" si="571"/>
        <v>0</v>
      </c>
      <c r="EU274" s="182">
        <f t="shared" si="571"/>
        <v>0</v>
      </c>
      <c r="EV274" s="182">
        <f t="shared" si="571"/>
        <v>0</v>
      </c>
      <c r="EW274" s="182">
        <f t="shared" si="571"/>
        <v>0</v>
      </c>
      <c r="EX274" s="182">
        <f t="shared" si="571"/>
        <v>0</v>
      </c>
      <c r="EY274" s="182">
        <f t="shared" si="571"/>
        <v>0</v>
      </c>
      <c r="EZ274" s="182">
        <f t="shared" si="571"/>
        <v>0</v>
      </c>
      <c r="FA274" s="182">
        <f t="shared" si="571"/>
        <v>0</v>
      </c>
      <c r="FB274" s="183">
        <f t="shared" si="571"/>
        <v>0</v>
      </c>
    </row>
    <row r="275" spans="2:158" ht="12.75" customHeight="1" x14ac:dyDescent="0.3">
      <c r="B275" s="199" t="s">
        <v>3918</v>
      </c>
      <c r="C275" s="193">
        <v>0</v>
      </c>
      <c r="D275" s="182">
        <f t="shared" si="560"/>
        <v>0</v>
      </c>
      <c r="E275" s="182">
        <f t="shared" si="566"/>
        <v>0</v>
      </c>
      <c r="F275" s="182">
        <f t="shared" ref="F275:F306" si="572">F108*F$168</f>
        <v>0</v>
      </c>
      <c r="G275" s="182">
        <f t="shared" si="398"/>
        <v>0</v>
      </c>
      <c r="H275" s="182">
        <f t="shared" si="404"/>
        <v>0</v>
      </c>
      <c r="I275" s="176">
        <f t="shared" si="410"/>
        <v>0</v>
      </c>
      <c r="J275" s="182">
        <f t="shared" si="416"/>
        <v>0</v>
      </c>
      <c r="K275" s="182">
        <f t="shared" si="422"/>
        <v>0</v>
      </c>
      <c r="L275" s="182">
        <f t="shared" si="428"/>
        <v>0</v>
      </c>
      <c r="M275" s="182">
        <f t="shared" si="434"/>
        <v>0</v>
      </c>
      <c r="N275" s="182">
        <f t="shared" si="440"/>
        <v>0</v>
      </c>
      <c r="O275" s="182">
        <f t="shared" si="446"/>
        <v>0</v>
      </c>
      <c r="P275" s="182">
        <f t="shared" si="452"/>
        <v>0</v>
      </c>
      <c r="Q275" s="182">
        <f t="shared" si="458"/>
        <v>0</v>
      </c>
      <c r="R275" s="182">
        <f t="shared" si="464"/>
        <v>0</v>
      </c>
      <c r="S275" s="182">
        <f t="shared" si="470"/>
        <v>0</v>
      </c>
      <c r="T275" s="182">
        <f t="shared" si="476"/>
        <v>0</v>
      </c>
      <c r="U275" s="182">
        <f t="shared" si="482"/>
        <v>0</v>
      </c>
      <c r="V275" s="182">
        <f t="shared" si="488"/>
        <v>0</v>
      </c>
      <c r="W275" s="182">
        <f t="shared" si="494"/>
        <v>0</v>
      </c>
      <c r="X275" s="182">
        <f t="shared" si="500"/>
        <v>0</v>
      </c>
      <c r="Y275" s="182">
        <f t="shared" si="505"/>
        <v>0</v>
      </c>
      <c r="Z275" s="182">
        <f t="shared" si="510"/>
        <v>0</v>
      </c>
      <c r="AA275" s="182">
        <f t="shared" si="515"/>
        <v>0</v>
      </c>
      <c r="AB275" s="182">
        <f t="shared" si="520"/>
        <v>0</v>
      </c>
      <c r="AC275" s="182">
        <f t="shared" si="525"/>
        <v>0</v>
      </c>
      <c r="AD275" s="182">
        <f t="shared" si="530"/>
        <v>0</v>
      </c>
      <c r="AE275" s="182">
        <f t="shared" si="535"/>
        <v>0</v>
      </c>
      <c r="AF275" s="182">
        <f t="shared" si="540"/>
        <v>0</v>
      </c>
      <c r="AG275" s="182">
        <f t="shared" si="545"/>
        <v>0</v>
      </c>
      <c r="AH275" s="182">
        <f t="shared" si="550"/>
        <v>0</v>
      </c>
      <c r="AI275" s="182">
        <f t="shared" si="555"/>
        <v>0</v>
      </c>
      <c r="AJ275" s="182">
        <f t="shared" si="561"/>
        <v>0</v>
      </c>
      <c r="AK275" s="182">
        <f t="shared" si="567"/>
        <v>0</v>
      </c>
      <c r="AL275" s="182">
        <f t="shared" ref="AL275:AL306" si="573">AL108*AL$168</f>
        <v>0</v>
      </c>
      <c r="AM275" s="182">
        <f t="shared" si="399"/>
        <v>0</v>
      </c>
      <c r="AN275" s="182">
        <f t="shared" si="405"/>
        <v>0</v>
      </c>
      <c r="AO275" s="182">
        <f t="shared" si="411"/>
        <v>0</v>
      </c>
      <c r="AP275" s="182">
        <f t="shared" si="417"/>
        <v>0</v>
      </c>
      <c r="AQ275" s="182">
        <f t="shared" si="423"/>
        <v>0</v>
      </c>
      <c r="AR275" s="182">
        <f t="shared" si="429"/>
        <v>0</v>
      </c>
      <c r="AS275" s="182">
        <f t="shared" si="435"/>
        <v>0</v>
      </c>
      <c r="AT275" s="182">
        <f t="shared" si="441"/>
        <v>0</v>
      </c>
      <c r="AU275" s="182">
        <f t="shared" si="447"/>
        <v>0</v>
      </c>
      <c r="AV275" s="182">
        <f t="shared" si="453"/>
        <v>0</v>
      </c>
      <c r="AW275" s="182">
        <f t="shared" si="459"/>
        <v>0</v>
      </c>
      <c r="AX275" s="182">
        <f t="shared" si="465"/>
        <v>0</v>
      </c>
      <c r="AY275" s="182">
        <f t="shared" si="471"/>
        <v>0</v>
      </c>
      <c r="AZ275" s="182">
        <f t="shared" si="477"/>
        <v>0</v>
      </c>
      <c r="BA275" s="182">
        <f t="shared" si="483"/>
        <v>0</v>
      </c>
      <c r="BB275" s="182">
        <f t="shared" si="489"/>
        <v>0</v>
      </c>
      <c r="BC275" s="182">
        <f t="shared" si="495"/>
        <v>0</v>
      </c>
      <c r="BD275" s="182">
        <f t="shared" si="501"/>
        <v>0</v>
      </c>
      <c r="BE275" s="182">
        <f t="shared" si="506"/>
        <v>0</v>
      </c>
      <c r="BF275" s="182">
        <f t="shared" si="511"/>
        <v>0</v>
      </c>
      <c r="BG275" s="182">
        <f t="shared" si="516"/>
        <v>0</v>
      </c>
      <c r="BH275" s="182">
        <f t="shared" si="521"/>
        <v>0</v>
      </c>
      <c r="BI275" s="182">
        <f t="shared" si="526"/>
        <v>0</v>
      </c>
      <c r="BJ275" s="182">
        <f t="shared" si="531"/>
        <v>0</v>
      </c>
      <c r="BK275" s="182">
        <f t="shared" si="536"/>
        <v>0</v>
      </c>
      <c r="BL275" s="182">
        <f t="shared" si="541"/>
        <v>0</v>
      </c>
      <c r="BM275" s="182">
        <f t="shared" si="546"/>
        <v>0</v>
      </c>
      <c r="BN275" s="182">
        <f t="shared" si="551"/>
        <v>0</v>
      </c>
      <c r="BO275" s="182">
        <f t="shared" si="556"/>
        <v>0</v>
      </c>
      <c r="BP275" s="182">
        <f t="shared" si="562"/>
        <v>0</v>
      </c>
      <c r="BQ275" s="182">
        <f t="shared" si="568"/>
        <v>0</v>
      </c>
      <c r="BR275" s="182">
        <f t="shared" ref="BR275:BR306" si="574">BR108*BR$168</f>
        <v>0</v>
      </c>
      <c r="BS275" s="182">
        <f t="shared" si="400"/>
        <v>0</v>
      </c>
      <c r="BT275" s="182">
        <f t="shared" si="406"/>
        <v>0</v>
      </c>
      <c r="BU275" s="182">
        <f t="shared" si="412"/>
        <v>0</v>
      </c>
      <c r="BV275" s="182">
        <f t="shared" si="418"/>
        <v>0</v>
      </c>
      <c r="BW275" s="182">
        <f t="shared" si="424"/>
        <v>0</v>
      </c>
      <c r="BX275" s="182">
        <f t="shared" si="430"/>
        <v>0</v>
      </c>
      <c r="BY275" s="182">
        <f t="shared" si="436"/>
        <v>0</v>
      </c>
      <c r="BZ275" s="182">
        <f t="shared" si="442"/>
        <v>0</v>
      </c>
      <c r="CA275" s="182">
        <f t="shared" si="448"/>
        <v>0</v>
      </c>
      <c r="CB275" s="182">
        <f t="shared" si="454"/>
        <v>0</v>
      </c>
      <c r="CC275" s="182">
        <f t="shared" si="460"/>
        <v>0</v>
      </c>
      <c r="CD275" s="182">
        <f t="shared" si="466"/>
        <v>0</v>
      </c>
      <c r="CE275" s="182">
        <f t="shared" si="472"/>
        <v>0</v>
      </c>
      <c r="CF275" s="182">
        <f t="shared" si="478"/>
        <v>0</v>
      </c>
      <c r="CG275" s="182">
        <f t="shared" si="484"/>
        <v>0</v>
      </c>
      <c r="CH275" s="182">
        <f t="shared" si="490"/>
        <v>0</v>
      </c>
      <c r="CI275" s="182">
        <f t="shared" si="496"/>
        <v>0</v>
      </c>
      <c r="CJ275" s="182">
        <f t="shared" si="502"/>
        <v>0</v>
      </c>
      <c r="CK275" s="182">
        <f t="shared" si="507"/>
        <v>0</v>
      </c>
      <c r="CL275" s="182">
        <f t="shared" si="512"/>
        <v>0</v>
      </c>
      <c r="CM275" s="182">
        <f t="shared" si="517"/>
        <v>0</v>
      </c>
      <c r="CN275" s="182">
        <f t="shared" si="522"/>
        <v>0</v>
      </c>
      <c r="CO275" s="182">
        <f t="shared" si="527"/>
        <v>0</v>
      </c>
      <c r="CP275" s="182">
        <f t="shared" si="532"/>
        <v>0</v>
      </c>
      <c r="CQ275" s="182">
        <f t="shared" si="537"/>
        <v>0</v>
      </c>
      <c r="CR275" s="182">
        <f t="shared" si="542"/>
        <v>0</v>
      </c>
      <c r="CS275" s="182">
        <f t="shared" si="547"/>
        <v>0</v>
      </c>
      <c r="CT275" s="182">
        <f t="shared" si="552"/>
        <v>0</v>
      </c>
      <c r="CU275" s="182">
        <f t="shared" si="557"/>
        <v>282375.69772592001</v>
      </c>
      <c r="CV275" s="182">
        <f t="shared" si="563"/>
        <v>0</v>
      </c>
      <c r="CW275" s="182">
        <f t="shared" si="569"/>
        <v>0</v>
      </c>
      <c r="CX275" s="182">
        <f t="shared" ref="CX275:CX306" si="575">CX108*CX$168</f>
        <v>2.1691833607606945E-7</v>
      </c>
      <c r="CY275" s="181">
        <f>$C275+SUM($D275:CX275,CZ275:$FB275)-SUM(CY$176:CY274,CY276:CY$330)-CY$331</f>
        <v>1.1641532182693481E-10</v>
      </c>
      <c r="CZ275" s="176">
        <f t="shared" ref="CZ275:EE275" si="576">CZ108*CZ$168</f>
        <v>0</v>
      </c>
      <c r="DA275" s="176">
        <f t="shared" si="576"/>
        <v>0</v>
      </c>
      <c r="DB275" s="176">
        <f t="shared" si="576"/>
        <v>0</v>
      </c>
      <c r="DC275" s="176">
        <f t="shared" si="576"/>
        <v>556.15332115258207</v>
      </c>
      <c r="DD275" s="176">
        <f t="shared" si="576"/>
        <v>0</v>
      </c>
      <c r="DE275" s="176">
        <f t="shared" si="576"/>
        <v>0</v>
      </c>
      <c r="DF275" s="176">
        <f t="shared" si="576"/>
        <v>0</v>
      </c>
      <c r="DG275" s="176">
        <f t="shared" si="576"/>
        <v>0</v>
      </c>
      <c r="DH275" s="176">
        <f t="shared" si="576"/>
        <v>0</v>
      </c>
      <c r="DI275" s="176">
        <f t="shared" si="576"/>
        <v>0</v>
      </c>
      <c r="DJ275" s="176">
        <f t="shared" si="576"/>
        <v>0</v>
      </c>
      <c r="DK275" s="176">
        <f t="shared" si="576"/>
        <v>0</v>
      </c>
      <c r="DL275" s="176">
        <f t="shared" si="576"/>
        <v>0</v>
      </c>
      <c r="DM275" s="176">
        <f t="shared" si="576"/>
        <v>0</v>
      </c>
      <c r="DN275" s="176">
        <f t="shared" si="576"/>
        <v>0</v>
      </c>
      <c r="DO275" s="176">
        <f t="shared" si="576"/>
        <v>0</v>
      </c>
      <c r="DP275" s="176">
        <f t="shared" si="576"/>
        <v>0</v>
      </c>
      <c r="DQ275" s="176">
        <f t="shared" si="576"/>
        <v>0</v>
      </c>
      <c r="DR275" s="176">
        <f t="shared" si="576"/>
        <v>0</v>
      </c>
      <c r="DS275" s="176">
        <f t="shared" si="576"/>
        <v>0</v>
      </c>
      <c r="DT275" s="176">
        <f t="shared" si="576"/>
        <v>0</v>
      </c>
      <c r="DU275" s="176">
        <f t="shared" si="576"/>
        <v>0</v>
      </c>
      <c r="DV275" s="176">
        <f t="shared" si="576"/>
        <v>43752.127837978696</v>
      </c>
      <c r="DW275" s="176">
        <f t="shared" si="576"/>
        <v>0</v>
      </c>
      <c r="DX275" s="176">
        <f t="shared" si="576"/>
        <v>0</v>
      </c>
      <c r="DY275" s="176">
        <f t="shared" si="576"/>
        <v>0</v>
      </c>
      <c r="DZ275" s="176">
        <f t="shared" si="576"/>
        <v>0</v>
      </c>
      <c r="EA275" s="176">
        <f t="shared" si="576"/>
        <v>0</v>
      </c>
      <c r="EB275" s="176">
        <f t="shared" si="576"/>
        <v>0</v>
      </c>
      <c r="EC275" s="176">
        <f t="shared" si="576"/>
        <v>0</v>
      </c>
      <c r="ED275" s="176">
        <f t="shared" si="576"/>
        <v>0</v>
      </c>
      <c r="EE275" s="176">
        <f t="shared" si="576"/>
        <v>0</v>
      </c>
      <c r="EF275" s="182">
        <f t="shared" ref="EF275:FB275" si="577">EF108*EF$168</f>
        <v>0</v>
      </c>
      <c r="EG275" s="182">
        <f t="shared" si="577"/>
        <v>0</v>
      </c>
      <c r="EH275" s="182">
        <f t="shared" si="577"/>
        <v>0</v>
      </c>
      <c r="EI275" s="182">
        <f t="shared" si="577"/>
        <v>0</v>
      </c>
      <c r="EJ275" s="182">
        <f t="shared" si="577"/>
        <v>0</v>
      </c>
      <c r="EK275" s="182">
        <f t="shared" si="577"/>
        <v>0</v>
      </c>
      <c r="EL275" s="182">
        <f t="shared" si="577"/>
        <v>0</v>
      </c>
      <c r="EM275" s="182">
        <f t="shared" si="577"/>
        <v>0</v>
      </c>
      <c r="EN275" s="182">
        <f t="shared" si="577"/>
        <v>0</v>
      </c>
      <c r="EO275" s="182">
        <f t="shared" si="577"/>
        <v>0</v>
      </c>
      <c r="EP275" s="182">
        <f t="shared" si="577"/>
        <v>0</v>
      </c>
      <c r="EQ275" s="182">
        <f t="shared" si="577"/>
        <v>0</v>
      </c>
      <c r="ER275" s="182">
        <f t="shared" si="577"/>
        <v>0</v>
      </c>
      <c r="ES275" s="182">
        <f t="shared" si="577"/>
        <v>0</v>
      </c>
      <c r="ET275" s="182">
        <f t="shared" si="577"/>
        <v>0</v>
      </c>
      <c r="EU275" s="182">
        <f t="shared" si="577"/>
        <v>0</v>
      </c>
      <c r="EV275" s="182">
        <f t="shared" si="577"/>
        <v>0</v>
      </c>
      <c r="EW275" s="182">
        <f t="shared" si="577"/>
        <v>0</v>
      </c>
      <c r="EX275" s="182">
        <f t="shared" si="577"/>
        <v>0</v>
      </c>
      <c r="EY275" s="182">
        <f t="shared" si="577"/>
        <v>0</v>
      </c>
      <c r="EZ275" s="182">
        <f t="shared" si="577"/>
        <v>0</v>
      </c>
      <c r="FA275" s="182">
        <f t="shared" si="577"/>
        <v>0</v>
      </c>
      <c r="FB275" s="183">
        <f t="shared" si="577"/>
        <v>0</v>
      </c>
    </row>
    <row r="276" spans="2:158" ht="12.75" customHeight="1" x14ac:dyDescent="0.3">
      <c r="B276" s="199" t="s">
        <v>3919</v>
      </c>
      <c r="C276" s="193">
        <v>0</v>
      </c>
      <c r="D276" s="182">
        <f t="shared" si="560"/>
        <v>0</v>
      </c>
      <c r="E276" s="182">
        <f t="shared" si="566"/>
        <v>0</v>
      </c>
      <c r="F276" s="182">
        <f t="shared" si="572"/>
        <v>0</v>
      </c>
      <c r="G276" s="182">
        <f t="shared" ref="G276:G307" si="578">G109*G$168</f>
        <v>0</v>
      </c>
      <c r="H276" s="182">
        <f t="shared" si="404"/>
        <v>0</v>
      </c>
      <c r="I276" s="176">
        <f t="shared" si="410"/>
        <v>0</v>
      </c>
      <c r="J276" s="182">
        <f t="shared" si="416"/>
        <v>0</v>
      </c>
      <c r="K276" s="182">
        <f t="shared" si="422"/>
        <v>0</v>
      </c>
      <c r="L276" s="182">
        <f t="shared" si="428"/>
        <v>0</v>
      </c>
      <c r="M276" s="182">
        <f t="shared" si="434"/>
        <v>0</v>
      </c>
      <c r="N276" s="182">
        <f t="shared" si="440"/>
        <v>0</v>
      </c>
      <c r="O276" s="182">
        <f t="shared" si="446"/>
        <v>0</v>
      </c>
      <c r="P276" s="182">
        <f t="shared" si="452"/>
        <v>0</v>
      </c>
      <c r="Q276" s="182">
        <f t="shared" si="458"/>
        <v>0</v>
      </c>
      <c r="R276" s="182">
        <f t="shared" si="464"/>
        <v>0</v>
      </c>
      <c r="S276" s="182">
        <f t="shared" si="470"/>
        <v>0</v>
      </c>
      <c r="T276" s="182">
        <f t="shared" si="476"/>
        <v>0</v>
      </c>
      <c r="U276" s="182">
        <f t="shared" si="482"/>
        <v>0</v>
      </c>
      <c r="V276" s="182">
        <f t="shared" si="488"/>
        <v>0</v>
      </c>
      <c r="W276" s="182">
        <f t="shared" si="494"/>
        <v>0</v>
      </c>
      <c r="X276" s="182">
        <f t="shared" si="500"/>
        <v>0</v>
      </c>
      <c r="Y276" s="182">
        <f t="shared" si="505"/>
        <v>0</v>
      </c>
      <c r="Z276" s="182">
        <f t="shared" si="510"/>
        <v>0</v>
      </c>
      <c r="AA276" s="182">
        <f t="shared" si="515"/>
        <v>0</v>
      </c>
      <c r="AB276" s="182">
        <f t="shared" si="520"/>
        <v>0</v>
      </c>
      <c r="AC276" s="182">
        <f t="shared" si="525"/>
        <v>0</v>
      </c>
      <c r="AD276" s="182">
        <f t="shared" si="530"/>
        <v>0</v>
      </c>
      <c r="AE276" s="182">
        <f t="shared" si="535"/>
        <v>0</v>
      </c>
      <c r="AF276" s="182">
        <f t="shared" si="540"/>
        <v>0</v>
      </c>
      <c r="AG276" s="182">
        <f t="shared" si="545"/>
        <v>0</v>
      </c>
      <c r="AH276" s="182">
        <f t="shared" si="550"/>
        <v>0</v>
      </c>
      <c r="AI276" s="182">
        <f t="shared" si="555"/>
        <v>0</v>
      </c>
      <c r="AJ276" s="182">
        <f t="shared" si="561"/>
        <v>0</v>
      </c>
      <c r="AK276" s="182">
        <f t="shared" si="567"/>
        <v>0</v>
      </c>
      <c r="AL276" s="182">
        <f t="shared" si="573"/>
        <v>0</v>
      </c>
      <c r="AM276" s="182">
        <f t="shared" ref="AM276:AM307" si="579">AM109*AM$168</f>
        <v>0</v>
      </c>
      <c r="AN276" s="182">
        <f t="shared" si="405"/>
        <v>0</v>
      </c>
      <c r="AO276" s="182">
        <f t="shared" si="411"/>
        <v>0</v>
      </c>
      <c r="AP276" s="182">
        <f t="shared" si="417"/>
        <v>0</v>
      </c>
      <c r="AQ276" s="182">
        <f t="shared" si="423"/>
        <v>0</v>
      </c>
      <c r="AR276" s="182">
        <f t="shared" si="429"/>
        <v>0</v>
      </c>
      <c r="AS276" s="182">
        <f t="shared" si="435"/>
        <v>0</v>
      </c>
      <c r="AT276" s="182">
        <f t="shared" si="441"/>
        <v>0</v>
      </c>
      <c r="AU276" s="182">
        <f t="shared" si="447"/>
        <v>0</v>
      </c>
      <c r="AV276" s="182">
        <f t="shared" si="453"/>
        <v>0</v>
      </c>
      <c r="AW276" s="182">
        <f t="shared" si="459"/>
        <v>0</v>
      </c>
      <c r="AX276" s="182">
        <f t="shared" si="465"/>
        <v>0</v>
      </c>
      <c r="AY276" s="182">
        <f t="shared" si="471"/>
        <v>0</v>
      </c>
      <c r="AZ276" s="182">
        <f t="shared" si="477"/>
        <v>0</v>
      </c>
      <c r="BA276" s="182">
        <f t="shared" si="483"/>
        <v>0</v>
      </c>
      <c r="BB276" s="182">
        <f t="shared" si="489"/>
        <v>0</v>
      </c>
      <c r="BC276" s="182">
        <f t="shared" si="495"/>
        <v>0</v>
      </c>
      <c r="BD276" s="182">
        <f t="shared" si="501"/>
        <v>0</v>
      </c>
      <c r="BE276" s="182">
        <f t="shared" si="506"/>
        <v>0</v>
      </c>
      <c r="BF276" s="182">
        <f t="shared" si="511"/>
        <v>0</v>
      </c>
      <c r="BG276" s="182">
        <f t="shared" si="516"/>
        <v>0</v>
      </c>
      <c r="BH276" s="182">
        <f t="shared" si="521"/>
        <v>0</v>
      </c>
      <c r="BI276" s="182">
        <f t="shared" si="526"/>
        <v>0</v>
      </c>
      <c r="BJ276" s="182">
        <f t="shared" si="531"/>
        <v>0</v>
      </c>
      <c r="BK276" s="182">
        <f t="shared" si="536"/>
        <v>0</v>
      </c>
      <c r="BL276" s="182">
        <f t="shared" si="541"/>
        <v>0</v>
      </c>
      <c r="BM276" s="182">
        <f t="shared" si="546"/>
        <v>0</v>
      </c>
      <c r="BN276" s="182">
        <f t="shared" si="551"/>
        <v>0</v>
      </c>
      <c r="BO276" s="182">
        <f t="shared" si="556"/>
        <v>0</v>
      </c>
      <c r="BP276" s="182">
        <f t="shared" si="562"/>
        <v>0</v>
      </c>
      <c r="BQ276" s="182">
        <f t="shared" si="568"/>
        <v>0</v>
      </c>
      <c r="BR276" s="182">
        <f t="shared" si="574"/>
        <v>0</v>
      </c>
      <c r="BS276" s="182">
        <f t="shared" ref="BS276:BS307" si="580">BS109*BS$168</f>
        <v>0</v>
      </c>
      <c r="BT276" s="182">
        <f t="shared" si="406"/>
        <v>0</v>
      </c>
      <c r="BU276" s="182">
        <f t="shared" si="412"/>
        <v>0</v>
      </c>
      <c r="BV276" s="182">
        <f t="shared" si="418"/>
        <v>0</v>
      </c>
      <c r="BW276" s="182">
        <f t="shared" si="424"/>
        <v>0</v>
      </c>
      <c r="BX276" s="182">
        <f t="shared" si="430"/>
        <v>0</v>
      </c>
      <c r="BY276" s="182">
        <f t="shared" si="436"/>
        <v>0</v>
      </c>
      <c r="BZ276" s="182">
        <f t="shared" si="442"/>
        <v>0</v>
      </c>
      <c r="CA276" s="182">
        <f t="shared" si="448"/>
        <v>0</v>
      </c>
      <c r="CB276" s="182">
        <f t="shared" si="454"/>
        <v>0</v>
      </c>
      <c r="CC276" s="182">
        <f t="shared" si="460"/>
        <v>0</v>
      </c>
      <c r="CD276" s="182">
        <f t="shared" si="466"/>
        <v>0</v>
      </c>
      <c r="CE276" s="182">
        <f t="shared" si="472"/>
        <v>0</v>
      </c>
      <c r="CF276" s="182">
        <f t="shared" si="478"/>
        <v>0</v>
      </c>
      <c r="CG276" s="182">
        <f t="shared" si="484"/>
        <v>0</v>
      </c>
      <c r="CH276" s="182">
        <f t="shared" si="490"/>
        <v>0</v>
      </c>
      <c r="CI276" s="182">
        <f t="shared" si="496"/>
        <v>0</v>
      </c>
      <c r="CJ276" s="182">
        <f t="shared" si="502"/>
        <v>0</v>
      </c>
      <c r="CK276" s="182">
        <f t="shared" si="507"/>
        <v>0</v>
      </c>
      <c r="CL276" s="182">
        <f t="shared" si="512"/>
        <v>0</v>
      </c>
      <c r="CM276" s="182">
        <f t="shared" si="517"/>
        <v>0</v>
      </c>
      <c r="CN276" s="182">
        <f t="shared" si="522"/>
        <v>0</v>
      </c>
      <c r="CO276" s="182">
        <f t="shared" si="527"/>
        <v>0</v>
      </c>
      <c r="CP276" s="182">
        <f t="shared" si="532"/>
        <v>0</v>
      </c>
      <c r="CQ276" s="182">
        <f t="shared" si="537"/>
        <v>0</v>
      </c>
      <c r="CR276" s="182">
        <f t="shared" si="542"/>
        <v>0</v>
      </c>
      <c r="CS276" s="182">
        <f t="shared" si="547"/>
        <v>0</v>
      </c>
      <c r="CT276" s="182">
        <f t="shared" si="552"/>
        <v>0</v>
      </c>
      <c r="CU276" s="182">
        <f t="shared" si="557"/>
        <v>0</v>
      </c>
      <c r="CV276" s="182">
        <f t="shared" si="563"/>
        <v>7.6399608099433909</v>
      </c>
      <c r="CW276" s="182">
        <f t="shared" si="569"/>
        <v>0</v>
      </c>
      <c r="CX276" s="182">
        <f t="shared" si="575"/>
        <v>2.4137791024342594E-9</v>
      </c>
      <c r="CY276" s="182">
        <f t="shared" ref="CY276:CY307" si="581">CY109*CY$168</f>
        <v>0</v>
      </c>
      <c r="CZ276" s="181">
        <f>$C276+SUM($D276:CY276,DA276:$FB276)-SUM(CZ$176:CZ275,CZ277:CZ$330)-CZ$331</f>
        <v>0</v>
      </c>
      <c r="DA276" s="176">
        <f t="shared" ref="DA276:EF276" si="582">DA109*DA$168</f>
        <v>0</v>
      </c>
      <c r="DB276" s="176">
        <f t="shared" si="582"/>
        <v>0</v>
      </c>
      <c r="DC276" s="176">
        <f t="shared" si="582"/>
        <v>0</v>
      </c>
      <c r="DD276" s="176">
        <f t="shared" si="582"/>
        <v>8.3577271608932602</v>
      </c>
      <c r="DE276" s="176">
        <f t="shared" si="582"/>
        <v>0</v>
      </c>
      <c r="DF276" s="176">
        <f t="shared" si="582"/>
        <v>0</v>
      </c>
      <c r="DG276" s="176">
        <f t="shared" si="582"/>
        <v>0</v>
      </c>
      <c r="DH276" s="176">
        <f t="shared" si="582"/>
        <v>0</v>
      </c>
      <c r="DI276" s="176">
        <f t="shared" si="582"/>
        <v>0</v>
      </c>
      <c r="DJ276" s="176">
        <f t="shared" si="582"/>
        <v>0</v>
      </c>
      <c r="DK276" s="176">
        <f t="shared" si="582"/>
        <v>0</v>
      </c>
      <c r="DL276" s="176">
        <f t="shared" si="582"/>
        <v>0</v>
      </c>
      <c r="DM276" s="176">
        <f t="shared" si="582"/>
        <v>0</v>
      </c>
      <c r="DN276" s="176">
        <f t="shared" si="582"/>
        <v>0</v>
      </c>
      <c r="DO276" s="176">
        <f t="shared" si="582"/>
        <v>0</v>
      </c>
      <c r="DP276" s="176">
        <f t="shared" si="582"/>
        <v>0</v>
      </c>
      <c r="DQ276" s="176">
        <f t="shared" si="582"/>
        <v>0</v>
      </c>
      <c r="DR276" s="176">
        <f t="shared" si="582"/>
        <v>0</v>
      </c>
      <c r="DS276" s="176">
        <f t="shared" si="582"/>
        <v>0</v>
      </c>
      <c r="DT276" s="176">
        <f t="shared" si="582"/>
        <v>0</v>
      </c>
      <c r="DU276" s="176">
        <f t="shared" si="582"/>
        <v>0</v>
      </c>
      <c r="DV276" s="176">
        <f t="shared" si="582"/>
        <v>0</v>
      </c>
      <c r="DW276" s="176">
        <f t="shared" si="582"/>
        <v>0.54333619676659584</v>
      </c>
      <c r="DX276" s="176">
        <f t="shared" si="582"/>
        <v>0</v>
      </c>
      <c r="DY276" s="176">
        <f t="shared" si="582"/>
        <v>0</v>
      </c>
      <c r="DZ276" s="176">
        <f t="shared" si="582"/>
        <v>0</v>
      </c>
      <c r="EA276" s="176">
        <f t="shared" si="582"/>
        <v>0</v>
      </c>
      <c r="EB276" s="176">
        <f t="shared" si="582"/>
        <v>0</v>
      </c>
      <c r="EC276" s="176">
        <f t="shared" si="582"/>
        <v>0</v>
      </c>
      <c r="ED276" s="176">
        <f t="shared" si="582"/>
        <v>0</v>
      </c>
      <c r="EE276" s="176">
        <f t="shared" si="582"/>
        <v>0</v>
      </c>
      <c r="EF276" s="182">
        <f t="shared" si="582"/>
        <v>0</v>
      </c>
      <c r="EG276" s="182">
        <f t="shared" ref="EG276:FB276" si="583">EG109*EG$168</f>
        <v>0</v>
      </c>
      <c r="EH276" s="182">
        <f t="shared" si="583"/>
        <v>0</v>
      </c>
      <c r="EI276" s="182">
        <f t="shared" si="583"/>
        <v>0</v>
      </c>
      <c r="EJ276" s="182">
        <f t="shared" si="583"/>
        <v>0</v>
      </c>
      <c r="EK276" s="182">
        <f t="shared" si="583"/>
        <v>0</v>
      </c>
      <c r="EL276" s="182">
        <f t="shared" si="583"/>
        <v>0</v>
      </c>
      <c r="EM276" s="182">
        <f t="shared" si="583"/>
        <v>0</v>
      </c>
      <c r="EN276" s="182">
        <f t="shared" si="583"/>
        <v>0</v>
      </c>
      <c r="EO276" s="182">
        <f t="shared" si="583"/>
        <v>0</v>
      </c>
      <c r="EP276" s="182">
        <f t="shared" si="583"/>
        <v>0</v>
      </c>
      <c r="EQ276" s="182">
        <f t="shared" si="583"/>
        <v>0</v>
      </c>
      <c r="ER276" s="182">
        <f t="shared" si="583"/>
        <v>0</v>
      </c>
      <c r="ES276" s="182">
        <f t="shared" si="583"/>
        <v>0</v>
      </c>
      <c r="ET276" s="182">
        <f t="shared" si="583"/>
        <v>0</v>
      </c>
      <c r="EU276" s="182">
        <f t="shared" si="583"/>
        <v>0</v>
      </c>
      <c r="EV276" s="182">
        <f t="shared" si="583"/>
        <v>0</v>
      </c>
      <c r="EW276" s="182">
        <f t="shared" si="583"/>
        <v>0</v>
      </c>
      <c r="EX276" s="182">
        <f t="shared" si="583"/>
        <v>0</v>
      </c>
      <c r="EY276" s="182">
        <f t="shared" si="583"/>
        <v>0</v>
      </c>
      <c r="EZ276" s="182">
        <f t="shared" si="583"/>
        <v>0</v>
      </c>
      <c r="FA276" s="182">
        <f t="shared" si="583"/>
        <v>0</v>
      </c>
      <c r="FB276" s="183">
        <f t="shared" si="583"/>
        <v>0</v>
      </c>
    </row>
    <row r="277" spans="2:158" ht="12.75" customHeight="1" x14ac:dyDescent="0.3">
      <c r="B277" s="199" t="s">
        <v>3920</v>
      </c>
      <c r="C277" s="193">
        <v>0</v>
      </c>
      <c r="D277" s="182">
        <f t="shared" si="560"/>
        <v>0</v>
      </c>
      <c r="E277" s="182">
        <f t="shared" si="566"/>
        <v>0</v>
      </c>
      <c r="F277" s="182">
        <f t="shared" si="572"/>
        <v>0</v>
      </c>
      <c r="G277" s="182">
        <f t="shared" si="578"/>
        <v>0</v>
      </c>
      <c r="H277" s="182">
        <f t="shared" ref="H277:H308" si="584">H110*H$168</f>
        <v>0</v>
      </c>
      <c r="I277" s="176">
        <f t="shared" si="410"/>
        <v>0</v>
      </c>
      <c r="J277" s="182">
        <f t="shared" si="416"/>
        <v>0</v>
      </c>
      <c r="K277" s="182">
        <f t="shared" si="422"/>
        <v>0</v>
      </c>
      <c r="L277" s="182">
        <f t="shared" si="428"/>
        <v>0</v>
      </c>
      <c r="M277" s="182">
        <f t="shared" si="434"/>
        <v>0</v>
      </c>
      <c r="N277" s="182">
        <f t="shared" si="440"/>
        <v>0</v>
      </c>
      <c r="O277" s="182">
        <f t="shared" si="446"/>
        <v>0</v>
      </c>
      <c r="P277" s="182">
        <f t="shared" si="452"/>
        <v>0</v>
      </c>
      <c r="Q277" s="182">
        <f t="shared" si="458"/>
        <v>0</v>
      </c>
      <c r="R277" s="182">
        <f t="shared" si="464"/>
        <v>0</v>
      </c>
      <c r="S277" s="182">
        <f t="shared" si="470"/>
        <v>0</v>
      </c>
      <c r="T277" s="182">
        <f t="shared" si="476"/>
        <v>0</v>
      </c>
      <c r="U277" s="182">
        <f t="shared" si="482"/>
        <v>0</v>
      </c>
      <c r="V277" s="182">
        <f t="shared" si="488"/>
        <v>0</v>
      </c>
      <c r="W277" s="182">
        <f t="shared" si="494"/>
        <v>0</v>
      </c>
      <c r="X277" s="182">
        <f t="shared" si="500"/>
        <v>0</v>
      </c>
      <c r="Y277" s="182">
        <f t="shared" si="505"/>
        <v>0</v>
      </c>
      <c r="Z277" s="182">
        <f t="shared" si="510"/>
        <v>0</v>
      </c>
      <c r="AA277" s="182">
        <f t="shared" si="515"/>
        <v>0</v>
      </c>
      <c r="AB277" s="182">
        <f t="shared" si="520"/>
        <v>0</v>
      </c>
      <c r="AC277" s="182">
        <f t="shared" si="525"/>
        <v>0</v>
      </c>
      <c r="AD277" s="182">
        <f t="shared" si="530"/>
        <v>0</v>
      </c>
      <c r="AE277" s="182">
        <f t="shared" si="535"/>
        <v>0</v>
      </c>
      <c r="AF277" s="182">
        <f t="shared" si="540"/>
        <v>0</v>
      </c>
      <c r="AG277" s="182">
        <f t="shared" si="545"/>
        <v>0</v>
      </c>
      <c r="AH277" s="182">
        <f t="shared" si="550"/>
        <v>0</v>
      </c>
      <c r="AI277" s="182">
        <f t="shared" si="555"/>
        <v>0</v>
      </c>
      <c r="AJ277" s="182">
        <f t="shared" si="561"/>
        <v>0</v>
      </c>
      <c r="AK277" s="182">
        <f t="shared" si="567"/>
        <v>0</v>
      </c>
      <c r="AL277" s="182">
        <f t="shared" si="573"/>
        <v>0</v>
      </c>
      <c r="AM277" s="182">
        <f t="shared" si="579"/>
        <v>0</v>
      </c>
      <c r="AN277" s="182">
        <f t="shared" ref="AN277:AN308" si="585">AN110*AN$168</f>
        <v>0</v>
      </c>
      <c r="AO277" s="182">
        <f t="shared" si="411"/>
        <v>0</v>
      </c>
      <c r="AP277" s="182">
        <f t="shared" si="417"/>
        <v>0</v>
      </c>
      <c r="AQ277" s="182">
        <f t="shared" si="423"/>
        <v>0</v>
      </c>
      <c r="AR277" s="182">
        <f t="shared" si="429"/>
        <v>0</v>
      </c>
      <c r="AS277" s="182">
        <f t="shared" si="435"/>
        <v>0</v>
      </c>
      <c r="AT277" s="182">
        <f t="shared" si="441"/>
        <v>0</v>
      </c>
      <c r="AU277" s="182">
        <f t="shared" si="447"/>
        <v>0</v>
      </c>
      <c r="AV277" s="182">
        <f t="shared" si="453"/>
        <v>0</v>
      </c>
      <c r="AW277" s="182">
        <f t="shared" si="459"/>
        <v>0</v>
      </c>
      <c r="AX277" s="182">
        <f t="shared" si="465"/>
        <v>0</v>
      </c>
      <c r="AY277" s="182">
        <f t="shared" si="471"/>
        <v>0</v>
      </c>
      <c r="AZ277" s="182">
        <f t="shared" si="477"/>
        <v>0</v>
      </c>
      <c r="BA277" s="182">
        <f t="shared" si="483"/>
        <v>0</v>
      </c>
      <c r="BB277" s="182">
        <f t="shared" si="489"/>
        <v>0</v>
      </c>
      <c r="BC277" s="182">
        <f t="shared" si="495"/>
        <v>0</v>
      </c>
      <c r="BD277" s="182">
        <f t="shared" si="501"/>
        <v>0</v>
      </c>
      <c r="BE277" s="182">
        <f t="shared" si="506"/>
        <v>0</v>
      </c>
      <c r="BF277" s="182">
        <f t="shared" si="511"/>
        <v>0</v>
      </c>
      <c r="BG277" s="182">
        <f t="shared" si="516"/>
        <v>0</v>
      </c>
      <c r="BH277" s="182">
        <f t="shared" si="521"/>
        <v>0</v>
      </c>
      <c r="BI277" s="182">
        <f t="shared" si="526"/>
        <v>0</v>
      </c>
      <c r="BJ277" s="182">
        <f t="shared" si="531"/>
        <v>0</v>
      </c>
      <c r="BK277" s="182">
        <f t="shared" si="536"/>
        <v>0</v>
      </c>
      <c r="BL277" s="182">
        <f t="shared" si="541"/>
        <v>0</v>
      </c>
      <c r="BM277" s="182">
        <f t="shared" si="546"/>
        <v>0</v>
      </c>
      <c r="BN277" s="182">
        <f t="shared" si="551"/>
        <v>0</v>
      </c>
      <c r="BO277" s="182">
        <f t="shared" si="556"/>
        <v>0</v>
      </c>
      <c r="BP277" s="182">
        <f t="shared" si="562"/>
        <v>0</v>
      </c>
      <c r="BQ277" s="182">
        <f t="shared" si="568"/>
        <v>0</v>
      </c>
      <c r="BR277" s="182">
        <f t="shared" si="574"/>
        <v>0</v>
      </c>
      <c r="BS277" s="182">
        <f t="shared" si="580"/>
        <v>0</v>
      </c>
      <c r="BT277" s="182">
        <f t="shared" ref="BT277:BT308" si="586">BT110*BT$168</f>
        <v>0</v>
      </c>
      <c r="BU277" s="182">
        <f t="shared" si="412"/>
        <v>0</v>
      </c>
      <c r="BV277" s="182">
        <f t="shared" si="418"/>
        <v>0</v>
      </c>
      <c r="BW277" s="182">
        <f t="shared" si="424"/>
        <v>0</v>
      </c>
      <c r="BX277" s="182">
        <f t="shared" si="430"/>
        <v>0</v>
      </c>
      <c r="BY277" s="182">
        <f t="shared" si="436"/>
        <v>0</v>
      </c>
      <c r="BZ277" s="182">
        <f t="shared" si="442"/>
        <v>0</v>
      </c>
      <c r="CA277" s="182">
        <f t="shared" si="448"/>
        <v>0</v>
      </c>
      <c r="CB277" s="182">
        <f t="shared" si="454"/>
        <v>0</v>
      </c>
      <c r="CC277" s="182">
        <f t="shared" si="460"/>
        <v>0</v>
      </c>
      <c r="CD277" s="182">
        <f t="shared" si="466"/>
        <v>0</v>
      </c>
      <c r="CE277" s="182">
        <f t="shared" si="472"/>
        <v>0</v>
      </c>
      <c r="CF277" s="182">
        <f t="shared" si="478"/>
        <v>0</v>
      </c>
      <c r="CG277" s="182">
        <f t="shared" si="484"/>
        <v>0</v>
      </c>
      <c r="CH277" s="182">
        <f t="shared" si="490"/>
        <v>0</v>
      </c>
      <c r="CI277" s="182">
        <f t="shared" si="496"/>
        <v>0</v>
      </c>
      <c r="CJ277" s="182">
        <f t="shared" si="502"/>
        <v>0</v>
      </c>
      <c r="CK277" s="182">
        <f t="shared" si="507"/>
        <v>0</v>
      </c>
      <c r="CL277" s="182">
        <f t="shared" si="512"/>
        <v>0</v>
      </c>
      <c r="CM277" s="182">
        <f t="shared" si="517"/>
        <v>0</v>
      </c>
      <c r="CN277" s="182">
        <f t="shared" si="522"/>
        <v>0</v>
      </c>
      <c r="CO277" s="182">
        <f t="shared" si="527"/>
        <v>0</v>
      </c>
      <c r="CP277" s="182">
        <f t="shared" si="532"/>
        <v>0</v>
      </c>
      <c r="CQ277" s="182">
        <f t="shared" si="537"/>
        <v>0</v>
      </c>
      <c r="CR277" s="182">
        <f t="shared" si="542"/>
        <v>0</v>
      </c>
      <c r="CS277" s="182">
        <f t="shared" si="547"/>
        <v>0</v>
      </c>
      <c r="CT277" s="182">
        <f t="shared" si="552"/>
        <v>0</v>
      </c>
      <c r="CU277" s="182">
        <f t="shared" si="557"/>
        <v>0</v>
      </c>
      <c r="CV277" s="182">
        <f t="shared" si="563"/>
        <v>0</v>
      </c>
      <c r="CW277" s="182">
        <f t="shared" si="569"/>
        <v>0</v>
      </c>
      <c r="CX277" s="182">
        <f t="shared" si="575"/>
        <v>0</v>
      </c>
      <c r="CY277" s="182">
        <f t="shared" si="581"/>
        <v>0</v>
      </c>
      <c r="CZ277" s="182">
        <f t="shared" ref="CZ277:CZ308" si="587">CZ110*CZ$168</f>
        <v>0</v>
      </c>
      <c r="DA277" s="181">
        <f>$C277+SUM($D277:CZ277,DB277:$FB277)-SUM(DA$176:DA276,DA278:DA$330)-DA$331</f>
        <v>0</v>
      </c>
      <c r="DB277" s="176">
        <f t="shared" ref="DB277:EG277" si="588">DB110*DB$168</f>
        <v>0</v>
      </c>
      <c r="DC277" s="176">
        <f t="shared" si="588"/>
        <v>0</v>
      </c>
      <c r="DD277" s="176">
        <f t="shared" si="588"/>
        <v>0</v>
      </c>
      <c r="DE277" s="176">
        <f t="shared" si="588"/>
        <v>0</v>
      </c>
      <c r="DF277" s="176">
        <f t="shared" si="588"/>
        <v>0</v>
      </c>
      <c r="DG277" s="176">
        <f t="shared" si="588"/>
        <v>0</v>
      </c>
      <c r="DH277" s="176">
        <f t="shared" si="588"/>
        <v>0</v>
      </c>
      <c r="DI277" s="176">
        <f t="shared" si="588"/>
        <v>0</v>
      </c>
      <c r="DJ277" s="176">
        <f t="shared" si="588"/>
        <v>0</v>
      </c>
      <c r="DK277" s="176">
        <f t="shared" si="588"/>
        <v>0</v>
      </c>
      <c r="DL277" s="176">
        <f t="shared" si="588"/>
        <v>0</v>
      </c>
      <c r="DM277" s="176">
        <f t="shared" si="588"/>
        <v>0</v>
      </c>
      <c r="DN277" s="176">
        <f t="shared" si="588"/>
        <v>0</v>
      </c>
      <c r="DO277" s="176">
        <f t="shared" si="588"/>
        <v>0</v>
      </c>
      <c r="DP277" s="176">
        <f t="shared" si="588"/>
        <v>0</v>
      </c>
      <c r="DQ277" s="176">
        <f t="shared" si="588"/>
        <v>0</v>
      </c>
      <c r="DR277" s="176">
        <f t="shared" si="588"/>
        <v>0</v>
      </c>
      <c r="DS277" s="176">
        <f t="shared" si="588"/>
        <v>0</v>
      </c>
      <c r="DT277" s="176">
        <f t="shared" si="588"/>
        <v>0</v>
      </c>
      <c r="DU277" s="176">
        <f t="shared" si="588"/>
        <v>0</v>
      </c>
      <c r="DV277" s="176">
        <f t="shared" si="588"/>
        <v>0</v>
      </c>
      <c r="DW277" s="176">
        <f t="shared" si="588"/>
        <v>0</v>
      </c>
      <c r="DX277" s="176">
        <f t="shared" si="588"/>
        <v>0</v>
      </c>
      <c r="DY277" s="176">
        <f t="shared" si="588"/>
        <v>0</v>
      </c>
      <c r="DZ277" s="176">
        <f t="shared" si="588"/>
        <v>0</v>
      </c>
      <c r="EA277" s="176">
        <f t="shared" si="588"/>
        <v>0</v>
      </c>
      <c r="EB277" s="176">
        <f t="shared" si="588"/>
        <v>0</v>
      </c>
      <c r="EC277" s="176">
        <f t="shared" si="588"/>
        <v>0</v>
      </c>
      <c r="ED277" s="176">
        <f t="shared" si="588"/>
        <v>0</v>
      </c>
      <c r="EE277" s="176">
        <f t="shared" si="588"/>
        <v>0</v>
      </c>
      <c r="EF277" s="182">
        <f t="shared" si="588"/>
        <v>0</v>
      </c>
      <c r="EG277" s="182">
        <f t="shared" si="588"/>
        <v>0</v>
      </c>
      <c r="EH277" s="182">
        <f t="shared" ref="EH277:FB277" si="589">EH110*EH$168</f>
        <v>0</v>
      </c>
      <c r="EI277" s="182">
        <f t="shared" si="589"/>
        <v>0</v>
      </c>
      <c r="EJ277" s="182">
        <f t="shared" si="589"/>
        <v>0</v>
      </c>
      <c r="EK277" s="182">
        <f t="shared" si="589"/>
        <v>0</v>
      </c>
      <c r="EL277" s="182">
        <f t="shared" si="589"/>
        <v>0</v>
      </c>
      <c r="EM277" s="182">
        <f t="shared" si="589"/>
        <v>0</v>
      </c>
      <c r="EN277" s="182">
        <f t="shared" si="589"/>
        <v>0</v>
      </c>
      <c r="EO277" s="182">
        <f t="shared" si="589"/>
        <v>0</v>
      </c>
      <c r="EP277" s="182">
        <f t="shared" si="589"/>
        <v>0</v>
      </c>
      <c r="EQ277" s="182">
        <f t="shared" si="589"/>
        <v>0</v>
      </c>
      <c r="ER277" s="182">
        <f t="shared" si="589"/>
        <v>0</v>
      </c>
      <c r="ES277" s="182">
        <f t="shared" si="589"/>
        <v>0</v>
      </c>
      <c r="ET277" s="182">
        <f t="shared" si="589"/>
        <v>0</v>
      </c>
      <c r="EU277" s="182">
        <f t="shared" si="589"/>
        <v>0</v>
      </c>
      <c r="EV277" s="182">
        <f t="shared" si="589"/>
        <v>0</v>
      </c>
      <c r="EW277" s="182">
        <f t="shared" si="589"/>
        <v>0</v>
      </c>
      <c r="EX277" s="182">
        <f t="shared" si="589"/>
        <v>0</v>
      </c>
      <c r="EY277" s="182">
        <f t="shared" si="589"/>
        <v>0</v>
      </c>
      <c r="EZ277" s="182">
        <f t="shared" si="589"/>
        <v>0</v>
      </c>
      <c r="FA277" s="182">
        <f t="shared" si="589"/>
        <v>0</v>
      </c>
      <c r="FB277" s="183">
        <f t="shared" si="589"/>
        <v>0</v>
      </c>
    </row>
    <row r="278" spans="2:158" ht="12.75" customHeight="1" x14ac:dyDescent="0.3">
      <c r="B278" s="199" t="s">
        <v>3921</v>
      </c>
      <c r="C278" s="193">
        <v>0</v>
      </c>
      <c r="D278" s="182">
        <f t="shared" si="560"/>
        <v>0</v>
      </c>
      <c r="E278" s="182">
        <f t="shared" si="566"/>
        <v>0</v>
      </c>
      <c r="F278" s="182">
        <f t="shared" si="572"/>
        <v>0</v>
      </c>
      <c r="G278" s="182">
        <f t="shared" si="578"/>
        <v>0</v>
      </c>
      <c r="H278" s="182">
        <f t="shared" si="584"/>
        <v>0</v>
      </c>
      <c r="I278" s="176">
        <f t="shared" ref="I278:I309" si="590">I111*I$168</f>
        <v>0</v>
      </c>
      <c r="J278" s="182">
        <f t="shared" si="416"/>
        <v>0</v>
      </c>
      <c r="K278" s="182">
        <f t="shared" si="422"/>
        <v>0</v>
      </c>
      <c r="L278" s="182">
        <f t="shared" si="428"/>
        <v>0</v>
      </c>
      <c r="M278" s="182">
        <f t="shared" si="434"/>
        <v>0</v>
      </c>
      <c r="N278" s="182">
        <f t="shared" si="440"/>
        <v>0</v>
      </c>
      <c r="O278" s="182">
        <f t="shared" si="446"/>
        <v>0</v>
      </c>
      <c r="P278" s="182">
        <f t="shared" si="452"/>
        <v>0</v>
      </c>
      <c r="Q278" s="182">
        <f t="shared" si="458"/>
        <v>0</v>
      </c>
      <c r="R278" s="182">
        <f t="shared" si="464"/>
        <v>0</v>
      </c>
      <c r="S278" s="182">
        <f t="shared" si="470"/>
        <v>0</v>
      </c>
      <c r="T278" s="182">
        <f t="shared" si="476"/>
        <v>0</v>
      </c>
      <c r="U278" s="182">
        <f t="shared" si="482"/>
        <v>0</v>
      </c>
      <c r="V278" s="182">
        <f t="shared" si="488"/>
        <v>0</v>
      </c>
      <c r="W278" s="182">
        <f t="shared" si="494"/>
        <v>0</v>
      </c>
      <c r="X278" s="182">
        <f t="shared" si="500"/>
        <v>0</v>
      </c>
      <c r="Y278" s="182">
        <f t="shared" si="505"/>
        <v>0</v>
      </c>
      <c r="Z278" s="182">
        <f t="shared" si="510"/>
        <v>0</v>
      </c>
      <c r="AA278" s="182">
        <f t="shared" si="515"/>
        <v>0</v>
      </c>
      <c r="AB278" s="182">
        <f t="shared" si="520"/>
        <v>0</v>
      </c>
      <c r="AC278" s="182">
        <f t="shared" si="525"/>
        <v>0</v>
      </c>
      <c r="AD278" s="182">
        <f t="shared" si="530"/>
        <v>0</v>
      </c>
      <c r="AE278" s="182">
        <f t="shared" si="535"/>
        <v>0</v>
      </c>
      <c r="AF278" s="182">
        <f t="shared" si="540"/>
        <v>0</v>
      </c>
      <c r="AG278" s="182">
        <f t="shared" si="545"/>
        <v>0</v>
      </c>
      <c r="AH278" s="182">
        <f t="shared" si="550"/>
        <v>0</v>
      </c>
      <c r="AI278" s="182">
        <f t="shared" si="555"/>
        <v>0</v>
      </c>
      <c r="AJ278" s="182">
        <f t="shared" si="561"/>
        <v>0</v>
      </c>
      <c r="AK278" s="182">
        <f t="shared" si="567"/>
        <v>0</v>
      </c>
      <c r="AL278" s="182">
        <f t="shared" si="573"/>
        <v>0</v>
      </c>
      <c r="AM278" s="182">
        <f t="shared" si="579"/>
        <v>0</v>
      </c>
      <c r="AN278" s="182">
        <f t="shared" si="585"/>
        <v>0</v>
      </c>
      <c r="AO278" s="182">
        <f t="shared" ref="AO278:AO309" si="591">AO111*AO$168</f>
        <v>0</v>
      </c>
      <c r="AP278" s="182">
        <f t="shared" si="417"/>
        <v>0</v>
      </c>
      <c r="AQ278" s="182">
        <f t="shared" si="423"/>
        <v>0</v>
      </c>
      <c r="AR278" s="182">
        <f t="shared" si="429"/>
        <v>0</v>
      </c>
      <c r="AS278" s="182">
        <f t="shared" si="435"/>
        <v>0</v>
      </c>
      <c r="AT278" s="182">
        <f t="shared" si="441"/>
        <v>0</v>
      </c>
      <c r="AU278" s="182">
        <f t="shared" si="447"/>
        <v>0</v>
      </c>
      <c r="AV278" s="182">
        <f t="shared" si="453"/>
        <v>0</v>
      </c>
      <c r="AW278" s="182">
        <f t="shared" si="459"/>
        <v>0</v>
      </c>
      <c r="AX278" s="182">
        <f t="shared" si="465"/>
        <v>0</v>
      </c>
      <c r="AY278" s="182">
        <f t="shared" si="471"/>
        <v>0</v>
      </c>
      <c r="AZ278" s="182">
        <f t="shared" si="477"/>
        <v>0</v>
      </c>
      <c r="BA278" s="182">
        <f t="shared" si="483"/>
        <v>0</v>
      </c>
      <c r="BB278" s="182">
        <f t="shared" si="489"/>
        <v>0</v>
      </c>
      <c r="BC278" s="182">
        <f t="shared" si="495"/>
        <v>0</v>
      </c>
      <c r="BD278" s="182">
        <f t="shared" si="501"/>
        <v>0</v>
      </c>
      <c r="BE278" s="182">
        <f t="shared" si="506"/>
        <v>0</v>
      </c>
      <c r="BF278" s="182">
        <f t="shared" si="511"/>
        <v>0</v>
      </c>
      <c r="BG278" s="182">
        <f t="shared" si="516"/>
        <v>0</v>
      </c>
      <c r="BH278" s="182">
        <f t="shared" si="521"/>
        <v>0</v>
      </c>
      <c r="BI278" s="182">
        <f t="shared" si="526"/>
        <v>0</v>
      </c>
      <c r="BJ278" s="182">
        <f t="shared" si="531"/>
        <v>0</v>
      </c>
      <c r="BK278" s="182">
        <f t="shared" si="536"/>
        <v>0</v>
      </c>
      <c r="BL278" s="182">
        <f t="shared" si="541"/>
        <v>0</v>
      </c>
      <c r="BM278" s="182">
        <f t="shared" si="546"/>
        <v>0</v>
      </c>
      <c r="BN278" s="182">
        <f t="shared" si="551"/>
        <v>0</v>
      </c>
      <c r="BO278" s="182">
        <f t="shared" si="556"/>
        <v>0</v>
      </c>
      <c r="BP278" s="182">
        <f t="shared" si="562"/>
        <v>0</v>
      </c>
      <c r="BQ278" s="182">
        <f t="shared" si="568"/>
        <v>0</v>
      </c>
      <c r="BR278" s="182">
        <f t="shared" si="574"/>
        <v>0</v>
      </c>
      <c r="BS278" s="182">
        <f t="shared" si="580"/>
        <v>0</v>
      </c>
      <c r="BT278" s="182">
        <f t="shared" si="586"/>
        <v>0</v>
      </c>
      <c r="BU278" s="182">
        <f t="shared" ref="BU278:BU309" si="592">BU111*BU$168</f>
        <v>0</v>
      </c>
      <c r="BV278" s="182">
        <f t="shared" si="418"/>
        <v>0</v>
      </c>
      <c r="BW278" s="182">
        <f t="shared" si="424"/>
        <v>0</v>
      </c>
      <c r="BX278" s="182">
        <f t="shared" si="430"/>
        <v>0</v>
      </c>
      <c r="BY278" s="182">
        <f t="shared" si="436"/>
        <v>0</v>
      </c>
      <c r="BZ278" s="182">
        <f t="shared" si="442"/>
        <v>0</v>
      </c>
      <c r="CA278" s="182">
        <f t="shared" si="448"/>
        <v>0</v>
      </c>
      <c r="CB278" s="182">
        <f t="shared" si="454"/>
        <v>0</v>
      </c>
      <c r="CC278" s="182">
        <f t="shared" si="460"/>
        <v>0</v>
      </c>
      <c r="CD278" s="182">
        <f t="shared" si="466"/>
        <v>0</v>
      </c>
      <c r="CE278" s="182">
        <f t="shared" si="472"/>
        <v>0</v>
      </c>
      <c r="CF278" s="182">
        <f t="shared" si="478"/>
        <v>0</v>
      </c>
      <c r="CG278" s="182">
        <f t="shared" si="484"/>
        <v>0</v>
      </c>
      <c r="CH278" s="182">
        <f t="shared" si="490"/>
        <v>0</v>
      </c>
      <c r="CI278" s="182">
        <f t="shared" si="496"/>
        <v>0</v>
      </c>
      <c r="CJ278" s="182">
        <f t="shared" si="502"/>
        <v>0</v>
      </c>
      <c r="CK278" s="182">
        <f t="shared" si="507"/>
        <v>0</v>
      </c>
      <c r="CL278" s="182">
        <f t="shared" si="512"/>
        <v>0</v>
      </c>
      <c r="CM278" s="182">
        <f t="shared" si="517"/>
        <v>0</v>
      </c>
      <c r="CN278" s="182">
        <f t="shared" si="522"/>
        <v>0</v>
      </c>
      <c r="CO278" s="182">
        <f t="shared" si="527"/>
        <v>0</v>
      </c>
      <c r="CP278" s="182">
        <f t="shared" si="532"/>
        <v>0</v>
      </c>
      <c r="CQ278" s="182">
        <f t="shared" si="537"/>
        <v>0</v>
      </c>
      <c r="CR278" s="182">
        <f t="shared" si="542"/>
        <v>0</v>
      </c>
      <c r="CS278" s="182">
        <f t="shared" si="547"/>
        <v>0</v>
      </c>
      <c r="CT278" s="182">
        <f t="shared" si="552"/>
        <v>0</v>
      </c>
      <c r="CU278" s="182">
        <f t="shared" si="557"/>
        <v>0</v>
      </c>
      <c r="CV278" s="182">
        <f t="shared" si="563"/>
        <v>0</v>
      </c>
      <c r="CW278" s="182">
        <f t="shared" si="569"/>
        <v>0</v>
      </c>
      <c r="CX278" s="182">
        <f t="shared" si="575"/>
        <v>1.6066136438963748E-17</v>
      </c>
      <c r="CY278" s="182">
        <f t="shared" si="581"/>
        <v>0</v>
      </c>
      <c r="CZ278" s="182">
        <f t="shared" si="587"/>
        <v>0</v>
      </c>
      <c r="DA278" s="182">
        <f t="shared" ref="DA278:DA309" si="593">DA111*DA$168</f>
        <v>0</v>
      </c>
      <c r="DB278" s="181">
        <f>$C278+SUM($D278:DA278,DC278:$FB278)-SUM(DB$176:DB277,DB279:DB$330)-DB$331</f>
        <v>2.8109874342732906E-33</v>
      </c>
      <c r="DC278" s="176">
        <f t="shared" ref="DC278:EH278" si="594">DC111*DC$168</f>
        <v>0</v>
      </c>
      <c r="DD278" s="176">
        <f t="shared" si="594"/>
        <v>0</v>
      </c>
      <c r="DE278" s="176">
        <f t="shared" si="594"/>
        <v>0</v>
      </c>
      <c r="DF278" s="176">
        <f t="shared" si="594"/>
        <v>0</v>
      </c>
      <c r="DG278" s="176">
        <f t="shared" si="594"/>
        <v>0</v>
      </c>
      <c r="DH278" s="176">
        <f t="shared" si="594"/>
        <v>0</v>
      </c>
      <c r="DI278" s="176">
        <f t="shared" si="594"/>
        <v>0</v>
      </c>
      <c r="DJ278" s="176">
        <f t="shared" si="594"/>
        <v>0</v>
      </c>
      <c r="DK278" s="176">
        <f t="shared" si="594"/>
        <v>0</v>
      </c>
      <c r="DL278" s="176">
        <f t="shared" si="594"/>
        <v>0</v>
      </c>
      <c r="DM278" s="176">
        <f t="shared" si="594"/>
        <v>0</v>
      </c>
      <c r="DN278" s="176">
        <f t="shared" si="594"/>
        <v>0</v>
      </c>
      <c r="DO278" s="176">
        <f t="shared" si="594"/>
        <v>0</v>
      </c>
      <c r="DP278" s="176">
        <f t="shared" si="594"/>
        <v>0</v>
      </c>
      <c r="DQ278" s="176">
        <f t="shared" si="594"/>
        <v>0</v>
      </c>
      <c r="DR278" s="176">
        <f t="shared" si="594"/>
        <v>0</v>
      </c>
      <c r="DS278" s="176">
        <f t="shared" si="594"/>
        <v>0</v>
      </c>
      <c r="DT278" s="176">
        <f t="shared" si="594"/>
        <v>0</v>
      </c>
      <c r="DU278" s="176">
        <f t="shared" si="594"/>
        <v>0</v>
      </c>
      <c r="DV278" s="176">
        <f t="shared" si="594"/>
        <v>0</v>
      </c>
      <c r="DW278" s="176">
        <f t="shared" si="594"/>
        <v>0</v>
      </c>
      <c r="DX278" s="176">
        <f t="shared" si="594"/>
        <v>0</v>
      </c>
      <c r="DY278" s="176">
        <f t="shared" si="594"/>
        <v>0</v>
      </c>
      <c r="DZ278" s="176">
        <f t="shared" si="594"/>
        <v>0</v>
      </c>
      <c r="EA278" s="176">
        <f t="shared" si="594"/>
        <v>0</v>
      </c>
      <c r="EB278" s="176">
        <f t="shared" si="594"/>
        <v>0</v>
      </c>
      <c r="EC278" s="176">
        <f t="shared" si="594"/>
        <v>0</v>
      </c>
      <c r="ED278" s="176">
        <f t="shared" si="594"/>
        <v>0</v>
      </c>
      <c r="EE278" s="176">
        <f t="shared" si="594"/>
        <v>0</v>
      </c>
      <c r="EF278" s="182">
        <f t="shared" si="594"/>
        <v>0</v>
      </c>
      <c r="EG278" s="182">
        <f t="shared" si="594"/>
        <v>0</v>
      </c>
      <c r="EH278" s="182">
        <f t="shared" si="594"/>
        <v>0</v>
      </c>
      <c r="EI278" s="182">
        <f t="shared" ref="EI278:FB278" si="595">EI111*EI$168</f>
        <v>0</v>
      </c>
      <c r="EJ278" s="182">
        <f t="shared" si="595"/>
        <v>0</v>
      </c>
      <c r="EK278" s="182">
        <f t="shared" si="595"/>
        <v>0</v>
      </c>
      <c r="EL278" s="182">
        <f t="shared" si="595"/>
        <v>0</v>
      </c>
      <c r="EM278" s="182">
        <f t="shared" si="595"/>
        <v>0</v>
      </c>
      <c r="EN278" s="182">
        <f t="shared" si="595"/>
        <v>0</v>
      </c>
      <c r="EO278" s="182">
        <f t="shared" si="595"/>
        <v>0</v>
      </c>
      <c r="EP278" s="182">
        <f t="shared" si="595"/>
        <v>0</v>
      </c>
      <c r="EQ278" s="182">
        <f t="shared" si="595"/>
        <v>0</v>
      </c>
      <c r="ER278" s="182">
        <f t="shared" si="595"/>
        <v>0</v>
      </c>
      <c r="ES278" s="182">
        <f t="shared" si="595"/>
        <v>0</v>
      </c>
      <c r="ET278" s="182">
        <f t="shared" si="595"/>
        <v>0</v>
      </c>
      <c r="EU278" s="182">
        <f t="shared" si="595"/>
        <v>0</v>
      </c>
      <c r="EV278" s="182">
        <f t="shared" si="595"/>
        <v>0</v>
      </c>
      <c r="EW278" s="182">
        <f t="shared" si="595"/>
        <v>0</v>
      </c>
      <c r="EX278" s="182">
        <f t="shared" si="595"/>
        <v>0</v>
      </c>
      <c r="EY278" s="182">
        <f t="shared" si="595"/>
        <v>0</v>
      </c>
      <c r="EZ278" s="182">
        <f t="shared" si="595"/>
        <v>0</v>
      </c>
      <c r="FA278" s="182">
        <f t="shared" si="595"/>
        <v>0</v>
      </c>
      <c r="FB278" s="183">
        <f t="shared" si="595"/>
        <v>0</v>
      </c>
    </row>
    <row r="279" spans="2:158" ht="12.75" customHeight="1" x14ac:dyDescent="0.3">
      <c r="B279" s="199" t="s">
        <v>3922</v>
      </c>
      <c r="C279" s="193">
        <v>0</v>
      </c>
      <c r="D279" s="182">
        <f t="shared" si="560"/>
        <v>0</v>
      </c>
      <c r="E279" s="182">
        <f t="shared" si="566"/>
        <v>0</v>
      </c>
      <c r="F279" s="182">
        <f t="shared" si="572"/>
        <v>0</v>
      </c>
      <c r="G279" s="182">
        <f t="shared" si="578"/>
        <v>0</v>
      </c>
      <c r="H279" s="182">
        <f t="shared" si="584"/>
        <v>0</v>
      </c>
      <c r="I279" s="176">
        <f t="shared" si="590"/>
        <v>0</v>
      </c>
      <c r="J279" s="182">
        <f t="shared" ref="J279:J310" si="596">J112*J$168</f>
        <v>0</v>
      </c>
      <c r="K279" s="182">
        <f t="shared" si="422"/>
        <v>0</v>
      </c>
      <c r="L279" s="182">
        <f t="shared" si="428"/>
        <v>0</v>
      </c>
      <c r="M279" s="182">
        <f t="shared" si="434"/>
        <v>0</v>
      </c>
      <c r="N279" s="182">
        <f t="shared" si="440"/>
        <v>0</v>
      </c>
      <c r="O279" s="182">
        <f t="shared" si="446"/>
        <v>0</v>
      </c>
      <c r="P279" s="182">
        <f t="shared" si="452"/>
        <v>0</v>
      </c>
      <c r="Q279" s="182">
        <f t="shared" si="458"/>
        <v>0</v>
      </c>
      <c r="R279" s="182">
        <f t="shared" si="464"/>
        <v>0</v>
      </c>
      <c r="S279" s="182">
        <f t="shared" si="470"/>
        <v>0</v>
      </c>
      <c r="T279" s="182">
        <f t="shared" si="476"/>
        <v>0</v>
      </c>
      <c r="U279" s="182">
        <f t="shared" si="482"/>
        <v>0</v>
      </c>
      <c r="V279" s="182">
        <f t="shared" si="488"/>
        <v>0</v>
      </c>
      <c r="W279" s="182">
        <f t="shared" si="494"/>
        <v>0</v>
      </c>
      <c r="X279" s="182">
        <f t="shared" si="500"/>
        <v>0</v>
      </c>
      <c r="Y279" s="182">
        <f t="shared" si="505"/>
        <v>0</v>
      </c>
      <c r="Z279" s="182">
        <f t="shared" si="510"/>
        <v>0</v>
      </c>
      <c r="AA279" s="182">
        <f t="shared" si="515"/>
        <v>0</v>
      </c>
      <c r="AB279" s="182">
        <f t="shared" si="520"/>
        <v>0</v>
      </c>
      <c r="AC279" s="182">
        <f t="shared" si="525"/>
        <v>0</v>
      </c>
      <c r="AD279" s="182">
        <f t="shared" si="530"/>
        <v>0</v>
      </c>
      <c r="AE279" s="182">
        <f t="shared" si="535"/>
        <v>0</v>
      </c>
      <c r="AF279" s="182">
        <f t="shared" si="540"/>
        <v>0</v>
      </c>
      <c r="AG279" s="182">
        <f t="shared" si="545"/>
        <v>0</v>
      </c>
      <c r="AH279" s="182">
        <f t="shared" si="550"/>
        <v>0</v>
      </c>
      <c r="AI279" s="182">
        <f t="shared" si="555"/>
        <v>0</v>
      </c>
      <c r="AJ279" s="182">
        <f t="shared" si="561"/>
        <v>0</v>
      </c>
      <c r="AK279" s="182">
        <f t="shared" si="567"/>
        <v>0</v>
      </c>
      <c r="AL279" s="182">
        <f t="shared" si="573"/>
        <v>0</v>
      </c>
      <c r="AM279" s="182">
        <f t="shared" si="579"/>
        <v>0</v>
      </c>
      <c r="AN279" s="182">
        <f t="shared" si="585"/>
        <v>0</v>
      </c>
      <c r="AO279" s="182">
        <f t="shared" si="591"/>
        <v>0</v>
      </c>
      <c r="AP279" s="182">
        <f t="shared" ref="AP279:AP310" si="597">AP112*AP$168</f>
        <v>0</v>
      </c>
      <c r="AQ279" s="182">
        <f t="shared" si="423"/>
        <v>0</v>
      </c>
      <c r="AR279" s="182">
        <f t="shared" si="429"/>
        <v>0</v>
      </c>
      <c r="AS279" s="182">
        <f t="shared" si="435"/>
        <v>0</v>
      </c>
      <c r="AT279" s="182">
        <f t="shared" si="441"/>
        <v>0</v>
      </c>
      <c r="AU279" s="182">
        <f t="shared" si="447"/>
        <v>0</v>
      </c>
      <c r="AV279" s="182">
        <f t="shared" si="453"/>
        <v>0</v>
      </c>
      <c r="AW279" s="182">
        <f t="shared" si="459"/>
        <v>0</v>
      </c>
      <c r="AX279" s="182">
        <f t="shared" si="465"/>
        <v>0</v>
      </c>
      <c r="AY279" s="182">
        <f t="shared" si="471"/>
        <v>0</v>
      </c>
      <c r="AZ279" s="182">
        <f t="shared" si="477"/>
        <v>0</v>
      </c>
      <c r="BA279" s="182">
        <f t="shared" si="483"/>
        <v>0</v>
      </c>
      <c r="BB279" s="182">
        <f t="shared" si="489"/>
        <v>0</v>
      </c>
      <c r="BC279" s="182">
        <f t="shared" si="495"/>
        <v>0</v>
      </c>
      <c r="BD279" s="182">
        <f t="shared" si="501"/>
        <v>0</v>
      </c>
      <c r="BE279" s="182">
        <f t="shared" si="506"/>
        <v>0</v>
      </c>
      <c r="BF279" s="182">
        <f t="shared" si="511"/>
        <v>0</v>
      </c>
      <c r="BG279" s="182">
        <f t="shared" si="516"/>
        <v>0</v>
      </c>
      <c r="BH279" s="182">
        <f t="shared" si="521"/>
        <v>0</v>
      </c>
      <c r="BI279" s="182">
        <f t="shared" si="526"/>
        <v>0</v>
      </c>
      <c r="BJ279" s="182">
        <f t="shared" si="531"/>
        <v>0</v>
      </c>
      <c r="BK279" s="182">
        <f t="shared" si="536"/>
        <v>0</v>
      </c>
      <c r="BL279" s="182">
        <f t="shared" si="541"/>
        <v>0</v>
      </c>
      <c r="BM279" s="182">
        <f t="shared" si="546"/>
        <v>0</v>
      </c>
      <c r="BN279" s="182">
        <f t="shared" si="551"/>
        <v>0</v>
      </c>
      <c r="BO279" s="182">
        <f t="shared" si="556"/>
        <v>0</v>
      </c>
      <c r="BP279" s="182">
        <f t="shared" si="562"/>
        <v>0</v>
      </c>
      <c r="BQ279" s="182">
        <f t="shared" si="568"/>
        <v>0</v>
      </c>
      <c r="BR279" s="182">
        <f t="shared" si="574"/>
        <v>0</v>
      </c>
      <c r="BS279" s="182">
        <f t="shared" si="580"/>
        <v>0</v>
      </c>
      <c r="BT279" s="182">
        <f t="shared" si="586"/>
        <v>0</v>
      </c>
      <c r="BU279" s="182">
        <f t="shared" si="592"/>
        <v>0</v>
      </c>
      <c r="BV279" s="182">
        <f t="shared" ref="BV279:BV310" si="598">BV112*BV$168</f>
        <v>0</v>
      </c>
      <c r="BW279" s="182">
        <f t="shared" si="424"/>
        <v>0</v>
      </c>
      <c r="BX279" s="182">
        <f t="shared" si="430"/>
        <v>0</v>
      </c>
      <c r="BY279" s="182">
        <f t="shared" si="436"/>
        <v>0</v>
      </c>
      <c r="BZ279" s="182">
        <f t="shared" si="442"/>
        <v>0</v>
      </c>
      <c r="CA279" s="182">
        <f t="shared" si="448"/>
        <v>0</v>
      </c>
      <c r="CB279" s="182">
        <f t="shared" si="454"/>
        <v>0</v>
      </c>
      <c r="CC279" s="182">
        <f t="shared" si="460"/>
        <v>0</v>
      </c>
      <c r="CD279" s="182">
        <f t="shared" si="466"/>
        <v>0</v>
      </c>
      <c r="CE279" s="182">
        <f t="shared" si="472"/>
        <v>0</v>
      </c>
      <c r="CF279" s="182">
        <f t="shared" si="478"/>
        <v>0</v>
      </c>
      <c r="CG279" s="182">
        <f t="shared" si="484"/>
        <v>0</v>
      </c>
      <c r="CH279" s="182">
        <f t="shared" si="490"/>
        <v>0</v>
      </c>
      <c r="CI279" s="182">
        <f t="shared" si="496"/>
        <v>0</v>
      </c>
      <c r="CJ279" s="182">
        <f t="shared" si="502"/>
        <v>0</v>
      </c>
      <c r="CK279" s="182">
        <f t="shared" si="507"/>
        <v>0</v>
      </c>
      <c r="CL279" s="182">
        <f t="shared" si="512"/>
        <v>0</v>
      </c>
      <c r="CM279" s="182">
        <f t="shared" si="517"/>
        <v>0</v>
      </c>
      <c r="CN279" s="182">
        <f t="shared" si="522"/>
        <v>0</v>
      </c>
      <c r="CO279" s="182">
        <f t="shared" si="527"/>
        <v>0</v>
      </c>
      <c r="CP279" s="182">
        <f t="shared" si="532"/>
        <v>0</v>
      </c>
      <c r="CQ279" s="182">
        <f t="shared" si="537"/>
        <v>0</v>
      </c>
      <c r="CR279" s="182">
        <f t="shared" si="542"/>
        <v>0</v>
      </c>
      <c r="CS279" s="182">
        <f t="shared" si="547"/>
        <v>0</v>
      </c>
      <c r="CT279" s="182">
        <f t="shared" si="552"/>
        <v>0</v>
      </c>
      <c r="CU279" s="182">
        <f t="shared" si="557"/>
        <v>0</v>
      </c>
      <c r="CV279" s="182">
        <f t="shared" si="563"/>
        <v>0</v>
      </c>
      <c r="CW279" s="182">
        <f t="shared" si="569"/>
        <v>0</v>
      </c>
      <c r="CX279" s="182">
        <f t="shared" si="575"/>
        <v>0</v>
      </c>
      <c r="CY279" s="182">
        <f t="shared" si="581"/>
        <v>556.32543394970287</v>
      </c>
      <c r="CZ279" s="182">
        <f t="shared" si="587"/>
        <v>0</v>
      </c>
      <c r="DA279" s="182">
        <f t="shared" si="593"/>
        <v>0</v>
      </c>
      <c r="DB279" s="182">
        <f t="shared" ref="DB279:DB310" si="599">DB112*DB$168</f>
        <v>3.4315366607274359E-18</v>
      </c>
      <c r="DC279" s="181">
        <f>$C279+SUM($D279:DB279,DD279:$FB279)-SUM(DC$176:DC278,DC280:DC$330)-DC$331</f>
        <v>-1.6711632078170169E-13</v>
      </c>
      <c r="DD279" s="176">
        <f t="shared" ref="DD279:EI279" si="600">DD112*DD$168</f>
        <v>0</v>
      </c>
      <c r="DE279" s="176">
        <f t="shared" si="600"/>
        <v>0</v>
      </c>
      <c r="DF279" s="176">
        <f t="shared" si="600"/>
        <v>0</v>
      </c>
      <c r="DG279" s="176">
        <f t="shared" si="600"/>
        <v>0</v>
      </c>
      <c r="DH279" s="176">
        <f t="shared" si="600"/>
        <v>0</v>
      </c>
      <c r="DI279" s="176">
        <f t="shared" si="600"/>
        <v>0</v>
      </c>
      <c r="DJ279" s="176">
        <f t="shared" si="600"/>
        <v>0</v>
      </c>
      <c r="DK279" s="176">
        <f t="shared" si="600"/>
        <v>0</v>
      </c>
      <c r="DL279" s="176">
        <f t="shared" si="600"/>
        <v>0</v>
      </c>
      <c r="DM279" s="176">
        <f t="shared" si="600"/>
        <v>0</v>
      </c>
      <c r="DN279" s="176">
        <f t="shared" si="600"/>
        <v>0</v>
      </c>
      <c r="DO279" s="176">
        <f t="shared" si="600"/>
        <v>0</v>
      </c>
      <c r="DP279" s="176">
        <f t="shared" si="600"/>
        <v>0</v>
      </c>
      <c r="DQ279" s="176">
        <f t="shared" si="600"/>
        <v>0</v>
      </c>
      <c r="DR279" s="176">
        <f t="shared" si="600"/>
        <v>0</v>
      </c>
      <c r="DS279" s="176">
        <f t="shared" si="600"/>
        <v>0</v>
      </c>
      <c r="DT279" s="176">
        <f t="shared" si="600"/>
        <v>0</v>
      </c>
      <c r="DU279" s="176">
        <f t="shared" si="600"/>
        <v>0</v>
      </c>
      <c r="DV279" s="176">
        <f t="shared" si="600"/>
        <v>0</v>
      </c>
      <c r="DW279" s="176">
        <f t="shared" si="600"/>
        <v>0</v>
      </c>
      <c r="DX279" s="176">
        <f t="shared" si="600"/>
        <v>0</v>
      </c>
      <c r="DY279" s="176">
        <f t="shared" si="600"/>
        <v>0</v>
      </c>
      <c r="DZ279" s="176">
        <f t="shared" si="600"/>
        <v>0</v>
      </c>
      <c r="EA279" s="176">
        <f t="shared" si="600"/>
        <v>0</v>
      </c>
      <c r="EB279" s="176">
        <f t="shared" si="600"/>
        <v>0</v>
      </c>
      <c r="EC279" s="176">
        <f t="shared" si="600"/>
        <v>0</v>
      </c>
      <c r="ED279" s="176">
        <f t="shared" si="600"/>
        <v>0</v>
      </c>
      <c r="EE279" s="176">
        <f t="shared" si="600"/>
        <v>0</v>
      </c>
      <c r="EF279" s="182">
        <f t="shared" si="600"/>
        <v>0</v>
      </c>
      <c r="EG279" s="182">
        <f t="shared" si="600"/>
        <v>0</v>
      </c>
      <c r="EH279" s="182">
        <f t="shared" si="600"/>
        <v>0</v>
      </c>
      <c r="EI279" s="182">
        <f t="shared" si="600"/>
        <v>0</v>
      </c>
      <c r="EJ279" s="182">
        <f t="shared" ref="EJ279:FB279" si="601">EJ112*EJ$168</f>
        <v>0</v>
      </c>
      <c r="EK279" s="182">
        <f t="shared" si="601"/>
        <v>0</v>
      </c>
      <c r="EL279" s="182">
        <f t="shared" si="601"/>
        <v>0</v>
      </c>
      <c r="EM279" s="182">
        <f t="shared" si="601"/>
        <v>0</v>
      </c>
      <c r="EN279" s="182">
        <f t="shared" si="601"/>
        <v>0</v>
      </c>
      <c r="EO279" s="182">
        <f t="shared" si="601"/>
        <v>0</v>
      </c>
      <c r="EP279" s="182">
        <f t="shared" si="601"/>
        <v>0</v>
      </c>
      <c r="EQ279" s="182">
        <f t="shared" si="601"/>
        <v>0</v>
      </c>
      <c r="ER279" s="182">
        <f t="shared" si="601"/>
        <v>0</v>
      </c>
      <c r="ES279" s="182">
        <f t="shared" si="601"/>
        <v>0</v>
      </c>
      <c r="ET279" s="182">
        <f t="shared" si="601"/>
        <v>0</v>
      </c>
      <c r="EU279" s="182">
        <f t="shared" si="601"/>
        <v>0</v>
      </c>
      <c r="EV279" s="182">
        <f t="shared" si="601"/>
        <v>0</v>
      </c>
      <c r="EW279" s="182">
        <f t="shared" si="601"/>
        <v>0</v>
      </c>
      <c r="EX279" s="182">
        <f t="shared" si="601"/>
        <v>0</v>
      </c>
      <c r="EY279" s="182">
        <f t="shared" si="601"/>
        <v>0</v>
      </c>
      <c r="EZ279" s="182">
        <f t="shared" si="601"/>
        <v>0</v>
      </c>
      <c r="FA279" s="182">
        <f t="shared" si="601"/>
        <v>0</v>
      </c>
      <c r="FB279" s="183">
        <f t="shared" si="601"/>
        <v>0</v>
      </c>
    </row>
    <row r="280" spans="2:158" ht="12.75" customHeight="1" x14ac:dyDescent="0.3">
      <c r="B280" s="199" t="s">
        <v>3923</v>
      </c>
      <c r="C280" s="193">
        <v>0</v>
      </c>
      <c r="D280" s="182">
        <f t="shared" si="560"/>
        <v>0</v>
      </c>
      <c r="E280" s="182">
        <f t="shared" si="566"/>
        <v>0</v>
      </c>
      <c r="F280" s="182">
        <f t="shared" si="572"/>
        <v>0</v>
      </c>
      <c r="G280" s="182">
        <f t="shared" si="578"/>
        <v>0</v>
      </c>
      <c r="H280" s="182">
        <f t="shared" si="584"/>
        <v>0</v>
      </c>
      <c r="I280" s="176">
        <f t="shared" si="590"/>
        <v>0</v>
      </c>
      <c r="J280" s="182">
        <f t="shared" si="596"/>
        <v>0</v>
      </c>
      <c r="K280" s="182">
        <f t="shared" ref="K280:K311" si="602">K113*K$168</f>
        <v>0</v>
      </c>
      <c r="L280" s="182">
        <f t="shared" si="428"/>
        <v>0</v>
      </c>
      <c r="M280" s="182">
        <f t="shared" si="434"/>
        <v>0</v>
      </c>
      <c r="N280" s="182">
        <f t="shared" si="440"/>
        <v>0</v>
      </c>
      <c r="O280" s="182">
        <f t="shared" si="446"/>
        <v>0</v>
      </c>
      <c r="P280" s="182">
        <f t="shared" si="452"/>
        <v>0</v>
      </c>
      <c r="Q280" s="182">
        <f t="shared" si="458"/>
        <v>0</v>
      </c>
      <c r="R280" s="182">
        <f t="shared" si="464"/>
        <v>0</v>
      </c>
      <c r="S280" s="182">
        <f t="shared" si="470"/>
        <v>0</v>
      </c>
      <c r="T280" s="182">
        <f t="shared" si="476"/>
        <v>0</v>
      </c>
      <c r="U280" s="182">
        <f t="shared" si="482"/>
        <v>0</v>
      </c>
      <c r="V280" s="182">
        <f t="shared" si="488"/>
        <v>0</v>
      </c>
      <c r="W280" s="182">
        <f t="shared" si="494"/>
        <v>0</v>
      </c>
      <c r="X280" s="182">
        <f t="shared" si="500"/>
        <v>0</v>
      </c>
      <c r="Y280" s="182">
        <f t="shared" si="505"/>
        <v>0</v>
      </c>
      <c r="Z280" s="182">
        <f t="shared" si="510"/>
        <v>0</v>
      </c>
      <c r="AA280" s="182">
        <f t="shared" si="515"/>
        <v>0</v>
      </c>
      <c r="AB280" s="182">
        <f t="shared" si="520"/>
        <v>0</v>
      </c>
      <c r="AC280" s="182">
        <f t="shared" si="525"/>
        <v>0</v>
      </c>
      <c r="AD280" s="182">
        <f t="shared" si="530"/>
        <v>0</v>
      </c>
      <c r="AE280" s="182">
        <f t="shared" si="535"/>
        <v>0</v>
      </c>
      <c r="AF280" s="182">
        <f t="shared" si="540"/>
        <v>0</v>
      </c>
      <c r="AG280" s="182">
        <f t="shared" si="545"/>
        <v>0</v>
      </c>
      <c r="AH280" s="182">
        <f t="shared" si="550"/>
        <v>0</v>
      </c>
      <c r="AI280" s="182">
        <f t="shared" si="555"/>
        <v>0</v>
      </c>
      <c r="AJ280" s="182">
        <f t="shared" si="561"/>
        <v>0</v>
      </c>
      <c r="AK280" s="182">
        <f t="shared" si="567"/>
        <v>0</v>
      </c>
      <c r="AL280" s="182">
        <f t="shared" si="573"/>
        <v>0</v>
      </c>
      <c r="AM280" s="182">
        <f t="shared" si="579"/>
        <v>0</v>
      </c>
      <c r="AN280" s="182">
        <f t="shared" si="585"/>
        <v>0</v>
      </c>
      <c r="AO280" s="182">
        <f t="shared" si="591"/>
        <v>0</v>
      </c>
      <c r="AP280" s="182">
        <f t="shared" si="597"/>
        <v>0</v>
      </c>
      <c r="AQ280" s="182">
        <f t="shared" ref="AQ280:AQ311" si="603">AQ113*AQ$168</f>
        <v>0</v>
      </c>
      <c r="AR280" s="182">
        <f t="shared" si="429"/>
        <v>0</v>
      </c>
      <c r="AS280" s="182">
        <f t="shared" si="435"/>
        <v>0</v>
      </c>
      <c r="AT280" s="182">
        <f t="shared" si="441"/>
        <v>0</v>
      </c>
      <c r="AU280" s="182">
        <f t="shared" si="447"/>
        <v>0</v>
      </c>
      <c r="AV280" s="182">
        <f t="shared" si="453"/>
        <v>0</v>
      </c>
      <c r="AW280" s="182">
        <f t="shared" si="459"/>
        <v>0</v>
      </c>
      <c r="AX280" s="182">
        <f t="shared" si="465"/>
        <v>0</v>
      </c>
      <c r="AY280" s="182">
        <f t="shared" si="471"/>
        <v>0</v>
      </c>
      <c r="AZ280" s="182">
        <f t="shared" si="477"/>
        <v>0</v>
      </c>
      <c r="BA280" s="182">
        <f t="shared" si="483"/>
        <v>0</v>
      </c>
      <c r="BB280" s="182">
        <f t="shared" si="489"/>
        <v>0</v>
      </c>
      <c r="BC280" s="182">
        <f t="shared" si="495"/>
        <v>0</v>
      </c>
      <c r="BD280" s="182">
        <f t="shared" si="501"/>
        <v>0</v>
      </c>
      <c r="BE280" s="182">
        <f t="shared" si="506"/>
        <v>0</v>
      </c>
      <c r="BF280" s="182">
        <f t="shared" si="511"/>
        <v>0</v>
      </c>
      <c r="BG280" s="182">
        <f t="shared" si="516"/>
        <v>0</v>
      </c>
      <c r="BH280" s="182">
        <f t="shared" si="521"/>
        <v>0</v>
      </c>
      <c r="BI280" s="182">
        <f t="shared" si="526"/>
        <v>0</v>
      </c>
      <c r="BJ280" s="182">
        <f t="shared" si="531"/>
        <v>0</v>
      </c>
      <c r="BK280" s="182">
        <f t="shared" si="536"/>
        <v>0</v>
      </c>
      <c r="BL280" s="182">
        <f t="shared" si="541"/>
        <v>0</v>
      </c>
      <c r="BM280" s="182">
        <f t="shared" si="546"/>
        <v>0</v>
      </c>
      <c r="BN280" s="182">
        <f t="shared" si="551"/>
        <v>0</v>
      </c>
      <c r="BO280" s="182">
        <f t="shared" si="556"/>
        <v>0</v>
      </c>
      <c r="BP280" s="182">
        <f t="shared" si="562"/>
        <v>0</v>
      </c>
      <c r="BQ280" s="182">
        <f t="shared" si="568"/>
        <v>0</v>
      </c>
      <c r="BR280" s="182">
        <f t="shared" si="574"/>
        <v>0</v>
      </c>
      <c r="BS280" s="182">
        <f t="shared" si="580"/>
        <v>0</v>
      </c>
      <c r="BT280" s="182">
        <f t="shared" si="586"/>
        <v>0</v>
      </c>
      <c r="BU280" s="182">
        <f t="shared" si="592"/>
        <v>0</v>
      </c>
      <c r="BV280" s="182">
        <f t="shared" si="598"/>
        <v>0</v>
      </c>
      <c r="BW280" s="182">
        <f t="shared" ref="BW280:BW311" si="604">BW113*BW$168</f>
        <v>0</v>
      </c>
      <c r="BX280" s="182">
        <f t="shared" si="430"/>
        <v>0</v>
      </c>
      <c r="BY280" s="182">
        <f t="shared" si="436"/>
        <v>0</v>
      </c>
      <c r="BZ280" s="182">
        <f t="shared" si="442"/>
        <v>0</v>
      </c>
      <c r="CA280" s="182">
        <f t="shared" si="448"/>
        <v>0</v>
      </c>
      <c r="CB280" s="182">
        <f t="shared" si="454"/>
        <v>0</v>
      </c>
      <c r="CC280" s="182">
        <f t="shared" si="460"/>
        <v>0</v>
      </c>
      <c r="CD280" s="182">
        <f t="shared" si="466"/>
        <v>0</v>
      </c>
      <c r="CE280" s="182">
        <f t="shared" si="472"/>
        <v>0</v>
      </c>
      <c r="CF280" s="182">
        <f t="shared" si="478"/>
        <v>0</v>
      </c>
      <c r="CG280" s="182">
        <f t="shared" si="484"/>
        <v>0</v>
      </c>
      <c r="CH280" s="182">
        <f t="shared" si="490"/>
        <v>0</v>
      </c>
      <c r="CI280" s="182">
        <f t="shared" si="496"/>
        <v>0</v>
      </c>
      <c r="CJ280" s="182">
        <f t="shared" si="502"/>
        <v>0</v>
      </c>
      <c r="CK280" s="182">
        <f t="shared" si="507"/>
        <v>0</v>
      </c>
      <c r="CL280" s="182">
        <f t="shared" si="512"/>
        <v>0</v>
      </c>
      <c r="CM280" s="182">
        <f t="shared" si="517"/>
        <v>0</v>
      </c>
      <c r="CN280" s="182">
        <f t="shared" si="522"/>
        <v>0</v>
      </c>
      <c r="CO280" s="182">
        <f t="shared" si="527"/>
        <v>0</v>
      </c>
      <c r="CP280" s="182">
        <f t="shared" si="532"/>
        <v>0</v>
      </c>
      <c r="CQ280" s="182">
        <f t="shared" si="537"/>
        <v>0</v>
      </c>
      <c r="CR280" s="182">
        <f t="shared" si="542"/>
        <v>0</v>
      </c>
      <c r="CS280" s="182">
        <f t="shared" si="547"/>
        <v>0</v>
      </c>
      <c r="CT280" s="182">
        <f t="shared" si="552"/>
        <v>0</v>
      </c>
      <c r="CU280" s="182">
        <f t="shared" si="557"/>
        <v>0</v>
      </c>
      <c r="CV280" s="182">
        <f t="shared" si="563"/>
        <v>0</v>
      </c>
      <c r="CW280" s="182">
        <f t="shared" si="569"/>
        <v>0</v>
      </c>
      <c r="CX280" s="182">
        <f t="shared" si="575"/>
        <v>0</v>
      </c>
      <c r="CY280" s="182">
        <f t="shared" si="581"/>
        <v>0</v>
      </c>
      <c r="CZ280" s="182">
        <f t="shared" si="587"/>
        <v>8.360313627150898</v>
      </c>
      <c r="DA280" s="182">
        <f t="shared" si="593"/>
        <v>0</v>
      </c>
      <c r="DB280" s="182">
        <f t="shared" si="599"/>
        <v>1.2634589306940147E-17</v>
      </c>
      <c r="DC280" s="182">
        <f t="shared" ref="DC280:DC311" si="605">DC113*DC$168</f>
        <v>0</v>
      </c>
      <c r="DD280" s="181">
        <f>$C280+SUM($D280:DC280,DE280:$FB280)-SUM(DD$176:DD279,DD281:DD$330)-DD$331</f>
        <v>-1.5981140022436335E-15</v>
      </c>
      <c r="DE280" s="176">
        <f t="shared" ref="DE280:EJ280" si="606">DE113*DE$168</f>
        <v>0</v>
      </c>
      <c r="DF280" s="176">
        <f t="shared" si="606"/>
        <v>0</v>
      </c>
      <c r="DG280" s="176">
        <f t="shared" si="606"/>
        <v>0</v>
      </c>
      <c r="DH280" s="176">
        <f t="shared" si="606"/>
        <v>0</v>
      </c>
      <c r="DI280" s="176">
        <f t="shared" si="606"/>
        <v>0</v>
      </c>
      <c r="DJ280" s="176">
        <f t="shared" si="606"/>
        <v>0</v>
      </c>
      <c r="DK280" s="176">
        <f t="shared" si="606"/>
        <v>0</v>
      </c>
      <c r="DL280" s="176">
        <f t="shared" si="606"/>
        <v>0</v>
      </c>
      <c r="DM280" s="176">
        <f t="shared" si="606"/>
        <v>0</v>
      </c>
      <c r="DN280" s="176">
        <f t="shared" si="606"/>
        <v>0</v>
      </c>
      <c r="DO280" s="176">
        <f t="shared" si="606"/>
        <v>0</v>
      </c>
      <c r="DP280" s="176">
        <f t="shared" si="606"/>
        <v>0</v>
      </c>
      <c r="DQ280" s="176">
        <f t="shared" si="606"/>
        <v>0</v>
      </c>
      <c r="DR280" s="176">
        <f t="shared" si="606"/>
        <v>0</v>
      </c>
      <c r="DS280" s="176">
        <f t="shared" si="606"/>
        <v>0</v>
      </c>
      <c r="DT280" s="176">
        <f t="shared" si="606"/>
        <v>0</v>
      </c>
      <c r="DU280" s="176">
        <f t="shared" si="606"/>
        <v>0</v>
      </c>
      <c r="DV280" s="176">
        <f t="shared" si="606"/>
        <v>0</v>
      </c>
      <c r="DW280" s="176">
        <f t="shared" si="606"/>
        <v>0</v>
      </c>
      <c r="DX280" s="176">
        <f t="shared" si="606"/>
        <v>0</v>
      </c>
      <c r="DY280" s="176">
        <f t="shared" si="606"/>
        <v>0</v>
      </c>
      <c r="DZ280" s="176">
        <f t="shared" si="606"/>
        <v>0</v>
      </c>
      <c r="EA280" s="176">
        <f t="shared" si="606"/>
        <v>0</v>
      </c>
      <c r="EB280" s="176">
        <f t="shared" si="606"/>
        <v>0</v>
      </c>
      <c r="EC280" s="176">
        <f t="shared" si="606"/>
        <v>0</v>
      </c>
      <c r="ED280" s="176">
        <f t="shared" si="606"/>
        <v>0</v>
      </c>
      <c r="EE280" s="176">
        <f t="shared" si="606"/>
        <v>0</v>
      </c>
      <c r="EF280" s="182">
        <f t="shared" si="606"/>
        <v>0</v>
      </c>
      <c r="EG280" s="182">
        <f t="shared" si="606"/>
        <v>0</v>
      </c>
      <c r="EH280" s="182">
        <f t="shared" si="606"/>
        <v>0</v>
      </c>
      <c r="EI280" s="182">
        <f t="shared" si="606"/>
        <v>0</v>
      </c>
      <c r="EJ280" s="182">
        <f t="shared" si="606"/>
        <v>0</v>
      </c>
      <c r="EK280" s="182">
        <f t="shared" ref="EK280:FB280" si="607">EK113*EK$168</f>
        <v>0</v>
      </c>
      <c r="EL280" s="182">
        <f t="shared" si="607"/>
        <v>0</v>
      </c>
      <c r="EM280" s="182">
        <f t="shared" si="607"/>
        <v>0</v>
      </c>
      <c r="EN280" s="182">
        <f t="shared" si="607"/>
        <v>0</v>
      </c>
      <c r="EO280" s="182">
        <f t="shared" si="607"/>
        <v>0</v>
      </c>
      <c r="EP280" s="182">
        <f t="shared" si="607"/>
        <v>0</v>
      </c>
      <c r="EQ280" s="182">
        <f t="shared" si="607"/>
        <v>0</v>
      </c>
      <c r="ER280" s="182">
        <f t="shared" si="607"/>
        <v>0</v>
      </c>
      <c r="ES280" s="182">
        <f t="shared" si="607"/>
        <v>0</v>
      </c>
      <c r="ET280" s="182">
        <f t="shared" si="607"/>
        <v>0</v>
      </c>
      <c r="EU280" s="182">
        <f t="shared" si="607"/>
        <v>0</v>
      </c>
      <c r="EV280" s="182">
        <f t="shared" si="607"/>
        <v>0</v>
      </c>
      <c r="EW280" s="182">
        <f t="shared" si="607"/>
        <v>0</v>
      </c>
      <c r="EX280" s="182">
        <f t="shared" si="607"/>
        <v>0</v>
      </c>
      <c r="EY280" s="182">
        <f t="shared" si="607"/>
        <v>0</v>
      </c>
      <c r="EZ280" s="182">
        <f t="shared" si="607"/>
        <v>0</v>
      </c>
      <c r="FA280" s="182">
        <f t="shared" si="607"/>
        <v>0</v>
      </c>
      <c r="FB280" s="183">
        <f t="shared" si="607"/>
        <v>0</v>
      </c>
    </row>
    <row r="281" spans="2:158" ht="12.75" customHeight="1" x14ac:dyDescent="0.3">
      <c r="B281" s="199" t="s">
        <v>3924</v>
      </c>
      <c r="C281" s="193">
        <v>0</v>
      </c>
      <c r="D281" s="182">
        <f t="shared" si="560"/>
        <v>0</v>
      </c>
      <c r="E281" s="182">
        <f t="shared" si="566"/>
        <v>0</v>
      </c>
      <c r="F281" s="182">
        <f t="shared" si="572"/>
        <v>0</v>
      </c>
      <c r="G281" s="182">
        <f t="shared" si="578"/>
        <v>0</v>
      </c>
      <c r="H281" s="182">
        <f t="shared" si="584"/>
        <v>0</v>
      </c>
      <c r="I281" s="176">
        <f t="shared" si="590"/>
        <v>0</v>
      </c>
      <c r="J281" s="182">
        <f t="shared" si="596"/>
        <v>0</v>
      </c>
      <c r="K281" s="182">
        <f t="shared" si="602"/>
        <v>0</v>
      </c>
      <c r="L281" s="182">
        <f t="shared" ref="L281:L312" si="608">L114*L$168</f>
        <v>0</v>
      </c>
      <c r="M281" s="182">
        <f t="shared" si="434"/>
        <v>0</v>
      </c>
      <c r="N281" s="182">
        <f t="shared" si="440"/>
        <v>0</v>
      </c>
      <c r="O281" s="182">
        <f t="shared" si="446"/>
        <v>0</v>
      </c>
      <c r="P281" s="182">
        <f t="shared" si="452"/>
        <v>0</v>
      </c>
      <c r="Q281" s="182">
        <f t="shared" si="458"/>
        <v>0</v>
      </c>
      <c r="R281" s="182">
        <f t="shared" si="464"/>
        <v>0</v>
      </c>
      <c r="S281" s="182">
        <f t="shared" si="470"/>
        <v>0</v>
      </c>
      <c r="T281" s="182">
        <f t="shared" si="476"/>
        <v>0</v>
      </c>
      <c r="U281" s="182">
        <f t="shared" si="482"/>
        <v>0</v>
      </c>
      <c r="V281" s="182">
        <f t="shared" si="488"/>
        <v>0</v>
      </c>
      <c r="W281" s="182">
        <f t="shared" si="494"/>
        <v>0</v>
      </c>
      <c r="X281" s="182">
        <f t="shared" si="500"/>
        <v>0</v>
      </c>
      <c r="Y281" s="182">
        <f t="shared" si="505"/>
        <v>0</v>
      </c>
      <c r="Z281" s="182">
        <f t="shared" si="510"/>
        <v>0</v>
      </c>
      <c r="AA281" s="182">
        <f t="shared" si="515"/>
        <v>0</v>
      </c>
      <c r="AB281" s="182">
        <f t="shared" si="520"/>
        <v>0</v>
      </c>
      <c r="AC281" s="182">
        <f t="shared" si="525"/>
        <v>0</v>
      </c>
      <c r="AD281" s="182">
        <f t="shared" si="530"/>
        <v>0</v>
      </c>
      <c r="AE281" s="182">
        <f t="shared" si="535"/>
        <v>0</v>
      </c>
      <c r="AF281" s="182">
        <f t="shared" si="540"/>
        <v>0</v>
      </c>
      <c r="AG281" s="182">
        <f t="shared" si="545"/>
        <v>0</v>
      </c>
      <c r="AH281" s="182">
        <f t="shared" si="550"/>
        <v>0</v>
      </c>
      <c r="AI281" s="182">
        <f t="shared" si="555"/>
        <v>0</v>
      </c>
      <c r="AJ281" s="182">
        <f t="shared" si="561"/>
        <v>0</v>
      </c>
      <c r="AK281" s="182">
        <f t="shared" si="567"/>
        <v>0</v>
      </c>
      <c r="AL281" s="182">
        <f t="shared" si="573"/>
        <v>0</v>
      </c>
      <c r="AM281" s="182">
        <f t="shared" si="579"/>
        <v>0</v>
      </c>
      <c r="AN281" s="182">
        <f t="shared" si="585"/>
        <v>0</v>
      </c>
      <c r="AO281" s="182">
        <f t="shared" si="591"/>
        <v>0</v>
      </c>
      <c r="AP281" s="182">
        <f t="shared" si="597"/>
        <v>0</v>
      </c>
      <c r="AQ281" s="182">
        <f t="shared" si="603"/>
        <v>0</v>
      </c>
      <c r="AR281" s="182">
        <f t="shared" ref="AR281:AR312" si="609">AR114*AR$168</f>
        <v>0</v>
      </c>
      <c r="AS281" s="182">
        <f t="shared" si="435"/>
        <v>0</v>
      </c>
      <c r="AT281" s="182">
        <f t="shared" si="441"/>
        <v>0</v>
      </c>
      <c r="AU281" s="182">
        <f t="shared" si="447"/>
        <v>0</v>
      </c>
      <c r="AV281" s="182">
        <f t="shared" si="453"/>
        <v>0</v>
      </c>
      <c r="AW281" s="182">
        <f t="shared" si="459"/>
        <v>0</v>
      </c>
      <c r="AX281" s="182">
        <f t="shared" si="465"/>
        <v>0</v>
      </c>
      <c r="AY281" s="182">
        <f t="shared" si="471"/>
        <v>0</v>
      </c>
      <c r="AZ281" s="182">
        <f t="shared" si="477"/>
        <v>0</v>
      </c>
      <c r="BA281" s="182">
        <f t="shared" si="483"/>
        <v>0</v>
      </c>
      <c r="BB281" s="182">
        <f t="shared" si="489"/>
        <v>0</v>
      </c>
      <c r="BC281" s="182">
        <f t="shared" si="495"/>
        <v>0</v>
      </c>
      <c r="BD281" s="182">
        <f t="shared" si="501"/>
        <v>0</v>
      </c>
      <c r="BE281" s="182">
        <f t="shared" si="506"/>
        <v>0</v>
      </c>
      <c r="BF281" s="182">
        <f t="shared" si="511"/>
        <v>0</v>
      </c>
      <c r="BG281" s="182">
        <f t="shared" si="516"/>
        <v>0</v>
      </c>
      <c r="BH281" s="182">
        <f t="shared" si="521"/>
        <v>0</v>
      </c>
      <c r="BI281" s="182">
        <f t="shared" si="526"/>
        <v>0</v>
      </c>
      <c r="BJ281" s="182">
        <f t="shared" si="531"/>
        <v>0</v>
      </c>
      <c r="BK281" s="182">
        <f t="shared" si="536"/>
        <v>0</v>
      </c>
      <c r="BL281" s="182">
        <f t="shared" si="541"/>
        <v>0</v>
      </c>
      <c r="BM281" s="182">
        <f t="shared" si="546"/>
        <v>0</v>
      </c>
      <c r="BN281" s="182">
        <f t="shared" si="551"/>
        <v>0</v>
      </c>
      <c r="BO281" s="182">
        <f t="shared" si="556"/>
        <v>0</v>
      </c>
      <c r="BP281" s="182">
        <f t="shared" si="562"/>
        <v>0</v>
      </c>
      <c r="BQ281" s="182">
        <f t="shared" si="568"/>
        <v>0</v>
      </c>
      <c r="BR281" s="182">
        <f t="shared" si="574"/>
        <v>0</v>
      </c>
      <c r="BS281" s="182">
        <f t="shared" si="580"/>
        <v>0</v>
      </c>
      <c r="BT281" s="182">
        <f t="shared" si="586"/>
        <v>0</v>
      </c>
      <c r="BU281" s="182">
        <f t="shared" si="592"/>
        <v>0</v>
      </c>
      <c r="BV281" s="182">
        <f t="shared" si="598"/>
        <v>0</v>
      </c>
      <c r="BW281" s="182">
        <f t="shared" si="604"/>
        <v>0</v>
      </c>
      <c r="BX281" s="182">
        <f t="shared" ref="BX281:BX312" si="610">BX114*BX$168</f>
        <v>0</v>
      </c>
      <c r="BY281" s="182">
        <f t="shared" si="436"/>
        <v>0</v>
      </c>
      <c r="BZ281" s="182">
        <f t="shared" si="442"/>
        <v>0</v>
      </c>
      <c r="CA281" s="182">
        <f t="shared" si="448"/>
        <v>0</v>
      </c>
      <c r="CB281" s="182">
        <f t="shared" si="454"/>
        <v>0</v>
      </c>
      <c r="CC281" s="182">
        <f t="shared" si="460"/>
        <v>0</v>
      </c>
      <c r="CD281" s="182">
        <f t="shared" si="466"/>
        <v>0</v>
      </c>
      <c r="CE281" s="182">
        <f t="shared" si="472"/>
        <v>0</v>
      </c>
      <c r="CF281" s="182">
        <f t="shared" si="478"/>
        <v>0</v>
      </c>
      <c r="CG281" s="182">
        <f t="shared" si="484"/>
        <v>0</v>
      </c>
      <c r="CH281" s="182">
        <f t="shared" si="490"/>
        <v>0</v>
      </c>
      <c r="CI281" s="182">
        <f t="shared" si="496"/>
        <v>0</v>
      </c>
      <c r="CJ281" s="182">
        <f t="shared" si="502"/>
        <v>0</v>
      </c>
      <c r="CK281" s="182">
        <f t="shared" si="507"/>
        <v>0</v>
      </c>
      <c r="CL281" s="182">
        <f t="shared" si="512"/>
        <v>0</v>
      </c>
      <c r="CM281" s="182">
        <f t="shared" si="517"/>
        <v>0</v>
      </c>
      <c r="CN281" s="182">
        <f t="shared" si="522"/>
        <v>0</v>
      </c>
      <c r="CO281" s="182">
        <f t="shared" si="527"/>
        <v>0</v>
      </c>
      <c r="CP281" s="182">
        <f t="shared" si="532"/>
        <v>0</v>
      </c>
      <c r="CQ281" s="182">
        <f t="shared" si="537"/>
        <v>0</v>
      </c>
      <c r="CR281" s="182">
        <f t="shared" si="542"/>
        <v>0</v>
      </c>
      <c r="CS281" s="182">
        <f t="shared" si="547"/>
        <v>0</v>
      </c>
      <c r="CT281" s="182">
        <f t="shared" si="552"/>
        <v>0</v>
      </c>
      <c r="CU281" s="182">
        <f t="shared" si="557"/>
        <v>0</v>
      </c>
      <c r="CV281" s="182">
        <f t="shared" si="563"/>
        <v>0</v>
      </c>
      <c r="CW281" s="182">
        <f t="shared" si="569"/>
        <v>0</v>
      </c>
      <c r="CX281" s="182">
        <f t="shared" si="575"/>
        <v>0</v>
      </c>
      <c r="CY281" s="182">
        <f t="shared" si="581"/>
        <v>0</v>
      </c>
      <c r="CZ281" s="182">
        <f t="shared" si="587"/>
        <v>0</v>
      </c>
      <c r="DA281" s="182">
        <f t="shared" si="593"/>
        <v>0</v>
      </c>
      <c r="DB281" s="182">
        <f t="shared" si="599"/>
        <v>0</v>
      </c>
      <c r="DC281" s="182">
        <f t="shared" si="605"/>
        <v>0</v>
      </c>
      <c r="DD281" s="182">
        <f t="shared" ref="DD281:DD312" si="611">DD114*DD$168</f>
        <v>0</v>
      </c>
      <c r="DE281" s="181">
        <f>$C281+SUM($D281:DD281,DF281:$FB281)-SUM(DE$176:DE280,DE282:DE$330)-DE$331</f>
        <v>0</v>
      </c>
      <c r="DF281" s="176">
        <f t="shared" ref="DF281:EK281" si="612">DF114*DF$168</f>
        <v>0</v>
      </c>
      <c r="DG281" s="176">
        <f t="shared" si="612"/>
        <v>0</v>
      </c>
      <c r="DH281" s="176">
        <f t="shared" si="612"/>
        <v>0</v>
      </c>
      <c r="DI281" s="176">
        <f t="shared" si="612"/>
        <v>0</v>
      </c>
      <c r="DJ281" s="176">
        <f t="shared" si="612"/>
        <v>0</v>
      </c>
      <c r="DK281" s="176">
        <f t="shared" si="612"/>
        <v>0</v>
      </c>
      <c r="DL281" s="176">
        <f t="shared" si="612"/>
        <v>0</v>
      </c>
      <c r="DM281" s="176">
        <f t="shared" si="612"/>
        <v>0</v>
      </c>
      <c r="DN281" s="176">
        <f t="shared" si="612"/>
        <v>0</v>
      </c>
      <c r="DO281" s="176">
        <f t="shared" si="612"/>
        <v>0</v>
      </c>
      <c r="DP281" s="176">
        <f t="shared" si="612"/>
        <v>0</v>
      </c>
      <c r="DQ281" s="176">
        <f t="shared" si="612"/>
        <v>0</v>
      </c>
      <c r="DR281" s="176">
        <f t="shared" si="612"/>
        <v>0</v>
      </c>
      <c r="DS281" s="176">
        <f t="shared" si="612"/>
        <v>0</v>
      </c>
      <c r="DT281" s="176">
        <f t="shared" si="612"/>
        <v>0</v>
      </c>
      <c r="DU281" s="176">
        <f t="shared" si="612"/>
        <v>0</v>
      </c>
      <c r="DV281" s="176">
        <f t="shared" si="612"/>
        <v>0</v>
      </c>
      <c r="DW281" s="176">
        <f t="shared" si="612"/>
        <v>0</v>
      </c>
      <c r="DX281" s="176">
        <f t="shared" si="612"/>
        <v>0</v>
      </c>
      <c r="DY281" s="176">
        <f t="shared" si="612"/>
        <v>0</v>
      </c>
      <c r="DZ281" s="176">
        <f t="shared" si="612"/>
        <v>0</v>
      </c>
      <c r="EA281" s="176">
        <f t="shared" si="612"/>
        <v>0</v>
      </c>
      <c r="EB281" s="176">
        <f t="shared" si="612"/>
        <v>0</v>
      </c>
      <c r="EC281" s="176">
        <f t="shared" si="612"/>
        <v>0</v>
      </c>
      <c r="ED281" s="176">
        <f t="shared" si="612"/>
        <v>0</v>
      </c>
      <c r="EE281" s="176">
        <f t="shared" si="612"/>
        <v>0</v>
      </c>
      <c r="EF281" s="182">
        <f t="shared" si="612"/>
        <v>0</v>
      </c>
      <c r="EG281" s="182">
        <f t="shared" si="612"/>
        <v>0</v>
      </c>
      <c r="EH281" s="182">
        <f t="shared" si="612"/>
        <v>0</v>
      </c>
      <c r="EI281" s="182">
        <f t="shared" si="612"/>
        <v>0</v>
      </c>
      <c r="EJ281" s="182">
        <f t="shared" si="612"/>
        <v>0</v>
      </c>
      <c r="EK281" s="182">
        <f t="shared" si="612"/>
        <v>0</v>
      </c>
      <c r="EL281" s="182">
        <f t="shared" ref="EL281:FB281" si="613">EL114*EL$168</f>
        <v>0</v>
      </c>
      <c r="EM281" s="182">
        <f t="shared" si="613"/>
        <v>0</v>
      </c>
      <c r="EN281" s="182">
        <f t="shared" si="613"/>
        <v>0</v>
      </c>
      <c r="EO281" s="182">
        <f t="shared" si="613"/>
        <v>0</v>
      </c>
      <c r="EP281" s="182">
        <f t="shared" si="613"/>
        <v>0</v>
      </c>
      <c r="EQ281" s="182">
        <f t="shared" si="613"/>
        <v>0</v>
      </c>
      <c r="ER281" s="182">
        <f t="shared" si="613"/>
        <v>0</v>
      </c>
      <c r="ES281" s="182">
        <f t="shared" si="613"/>
        <v>0</v>
      </c>
      <c r="ET281" s="182">
        <f t="shared" si="613"/>
        <v>0</v>
      </c>
      <c r="EU281" s="182">
        <f t="shared" si="613"/>
        <v>0</v>
      </c>
      <c r="EV281" s="182">
        <f t="shared" si="613"/>
        <v>0</v>
      </c>
      <c r="EW281" s="182">
        <f t="shared" si="613"/>
        <v>0</v>
      </c>
      <c r="EX281" s="182">
        <f t="shared" si="613"/>
        <v>0</v>
      </c>
      <c r="EY281" s="182">
        <f t="shared" si="613"/>
        <v>0</v>
      </c>
      <c r="EZ281" s="182">
        <f t="shared" si="613"/>
        <v>0</v>
      </c>
      <c r="FA281" s="182">
        <f t="shared" si="613"/>
        <v>0</v>
      </c>
      <c r="FB281" s="183">
        <f t="shared" si="613"/>
        <v>0</v>
      </c>
    </row>
    <row r="282" spans="2:158" ht="12.75" customHeight="1" x14ac:dyDescent="0.3">
      <c r="B282" s="199" t="s">
        <v>3925</v>
      </c>
      <c r="C282" s="193">
        <v>0</v>
      </c>
      <c r="D282" s="182">
        <f t="shared" si="560"/>
        <v>0</v>
      </c>
      <c r="E282" s="182">
        <f t="shared" si="566"/>
        <v>0</v>
      </c>
      <c r="F282" s="182">
        <f t="shared" si="572"/>
        <v>0</v>
      </c>
      <c r="G282" s="182">
        <f t="shared" si="578"/>
        <v>0</v>
      </c>
      <c r="H282" s="182">
        <f t="shared" si="584"/>
        <v>0</v>
      </c>
      <c r="I282" s="176">
        <f t="shared" si="590"/>
        <v>0</v>
      </c>
      <c r="J282" s="182">
        <f t="shared" si="596"/>
        <v>0</v>
      </c>
      <c r="K282" s="182">
        <f t="shared" si="602"/>
        <v>0</v>
      </c>
      <c r="L282" s="182">
        <f t="shared" si="608"/>
        <v>0</v>
      </c>
      <c r="M282" s="182">
        <f t="shared" ref="M282:M313" si="614">M115*M$168</f>
        <v>0</v>
      </c>
      <c r="N282" s="182">
        <f t="shared" si="440"/>
        <v>0</v>
      </c>
      <c r="O282" s="182">
        <f t="shared" si="446"/>
        <v>0</v>
      </c>
      <c r="P282" s="182">
        <f t="shared" si="452"/>
        <v>0</v>
      </c>
      <c r="Q282" s="182">
        <f t="shared" si="458"/>
        <v>0</v>
      </c>
      <c r="R282" s="182">
        <f t="shared" si="464"/>
        <v>0</v>
      </c>
      <c r="S282" s="182">
        <f t="shared" si="470"/>
        <v>0</v>
      </c>
      <c r="T282" s="182">
        <f t="shared" si="476"/>
        <v>0</v>
      </c>
      <c r="U282" s="182">
        <f t="shared" si="482"/>
        <v>0</v>
      </c>
      <c r="V282" s="182">
        <f t="shared" si="488"/>
        <v>0</v>
      </c>
      <c r="W282" s="182">
        <f t="shared" si="494"/>
        <v>0</v>
      </c>
      <c r="X282" s="182">
        <f t="shared" si="500"/>
        <v>0</v>
      </c>
      <c r="Y282" s="182">
        <f t="shared" si="505"/>
        <v>0</v>
      </c>
      <c r="Z282" s="182">
        <f t="shared" si="510"/>
        <v>0</v>
      </c>
      <c r="AA282" s="182">
        <f t="shared" si="515"/>
        <v>0</v>
      </c>
      <c r="AB282" s="182">
        <f t="shared" si="520"/>
        <v>0</v>
      </c>
      <c r="AC282" s="182">
        <f t="shared" si="525"/>
        <v>0</v>
      </c>
      <c r="AD282" s="182">
        <f t="shared" si="530"/>
        <v>0</v>
      </c>
      <c r="AE282" s="182">
        <f t="shared" si="535"/>
        <v>0</v>
      </c>
      <c r="AF282" s="182">
        <f t="shared" si="540"/>
        <v>0</v>
      </c>
      <c r="AG282" s="182">
        <f t="shared" si="545"/>
        <v>0</v>
      </c>
      <c r="AH282" s="182">
        <f t="shared" si="550"/>
        <v>0</v>
      </c>
      <c r="AI282" s="182">
        <f t="shared" si="555"/>
        <v>0</v>
      </c>
      <c r="AJ282" s="182">
        <f t="shared" si="561"/>
        <v>0</v>
      </c>
      <c r="AK282" s="182">
        <f t="shared" si="567"/>
        <v>0</v>
      </c>
      <c r="AL282" s="182">
        <f t="shared" si="573"/>
        <v>0</v>
      </c>
      <c r="AM282" s="182">
        <f t="shared" si="579"/>
        <v>0</v>
      </c>
      <c r="AN282" s="182">
        <f t="shared" si="585"/>
        <v>0</v>
      </c>
      <c r="AO282" s="182">
        <f t="shared" si="591"/>
        <v>0</v>
      </c>
      <c r="AP282" s="182">
        <f t="shared" si="597"/>
        <v>0</v>
      </c>
      <c r="AQ282" s="182">
        <f t="shared" si="603"/>
        <v>0</v>
      </c>
      <c r="AR282" s="182">
        <f t="shared" si="609"/>
        <v>0</v>
      </c>
      <c r="AS282" s="182">
        <f t="shared" ref="AS282:AS313" si="615">AS115*AS$168</f>
        <v>0</v>
      </c>
      <c r="AT282" s="182">
        <f t="shared" si="441"/>
        <v>0</v>
      </c>
      <c r="AU282" s="182">
        <f t="shared" si="447"/>
        <v>0</v>
      </c>
      <c r="AV282" s="182">
        <f t="shared" si="453"/>
        <v>0</v>
      </c>
      <c r="AW282" s="182">
        <f t="shared" si="459"/>
        <v>0</v>
      </c>
      <c r="AX282" s="182">
        <f t="shared" si="465"/>
        <v>0</v>
      </c>
      <c r="AY282" s="182">
        <f t="shared" si="471"/>
        <v>0</v>
      </c>
      <c r="AZ282" s="182">
        <f t="shared" si="477"/>
        <v>0</v>
      </c>
      <c r="BA282" s="182">
        <f t="shared" si="483"/>
        <v>0</v>
      </c>
      <c r="BB282" s="182">
        <f t="shared" si="489"/>
        <v>0</v>
      </c>
      <c r="BC282" s="182">
        <f t="shared" si="495"/>
        <v>0</v>
      </c>
      <c r="BD282" s="182">
        <f t="shared" si="501"/>
        <v>0</v>
      </c>
      <c r="BE282" s="182">
        <f t="shared" si="506"/>
        <v>0</v>
      </c>
      <c r="BF282" s="182">
        <f t="shared" si="511"/>
        <v>0</v>
      </c>
      <c r="BG282" s="182">
        <f t="shared" si="516"/>
        <v>0</v>
      </c>
      <c r="BH282" s="182">
        <f t="shared" si="521"/>
        <v>0</v>
      </c>
      <c r="BI282" s="182">
        <f t="shared" si="526"/>
        <v>0</v>
      </c>
      <c r="BJ282" s="182">
        <f t="shared" si="531"/>
        <v>0</v>
      </c>
      <c r="BK282" s="182">
        <f t="shared" si="536"/>
        <v>0</v>
      </c>
      <c r="BL282" s="182">
        <f t="shared" si="541"/>
        <v>0</v>
      </c>
      <c r="BM282" s="182">
        <f t="shared" si="546"/>
        <v>0</v>
      </c>
      <c r="BN282" s="182">
        <f t="shared" si="551"/>
        <v>0</v>
      </c>
      <c r="BO282" s="182">
        <f t="shared" si="556"/>
        <v>0</v>
      </c>
      <c r="BP282" s="182">
        <f t="shared" si="562"/>
        <v>0</v>
      </c>
      <c r="BQ282" s="182">
        <f t="shared" si="568"/>
        <v>0</v>
      </c>
      <c r="BR282" s="182">
        <f t="shared" si="574"/>
        <v>0</v>
      </c>
      <c r="BS282" s="182">
        <f t="shared" si="580"/>
        <v>0</v>
      </c>
      <c r="BT282" s="182">
        <f t="shared" si="586"/>
        <v>0</v>
      </c>
      <c r="BU282" s="182">
        <f t="shared" si="592"/>
        <v>0</v>
      </c>
      <c r="BV282" s="182">
        <f t="shared" si="598"/>
        <v>0</v>
      </c>
      <c r="BW282" s="182">
        <f t="shared" si="604"/>
        <v>0</v>
      </c>
      <c r="BX282" s="182">
        <f t="shared" si="610"/>
        <v>0</v>
      </c>
      <c r="BY282" s="182">
        <f t="shared" ref="BY282:BY313" si="616">BY115*BY$168</f>
        <v>0</v>
      </c>
      <c r="BZ282" s="182">
        <f t="shared" si="442"/>
        <v>0</v>
      </c>
      <c r="CA282" s="182">
        <f t="shared" si="448"/>
        <v>0</v>
      </c>
      <c r="CB282" s="182">
        <f t="shared" si="454"/>
        <v>0</v>
      </c>
      <c r="CC282" s="182">
        <f t="shared" si="460"/>
        <v>0</v>
      </c>
      <c r="CD282" s="182">
        <f t="shared" si="466"/>
        <v>0</v>
      </c>
      <c r="CE282" s="182">
        <f t="shared" si="472"/>
        <v>0</v>
      </c>
      <c r="CF282" s="182">
        <f t="shared" si="478"/>
        <v>0</v>
      </c>
      <c r="CG282" s="182">
        <f t="shared" si="484"/>
        <v>0</v>
      </c>
      <c r="CH282" s="182">
        <f t="shared" si="490"/>
        <v>0</v>
      </c>
      <c r="CI282" s="182">
        <f t="shared" si="496"/>
        <v>0</v>
      </c>
      <c r="CJ282" s="182">
        <f t="shared" si="502"/>
        <v>0</v>
      </c>
      <c r="CK282" s="182">
        <f t="shared" si="507"/>
        <v>0</v>
      </c>
      <c r="CL282" s="182">
        <f t="shared" si="512"/>
        <v>0</v>
      </c>
      <c r="CM282" s="182">
        <f t="shared" si="517"/>
        <v>9.8155634137018469E-4</v>
      </c>
      <c r="CN282" s="182">
        <f t="shared" si="522"/>
        <v>0</v>
      </c>
      <c r="CO282" s="182">
        <f t="shared" si="527"/>
        <v>0</v>
      </c>
      <c r="CP282" s="182">
        <f t="shared" si="532"/>
        <v>8.1087596895858109E-4</v>
      </c>
      <c r="CQ282" s="182">
        <f t="shared" si="537"/>
        <v>0</v>
      </c>
      <c r="CR282" s="182">
        <f t="shared" si="542"/>
        <v>0</v>
      </c>
      <c r="CS282" s="182">
        <f t="shared" si="547"/>
        <v>0</v>
      </c>
      <c r="CT282" s="182">
        <f t="shared" si="552"/>
        <v>0</v>
      </c>
      <c r="CU282" s="182">
        <f t="shared" si="557"/>
        <v>0</v>
      </c>
      <c r="CV282" s="182">
        <f t="shared" si="563"/>
        <v>0</v>
      </c>
      <c r="CW282" s="182">
        <f t="shared" si="569"/>
        <v>0</v>
      </c>
      <c r="CX282" s="182">
        <f t="shared" si="575"/>
        <v>0</v>
      </c>
      <c r="CY282" s="182">
        <f t="shared" si="581"/>
        <v>0</v>
      </c>
      <c r="CZ282" s="182">
        <f t="shared" si="587"/>
        <v>0</v>
      </c>
      <c r="DA282" s="182">
        <f t="shared" si="593"/>
        <v>0</v>
      </c>
      <c r="DB282" s="182">
        <f t="shared" si="599"/>
        <v>0</v>
      </c>
      <c r="DC282" s="182">
        <f t="shared" si="605"/>
        <v>0</v>
      </c>
      <c r="DD282" s="182">
        <f t="shared" si="611"/>
        <v>0</v>
      </c>
      <c r="DE282" s="182">
        <f t="shared" ref="DE282:DE313" si="617">DE115*DE$168</f>
        <v>0</v>
      </c>
      <c r="DF282" s="181">
        <f>$C282+SUM($D282:DE282,DG282:$FB282)-SUM(DF$176:DF281,DF283:DF$330)-DF$331</f>
        <v>1.0059092690134189E-19</v>
      </c>
      <c r="DG282" s="176">
        <f t="shared" ref="DG282:FB282" si="618">DG115*DG$168</f>
        <v>0</v>
      </c>
      <c r="DH282" s="176">
        <f t="shared" si="618"/>
        <v>0</v>
      </c>
      <c r="DI282" s="176">
        <f t="shared" si="618"/>
        <v>0</v>
      </c>
      <c r="DJ282" s="176">
        <f t="shared" si="618"/>
        <v>0</v>
      </c>
      <c r="DK282" s="176">
        <f t="shared" si="618"/>
        <v>0</v>
      </c>
      <c r="DL282" s="176">
        <f t="shared" si="618"/>
        <v>0</v>
      </c>
      <c r="DM282" s="176">
        <f t="shared" si="618"/>
        <v>0</v>
      </c>
      <c r="DN282" s="176">
        <f t="shared" si="618"/>
        <v>0</v>
      </c>
      <c r="DO282" s="176">
        <f t="shared" si="618"/>
        <v>0</v>
      </c>
      <c r="DP282" s="176">
        <f t="shared" si="618"/>
        <v>0</v>
      </c>
      <c r="DQ282" s="176">
        <f t="shared" si="618"/>
        <v>0</v>
      </c>
      <c r="DR282" s="176">
        <f t="shared" si="618"/>
        <v>0</v>
      </c>
      <c r="DS282" s="176">
        <f t="shared" si="618"/>
        <v>0</v>
      </c>
      <c r="DT282" s="176">
        <f t="shared" si="618"/>
        <v>0</v>
      </c>
      <c r="DU282" s="176">
        <f t="shared" si="618"/>
        <v>0</v>
      </c>
      <c r="DV282" s="176">
        <f t="shared" si="618"/>
        <v>0</v>
      </c>
      <c r="DW282" s="176">
        <f t="shared" si="618"/>
        <v>0</v>
      </c>
      <c r="DX282" s="176">
        <f t="shared" si="618"/>
        <v>0</v>
      </c>
      <c r="DY282" s="176">
        <f t="shared" si="618"/>
        <v>0</v>
      </c>
      <c r="DZ282" s="176">
        <f t="shared" si="618"/>
        <v>0</v>
      </c>
      <c r="EA282" s="176">
        <f t="shared" si="618"/>
        <v>0</v>
      </c>
      <c r="EB282" s="176">
        <f t="shared" si="618"/>
        <v>0</v>
      </c>
      <c r="EC282" s="176">
        <f t="shared" si="618"/>
        <v>0</v>
      </c>
      <c r="ED282" s="176">
        <f t="shared" si="618"/>
        <v>0</v>
      </c>
      <c r="EE282" s="176">
        <f t="shared" si="618"/>
        <v>0</v>
      </c>
      <c r="EF282" s="182">
        <f t="shared" si="618"/>
        <v>0</v>
      </c>
      <c r="EG282" s="182">
        <f t="shared" si="618"/>
        <v>0</v>
      </c>
      <c r="EH282" s="182">
        <f t="shared" si="618"/>
        <v>0</v>
      </c>
      <c r="EI282" s="182">
        <f t="shared" si="618"/>
        <v>0</v>
      </c>
      <c r="EJ282" s="182">
        <f t="shared" si="618"/>
        <v>0</v>
      </c>
      <c r="EK282" s="182">
        <f t="shared" si="618"/>
        <v>0</v>
      </c>
      <c r="EL282" s="182">
        <f t="shared" si="618"/>
        <v>0</v>
      </c>
      <c r="EM282" s="182">
        <f t="shared" si="618"/>
        <v>0</v>
      </c>
      <c r="EN282" s="182">
        <f t="shared" si="618"/>
        <v>0</v>
      </c>
      <c r="EO282" s="182">
        <f t="shared" si="618"/>
        <v>0</v>
      </c>
      <c r="EP282" s="182">
        <f t="shared" si="618"/>
        <v>0</v>
      </c>
      <c r="EQ282" s="182">
        <f t="shared" si="618"/>
        <v>0</v>
      </c>
      <c r="ER282" s="182">
        <f t="shared" si="618"/>
        <v>0</v>
      </c>
      <c r="ES282" s="182">
        <f t="shared" si="618"/>
        <v>0</v>
      </c>
      <c r="ET282" s="182">
        <f t="shared" si="618"/>
        <v>0</v>
      </c>
      <c r="EU282" s="182">
        <f t="shared" si="618"/>
        <v>0</v>
      </c>
      <c r="EV282" s="182">
        <f t="shared" si="618"/>
        <v>0</v>
      </c>
      <c r="EW282" s="182">
        <f t="shared" si="618"/>
        <v>0</v>
      </c>
      <c r="EX282" s="182">
        <f t="shared" si="618"/>
        <v>0</v>
      </c>
      <c r="EY282" s="182">
        <f t="shared" si="618"/>
        <v>0</v>
      </c>
      <c r="EZ282" s="182">
        <f t="shared" si="618"/>
        <v>0</v>
      </c>
      <c r="FA282" s="182">
        <f t="shared" si="618"/>
        <v>0</v>
      </c>
      <c r="FB282" s="183">
        <f t="shared" si="618"/>
        <v>0</v>
      </c>
    </row>
    <row r="283" spans="2:158" ht="12.75" customHeight="1" x14ac:dyDescent="0.3">
      <c r="B283" s="199" t="s">
        <v>3926</v>
      </c>
      <c r="C283" s="193">
        <v>0</v>
      </c>
      <c r="D283" s="182">
        <f t="shared" si="560"/>
        <v>0</v>
      </c>
      <c r="E283" s="182">
        <f t="shared" si="566"/>
        <v>0</v>
      </c>
      <c r="F283" s="182">
        <f t="shared" si="572"/>
        <v>0</v>
      </c>
      <c r="G283" s="182">
        <f t="shared" si="578"/>
        <v>0</v>
      </c>
      <c r="H283" s="182">
        <f t="shared" si="584"/>
        <v>0</v>
      </c>
      <c r="I283" s="176">
        <f t="shared" si="590"/>
        <v>0</v>
      </c>
      <c r="J283" s="182">
        <f t="shared" si="596"/>
        <v>0</v>
      </c>
      <c r="K283" s="182">
        <f t="shared" si="602"/>
        <v>0</v>
      </c>
      <c r="L283" s="182">
        <f t="shared" si="608"/>
        <v>0</v>
      </c>
      <c r="M283" s="182">
        <f t="shared" si="614"/>
        <v>0</v>
      </c>
      <c r="N283" s="182">
        <f t="shared" ref="N283:N314" si="619">N116*N$168</f>
        <v>0</v>
      </c>
      <c r="O283" s="182">
        <f t="shared" si="446"/>
        <v>0</v>
      </c>
      <c r="P283" s="182">
        <f t="shared" si="452"/>
        <v>0</v>
      </c>
      <c r="Q283" s="182">
        <f t="shared" si="458"/>
        <v>0</v>
      </c>
      <c r="R283" s="182">
        <f t="shared" si="464"/>
        <v>0</v>
      </c>
      <c r="S283" s="182">
        <f t="shared" si="470"/>
        <v>0</v>
      </c>
      <c r="T283" s="182">
        <f t="shared" si="476"/>
        <v>0</v>
      </c>
      <c r="U283" s="182">
        <f t="shared" si="482"/>
        <v>0</v>
      </c>
      <c r="V283" s="182">
        <f t="shared" si="488"/>
        <v>0</v>
      </c>
      <c r="W283" s="182">
        <f t="shared" si="494"/>
        <v>0</v>
      </c>
      <c r="X283" s="182">
        <f t="shared" si="500"/>
        <v>0</v>
      </c>
      <c r="Y283" s="182">
        <f t="shared" si="505"/>
        <v>0</v>
      </c>
      <c r="Z283" s="182">
        <f t="shared" si="510"/>
        <v>0</v>
      </c>
      <c r="AA283" s="182">
        <f t="shared" si="515"/>
        <v>0</v>
      </c>
      <c r="AB283" s="182">
        <f t="shared" si="520"/>
        <v>0</v>
      </c>
      <c r="AC283" s="182">
        <f t="shared" si="525"/>
        <v>0</v>
      </c>
      <c r="AD283" s="182">
        <f t="shared" si="530"/>
        <v>0</v>
      </c>
      <c r="AE283" s="182">
        <f t="shared" si="535"/>
        <v>0</v>
      </c>
      <c r="AF283" s="182">
        <f t="shared" si="540"/>
        <v>0</v>
      </c>
      <c r="AG283" s="182">
        <f t="shared" si="545"/>
        <v>0</v>
      </c>
      <c r="AH283" s="182">
        <f t="shared" si="550"/>
        <v>0</v>
      </c>
      <c r="AI283" s="182">
        <f t="shared" si="555"/>
        <v>0</v>
      </c>
      <c r="AJ283" s="182">
        <f t="shared" si="561"/>
        <v>0</v>
      </c>
      <c r="AK283" s="182">
        <f t="shared" si="567"/>
        <v>0</v>
      </c>
      <c r="AL283" s="182">
        <f t="shared" si="573"/>
        <v>0</v>
      </c>
      <c r="AM283" s="182">
        <f t="shared" si="579"/>
        <v>0</v>
      </c>
      <c r="AN283" s="182">
        <f t="shared" si="585"/>
        <v>0</v>
      </c>
      <c r="AO283" s="182">
        <f t="shared" si="591"/>
        <v>0</v>
      </c>
      <c r="AP283" s="182">
        <f t="shared" si="597"/>
        <v>0</v>
      </c>
      <c r="AQ283" s="182">
        <f t="shared" si="603"/>
        <v>0</v>
      </c>
      <c r="AR283" s="182">
        <f t="shared" si="609"/>
        <v>0</v>
      </c>
      <c r="AS283" s="182">
        <f t="shared" si="615"/>
        <v>0</v>
      </c>
      <c r="AT283" s="182">
        <f t="shared" ref="AT283:AT314" si="620">AT116*AT$168</f>
        <v>0</v>
      </c>
      <c r="AU283" s="182">
        <f t="shared" si="447"/>
        <v>0</v>
      </c>
      <c r="AV283" s="182">
        <f t="shared" si="453"/>
        <v>0</v>
      </c>
      <c r="AW283" s="182">
        <f t="shared" si="459"/>
        <v>0</v>
      </c>
      <c r="AX283" s="182">
        <f t="shared" si="465"/>
        <v>0</v>
      </c>
      <c r="AY283" s="182">
        <f t="shared" si="471"/>
        <v>0</v>
      </c>
      <c r="AZ283" s="182">
        <f t="shared" si="477"/>
        <v>0</v>
      </c>
      <c r="BA283" s="182">
        <f t="shared" si="483"/>
        <v>0</v>
      </c>
      <c r="BB283" s="182">
        <f t="shared" si="489"/>
        <v>0</v>
      </c>
      <c r="BC283" s="182">
        <f t="shared" si="495"/>
        <v>0</v>
      </c>
      <c r="BD283" s="182">
        <f t="shared" si="501"/>
        <v>0</v>
      </c>
      <c r="BE283" s="182">
        <f t="shared" si="506"/>
        <v>0</v>
      </c>
      <c r="BF283" s="182">
        <f t="shared" si="511"/>
        <v>0</v>
      </c>
      <c r="BG283" s="182">
        <f t="shared" si="516"/>
        <v>0</v>
      </c>
      <c r="BH283" s="182">
        <f t="shared" si="521"/>
        <v>0</v>
      </c>
      <c r="BI283" s="182">
        <f t="shared" si="526"/>
        <v>0</v>
      </c>
      <c r="BJ283" s="182">
        <f t="shared" si="531"/>
        <v>0</v>
      </c>
      <c r="BK283" s="182">
        <f t="shared" si="536"/>
        <v>0</v>
      </c>
      <c r="BL283" s="182">
        <f t="shared" si="541"/>
        <v>0</v>
      </c>
      <c r="BM283" s="182">
        <f t="shared" si="546"/>
        <v>0</v>
      </c>
      <c r="BN283" s="182">
        <f t="shared" si="551"/>
        <v>0</v>
      </c>
      <c r="BO283" s="182">
        <f t="shared" si="556"/>
        <v>0</v>
      </c>
      <c r="BP283" s="182">
        <f t="shared" si="562"/>
        <v>0</v>
      </c>
      <c r="BQ283" s="182">
        <f t="shared" si="568"/>
        <v>0</v>
      </c>
      <c r="BR283" s="182">
        <f t="shared" si="574"/>
        <v>0</v>
      </c>
      <c r="BS283" s="182">
        <f t="shared" si="580"/>
        <v>0</v>
      </c>
      <c r="BT283" s="182">
        <f t="shared" si="586"/>
        <v>0</v>
      </c>
      <c r="BU283" s="182">
        <f t="shared" si="592"/>
        <v>0</v>
      </c>
      <c r="BV283" s="182">
        <f t="shared" si="598"/>
        <v>0</v>
      </c>
      <c r="BW283" s="182">
        <f t="shared" si="604"/>
        <v>0</v>
      </c>
      <c r="BX283" s="182">
        <f t="shared" si="610"/>
        <v>0</v>
      </c>
      <c r="BY283" s="182">
        <f t="shared" si="616"/>
        <v>0</v>
      </c>
      <c r="BZ283" s="182">
        <f t="shared" ref="BZ283:BZ314" si="621">BZ116*BZ$168</f>
        <v>0</v>
      </c>
      <c r="CA283" s="182">
        <f t="shared" si="448"/>
        <v>0</v>
      </c>
      <c r="CB283" s="182">
        <f t="shared" si="454"/>
        <v>0</v>
      </c>
      <c r="CC283" s="182">
        <f t="shared" si="460"/>
        <v>0</v>
      </c>
      <c r="CD283" s="182">
        <f t="shared" si="466"/>
        <v>0</v>
      </c>
      <c r="CE283" s="182">
        <f t="shared" si="472"/>
        <v>0</v>
      </c>
      <c r="CF283" s="182">
        <f t="shared" si="478"/>
        <v>0</v>
      </c>
      <c r="CG283" s="182">
        <f t="shared" si="484"/>
        <v>0</v>
      </c>
      <c r="CH283" s="182">
        <f t="shared" si="490"/>
        <v>0</v>
      </c>
      <c r="CI283" s="182">
        <f t="shared" si="496"/>
        <v>0</v>
      </c>
      <c r="CJ283" s="182">
        <f t="shared" si="502"/>
        <v>0</v>
      </c>
      <c r="CK283" s="182">
        <f t="shared" si="507"/>
        <v>0</v>
      </c>
      <c r="CL283" s="182">
        <f t="shared" si="512"/>
        <v>0</v>
      </c>
      <c r="CM283" s="182">
        <f t="shared" si="517"/>
        <v>0</v>
      </c>
      <c r="CN283" s="182">
        <f t="shared" si="522"/>
        <v>7.4252405424578977E-2</v>
      </c>
      <c r="CO283" s="182">
        <f t="shared" si="527"/>
        <v>0</v>
      </c>
      <c r="CP283" s="182">
        <f t="shared" si="532"/>
        <v>0</v>
      </c>
      <c r="CQ283" s="182">
        <f t="shared" si="537"/>
        <v>0.15935951769988144</v>
      </c>
      <c r="CR283" s="182">
        <f t="shared" si="542"/>
        <v>0</v>
      </c>
      <c r="CS283" s="182">
        <f t="shared" si="547"/>
        <v>0</v>
      </c>
      <c r="CT283" s="182">
        <f t="shared" si="552"/>
        <v>0</v>
      </c>
      <c r="CU283" s="182">
        <f t="shared" si="557"/>
        <v>0</v>
      </c>
      <c r="CV283" s="182">
        <f t="shared" si="563"/>
        <v>0</v>
      </c>
      <c r="CW283" s="182">
        <f t="shared" si="569"/>
        <v>0</v>
      </c>
      <c r="CX283" s="182">
        <f t="shared" si="575"/>
        <v>0</v>
      </c>
      <c r="CY283" s="182">
        <f t="shared" si="581"/>
        <v>0</v>
      </c>
      <c r="CZ283" s="182">
        <f t="shared" si="587"/>
        <v>0</v>
      </c>
      <c r="DA283" s="182">
        <f t="shared" si="593"/>
        <v>0</v>
      </c>
      <c r="DB283" s="182">
        <f t="shared" si="599"/>
        <v>0</v>
      </c>
      <c r="DC283" s="182">
        <f t="shared" si="605"/>
        <v>0</v>
      </c>
      <c r="DD283" s="182">
        <f t="shared" si="611"/>
        <v>0</v>
      </c>
      <c r="DE283" s="182">
        <f t="shared" si="617"/>
        <v>0</v>
      </c>
      <c r="DF283" s="182">
        <f t="shared" ref="DF283:DF330" si="622">DF116*DF$168</f>
        <v>1.36887162710026E-3</v>
      </c>
      <c r="DG283" s="181">
        <f>$C283+SUM($D283:DF283,DH283:$FB283)-SUM(DG$176:DG282,DG284:DG$330)-DG$331</f>
        <v>-6.2016364266170854E-17</v>
      </c>
      <c r="DH283" s="176">
        <f t="shared" ref="DH283:FB283" si="623">DH116*DH$168</f>
        <v>0</v>
      </c>
      <c r="DI283" s="176">
        <f t="shared" si="623"/>
        <v>0</v>
      </c>
      <c r="DJ283" s="176">
        <f t="shared" si="623"/>
        <v>0</v>
      </c>
      <c r="DK283" s="176">
        <f t="shared" si="623"/>
        <v>0</v>
      </c>
      <c r="DL283" s="176">
        <f t="shared" si="623"/>
        <v>0</v>
      </c>
      <c r="DM283" s="176">
        <f t="shared" si="623"/>
        <v>0</v>
      </c>
      <c r="DN283" s="176">
        <f t="shared" si="623"/>
        <v>0</v>
      </c>
      <c r="DO283" s="176">
        <f t="shared" si="623"/>
        <v>0</v>
      </c>
      <c r="DP283" s="176">
        <f t="shared" si="623"/>
        <v>0</v>
      </c>
      <c r="DQ283" s="176">
        <f t="shared" si="623"/>
        <v>0</v>
      </c>
      <c r="DR283" s="176">
        <f t="shared" si="623"/>
        <v>0</v>
      </c>
      <c r="DS283" s="176">
        <f t="shared" si="623"/>
        <v>0</v>
      </c>
      <c r="DT283" s="176">
        <f t="shared" si="623"/>
        <v>0</v>
      </c>
      <c r="DU283" s="176">
        <f t="shared" si="623"/>
        <v>0</v>
      </c>
      <c r="DV283" s="176">
        <f t="shared" si="623"/>
        <v>0</v>
      </c>
      <c r="DW283" s="176">
        <f t="shared" si="623"/>
        <v>0</v>
      </c>
      <c r="DX283" s="176">
        <f t="shared" si="623"/>
        <v>0</v>
      </c>
      <c r="DY283" s="176">
        <f t="shared" si="623"/>
        <v>0</v>
      </c>
      <c r="DZ283" s="176">
        <f t="shared" si="623"/>
        <v>0</v>
      </c>
      <c r="EA283" s="176">
        <f t="shared" si="623"/>
        <v>0</v>
      </c>
      <c r="EB283" s="176">
        <f t="shared" si="623"/>
        <v>0</v>
      </c>
      <c r="EC283" s="176">
        <f t="shared" si="623"/>
        <v>0</v>
      </c>
      <c r="ED283" s="176">
        <f t="shared" si="623"/>
        <v>0</v>
      </c>
      <c r="EE283" s="176">
        <f t="shared" si="623"/>
        <v>0</v>
      </c>
      <c r="EF283" s="182">
        <f t="shared" si="623"/>
        <v>0</v>
      </c>
      <c r="EG283" s="182">
        <f t="shared" si="623"/>
        <v>0</v>
      </c>
      <c r="EH283" s="182">
        <f t="shared" si="623"/>
        <v>0</v>
      </c>
      <c r="EI283" s="182">
        <f t="shared" si="623"/>
        <v>0</v>
      </c>
      <c r="EJ283" s="182">
        <f t="shared" si="623"/>
        <v>0</v>
      </c>
      <c r="EK283" s="182">
        <f t="shared" si="623"/>
        <v>0</v>
      </c>
      <c r="EL283" s="182">
        <f t="shared" si="623"/>
        <v>0</v>
      </c>
      <c r="EM283" s="182">
        <f t="shared" si="623"/>
        <v>0</v>
      </c>
      <c r="EN283" s="182">
        <f t="shared" si="623"/>
        <v>0</v>
      </c>
      <c r="EO283" s="182">
        <f t="shared" si="623"/>
        <v>0</v>
      </c>
      <c r="EP283" s="182">
        <f t="shared" si="623"/>
        <v>0</v>
      </c>
      <c r="EQ283" s="182">
        <f t="shared" si="623"/>
        <v>0</v>
      </c>
      <c r="ER283" s="182">
        <f t="shared" si="623"/>
        <v>0</v>
      </c>
      <c r="ES283" s="182">
        <f t="shared" si="623"/>
        <v>0</v>
      </c>
      <c r="ET283" s="182">
        <f t="shared" si="623"/>
        <v>0</v>
      </c>
      <c r="EU283" s="182">
        <f t="shared" si="623"/>
        <v>0</v>
      </c>
      <c r="EV283" s="182">
        <f t="shared" si="623"/>
        <v>0</v>
      </c>
      <c r="EW283" s="182">
        <f t="shared" si="623"/>
        <v>0</v>
      </c>
      <c r="EX283" s="182">
        <f t="shared" si="623"/>
        <v>0</v>
      </c>
      <c r="EY283" s="182">
        <f t="shared" si="623"/>
        <v>0</v>
      </c>
      <c r="EZ283" s="182">
        <f t="shared" si="623"/>
        <v>0</v>
      </c>
      <c r="FA283" s="182">
        <f t="shared" si="623"/>
        <v>0</v>
      </c>
      <c r="FB283" s="183">
        <f t="shared" si="623"/>
        <v>0</v>
      </c>
    </row>
    <row r="284" spans="2:158" ht="12.75" customHeight="1" x14ac:dyDescent="0.3">
      <c r="B284" s="199" t="s">
        <v>3927</v>
      </c>
      <c r="C284" s="193">
        <v>0</v>
      </c>
      <c r="D284" s="182">
        <f t="shared" si="560"/>
        <v>0</v>
      </c>
      <c r="E284" s="182">
        <f t="shared" si="566"/>
        <v>0</v>
      </c>
      <c r="F284" s="182">
        <f t="shared" si="572"/>
        <v>0</v>
      </c>
      <c r="G284" s="182">
        <f t="shared" si="578"/>
        <v>0</v>
      </c>
      <c r="H284" s="182">
        <f t="shared" si="584"/>
        <v>0</v>
      </c>
      <c r="I284" s="176">
        <f t="shared" si="590"/>
        <v>0</v>
      </c>
      <c r="J284" s="182">
        <f t="shared" si="596"/>
        <v>0</v>
      </c>
      <c r="K284" s="182">
        <f t="shared" si="602"/>
        <v>0</v>
      </c>
      <c r="L284" s="182">
        <f t="shared" si="608"/>
        <v>0</v>
      </c>
      <c r="M284" s="182">
        <f t="shared" si="614"/>
        <v>0</v>
      </c>
      <c r="N284" s="182">
        <f t="shared" si="619"/>
        <v>0</v>
      </c>
      <c r="O284" s="182">
        <f t="shared" ref="O284:O315" si="624">O117*O$168</f>
        <v>0</v>
      </c>
      <c r="P284" s="182">
        <f t="shared" si="452"/>
        <v>0</v>
      </c>
      <c r="Q284" s="182">
        <f t="shared" si="458"/>
        <v>0</v>
      </c>
      <c r="R284" s="182">
        <f t="shared" si="464"/>
        <v>0</v>
      </c>
      <c r="S284" s="182">
        <f t="shared" si="470"/>
        <v>0</v>
      </c>
      <c r="T284" s="182">
        <f t="shared" si="476"/>
        <v>0</v>
      </c>
      <c r="U284" s="182">
        <f t="shared" si="482"/>
        <v>0</v>
      </c>
      <c r="V284" s="182">
        <f t="shared" si="488"/>
        <v>0</v>
      </c>
      <c r="W284" s="182">
        <f t="shared" si="494"/>
        <v>0</v>
      </c>
      <c r="X284" s="182">
        <f t="shared" si="500"/>
        <v>0</v>
      </c>
      <c r="Y284" s="182">
        <f t="shared" si="505"/>
        <v>0</v>
      </c>
      <c r="Z284" s="182">
        <f t="shared" si="510"/>
        <v>0</v>
      </c>
      <c r="AA284" s="182">
        <f t="shared" si="515"/>
        <v>0</v>
      </c>
      <c r="AB284" s="182">
        <f t="shared" si="520"/>
        <v>0</v>
      </c>
      <c r="AC284" s="182">
        <f t="shared" si="525"/>
        <v>0</v>
      </c>
      <c r="AD284" s="182">
        <f t="shared" si="530"/>
        <v>0</v>
      </c>
      <c r="AE284" s="182">
        <f t="shared" si="535"/>
        <v>0</v>
      </c>
      <c r="AF284" s="182">
        <f t="shared" si="540"/>
        <v>0</v>
      </c>
      <c r="AG284" s="182">
        <f t="shared" si="545"/>
        <v>0</v>
      </c>
      <c r="AH284" s="182">
        <f t="shared" si="550"/>
        <v>0</v>
      </c>
      <c r="AI284" s="182">
        <f t="shared" si="555"/>
        <v>0</v>
      </c>
      <c r="AJ284" s="182">
        <f t="shared" si="561"/>
        <v>0</v>
      </c>
      <c r="AK284" s="182">
        <f t="shared" si="567"/>
        <v>0</v>
      </c>
      <c r="AL284" s="182">
        <f t="shared" si="573"/>
        <v>0</v>
      </c>
      <c r="AM284" s="182">
        <f t="shared" si="579"/>
        <v>0</v>
      </c>
      <c r="AN284" s="182">
        <f t="shared" si="585"/>
        <v>0</v>
      </c>
      <c r="AO284" s="182">
        <f t="shared" si="591"/>
        <v>0</v>
      </c>
      <c r="AP284" s="182">
        <f t="shared" si="597"/>
        <v>0</v>
      </c>
      <c r="AQ284" s="182">
        <f t="shared" si="603"/>
        <v>0</v>
      </c>
      <c r="AR284" s="182">
        <f t="shared" si="609"/>
        <v>0</v>
      </c>
      <c r="AS284" s="182">
        <f t="shared" si="615"/>
        <v>0</v>
      </c>
      <c r="AT284" s="182">
        <f t="shared" si="620"/>
        <v>0</v>
      </c>
      <c r="AU284" s="182">
        <f t="shared" ref="AU284:AU315" si="625">AU117*AU$168</f>
        <v>0</v>
      </c>
      <c r="AV284" s="182">
        <f t="shared" si="453"/>
        <v>0</v>
      </c>
      <c r="AW284" s="182">
        <f t="shared" si="459"/>
        <v>0</v>
      </c>
      <c r="AX284" s="182">
        <f t="shared" si="465"/>
        <v>0</v>
      </c>
      <c r="AY284" s="182">
        <f t="shared" si="471"/>
        <v>0</v>
      </c>
      <c r="AZ284" s="182">
        <f t="shared" si="477"/>
        <v>0</v>
      </c>
      <c r="BA284" s="182">
        <f t="shared" si="483"/>
        <v>0</v>
      </c>
      <c r="BB284" s="182">
        <f t="shared" si="489"/>
        <v>0</v>
      </c>
      <c r="BC284" s="182">
        <f t="shared" si="495"/>
        <v>0</v>
      </c>
      <c r="BD284" s="182">
        <f t="shared" si="501"/>
        <v>0</v>
      </c>
      <c r="BE284" s="182">
        <f t="shared" si="506"/>
        <v>0</v>
      </c>
      <c r="BF284" s="182">
        <f t="shared" si="511"/>
        <v>0</v>
      </c>
      <c r="BG284" s="182">
        <f t="shared" si="516"/>
        <v>0</v>
      </c>
      <c r="BH284" s="182">
        <f t="shared" si="521"/>
        <v>0</v>
      </c>
      <c r="BI284" s="182">
        <f t="shared" si="526"/>
        <v>0</v>
      </c>
      <c r="BJ284" s="182">
        <f t="shared" si="531"/>
        <v>0</v>
      </c>
      <c r="BK284" s="182">
        <f t="shared" si="536"/>
        <v>0</v>
      </c>
      <c r="BL284" s="182">
        <f t="shared" si="541"/>
        <v>0</v>
      </c>
      <c r="BM284" s="182">
        <f t="shared" si="546"/>
        <v>0</v>
      </c>
      <c r="BN284" s="182">
        <f t="shared" si="551"/>
        <v>0</v>
      </c>
      <c r="BO284" s="182">
        <f t="shared" si="556"/>
        <v>0</v>
      </c>
      <c r="BP284" s="182">
        <f t="shared" si="562"/>
        <v>0</v>
      </c>
      <c r="BQ284" s="182">
        <f t="shared" si="568"/>
        <v>0</v>
      </c>
      <c r="BR284" s="182">
        <f t="shared" si="574"/>
        <v>0</v>
      </c>
      <c r="BS284" s="182">
        <f t="shared" si="580"/>
        <v>0</v>
      </c>
      <c r="BT284" s="182">
        <f t="shared" si="586"/>
        <v>0</v>
      </c>
      <c r="BU284" s="182">
        <f t="shared" si="592"/>
        <v>0</v>
      </c>
      <c r="BV284" s="182">
        <f t="shared" si="598"/>
        <v>0</v>
      </c>
      <c r="BW284" s="182">
        <f t="shared" si="604"/>
        <v>0</v>
      </c>
      <c r="BX284" s="182">
        <f t="shared" si="610"/>
        <v>0</v>
      </c>
      <c r="BY284" s="182">
        <f t="shared" si="616"/>
        <v>0</v>
      </c>
      <c r="BZ284" s="182">
        <f t="shared" si="621"/>
        <v>0</v>
      </c>
      <c r="CA284" s="182">
        <f t="shared" ref="CA284:CA315" si="626">CA117*CA$168</f>
        <v>0</v>
      </c>
      <c r="CB284" s="182">
        <f t="shared" si="454"/>
        <v>0</v>
      </c>
      <c r="CC284" s="182">
        <f t="shared" si="460"/>
        <v>0</v>
      </c>
      <c r="CD284" s="182">
        <f t="shared" si="466"/>
        <v>0</v>
      </c>
      <c r="CE284" s="182">
        <f t="shared" si="472"/>
        <v>0</v>
      </c>
      <c r="CF284" s="182">
        <f t="shared" si="478"/>
        <v>0</v>
      </c>
      <c r="CG284" s="182">
        <f t="shared" si="484"/>
        <v>0</v>
      </c>
      <c r="CH284" s="182">
        <f t="shared" si="490"/>
        <v>0</v>
      </c>
      <c r="CI284" s="182">
        <f t="shared" si="496"/>
        <v>0</v>
      </c>
      <c r="CJ284" s="182">
        <f t="shared" si="502"/>
        <v>0</v>
      </c>
      <c r="CK284" s="182">
        <f t="shared" si="507"/>
        <v>0</v>
      </c>
      <c r="CL284" s="182">
        <f t="shared" si="512"/>
        <v>0</v>
      </c>
      <c r="CM284" s="182">
        <f t="shared" si="517"/>
        <v>0</v>
      </c>
      <c r="CN284" s="182">
        <f t="shared" si="522"/>
        <v>0</v>
      </c>
      <c r="CO284" s="182">
        <f t="shared" si="527"/>
        <v>5.0736637681364863E-7</v>
      </c>
      <c r="CP284" s="182">
        <f t="shared" si="532"/>
        <v>0</v>
      </c>
      <c r="CQ284" s="182">
        <f t="shared" si="537"/>
        <v>0</v>
      </c>
      <c r="CR284" s="182">
        <f t="shared" si="542"/>
        <v>3.7539780697469021E-5</v>
      </c>
      <c r="CS284" s="182">
        <f t="shared" si="547"/>
        <v>0</v>
      </c>
      <c r="CT284" s="182">
        <f t="shared" si="552"/>
        <v>0</v>
      </c>
      <c r="CU284" s="182">
        <f t="shared" si="557"/>
        <v>0</v>
      </c>
      <c r="CV284" s="182">
        <f t="shared" si="563"/>
        <v>0</v>
      </c>
      <c r="CW284" s="182">
        <f t="shared" si="569"/>
        <v>0</v>
      </c>
      <c r="CX284" s="182">
        <f t="shared" si="575"/>
        <v>0</v>
      </c>
      <c r="CY284" s="182">
        <f t="shared" si="581"/>
        <v>0</v>
      </c>
      <c r="CZ284" s="182">
        <f t="shared" si="587"/>
        <v>0</v>
      </c>
      <c r="DA284" s="182">
        <f t="shared" si="593"/>
        <v>0</v>
      </c>
      <c r="DB284" s="182">
        <f t="shared" si="599"/>
        <v>0</v>
      </c>
      <c r="DC284" s="182">
        <f t="shared" si="605"/>
        <v>0</v>
      </c>
      <c r="DD284" s="182">
        <f t="shared" si="611"/>
        <v>0</v>
      </c>
      <c r="DE284" s="182">
        <f t="shared" si="617"/>
        <v>0</v>
      </c>
      <c r="DF284" s="182">
        <f t="shared" si="622"/>
        <v>4.2354838352389921E-4</v>
      </c>
      <c r="DG284" s="182">
        <f t="shared" ref="DG284:DG330" si="627">DG117*DG$168</f>
        <v>0</v>
      </c>
      <c r="DH284" s="181">
        <f>$C284+SUM($D284:DG284,DI284:$FB284)-SUM(DH$176:DH283,DH285:DH$330)-DH$331</f>
        <v>0</v>
      </c>
      <c r="DI284" s="176">
        <f t="shared" ref="DI284:FB284" si="628">DI117*DI$168</f>
        <v>0</v>
      </c>
      <c r="DJ284" s="176">
        <f t="shared" si="628"/>
        <v>0</v>
      </c>
      <c r="DK284" s="176">
        <f t="shared" si="628"/>
        <v>0</v>
      </c>
      <c r="DL284" s="176">
        <f t="shared" si="628"/>
        <v>0</v>
      </c>
      <c r="DM284" s="176">
        <f t="shared" si="628"/>
        <v>0</v>
      </c>
      <c r="DN284" s="176">
        <f t="shared" si="628"/>
        <v>0</v>
      </c>
      <c r="DO284" s="176">
        <f t="shared" si="628"/>
        <v>0</v>
      </c>
      <c r="DP284" s="176">
        <f t="shared" si="628"/>
        <v>0</v>
      </c>
      <c r="DQ284" s="176">
        <f t="shared" si="628"/>
        <v>0</v>
      </c>
      <c r="DR284" s="176">
        <f t="shared" si="628"/>
        <v>0</v>
      </c>
      <c r="DS284" s="176">
        <f t="shared" si="628"/>
        <v>0</v>
      </c>
      <c r="DT284" s="176">
        <f t="shared" si="628"/>
        <v>0</v>
      </c>
      <c r="DU284" s="176">
        <f t="shared" si="628"/>
        <v>0</v>
      </c>
      <c r="DV284" s="176">
        <f t="shared" si="628"/>
        <v>0</v>
      </c>
      <c r="DW284" s="176">
        <f t="shared" si="628"/>
        <v>0</v>
      </c>
      <c r="DX284" s="176">
        <f t="shared" si="628"/>
        <v>0</v>
      </c>
      <c r="DY284" s="176">
        <f t="shared" si="628"/>
        <v>0</v>
      </c>
      <c r="DZ284" s="176">
        <f t="shared" si="628"/>
        <v>0</v>
      </c>
      <c r="EA284" s="176">
        <f t="shared" si="628"/>
        <v>0</v>
      </c>
      <c r="EB284" s="176">
        <f t="shared" si="628"/>
        <v>0</v>
      </c>
      <c r="EC284" s="176">
        <f t="shared" si="628"/>
        <v>0</v>
      </c>
      <c r="ED284" s="176">
        <f t="shared" si="628"/>
        <v>0</v>
      </c>
      <c r="EE284" s="176">
        <f t="shared" si="628"/>
        <v>0</v>
      </c>
      <c r="EF284" s="182">
        <f t="shared" si="628"/>
        <v>0</v>
      </c>
      <c r="EG284" s="182">
        <f t="shared" si="628"/>
        <v>0</v>
      </c>
      <c r="EH284" s="182">
        <f t="shared" si="628"/>
        <v>0</v>
      </c>
      <c r="EI284" s="182">
        <f t="shared" si="628"/>
        <v>0</v>
      </c>
      <c r="EJ284" s="182">
        <f t="shared" si="628"/>
        <v>0</v>
      </c>
      <c r="EK284" s="182">
        <f t="shared" si="628"/>
        <v>0</v>
      </c>
      <c r="EL284" s="182">
        <f t="shared" si="628"/>
        <v>0</v>
      </c>
      <c r="EM284" s="182">
        <f t="shared" si="628"/>
        <v>0</v>
      </c>
      <c r="EN284" s="182">
        <f t="shared" si="628"/>
        <v>0</v>
      </c>
      <c r="EO284" s="182">
        <f t="shared" si="628"/>
        <v>0</v>
      </c>
      <c r="EP284" s="182">
        <f t="shared" si="628"/>
        <v>0</v>
      </c>
      <c r="EQ284" s="182">
        <f t="shared" si="628"/>
        <v>0</v>
      </c>
      <c r="ER284" s="182">
        <f t="shared" si="628"/>
        <v>0</v>
      </c>
      <c r="ES284" s="182">
        <f t="shared" si="628"/>
        <v>0</v>
      </c>
      <c r="ET284" s="182">
        <f t="shared" si="628"/>
        <v>0</v>
      </c>
      <c r="EU284" s="182">
        <f t="shared" si="628"/>
        <v>0</v>
      </c>
      <c r="EV284" s="182">
        <f t="shared" si="628"/>
        <v>0</v>
      </c>
      <c r="EW284" s="182">
        <f t="shared" si="628"/>
        <v>0</v>
      </c>
      <c r="EX284" s="182">
        <f t="shared" si="628"/>
        <v>0</v>
      </c>
      <c r="EY284" s="182">
        <f t="shared" si="628"/>
        <v>0</v>
      </c>
      <c r="EZ284" s="182">
        <f t="shared" si="628"/>
        <v>0</v>
      </c>
      <c r="FA284" s="182">
        <f t="shared" si="628"/>
        <v>0</v>
      </c>
      <c r="FB284" s="183">
        <f t="shared" si="628"/>
        <v>0</v>
      </c>
    </row>
    <row r="285" spans="2:158" ht="12.75" customHeight="1" x14ac:dyDescent="0.3">
      <c r="B285" s="199" t="s">
        <v>3928</v>
      </c>
      <c r="C285" s="193">
        <v>0</v>
      </c>
      <c r="D285" s="182">
        <f t="shared" si="560"/>
        <v>0</v>
      </c>
      <c r="E285" s="182">
        <f t="shared" si="566"/>
        <v>0</v>
      </c>
      <c r="F285" s="182">
        <f t="shared" si="572"/>
        <v>0</v>
      </c>
      <c r="G285" s="182">
        <f t="shared" si="578"/>
        <v>0</v>
      </c>
      <c r="H285" s="182">
        <f t="shared" si="584"/>
        <v>0</v>
      </c>
      <c r="I285" s="176">
        <f t="shared" si="590"/>
        <v>0</v>
      </c>
      <c r="J285" s="182">
        <f t="shared" si="596"/>
        <v>0</v>
      </c>
      <c r="K285" s="182">
        <f t="shared" si="602"/>
        <v>0</v>
      </c>
      <c r="L285" s="182">
        <f t="shared" si="608"/>
        <v>0</v>
      </c>
      <c r="M285" s="182">
        <f t="shared" si="614"/>
        <v>0</v>
      </c>
      <c r="N285" s="182">
        <f t="shared" si="619"/>
        <v>0</v>
      </c>
      <c r="O285" s="182">
        <f t="shared" si="624"/>
        <v>0</v>
      </c>
      <c r="P285" s="182">
        <f t="shared" ref="P285:P316" si="629">P118*P$168</f>
        <v>0</v>
      </c>
      <c r="Q285" s="182">
        <f t="shared" si="458"/>
        <v>0</v>
      </c>
      <c r="R285" s="182">
        <f t="shared" si="464"/>
        <v>0</v>
      </c>
      <c r="S285" s="182">
        <f t="shared" si="470"/>
        <v>0</v>
      </c>
      <c r="T285" s="182">
        <f t="shared" si="476"/>
        <v>0</v>
      </c>
      <c r="U285" s="182">
        <f t="shared" si="482"/>
        <v>0</v>
      </c>
      <c r="V285" s="182">
        <f t="shared" si="488"/>
        <v>0</v>
      </c>
      <c r="W285" s="182">
        <f t="shared" si="494"/>
        <v>0</v>
      </c>
      <c r="X285" s="182">
        <f t="shared" si="500"/>
        <v>0</v>
      </c>
      <c r="Y285" s="182">
        <f t="shared" si="505"/>
        <v>0</v>
      </c>
      <c r="Z285" s="182">
        <f t="shared" si="510"/>
        <v>0</v>
      </c>
      <c r="AA285" s="182">
        <f t="shared" si="515"/>
        <v>0</v>
      </c>
      <c r="AB285" s="182">
        <f t="shared" si="520"/>
        <v>0</v>
      </c>
      <c r="AC285" s="182">
        <f t="shared" si="525"/>
        <v>0</v>
      </c>
      <c r="AD285" s="182">
        <f t="shared" si="530"/>
        <v>0</v>
      </c>
      <c r="AE285" s="182">
        <f t="shared" si="535"/>
        <v>0</v>
      </c>
      <c r="AF285" s="182">
        <f t="shared" si="540"/>
        <v>0</v>
      </c>
      <c r="AG285" s="182">
        <f t="shared" si="545"/>
        <v>0</v>
      </c>
      <c r="AH285" s="182">
        <f t="shared" si="550"/>
        <v>0</v>
      </c>
      <c r="AI285" s="182">
        <f t="shared" si="555"/>
        <v>0</v>
      </c>
      <c r="AJ285" s="182">
        <f t="shared" si="561"/>
        <v>0</v>
      </c>
      <c r="AK285" s="182">
        <f t="shared" si="567"/>
        <v>0</v>
      </c>
      <c r="AL285" s="182">
        <f t="shared" si="573"/>
        <v>0</v>
      </c>
      <c r="AM285" s="182">
        <f t="shared" si="579"/>
        <v>0</v>
      </c>
      <c r="AN285" s="182">
        <f t="shared" si="585"/>
        <v>0</v>
      </c>
      <c r="AO285" s="182">
        <f t="shared" si="591"/>
        <v>0</v>
      </c>
      <c r="AP285" s="182">
        <f t="shared" si="597"/>
        <v>0</v>
      </c>
      <c r="AQ285" s="182">
        <f t="shared" si="603"/>
        <v>0</v>
      </c>
      <c r="AR285" s="182">
        <f t="shared" si="609"/>
        <v>0</v>
      </c>
      <c r="AS285" s="182">
        <f t="shared" si="615"/>
        <v>0</v>
      </c>
      <c r="AT285" s="182">
        <f t="shared" si="620"/>
        <v>0</v>
      </c>
      <c r="AU285" s="182">
        <f t="shared" si="625"/>
        <v>0</v>
      </c>
      <c r="AV285" s="182">
        <f t="shared" ref="AV285:AV316" si="630">AV118*AV$168</f>
        <v>0</v>
      </c>
      <c r="AW285" s="182">
        <f t="shared" si="459"/>
        <v>0</v>
      </c>
      <c r="AX285" s="182">
        <f t="shared" si="465"/>
        <v>0</v>
      </c>
      <c r="AY285" s="182">
        <f t="shared" si="471"/>
        <v>0</v>
      </c>
      <c r="AZ285" s="182">
        <f t="shared" si="477"/>
        <v>0</v>
      </c>
      <c r="BA285" s="182">
        <f t="shared" si="483"/>
        <v>0</v>
      </c>
      <c r="BB285" s="182">
        <f t="shared" si="489"/>
        <v>0</v>
      </c>
      <c r="BC285" s="182">
        <f t="shared" si="495"/>
        <v>0</v>
      </c>
      <c r="BD285" s="182">
        <f t="shared" si="501"/>
        <v>0</v>
      </c>
      <c r="BE285" s="182">
        <f t="shared" si="506"/>
        <v>0</v>
      </c>
      <c r="BF285" s="182">
        <f t="shared" si="511"/>
        <v>0</v>
      </c>
      <c r="BG285" s="182">
        <f t="shared" si="516"/>
        <v>0</v>
      </c>
      <c r="BH285" s="182">
        <f t="shared" si="521"/>
        <v>0</v>
      </c>
      <c r="BI285" s="182">
        <f t="shared" si="526"/>
        <v>0</v>
      </c>
      <c r="BJ285" s="182">
        <f t="shared" si="531"/>
        <v>0</v>
      </c>
      <c r="BK285" s="182">
        <f t="shared" si="536"/>
        <v>0</v>
      </c>
      <c r="BL285" s="182">
        <f t="shared" si="541"/>
        <v>0</v>
      </c>
      <c r="BM285" s="182">
        <f t="shared" si="546"/>
        <v>0</v>
      </c>
      <c r="BN285" s="182">
        <f t="shared" si="551"/>
        <v>0</v>
      </c>
      <c r="BO285" s="182">
        <f t="shared" si="556"/>
        <v>0</v>
      </c>
      <c r="BP285" s="182">
        <f t="shared" si="562"/>
        <v>0</v>
      </c>
      <c r="BQ285" s="182">
        <f t="shared" si="568"/>
        <v>0</v>
      </c>
      <c r="BR285" s="182">
        <f t="shared" si="574"/>
        <v>0</v>
      </c>
      <c r="BS285" s="182">
        <f t="shared" si="580"/>
        <v>0</v>
      </c>
      <c r="BT285" s="182">
        <f t="shared" si="586"/>
        <v>0</v>
      </c>
      <c r="BU285" s="182">
        <f t="shared" si="592"/>
        <v>0</v>
      </c>
      <c r="BV285" s="182">
        <f t="shared" si="598"/>
        <v>0</v>
      </c>
      <c r="BW285" s="182">
        <f t="shared" si="604"/>
        <v>0</v>
      </c>
      <c r="BX285" s="182">
        <f t="shared" si="610"/>
        <v>0</v>
      </c>
      <c r="BY285" s="182">
        <f t="shared" si="616"/>
        <v>0</v>
      </c>
      <c r="BZ285" s="182">
        <f t="shared" si="621"/>
        <v>0</v>
      </c>
      <c r="CA285" s="182">
        <f t="shared" si="626"/>
        <v>0</v>
      </c>
      <c r="CB285" s="182">
        <f t="shared" ref="CB285:CB316" si="631">CB118*CB$168</f>
        <v>0</v>
      </c>
      <c r="CC285" s="182">
        <f t="shared" si="460"/>
        <v>0</v>
      </c>
      <c r="CD285" s="182">
        <f t="shared" si="466"/>
        <v>0</v>
      </c>
      <c r="CE285" s="182">
        <f t="shared" si="472"/>
        <v>0</v>
      </c>
      <c r="CF285" s="182">
        <f t="shared" si="478"/>
        <v>0</v>
      </c>
      <c r="CG285" s="182">
        <f t="shared" si="484"/>
        <v>0</v>
      </c>
      <c r="CH285" s="182">
        <f t="shared" si="490"/>
        <v>0</v>
      </c>
      <c r="CI285" s="182">
        <f t="shared" si="496"/>
        <v>0</v>
      </c>
      <c r="CJ285" s="182">
        <f t="shared" si="502"/>
        <v>0</v>
      </c>
      <c r="CK285" s="182">
        <f t="shared" si="507"/>
        <v>0</v>
      </c>
      <c r="CL285" s="182">
        <f t="shared" si="512"/>
        <v>0</v>
      </c>
      <c r="CM285" s="182">
        <f t="shared" si="517"/>
        <v>0</v>
      </c>
      <c r="CN285" s="182">
        <f t="shared" si="522"/>
        <v>0</v>
      </c>
      <c r="CO285" s="182">
        <f t="shared" si="527"/>
        <v>0</v>
      </c>
      <c r="CP285" s="182">
        <f t="shared" si="532"/>
        <v>0</v>
      </c>
      <c r="CQ285" s="182">
        <f t="shared" si="537"/>
        <v>0</v>
      </c>
      <c r="CR285" s="182">
        <f t="shared" si="542"/>
        <v>0</v>
      </c>
      <c r="CS285" s="182">
        <f t="shared" si="547"/>
        <v>0</v>
      </c>
      <c r="CT285" s="182">
        <f t="shared" si="552"/>
        <v>0</v>
      </c>
      <c r="CU285" s="182">
        <f t="shared" si="557"/>
        <v>0</v>
      </c>
      <c r="CV285" s="182">
        <f t="shared" si="563"/>
        <v>0</v>
      </c>
      <c r="CW285" s="182">
        <f t="shared" si="569"/>
        <v>0</v>
      </c>
      <c r="CX285" s="182">
        <f t="shared" si="575"/>
        <v>0</v>
      </c>
      <c r="CY285" s="182">
        <f t="shared" si="581"/>
        <v>0</v>
      </c>
      <c r="CZ285" s="182">
        <f t="shared" si="587"/>
        <v>0</v>
      </c>
      <c r="DA285" s="182">
        <f t="shared" si="593"/>
        <v>0</v>
      </c>
      <c r="DB285" s="182">
        <f t="shared" si="599"/>
        <v>0</v>
      </c>
      <c r="DC285" s="182">
        <f t="shared" si="605"/>
        <v>0</v>
      </c>
      <c r="DD285" s="182">
        <f t="shared" si="611"/>
        <v>0</v>
      </c>
      <c r="DE285" s="182">
        <f t="shared" si="617"/>
        <v>0</v>
      </c>
      <c r="DF285" s="182">
        <f t="shared" si="622"/>
        <v>0</v>
      </c>
      <c r="DG285" s="182">
        <f t="shared" si="627"/>
        <v>0</v>
      </c>
      <c r="DH285" s="182">
        <f t="shared" ref="DH285:DH330" si="632">DH118*DH$168</f>
        <v>0</v>
      </c>
      <c r="DI285" s="181">
        <f>$C285+SUM($D285:DH285,DJ285:$FB285)-SUM(DI$176:DI284,DI286:DI$330)-DI$331</f>
        <v>0</v>
      </c>
      <c r="DJ285" s="176">
        <f t="shared" ref="DJ285:FB285" si="633">DJ118*DJ$168</f>
        <v>0</v>
      </c>
      <c r="DK285" s="176">
        <f t="shared" si="633"/>
        <v>0</v>
      </c>
      <c r="DL285" s="176">
        <f t="shared" si="633"/>
        <v>0</v>
      </c>
      <c r="DM285" s="176">
        <f t="shared" si="633"/>
        <v>0</v>
      </c>
      <c r="DN285" s="176">
        <f t="shared" si="633"/>
        <v>0</v>
      </c>
      <c r="DO285" s="176">
        <f t="shared" si="633"/>
        <v>0</v>
      </c>
      <c r="DP285" s="176">
        <f t="shared" si="633"/>
        <v>0</v>
      </c>
      <c r="DQ285" s="176">
        <f t="shared" si="633"/>
        <v>0</v>
      </c>
      <c r="DR285" s="176">
        <f t="shared" si="633"/>
        <v>0</v>
      </c>
      <c r="DS285" s="176">
        <f t="shared" si="633"/>
        <v>0</v>
      </c>
      <c r="DT285" s="176">
        <f t="shared" si="633"/>
        <v>0</v>
      </c>
      <c r="DU285" s="176">
        <f t="shared" si="633"/>
        <v>0</v>
      </c>
      <c r="DV285" s="176">
        <f t="shared" si="633"/>
        <v>0</v>
      </c>
      <c r="DW285" s="176">
        <f t="shared" si="633"/>
        <v>0</v>
      </c>
      <c r="DX285" s="176">
        <f t="shared" si="633"/>
        <v>0</v>
      </c>
      <c r="DY285" s="176">
        <f t="shared" si="633"/>
        <v>0</v>
      </c>
      <c r="DZ285" s="176">
        <f t="shared" si="633"/>
        <v>0</v>
      </c>
      <c r="EA285" s="176">
        <f t="shared" si="633"/>
        <v>0</v>
      </c>
      <c r="EB285" s="176">
        <f t="shared" si="633"/>
        <v>0</v>
      </c>
      <c r="EC285" s="176">
        <f t="shared" si="633"/>
        <v>0</v>
      </c>
      <c r="ED285" s="176">
        <f t="shared" si="633"/>
        <v>0</v>
      </c>
      <c r="EE285" s="176">
        <f t="shared" si="633"/>
        <v>0</v>
      </c>
      <c r="EF285" s="182">
        <f t="shared" si="633"/>
        <v>0</v>
      </c>
      <c r="EG285" s="182">
        <f t="shared" si="633"/>
        <v>0</v>
      </c>
      <c r="EH285" s="182">
        <f t="shared" si="633"/>
        <v>0</v>
      </c>
      <c r="EI285" s="182">
        <f t="shared" si="633"/>
        <v>0</v>
      </c>
      <c r="EJ285" s="182">
        <f t="shared" si="633"/>
        <v>0</v>
      </c>
      <c r="EK285" s="182">
        <f t="shared" si="633"/>
        <v>0</v>
      </c>
      <c r="EL285" s="182">
        <f t="shared" si="633"/>
        <v>0</v>
      </c>
      <c r="EM285" s="182">
        <f t="shared" si="633"/>
        <v>0</v>
      </c>
      <c r="EN285" s="182">
        <f t="shared" si="633"/>
        <v>0</v>
      </c>
      <c r="EO285" s="182">
        <f t="shared" si="633"/>
        <v>0</v>
      </c>
      <c r="EP285" s="182">
        <f t="shared" si="633"/>
        <v>0</v>
      </c>
      <c r="EQ285" s="182">
        <f t="shared" si="633"/>
        <v>0</v>
      </c>
      <c r="ER285" s="182">
        <f t="shared" si="633"/>
        <v>0</v>
      </c>
      <c r="ES285" s="182">
        <f t="shared" si="633"/>
        <v>0</v>
      </c>
      <c r="ET285" s="182">
        <f t="shared" si="633"/>
        <v>0</v>
      </c>
      <c r="EU285" s="182">
        <f t="shared" si="633"/>
        <v>0</v>
      </c>
      <c r="EV285" s="182">
        <f t="shared" si="633"/>
        <v>0</v>
      </c>
      <c r="EW285" s="182">
        <f t="shared" si="633"/>
        <v>0</v>
      </c>
      <c r="EX285" s="182">
        <f t="shared" si="633"/>
        <v>0</v>
      </c>
      <c r="EY285" s="182">
        <f t="shared" si="633"/>
        <v>0</v>
      </c>
      <c r="EZ285" s="182">
        <f t="shared" si="633"/>
        <v>0</v>
      </c>
      <c r="FA285" s="182">
        <f t="shared" si="633"/>
        <v>0</v>
      </c>
      <c r="FB285" s="183">
        <f t="shared" si="633"/>
        <v>0</v>
      </c>
    </row>
    <row r="286" spans="2:158" ht="12.75" customHeight="1" x14ac:dyDescent="0.3">
      <c r="B286" s="199" t="s">
        <v>3929</v>
      </c>
      <c r="C286" s="193">
        <v>0</v>
      </c>
      <c r="D286" s="182">
        <f t="shared" si="560"/>
        <v>0</v>
      </c>
      <c r="E286" s="182">
        <f t="shared" si="566"/>
        <v>0</v>
      </c>
      <c r="F286" s="182">
        <f t="shared" si="572"/>
        <v>0</v>
      </c>
      <c r="G286" s="182">
        <f t="shared" si="578"/>
        <v>0</v>
      </c>
      <c r="H286" s="182">
        <f t="shared" si="584"/>
        <v>0</v>
      </c>
      <c r="I286" s="176">
        <f t="shared" si="590"/>
        <v>0</v>
      </c>
      <c r="J286" s="182">
        <f t="shared" si="596"/>
        <v>0</v>
      </c>
      <c r="K286" s="182">
        <f t="shared" si="602"/>
        <v>0</v>
      </c>
      <c r="L286" s="182">
        <f t="shared" si="608"/>
        <v>0</v>
      </c>
      <c r="M286" s="182">
        <f t="shared" si="614"/>
        <v>0</v>
      </c>
      <c r="N286" s="182">
        <f t="shared" si="619"/>
        <v>0</v>
      </c>
      <c r="O286" s="182">
        <f t="shared" si="624"/>
        <v>0</v>
      </c>
      <c r="P286" s="182">
        <f t="shared" si="629"/>
        <v>0</v>
      </c>
      <c r="Q286" s="182">
        <f t="shared" ref="Q286:Q317" si="634">Q119*Q$168</f>
        <v>0</v>
      </c>
      <c r="R286" s="182">
        <f t="shared" si="464"/>
        <v>0</v>
      </c>
      <c r="S286" s="182">
        <f t="shared" si="470"/>
        <v>0</v>
      </c>
      <c r="T286" s="182">
        <f t="shared" si="476"/>
        <v>0</v>
      </c>
      <c r="U286" s="182">
        <f t="shared" si="482"/>
        <v>0</v>
      </c>
      <c r="V286" s="182">
        <f t="shared" si="488"/>
        <v>0</v>
      </c>
      <c r="W286" s="182">
        <f t="shared" si="494"/>
        <v>0</v>
      </c>
      <c r="X286" s="182">
        <f t="shared" si="500"/>
        <v>0</v>
      </c>
      <c r="Y286" s="182">
        <f t="shared" si="505"/>
        <v>0</v>
      </c>
      <c r="Z286" s="182">
        <f t="shared" si="510"/>
        <v>0</v>
      </c>
      <c r="AA286" s="182">
        <f t="shared" si="515"/>
        <v>0</v>
      </c>
      <c r="AB286" s="182">
        <f t="shared" si="520"/>
        <v>0</v>
      </c>
      <c r="AC286" s="182">
        <f t="shared" si="525"/>
        <v>0</v>
      </c>
      <c r="AD286" s="182">
        <f t="shared" si="530"/>
        <v>0</v>
      </c>
      <c r="AE286" s="182">
        <f t="shared" si="535"/>
        <v>0</v>
      </c>
      <c r="AF286" s="182">
        <f t="shared" si="540"/>
        <v>0</v>
      </c>
      <c r="AG286" s="182">
        <f t="shared" si="545"/>
        <v>0</v>
      </c>
      <c r="AH286" s="182">
        <f t="shared" si="550"/>
        <v>0</v>
      </c>
      <c r="AI286" s="182">
        <f t="shared" si="555"/>
        <v>0</v>
      </c>
      <c r="AJ286" s="182">
        <f t="shared" si="561"/>
        <v>0</v>
      </c>
      <c r="AK286" s="182">
        <f t="shared" si="567"/>
        <v>0</v>
      </c>
      <c r="AL286" s="182">
        <f t="shared" si="573"/>
        <v>0</v>
      </c>
      <c r="AM286" s="182">
        <f t="shared" si="579"/>
        <v>0</v>
      </c>
      <c r="AN286" s="182">
        <f t="shared" si="585"/>
        <v>0</v>
      </c>
      <c r="AO286" s="182">
        <f t="shared" si="591"/>
        <v>0</v>
      </c>
      <c r="AP286" s="182">
        <f t="shared" si="597"/>
        <v>0</v>
      </c>
      <c r="AQ286" s="182">
        <f t="shared" si="603"/>
        <v>0</v>
      </c>
      <c r="AR286" s="182">
        <f t="shared" si="609"/>
        <v>0</v>
      </c>
      <c r="AS286" s="182">
        <f t="shared" si="615"/>
        <v>0</v>
      </c>
      <c r="AT286" s="182">
        <f t="shared" si="620"/>
        <v>0</v>
      </c>
      <c r="AU286" s="182">
        <f t="shared" si="625"/>
        <v>0</v>
      </c>
      <c r="AV286" s="182">
        <f t="shared" si="630"/>
        <v>0</v>
      </c>
      <c r="AW286" s="182">
        <f t="shared" ref="AW286:AW317" si="635">AW119*AW$168</f>
        <v>0</v>
      </c>
      <c r="AX286" s="182">
        <f t="shared" si="465"/>
        <v>0</v>
      </c>
      <c r="AY286" s="182">
        <f t="shared" si="471"/>
        <v>0</v>
      </c>
      <c r="AZ286" s="182">
        <f t="shared" si="477"/>
        <v>0</v>
      </c>
      <c r="BA286" s="182">
        <f t="shared" si="483"/>
        <v>0</v>
      </c>
      <c r="BB286" s="182">
        <f t="shared" si="489"/>
        <v>0</v>
      </c>
      <c r="BC286" s="182">
        <f t="shared" si="495"/>
        <v>0</v>
      </c>
      <c r="BD286" s="182">
        <f t="shared" si="501"/>
        <v>0</v>
      </c>
      <c r="BE286" s="182">
        <f t="shared" si="506"/>
        <v>0</v>
      </c>
      <c r="BF286" s="182">
        <f t="shared" si="511"/>
        <v>0</v>
      </c>
      <c r="BG286" s="182">
        <f t="shared" si="516"/>
        <v>0</v>
      </c>
      <c r="BH286" s="182">
        <f t="shared" si="521"/>
        <v>0</v>
      </c>
      <c r="BI286" s="182">
        <f t="shared" si="526"/>
        <v>0</v>
      </c>
      <c r="BJ286" s="182">
        <f t="shared" si="531"/>
        <v>0</v>
      </c>
      <c r="BK286" s="182">
        <f t="shared" si="536"/>
        <v>0</v>
      </c>
      <c r="BL286" s="182">
        <f t="shared" si="541"/>
        <v>0</v>
      </c>
      <c r="BM286" s="182">
        <f t="shared" si="546"/>
        <v>0</v>
      </c>
      <c r="BN286" s="182">
        <f t="shared" si="551"/>
        <v>0</v>
      </c>
      <c r="BO286" s="182">
        <f t="shared" si="556"/>
        <v>0</v>
      </c>
      <c r="BP286" s="182">
        <f t="shared" si="562"/>
        <v>0</v>
      </c>
      <c r="BQ286" s="182">
        <f t="shared" si="568"/>
        <v>0</v>
      </c>
      <c r="BR286" s="182">
        <f t="shared" si="574"/>
        <v>0</v>
      </c>
      <c r="BS286" s="182">
        <f t="shared" si="580"/>
        <v>0</v>
      </c>
      <c r="BT286" s="182">
        <f t="shared" si="586"/>
        <v>0</v>
      </c>
      <c r="BU286" s="182">
        <f t="shared" si="592"/>
        <v>0</v>
      </c>
      <c r="BV286" s="182">
        <f t="shared" si="598"/>
        <v>0</v>
      </c>
      <c r="BW286" s="182">
        <f t="shared" si="604"/>
        <v>0</v>
      </c>
      <c r="BX286" s="182">
        <f t="shared" si="610"/>
        <v>0</v>
      </c>
      <c r="BY286" s="182">
        <f t="shared" si="616"/>
        <v>0</v>
      </c>
      <c r="BZ286" s="182">
        <f t="shared" si="621"/>
        <v>0</v>
      </c>
      <c r="CA286" s="182">
        <f t="shared" si="626"/>
        <v>0</v>
      </c>
      <c r="CB286" s="182">
        <f t="shared" si="631"/>
        <v>0</v>
      </c>
      <c r="CC286" s="182">
        <f t="shared" ref="CC286:CC317" si="636">CC119*CC$168</f>
        <v>0</v>
      </c>
      <c r="CD286" s="182">
        <f t="shared" si="466"/>
        <v>0</v>
      </c>
      <c r="CE286" s="182">
        <f t="shared" si="472"/>
        <v>0</v>
      </c>
      <c r="CF286" s="182">
        <f t="shared" si="478"/>
        <v>0</v>
      </c>
      <c r="CG286" s="182">
        <f t="shared" si="484"/>
        <v>0</v>
      </c>
      <c r="CH286" s="182">
        <f t="shared" si="490"/>
        <v>0</v>
      </c>
      <c r="CI286" s="182">
        <f t="shared" si="496"/>
        <v>0</v>
      </c>
      <c r="CJ286" s="182">
        <f t="shared" si="502"/>
        <v>0</v>
      </c>
      <c r="CK286" s="182">
        <f t="shared" si="507"/>
        <v>0</v>
      </c>
      <c r="CL286" s="182">
        <f t="shared" si="512"/>
        <v>0</v>
      </c>
      <c r="CM286" s="182">
        <f t="shared" si="517"/>
        <v>4.7031755988101909E-4</v>
      </c>
      <c r="CN286" s="182">
        <f t="shared" si="522"/>
        <v>0</v>
      </c>
      <c r="CO286" s="182">
        <f t="shared" si="527"/>
        <v>0</v>
      </c>
      <c r="CP286" s="182">
        <f t="shared" si="532"/>
        <v>0</v>
      </c>
      <c r="CQ286" s="182">
        <f t="shared" si="537"/>
        <v>0</v>
      </c>
      <c r="CR286" s="182">
        <f t="shared" si="542"/>
        <v>0</v>
      </c>
      <c r="CS286" s="182">
        <f t="shared" si="547"/>
        <v>0</v>
      </c>
      <c r="CT286" s="182">
        <f t="shared" si="552"/>
        <v>0</v>
      </c>
      <c r="CU286" s="182">
        <f t="shared" si="557"/>
        <v>0</v>
      </c>
      <c r="CV286" s="182">
        <f t="shared" si="563"/>
        <v>0</v>
      </c>
      <c r="CW286" s="182">
        <f t="shared" si="569"/>
        <v>0</v>
      </c>
      <c r="CX286" s="182">
        <f t="shared" si="575"/>
        <v>0</v>
      </c>
      <c r="CY286" s="182">
        <f t="shared" si="581"/>
        <v>0</v>
      </c>
      <c r="CZ286" s="182">
        <f t="shared" si="587"/>
        <v>0</v>
      </c>
      <c r="DA286" s="182">
        <f t="shared" si="593"/>
        <v>0</v>
      </c>
      <c r="DB286" s="182">
        <f t="shared" si="599"/>
        <v>0</v>
      </c>
      <c r="DC286" s="182">
        <f t="shared" si="605"/>
        <v>0</v>
      </c>
      <c r="DD286" s="182">
        <f t="shared" si="611"/>
        <v>0</v>
      </c>
      <c r="DE286" s="182">
        <f t="shared" si="617"/>
        <v>0</v>
      </c>
      <c r="DF286" s="182">
        <f t="shared" si="622"/>
        <v>0</v>
      </c>
      <c r="DG286" s="182">
        <f t="shared" si="627"/>
        <v>0</v>
      </c>
      <c r="DH286" s="182">
        <f t="shared" si="632"/>
        <v>0</v>
      </c>
      <c r="DI286" s="182">
        <f t="shared" ref="DI286:DI330" si="637">DI119*DI$168</f>
        <v>0</v>
      </c>
      <c r="DJ286" s="181">
        <f>$C286+SUM($D286:DI286,DK286:$FB286)-SUM(DJ$176:DJ285,DJ287:DJ$330)-DJ$331</f>
        <v>-4.3549404889691801E-20</v>
      </c>
      <c r="DK286" s="176">
        <f t="shared" ref="DK286:FB286" si="638">DK119*DK$168</f>
        <v>0</v>
      </c>
      <c r="DL286" s="176">
        <f t="shared" si="638"/>
        <v>0</v>
      </c>
      <c r="DM286" s="176">
        <f t="shared" si="638"/>
        <v>0</v>
      </c>
      <c r="DN286" s="176">
        <f t="shared" si="638"/>
        <v>0</v>
      </c>
      <c r="DO286" s="176">
        <f t="shared" si="638"/>
        <v>0</v>
      </c>
      <c r="DP286" s="176">
        <f t="shared" si="638"/>
        <v>0</v>
      </c>
      <c r="DQ286" s="176">
        <f t="shared" si="638"/>
        <v>0</v>
      </c>
      <c r="DR286" s="176">
        <f t="shared" si="638"/>
        <v>0</v>
      </c>
      <c r="DS286" s="176">
        <f t="shared" si="638"/>
        <v>0</v>
      </c>
      <c r="DT286" s="176">
        <f t="shared" si="638"/>
        <v>0</v>
      </c>
      <c r="DU286" s="176">
        <f t="shared" si="638"/>
        <v>0</v>
      </c>
      <c r="DV286" s="176">
        <f t="shared" si="638"/>
        <v>0</v>
      </c>
      <c r="DW286" s="176">
        <f t="shared" si="638"/>
        <v>0</v>
      </c>
      <c r="DX286" s="176">
        <f t="shared" si="638"/>
        <v>0</v>
      </c>
      <c r="DY286" s="176">
        <f t="shared" si="638"/>
        <v>0</v>
      </c>
      <c r="DZ286" s="176">
        <f t="shared" si="638"/>
        <v>0</v>
      </c>
      <c r="EA286" s="176">
        <f t="shared" si="638"/>
        <v>0</v>
      </c>
      <c r="EB286" s="176">
        <f t="shared" si="638"/>
        <v>0</v>
      </c>
      <c r="EC286" s="176">
        <f t="shared" si="638"/>
        <v>0</v>
      </c>
      <c r="ED286" s="176">
        <f t="shared" si="638"/>
        <v>0</v>
      </c>
      <c r="EE286" s="176">
        <f t="shared" si="638"/>
        <v>0</v>
      </c>
      <c r="EF286" s="182">
        <f t="shared" si="638"/>
        <v>0</v>
      </c>
      <c r="EG286" s="182">
        <f t="shared" si="638"/>
        <v>0</v>
      </c>
      <c r="EH286" s="182">
        <f t="shared" si="638"/>
        <v>0</v>
      </c>
      <c r="EI286" s="182">
        <f t="shared" si="638"/>
        <v>0</v>
      </c>
      <c r="EJ286" s="182">
        <f t="shared" si="638"/>
        <v>0</v>
      </c>
      <c r="EK286" s="182">
        <f t="shared" si="638"/>
        <v>0</v>
      </c>
      <c r="EL286" s="182">
        <f t="shared" si="638"/>
        <v>0</v>
      </c>
      <c r="EM286" s="182">
        <f t="shared" si="638"/>
        <v>0</v>
      </c>
      <c r="EN286" s="182">
        <f t="shared" si="638"/>
        <v>0</v>
      </c>
      <c r="EO286" s="182">
        <f t="shared" si="638"/>
        <v>0</v>
      </c>
      <c r="EP286" s="182">
        <f t="shared" si="638"/>
        <v>0</v>
      </c>
      <c r="EQ286" s="182">
        <f t="shared" si="638"/>
        <v>0</v>
      </c>
      <c r="ER286" s="182">
        <f t="shared" si="638"/>
        <v>0</v>
      </c>
      <c r="ES286" s="182">
        <f t="shared" si="638"/>
        <v>0</v>
      </c>
      <c r="ET286" s="182">
        <f t="shared" si="638"/>
        <v>0</v>
      </c>
      <c r="EU286" s="182">
        <f t="shared" si="638"/>
        <v>0</v>
      </c>
      <c r="EV286" s="182">
        <f t="shared" si="638"/>
        <v>0</v>
      </c>
      <c r="EW286" s="182">
        <f t="shared" si="638"/>
        <v>0</v>
      </c>
      <c r="EX286" s="182">
        <f t="shared" si="638"/>
        <v>0</v>
      </c>
      <c r="EY286" s="182">
        <f t="shared" si="638"/>
        <v>0</v>
      </c>
      <c r="EZ286" s="182">
        <f t="shared" si="638"/>
        <v>0</v>
      </c>
      <c r="FA286" s="182">
        <f t="shared" si="638"/>
        <v>0</v>
      </c>
      <c r="FB286" s="183">
        <f t="shared" si="638"/>
        <v>0</v>
      </c>
    </row>
    <row r="287" spans="2:158" ht="12.75" customHeight="1" x14ac:dyDescent="0.3">
      <c r="B287" s="199" t="s">
        <v>3930</v>
      </c>
      <c r="C287" s="193">
        <v>0</v>
      </c>
      <c r="D287" s="182">
        <f t="shared" si="560"/>
        <v>0</v>
      </c>
      <c r="E287" s="182">
        <f t="shared" si="566"/>
        <v>0</v>
      </c>
      <c r="F287" s="182">
        <f t="shared" si="572"/>
        <v>0</v>
      </c>
      <c r="G287" s="182">
        <f t="shared" si="578"/>
        <v>0</v>
      </c>
      <c r="H287" s="182">
        <f t="shared" si="584"/>
        <v>0</v>
      </c>
      <c r="I287" s="176">
        <f t="shared" si="590"/>
        <v>0</v>
      </c>
      <c r="J287" s="182">
        <f t="shared" si="596"/>
        <v>0</v>
      </c>
      <c r="K287" s="182">
        <f t="shared" si="602"/>
        <v>0</v>
      </c>
      <c r="L287" s="182">
        <f t="shared" si="608"/>
        <v>0</v>
      </c>
      <c r="M287" s="182">
        <f t="shared" si="614"/>
        <v>0</v>
      </c>
      <c r="N287" s="182">
        <f t="shared" si="619"/>
        <v>0</v>
      </c>
      <c r="O287" s="182">
        <f t="shared" si="624"/>
        <v>0</v>
      </c>
      <c r="P287" s="182">
        <f t="shared" si="629"/>
        <v>0</v>
      </c>
      <c r="Q287" s="182">
        <f t="shared" si="634"/>
        <v>0</v>
      </c>
      <c r="R287" s="182">
        <f t="shared" ref="R287:R318" si="639">R120*R$168</f>
        <v>0</v>
      </c>
      <c r="S287" s="182">
        <f t="shared" si="470"/>
        <v>0</v>
      </c>
      <c r="T287" s="182">
        <f t="shared" si="476"/>
        <v>0</v>
      </c>
      <c r="U287" s="182">
        <f t="shared" si="482"/>
        <v>0</v>
      </c>
      <c r="V287" s="182">
        <f t="shared" si="488"/>
        <v>0</v>
      </c>
      <c r="W287" s="182">
        <f t="shared" si="494"/>
        <v>0</v>
      </c>
      <c r="X287" s="182">
        <f t="shared" si="500"/>
        <v>0</v>
      </c>
      <c r="Y287" s="182">
        <f t="shared" si="505"/>
        <v>0</v>
      </c>
      <c r="Z287" s="182">
        <f t="shared" si="510"/>
        <v>0</v>
      </c>
      <c r="AA287" s="182">
        <f t="shared" si="515"/>
        <v>0</v>
      </c>
      <c r="AB287" s="182">
        <f t="shared" si="520"/>
        <v>0</v>
      </c>
      <c r="AC287" s="182">
        <f t="shared" si="525"/>
        <v>0</v>
      </c>
      <c r="AD287" s="182">
        <f t="shared" si="530"/>
        <v>0</v>
      </c>
      <c r="AE287" s="182">
        <f t="shared" si="535"/>
        <v>0</v>
      </c>
      <c r="AF287" s="182">
        <f t="shared" si="540"/>
        <v>0</v>
      </c>
      <c r="AG287" s="182">
        <f t="shared" si="545"/>
        <v>0</v>
      </c>
      <c r="AH287" s="182">
        <f t="shared" si="550"/>
        <v>0</v>
      </c>
      <c r="AI287" s="182">
        <f t="shared" si="555"/>
        <v>0</v>
      </c>
      <c r="AJ287" s="182">
        <f t="shared" si="561"/>
        <v>0</v>
      </c>
      <c r="AK287" s="182">
        <f t="shared" si="567"/>
        <v>0</v>
      </c>
      <c r="AL287" s="182">
        <f t="shared" si="573"/>
        <v>0</v>
      </c>
      <c r="AM287" s="182">
        <f t="shared" si="579"/>
        <v>0</v>
      </c>
      <c r="AN287" s="182">
        <f t="shared" si="585"/>
        <v>0</v>
      </c>
      <c r="AO287" s="182">
        <f t="shared" si="591"/>
        <v>0</v>
      </c>
      <c r="AP287" s="182">
        <f t="shared" si="597"/>
        <v>0</v>
      </c>
      <c r="AQ287" s="182">
        <f t="shared" si="603"/>
        <v>0</v>
      </c>
      <c r="AR287" s="182">
        <f t="shared" si="609"/>
        <v>0</v>
      </c>
      <c r="AS287" s="182">
        <f t="shared" si="615"/>
        <v>0</v>
      </c>
      <c r="AT287" s="182">
        <f t="shared" si="620"/>
        <v>0</v>
      </c>
      <c r="AU287" s="182">
        <f t="shared" si="625"/>
        <v>0</v>
      </c>
      <c r="AV287" s="182">
        <f t="shared" si="630"/>
        <v>0</v>
      </c>
      <c r="AW287" s="182">
        <f t="shared" si="635"/>
        <v>0</v>
      </c>
      <c r="AX287" s="182">
        <f t="shared" ref="AX287:AX318" si="640">AX120*AX$168</f>
        <v>0</v>
      </c>
      <c r="AY287" s="182">
        <f t="shared" si="471"/>
        <v>0</v>
      </c>
      <c r="AZ287" s="182">
        <f t="shared" si="477"/>
        <v>0</v>
      </c>
      <c r="BA287" s="182">
        <f t="shared" si="483"/>
        <v>0</v>
      </c>
      <c r="BB287" s="182">
        <f t="shared" si="489"/>
        <v>0</v>
      </c>
      <c r="BC287" s="182">
        <f t="shared" si="495"/>
        <v>0</v>
      </c>
      <c r="BD287" s="182">
        <f t="shared" si="501"/>
        <v>0</v>
      </c>
      <c r="BE287" s="182">
        <f t="shared" si="506"/>
        <v>0</v>
      </c>
      <c r="BF287" s="182">
        <f t="shared" si="511"/>
        <v>0</v>
      </c>
      <c r="BG287" s="182">
        <f t="shared" si="516"/>
        <v>0</v>
      </c>
      <c r="BH287" s="182">
        <f t="shared" si="521"/>
        <v>0</v>
      </c>
      <c r="BI287" s="182">
        <f t="shared" si="526"/>
        <v>0</v>
      </c>
      <c r="BJ287" s="182">
        <f t="shared" si="531"/>
        <v>0</v>
      </c>
      <c r="BK287" s="182">
        <f t="shared" si="536"/>
        <v>0</v>
      </c>
      <c r="BL287" s="182">
        <f t="shared" si="541"/>
        <v>0</v>
      </c>
      <c r="BM287" s="182">
        <f t="shared" si="546"/>
        <v>0</v>
      </c>
      <c r="BN287" s="182">
        <f t="shared" si="551"/>
        <v>0</v>
      </c>
      <c r="BO287" s="182">
        <f t="shared" si="556"/>
        <v>0</v>
      </c>
      <c r="BP287" s="182">
        <f t="shared" si="562"/>
        <v>0</v>
      </c>
      <c r="BQ287" s="182">
        <f t="shared" si="568"/>
        <v>0</v>
      </c>
      <c r="BR287" s="182">
        <f t="shared" si="574"/>
        <v>0</v>
      </c>
      <c r="BS287" s="182">
        <f t="shared" si="580"/>
        <v>0</v>
      </c>
      <c r="BT287" s="182">
        <f t="shared" si="586"/>
        <v>0</v>
      </c>
      <c r="BU287" s="182">
        <f t="shared" si="592"/>
        <v>0</v>
      </c>
      <c r="BV287" s="182">
        <f t="shared" si="598"/>
        <v>0</v>
      </c>
      <c r="BW287" s="182">
        <f t="shared" si="604"/>
        <v>0</v>
      </c>
      <c r="BX287" s="182">
        <f t="shared" si="610"/>
        <v>0</v>
      </c>
      <c r="BY287" s="182">
        <f t="shared" si="616"/>
        <v>0</v>
      </c>
      <c r="BZ287" s="182">
        <f t="shared" si="621"/>
        <v>0</v>
      </c>
      <c r="CA287" s="182">
        <f t="shared" si="626"/>
        <v>0</v>
      </c>
      <c r="CB287" s="182">
        <f t="shared" si="631"/>
        <v>0</v>
      </c>
      <c r="CC287" s="182">
        <f t="shared" si="636"/>
        <v>0</v>
      </c>
      <c r="CD287" s="182">
        <f t="shared" ref="CD287:CD318" si="641">CD120*CD$168</f>
        <v>0</v>
      </c>
      <c r="CE287" s="182">
        <f t="shared" si="472"/>
        <v>0</v>
      </c>
      <c r="CF287" s="182">
        <f t="shared" si="478"/>
        <v>0</v>
      </c>
      <c r="CG287" s="182">
        <f t="shared" si="484"/>
        <v>0</v>
      </c>
      <c r="CH287" s="182">
        <f t="shared" si="490"/>
        <v>0</v>
      </c>
      <c r="CI287" s="182">
        <f t="shared" si="496"/>
        <v>0</v>
      </c>
      <c r="CJ287" s="182">
        <f t="shared" si="502"/>
        <v>0</v>
      </c>
      <c r="CK287" s="182">
        <f t="shared" si="507"/>
        <v>0</v>
      </c>
      <c r="CL287" s="182">
        <f t="shared" si="512"/>
        <v>0</v>
      </c>
      <c r="CM287" s="182">
        <f t="shared" si="517"/>
        <v>0</v>
      </c>
      <c r="CN287" s="182">
        <f t="shared" si="522"/>
        <v>0.19809730504550441</v>
      </c>
      <c r="CO287" s="182">
        <f t="shared" si="527"/>
        <v>0</v>
      </c>
      <c r="CP287" s="182">
        <f t="shared" si="532"/>
        <v>0</v>
      </c>
      <c r="CQ287" s="182">
        <f t="shared" si="537"/>
        <v>0</v>
      </c>
      <c r="CR287" s="182">
        <f t="shared" si="542"/>
        <v>0</v>
      </c>
      <c r="CS287" s="182">
        <f t="shared" si="547"/>
        <v>0</v>
      </c>
      <c r="CT287" s="182">
        <f t="shared" si="552"/>
        <v>0</v>
      </c>
      <c r="CU287" s="182">
        <f t="shared" si="557"/>
        <v>0</v>
      </c>
      <c r="CV287" s="182">
        <f t="shared" si="563"/>
        <v>0</v>
      </c>
      <c r="CW287" s="182">
        <f t="shared" si="569"/>
        <v>0</v>
      </c>
      <c r="CX287" s="182">
        <f t="shared" si="575"/>
        <v>0</v>
      </c>
      <c r="CY287" s="182">
        <f t="shared" si="581"/>
        <v>0</v>
      </c>
      <c r="CZ287" s="182">
        <f t="shared" si="587"/>
        <v>0</v>
      </c>
      <c r="DA287" s="182">
        <f t="shared" si="593"/>
        <v>0</v>
      </c>
      <c r="DB287" s="182">
        <f t="shared" si="599"/>
        <v>0</v>
      </c>
      <c r="DC287" s="182">
        <f t="shared" si="605"/>
        <v>0</v>
      </c>
      <c r="DD287" s="182">
        <f t="shared" si="611"/>
        <v>0</v>
      </c>
      <c r="DE287" s="182">
        <f t="shared" si="617"/>
        <v>0</v>
      </c>
      <c r="DF287" s="182">
        <f t="shared" si="622"/>
        <v>0</v>
      </c>
      <c r="DG287" s="182">
        <f t="shared" si="627"/>
        <v>0</v>
      </c>
      <c r="DH287" s="182">
        <f t="shared" si="632"/>
        <v>0</v>
      </c>
      <c r="DI287" s="182">
        <f t="shared" si="637"/>
        <v>0</v>
      </c>
      <c r="DJ287" s="182">
        <f t="shared" ref="DJ287:DJ330" si="642">DJ120*DJ$168</f>
        <v>3.9260309426861987E-4</v>
      </c>
      <c r="DK287" s="181">
        <f>$C287+SUM($D287:DJ287,DL287:$FB287)-SUM(DK$176:DK286,DK288:DK$330)-DK$331</f>
        <v>-2.8758462625178005E-17</v>
      </c>
      <c r="DL287" s="176">
        <f t="shared" ref="DL287:FB287" si="643">DL120*DL$168</f>
        <v>0</v>
      </c>
      <c r="DM287" s="176">
        <f t="shared" si="643"/>
        <v>0</v>
      </c>
      <c r="DN287" s="176">
        <f t="shared" si="643"/>
        <v>0</v>
      </c>
      <c r="DO287" s="176">
        <f t="shared" si="643"/>
        <v>0</v>
      </c>
      <c r="DP287" s="176">
        <f t="shared" si="643"/>
        <v>0</v>
      </c>
      <c r="DQ287" s="176">
        <f t="shared" si="643"/>
        <v>0</v>
      </c>
      <c r="DR287" s="176">
        <f t="shared" si="643"/>
        <v>0</v>
      </c>
      <c r="DS287" s="176">
        <f t="shared" si="643"/>
        <v>0</v>
      </c>
      <c r="DT287" s="176">
        <f t="shared" si="643"/>
        <v>0</v>
      </c>
      <c r="DU287" s="176">
        <f t="shared" si="643"/>
        <v>0</v>
      </c>
      <c r="DV287" s="176">
        <f t="shared" si="643"/>
        <v>0</v>
      </c>
      <c r="DW287" s="176">
        <f t="shared" si="643"/>
        <v>0</v>
      </c>
      <c r="DX287" s="176">
        <f t="shared" si="643"/>
        <v>0</v>
      </c>
      <c r="DY287" s="176">
        <f t="shared" si="643"/>
        <v>0</v>
      </c>
      <c r="DZ287" s="176">
        <f t="shared" si="643"/>
        <v>0</v>
      </c>
      <c r="EA287" s="176">
        <f t="shared" si="643"/>
        <v>0</v>
      </c>
      <c r="EB287" s="176">
        <f t="shared" si="643"/>
        <v>0</v>
      </c>
      <c r="EC287" s="176">
        <f t="shared" si="643"/>
        <v>0</v>
      </c>
      <c r="ED287" s="176">
        <f t="shared" si="643"/>
        <v>0</v>
      </c>
      <c r="EE287" s="176">
        <f t="shared" si="643"/>
        <v>0</v>
      </c>
      <c r="EF287" s="182">
        <f t="shared" si="643"/>
        <v>0</v>
      </c>
      <c r="EG287" s="182">
        <f t="shared" si="643"/>
        <v>0</v>
      </c>
      <c r="EH287" s="182">
        <f t="shared" si="643"/>
        <v>0</v>
      </c>
      <c r="EI287" s="182">
        <f t="shared" si="643"/>
        <v>0</v>
      </c>
      <c r="EJ287" s="182">
        <f t="shared" si="643"/>
        <v>0</v>
      </c>
      <c r="EK287" s="182">
        <f t="shared" si="643"/>
        <v>0</v>
      </c>
      <c r="EL287" s="182">
        <f t="shared" si="643"/>
        <v>0</v>
      </c>
      <c r="EM287" s="182">
        <f t="shared" si="643"/>
        <v>0</v>
      </c>
      <c r="EN287" s="182">
        <f t="shared" si="643"/>
        <v>0</v>
      </c>
      <c r="EO287" s="182">
        <f t="shared" si="643"/>
        <v>0</v>
      </c>
      <c r="EP287" s="182">
        <f t="shared" si="643"/>
        <v>0</v>
      </c>
      <c r="EQ287" s="182">
        <f t="shared" si="643"/>
        <v>0</v>
      </c>
      <c r="ER287" s="182">
        <f t="shared" si="643"/>
        <v>0</v>
      </c>
      <c r="ES287" s="182">
        <f t="shared" si="643"/>
        <v>0</v>
      </c>
      <c r="ET287" s="182">
        <f t="shared" si="643"/>
        <v>0</v>
      </c>
      <c r="EU287" s="182">
        <f t="shared" si="643"/>
        <v>0</v>
      </c>
      <c r="EV287" s="182">
        <f t="shared" si="643"/>
        <v>0</v>
      </c>
      <c r="EW287" s="182">
        <f t="shared" si="643"/>
        <v>0</v>
      </c>
      <c r="EX287" s="182">
        <f t="shared" si="643"/>
        <v>0</v>
      </c>
      <c r="EY287" s="182">
        <f t="shared" si="643"/>
        <v>0</v>
      </c>
      <c r="EZ287" s="182">
        <f t="shared" si="643"/>
        <v>0</v>
      </c>
      <c r="FA287" s="182">
        <f t="shared" si="643"/>
        <v>0</v>
      </c>
      <c r="FB287" s="183">
        <f t="shared" si="643"/>
        <v>0</v>
      </c>
    </row>
    <row r="288" spans="2:158" ht="12.75" customHeight="1" x14ac:dyDescent="0.3">
      <c r="B288" s="199" t="s">
        <v>3931</v>
      </c>
      <c r="C288" s="193">
        <v>0</v>
      </c>
      <c r="D288" s="182">
        <f t="shared" si="560"/>
        <v>0</v>
      </c>
      <c r="E288" s="182">
        <f t="shared" si="566"/>
        <v>0</v>
      </c>
      <c r="F288" s="182">
        <f t="shared" si="572"/>
        <v>0</v>
      </c>
      <c r="G288" s="182">
        <f t="shared" si="578"/>
        <v>0</v>
      </c>
      <c r="H288" s="182">
        <f t="shared" si="584"/>
        <v>0</v>
      </c>
      <c r="I288" s="176">
        <f t="shared" si="590"/>
        <v>0</v>
      </c>
      <c r="J288" s="182">
        <f t="shared" si="596"/>
        <v>0</v>
      </c>
      <c r="K288" s="182">
        <f t="shared" si="602"/>
        <v>0</v>
      </c>
      <c r="L288" s="182">
        <f t="shared" si="608"/>
        <v>0</v>
      </c>
      <c r="M288" s="182">
        <f t="shared" si="614"/>
        <v>0</v>
      </c>
      <c r="N288" s="182">
        <f t="shared" si="619"/>
        <v>0</v>
      </c>
      <c r="O288" s="182">
        <f t="shared" si="624"/>
        <v>0</v>
      </c>
      <c r="P288" s="182">
        <f t="shared" si="629"/>
        <v>0</v>
      </c>
      <c r="Q288" s="182">
        <f t="shared" si="634"/>
        <v>0</v>
      </c>
      <c r="R288" s="182">
        <f t="shared" si="639"/>
        <v>0</v>
      </c>
      <c r="S288" s="182">
        <f t="shared" ref="S288:S319" si="644">S121*S$168</f>
        <v>0</v>
      </c>
      <c r="T288" s="182">
        <f t="shared" si="476"/>
        <v>0</v>
      </c>
      <c r="U288" s="182">
        <f t="shared" si="482"/>
        <v>0</v>
      </c>
      <c r="V288" s="182">
        <f t="shared" si="488"/>
        <v>0</v>
      </c>
      <c r="W288" s="182">
        <f t="shared" si="494"/>
        <v>0</v>
      </c>
      <c r="X288" s="182">
        <f t="shared" si="500"/>
        <v>0</v>
      </c>
      <c r="Y288" s="182">
        <f t="shared" si="505"/>
        <v>0</v>
      </c>
      <c r="Z288" s="182">
        <f t="shared" si="510"/>
        <v>0</v>
      </c>
      <c r="AA288" s="182">
        <f t="shared" si="515"/>
        <v>0</v>
      </c>
      <c r="AB288" s="182">
        <f t="shared" si="520"/>
        <v>0</v>
      </c>
      <c r="AC288" s="182">
        <f t="shared" si="525"/>
        <v>0</v>
      </c>
      <c r="AD288" s="182">
        <f t="shared" si="530"/>
        <v>0</v>
      </c>
      <c r="AE288" s="182">
        <f t="shared" si="535"/>
        <v>0</v>
      </c>
      <c r="AF288" s="182">
        <f t="shared" si="540"/>
        <v>0</v>
      </c>
      <c r="AG288" s="182">
        <f t="shared" si="545"/>
        <v>0</v>
      </c>
      <c r="AH288" s="182">
        <f t="shared" si="550"/>
        <v>0</v>
      </c>
      <c r="AI288" s="182">
        <f t="shared" si="555"/>
        <v>0</v>
      </c>
      <c r="AJ288" s="182">
        <f t="shared" si="561"/>
        <v>0</v>
      </c>
      <c r="AK288" s="182">
        <f t="shared" si="567"/>
        <v>0</v>
      </c>
      <c r="AL288" s="182">
        <f t="shared" si="573"/>
        <v>0</v>
      </c>
      <c r="AM288" s="182">
        <f t="shared" si="579"/>
        <v>0</v>
      </c>
      <c r="AN288" s="182">
        <f t="shared" si="585"/>
        <v>0</v>
      </c>
      <c r="AO288" s="182">
        <f t="shared" si="591"/>
        <v>0</v>
      </c>
      <c r="AP288" s="182">
        <f t="shared" si="597"/>
        <v>0</v>
      </c>
      <c r="AQ288" s="182">
        <f t="shared" si="603"/>
        <v>0</v>
      </c>
      <c r="AR288" s="182">
        <f t="shared" si="609"/>
        <v>0</v>
      </c>
      <c r="AS288" s="182">
        <f t="shared" si="615"/>
        <v>0</v>
      </c>
      <c r="AT288" s="182">
        <f t="shared" si="620"/>
        <v>0</v>
      </c>
      <c r="AU288" s="182">
        <f t="shared" si="625"/>
        <v>0</v>
      </c>
      <c r="AV288" s="182">
        <f t="shared" si="630"/>
        <v>0</v>
      </c>
      <c r="AW288" s="182">
        <f t="shared" si="635"/>
        <v>0</v>
      </c>
      <c r="AX288" s="182">
        <f t="shared" si="640"/>
        <v>0</v>
      </c>
      <c r="AY288" s="182">
        <f t="shared" ref="AY288:AY319" si="645">AY121*AY$168</f>
        <v>0</v>
      </c>
      <c r="AZ288" s="182">
        <f t="shared" si="477"/>
        <v>0</v>
      </c>
      <c r="BA288" s="182">
        <f t="shared" si="483"/>
        <v>0</v>
      </c>
      <c r="BB288" s="182">
        <f t="shared" si="489"/>
        <v>0</v>
      </c>
      <c r="BC288" s="182">
        <f t="shared" si="495"/>
        <v>0</v>
      </c>
      <c r="BD288" s="182">
        <f t="shared" si="501"/>
        <v>0</v>
      </c>
      <c r="BE288" s="182">
        <f t="shared" si="506"/>
        <v>0</v>
      </c>
      <c r="BF288" s="182">
        <f t="shared" si="511"/>
        <v>0</v>
      </c>
      <c r="BG288" s="182">
        <f t="shared" si="516"/>
        <v>0</v>
      </c>
      <c r="BH288" s="182">
        <f t="shared" si="521"/>
        <v>0</v>
      </c>
      <c r="BI288" s="182">
        <f t="shared" si="526"/>
        <v>0</v>
      </c>
      <c r="BJ288" s="182">
        <f t="shared" si="531"/>
        <v>0</v>
      </c>
      <c r="BK288" s="182">
        <f t="shared" si="536"/>
        <v>0</v>
      </c>
      <c r="BL288" s="182">
        <f t="shared" si="541"/>
        <v>0</v>
      </c>
      <c r="BM288" s="182">
        <f t="shared" si="546"/>
        <v>0</v>
      </c>
      <c r="BN288" s="182">
        <f t="shared" si="551"/>
        <v>0</v>
      </c>
      <c r="BO288" s="182">
        <f t="shared" si="556"/>
        <v>0</v>
      </c>
      <c r="BP288" s="182">
        <f t="shared" si="562"/>
        <v>0</v>
      </c>
      <c r="BQ288" s="182">
        <f t="shared" si="568"/>
        <v>0</v>
      </c>
      <c r="BR288" s="182">
        <f t="shared" si="574"/>
        <v>0</v>
      </c>
      <c r="BS288" s="182">
        <f t="shared" si="580"/>
        <v>0</v>
      </c>
      <c r="BT288" s="182">
        <f t="shared" si="586"/>
        <v>0</v>
      </c>
      <c r="BU288" s="182">
        <f t="shared" si="592"/>
        <v>0</v>
      </c>
      <c r="BV288" s="182">
        <f t="shared" si="598"/>
        <v>0</v>
      </c>
      <c r="BW288" s="182">
        <f t="shared" si="604"/>
        <v>0</v>
      </c>
      <c r="BX288" s="182">
        <f t="shared" si="610"/>
        <v>0</v>
      </c>
      <c r="BY288" s="182">
        <f t="shared" si="616"/>
        <v>0</v>
      </c>
      <c r="BZ288" s="182">
        <f t="shared" si="621"/>
        <v>0</v>
      </c>
      <c r="CA288" s="182">
        <f t="shared" si="626"/>
        <v>0</v>
      </c>
      <c r="CB288" s="182">
        <f t="shared" si="631"/>
        <v>0</v>
      </c>
      <c r="CC288" s="182">
        <f t="shared" si="636"/>
        <v>0</v>
      </c>
      <c r="CD288" s="182">
        <f t="shared" si="641"/>
        <v>0</v>
      </c>
      <c r="CE288" s="182">
        <f t="shared" ref="CE288:CE319" si="646">CE121*CE$168</f>
        <v>0</v>
      </c>
      <c r="CF288" s="182">
        <f t="shared" si="478"/>
        <v>0</v>
      </c>
      <c r="CG288" s="182">
        <f t="shared" si="484"/>
        <v>0</v>
      </c>
      <c r="CH288" s="182">
        <f t="shared" si="490"/>
        <v>0</v>
      </c>
      <c r="CI288" s="182">
        <f t="shared" si="496"/>
        <v>0</v>
      </c>
      <c r="CJ288" s="182">
        <f t="shared" si="502"/>
        <v>0</v>
      </c>
      <c r="CK288" s="182">
        <f t="shared" si="507"/>
        <v>0</v>
      </c>
      <c r="CL288" s="182">
        <f t="shared" si="512"/>
        <v>0</v>
      </c>
      <c r="CM288" s="182">
        <f t="shared" si="517"/>
        <v>0</v>
      </c>
      <c r="CN288" s="182">
        <f t="shared" si="522"/>
        <v>0</v>
      </c>
      <c r="CO288" s="182">
        <f t="shared" si="527"/>
        <v>3.849113046271327E-7</v>
      </c>
      <c r="CP288" s="182">
        <f t="shared" si="532"/>
        <v>0</v>
      </c>
      <c r="CQ288" s="182">
        <f t="shared" si="537"/>
        <v>0</v>
      </c>
      <c r="CR288" s="182">
        <f t="shared" si="542"/>
        <v>0</v>
      </c>
      <c r="CS288" s="182">
        <f t="shared" si="547"/>
        <v>0</v>
      </c>
      <c r="CT288" s="182">
        <f t="shared" si="552"/>
        <v>0</v>
      </c>
      <c r="CU288" s="182">
        <f t="shared" si="557"/>
        <v>0</v>
      </c>
      <c r="CV288" s="182">
        <f t="shared" si="563"/>
        <v>0</v>
      </c>
      <c r="CW288" s="182">
        <f t="shared" si="569"/>
        <v>0</v>
      </c>
      <c r="CX288" s="182">
        <f t="shared" si="575"/>
        <v>0</v>
      </c>
      <c r="CY288" s="182">
        <f t="shared" si="581"/>
        <v>0</v>
      </c>
      <c r="CZ288" s="182">
        <f t="shared" si="587"/>
        <v>0</v>
      </c>
      <c r="DA288" s="182">
        <f t="shared" si="593"/>
        <v>0</v>
      </c>
      <c r="DB288" s="182">
        <f t="shared" si="599"/>
        <v>0</v>
      </c>
      <c r="DC288" s="182">
        <f t="shared" si="605"/>
        <v>0</v>
      </c>
      <c r="DD288" s="182">
        <f t="shared" si="611"/>
        <v>0</v>
      </c>
      <c r="DE288" s="182">
        <f t="shared" si="617"/>
        <v>0</v>
      </c>
      <c r="DF288" s="182">
        <f t="shared" si="622"/>
        <v>0</v>
      </c>
      <c r="DG288" s="182">
        <f t="shared" si="627"/>
        <v>0</v>
      </c>
      <c r="DH288" s="182">
        <f t="shared" si="632"/>
        <v>0</v>
      </c>
      <c r="DI288" s="182">
        <f t="shared" si="637"/>
        <v>0</v>
      </c>
      <c r="DJ288" s="182">
        <f t="shared" si="642"/>
        <v>7.5924201425075978E-7</v>
      </c>
      <c r="DK288" s="182">
        <f t="shared" ref="DK288:DK330" si="647">DK121*DK$168</f>
        <v>0</v>
      </c>
      <c r="DL288" s="181">
        <f>$C288+SUM($D288:DK288,DM288:$FB288)-SUM(DL$176:DL287,DL289:DL$330)-DL$331</f>
        <v>9.5070840481045833E-23</v>
      </c>
      <c r="DM288" s="176">
        <f t="shared" ref="DM288:FB288" si="648">DM121*DM$168</f>
        <v>0</v>
      </c>
      <c r="DN288" s="176">
        <f t="shared" si="648"/>
        <v>0</v>
      </c>
      <c r="DO288" s="176">
        <f t="shared" si="648"/>
        <v>0</v>
      </c>
      <c r="DP288" s="176">
        <f t="shared" si="648"/>
        <v>0</v>
      </c>
      <c r="DQ288" s="176">
        <f t="shared" si="648"/>
        <v>0</v>
      </c>
      <c r="DR288" s="176">
        <f t="shared" si="648"/>
        <v>0</v>
      </c>
      <c r="DS288" s="176">
        <f t="shared" si="648"/>
        <v>0</v>
      </c>
      <c r="DT288" s="176">
        <f t="shared" si="648"/>
        <v>0</v>
      </c>
      <c r="DU288" s="176">
        <f t="shared" si="648"/>
        <v>0</v>
      </c>
      <c r="DV288" s="176">
        <f t="shared" si="648"/>
        <v>0</v>
      </c>
      <c r="DW288" s="176">
        <f t="shared" si="648"/>
        <v>0</v>
      </c>
      <c r="DX288" s="176">
        <f t="shared" si="648"/>
        <v>0</v>
      </c>
      <c r="DY288" s="176">
        <f t="shared" si="648"/>
        <v>0</v>
      </c>
      <c r="DZ288" s="176">
        <f t="shared" si="648"/>
        <v>0</v>
      </c>
      <c r="EA288" s="176">
        <f t="shared" si="648"/>
        <v>0</v>
      </c>
      <c r="EB288" s="176">
        <f t="shared" si="648"/>
        <v>0</v>
      </c>
      <c r="EC288" s="176">
        <f t="shared" si="648"/>
        <v>0</v>
      </c>
      <c r="ED288" s="176">
        <f t="shared" si="648"/>
        <v>0</v>
      </c>
      <c r="EE288" s="176">
        <f t="shared" si="648"/>
        <v>0</v>
      </c>
      <c r="EF288" s="182">
        <f t="shared" si="648"/>
        <v>0</v>
      </c>
      <c r="EG288" s="182">
        <f t="shared" si="648"/>
        <v>0</v>
      </c>
      <c r="EH288" s="182">
        <f t="shared" si="648"/>
        <v>0</v>
      </c>
      <c r="EI288" s="182">
        <f t="shared" si="648"/>
        <v>0</v>
      </c>
      <c r="EJ288" s="182">
        <f t="shared" si="648"/>
        <v>0</v>
      </c>
      <c r="EK288" s="182">
        <f t="shared" si="648"/>
        <v>0</v>
      </c>
      <c r="EL288" s="182">
        <f t="shared" si="648"/>
        <v>0</v>
      </c>
      <c r="EM288" s="182">
        <f t="shared" si="648"/>
        <v>0</v>
      </c>
      <c r="EN288" s="182">
        <f t="shared" si="648"/>
        <v>0</v>
      </c>
      <c r="EO288" s="182">
        <f t="shared" si="648"/>
        <v>0</v>
      </c>
      <c r="EP288" s="182">
        <f t="shared" si="648"/>
        <v>0</v>
      </c>
      <c r="EQ288" s="182">
        <f t="shared" si="648"/>
        <v>0</v>
      </c>
      <c r="ER288" s="182">
        <f t="shared" si="648"/>
        <v>0</v>
      </c>
      <c r="ES288" s="182">
        <f t="shared" si="648"/>
        <v>0</v>
      </c>
      <c r="ET288" s="182">
        <f t="shared" si="648"/>
        <v>0</v>
      </c>
      <c r="EU288" s="182">
        <f t="shared" si="648"/>
        <v>0</v>
      </c>
      <c r="EV288" s="182">
        <f t="shared" si="648"/>
        <v>0</v>
      </c>
      <c r="EW288" s="182">
        <f t="shared" si="648"/>
        <v>0</v>
      </c>
      <c r="EX288" s="182">
        <f t="shared" si="648"/>
        <v>0</v>
      </c>
      <c r="EY288" s="182">
        <f t="shared" si="648"/>
        <v>0</v>
      </c>
      <c r="EZ288" s="182">
        <f t="shared" si="648"/>
        <v>0</v>
      </c>
      <c r="FA288" s="182">
        <f t="shared" si="648"/>
        <v>0</v>
      </c>
      <c r="FB288" s="183">
        <f t="shared" si="648"/>
        <v>0</v>
      </c>
    </row>
    <row r="289" spans="2:158" ht="12.75" customHeight="1" x14ac:dyDescent="0.3">
      <c r="B289" s="199" t="s">
        <v>3932</v>
      </c>
      <c r="C289" s="193">
        <v>0</v>
      </c>
      <c r="D289" s="182">
        <f t="shared" si="560"/>
        <v>0</v>
      </c>
      <c r="E289" s="182">
        <f t="shared" si="566"/>
        <v>0</v>
      </c>
      <c r="F289" s="182">
        <f t="shared" si="572"/>
        <v>0</v>
      </c>
      <c r="G289" s="182">
        <f t="shared" si="578"/>
        <v>0</v>
      </c>
      <c r="H289" s="182">
        <f t="shared" si="584"/>
        <v>0</v>
      </c>
      <c r="I289" s="176">
        <f t="shared" si="590"/>
        <v>0</v>
      </c>
      <c r="J289" s="182">
        <f t="shared" si="596"/>
        <v>0</v>
      </c>
      <c r="K289" s="182">
        <f t="shared" si="602"/>
        <v>0</v>
      </c>
      <c r="L289" s="182">
        <f t="shared" si="608"/>
        <v>0</v>
      </c>
      <c r="M289" s="182">
        <f t="shared" si="614"/>
        <v>0</v>
      </c>
      <c r="N289" s="182">
        <f t="shared" si="619"/>
        <v>0</v>
      </c>
      <c r="O289" s="182">
        <f t="shared" si="624"/>
        <v>0</v>
      </c>
      <c r="P289" s="182">
        <f t="shared" si="629"/>
        <v>0</v>
      </c>
      <c r="Q289" s="182">
        <f t="shared" si="634"/>
        <v>0</v>
      </c>
      <c r="R289" s="182">
        <f t="shared" si="639"/>
        <v>0</v>
      </c>
      <c r="S289" s="182">
        <f t="shared" si="644"/>
        <v>0</v>
      </c>
      <c r="T289" s="182">
        <f t="shared" ref="T289:T320" si="649">T122*T$168</f>
        <v>0</v>
      </c>
      <c r="U289" s="182">
        <f t="shared" si="482"/>
        <v>0</v>
      </c>
      <c r="V289" s="182">
        <f t="shared" si="488"/>
        <v>0</v>
      </c>
      <c r="W289" s="182">
        <f t="shared" si="494"/>
        <v>0</v>
      </c>
      <c r="X289" s="182">
        <f t="shared" si="500"/>
        <v>0</v>
      </c>
      <c r="Y289" s="182">
        <f t="shared" si="505"/>
        <v>0</v>
      </c>
      <c r="Z289" s="182">
        <f t="shared" si="510"/>
        <v>0</v>
      </c>
      <c r="AA289" s="182">
        <f t="shared" si="515"/>
        <v>0</v>
      </c>
      <c r="AB289" s="182">
        <f t="shared" si="520"/>
        <v>0</v>
      </c>
      <c r="AC289" s="182">
        <f t="shared" si="525"/>
        <v>0</v>
      </c>
      <c r="AD289" s="182">
        <f t="shared" si="530"/>
        <v>0</v>
      </c>
      <c r="AE289" s="182">
        <f t="shared" si="535"/>
        <v>0</v>
      </c>
      <c r="AF289" s="182">
        <f t="shared" si="540"/>
        <v>0</v>
      </c>
      <c r="AG289" s="182">
        <f t="shared" si="545"/>
        <v>0</v>
      </c>
      <c r="AH289" s="182">
        <f t="shared" si="550"/>
        <v>0</v>
      </c>
      <c r="AI289" s="182">
        <f t="shared" si="555"/>
        <v>0</v>
      </c>
      <c r="AJ289" s="182">
        <f t="shared" si="561"/>
        <v>0</v>
      </c>
      <c r="AK289" s="182">
        <f t="shared" si="567"/>
        <v>0</v>
      </c>
      <c r="AL289" s="182">
        <f t="shared" si="573"/>
        <v>0</v>
      </c>
      <c r="AM289" s="182">
        <f t="shared" si="579"/>
        <v>0</v>
      </c>
      <c r="AN289" s="182">
        <f t="shared" si="585"/>
        <v>0</v>
      </c>
      <c r="AO289" s="182">
        <f t="shared" si="591"/>
        <v>0</v>
      </c>
      <c r="AP289" s="182">
        <f t="shared" si="597"/>
        <v>0</v>
      </c>
      <c r="AQ289" s="182">
        <f t="shared" si="603"/>
        <v>0</v>
      </c>
      <c r="AR289" s="182">
        <f t="shared" si="609"/>
        <v>0</v>
      </c>
      <c r="AS289" s="182">
        <f t="shared" si="615"/>
        <v>0</v>
      </c>
      <c r="AT289" s="182">
        <f t="shared" si="620"/>
        <v>0</v>
      </c>
      <c r="AU289" s="182">
        <f t="shared" si="625"/>
        <v>0</v>
      </c>
      <c r="AV289" s="182">
        <f t="shared" si="630"/>
        <v>0</v>
      </c>
      <c r="AW289" s="182">
        <f t="shared" si="635"/>
        <v>0</v>
      </c>
      <c r="AX289" s="182">
        <f t="shared" si="640"/>
        <v>0</v>
      </c>
      <c r="AY289" s="182">
        <f t="shared" si="645"/>
        <v>0</v>
      </c>
      <c r="AZ289" s="182">
        <f t="shared" ref="AZ289:AZ320" si="650">AZ122*AZ$168</f>
        <v>0</v>
      </c>
      <c r="BA289" s="182">
        <f t="shared" si="483"/>
        <v>0</v>
      </c>
      <c r="BB289" s="182">
        <f t="shared" si="489"/>
        <v>0</v>
      </c>
      <c r="BC289" s="182">
        <f t="shared" si="495"/>
        <v>0</v>
      </c>
      <c r="BD289" s="182">
        <f t="shared" si="501"/>
        <v>0</v>
      </c>
      <c r="BE289" s="182">
        <f t="shared" si="506"/>
        <v>0</v>
      </c>
      <c r="BF289" s="182">
        <f t="shared" si="511"/>
        <v>0</v>
      </c>
      <c r="BG289" s="182">
        <f t="shared" si="516"/>
        <v>0</v>
      </c>
      <c r="BH289" s="182">
        <f t="shared" si="521"/>
        <v>0</v>
      </c>
      <c r="BI289" s="182">
        <f t="shared" si="526"/>
        <v>0</v>
      </c>
      <c r="BJ289" s="182">
        <f t="shared" si="531"/>
        <v>0</v>
      </c>
      <c r="BK289" s="182">
        <f t="shared" si="536"/>
        <v>0</v>
      </c>
      <c r="BL289" s="182">
        <f t="shared" si="541"/>
        <v>0</v>
      </c>
      <c r="BM289" s="182">
        <f t="shared" si="546"/>
        <v>0</v>
      </c>
      <c r="BN289" s="182">
        <f t="shared" si="551"/>
        <v>0</v>
      </c>
      <c r="BO289" s="182">
        <f t="shared" si="556"/>
        <v>0</v>
      </c>
      <c r="BP289" s="182">
        <f t="shared" si="562"/>
        <v>0</v>
      </c>
      <c r="BQ289" s="182">
        <f t="shared" si="568"/>
        <v>0</v>
      </c>
      <c r="BR289" s="182">
        <f t="shared" si="574"/>
        <v>0</v>
      </c>
      <c r="BS289" s="182">
        <f t="shared" si="580"/>
        <v>0</v>
      </c>
      <c r="BT289" s="182">
        <f t="shared" si="586"/>
        <v>0</v>
      </c>
      <c r="BU289" s="182">
        <f t="shared" si="592"/>
        <v>0</v>
      </c>
      <c r="BV289" s="182">
        <f t="shared" si="598"/>
        <v>0</v>
      </c>
      <c r="BW289" s="182">
        <f t="shared" si="604"/>
        <v>0</v>
      </c>
      <c r="BX289" s="182">
        <f t="shared" si="610"/>
        <v>0</v>
      </c>
      <c r="BY289" s="182">
        <f t="shared" si="616"/>
        <v>0</v>
      </c>
      <c r="BZ289" s="182">
        <f t="shared" si="621"/>
        <v>0</v>
      </c>
      <c r="CA289" s="182">
        <f t="shared" si="626"/>
        <v>0</v>
      </c>
      <c r="CB289" s="182">
        <f t="shared" si="631"/>
        <v>0</v>
      </c>
      <c r="CC289" s="182">
        <f t="shared" si="636"/>
        <v>0</v>
      </c>
      <c r="CD289" s="182">
        <f t="shared" si="641"/>
        <v>0</v>
      </c>
      <c r="CE289" s="182">
        <f t="shared" si="646"/>
        <v>0</v>
      </c>
      <c r="CF289" s="182">
        <f t="shared" ref="CF289:CF320" si="651">CF122*CF$168</f>
        <v>0</v>
      </c>
      <c r="CG289" s="182">
        <f t="shared" si="484"/>
        <v>0</v>
      </c>
      <c r="CH289" s="182">
        <f t="shared" si="490"/>
        <v>0</v>
      </c>
      <c r="CI289" s="182">
        <f t="shared" si="496"/>
        <v>0</v>
      </c>
      <c r="CJ289" s="182">
        <f t="shared" si="502"/>
        <v>0</v>
      </c>
      <c r="CK289" s="182">
        <f t="shared" si="507"/>
        <v>0</v>
      </c>
      <c r="CL289" s="182">
        <f t="shared" si="512"/>
        <v>0</v>
      </c>
      <c r="CM289" s="182">
        <f t="shared" si="517"/>
        <v>0</v>
      </c>
      <c r="CN289" s="182">
        <f t="shared" si="522"/>
        <v>0</v>
      </c>
      <c r="CO289" s="182">
        <f t="shared" si="527"/>
        <v>0</v>
      </c>
      <c r="CP289" s="182">
        <f t="shared" si="532"/>
        <v>0</v>
      </c>
      <c r="CQ289" s="182">
        <f t="shared" si="537"/>
        <v>0</v>
      </c>
      <c r="CR289" s="182">
        <f t="shared" si="542"/>
        <v>0</v>
      </c>
      <c r="CS289" s="182">
        <f t="shared" si="547"/>
        <v>0</v>
      </c>
      <c r="CT289" s="182">
        <f t="shared" si="552"/>
        <v>0</v>
      </c>
      <c r="CU289" s="182">
        <f t="shared" si="557"/>
        <v>0</v>
      </c>
      <c r="CV289" s="182">
        <f t="shared" si="563"/>
        <v>0</v>
      </c>
      <c r="CW289" s="182">
        <f t="shared" si="569"/>
        <v>0</v>
      </c>
      <c r="CX289" s="182">
        <f t="shared" si="575"/>
        <v>0</v>
      </c>
      <c r="CY289" s="182">
        <f t="shared" si="581"/>
        <v>0</v>
      </c>
      <c r="CZ289" s="182">
        <f t="shared" si="587"/>
        <v>0</v>
      </c>
      <c r="DA289" s="182">
        <f t="shared" si="593"/>
        <v>0</v>
      </c>
      <c r="DB289" s="182">
        <f t="shared" si="599"/>
        <v>0</v>
      </c>
      <c r="DC289" s="182">
        <f t="shared" si="605"/>
        <v>0</v>
      </c>
      <c r="DD289" s="182">
        <f t="shared" si="611"/>
        <v>0</v>
      </c>
      <c r="DE289" s="182">
        <f t="shared" si="617"/>
        <v>0</v>
      </c>
      <c r="DF289" s="182">
        <f t="shared" si="622"/>
        <v>0</v>
      </c>
      <c r="DG289" s="182">
        <f t="shared" si="627"/>
        <v>0</v>
      </c>
      <c r="DH289" s="182">
        <f t="shared" si="632"/>
        <v>0</v>
      </c>
      <c r="DI289" s="182">
        <f t="shared" si="637"/>
        <v>0</v>
      </c>
      <c r="DJ289" s="182">
        <f t="shared" si="642"/>
        <v>1.6124853069006504E-5</v>
      </c>
      <c r="DK289" s="182">
        <f t="shared" si="647"/>
        <v>0</v>
      </c>
      <c r="DL289" s="182">
        <f t="shared" ref="DL289:DL330" si="652">DL122*DL$168</f>
        <v>0</v>
      </c>
      <c r="DM289" s="181">
        <f>$C289+SUM($D289:DL289,DN289:$FB289)-SUM(DM$176:DM288,DM290:DM$330)-DM$331</f>
        <v>3.3881317890172014E-21</v>
      </c>
      <c r="DN289" s="176">
        <f t="shared" ref="DN289:FB289" si="653">DN122*DN$168</f>
        <v>0</v>
      </c>
      <c r="DO289" s="176">
        <f t="shared" si="653"/>
        <v>0</v>
      </c>
      <c r="DP289" s="176">
        <f t="shared" si="653"/>
        <v>0</v>
      </c>
      <c r="DQ289" s="176">
        <f t="shared" si="653"/>
        <v>0</v>
      </c>
      <c r="DR289" s="176">
        <f t="shared" si="653"/>
        <v>0</v>
      </c>
      <c r="DS289" s="176">
        <f t="shared" si="653"/>
        <v>0</v>
      </c>
      <c r="DT289" s="176">
        <f t="shared" si="653"/>
        <v>0</v>
      </c>
      <c r="DU289" s="176">
        <f t="shared" si="653"/>
        <v>0</v>
      </c>
      <c r="DV289" s="176">
        <f t="shared" si="653"/>
        <v>0</v>
      </c>
      <c r="DW289" s="176">
        <f t="shared" si="653"/>
        <v>0</v>
      </c>
      <c r="DX289" s="176">
        <f t="shared" si="653"/>
        <v>0</v>
      </c>
      <c r="DY289" s="176">
        <f t="shared" si="653"/>
        <v>0</v>
      </c>
      <c r="DZ289" s="176">
        <f t="shared" si="653"/>
        <v>0</v>
      </c>
      <c r="EA289" s="176">
        <f t="shared" si="653"/>
        <v>0</v>
      </c>
      <c r="EB289" s="176">
        <f t="shared" si="653"/>
        <v>0</v>
      </c>
      <c r="EC289" s="176">
        <f t="shared" si="653"/>
        <v>0</v>
      </c>
      <c r="ED289" s="176">
        <f t="shared" si="653"/>
        <v>0</v>
      </c>
      <c r="EE289" s="176">
        <f t="shared" si="653"/>
        <v>0</v>
      </c>
      <c r="EF289" s="182">
        <f t="shared" si="653"/>
        <v>0</v>
      </c>
      <c r="EG289" s="182">
        <f t="shared" si="653"/>
        <v>0</v>
      </c>
      <c r="EH289" s="182">
        <f t="shared" si="653"/>
        <v>0</v>
      </c>
      <c r="EI289" s="182">
        <f t="shared" si="653"/>
        <v>0</v>
      </c>
      <c r="EJ289" s="182">
        <f t="shared" si="653"/>
        <v>0</v>
      </c>
      <c r="EK289" s="182">
        <f t="shared" si="653"/>
        <v>0</v>
      </c>
      <c r="EL289" s="182">
        <f t="shared" si="653"/>
        <v>0</v>
      </c>
      <c r="EM289" s="182">
        <f t="shared" si="653"/>
        <v>0</v>
      </c>
      <c r="EN289" s="182">
        <f t="shared" si="653"/>
        <v>0</v>
      </c>
      <c r="EO289" s="182">
        <f t="shared" si="653"/>
        <v>0</v>
      </c>
      <c r="EP289" s="182">
        <f t="shared" si="653"/>
        <v>0</v>
      </c>
      <c r="EQ289" s="182">
        <f t="shared" si="653"/>
        <v>0</v>
      </c>
      <c r="ER289" s="182">
        <f t="shared" si="653"/>
        <v>0</v>
      </c>
      <c r="ES289" s="182">
        <f t="shared" si="653"/>
        <v>0</v>
      </c>
      <c r="ET289" s="182">
        <f t="shared" si="653"/>
        <v>0</v>
      </c>
      <c r="EU289" s="182">
        <f t="shared" si="653"/>
        <v>0</v>
      </c>
      <c r="EV289" s="182">
        <f t="shared" si="653"/>
        <v>0</v>
      </c>
      <c r="EW289" s="182">
        <f t="shared" si="653"/>
        <v>0</v>
      </c>
      <c r="EX289" s="182">
        <f t="shared" si="653"/>
        <v>0</v>
      </c>
      <c r="EY289" s="182">
        <f t="shared" si="653"/>
        <v>0</v>
      </c>
      <c r="EZ289" s="182">
        <f t="shared" si="653"/>
        <v>0</v>
      </c>
      <c r="FA289" s="182">
        <f t="shared" si="653"/>
        <v>0</v>
      </c>
      <c r="FB289" s="183">
        <f t="shared" si="653"/>
        <v>0</v>
      </c>
    </row>
    <row r="290" spans="2:158" ht="12.75" customHeight="1" x14ac:dyDescent="0.3">
      <c r="B290" s="199" t="s">
        <v>3933</v>
      </c>
      <c r="C290" s="193">
        <v>0</v>
      </c>
      <c r="D290" s="182">
        <f t="shared" si="560"/>
        <v>0</v>
      </c>
      <c r="E290" s="182">
        <f t="shared" si="566"/>
        <v>0</v>
      </c>
      <c r="F290" s="182">
        <f t="shared" si="572"/>
        <v>0</v>
      </c>
      <c r="G290" s="182">
        <f t="shared" si="578"/>
        <v>0</v>
      </c>
      <c r="H290" s="182">
        <f t="shared" si="584"/>
        <v>0</v>
      </c>
      <c r="I290" s="176">
        <f t="shared" si="590"/>
        <v>0</v>
      </c>
      <c r="J290" s="182">
        <f t="shared" si="596"/>
        <v>0</v>
      </c>
      <c r="K290" s="182">
        <f t="shared" si="602"/>
        <v>0</v>
      </c>
      <c r="L290" s="182">
        <f t="shared" si="608"/>
        <v>0</v>
      </c>
      <c r="M290" s="182">
        <f t="shared" si="614"/>
        <v>0</v>
      </c>
      <c r="N290" s="182">
        <f t="shared" si="619"/>
        <v>0</v>
      </c>
      <c r="O290" s="182">
        <f t="shared" si="624"/>
        <v>0</v>
      </c>
      <c r="P290" s="182">
        <f t="shared" si="629"/>
        <v>0</v>
      </c>
      <c r="Q290" s="182">
        <f t="shared" si="634"/>
        <v>0</v>
      </c>
      <c r="R290" s="182">
        <f t="shared" si="639"/>
        <v>0</v>
      </c>
      <c r="S290" s="182">
        <f t="shared" si="644"/>
        <v>0</v>
      </c>
      <c r="T290" s="182">
        <f t="shared" si="649"/>
        <v>0</v>
      </c>
      <c r="U290" s="182">
        <f t="shared" ref="U290:U321" si="654">U123*U$168</f>
        <v>0</v>
      </c>
      <c r="V290" s="182">
        <f t="shared" si="488"/>
        <v>0</v>
      </c>
      <c r="W290" s="182">
        <f t="shared" si="494"/>
        <v>0</v>
      </c>
      <c r="X290" s="182">
        <f t="shared" si="500"/>
        <v>0</v>
      </c>
      <c r="Y290" s="182">
        <f t="shared" si="505"/>
        <v>0</v>
      </c>
      <c r="Z290" s="182">
        <f t="shared" si="510"/>
        <v>0</v>
      </c>
      <c r="AA290" s="182">
        <f t="shared" si="515"/>
        <v>0</v>
      </c>
      <c r="AB290" s="182">
        <f t="shared" si="520"/>
        <v>0</v>
      </c>
      <c r="AC290" s="182">
        <f t="shared" si="525"/>
        <v>0</v>
      </c>
      <c r="AD290" s="182">
        <f t="shared" si="530"/>
        <v>0</v>
      </c>
      <c r="AE290" s="182">
        <f t="shared" si="535"/>
        <v>0</v>
      </c>
      <c r="AF290" s="182">
        <f t="shared" si="540"/>
        <v>0</v>
      </c>
      <c r="AG290" s="182">
        <f t="shared" si="545"/>
        <v>0</v>
      </c>
      <c r="AH290" s="182">
        <f t="shared" si="550"/>
        <v>0</v>
      </c>
      <c r="AI290" s="182">
        <f t="shared" si="555"/>
        <v>0</v>
      </c>
      <c r="AJ290" s="182">
        <f t="shared" si="561"/>
        <v>0</v>
      </c>
      <c r="AK290" s="182">
        <f t="shared" si="567"/>
        <v>0</v>
      </c>
      <c r="AL290" s="182">
        <f t="shared" si="573"/>
        <v>0</v>
      </c>
      <c r="AM290" s="182">
        <f t="shared" si="579"/>
        <v>0</v>
      </c>
      <c r="AN290" s="182">
        <f t="shared" si="585"/>
        <v>0</v>
      </c>
      <c r="AO290" s="182">
        <f t="shared" si="591"/>
        <v>0</v>
      </c>
      <c r="AP290" s="182">
        <f t="shared" si="597"/>
        <v>0</v>
      </c>
      <c r="AQ290" s="182">
        <f t="shared" si="603"/>
        <v>0</v>
      </c>
      <c r="AR290" s="182">
        <f t="shared" si="609"/>
        <v>0</v>
      </c>
      <c r="AS290" s="182">
        <f t="shared" si="615"/>
        <v>0</v>
      </c>
      <c r="AT290" s="182">
        <f t="shared" si="620"/>
        <v>0</v>
      </c>
      <c r="AU290" s="182">
        <f t="shared" si="625"/>
        <v>0</v>
      </c>
      <c r="AV290" s="182">
        <f t="shared" si="630"/>
        <v>0</v>
      </c>
      <c r="AW290" s="182">
        <f t="shared" si="635"/>
        <v>0</v>
      </c>
      <c r="AX290" s="182">
        <f t="shared" si="640"/>
        <v>0</v>
      </c>
      <c r="AY290" s="182">
        <f t="shared" si="645"/>
        <v>0</v>
      </c>
      <c r="AZ290" s="182">
        <f t="shared" si="650"/>
        <v>0</v>
      </c>
      <c r="BA290" s="182">
        <f t="shared" ref="BA290:BA321" si="655">BA123*BA$168</f>
        <v>0</v>
      </c>
      <c r="BB290" s="182">
        <f t="shared" si="489"/>
        <v>0</v>
      </c>
      <c r="BC290" s="182">
        <f t="shared" si="495"/>
        <v>0</v>
      </c>
      <c r="BD290" s="182">
        <f t="shared" si="501"/>
        <v>0</v>
      </c>
      <c r="BE290" s="182">
        <f t="shared" si="506"/>
        <v>0</v>
      </c>
      <c r="BF290" s="182">
        <f t="shared" si="511"/>
        <v>0</v>
      </c>
      <c r="BG290" s="182">
        <f t="shared" si="516"/>
        <v>0</v>
      </c>
      <c r="BH290" s="182">
        <f t="shared" si="521"/>
        <v>0</v>
      </c>
      <c r="BI290" s="182">
        <f t="shared" si="526"/>
        <v>0</v>
      </c>
      <c r="BJ290" s="182">
        <f t="shared" si="531"/>
        <v>0</v>
      </c>
      <c r="BK290" s="182">
        <f t="shared" si="536"/>
        <v>0</v>
      </c>
      <c r="BL290" s="182">
        <f t="shared" si="541"/>
        <v>0</v>
      </c>
      <c r="BM290" s="182">
        <f t="shared" si="546"/>
        <v>0</v>
      </c>
      <c r="BN290" s="182">
        <f t="shared" si="551"/>
        <v>0</v>
      </c>
      <c r="BO290" s="182">
        <f t="shared" si="556"/>
        <v>0</v>
      </c>
      <c r="BP290" s="182">
        <f t="shared" si="562"/>
        <v>0</v>
      </c>
      <c r="BQ290" s="182">
        <f t="shared" si="568"/>
        <v>0</v>
      </c>
      <c r="BR290" s="182">
        <f t="shared" si="574"/>
        <v>0</v>
      </c>
      <c r="BS290" s="182">
        <f t="shared" si="580"/>
        <v>0</v>
      </c>
      <c r="BT290" s="182">
        <f t="shared" si="586"/>
        <v>0</v>
      </c>
      <c r="BU290" s="182">
        <f t="shared" si="592"/>
        <v>0</v>
      </c>
      <c r="BV290" s="182">
        <f t="shared" si="598"/>
        <v>0</v>
      </c>
      <c r="BW290" s="182">
        <f t="shared" si="604"/>
        <v>0</v>
      </c>
      <c r="BX290" s="182">
        <f t="shared" si="610"/>
        <v>0</v>
      </c>
      <c r="BY290" s="182">
        <f t="shared" si="616"/>
        <v>0</v>
      </c>
      <c r="BZ290" s="182">
        <f t="shared" si="621"/>
        <v>0</v>
      </c>
      <c r="CA290" s="182">
        <f t="shared" si="626"/>
        <v>0</v>
      </c>
      <c r="CB290" s="182">
        <f t="shared" si="631"/>
        <v>0</v>
      </c>
      <c r="CC290" s="182">
        <f t="shared" si="636"/>
        <v>0</v>
      </c>
      <c r="CD290" s="182">
        <f t="shared" si="641"/>
        <v>0</v>
      </c>
      <c r="CE290" s="182">
        <f t="shared" si="646"/>
        <v>0</v>
      </c>
      <c r="CF290" s="182">
        <f t="shared" si="651"/>
        <v>0</v>
      </c>
      <c r="CG290" s="182">
        <f t="shared" ref="CG290:CG321" si="656">CG123*CG$168</f>
        <v>0</v>
      </c>
      <c r="CH290" s="182">
        <f t="shared" si="490"/>
        <v>0</v>
      </c>
      <c r="CI290" s="182">
        <f t="shared" si="496"/>
        <v>0</v>
      </c>
      <c r="CJ290" s="182">
        <f t="shared" si="502"/>
        <v>0</v>
      </c>
      <c r="CK290" s="182">
        <f t="shared" si="507"/>
        <v>0</v>
      </c>
      <c r="CL290" s="182">
        <f t="shared" si="512"/>
        <v>0</v>
      </c>
      <c r="CM290" s="182">
        <f t="shared" si="517"/>
        <v>0</v>
      </c>
      <c r="CN290" s="182">
        <f t="shared" si="522"/>
        <v>0</v>
      </c>
      <c r="CO290" s="182">
        <f t="shared" si="527"/>
        <v>0</v>
      </c>
      <c r="CP290" s="182">
        <f t="shared" si="532"/>
        <v>0</v>
      </c>
      <c r="CQ290" s="182">
        <f t="shared" si="537"/>
        <v>0</v>
      </c>
      <c r="CR290" s="182">
        <f t="shared" si="542"/>
        <v>0</v>
      </c>
      <c r="CS290" s="182">
        <f t="shared" si="547"/>
        <v>0</v>
      </c>
      <c r="CT290" s="182">
        <f t="shared" si="552"/>
        <v>0</v>
      </c>
      <c r="CU290" s="182">
        <f t="shared" si="557"/>
        <v>0</v>
      </c>
      <c r="CV290" s="182">
        <f t="shared" si="563"/>
        <v>0</v>
      </c>
      <c r="CW290" s="182">
        <f t="shared" si="569"/>
        <v>0</v>
      </c>
      <c r="CX290" s="182">
        <f t="shared" si="575"/>
        <v>0</v>
      </c>
      <c r="CY290" s="182">
        <f t="shared" si="581"/>
        <v>0</v>
      </c>
      <c r="CZ290" s="182">
        <f t="shared" si="587"/>
        <v>0</v>
      </c>
      <c r="DA290" s="182">
        <f t="shared" si="593"/>
        <v>0</v>
      </c>
      <c r="DB290" s="182">
        <f t="shared" si="599"/>
        <v>0</v>
      </c>
      <c r="DC290" s="182">
        <f t="shared" si="605"/>
        <v>0</v>
      </c>
      <c r="DD290" s="182">
        <f t="shared" si="611"/>
        <v>0</v>
      </c>
      <c r="DE290" s="182">
        <f t="shared" si="617"/>
        <v>0</v>
      </c>
      <c r="DF290" s="182">
        <f t="shared" si="622"/>
        <v>0</v>
      </c>
      <c r="DG290" s="182">
        <f t="shared" si="627"/>
        <v>0</v>
      </c>
      <c r="DH290" s="182">
        <f t="shared" si="632"/>
        <v>0</v>
      </c>
      <c r="DI290" s="182">
        <f t="shared" si="637"/>
        <v>0</v>
      </c>
      <c r="DJ290" s="182">
        <f t="shared" si="642"/>
        <v>0</v>
      </c>
      <c r="DK290" s="182">
        <f t="shared" si="647"/>
        <v>4.0490921072296314E-2</v>
      </c>
      <c r="DL290" s="182">
        <f t="shared" si="652"/>
        <v>0</v>
      </c>
      <c r="DM290" s="182">
        <f t="shared" ref="DM290:DM330" si="657">DM123*DM$168</f>
        <v>0</v>
      </c>
      <c r="DN290" s="181">
        <f>$C290+SUM($D290:DM290,DO290:$FB290)-SUM(DN$176:DN289,DN291:DN$330)-DN$331</f>
        <v>6.9388939039072284E-18</v>
      </c>
      <c r="DO290" s="176">
        <f t="shared" ref="DO290:FB290" si="658">DO123*DO$168</f>
        <v>0</v>
      </c>
      <c r="DP290" s="176">
        <f t="shared" si="658"/>
        <v>0</v>
      </c>
      <c r="DQ290" s="176">
        <f t="shared" si="658"/>
        <v>0</v>
      </c>
      <c r="DR290" s="176">
        <f t="shared" si="658"/>
        <v>0</v>
      </c>
      <c r="DS290" s="176">
        <f t="shared" si="658"/>
        <v>0</v>
      </c>
      <c r="DT290" s="176">
        <f t="shared" si="658"/>
        <v>0</v>
      </c>
      <c r="DU290" s="176">
        <f t="shared" si="658"/>
        <v>0</v>
      </c>
      <c r="DV290" s="176">
        <f t="shared" si="658"/>
        <v>0</v>
      </c>
      <c r="DW290" s="176">
        <f t="shared" si="658"/>
        <v>0</v>
      </c>
      <c r="DX290" s="176">
        <f t="shared" si="658"/>
        <v>0</v>
      </c>
      <c r="DY290" s="176">
        <f t="shared" si="658"/>
        <v>0</v>
      </c>
      <c r="DZ290" s="176">
        <f t="shared" si="658"/>
        <v>0</v>
      </c>
      <c r="EA290" s="176">
        <f t="shared" si="658"/>
        <v>0</v>
      </c>
      <c r="EB290" s="176">
        <f t="shared" si="658"/>
        <v>0</v>
      </c>
      <c r="EC290" s="176">
        <f t="shared" si="658"/>
        <v>0</v>
      </c>
      <c r="ED290" s="176">
        <f t="shared" si="658"/>
        <v>0</v>
      </c>
      <c r="EE290" s="176">
        <f t="shared" si="658"/>
        <v>0</v>
      </c>
      <c r="EF290" s="182">
        <f t="shared" si="658"/>
        <v>0</v>
      </c>
      <c r="EG290" s="182">
        <f t="shared" si="658"/>
        <v>0</v>
      </c>
      <c r="EH290" s="182">
        <f t="shared" si="658"/>
        <v>0</v>
      </c>
      <c r="EI290" s="182">
        <f t="shared" si="658"/>
        <v>0</v>
      </c>
      <c r="EJ290" s="182">
        <f t="shared" si="658"/>
        <v>0</v>
      </c>
      <c r="EK290" s="182">
        <f t="shared" si="658"/>
        <v>0</v>
      </c>
      <c r="EL290" s="182">
        <f t="shared" si="658"/>
        <v>0</v>
      </c>
      <c r="EM290" s="182">
        <f t="shared" si="658"/>
        <v>0</v>
      </c>
      <c r="EN290" s="182">
        <f t="shared" si="658"/>
        <v>0</v>
      </c>
      <c r="EO290" s="182">
        <f t="shared" si="658"/>
        <v>0</v>
      </c>
      <c r="EP290" s="182">
        <f t="shared" si="658"/>
        <v>0</v>
      </c>
      <c r="EQ290" s="182">
        <f t="shared" si="658"/>
        <v>0</v>
      </c>
      <c r="ER290" s="182">
        <f t="shared" si="658"/>
        <v>0</v>
      </c>
      <c r="ES290" s="182">
        <f t="shared" si="658"/>
        <v>0</v>
      </c>
      <c r="ET290" s="182">
        <f t="shared" si="658"/>
        <v>0</v>
      </c>
      <c r="EU290" s="182">
        <f t="shared" si="658"/>
        <v>0</v>
      </c>
      <c r="EV290" s="182">
        <f t="shared" si="658"/>
        <v>0</v>
      </c>
      <c r="EW290" s="182">
        <f t="shared" si="658"/>
        <v>0</v>
      </c>
      <c r="EX290" s="182">
        <f t="shared" si="658"/>
        <v>0</v>
      </c>
      <c r="EY290" s="182">
        <f t="shared" si="658"/>
        <v>0</v>
      </c>
      <c r="EZ290" s="182">
        <f t="shared" si="658"/>
        <v>0</v>
      </c>
      <c r="FA290" s="182">
        <f t="shared" si="658"/>
        <v>0</v>
      </c>
      <c r="FB290" s="183">
        <f t="shared" si="658"/>
        <v>0</v>
      </c>
    </row>
    <row r="291" spans="2:158" ht="12.75" customHeight="1" x14ac:dyDescent="0.3">
      <c r="B291" s="199" t="s">
        <v>3934</v>
      </c>
      <c r="C291" s="193">
        <v>0</v>
      </c>
      <c r="D291" s="182">
        <f t="shared" si="560"/>
        <v>0</v>
      </c>
      <c r="E291" s="182">
        <f t="shared" si="566"/>
        <v>0</v>
      </c>
      <c r="F291" s="182">
        <f t="shared" si="572"/>
        <v>0</v>
      </c>
      <c r="G291" s="182">
        <f t="shared" si="578"/>
        <v>0</v>
      </c>
      <c r="H291" s="182">
        <f t="shared" si="584"/>
        <v>0</v>
      </c>
      <c r="I291" s="176">
        <f t="shared" si="590"/>
        <v>0</v>
      </c>
      <c r="J291" s="182">
        <f t="shared" si="596"/>
        <v>0</v>
      </c>
      <c r="K291" s="182">
        <f t="shared" si="602"/>
        <v>0</v>
      </c>
      <c r="L291" s="182">
        <f t="shared" si="608"/>
        <v>0</v>
      </c>
      <c r="M291" s="182">
        <f t="shared" si="614"/>
        <v>0</v>
      </c>
      <c r="N291" s="182">
        <f t="shared" si="619"/>
        <v>0</v>
      </c>
      <c r="O291" s="182">
        <f t="shared" si="624"/>
        <v>0</v>
      </c>
      <c r="P291" s="182">
        <f t="shared" si="629"/>
        <v>0</v>
      </c>
      <c r="Q291" s="182">
        <f t="shared" si="634"/>
        <v>0</v>
      </c>
      <c r="R291" s="182">
        <f t="shared" si="639"/>
        <v>0</v>
      </c>
      <c r="S291" s="182">
        <f t="shared" si="644"/>
        <v>0</v>
      </c>
      <c r="T291" s="182">
        <f t="shared" si="649"/>
        <v>0</v>
      </c>
      <c r="U291" s="182">
        <f t="shared" si="654"/>
        <v>0</v>
      </c>
      <c r="V291" s="182">
        <f t="shared" ref="V291:V322" si="659">V124*V$168</f>
        <v>0</v>
      </c>
      <c r="W291" s="182">
        <f t="shared" si="494"/>
        <v>0</v>
      </c>
      <c r="X291" s="182">
        <f t="shared" si="500"/>
        <v>0</v>
      </c>
      <c r="Y291" s="182">
        <f t="shared" si="505"/>
        <v>0</v>
      </c>
      <c r="Z291" s="182">
        <f t="shared" si="510"/>
        <v>0</v>
      </c>
      <c r="AA291" s="182">
        <f t="shared" si="515"/>
        <v>0</v>
      </c>
      <c r="AB291" s="182">
        <f t="shared" si="520"/>
        <v>0</v>
      </c>
      <c r="AC291" s="182">
        <f t="shared" si="525"/>
        <v>0</v>
      </c>
      <c r="AD291" s="182">
        <f t="shared" si="530"/>
        <v>0</v>
      </c>
      <c r="AE291" s="182">
        <f t="shared" si="535"/>
        <v>0</v>
      </c>
      <c r="AF291" s="182">
        <f t="shared" si="540"/>
        <v>0</v>
      </c>
      <c r="AG291" s="182">
        <f t="shared" si="545"/>
        <v>0</v>
      </c>
      <c r="AH291" s="182">
        <f t="shared" si="550"/>
        <v>0</v>
      </c>
      <c r="AI291" s="182">
        <f t="shared" si="555"/>
        <v>0</v>
      </c>
      <c r="AJ291" s="182">
        <f t="shared" si="561"/>
        <v>0</v>
      </c>
      <c r="AK291" s="182">
        <f t="shared" si="567"/>
        <v>0</v>
      </c>
      <c r="AL291" s="182">
        <f t="shared" si="573"/>
        <v>0</v>
      </c>
      <c r="AM291" s="182">
        <f t="shared" si="579"/>
        <v>0</v>
      </c>
      <c r="AN291" s="182">
        <f t="shared" si="585"/>
        <v>0</v>
      </c>
      <c r="AO291" s="182">
        <f t="shared" si="591"/>
        <v>0</v>
      </c>
      <c r="AP291" s="182">
        <f t="shared" si="597"/>
        <v>0</v>
      </c>
      <c r="AQ291" s="182">
        <f t="shared" si="603"/>
        <v>0</v>
      </c>
      <c r="AR291" s="182">
        <f t="shared" si="609"/>
        <v>0</v>
      </c>
      <c r="AS291" s="182">
        <f t="shared" si="615"/>
        <v>0</v>
      </c>
      <c r="AT291" s="182">
        <f t="shared" si="620"/>
        <v>0</v>
      </c>
      <c r="AU291" s="182">
        <f t="shared" si="625"/>
        <v>0</v>
      </c>
      <c r="AV291" s="182">
        <f t="shared" si="630"/>
        <v>0</v>
      </c>
      <c r="AW291" s="182">
        <f t="shared" si="635"/>
        <v>0</v>
      </c>
      <c r="AX291" s="182">
        <f t="shared" si="640"/>
        <v>0</v>
      </c>
      <c r="AY291" s="182">
        <f t="shared" si="645"/>
        <v>0</v>
      </c>
      <c r="AZ291" s="182">
        <f t="shared" si="650"/>
        <v>0</v>
      </c>
      <c r="BA291" s="182">
        <f t="shared" si="655"/>
        <v>0</v>
      </c>
      <c r="BB291" s="182">
        <f t="shared" ref="BB291:BB322" si="660">BB124*BB$168</f>
        <v>0</v>
      </c>
      <c r="BC291" s="182">
        <f t="shared" si="495"/>
        <v>0</v>
      </c>
      <c r="BD291" s="182">
        <f t="shared" si="501"/>
        <v>0</v>
      </c>
      <c r="BE291" s="182">
        <f t="shared" si="506"/>
        <v>0</v>
      </c>
      <c r="BF291" s="182">
        <f t="shared" si="511"/>
        <v>0</v>
      </c>
      <c r="BG291" s="182">
        <f t="shared" si="516"/>
        <v>0</v>
      </c>
      <c r="BH291" s="182">
        <f t="shared" si="521"/>
        <v>0</v>
      </c>
      <c r="BI291" s="182">
        <f t="shared" si="526"/>
        <v>0</v>
      </c>
      <c r="BJ291" s="182">
        <f t="shared" si="531"/>
        <v>0</v>
      </c>
      <c r="BK291" s="182">
        <f t="shared" si="536"/>
        <v>0</v>
      </c>
      <c r="BL291" s="182">
        <f t="shared" si="541"/>
        <v>0</v>
      </c>
      <c r="BM291" s="182">
        <f t="shared" si="546"/>
        <v>0</v>
      </c>
      <c r="BN291" s="182">
        <f t="shared" si="551"/>
        <v>0</v>
      </c>
      <c r="BO291" s="182">
        <f t="shared" si="556"/>
        <v>0</v>
      </c>
      <c r="BP291" s="182">
        <f t="shared" si="562"/>
        <v>0</v>
      </c>
      <c r="BQ291" s="182">
        <f t="shared" si="568"/>
        <v>0</v>
      </c>
      <c r="BR291" s="182">
        <f t="shared" si="574"/>
        <v>0</v>
      </c>
      <c r="BS291" s="182">
        <f t="shared" si="580"/>
        <v>0</v>
      </c>
      <c r="BT291" s="182">
        <f t="shared" si="586"/>
        <v>0</v>
      </c>
      <c r="BU291" s="182">
        <f t="shared" si="592"/>
        <v>0</v>
      </c>
      <c r="BV291" s="182">
        <f t="shared" si="598"/>
        <v>0</v>
      </c>
      <c r="BW291" s="182">
        <f t="shared" si="604"/>
        <v>0</v>
      </c>
      <c r="BX291" s="182">
        <f t="shared" si="610"/>
        <v>0</v>
      </c>
      <c r="BY291" s="182">
        <f t="shared" si="616"/>
        <v>0</v>
      </c>
      <c r="BZ291" s="182">
        <f t="shared" si="621"/>
        <v>0</v>
      </c>
      <c r="CA291" s="182">
        <f t="shared" si="626"/>
        <v>0</v>
      </c>
      <c r="CB291" s="182">
        <f t="shared" si="631"/>
        <v>0</v>
      </c>
      <c r="CC291" s="182">
        <f t="shared" si="636"/>
        <v>0</v>
      </c>
      <c r="CD291" s="182">
        <f t="shared" si="641"/>
        <v>0</v>
      </c>
      <c r="CE291" s="182">
        <f t="shared" si="646"/>
        <v>0</v>
      </c>
      <c r="CF291" s="182">
        <f t="shared" si="651"/>
        <v>0</v>
      </c>
      <c r="CG291" s="182">
        <f t="shared" si="656"/>
        <v>0</v>
      </c>
      <c r="CH291" s="182">
        <f t="shared" ref="CH291:CH322" si="661">CH124*CH$168</f>
        <v>0</v>
      </c>
      <c r="CI291" s="182">
        <f t="shared" si="496"/>
        <v>0</v>
      </c>
      <c r="CJ291" s="182">
        <f t="shared" si="502"/>
        <v>0</v>
      </c>
      <c r="CK291" s="182">
        <f t="shared" si="507"/>
        <v>0</v>
      </c>
      <c r="CL291" s="182">
        <f t="shared" si="512"/>
        <v>0</v>
      </c>
      <c r="CM291" s="182">
        <f t="shared" si="517"/>
        <v>0</v>
      </c>
      <c r="CN291" s="182">
        <f t="shared" si="522"/>
        <v>0</v>
      </c>
      <c r="CO291" s="182">
        <f t="shared" si="527"/>
        <v>0</v>
      </c>
      <c r="CP291" s="182">
        <f t="shared" si="532"/>
        <v>0</v>
      </c>
      <c r="CQ291" s="182">
        <f t="shared" si="537"/>
        <v>0</v>
      </c>
      <c r="CR291" s="182">
        <f t="shared" si="542"/>
        <v>0</v>
      </c>
      <c r="CS291" s="182">
        <f t="shared" si="547"/>
        <v>0</v>
      </c>
      <c r="CT291" s="182">
        <f t="shared" si="552"/>
        <v>0</v>
      </c>
      <c r="CU291" s="182">
        <f t="shared" si="557"/>
        <v>0</v>
      </c>
      <c r="CV291" s="182">
        <f t="shared" si="563"/>
        <v>0</v>
      </c>
      <c r="CW291" s="182">
        <f t="shared" si="569"/>
        <v>0</v>
      </c>
      <c r="CX291" s="182">
        <f t="shared" si="575"/>
        <v>0</v>
      </c>
      <c r="CY291" s="182">
        <f t="shared" si="581"/>
        <v>0</v>
      </c>
      <c r="CZ291" s="182">
        <f t="shared" si="587"/>
        <v>0</v>
      </c>
      <c r="DA291" s="182">
        <f t="shared" si="593"/>
        <v>0</v>
      </c>
      <c r="DB291" s="182">
        <f t="shared" si="599"/>
        <v>0</v>
      </c>
      <c r="DC291" s="182">
        <f t="shared" si="605"/>
        <v>0</v>
      </c>
      <c r="DD291" s="182">
        <f t="shared" si="611"/>
        <v>0</v>
      </c>
      <c r="DE291" s="182">
        <f t="shared" si="617"/>
        <v>0</v>
      </c>
      <c r="DF291" s="182">
        <f t="shared" si="622"/>
        <v>0</v>
      </c>
      <c r="DG291" s="182">
        <f t="shared" si="627"/>
        <v>0</v>
      </c>
      <c r="DH291" s="182">
        <f t="shared" si="632"/>
        <v>0</v>
      </c>
      <c r="DI291" s="182">
        <f t="shared" si="637"/>
        <v>0</v>
      </c>
      <c r="DJ291" s="182">
        <f t="shared" si="642"/>
        <v>0</v>
      </c>
      <c r="DK291" s="182">
        <f t="shared" si="647"/>
        <v>0</v>
      </c>
      <c r="DL291" s="182">
        <f t="shared" si="652"/>
        <v>1.0752739518174111E-6</v>
      </c>
      <c r="DM291" s="182">
        <f t="shared" si="657"/>
        <v>0</v>
      </c>
      <c r="DN291" s="182">
        <f t="shared" ref="DN291:DN330" si="662">DN124*DN$168</f>
        <v>0</v>
      </c>
      <c r="DO291" s="181">
        <f>$C291+SUM($D291:DN291,DP291:$FB291)-SUM(DO$176:DO290,DO292:DO$330)-DO$331</f>
        <v>2.1175823681357508E-22</v>
      </c>
      <c r="DP291" s="176">
        <f t="shared" ref="DP291:FB291" si="663">DP124*DP$168</f>
        <v>0</v>
      </c>
      <c r="DQ291" s="176">
        <f t="shared" si="663"/>
        <v>0</v>
      </c>
      <c r="DR291" s="176">
        <f t="shared" si="663"/>
        <v>0</v>
      </c>
      <c r="DS291" s="176">
        <f t="shared" si="663"/>
        <v>0</v>
      </c>
      <c r="DT291" s="176">
        <f t="shared" si="663"/>
        <v>0</v>
      </c>
      <c r="DU291" s="176">
        <f t="shared" si="663"/>
        <v>0</v>
      </c>
      <c r="DV291" s="176">
        <f t="shared" si="663"/>
        <v>0</v>
      </c>
      <c r="DW291" s="176">
        <f t="shared" si="663"/>
        <v>0</v>
      </c>
      <c r="DX291" s="176">
        <f t="shared" si="663"/>
        <v>0</v>
      </c>
      <c r="DY291" s="176">
        <f t="shared" si="663"/>
        <v>0</v>
      </c>
      <c r="DZ291" s="176">
        <f t="shared" si="663"/>
        <v>0</v>
      </c>
      <c r="EA291" s="176">
        <f t="shared" si="663"/>
        <v>0</v>
      </c>
      <c r="EB291" s="176">
        <f t="shared" si="663"/>
        <v>0</v>
      </c>
      <c r="EC291" s="176">
        <f t="shared" si="663"/>
        <v>0</v>
      </c>
      <c r="ED291" s="176">
        <f t="shared" si="663"/>
        <v>0</v>
      </c>
      <c r="EE291" s="176">
        <f t="shared" si="663"/>
        <v>0</v>
      </c>
      <c r="EF291" s="182">
        <f t="shared" si="663"/>
        <v>0</v>
      </c>
      <c r="EG291" s="182">
        <f t="shared" si="663"/>
        <v>0</v>
      </c>
      <c r="EH291" s="182">
        <f t="shared" si="663"/>
        <v>0</v>
      </c>
      <c r="EI291" s="182">
        <f t="shared" si="663"/>
        <v>0</v>
      </c>
      <c r="EJ291" s="182">
        <f t="shared" si="663"/>
        <v>0</v>
      </c>
      <c r="EK291" s="182">
        <f t="shared" si="663"/>
        <v>0</v>
      </c>
      <c r="EL291" s="182">
        <f t="shared" si="663"/>
        <v>0</v>
      </c>
      <c r="EM291" s="182">
        <f t="shared" si="663"/>
        <v>0</v>
      </c>
      <c r="EN291" s="182">
        <f t="shared" si="663"/>
        <v>0</v>
      </c>
      <c r="EO291" s="182">
        <f t="shared" si="663"/>
        <v>0</v>
      </c>
      <c r="EP291" s="182">
        <f t="shared" si="663"/>
        <v>0</v>
      </c>
      <c r="EQ291" s="182">
        <f t="shared" si="663"/>
        <v>0</v>
      </c>
      <c r="ER291" s="182">
        <f t="shared" si="663"/>
        <v>0</v>
      </c>
      <c r="ES291" s="182">
        <f t="shared" si="663"/>
        <v>0</v>
      </c>
      <c r="ET291" s="182">
        <f t="shared" si="663"/>
        <v>0</v>
      </c>
      <c r="EU291" s="182">
        <f t="shared" si="663"/>
        <v>0</v>
      </c>
      <c r="EV291" s="182">
        <f t="shared" si="663"/>
        <v>0</v>
      </c>
      <c r="EW291" s="182">
        <f t="shared" si="663"/>
        <v>0</v>
      </c>
      <c r="EX291" s="182">
        <f t="shared" si="663"/>
        <v>0</v>
      </c>
      <c r="EY291" s="182">
        <f t="shared" si="663"/>
        <v>0</v>
      </c>
      <c r="EZ291" s="182">
        <f t="shared" si="663"/>
        <v>0</v>
      </c>
      <c r="FA291" s="182">
        <f t="shared" si="663"/>
        <v>0</v>
      </c>
      <c r="FB291" s="183">
        <f t="shared" si="663"/>
        <v>0</v>
      </c>
    </row>
    <row r="292" spans="2:158" ht="12.75" customHeight="1" x14ac:dyDescent="0.3">
      <c r="B292" s="199" t="s">
        <v>3935</v>
      </c>
      <c r="C292" s="193">
        <v>0</v>
      </c>
      <c r="D292" s="182">
        <f t="shared" si="560"/>
        <v>0</v>
      </c>
      <c r="E292" s="182">
        <f t="shared" si="566"/>
        <v>0</v>
      </c>
      <c r="F292" s="182">
        <f t="shared" si="572"/>
        <v>0</v>
      </c>
      <c r="G292" s="182">
        <f t="shared" si="578"/>
        <v>0</v>
      </c>
      <c r="H292" s="182">
        <f t="shared" si="584"/>
        <v>0</v>
      </c>
      <c r="I292" s="176">
        <f t="shared" si="590"/>
        <v>0</v>
      </c>
      <c r="J292" s="182">
        <f t="shared" si="596"/>
        <v>0</v>
      </c>
      <c r="K292" s="182">
        <f t="shared" si="602"/>
        <v>0</v>
      </c>
      <c r="L292" s="182">
        <f t="shared" si="608"/>
        <v>0</v>
      </c>
      <c r="M292" s="182">
        <f t="shared" si="614"/>
        <v>0</v>
      </c>
      <c r="N292" s="182">
        <f t="shared" si="619"/>
        <v>0</v>
      </c>
      <c r="O292" s="182">
        <f t="shared" si="624"/>
        <v>0</v>
      </c>
      <c r="P292" s="182">
        <f t="shared" si="629"/>
        <v>0</v>
      </c>
      <c r="Q292" s="182">
        <f t="shared" si="634"/>
        <v>0</v>
      </c>
      <c r="R292" s="182">
        <f t="shared" si="639"/>
        <v>0</v>
      </c>
      <c r="S292" s="182">
        <f t="shared" si="644"/>
        <v>0</v>
      </c>
      <c r="T292" s="182">
        <f t="shared" si="649"/>
        <v>0</v>
      </c>
      <c r="U292" s="182">
        <f t="shared" si="654"/>
        <v>0</v>
      </c>
      <c r="V292" s="182">
        <f t="shared" si="659"/>
        <v>0</v>
      </c>
      <c r="W292" s="182">
        <f t="shared" ref="W292:W323" si="664">W125*W$168</f>
        <v>0</v>
      </c>
      <c r="X292" s="182">
        <f t="shared" si="500"/>
        <v>0</v>
      </c>
      <c r="Y292" s="182">
        <f t="shared" si="505"/>
        <v>0</v>
      </c>
      <c r="Z292" s="182">
        <f t="shared" si="510"/>
        <v>0</v>
      </c>
      <c r="AA292" s="182">
        <f t="shared" si="515"/>
        <v>0</v>
      </c>
      <c r="AB292" s="182">
        <f t="shared" si="520"/>
        <v>0</v>
      </c>
      <c r="AC292" s="182">
        <f t="shared" si="525"/>
        <v>0</v>
      </c>
      <c r="AD292" s="182">
        <f t="shared" si="530"/>
        <v>0</v>
      </c>
      <c r="AE292" s="182">
        <f t="shared" si="535"/>
        <v>0</v>
      </c>
      <c r="AF292" s="182">
        <f t="shared" si="540"/>
        <v>0</v>
      </c>
      <c r="AG292" s="182">
        <f t="shared" si="545"/>
        <v>0</v>
      </c>
      <c r="AH292" s="182">
        <f t="shared" si="550"/>
        <v>0</v>
      </c>
      <c r="AI292" s="182">
        <f t="shared" si="555"/>
        <v>0</v>
      </c>
      <c r="AJ292" s="182">
        <f t="shared" si="561"/>
        <v>0</v>
      </c>
      <c r="AK292" s="182">
        <f t="shared" si="567"/>
        <v>0</v>
      </c>
      <c r="AL292" s="182">
        <f t="shared" si="573"/>
        <v>0</v>
      </c>
      <c r="AM292" s="182">
        <f t="shared" si="579"/>
        <v>0</v>
      </c>
      <c r="AN292" s="182">
        <f t="shared" si="585"/>
        <v>0</v>
      </c>
      <c r="AO292" s="182">
        <f t="shared" si="591"/>
        <v>0</v>
      </c>
      <c r="AP292" s="182">
        <f t="shared" si="597"/>
        <v>0</v>
      </c>
      <c r="AQ292" s="182">
        <f t="shared" si="603"/>
        <v>0</v>
      </c>
      <c r="AR292" s="182">
        <f t="shared" si="609"/>
        <v>0</v>
      </c>
      <c r="AS292" s="182">
        <f t="shared" si="615"/>
        <v>0</v>
      </c>
      <c r="AT292" s="182">
        <f t="shared" si="620"/>
        <v>0</v>
      </c>
      <c r="AU292" s="182">
        <f t="shared" si="625"/>
        <v>0</v>
      </c>
      <c r="AV292" s="182">
        <f t="shared" si="630"/>
        <v>0</v>
      </c>
      <c r="AW292" s="182">
        <f t="shared" si="635"/>
        <v>0</v>
      </c>
      <c r="AX292" s="182">
        <f t="shared" si="640"/>
        <v>0</v>
      </c>
      <c r="AY292" s="182">
        <f t="shared" si="645"/>
        <v>0</v>
      </c>
      <c r="AZ292" s="182">
        <f t="shared" si="650"/>
        <v>0</v>
      </c>
      <c r="BA292" s="182">
        <f t="shared" si="655"/>
        <v>0</v>
      </c>
      <c r="BB292" s="182">
        <f t="shared" si="660"/>
        <v>0</v>
      </c>
      <c r="BC292" s="182">
        <f t="shared" ref="BC292:BC323" si="665">BC125*BC$168</f>
        <v>0</v>
      </c>
      <c r="BD292" s="182">
        <f t="shared" si="501"/>
        <v>0</v>
      </c>
      <c r="BE292" s="182">
        <f t="shared" si="506"/>
        <v>0</v>
      </c>
      <c r="BF292" s="182">
        <f t="shared" si="511"/>
        <v>0</v>
      </c>
      <c r="BG292" s="182">
        <f t="shared" si="516"/>
        <v>0</v>
      </c>
      <c r="BH292" s="182">
        <f t="shared" si="521"/>
        <v>0</v>
      </c>
      <c r="BI292" s="182">
        <f t="shared" si="526"/>
        <v>0</v>
      </c>
      <c r="BJ292" s="182">
        <f t="shared" si="531"/>
        <v>0</v>
      </c>
      <c r="BK292" s="182">
        <f t="shared" si="536"/>
        <v>0</v>
      </c>
      <c r="BL292" s="182">
        <f t="shared" si="541"/>
        <v>0</v>
      </c>
      <c r="BM292" s="182">
        <f t="shared" si="546"/>
        <v>0</v>
      </c>
      <c r="BN292" s="182">
        <f t="shared" si="551"/>
        <v>0</v>
      </c>
      <c r="BO292" s="182">
        <f t="shared" si="556"/>
        <v>0</v>
      </c>
      <c r="BP292" s="182">
        <f t="shared" si="562"/>
        <v>0</v>
      </c>
      <c r="BQ292" s="182">
        <f t="shared" si="568"/>
        <v>0</v>
      </c>
      <c r="BR292" s="182">
        <f t="shared" si="574"/>
        <v>0</v>
      </c>
      <c r="BS292" s="182">
        <f t="shared" si="580"/>
        <v>0</v>
      </c>
      <c r="BT292" s="182">
        <f t="shared" si="586"/>
        <v>0</v>
      </c>
      <c r="BU292" s="182">
        <f t="shared" si="592"/>
        <v>0</v>
      </c>
      <c r="BV292" s="182">
        <f t="shared" si="598"/>
        <v>0</v>
      </c>
      <c r="BW292" s="182">
        <f t="shared" si="604"/>
        <v>0</v>
      </c>
      <c r="BX292" s="182">
        <f t="shared" si="610"/>
        <v>0</v>
      </c>
      <c r="BY292" s="182">
        <f t="shared" si="616"/>
        <v>0</v>
      </c>
      <c r="BZ292" s="182">
        <f t="shared" si="621"/>
        <v>0</v>
      </c>
      <c r="CA292" s="182">
        <f t="shared" si="626"/>
        <v>0</v>
      </c>
      <c r="CB292" s="182">
        <f t="shared" si="631"/>
        <v>0</v>
      </c>
      <c r="CC292" s="182">
        <f t="shared" si="636"/>
        <v>0</v>
      </c>
      <c r="CD292" s="182">
        <f t="shared" si="641"/>
        <v>0</v>
      </c>
      <c r="CE292" s="182">
        <f t="shared" si="646"/>
        <v>0</v>
      </c>
      <c r="CF292" s="182">
        <f t="shared" si="651"/>
        <v>0</v>
      </c>
      <c r="CG292" s="182">
        <f t="shared" si="656"/>
        <v>0</v>
      </c>
      <c r="CH292" s="182">
        <f t="shared" si="661"/>
        <v>0</v>
      </c>
      <c r="CI292" s="182">
        <f t="shared" ref="CI292:CI323" si="666">CI125*CI$168</f>
        <v>0</v>
      </c>
      <c r="CJ292" s="182">
        <f t="shared" si="502"/>
        <v>0</v>
      </c>
      <c r="CK292" s="182">
        <f t="shared" si="507"/>
        <v>0</v>
      </c>
      <c r="CL292" s="182">
        <f t="shared" si="512"/>
        <v>0</v>
      </c>
      <c r="CM292" s="182">
        <f t="shared" si="517"/>
        <v>0</v>
      </c>
      <c r="CN292" s="182">
        <f t="shared" si="522"/>
        <v>0</v>
      </c>
      <c r="CO292" s="182">
        <f t="shared" si="527"/>
        <v>0</v>
      </c>
      <c r="CP292" s="182">
        <f t="shared" si="532"/>
        <v>0</v>
      </c>
      <c r="CQ292" s="182">
        <f t="shared" si="537"/>
        <v>0</v>
      </c>
      <c r="CR292" s="182">
        <f t="shared" si="542"/>
        <v>0</v>
      </c>
      <c r="CS292" s="182">
        <f t="shared" si="547"/>
        <v>0</v>
      </c>
      <c r="CT292" s="182">
        <f t="shared" si="552"/>
        <v>0</v>
      </c>
      <c r="CU292" s="182">
        <f t="shared" si="557"/>
        <v>0</v>
      </c>
      <c r="CV292" s="182">
        <f t="shared" si="563"/>
        <v>0</v>
      </c>
      <c r="CW292" s="182">
        <f t="shared" si="569"/>
        <v>0</v>
      </c>
      <c r="CX292" s="182">
        <f t="shared" si="575"/>
        <v>0</v>
      </c>
      <c r="CY292" s="182">
        <f t="shared" si="581"/>
        <v>0</v>
      </c>
      <c r="CZ292" s="182">
        <f t="shared" si="587"/>
        <v>0</v>
      </c>
      <c r="DA292" s="182">
        <f t="shared" si="593"/>
        <v>0</v>
      </c>
      <c r="DB292" s="182">
        <f t="shared" si="599"/>
        <v>0</v>
      </c>
      <c r="DC292" s="182">
        <f t="shared" si="605"/>
        <v>0</v>
      </c>
      <c r="DD292" s="182">
        <f t="shared" si="611"/>
        <v>0</v>
      </c>
      <c r="DE292" s="182">
        <f t="shared" si="617"/>
        <v>0</v>
      </c>
      <c r="DF292" s="182">
        <f t="shared" si="622"/>
        <v>0</v>
      </c>
      <c r="DG292" s="182">
        <f t="shared" si="627"/>
        <v>0</v>
      </c>
      <c r="DH292" s="182">
        <f t="shared" si="632"/>
        <v>0</v>
      </c>
      <c r="DI292" s="182">
        <f t="shared" si="637"/>
        <v>0</v>
      </c>
      <c r="DJ292" s="182">
        <f t="shared" si="642"/>
        <v>0</v>
      </c>
      <c r="DK292" s="182">
        <f t="shared" si="647"/>
        <v>0</v>
      </c>
      <c r="DL292" s="182">
        <f t="shared" si="652"/>
        <v>0</v>
      </c>
      <c r="DM292" s="182">
        <f t="shared" si="657"/>
        <v>0</v>
      </c>
      <c r="DN292" s="182">
        <f t="shared" si="662"/>
        <v>0</v>
      </c>
      <c r="DO292" s="182">
        <f t="shared" ref="DO292:DO330" si="667">DO125*DO$168</f>
        <v>0</v>
      </c>
      <c r="DP292" s="181">
        <f>$C292+SUM($D292:DO292,DQ292:$FB292)-SUM(DP$176:DP291,DP293:DP$330)-DP$331</f>
        <v>0</v>
      </c>
      <c r="DQ292" s="176">
        <f t="shared" ref="DQ292:FB292" si="668">DQ125*DQ$168</f>
        <v>0</v>
      </c>
      <c r="DR292" s="176">
        <f t="shared" si="668"/>
        <v>0</v>
      </c>
      <c r="DS292" s="176">
        <f t="shared" si="668"/>
        <v>0</v>
      </c>
      <c r="DT292" s="176">
        <f t="shared" si="668"/>
        <v>0</v>
      </c>
      <c r="DU292" s="176">
        <f t="shared" si="668"/>
        <v>0</v>
      </c>
      <c r="DV292" s="176">
        <f t="shared" si="668"/>
        <v>0</v>
      </c>
      <c r="DW292" s="176">
        <f t="shared" si="668"/>
        <v>0</v>
      </c>
      <c r="DX292" s="176">
        <f t="shared" si="668"/>
        <v>0</v>
      </c>
      <c r="DY292" s="176">
        <f t="shared" si="668"/>
        <v>0</v>
      </c>
      <c r="DZ292" s="176">
        <f t="shared" si="668"/>
        <v>0</v>
      </c>
      <c r="EA292" s="176">
        <f t="shared" si="668"/>
        <v>0</v>
      </c>
      <c r="EB292" s="176">
        <f t="shared" si="668"/>
        <v>0</v>
      </c>
      <c r="EC292" s="176">
        <f t="shared" si="668"/>
        <v>0</v>
      </c>
      <c r="ED292" s="176">
        <f t="shared" si="668"/>
        <v>0</v>
      </c>
      <c r="EE292" s="176">
        <f t="shared" si="668"/>
        <v>0</v>
      </c>
      <c r="EF292" s="182">
        <f t="shared" si="668"/>
        <v>0</v>
      </c>
      <c r="EG292" s="182">
        <f t="shared" si="668"/>
        <v>0</v>
      </c>
      <c r="EH292" s="182">
        <f t="shared" si="668"/>
        <v>0</v>
      </c>
      <c r="EI292" s="182">
        <f t="shared" si="668"/>
        <v>0</v>
      </c>
      <c r="EJ292" s="182">
        <f t="shared" si="668"/>
        <v>0</v>
      </c>
      <c r="EK292" s="182">
        <f t="shared" si="668"/>
        <v>0</v>
      </c>
      <c r="EL292" s="182">
        <f t="shared" si="668"/>
        <v>0</v>
      </c>
      <c r="EM292" s="182">
        <f t="shared" si="668"/>
        <v>0</v>
      </c>
      <c r="EN292" s="182">
        <f t="shared" si="668"/>
        <v>0</v>
      </c>
      <c r="EO292" s="182">
        <f t="shared" si="668"/>
        <v>0</v>
      </c>
      <c r="EP292" s="182">
        <f t="shared" si="668"/>
        <v>0</v>
      </c>
      <c r="EQ292" s="182">
        <f t="shared" si="668"/>
        <v>0</v>
      </c>
      <c r="ER292" s="182">
        <f t="shared" si="668"/>
        <v>0</v>
      </c>
      <c r="ES292" s="182">
        <f t="shared" si="668"/>
        <v>0</v>
      </c>
      <c r="ET292" s="182">
        <f t="shared" si="668"/>
        <v>0</v>
      </c>
      <c r="EU292" s="182">
        <f t="shared" si="668"/>
        <v>0</v>
      </c>
      <c r="EV292" s="182">
        <f t="shared" si="668"/>
        <v>0</v>
      </c>
      <c r="EW292" s="182">
        <f t="shared" si="668"/>
        <v>0</v>
      </c>
      <c r="EX292" s="182">
        <f t="shared" si="668"/>
        <v>0</v>
      </c>
      <c r="EY292" s="182">
        <f t="shared" si="668"/>
        <v>0</v>
      </c>
      <c r="EZ292" s="182">
        <f t="shared" si="668"/>
        <v>0</v>
      </c>
      <c r="FA292" s="182">
        <f t="shared" si="668"/>
        <v>0</v>
      </c>
      <c r="FB292" s="183">
        <f t="shared" si="668"/>
        <v>0</v>
      </c>
    </row>
    <row r="293" spans="2:158" ht="12.75" customHeight="1" x14ac:dyDescent="0.3">
      <c r="B293" s="199" t="s">
        <v>3936</v>
      </c>
      <c r="C293" s="193">
        <v>0</v>
      </c>
      <c r="D293" s="182">
        <f t="shared" si="560"/>
        <v>0</v>
      </c>
      <c r="E293" s="182">
        <f t="shared" si="566"/>
        <v>0</v>
      </c>
      <c r="F293" s="182">
        <f t="shared" si="572"/>
        <v>0</v>
      </c>
      <c r="G293" s="182">
        <f t="shared" si="578"/>
        <v>0</v>
      </c>
      <c r="H293" s="182">
        <f t="shared" si="584"/>
        <v>0</v>
      </c>
      <c r="I293" s="176">
        <f t="shared" si="590"/>
        <v>0</v>
      </c>
      <c r="J293" s="182">
        <f t="shared" si="596"/>
        <v>0</v>
      </c>
      <c r="K293" s="182">
        <f t="shared" si="602"/>
        <v>0</v>
      </c>
      <c r="L293" s="182">
        <f t="shared" si="608"/>
        <v>0</v>
      </c>
      <c r="M293" s="182">
        <f t="shared" si="614"/>
        <v>0</v>
      </c>
      <c r="N293" s="182">
        <f t="shared" si="619"/>
        <v>0</v>
      </c>
      <c r="O293" s="182">
        <f t="shared" si="624"/>
        <v>0</v>
      </c>
      <c r="P293" s="182">
        <f t="shared" si="629"/>
        <v>0</v>
      </c>
      <c r="Q293" s="182">
        <f t="shared" si="634"/>
        <v>0</v>
      </c>
      <c r="R293" s="182">
        <f t="shared" si="639"/>
        <v>0</v>
      </c>
      <c r="S293" s="182">
        <f t="shared" si="644"/>
        <v>0</v>
      </c>
      <c r="T293" s="182">
        <f t="shared" si="649"/>
        <v>0</v>
      </c>
      <c r="U293" s="182">
        <f t="shared" si="654"/>
        <v>0</v>
      </c>
      <c r="V293" s="182">
        <f t="shared" si="659"/>
        <v>0</v>
      </c>
      <c r="W293" s="182">
        <f t="shared" si="664"/>
        <v>0</v>
      </c>
      <c r="X293" s="182">
        <f t="shared" ref="X293:X324" si="669">X126*X$168</f>
        <v>0</v>
      </c>
      <c r="Y293" s="182">
        <f t="shared" si="505"/>
        <v>0</v>
      </c>
      <c r="Z293" s="182">
        <f t="shared" si="510"/>
        <v>0</v>
      </c>
      <c r="AA293" s="182">
        <f t="shared" si="515"/>
        <v>0</v>
      </c>
      <c r="AB293" s="182">
        <f t="shared" si="520"/>
        <v>0</v>
      </c>
      <c r="AC293" s="182">
        <f t="shared" si="525"/>
        <v>0</v>
      </c>
      <c r="AD293" s="182">
        <f t="shared" si="530"/>
        <v>0</v>
      </c>
      <c r="AE293" s="182">
        <f t="shared" si="535"/>
        <v>0</v>
      </c>
      <c r="AF293" s="182">
        <f t="shared" si="540"/>
        <v>0</v>
      </c>
      <c r="AG293" s="182">
        <f t="shared" si="545"/>
        <v>0</v>
      </c>
      <c r="AH293" s="182">
        <f t="shared" si="550"/>
        <v>0</v>
      </c>
      <c r="AI293" s="182">
        <f t="shared" si="555"/>
        <v>0</v>
      </c>
      <c r="AJ293" s="182">
        <f t="shared" si="561"/>
        <v>0</v>
      </c>
      <c r="AK293" s="182">
        <f t="shared" si="567"/>
        <v>0</v>
      </c>
      <c r="AL293" s="182">
        <f t="shared" si="573"/>
        <v>0</v>
      </c>
      <c r="AM293" s="182">
        <f t="shared" si="579"/>
        <v>0</v>
      </c>
      <c r="AN293" s="182">
        <f t="shared" si="585"/>
        <v>0</v>
      </c>
      <c r="AO293" s="182">
        <f t="shared" si="591"/>
        <v>0</v>
      </c>
      <c r="AP293" s="182">
        <f t="shared" si="597"/>
        <v>0</v>
      </c>
      <c r="AQ293" s="182">
        <f t="shared" si="603"/>
        <v>0</v>
      </c>
      <c r="AR293" s="182">
        <f t="shared" si="609"/>
        <v>0</v>
      </c>
      <c r="AS293" s="182">
        <f t="shared" si="615"/>
        <v>0</v>
      </c>
      <c r="AT293" s="182">
        <f t="shared" si="620"/>
        <v>0</v>
      </c>
      <c r="AU293" s="182">
        <f t="shared" si="625"/>
        <v>0</v>
      </c>
      <c r="AV293" s="182">
        <f t="shared" si="630"/>
        <v>0</v>
      </c>
      <c r="AW293" s="182">
        <f t="shared" si="635"/>
        <v>0</v>
      </c>
      <c r="AX293" s="182">
        <f t="shared" si="640"/>
        <v>0</v>
      </c>
      <c r="AY293" s="182">
        <f t="shared" si="645"/>
        <v>0</v>
      </c>
      <c r="AZ293" s="182">
        <f t="shared" si="650"/>
        <v>0</v>
      </c>
      <c r="BA293" s="182">
        <f t="shared" si="655"/>
        <v>0</v>
      </c>
      <c r="BB293" s="182">
        <f t="shared" si="660"/>
        <v>0</v>
      </c>
      <c r="BC293" s="182">
        <f t="shared" si="665"/>
        <v>0</v>
      </c>
      <c r="BD293" s="182">
        <f t="shared" ref="BD293:BD324" si="670">BD126*BD$168</f>
        <v>0</v>
      </c>
      <c r="BE293" s="182">
        <f t="shared" si="506"/>
        <v>0</v>
      </c>
      <c r="BF293" s="182">
        <f t="shared" si="511"/>
        <v>0</v>
      </c>
      <c r="BG293" s="182">
        <f t="shared" si="516"/>
        <v>0</v>
      </c>
      <c r="BH293" s="182">
        <f t="shared" si="521"/>
        <v>0</v>
      </c>
      <c r="BI293" s="182">
        <f t="shared" si="526"/>
        <v>0</v>
      </c>
      <c r="BJ293" s="182">
        <f t="shared" si="531"/>
        <v>0</v>
      </c>
      <c r="BK293" s="182">
        <f t="shared" si="536"/>
        <v>0</v>
      </c>
      <c r="BL293" s="182">
        <f t="shared" si="541"/>
        <v>0</v>
      </c>
      <c r="BM293" s="182">
        <f t="shared" si="546"/>
        <v>0</v>
      </c>
      <c r="BN293" s="182">
        <f t="shared" si="551"/>
        <v>0</v>
      </c>
      <c r="BO293" s="182">
        <f t="shared" si="556"/>
        <v>0</v>
      </c>
      <c r="BP293" s="182">
        <f t="shared" si="562"/>
        <v>0</v>
      </c>
      <c r="BQ293" s="182">
        <f t="shared" si="568"/>
        <v>0</v>
      </c>
      <c r="BR293" s="182">
        <f t="shared" si="574"/>
        <v>0</v>
      </c>
      <c r="BS293" s="182">
        <f t="shared" si="580"/>
        <v>0</v>
      </c>
      <c r="BT293" s="182">
        <f t="shared" si="586"/>
        <v>0</v>
      </c>
      <c r="BU293" s="182">
        <f t="shared" si="592"/>
        <v>0</v>
      </c>
      <c r="BV293" s="182">
        <f t="shared" si="598"/>
        <v>0</v>
      </c>
      <c r="BW293" s="182">
        <f t="shared" si="604"/>
        <v>0</v>
      </c>
      <c r="BX293" s="182">
        <f t="shared" si="610"/>
        <v>0</v>
      </c>
      <c r="BY293" s="182">
        <f t="shared" si="616"/>
        <v>0</v>
      </c>
      <c r="BZ293" s="182">
        <f t="shared" si="621"/>
        <v>0</v>
      </c>
      <c r="CA293" s="182">
        <f t="shared" si="626"/>
        <v>0</v>
      </c>
      <c r="CB293" s="182">
        <f t="shared" si="631"/>
        <v>0</v>
      </c>
      <c r="CC293" s="182">
        <f t="shared" si="636"/>
        <v>0</v>
      </c>
      <c r="CD293" s="182">
        <f t="shared" si="641"/>
        <v>0</v>
      </c>
      <c r="CE293" s="182">
        <f t="shared" si="646"/>
        <v>0</v>
      </c>
      <c r="CF293" s="182">
        <f t="shared" si="651"/>
        <v>0</v>
      </c>
      <c r="CG293" s="182">
        <f t="shared" si="656"/>
        <v>0</v>
      </c>
      <c r="CH293" s="182">
        <f t="shared" si="661"/>
        <v>0</v>
      </c>
      <c r="CI293" s="182">
        <f t="shared" si="666"/>
        <v>0</v>
      </c>
      <c r="CJ293" s="182">
        <f t="shared" ref="CJ293:CJ324" si="671">CJ126*CJ$168</f>
        <v>0</v>
      </c>
      <c r="CK293" s="182">
        <f t="shared" si="507"/>
        <v>0</v>
      </c>
      <c r="CL293" s="182">
        <f t="shared" si="512"/>
        <v>0</v>
      </c>
      <c r="CM293" s="182">
        <f t="shared" si="517"/>
        <v>0</v>
      </c>
      <c r="CN293" s="182">
        <f t="shared" si="522"/>
        <v>0</v>
      </c>
      <c r="CO293" s="182">
        <f t="shared" si="527"/>
        <v>0</v>
      </c>
      <c r="CP293" s="182">
        <f t="shared" si="532"/>
        <v>0</v>
      </c>
      <c r="CQ293" s="182">
        <f t="shared" si="537"/>
        <v>0</v>
      </c>
      <c r="CR293" s="182">
        <f t="shared" si="542"/>
        <v>0</v>
      </c>
      <c r="CS293" s="182">
        <f t="shared" si="547"/>
        <v>0</v>
      </c>
      <c r="CT293" s="182">
        <f t="shared" si="552"/>
        <v>3.4050046080489721E-8</v>
      </c>
      <c r="CU293" s="182">
        <f t="shared" si="557"/>
        <v>0</v>
      </c>
      <c r="CV293" s="182">
        <f t="shared" si="563"/>
        <v>0</v>
      </c>
      <c r="CW293" s="182">
        <f t="shared" si="569"/>
        <v>0</v>
      </c>
      <c r="CX293" s="182">
        <f t="shared" si="575"/>
        <v>0</v>
      </c>
      <c r="CY293" s="182">
        <f t="shared" si="581"/>
        <v>0</v>
      </c>
      <c r="CZ293" s="182">
        <f t="shared" si="587"/>
        <v>0</v>
      </c>
      <c r="DA293" s="182">
        <f t="shared" si="593"/>
        <v>0</v>
      </c>
      <c r="DB293" s="182">
        <f t="shared" si="599"/>
        <v>0</v>
      </c>
      <c r="DC293" s="182">
        <f t="shared" si="605"/>
        <v>0</v>
      </c>
      <c r="DD293" s="182">
        <f t="shared" si="611"/>
        <v>0</v>
      </c>
      <c r="DE293" s="182">
        <f t="shared" si="617"/>
        <v>0</v>
      </c>
      <c r="DF293" s="182">
        <f t="shared" si="622"/>
        <v>0</v>
      </c>
      <c r="DG293" s="182">
        <f t="shared" si="627"/>
        <v>0</v>
      </c>
      <c r="DH293" s="182">
        <f t="shared" si="632"/>
        <v>0</v>
      </c>
      <c r="DI293" s="182">
        <f t="shared" si="637"/>
        <v>0</v>
      </c>
      <c r="DJ293" s="182">
        <f t="shared" si="642"/>
        <v>3.6137845396244928E-5</v>
      </c>
      <c r="DK293" s="182">
        <f t="shared" si="647"/>
        <v>0</v>
      </c>
      <c r="DL293" s="182">
        <f t="shared" si="652"/>
        <v>0</v>
      </c>
      <c r="DM293" s="182">
        <f t="shared" si="657"/>
        <v>9.6749118414038996E-6</v>
      </c>
      <c r="DN293" s="182">
        <f t="shared" si="662"/>
        <v>0</v>
      </c>
      <c r="DO293" s="182">
        <f t="shared" si="667"/>
        <v>0</v>
      </c>
      <c r="DP293" s="182">
        <f t="shared" ref="DP293:DP330" si="672">DP126*DP$168</f>
        <v>0</v>
      </c>
      <c r="DQ293" s="181">
        <f>$C293+SUM($D293:DP293,DR293:$FB293)-SUM(DQ$176:DQ292,DQ294:DQ$330)-DQ$331</f>
        <v>1.3552527156068805E-20</v>
      </c>
      <c r="DR293" s="176">
        <f t="shared" ref="DR293:FB293" si="673">DR126*DR$168</f>
        <v>0</v>
      </c>
      <c r="DS293" s="176">
        <f t="shared" si="673"/>
        <v>0</v>
      </c>
      <c r="DT293" s="176">
        <f t="shared" si="673"/>
        <v>0</v>
      </c>
      <c r="DU293" s="176">
        <f t="shared" si="673"/>
        <v>1.2689635631010679E-14</v>
      </c>
      <c r="DV293" s="176">
        <f t="shared" si="673"/>
        <v>0</v>
      </c>
      <c r="DW293" s="176">
        <f t="shared" si="673"/>
        <v>0</v>
      </c>
      <c r="DX293" s="176">
        <f t="shared" si="673"/>
        <v>0</v>
      </c>
      <c r="DY293" s="176">
        <f t="shared" si="673"/>
        <v>0</v>
      </c>
      <c r="DZ293" s="176">
        <f t="shared" si="673"/>
        <v>0</v>
      </c>
      <c r="EA293" s="176">
        <f t="shared" si="673"/>
        <v>0</v>
      </c>
      <c r="EB293" s="176">
        <f t="shared" si="673"/>
        <v>0</v>
      </c>
      <c r="EC293" s="176">
        <f t="shared" si="673"/>
        <v>4.639317888919497E-11</v>
      </c>
      <c r="ED293" s="176">
        <f t="shared" si="673"/>
        <v>0</v>
      </c>
      <c r="EE293" s="176">
        <f t="shared" si="673"/>
        <v>0</v>
      </c>
      <c r="EF293" s="182">
        <f t="shared" si="673"/>
        <v>0</v>
      </c>
      <c r="EG293" s="182">
        <f t="shared" si="673"/>
        <v>0</v>
      </c>
      <c r="EH293" s="182">
        <f t="shared" si="673"/>
        <v>0</v>
      </c>
      <c r="EI293" s="182">
        <f t="shared" si="673"/>
        <v>0</v>
      </c>
      <c r="EJ293" s="182">
        <f t="shared" si="673"/>
        <v>0</v>
      </c>
      <c r="EK293" s="182">
        <f t="shared" si="673"/>
        <v>0</v>
      </c>
      <c r="EL293" s="182">
        <f t="shared" si="673"/>
        <v>0</v>
      </c>
      <c r="EM293" s="182">
        <f t="shared" si="673"/>
        <v>0</v>
      </c>
      <c r="EN293" s="182">
        <f t="shared" si="673"/>
        <v>0</v>
      </c>
      <c r="EO293" s="182">
        <f t="shared" si="673"/>
        <v>0</v>
      </c>
      <c r="EP293" s="182">
        <f t="shared" si="673"/>
        <v>0</v>
      </c>
      <c r="EQ293" s="182">
        <f t="shared" si="673"/>
        <v>0</v>
      </c>
      <c r="ER293" s="182">
        <f t="shared" si="673"/>
        <v>0</v>
      </c>
      <c r="ES293" s="182">
        <f t="shared" si="673"/>
        <v>0</v>
      </c>
      <c r="ET293" s="182">
        <f t="shared" si="673"/>
        <v>0</v>
      </c>
      <c r="EU293" s="182">
        <f t="shared" si="673"/>
        <v>0</v>
      </c>
      <c r="EV293" s="182">
        <f t="shared" si="673"/>
        <v>0</v>
      </c>
      <c r="EW293" s="182">
        <f t="shared" si="673"/>
        <v>0</v>
      </c>
      <c r="EX293" s="182">
        <f t="shared" si="673"/>
        <v>0</v>
      </c>
      <c r="EY293" s="182">
        <f t="shared" si="673"/>
        <v>0</v>
      </c>
      <c r="EZ293" s="182">
        <f t="shared" si="673"/>
        <v>0</v>
      </c>
      <c r="FA293" s="182">
        <f t="shared" si="673"/>
        <v>0</v>
      </c>
      <c r="FB293" s="183">
        <f t="shared" si="673"/>
        <v>0</v>
      </c>
    </row>
    <row r="294" spans="2:158" ht="12.75" customHeight="1" x14ac:dyDescent="0.3">
      <c r="B294" s="199" t="s">
        <v>3937</v>
      </c>
      <c r="C294" s="193">
        <v>0</v>
      </c>
      <c r="D294" s="182">
        <f t="shared" si="560"/>
        <v>0</v>
      </c>
      <c r="E294" s="182">
        <f t="shared" si="566"/>
        <v>0</v>
      </c>
      <c r="F294" s="182">
        <f t="shared" si="572"/>
        <v>0</v>
      </c>
      <c r="G294" s="182">
        <f t="shared" si="578"/>
        <v>0</v>
      </c>
      <c r="H294" s="182">
        <f t="shared" si="584"/>
        <v>0</v>
      </c>
      <c r="I294" s="176">
        <f t="shared" si="590"/>
        <v>0</v>
      </c>
      <c r="J294" s="182">
        <f t="shared" si="596"/>
        <v>0</v>
      </c>
      <c r="K294" s="182">
        <f t="shared" si="602"/>
        <v>0</v>
      </c>
      <c r="L294" s="182">
        <f t="shared" si="608"/>
        <v>0</v>
      </c>
      <c r="M294" s="182">
        <f t="shared" si="614"/>
        <v>0</v>
      </c>
      <c r="N294" s="182">
        <f t="shared" si="619"/>
        <v>0</v>
      </c>
      <c r="O294" s="182">
        <f t="shared" si="624"/>
        <v>0</v>
      </c>
      <c r="P294" s="182">
        <f t="shared" si="629"/>
        <v>0</v>
      </c>
      <c r="Q294" s="182">
        <f t="shared" si="634"/>
        <v>0</v>
      </c>
      <c r="R294" s="182">
        <f t="shared" si="639"/>
        <v>0</v>
      </c>
      <c r="S294" s="182">
        <f t="shared" si="644"/>
        <v>0</v>
      </c>
      <c r="T294" s="182">
        <f t="shared" si="649"/>
        <v>0</v>
      </c>
      <c r="U294" s="182">
        <f t="shared" si="654"/>
        <v>0</v>
      </c>
      <c r="V294" s="182">
        <f t="shared" si="659"/>
        <v>0</v>
      </c>
      <c r="W294" s="182">
        <f t="shared" si="664"/>
        <v>0</v>
      </c>
      <c r="X294" s="182">
        <f t="shared" si="669"/>
        <v>0</v>
      </c>
      <c r="Y294" s="182">
        <f t="shared" ref="Y294:Y325" si="674">Y127*Y$168</f>
        <v>0</v>
      </c>
      <c r="Z294" s="182">
        <f t="shared" si="510"/>
        <v>0</v>
      </c>
      <c r="AA294" s="182">
        <f t="shared" si="515"/>
        <v>0</v>
      </c>
      <c r="AB294" s="182">
        <f t="shared" si="520"/>
        <v>0</v>
      </c>
      <c r="AC294" s="182">
        <f t="shared" si="525"/>
        <v>0</v>
      </c>
      <c r="AD294" s="182">
        <f t="shared" si="530"/>
        <v>0</v>
      </c>
      <c r="AE294" s="182">
        <f t="shared" si="535"/>
        <v>0</v>
      </c>
      <c r="AF294" s="182">
        <f t="shared" si="540"/>
        <v>0</v>
      </c>
      <c r="AG294" s="182">
        <f t="shared" si="545"/>
        <v>0</v>
      </c>
      <c r="AH294" s="182">
        <f t="shared" si="550"/>
        <v>0</v>
      </c>
      <c r="AI294" s="182">
        <f t="shared" si="555"/>
        <v>0</v>
      </c>
      <c r="AJ294" s="182">
        <f t="shared" si="561"/>
        <v>0</v>
      </c>
      <c r="AK294" s="182">
        <f t="shared" si="567"/>
        <v>0</v>
      </c>
      <c r="AL294" s="182">
        <f t="shared" si="573"/>
        <v>0</v>
      </c>
      <c r="AM294" s="182">
        <f t="shared" si="579"/>
        <v>0</v>
      </c>
      <c r="AN294" s="182">
        <f t="shared" si="585"/>
        <v>0</v>
      </c>
      <c r="AO294" s="182">
        <f t="shared" si="591"/>
        <v>0</v>
      </c>
      <c r="AP294" s="182">
        <f t="shared" si="597"/>
        <v>0</v>
      </c>
      <c r="AQ294" s="182">
        <f t="shared" si="603"/>
        <v>0</v>
      </c>
      <c r="AR294" s="182">
        <f t="shared" si="609"/>
        <v>0</v>
      </c>
      <c r="AS294" s="182">
        <f t="shared" si="615"/>
        <v>0</v>
      </c>
      <c r="AT294" s="182">
        <f t="shared" si="620"/>
        <v>0</v>
      </c>
      <c r="AU294" s="182">
        <f t="shared" si="625"/>
        <v>0</v>
      </c>
      <c r="AV294" s="182">
        <f t="shared" si="630"/>
        <v>0</v>
      </c>
      <c r="AW294" s="182">
        <f t="shared" si="635"/>
        <v>0</v>
      </c>
      <c r="AX294" s="182">
        <f t="shared" si="640"/>
        <v>0</v>
      </c>
      <c r="AY294" s="182">
        <f t="shared" si="645"/>
        <v>0</v>
      </c>
      <c r="AZ294" s="182">
        <f t="shared" si="650"/>
        <v>0</v>
      </c>
      <c r="BA294" s="182">
        <f t="shared" si="655"/>
        <v>0</v>
      </c>
      <c r="BB294" s="182">
        <f t="shared" si="660"/>
        <v>0</v>
      </c>
      <c r="BC294" s="182">
        <f t="shared" si="665"/>
        <v>0</v>
      </c>
      <c r="BD294" s="182">
        <f t="shared" si="670"/>
        <v>0</v>
      </c>
      <c r="BE294" s="182">
        <f t="shared" ref="BE294:BE325" si="675">BE127*BE$168</f>
        <v>0</v>
      </c>
      <c r="BF294" s="182">
        <f t="shared" si="511"/>
        <v>0</v>
      </c>
      <c r="BG294" s="182">
        <f t="shared" si="516"/>
        <v>0</v>
      </c>
      <c r="BH294" s="182">
        <f t="shared" si="521"/>
        <v>0</v>
      </c>
      <c r="BI294" s="182">
        <f t="shared" si="526"/>
        <v>0</v>
      </c>
      <c r="BJ294" s="182">
        <f t="shared" si="531"/>
        <v>0</v>
      </c>
      <c r="BK294" s="182">
        <f t="shared" si="536"/>
        <v>0</v>
      </c>
      <c r="BL294" s="182">
        <f t="shared" si="541"/>
        <v>0</v>
      </c>
      <c r="BM294" s="182">
        <f t="shared" si="546"/>
        <v>0</v>
      </c>
      <c r="BN294" s="182">
        <f t="shared" si="551"/>
        <v>0</v>
      </c>
      <c r="BO294" s="182">
        <f t="shared" si="556"/>
        <v>0</v>
      </c>
      <c r="BP294" s="182">
        <f t="shared" si="562"/>
        <v>0</v>
      </c>
      <c r="BQ294" s="182">
        <f t="shared" si="568"/>
        <v>0</v>
      </c>
      <c r="BR294" s="182">
        <f t="shared" si="574"/>
        <v>0</v>
      </c>
      <c r="BS294" s="182">
        <f t="shared" si="580"/>
        <v>0</v>
      </c>
      <c r="BT294" s="182">
        <f t="shared" si="586"/>
        <v>0</v>
      </c>
      <c r="BU294" s="182">
        <f t="shared" si="592"/>
        <v>0</v>
      </c>
      <c r="BV294" s="182">
        <f t="shared" si="598"/>
        <v>0</v>
      </c>
      <c r="BW294" s="182">
        <f t="shared" si="604"/>
        <v>0</v>
      </c>
      <c r="BX294" s="182">
        <f t="shared" si="610"/>
        <v>0</v>
      </c>
      <c r="BY294" s="182">
        <f t="shared" si="616"/>
        <v>0</v>
      </c>
      <c r="BZ294" s="182">
        <f t="shared" si="621"/>
        <v>0</v>
      </c>
      <c r="CA294" s="182">
        <f t="shared" si="626"/>
        <v>0</v>
      </c>
      <c r="CB294" s="182">
        <f t="shared" si="631"/>
        <v>0</v>
      </c>
      <c r="CC294" s="182">
        <f t="shared" si="636"/>
        <v>0</v>
      </c>
      <c r="CD294" s="182">
        <f t="shared" si="641"/>
        <v>0</v>
      </c>
      <c r="CE294" s="182">
        <f t="shared" si="646"/>
        <v>0</v>
      </c>
      <c r="CF294" s="182">
        <f t="shared" si="651"/>
        <v>0</v>
      </c>
      <c r="CG294" s="182">
        <f t="shared" si="656"/>
        <v>0</v>
      </c>
      <c r="CH294" s="182">
        <f t="shared" si="661"/>
        <v>0</v>
      </c>
      <c r="CI294" s="182">
        <f t="shared" si="666"/>
        <v>0</v>
      </c>
      <c r="CJ294" s="182">
        <f t="shared" si="671"/>
        <v>0</v>
      </c>
      <c r="CK294" s="182">
        <f t="shared" ref="CK294:CK325" si="676">CK127*CK$168</f>
        <v>0</v>
      </c>
      <c r="CL294" s="182">
        <f t="shared" si="512"/>
        <v>0</v>
      </c>
      <c r="CM294" s="182">
        <f t="shared" si="517"/>
        <v>0</v>
      </c>
      <c r="CN294" s="182">
        <f t="shared" si="522"/>
        <v>0</v>
      </c>
      <c r="CO294" s="182">
        <f t="shared" si="527"/>
        <v>0</v>
      </c>
      <c r="CP294" s="182">
        <f t="shared" si="532"/>
        <v>0</v>
      </c>
      <c r="CQ294" s="182">
        <f t="shared" si="537"/>
        <v>0</v>
      </c>
      <c r="CR294" s="182">
        <f t="shared" si="542"/>
        <v>0</v>
      </c>
      <c r="CS294" s="182">
        <f t="shared" si="547"/>
        <v>0</v>
      </c>
      <c r="CT294" s="182">
        <f t="shared" si="552"/>
        <v>0</v>
      </c>
      <c r="CU294" s="182">
        <f t="shared" si="557"/>
        <v>43752.083798219363</v>
      </c>
      <c r="CV294" s="182">
        <f t="shared" si="563"/>
        <v>0</v>
      </c>
      <c r="CW294" s="182">
        <f t="shared" si="569"/>
        <v>0</v>
      </c>
      <c r="CX294" s="182">
        <f t="shared" si="575"/>
        <v>0</v>
      </c>
      <c r="CY294" s="182">
        <f t="shared" si="581"/>
        <v>0</v>
      </c>
      <c r="CZ294" s="182">
        <f t="shared" si="587"/>
        <v>0</v>
      </c>
      <c r="DA294" s="182">
        <f t="shared" si="593"/>
        <v>0</v>
      </c>
      <c r="DB294" s="182">
        <f t="shared" si="599"/>
        <v>0</v>
      </c>
      <c r="DC294" s="182">
        <f t="shared" si="605"/>
        <v>0</v>
      </c>
      <c r="DD294" s="182">
        <f t="shared" si="611"/>
        <v>0</v>
      </c>
      <c r="DE294" s="182">
        <f t="shared" si="617"/>
        <v>0</v>
      </c>
      <c r="DF294" s="182">
        <f t="shared" si="622"/>
        <v>0</v>
      </c>
      <c r="DG294" s="182">
        <f t="shared" si="627"/>
        <v>0</v>
      </c>
      <c r="DH294" s="182">
        <f t="shared" si="632"/>
        <v>0</v>
      </c>
      <c r="DI294" s="182">
        <f t="shared" si="637"/>
        <v>0</v>
      </c>
      <c r="DJ294" s="182">
        <f t="shared" si="642"/>
        <v>0</v>
      </c>
      <c r="DK294" s="182">
        <f t="shared" si="647"/>
        <v>7.2320305453399625E-2</v>
      </c>
      <c r="DL294" s="182">
        <f t="shared" si="652"/>
        <v>0</v>
      </c>
      <c r="DM294" s="182">
        <f t="shared" si="657"/>
        <v>0</v>
      </c>
      <c r="DN294" s="182">
        <f t="shared" si="662"/>
        <v>2.4294552643377786E-2</v>
      </c>
      <c r="DO294" s="182">
        <f t="shared" si="667"/>
        <v>0</v>
      </c>
      <c r="DP294" s="182">
        <f t="shared" si="672"/>
        <v>0</v>
      </c>
      <c r="DQ294" s="182">
        <f t="shared" ref="DQ294:DQ330" si="677">DQ127*DQ$168</f>
        <v>4.5313076504635551E-5</v>
      </c>
      <c r="DR294" s="181">
        <f>$C294+SUM($D294:DQ294,DS294:$FB294)-SUM(DR$176:DR293,DR295:DR$330)-DR$331</f>
        <v>-2.9103830456733704E-11</v>
      </c>
      <c r="DS294" s="176">
        <f t="shared" ref="DS294:FB294" si="678">DS127*DS$168</f>
        <v>0</v>
      </c>
      <c r="DT294" s="176">
        <f t="shared" si="678"/>
        <v>0</v>
      </c>
      <c r="DU294" s="176">
        <f t="shared" si="678"/>
        <v>0</v>
      </c>
      <c r="DV294" s="176">
        <f t="shared" si="678"/>
        <v>200272.78719101695</v>
      </c>
      <c r="DW294" s="176">
        <f t="shared" si="678"/>
        <v>0</v>
      </c>
      <c r="DX294" s="176">
        <f t="shared" si="678"/>
        <v>0</v>
      </c>
      <c r="DY294" s="176">
        <f t="shared" si="678"/>
        <v>0</v>
      </c>
      <c r="DZ294" s="176">
        <f t="shared" si="678"/>
        <v>0</v>
      </c>
      <c r="EA294" s="176">
        <f t="shared" si="678"/>
        <v>0</v>
      </c>
      <c r="EB294" s="176">
        <f t="shared" si="678"/>
        <v>0</v>
      </c>
      <c r="EC294" s="176">
        <f t="shared" si="678"/>
        <v>0</v>
      </c>
      <c r="ED294" s="176">
        <f t="shared" si="678"/>
        <v>2.741020983032931E-2</v>
      </c>
      <c r="EE294" s="176">
        <f t="shared" si="678"/>
        <v>0</v>
      </c>
      <c r="EF294" s="182">
        <f t="shared" si="678"/>
        <v>0</v>
      </c>
      <c r="EG294" s="182">
        <f t="shared" si="678"/>
        <v>0</v>
      </c>
      <c r="EH294" s="182">
        <f t="shared" si="678"/>
        <v>0</v>
      </c>
      <c r="EI294" s="182">
        <f t="shared" si="678"/>
        <v>0</v>
      </c>
      <c r="EJ294" s="182">
        <f t="shared" si="678"/>
        <v>0</v>
      </c>
      <c r="EK294" s="182">
        <f t="shared" si="678"/>
        <v>0</v>
      </c>
      <c r="EL294" s="182">
        <f t="shared" si="678"/>
        <v>0</v>
      </c>
      <c r="EM294" s="182">
        <f t="shared" si="678"/>
        <v>0</v>
      </c>
      <c r="EN294" s="182">
        <f t="shared" si="678"/>
        <v>0</v>
      </c>
      <c r="EO294" s="182">
        <f t="shared" si="678"/>
        <v>0</v>
      </c>
      <c r="EP294" s="182">
        <f t="shared" si="678"/>
        <v>0</v>
      </c>
      <c r="EQ294" s="182">
        <f t="shared" si="678"/>
        <v>0</v>
      </c>
      <c r="ER294" s="182">
        <f t="shared" si="678"/>
        <v>0</v>
      </c>
      <c r="ES294" s="182">
        <f t="shared" si="678"/>
        <v>0</v>
      </c>
      <c r="ET294" s="182">
        <f t="shared" si="678"/>
        <v>0</v>
      </c>
      <c r="EU294" s="182">
        <f t="shared" si="678"/>
        <v>0</v>
      </c>
      <c r="EV294" s="182">
        <f t="shared" si="678"/>
        <v>0</v>
      </c>
      <c r="EW294" s="182">
        <f t="shared" si="678"/>
        <v>0</v>
      </c>
      <c r="EX294" s="182">
        <f t="shared" si="678"/>
        <v>0</v>
      </c>
      <c r="EY294" s="182">
        <f t="shared" si="678"/>
        <v>0</v>
      </c>
      <c r="EZ294" s="182">
        <f t="shared" si="678"/>
        <v>0</v>
      </c>
      <c r="FA294" s="182">
        <f t="shared" si="678"/>
        <v>0</v>
      </c>
      <c r="FB294" s="183">
        <f t="shared" si="678"/>
        <v>0</v>
      </c>
    </row>
    <row r="295" spans="2:158" ht="12.75" customHeight="1" x14ac:dyDescent="0.3">
      <c r="B295" s="199" t="s">
        <v>3938</v>
      </c>
      <c r="C295" s="193">
        <v>0</v>
      </c>
      <c r="D295" s="182">
        <f t="shared" si="560"/>
        <v>0</v>
      </c>
      <c r="E295" s="182">
        <f t="shared" si="566"/>
        <v>0</v>
      </c>
      <c r="F295" s="182">
        <f t="shared" si="572"/>
        <v>0</v>
      </c>
      <c r="G295" s="182">
        <f t="shared" si="578"/>
        <v>0</v>
      </c>
      <c r="H295" s="182">
        <f t="shared" si="584"/>
        <v>0</v>
      </c>
      <c r="I295" s="176">
        <f t="shared" si="590"/>
        <v>0</v>
      </c>
      <c r="J295" s="182">
        <f t="shared" si="596"/>
        <v>0</v>
      </c>
      <c r="K295" s="182">
        <f t="shared" si="602"/>
        <v>0</v>
      </c>
      <c r="L295" s="182">
        <f t="shared" si="608"/>
        <v>0</v>
      </c>
      <c r="M295" s="182">
        <f t="shared" si="614"/>
        <v>0</v>
      </c>
      <c r="N295" s="182">
        <f t="shared" si="619"/>
        <v>0</v>
      </c>
      <c r="O295" s="182">
        <f t="shared" si="624"/>
        <v>0</v>
      </c>
      <c r="P295" s="182">
        <f t="shared" si="629"/>
        <v>0</v>
      </c>
      <c r="Q295" s="182">
        <f t="shared" si="634"/>
        <v>0</v>
      </c>
      <c r="R295" s="182">
        <f t="shared" si="639"/>
        <v>0</v>
      </c>
      <c r="S295" s="182">
        <f t="shared" si="644"/>
        <v>0</v>
      </c>
      <c r="T295" s="182">
        <f t="shared" si="649"/>
        <v>0</v>
      </c>
      <c r="U295" s="182">
        <f t="shared" si="654"/>
        <v>0</v>
      </c>
      <c r="V295" s="182">
        <f t="shared" si="659"/>
        <v>0</v>
      </c>
      <c r="W295" s="182">
        <f t="shared" si="664"/>
        <v>0</v>
      </c>
      <c r="X295" s="182">
        <f t="shared" si="669"/>
        <v>0</v>
      </c>
      <c r="Y295" s="182">
        <f t="shared" si="674"/>
        <v>0</v>
      </c>
      <c r="Z295" s="182">
        <f t="shared" ref="Z295:Z326" si="679">Z128*Z$168</f>
        <v>0</v>
      </c>
      <c r="AA295" s="182">
        <f t="shared" si="515"/>
        <v>0</v>
      </c>
      <c r="AB295" s="182">
        <f t="shared" si="520"/>
        <v>0</v>
      </c>
      <c r="AC295" s="182">
        <f t="shared" si="525"/>
        <v>0</v>
      </c>
      <c r="AD295" s="182">
        <f t="shared" si="530"/>
        <v>0</v>
      </c>
      <c r="AE295" s="182">
        <f t="shared" si="535"/>
        <v>0</v>
      </c>
      <c r="AF295" s="182">
        <f t="shared" si="540"/>
        <v>0</v>
      </c>
      <c r="AG295" s="182">
        <f t="shared" si="545"/>
        <v>0</v>
      </c>
      <c r="AH295" s="182">
        <f t="shared" si="550"/>
        <v>0</v>
      </c>
      <c r="AI295" s="182">
        <f t="shared" si="555"/>
        <v>0</v>
      </c>
      <c r="AJ295" s="182">
        <f t="shared" si="561"/>
        <v>0</v>
      </c>
      <c r="AK295" s="182">
        <f t="shared" si="567"/>
        <v>0</v>
      </c>
      <c r="AL295" s="182">
        <f t="shared" si="573"/>
        <v>0</v>
      </c>
      <c r="AM295" s="182">
        <f t="shared" si="579"/>
        <v>0</v>
      </c>
      <c r="AN295" s="182">
        <f t="shared" si="585"/>
        <v>0</v>
      </c>
      <c r="AO295" s="182">
        <f t="shared" si="591"/>
        <v>0</v>
      </c>
      <c r="AP295" s="182">
        <f t="shared" si="597"/>
        <v>0</v>
      </c>
      <c r="AQ295" s="182">
        <f t="shared" si="603"/>
        <v>0</v>
      </c>
      <c r="AR295" s="182">
        <f t="shared" si="609"/>
        <v>0</v>
      </c>
      <c r="AS295" s="182">
        <f t="shared" si="615"/>
        <v>0</v>
      </c>
      <c r="AT295" s="182">
        <f t="shared" si="620"/>
        <v>0</v>
      </c>
      <c r="AU295" s="182">
        <f t="shared" si="625"/>
        <v>0</v>
      </c>
      <c r="AV295" s="182">
        <f t="shared" si="630"/>
        <v>0</v>
      </c>
      <c r="AW295" s="182">
        <f t="shared" si="635"/>
        <v>0</v>
      </c>
      <c r="AX295" s="182">
        <f t="shared" si="640"/>
        <v>0</v>
      </c>
      <c r="AY295" s="182">
        <f t="shared" si="645"/>
        <v>0</v>
      </c>
      <c r="AZ295" s="182">
        <f t="shared" si="650"/>
        <v>0</v>
      </c>
      <c r="BA295" s="182">
        <f t="shared" si="655"/>
        <v>0</v>
      </c>
      <c r="BB295" s="182">
        <f t="shared" si="660"/>
        <v>0</v>
      </c>
      <c r="BC295" s="182">
        <f t="shared" si="665"/>
        <v>0</v>
      </c>
      <c r="BD295" s="182">
        <f t="shared" si="670"/>
        <v>0</v>
      </c>
      <c r="BE295" s="182">
        <f t="shared" si="675"/>
        <v>0</v>
      </c>
      <c r="BF295" s="182">
        <f t="shared" ref="BF295:BF326" si="680">BF128*BF$168</f>
        <v>0</v>
      </c>
      <c r="BG295" s="182">
        <f t="shared" si="516"/>
        <v>0</v>
      </c>
      <c r="BH295" s="182">
        <f t="shared" si="521"/>
        <v>0</v>
      </c>
      <c r="BI295" s="182">
        <f t="shared" si="526"/>
        <v>0</v>
      </c>
      <c r="BJ295" s="182">
        <f t="shared" si="531"/>
        <v>0</v>
      </c>
      <c r="BK295" s="182">
        <f t="shared" si="536"/>
        <v>0</v>
      </c>
      <c r="BL295" s="182">
        <f t="shared" si="541"/>
        <v>0</v>
      </c>
      <c r="BM295" s="182">
        <f t="shared" si="546"/>
        <v>0</v>
      </c>
      <c r="BN295" s="182">
        <f t="shared" si="551"/>
        <v>0</v>
      </c>
      <c r="BO295" s="182">
        <f t="shared" si="556"/>
        <v>0</v>
      </c>
      <c r="BP295" s="182">
        <f t="shared" si="562"/>
        <v>0</v>
      </c>
      <c r="BQ295" s="182">
        <f t="shared" si="568"/>
        <v>0</v>
      </c>
      <c r="BR295" s="182">
        <f t="shared" si="574"/>
        <v>0</v>
      </c>
      <c r="BS295" s="182">
        <f t="shared" si="580"/>
        <v>0</v>
      </c>
      <c r="BT295" s="182">
        <f t="shared" si="586"/>
        <v>0</v>
      </c>
      <c r="BU295" s="182">
        <f t="shared" si="592"/>
        <v>0</v>
      </c>
      <c r="BV295" s="182">
        <f t="shared" si="598"/>
        <v>0</v>
      </c>
      <c r="BW295" s="182">
        <f t="shared" si="604"/>
        <v>0</v>
      </c>
      <c r="BX295" s="182">
        <f t="shared" si="610"/>
        <v>0</v>
      </c>
      <c r="BY295" s="182">
        <f t="shared" si="616"/>
        <v>0</v>
      </c>
      <c r="BZ295" s="182">
        <f t="shared" si="621"/>
        <v>0</v>
      </c>
      <c r="CA295" s="182">
        <f t="shared" si="626"/>
        <v>0</v>
      </c>
      <c r="CB295" s="182">
        <f t="shared" si="631"/>
        <v>0</v>
      </c>
      <c r="CC295" s="182">
        <f t="shared" si="636"/>
        <v>0</v>
      </c>
      <c r="CD295" s="182">
        <f t="shared" si="641"/>
        <v>0</v>
      </c>
      <c r="CE295" s="182">
        <f t="shared" si="646"/>
        <v>0</v>
      </c>
      <c r="CF295" s="182">
        <f t="shared" si="651"/>
        <v>0</v>
      </c>
      <c r="CG295" s="182">
        <f t="shared" si="656"/>
        <v>0</v>
      </c>
      <c r="CH295" s="182">
        <f t="shared" si="661"/>
        <v>0</v>
      </c>
      <c r="CI295" s="182">
        <f t="shared" si="666"/>
        <v>0</v>
      </c>
      <c r="CJ295" s="182">
        <f t="shared" si="671"/>
        <v>0</v>
      </c>
      <c r="CK295" s="182">
        <f t="shared" si="676"/>
        <v>0</v>
      </c>
      <c r="CL295" s="182">
        <f t="shared" ref="CL295:CL326" si="681">CL128*CL$168</f>
        <v>0</v>
      </c>
      <c r="CM295" s="182">
        <f t="shared" si="517"/>
        <v>0</v>
      </c>
      <c r="CN295" s="182">
        <f t="shared" si="522"/>
        <v>0</v>
      </c>
      <c r="CO295" s="182">
        <f t="shared" si="527"/>
        <v>0</v>
      </c>
      <c r="CP295" s="182">
        <f t="shared" si="532"/>
        <v>0</v>
      </c>
      <c r="CQ295" s="182">
        <f t="shared" si="537"/>
        <v>0</v>
      </c>
      <c r="CR295" s="182">
        <f t="shared" si="542"/>
        <v>0</v>
      </c>
      <c r="CS295" s="182">
        <f t="shared" si="547"/>
        <v>0</v>
      </c>
      <c r="CT295" s="182">
        <f t="shared" si="552"/>
        <v>0</v>
      </c>
      <c r="CU295" s="182">
        <f t="shared" si="557"/>
        <v>0</v>
      </c>
      <c r="CV295" s="182">
        <f t="shared" si="563"/>
        <v>0.54392543940449312</v>
      </c>
      <c r="CW295" s="182">
        <f t="shared" si="569"/>
        <v>0</v>
      </c>
      <c r="CX295" s="182">
        <f t="shared" si="575"/>
        <v>0</v>
      </c>
      <c r="CY295" s="182">
        <f t="shared" si="581"/>
        <v>0</v>
      </c>
      <c r="CZ295" s="182">
        <f t="shared" si="587"/>
        <v>0</v>
      </c>
      <c r="DA295" s="182">
        <f t="shared" si="593"/>
        <v>0</v>
      </c>
      <c r="DB295" s="182">
        <f t="shared" si="599"/>
        <v>0</v>
      </c>
      <c r="DC295" s="182">
        <f t="shared" si="605"/>
        <v>0</v>
      </c>
      <c r="DD295" s="182">
        <f t="shared" si="611"/>
        <v>0</v>
      </c>
      <c r="DE295" s="182">
        <f t="shared" si="617"/>
        <v>0</v>
      </c>
      <c r="DF295" s="182">
        <f t="shared" si="622"/>
        <v>0</v>
      </c>
      <c r="DG295" s="182">
        <f t="shared" si="627"/>
        <v>0</v>
      </c>
      <c r="DH295" s="182">
        <f t="shared" si="632"/>
        <v>0</v>
      </c>
      <c r="DI295" s="182">
        <f t="shared" si="637"/>
        <v>0</v>
      </c>
      <c r="DJ295" s="182">
        <f t="shared" si="642"/>
        <v>0</v>
      </c>
      <c r="DK295" s="182">
        <f t="shared" si="647"/>
        <v>0</v>
      </c>
      <c r="DL295" s="182">
        <f t="shared" si="652"/>
        <v>2.4415091652577479E-8</v>
      </c>
      <c r="DM295" s="182">
        <f t="shared" si="657"/>
        <v>0</v>
      </c>
      <c r="DN295" s="182">
        <f t="shared" si="662"/>
        <v>0</v>
      </c>
      <c r="DO295" s="182">
        <f t="shared" si="667"/>
        <v>6.4516437109044651E-7</v>
      </c>
      <c r="DP295" s="182">
        <f t="shared" si="672"/>
        <v>0</v>
      </c>
      <c r="DQ295" s="182">
        <f t="shared" si="677"/>
        <v>5.2959958684574478E-7</v>
      </c>
      <c r="DR295" s="182">
        <f t="shared" ref="DR295:DR330" si="682">DR128*DR$168</f>
        <v>0</v>
      </c>
      <c r="DS295" s="181">
        <f>$C295+SUM($D295:DR295,DT295:$FB295)-SUM(DS$176:DS294,DS296:DS$330)-DS$331</f>
        <v>-8.8817841970012523E-16</v>
      </c>
      <c r="DT295" s="176">
        <f t="shared" ref="DT295:FB295" si="683">DT128*DT$168</f>
        <v>0</v>
      </c>
      <c r="DU295" s="176">
        <f t="shared" si="683"/>
        <v>0</v>
      </c>
      <c r="DV295" s="176">
        <f t="shared" si="683"/>
        <v>0</v>
      </c>
      <c r="DW295" s="176">
        <f t="shared" si="683"/>
        <v>2.4870894259400238</v>
      </c>
      <c r="DX295" s="176">
        <f t="shared" si="683"/>
        <v>0</v>
      </c>
      <c r="DY295" s="176">
        <f t="shared" si="683"/>
        <v>0</v>
      </c>
      <c r="DZ295" s="176">
        <f t="shared" si="683"/>
        <v>0</v>
      </c>
      <c r="EA295" s="176">
        <f t="shared" si="683"/>
        <v>0</v>
      </c>
      <c r="EB295" s="176">
        <f t="shared" si="683"/>
        <v>0</v>
      </c>
      <c r="EC295" s="176">
        <f t="shared" si="683"/>
        <v>0</v>
      </c>
      <c r="ED295" s="176">
        <f t="shared" si="683"/>
        <v>0</v>
      </c>
      <c r="EE295" s="176">
        <f t="shared" si="683"/>
        <v>4.9678625076645913E-6</v>
      </c>
      <c r="EF295" s="182">
        <f t="shared" si="683"/>
        <v>0</v>
      </c>
      <c r="EG295" s="182">
        <f t="shared" si="683"/>
        <v>0</v>
      </c>
      <c r="EH295" s="182">
        <f t="shared" si="683"/>
        <v>0</v>
      </c>
      <c r="EI295" s="182">
        <f t="shared" si="683"/>
        <v>0</v>
      </c>
      <c r="EJ295" s="182">
        <f t="shared" si="683"/>
        <v>0</v>
      </c>
      <c r="EK295" s="182">
        <f t="shared" si="683"/>
        <v>0</v>
      </c>
      <c r="EL295" s="182">
        <f t="shared" si="683"/>
        <v>0</v>
      </c>
      <c r="EM295" s="182">
        <f t="shared" si="683"/>
        <v>0</v>
      </c>
      <c r="EN295" s="182">
        <f t="shared" si="683"/>
        <v>0</v>
      </c>
      <c r="EO295" s="182">
        <f t="shared" si="683"/>
        <v>0</v>
      </c>
      <c r="EP295" s="182">
        <f t="shared" si="683"/>
        <v>0</v>
      </c>
      <c r="EQ295" s="182">
        <f t="shared" si="683"/>
        <v>0</v>
      </c>
      <c r="ER295" s="182">
        <f t="shared" si="683"/>
        <v>0</v>
      </c>
      <c r="ES295" s="182">
        <f t="shared" si="683"/>
        <v>0</v>
      </c>
      <c r="ET295" s="182">
        <f t="shared" si="683"/>
        <v>0</v>
      </c>
      <c r="EU295" s="182">
        <f t="shared" si="683"/>
        <v>0</v>
      </c>
      <c r="EV295" s="182">
        <f t="shared" si="683"/>
        <v>0</v>
      </c>
      <c r="EW295" s="182">
        <f t="shared" si="683"/>
        <v>0</v>
      </c>
      <c r="EX295" s="182">
        <f t="shared" si="683"/>
        <v>0</v>
      </c>
      <c r="EY295" s="182">
        <f t="shared" si="683"/>
        <v>0</v>
      </c>
      <c r="EZ295" s="182">
        <f t="shared" si="683"/>
        <v>0</v>
      </c>
      <c r="FA295" s="182">
        <f t="shared" si="683"/>
        <v>0</v>
      </c>
      <c r="FB295" s="183">
        <f t="shared" si="683"/>
        <v>0</v>
      </c>
    </row>
    <row r="296" spans="2:158" ht="12.75" customHeight="1" x14ac:dyDescent="0.3">
      <c r="B296" s="199" t="s">
        <v>3939</v>
      </c>
      <c r="C296" s="193">
        <v>0</v>
      </c>
      <c r="D296" s="182">
        <f t="shared" si="560"/>
        <v>0</v>
      </c>
      <c r="E296" s="182">
        <f t="shared" si="566"/>
        <v>0</v>
      </c>
      <c r="F296" s="182">
        <f t="shared" si="572"/>
        <v>0</v>
      </c>
      <c r="G296" s="182">
        <f t="shared" si="578"/>
        <v>0</v>
      </c>
      <c r="H296" s="182">
        <f t="shared" si="584"/>
        <v>0</v>
      </c>
      <c r="I296" s="176">
        <f t="shared" si="590"/>
        <v>0</v>
      </c>
      <c r="J296" s="182">
        <f t="shared" si="596"/>
        <v>0</v>
      </c>
      <c r="K296" s="182">
        <f t="shared" si="602"/>
        <v>0</v>
      </c>
      <c r="L296" s="182">
        <f t="shared" si="608"/>
        <v>0</v>
      </c>
      <c r="M296" s="182">
        <f t="shared" si="614"/>
        <v>0</v>
      </c>
      <c r="N296" s="182">
        <f t="shared" si="619"/>
        <v>0</v>
      </c>
      <c r="O296" s="182">
        <f t="shared" si="624"/>
        <v>0</v>
      </c>
      <c r="P296" s="182">
        <f t="shared" si="629"/>
        <v>0</v>
      </c>
      <c r="Q296" s="182">
        <f t="shared" si="634"/>
        <v>0</v>
      </c>
      <c r="R296" s="182">
        <f t="shared" si="639"/>
        <v>0</v>
      </c>
      <c r="S296" s="182">
        <f t="shared" si="644"/>
        <v>0</v>
      </c>
      <c r="T296" s="182">
        <f t="shared" si="649"/>
        <v>0</v>
      </c>
      <c r="U296" s="182">
        <f t="shared" si="654"/>
        <v>0</v>
      </c>
      <c r="V296" s="182">
        <f t="shared" si="659"/>
        <v>0</v>
      </c>
      <c r="W296" s="182">
        <f t="shared" si="664"/>
        <v>0</v>
      </c>
      <c r="X296" s="182">
        <f t="shared" si="669"/>
        <v>0</v>
      </c>
      <c r="Y296" s="182">
        <f t="shared" si="674"/>
        <v>0</v>
      </c>
      <c r="Z296" s="182">
        <f t="shared" si="679"/>
        <v>0</v>
      </c>
      <c r="AA296" s="182">
        <f t="shared" ref="AA296:AA327" si="684">AA129*AA$168</f>
        <v>0</v>
      </c>
      <c r="AB296" s="182">
        <f t="shared" si="520"/>
        <v>0</v>
      </c>
      <c r="AC296" s="182">
        <f t="shared" si="525"/>
        <v>0</v>
      </c>
      <c r="AD296" s="182">
        <f t="shared" si="530"/>
        <v>0</v>
      </c>
      <c r="AE296" s="182">
        <f t="shared" si="535"/>
        <v>0</v>
      </c>
      <c r="AF296" s="182">
        <f t="shared" si="540"/>
        <v>0</v>
      </c>
      <c r="AG296" s="182">
        <f t="shared" si="545"/>
        <v>0</v>
      </c>
      <c r="AH296" s="182">
        <f t="shared" si="550"/>
        <v>0</v>
      </c>
      <c r="AI296" s="182">
        <f t="shared" si="555"/>
        <v>0</v>
      </c>
      <c r="AJ296" s="182">
        <f t="shared" si="561"/>
        <v>0</v>
      </c>
      <c r="AK296" s="182">
        <f t="shared" si="567"/>
        <v>0</v>
      </c>
      <c r="AL296" s="182">
        <f t="shared" si="573"/>
        <v>0</v>
      </c>
      <c r="AM296" s="182">
        <f t="shared" si="579"/>
        <v>0</v>
      </c>
      <c r="AN296" s="182">
        <f t="shared" si="585"/>
        <v>0</v>
      </c>
      <c r="AO296" s="182">
        <f t="shared" si="591"/>
        <v>0</v>
      </c>
      <c r="AP296" s="182">
        <f t="shared" si="597"/>
        <v>0</v>
      </c>
      <c r="AQ296" s="182">
        <f t="shared" si="603"/>
        <v>0</v>
      </c>
      <c r="AR296" s="182">
        <f t="shared" si="609"/>
        <v>0</v>
      </c>
      <c r="AS296" s="182">
        <f t="shared" si="615"/>
        <v>0</v>
      </c>
      <c r="AT296" s="182">
        <f t="shared" si="620"/>
        <v>0</v>
      </c>
      <c r="AU296" s="182">
        <f t="shared" si="625"/>
        <v>0</v>
      </c>
      <c r="AV296" s="182">
        <f t="shared" si="630"/>
        <v>0</v>
      </c>
      <c r="AW296" s="182">
        <f t="shared" si="635"/>
        <v>0</v>
      </c>
      <c r="AX296" s="182">
        <f t="shared" si="640"/>
        <v>0</v>
      </c>
      <c r="AY296" s="182">
        <f t="shared" si="645"/>
        <v>0</v>
      </c>
      <c r="AZ296" s="182">
        <f t="shared" si="650"/>
        <v>0</v>
      </c>
      <c r="BA296" s="182">
        <f t="shared" si="655"/>
        <v>0</v>
      </c>
      <c r="BB296" s="182">
        <f t="shared" si="660"/>
        <v>0</v>
      </c>
      <c r="BC296" s="182">
        <f t="shared" si="665"/>
        <v>0</v>
      </c>
      <c r="BD296" s="182">
        <f t="shared" si="670"/>
        <v>0</v>
      </c>
      <c r="BE296" s="182">
        <f t="shared" si="675"/>
        <v>0</v>
      </c>
      <c r="BF296" s="182">
        <f t="shared" si="680"/>
        <v>0</v>
      </c>
      <c r="BG296" s="182">
        <f t="shared" ref="BG296:BG327" si="685">BG129*BG$168</f>
        <v>0</v>
      </c>
      <c r="BH296" s="182">
        <f t="shared" si="521"/>
        <v>0</v>
      </c>
      <c r="BI296" s="182">
        <f t="shared" si="526"/>
        <v>0</v>
      </c>
      <c r="BJ296" s="182">
        <f t="shared" si="531"/>
        <v>0</v>
      </c>
      <c r="BK296" s="182">
        <f t="shared" si="536"/>
        <v>0</v>
      </c>
      <c r="BL296" s="182">
        <f t="shared" si="541"/>
        <v>0</v>
      </c>
      <c r="BM296" s="182">
        <f t="shared" si="546"/>
        <v>0</v>
      </c>
      <c r="BN296" s="182">
        <f t="shared" si="551"/>
        <v>0</v>
      </c>
      <c r="BO296" s="182">
        <f t="shared" si="556"/>
        <v>0</v>
      </c>
      <c r="BP296" s="182">
        <f t="shared" si="562"/>
        <v>0</v>
      </c>
      <c r="BQ296" s="182">
        <f t="shared" si="568"/>
        <v>0</v>
      </c>
      <c r="BR296" s="182">
        <f t="shared" si="574"/>
        <v>0</v>
      </c>
      <c r="BS296" s="182">
        <f t="shared" si="580"/>
        <v>0</v>
      </c>
      <c r="BT296" s="182">
        <f t="shared" si="586"/>
        <v>0</v>
      </c>
      <c r="BU296" s="182">
        <f t="shared" si="592"/>
        <v>0</v>
      </c>
      <c r="BV296" s="182">
        <f t="shared" si="598"/>
        <v>0</v>
      </c>
      <c r="BW296" s="182">
        <f t="shared" si="604"/>
        <v>0</v>
      </c>
      <c r="BX296" s="182">
        <f t="shared" si="610"/>
        <v>0</v>
      </c>
      <c r="BY296" s="182">
        <f t="shared" si="616"/>
        <v>0</v>
      </c>
      <c r="BZ296" s="182">
        <f t="shared" si="621"/>
        <v>0</v>
      </c>
      <c r="CA296" s="182">
        <f t="shared" si="626"/>
        <v>0</v>
      </c>
      <c r="CB296" s="182">
        <f t="shared" si="631"/>
        <v>0</v>
      </c>
      <c r="CC296" s="182">
        <f t="shared" si="636"/>
        <v>0</v>
      </c>
      <c r="CD296" s="182">
        <f t="shared" si="641"/>
        <v>0</v>
      </c>
      <c r="CE296" s="182">
        <f t="shared" si="646"/>
        <v>0</v>
      </c>
      <c r="CF296" s="182">
        <f t="shared" si="651"/>
        <v>0</v>
      </c>
      <c r="CG296" s="182">
        <f t="shared" si="656"/>
        <v>0</v>
      </c>
      <c r="CH296" s="182">
        <f t="shared" si="661"/>
        <v>0</v>
      </c>
      <c r="CI296" s="182">
        <f t="shared" si="666"/>
        <v>0</v>
      </c>
      <c r="CJ296" s="182">
        <f t="shared" si="671"/>
        <v>0</v>
      </c>
      <c r="CK296" s="182">
        <f t="shared" si="676"/>
        <v>0</v>
      </c>
      <c r="CL296" s="182">
        <f t="shared" si="681"/>
        <v>0</v>
      </c>
      <c r="CM296" s="182">
        <f t="shared" ref="CM296:CM327" si="686">CM129*CM$168</f>
        <v>0</v>
      </c>
      <c r="CN296" s="182">
        <f t="shared" si="522"/>
        <v>0</v>
      </c>
      <c r="CO296" s="182">
        <f t="shared" si="527"/>
        <v>0</v>
      </c>
      <c r="CP296" s="182">
        <f t="shared" si="532"/>
        <v>0</v>
      </c>
      <c r="CQ296" s="182">
        <f t="shared" si="537"/>
        <v>0</v>
      </c>
      <c r="CR296" s="182">
        <f t="shared" si="542"/>
        <v>0</v>
      </c>
      <c r="CS296" s="182">
        <f t="shared" si="547"/>
        <v>0</v>
      </c>
      <c r="CT296" s="182">
        <f t="shared" si="552"/>
        <v>0</v>
      </c>
      <c r="CU296" s="182">
        <f t="shared" si="557"/>
        <v>0</v>
      </c>
      <c r="CV296" s="182">
        <f t="shared" si="563"/>
        <v>0</v>
      </c>
      <c r="CW296" s="182">
        <f t="shared" si="569"/>
        <v>0</v>
      </c>
      <c r="CX296" s="182">
        <f t="shared" si="575"/>
        <v>0</v>
      </c>
      <c r="CY296" s="182">
        <f t="shared" si="581"/>
        <v>0</v>
      </c>
      <c r="CZ296" s="182">
        <f t="shared" si="587"/>
        <v>0</v>
      </c>
      <c r="DA296" s="182">
        <f t="shared" si="593"/>
        <v>0</v>
      </c>
      <c r="DB296" s="182">
        <f t="shared" si="599"/>
        <v>0</v>
      </c>
      <c r="DC296" s="182">
        <f t="shared" si="605"/>
        <v>0</v>
      </c>
      <c r="DD296" s="182">
        <f t="shared" si="611"/>
        <v>0</v>
      </c>
      <c r="DE296" s="182">
        <f t="shared" si="617"/>
        <v>0</v>
      </c>
      <c r="DF296" s="182">
        <f t="shared" si="622"/>
        <v>0</v>
      </c>
      <c r="DG296" s="182">
        <f t="shared" si="627"/>
        <v>0</v>
      </c>
      <c r="DH296" s="182">
        <f t="shared" si="632"/>
        <v>0</v>
      </c>
      <c r="DI296" s="182">
        <f t="shared" si="637"/>
        <v>0</v>
      </c>
      <c r="DJ296" s="182">
        <f t="shared" si="642"/>
        <v>0</v>
      </c>
      <c r="DK296" s="182">
        <f t="shared" si="647"/>
        <v>0</v>
      </c>
      <c r="DL296" s="182">
        <f t="shared" si="652"/>
        <v>0</v>
      </c>
      <c r="DM296" s="182">
        <f t="shared" si="657"/>
        <v>0</v>
      </c>
      <c r="DN296" s="182">
        <f t="shared" si="662"/>
        <v>0</v>
      </c>
      <c r="DO296" s="182">
        <f t="shared" si="667"/>
        <v>0</v>
      </c>
      <c r="DP296" s="182">
        <f t="shared" si="672"/>
        <v>0</v>
      </c>
      <c r="DQ296" s="182">
        <f t="shared" si="677"/>
        <v>0</v>
      </c>
      <c r="DR296" s="182">
        <f t="shared" si="682"/>
        <v>0</v>
      </c>
      <c r="DS296" s="182">
        <f t="shared" ref="DS296:DS330" si="687">DS129*DS$168</f>
        <v>0</v>
      </c>
      <c r="DT296" s="181">
        <f>$C296+SUM($D296:DS296,DU296:$FB296)-SUM(DT$176:DT295,DT297:DT$330)-DT$331</f>
        <v>0</v>
      </c>
      <c r="DU296" s="176">
        <f t="shared" ref="DU296:FB296" si="688">DU129*DU$168</f>
        <v>0</v>
      </c>
      <c r="DV296" s="176">
        <f t="shared" si="688"/>
        <v>0</v>
      </c>
      <c r="DW296" s="176">
        <f t="shared" si="688"/>
        <v>0</v>
      </c>
      <c r="DX296" s="176">
        <f t="shared" si="688"/>
        <v>0</v>
      </c>
      <c r="DY296" s="176">
        <f t="shared" si="688"/>
        <v>0</v>
      </c>
      <c r="DZ296" s="176">
        <f t="shared" si="688"/>
        <v>0</v>
      </c>
      <c r="EA296" s="176">
        <f t="shared" si="688"/>
        <v>0</v>
      </c>
      <c r="EB296" s="176">
        <f t="shared" si="688"/>
        <v>0</v>
      </c>
      <c r="EC296" s="176">
        <f t="shared" si="688"/>
        <v>0</v>
      </c>
      <c r="ED296" s="176">
        <f t="shared" si="688"/>
        <v>0</v>
      </c>
      <c r="EE296" s="176">
        <f t="shared" si="688"/>
        <v>0</v>
      </c>
      <c r="EF296" s="182">
        <f t="shared" si="688"/>
        <v>0</v>
      </c>
      <c r="EG296" s="182">
        <f t="shared" si="688"/>
        <v>0</v>
      </c>
      <c r="EH296" s="182">
        <f t="shared" si="688"/>
        <v>0</v>
      </c>
      <c r="EI296" s="182">
        <f t="shared" si="688"/>
        <v>0</v>
      </c>
      <c r="EJ296" s="182">
        <f t="shared" si="688"/>
        <v>0</v>
      </c>
      <c r="EK296" s="182">
        <f t="shared" si="688"/>
        <v>0</v>
      </c>
      <c r="EL296" s="182">
        <f t="shared" si="688"/>
        <v>0</v>
      </c>
      <c r="EM296" s="182">
        <f t="shared" si="688"/>
        <v>0</v>
      </c>
      <c r="EN296" s="182">
        <f t="shared" si="688"/>
        <v>0</v>
      </c>
      <c r="EO296" s="182">
        <f t="shared" si="688"/>
        <v>0</v>
      </c>
      <c r="EP296" s="182">
        <f t="shared" si="688"/>
        <v>0</v>
      </c>
      <c r="EQ296" s="182">
        <f t="shared" si="688"/>
        <v>0</v>
      </c>
      <c r="ER296" s="182">
        <f t="shared" si="688"/>
        <v>0</v>
      </c>
      <c r="ES296" s="182">
        <f t="shared" si="688"/>
        <v>0</v>
      </c>
      <c r="ET296" s="182">
        <f t="shared" si="688"/>
        <v>0</v>
      </c>
      <c r="EU296" s="182">
        <f t="shared" si="688"/>
        <v>0</v>
      </c>
      <c r="EV296" s="182">
        <f t="shared" si="688"/>
        <v>0</v>
      </c>
      <c r="EW296" s="182">
        <f t="shared" si="688"/>
        <v>0</v>
      </c>
      <c r="EX296" s="182">
        <f t="shared" si="688"/>
        <v>0</v>
      </c>
      <c r="EY296" s="182">
        <f t="shared" si="688"/>
        <v>0</v>
      </c>
      <c r="EZ296" s="182">
        <f t="shared" si="688"/>
        <v>0</v>
      </c>
      <c r="FA296" s="182">
        <f t="shared" si="688"/>
        <v>0</v>
      </c>
      <c r="FB296" s="183">
        <f t="shared" si="688"/>
        <v>0</v>
      </c>
    </row>
    <row r="297" spans="2:158" ht="12.75" customHeight="1" x14ac:dyDescent="0.3">
      <c r="B297" s="199" t="s">
        <v>3940</v>
      </c>
      <c r="C297" s="193">
        <v>0</v>
      </c>
      <c r="D297" s="182">
        <f t="shared" si="560"/>
        <v>0</v>
      </c>
      <c r="E297" s="182">
        <f t="shared" si="566"/>
        <v>0</v>
      </c>
      <c r="F297" s="182">
        <f t="shared" si="572"/>
        <v>0</v>
      </c>
      <c r="G297" s="182">
        <f t="shared" si="578"/>
        <v>0</v>
      </c>
      <c r="H297" s="182">
        <f t="shared" si="584"/>
        <v>0</v>
      </c>
      <c r="I297" s="176">
        <f t="shared" si="590"/>
        <v>0</v>
      </c>
      <c r="J297" s="182">
        <f t="shared" si="596"/>
        <v>0</v>
      </c>
      <c r="K297" s="182">
        <f t="shared" si="602"/>
        <v>0</v>
      </c>
      <c r="L297" s="182">
        <f t="shared" si="608"/>
        <v>0</v>
      </c>
      <c r="M297" s="182">
        <f t="shared" si="614"/>
        <v>0</v>
      </c>
      <c r="N297" s="182">
        <f t="shared" si="619"/>
        <v>0</v>
      </c>
      <c r="O297" s="182">
        <f t="shared" si="624"/>
        <v>0</v>
      </c>
      <c r="P297" s="182">
        <f t="shared" si="629"/>
        <v>0</v>
      </c>
      <c r="Q297" s="182">
        <f t="shared" si="634"/>
        <v>0</v>
      </c>
      <c r="R297" s="182">
        <f t="shared" si="639"/>
        <v>0</v>
      </c>
      <c r="S297" s="182">
        <f t="shared" si="644"/>
        <v>0</v>
      </c>
      <c r="T297" s="182">
        <f t="shared" si="649"/>
        <v>0</v>
      </c>
      <c r="U297" s="182">
        <f t="shared" si="654"/>
        <v>0</v>
      </c>
      <c r="V297" s="182">
        <f t="shared" si="659"/>
        <v>0</v>
      </c>
      <c r="W297" s="182">
        <f t="shared" si="664"/>
        <v>0</v>
      </c>
      <c r="X297" s="182">
        <f t="shared" si="669"/>
        <v>0</v>
      </c>
      <c r="Y297" s="182">
        <f t="shared" si="674"/>
        <v>0</v>
      </c>
      <c r="Z297" s="182">
        <f t="shared" si="679"/>
        <v>0</v>
      </c>
      <c r="AA297" s="182">
        <f t="shared" si="684"/>
        <v>0</v>
      </c>
      <c r="AB297" s="182">
        <f t="shared" ref="AB297:AB328" si="689">AB130*AB$168</f>
        <v>0</v>
      </c>
      <c r="AC297" s="182">
        <f t="shared" si="525"/>
        <v>0</v>
      </c>
      <c r="AD297" s="182">
        <f t="shared" si="530"/>
        <v>0</v>
      </c>
      <c r="AE297" s="182">
        <f t="shared" si="535"/>
        <v>0</v>
      </c>
      <c r="AF297" s="182">
        <f t="shared" si="540"/>
        <v>0</v>
      </c>
      <c r="AG297" s="182">
        <f t="shared" si="545"/>
        <v>0</v>
      </c>
      <c r="AH297" s="182">
        <f t="shared" si="550"/>
        <v>0</v>
      </c>
      <c r="AI297" s="182">
        <f t="shared" si="555"/>
        <v>0</v>
      </c>
      <c r="AJ297" s="182">
        <f t="shared" si="561"/>
        <v>0</v>
      </c>
      <c r="AK297" s="182">
        <f t="shared" si="567"/>
        <v>0</v>
      </c>
      <c r="AL297" s="182">
        <f t="shared" si="573"/>
        <v>0</v>
      </c>
      <c r="AM297" s="182">
        <f t="shared" si="579"/>
        <v>0</v>
      </c>
      <c r="AN297" s="182">
        <f t="shared" si="585"/>
        <v>0</v>
      </c>
      <c r="AO297" s="182">
        <f t="shared" si="591"/>
        <v>0</v>
      </c>
      <c r="AP297" s="182">
        <f t="shared" si="597"/>
        <v>0</v>
      </c>
      <c r="AQ297" s="182">
        <f t="shared" si="603"/>
        <v>0</v>
      </c>
      <c r="AR297" s="182">
        <f t="shared" si="609"/>
        <v>0</v>
      </c>
      <c r="AS297" s="182">
        <f t="shared" si="615"/>
        <v>0</v>
      </c>
      <c r="AT297" s="182">
        <f t="shared" si="620"/>
        <v>0</v>
      </c>
      <c r="AU297" s="182">
        <f t="shared" si="625"/>
        <v>0</v>
      </c>
      <c r="AV297" s="182">
        <f t="shared" si="630"/>
        <v>0</v>
      </c>
      <c r="AW297" s="182">
        <f t="shared" si="635"/>
        <v>0</v>
      </c>
      <c r="AX297" s="182">
        <f t="shared" si="640"/>
        <v>0</v>
      </c>
      <c r="AY297" s="182">
        <f t="shared" si="645"/>
        <v>0</v>
      </c>
      <c r="AZ297" s="182">
        <f t="shared" si="650"/>
        <v>0</v>
      </c>
      <c r="BA297" s="182">
        <f t="shared" si="655"/>
        <v>0</v>
      </c>
      <c r="BB297" s="182">
        <f t="shared" si="660"/>
        <v>0</v>
      </c>
      <c r="BC297" s="182">
        <f t="shared" si="665"/>
        <v>0</v>
      </c>
      <c r="BD297" s="182">
        <f t="shared" si="670"/>
        <v>0</v>
      </c>
      <c r="BE297" s="182">
        <f t="shared" si="675"/>
        <v>0</v>
      </c>
      <c r="BF297" s="182">
        <f t="shared" si="680"/>
        <v>0</v>
      </c>
      <c r="BG297" s="182">
        <f t="shared" si="685"/>
        <v>0</v>
      </c>
      <c r="BH297" s="182">
        <f t="shared" ref="BH297:BH328" si="690">BH130*BH$168</f>
        <v>0</v>
      </c>
      <c r="BI297" s="182">
        <f t="shared" si="526"/>
        <v>0</v>
      </c>
      <c r="BJ297" s="182">
        <f t="shared" si="531"/>
        <v>0</v>
      </c>
      <c r="BK297" s="182">
        <f t="shared" si="536"/>
        <v>0</v>
      </c>
      <c r="BL297" s="182">
        <f t="shared" si="541"/>
        <v>0</v>
      </c>
      <c r="BM297" s="182">
        <f t="shared" si="546"/>
        <v>0</v>
      </c>
      <c r="BN297" s="182">
        <f t="shared" si="551"/>
        <v>0</v>
      </c>
      <c r="BO297" s="182">
        <f t="shared" si="556"/>
        <v>0</v>
      </c>
      <c r="BP297" s="182">
        <f t="shared" si="562"/>
        <v>0</v>
      </c>
      <c r="BQ297" s="182">
        <f t="shared" si="568"/>
        <v>0</v>
      </c>
      <c r="BR297" s="182">
        <f t="shared" si="574"/>
        <v>0</v>
      </c>
      <c r="BS297" s="182">
        <f t="shared" si="580"/>
        <v>0</v>
      </c>
      <c r="BT297" s="182">
        <f t="shared" si="586"/>
        <v>0</v>
      </c>
      <c r="BU297" s="182">
        <f t="shared" si="592"/>
        <v>0</v>
      </c>
      <c r="BV297" s="182">
        <f t="shared" si="598"/>
        <v>0</v>
      </c>
      <c r="BW297" s="182">
        <f t="shared" si="604"/>
        <v>0</v>
      </c>
      <c r="BX297" s="182">
        <f t="shared" si="610"/>
        <v>0</v>
      </c>
      <c r="BY297" s="182">
        <f t="shared" si="616"/>
        <v>0</v>
      </c>
      <c r="BZ297" s="182">
        <f t="shared" si="621"/>
        <v>0</v>
      </c>
      <c r="CA297" s="182">
        <f t="shared" si="626"/>
        <v>0</v>
      </c>
      <c r="CB297" s="182">
        <f t="shared" si="631"/>
        <v>0</v>
      </c>
      <c r="CC297" s="182">
        <f t="shared" si="636"/>
        <v>0</v>
      </c>
      <c r="CD297" s="182">
        <f t="shared" si="641"/>
        <v>0</v>
      </c>
      <c r="CE297" s="182">
        <f t="shared" si="646"/>
        <v>0</v>
      </c>
      <c r="CF297" s="182">
        <f t="shared" si="651"/>
        <v>0</v>
      </c>
      <c r="CG297" s="182">
        <f t="shared" si="656"/>
        <v>0</v>
      </c>
      <c r="CH297" s="182">
        <f t="shared" si="661"/>
        <v>0</v>
      </c>
      <c r="CI297" s="182">
        <f t="shared" si="666"/>
        <v>0</v>
      </c>
      <c r="CJ297" s="182">
        <f t="shared" si="671"/>
        <v>0</v>
      </c>
      <c r="CK297" s="182">
        <f t="shared" si="676"/>
        <v>0</v>
      </c>
      <c r="CL297" s="182">
        <f t="shared" si="681"/>
        <v>0</v>
      </c>
      <c r="CM297" s="182">
        <f t="shared" si="686"/>
        <v>0</v>
      </c>
      <c r="CN297" s="182">
        <f t="shared" ref="CN297:CN328" si="691">CN130*CN$168</f>
        <v>0</v>
      </c>
      <c r="CO297" s="182">
        <f t="shared" si="527"/>
        <v>0</v>
      </c>
      <c r="CP297" s="182">
        <f t="shared" si="532"/>
        <v>0</v>
      </c>
      <c r="CQ297" s="182">
        <f t="shared" si="537"/>
        <v>0</v>
      </c>
      <c r="CR297" s="182">
        <f t="shared" si="542"/>
        <v>0</v>
      </c>
      <c r="CS297" s="182">
        <f t="shared" si="547"/>
        <v>0</v>
      </c>
      <c r="CT297" s="182">
        <f t="shared" si="552"/>
        <v>0</v>
      </c>
      <c r="CU297" s="182">
        <f t="shared" si="557"/>
        <v>0</v>
      </c>
      <c r="CV297" s="182">
        <f t="shared" si="563"/>
        <v>0</v>
      </c>
      <c r="CW297" s="182">
        <f t="shared" si="569"/>
        <v>0</v>
      </c>
      <c r="CX297" s="182">
        <f t="shared" si="575"/>
        <v>0</v>
      </c>
      <c r="CY297" s="182">
        <f t="shared" si="581"/>
        <v>0</v>
      </c>
      <c r="CZ297" s="182">
        <f t="shared" si="587"/>
        <v>0</v>
      </c>
      <c r="DA297" s="182">
        <f t="shared" si="593"/>
        <v>0</v>
      </c>
      <c r="DB297" s="182">
        <f t="shared" si="599"/>
        <v>0</v>
      </c>
      <c r="DC297" s="182">
        <f t="shared" si="605"/>
        <v>0</v>
      </c>
      <c r="DD297" s="182">
        <f t="shared" si="611"/>
        <v>0</v>
      </c>
      <c r="DE297" s="182">
        <f t="shared" si="617"/>
        <v>0</v>
      </c>
      <c r="DF297" s="182">
        <f t="shared" si="622"/>
        <v>0</v>
      </c>
      <c r="DG297" s="182">
        <f t="shared" si="627"/>
        <v>0</v>
      </c>
      <c r="DH297" s="182">
        <f t="shared" si="632"/>
        <v>0</v>
      </c>
      <c r="DI297" s="182">
        <f t="shared" si="637"/>
        <v>0</v>
      </c>
      <c r="DJ297" s="182">
        <f t="shared" si="642"/>
        <v>0</v>
      </c>
      <c r="DK297" s="182">
        <f t="shared" si="647"/>
        <v>0</v>
      </c>
      <c r="DL297" s="182">
        <f t="shared" si="652"/>
        <v>0</v>
      </c>
      <c r="DM297" s="182">
        <f t="shared" si="657"/>
        <v>0</v>
      </c>
      <c r="DN297" s="182">
        <f t="shared" si="662"/>
        <v>0</v>
      </c>
      <c r="DO297" s="182">
        <f t="shared" si="667"/>
        <v>0</v>
      </c>
      <c r="DP297" s="182">
        <f t="shared" si="672"/>
        <v>0</v>
      </c>
      <c r="DQ297" s="182">
        <f t="shared" si="677"/>
        <v>4.1775981165356022E-9</v>
      </c>
      <c r="DR297" s="182">
        <f t="shared" si="682"/>
        <v>0</v>
      </c>
      <c r="DS297" s="182">
        <f t="shared" si="687"/>
        <v>0</v>
      </c>
      <c r="DT297" s="182">
        <f t="shared" ref="DT297:DT330" si="692">DT130*DT$168</f>
        <v>0</v>
      </c>
      <c r="DU297" s="181">
        <f>$C297+SUM($D297:DT297,DV297:$FB297)-SUM(DU$176:DU296,DU298:DU$330)-DU$331</f>
        <v>0</v>
      </c>
      <c r="DV297" s="176">
        <f t="shared" ref="DV297:FB297" si="693">DV130*DV$168</f>
        <v>0</v>
      </c>
      <c r="DW297" s="176">
        <f t="shared" si="693"/>
        <v>0</v>
      </c>
      <c r="DX297" s="176">
        <f t="shared" si="693"/>
        <v>0</v>
      </c>
      <c r="DY297" s="176">
        <f t="shared" si="693"/>
        <v>2.1881119495196939E-25</v>
      </c>
      <c r="DZ297" s="176">
        <f t="shared" si="693"/>
        <v>0</v>
      </c>
      <c r="EA297" s="176">
        <f t="shared" si="693"/>
        <v>0</v>
      </c>
      <c r="EB297" s="176">
        <f t="shared" si="693"/>
        <v>0</v>
      </c>
      <c r="EC297" s="176">
        <f t="shared" si="693"/>
        <v>0</v>
      </c>
      <c r="ED297" s="176">
        <f t="shared" si="693"/>
        <v>0</v>
      </c>
      <c r="EE297" s="176">
        <f t="shared" si="693"/>
        <v>0</v>
      </c>
      <c r="EF297" s="182">
        <f t="shared" si="693"/>
        <v>0</v>
      </c>
      <c r="EG297" s="182">
        <f t="shared" si="693"/>
        <v>0</v>
      </c>
      <c r="EH297" s="182">
        <f t="shared" si="693"/>
        <v>0</v>
      </c>
      <c r="EI297" s="182">
        <f t="shared" si="693"/>
        <v>0</v>
      </c>
      <c r="EJ297" s="182">
        <f t="shared" si="693"/>
        <v>0</v>
      </c>
      <c r="EK297" s="182">
        <f t="shared" si="693"/>
        <v>0</v>
      </c>
      <c r="EL297" s="182">
        <f t="shared" si="693"/>
        <v>0</v>
      </c>
      <c r="EM297" s="182">
        <f t="shared" si="693"/>
        <v>0</v>
      </c>
      <c r="EN297" s="182">
        <f t="shared" si="693"/>
        <v>0</v>
      </c>
      <c r="EO297" s="182">
        <f t="shared" si="693"/>
        <v>0</v>
      </c>
      <c r="EP297" s="182">
        <f t="shared" si="693"/>
        <v>0</v>
      </c>
      <c r="EQ297" s="182">
        <f t="shared" si="693"/>
        <v>0</v>
      </c>
      <c r="ER297" s="182">
        <f t="shared" si="693"/>
        <v>0</v>
      </c>
      <c r="ES297" s="182">
        <f t="shared" si="693"/>
        <v>0</v>
      </c>
      <c r="ET297" s="182">
        <f t="shared" si="693"/>
        <v>0</v>
      </c>
      <c r="EU297" s="182">
        <f t="shared" si="693"/>
        <v>0</v>
      </c>
      <c r="EV297" s="182">
        <f t="shared" si="693"/>
        <v>0</v>
      </c>
      <c r="EW297" s="182">
        <f t="shared" si="693"/>
        <v>0</v>
      </c>
      <c r="EX297" s="182">
        <f t="shared" si="693"/>
        <v>0</v>
      </c>
      <c r="EY297" s="182">
        <f t="shared" si="693"/>
        <v>0</v>
      </c>
      <c r="EZ297" s="182">
        <f t="shared" si="693"/>
        <v>0</v>
      </c>
      <c r="FA297" s="182">
        <f t="shared" si="693"/>
        <v>0</v>
      </c>
      <c r="FB297" s="183">
        <f t="shared" si="693"/>
        <v>0</v>
      </c>
    </row>
    <row r="298" spans="2:158" ht="12.75" customHeight="1" x14ac:dyDescent="0.3">
      <c r="B298" s="199" t="s">
        <v>3941</v>
      </c>
      <c r="C298" s="193">
        <v>0</v>
      </c>
      <c r="D298" s="182">
        <f t="shared" si="560"/>
        <v>0</v>
      </c>
      <c r="E298" s="182">
        <f t="shared" si="566"/>
        <v>0</v>
      </c>
      <c r="F298" s="182">
        <f t="shared" si="572"/>
        <v>0</v>
      </c>
      <c r="G298" s="182">
        <f t="shared" si="578"/>
        <v>0</v>
      </c>
      <c r="H298" s="182">
        <f t="shared" si="584"/>
        <v>0</v>
      </c>
      <c r="I298" s="176">
        <f t="shared" si="590"/>
        <v>0</v>
      </c>
      <c r="J298" s="182">
        <f t="shared" si="596"/>
        <v>0</v>
      </c>
      <c r="K298" s="182">
        <f t="shared" si="602"/>
        <v>0</v>
      </c>
      <c r="L298" s="182">
        <f t="shared" si="608"/>
        <v>0</v>
      </c>
      <c r="M298" s="182">
        <f t="shared" si="614"/>
        <v>0</v>
      </c>
      <c r="N298" s="182">
        <f t="shared" si="619"/>
        <v>0</v>
      </c>
      <c r="O298" s="182">
        <f t="shared" si="624"/>
        <v>0</v>
      </c>
      <c r="P298" s="182">
        <f t="shared" si="629"/>
        <v>0</v>
      </c>
      <c r="Q298" s="182">
        <f t="shared" si="634"/>
        <v>0</v>
      </c>
      <c r="R298" s="182">
        <f t="shared" si="639"/>
        <v>0</v>
      </c>
      <c r="S298" s="182">
        <f t="shared" si="644"/>
        <v>0</v>
      </c>
      <c r="T298" s="182">
        <f t="shared" si="649"/>
        <v>0</v>
      </c>
      <c r="U298" s="182">
        <f t="shared" si="654"/>
        <v>0</v>
      </c>
      <c r="V298" s="182">
        <f t="shared" si="659"/>
        <v>0</v>
      </c>
      <c r="W298" s="182">
        <f t="shared" si="664"/>
        <v>0</v>
      </c>
      <c r="X298" s="182">
        <f t="shared" si="669"/>
        <v>0</v>
      </c>
      <c r="Y298" s="182">
        <f t="shared" si="674"/>
        <v>0</v>
      </c>
      <c r="Z298" s="182">
        <f t="shared" si="679"/>
        <v>0</v>
      </c>
      <c r="AA298" s="182">
        <f t="shared" si="684"/>
        <v>0</v>
      </c>
      <c r="AB298" s="182">
        <f t="shared" si="689"/>
        <v>0</v>
      </c>
      <c r="AC298" s="182">
        <f t="shared" ref="AC298:AC329" si="694">AC131*AC$168</f>
        <v>0</v>
      </c>
      <c r="AD298" s="182">
        <f t="shared" si="530"/>
        <v>0</v>
      </c>
      <c r="AE298" s="182">
        <f t="shared" si="535"/>
        <v>0</v>
      </c>
      <c r="AF298" s="182">
        <f t="shared" si="540"/>
        <v>0</v>
      </c>
      <c r="AG298" s="182">
        <f t="shared" si="545"/>
        <v>0</v>
      </c>
      <c r="AH298" s="182">
        <f t="shared" si="550"/>
        <v>0</v>
      </c>
      <c r="AI298" s="182">
        <f t="shared" si="555"/>
        <v>0</v>
      </c>
      <c r="AJ298" s="182">
        <f t="shared" si="561"/>
        <v>0</v>
      </c>
      <c r="AK298" s="182">
        <f t="shared" si="567"/>
        <v>0</v>
      </c>
      <c r="AL298" s="182">
        <f t="shared" si="573"/>
        <v>0</v>
      </c>
      <c r="AM298" s="182">
        <f t="shared" si="579"/>
        <v>0</v>
      </c>
      <c r="AN298" s="182">
        <f t="shared" si="585"/>
        <v>0</v>
      </c>
      <c r="AO298" s="182">
        <f t="shared" si="591"/>
        <v>0</v>
      </c>
      <c r="AP298" s="182">
        <f t="shared" si="597"/>
        <v>0</v>
      </c>
      <c r="AQ298" s="182">
        <f t="shared" si="603"/>
        <v>0</v>
      </c>
      <c r="AR298" s="182">
        <f t="shared" si="609"/>
        <v>0</v>
      </c>
      <c r="AS298" s="182">
        <f t="shared" si="615"/>
        <v>0</v>
      </c>
      <c r="AT298" s="182">
        <f t="shared" si="620"/>
        <v>0</v>
      </c>
      <c r="AU298" s="182">
        <f t="shared" si="625"/>
        <v>0</v>
      </c>
      <c r="AV298" s="182">
        <f t="shared" si="630"/>
        <v>0</v>
      </c>
      <c r="AW298" s="182">
        <f t="shared" si="635"/>
        <v>0</v>
      </c>
      <c r="AX298" s="182">
        <f t="shared" si="640"/>
        <v>0</v>
      </c>
      <c r="AY298" s="182">
        <f t="shared" si="645"/>
        <v>0</v>
      </c>
      <c r="AZ298" s="182">
        <f t="shared" si="650"/>
        <v>0</v>
      </c>
      <c r="BA298" s="182">
        <f t="shared" si="655"/>
        <v>0</v>
      </c>
      <c r="BB298" s="182">
        <f t="shared" si="660"/>
        <v>0</v>
      </c>
      <c r="BC298" s="182">
        <f t="shared" si="665"/>
        <v>0</v>
      </c>
      <c r="BD298" s="182">
        <f t="shared" si="670"/>
        <v>0</v>
      </c>
      <c r="BE298" s="182">
        <f t="shared" si="675"/>
        <v>0</v>
      </c>
      <c r="BF298" s="182">
        <f t="shared" si="680"/>
        <v>0</v>
      </c>
      <c r="BG298" s="182">
        <f t="shared" si="685"/>
        <v>0</v>
      </c>
      <c r="BH298" s="182">
        <f t="shared" si="690"/>
        <v>0</v>
      </c>
      <c r="BI298" s="182">
        <f t="shared" ref="BI298:BI329" si="695">BI131*BI$168</f>
        <v>0</v>
      </c>
      <c r="BJ298" s="182">
        <f t="shared" si="531"/>
        <v>0</v>
      </c>
      <c r="BK298" s="182">
        <f t="shared" si="536"/>
        <v>0</v>
      </c>
      <c r="BL298" s="182">
        <f t="shared" si="541"/>
        <v>0</v>
      </c>
      <c r="BM298" s="182">
        <f t="shared" si="546"/>
        <v>0</v>
      </c>
      <c r="BN298" s="182">
        <f t="shared" si="551"/>
        <v>0</v>
      </c>
      <c r="BO298" s="182">
        <f t="shared" si="556"/>
        <v>0</v>
      </c>
      <c r="BP298" s="182">
        <f t="shared" si="562"/>
        <v>0</v>
      </c>
      <c r="BQ298" s="182">
        <f t="shared" si="568"/>
        <v>0</v>
      </c>
      <c r="BR298" s="182">
        <f t="shared" si="574"/>
        <v>0</v>
      </c>
      <c r="BS298" s="182">
        <f t="shared" si="580"/>
        <v>0</v>
      </c>
      <c r="BT298" s="182">
        <f t="shared" si="586"/>
        <v>0</v>
      </c>
      <c r="BU298" s="182">
        <f t="shared" si="592"/>
        <v>0</v>
      </c>
      <c r="BV298" s="182">
        <f t="shared" si="598"/>
        <v>0</v>
      </c>
      <c r="BW298" s="182">
        <f t="shared" si="604"/>
        <v>0</v>
      </c>
      <c r="BX298" s="182">
        <f t="shared" si="610"/>
        <v>0</v>
      </c>
      <c r="BY298" s="182">
        <f t="shared" si="616"/>
        <v>0</v>
      </c>
      <c r="BZ298" s="182">
        <f t="shared" si="621"/>
        <v>0</v>
      </c>
      <c r="CA298" s="182">
        <f t="shared" si="626"/>
        <v>0</v>
      </c>
      <c r="CB298" s="182">
        <f t="shared" si="631"/>
        <v>0</v>
      </c>
      <c r="CC298" s="182">
        <f t="shared" si="636"/>
        <v>0</v>
      </c>
      <c r="CD298" s="182">
        <f t="shared" si="641"/>
        <v>0</v>
      </c>
      <c r="CE298" s="182">
        <f t="shared" si="646"/>
        <v>0</v>
      </c>
      <c r="CF298" s="182">
        <f t="shared" si="651"/>
        <v>0</v>
      </c>
      <c r="CG298" s="182">
        <f t="shared" si="656"/>
        <v>0</v>
      </c>
      <c r="CH298" s="182">
        <f t="shared" si="661"/>
        <v>0</v>
      </c>
      <c r="CI298" s="182">
        <f t="shared" si="666"/>
        <v>0</v>
      </c>
      <c r="CJ298" s="182">
        <f t="shared" si="671"/>
        <v>0</v>
      </c>
      <c r="CK298" s="182">
        <f t="shared" si="676"/>
        <v>0</v>
      </c>
      <c r="CL298" s="182">
        <f t="shared" si="681"/>
        <v>0</v>
      </c>
      <c r="CM298" s="182">
        <f t="shared" si="686"/>
        <v>0</v>
      </c>
      <c r="CN298" s="182">
        <f t="shared" si="691"/>
        <v>0</v>
      </c>
      <c r="CO298" s="182">
        <f t="shared" ref="CO298:CO329" si="696">CO131*CO$168</f>
        <v>0</v>
      </c>
      <c r="CP298" s="182">
        <f t="shared" si="532"/>
        <v>0</v>
      </c>
      <c r="CQ298" s="182">
        <f t="shared" si="537"/>
        <v>0</v>
      </c>
      <c r="CR298" s="182">
        <f t="shared" si="542"/>
        <v>0</v>
      </c>
      <c r="CS298" s="182">
        <f t="shared" si="547"/>
        <v>0</v>
      </c>
      <c r="CT298" s="182">
        <f t="shared" si="552"/>
        <v>0</v>
      </c>
      <c r="CU298" s="182">
        <f t="shared" si="557"/>
        <v>0</v>
      </c>
      <c r="CV298" s="182">
        <f t="shared" si="563"/>
        <v>0</v>
      </c>
      <c r="CW298" s="182">
        <f t="shared" si="569"/>
        <v>0</v>
      </c>
      <c r="CX298" s="182">
        <f t="shared" si="575"/>
        <v>0</v>
      </c>
      <c r="CY298" s="182">
        <f t="shared" si="581"/>
        <v>0</v>
      </c>
      <c r="CZ298" s="182">
        <f t="shared" si="587"/>
        <v>0</v>
      </c>
      <c r="DA298" s="182">
        <f t="shared" si="593"/>
        <v>0</v>
      </c>
      <c r="DB298" s="182">
        <f t="shared" si="599"/>
        <v>0</v>
      </c>
      <c r="DC298" s="182">
        <f t="shared" si="605"/>
        <v>0</v>
      </c>
      <c r="DD298" s="182">
        <f t="shared" si="611"/>
        <v>0</v>
      </c>
      <c r="DE298" s="182">
        <f t="shared" si="617"/>
        <v>0</v>
      </c>
      <c r="DF298" s="182">
        <f t="shared" si="622"/>
        <v>0</v>
      </c>
      <c r="DG298" s="182">
        <f t="shared" si="627"/>
        <v>0</v>
      </c>
      <c r="DH298" s="182">
        <f t="shared" si="632"/>
        <v>0</v>
      </c>
      <c r="DI298" s="182">
        <f t="shared" si="637"/>
        <v>0</v>
      </c>
      <c r="DJ298" s="182">
        <f t="shared" si="642"/>
        <v>0</v>
      </c>
      <c r="DK298" s="182">
        <f t="shared" si="647"/>
        <v>0</v>
      </c>
      <c r="DL298" s="182">
        <f t="shared" si="652"/>
        <v>0</v>
      </c>
      <c r="DM298" s="182">
        <f t="shared" si="657"/>
        <v>0</v>
      </c>
      <c r="DN298" s="182">
        <f t="shared" si="662"/>
        <v>0</v>
      </c>
      <c r="DO298" s="182">
        <f t="shared" si="667"/>
        <v>0</v>
      </c>
      <c r="DP298" s="182">
        <f t="shared" si="672"/>
        <v>0</v>
      </c>
      <c r="DQ298" s="182">
        <f t="shared" si="677"/>
        <v>0</v>
      </c>
      <c r="DR298" s="182">
        <f t="shared" si="682"/>
        <v>244024.99505961733</v>
      </c>
      <c r="DS298" s="182">
        <f t="shared" si="687"/>
        <v>0</v>
      </c>
      <c r="DT298" s="182">
        <f t="shared" si="692"/>
        <v>0</v>
      </c>
      <c r="DU298" s="182">
        <f t="shared" ref="DU298:DU330" si="697">DU131*DU$168</f>
        <v>4.1293209419877043E-9</v>
      </c>
      <c r="DV298" s="181">
        <f>$C298+SUM($D298:DU298,DW298:$FB298)-SUM(DV$176:DV297,DV299:DV$330)-DV$331</f>
        <v>0</v>
      </c>
      <c r="DW298" s="176">
        <f t="shared" ref="DW298:FB298" si="698">DW131*DW$168</f>
        <v>0</v>
      </c>
      <c r="DX298" s="176">
        <f t="shared" si="698"/>
        <v>0</v>
      </c>
      <c r="DY298" s="176">
        <f t="shared" si="698"/>
        <v>0</v>
      </c>
      <c r="DZ298" s="176">
        <f t="shared" si="698"/>
        <v>365.05969964318587</v>
      </c>
      <c r="EA298" s="176">
        <f t="shared" si="698"/>
        <v>0</v>
      </c>
      <c r="EB298" s="176">
        <f t="shared" si="698"/>
        <v>0</v>
      </c>
      <c r="EC298" s="176">
        <f t="shared" si="698"/>
        <v>0</v>
      </c>
      <c r="ED298" s="176">
        <f t="shared" si="698"/>
        <v>0</v>
      </c>
      <c r="EE298" s="176">
        <f t="shared" si="698"/>
        <v>0</v>
      </c>
      <c r="EF298" s="182">
        <f t="shared" si="698"/>
        <v>0</v>
      </c>
      <c r="EG298" s="182">
        <f t="shared" si="698"/>
        <v>0</v>
      </c>
      <c r="EH298" s="182">
        <f t="shared" si="698"/>
        <v>0</v>
      </c>
      <c r="EI298" s="182">
        <f t="shared" si="698"/>
        <v>0</v>
      </c>
      <c r="EJ298" s="182">
        <f t="shared" si="698"/>
        <v>0</v>
      </c>
      <c r="EK298" s="182">
        <f t="shared" si="698"/>
        <v>0</v>
      </c>
      <c r="EL298" s="182">
        <f t="shared" si="698"/>
        <v>0</v>
      </c>
      <c r="EM298" s="182">
        <f t="shared" si="698"/>
        <v>0</v>
      </c>
      <c r="EN298" s="182">
        <f t="shared" si="698"/>
        <v>0</v>
      </c>
      <c r="EO298" s="182">
        <f t="shared" si="698"/>
        <v>0</v>
      </c>
      <c r="EP298" s="182">
        <f t="shared" si="698"/>
        <v>0</v>
      </c>
      <c r="EQ298" s="182">
        <f t="shared" si="698"/>
        <v>0</v>
      </c>
      <c r="ER298" s="182">
        <f t="shared" si="698"/>
        <v>0</v>
      </c>
      <c r="ES298" s="182">
        <f t="shared" si="698"/>
        <v>0</v>
      </c>
      <c r="ET298" s="182">
        <f t="shared" si="698"/>
        <v>0</v>
      </c>
      <c r="EU298" s="182">
        <f t="shared" si="698"/>
        <v>0</v>
      </c>
      <c r="EV298" s="182">
        <f t="shared" si="698"/>
        <v>0</v>
      </c>
      <c r="EW298" s="182">
        <f t="shared" si="698"/>
        <v>0</v>
      </c>
      <c r="EX298" s="182">
        <f t="shared" si="698"/>
        <v>0</v>
      </c>
      <c r="EY298" s="182">
        <f t="shared" si="698"/>
        <v>0</v>
      </c>
      <c r="EZ298" s="182">
        <f t="shared" si="698"/>
        <v>0</v>
      </c>
      <c r="FA298" s="182">
        <f t="shared" si="698"/>
        <v>0</v>
      </c>
      <c r="FB298" s="183">
        <f t="shared" si="698"/>
        <v>0</v>
      </c>
    </row>
    <row r="299" spans="2:158" ht="12.75" customHeight="1" x14ac:dyDescent="0.3">
      <c r="B299" s="199" t="s">
        <v>3942</v>
      </c>
      <c r="C299" s="193">
        <v>0</v>
      </c>
      <c r="D299" s="182">
        <f t="shared" si="560"/>
        <v>0</v>
      </c>
      <c r="E299" s="182">
        <f t="shared" si="566"/>
        <v>0</v>
      </c>
      <c r="F299" s="182">
        <f t="shared" si="572"/>
        <v>0</v>
      </c>
      <c r="G299" s="182">
        <f t="shared" si="578"/>
        <v>0</v>
      </c>
      <c r="H299" s="182">
        <f t="shared" si="584"/>
        <v>0</v>
      </c>
      <c r="I299" s="176">
        <f t="shared" si="590"/>
        <v>0</v>
      </c>
      <c r="J299" s="182">
        <f t="shared" si="596"/>
        <v>0</v>
      </c>
      <c r="K299" s="182">
        <f t="shared" si="602"/>
        <v>0</v>
      </c>
      <c r="L299" s="182">
        <f t="shared" si="608"/>
        <v>0</v>
      </c>
      <c r="M299" s="182">
        <f t="shared" si="614"/>
        <v>0</v>
      </c>
      <c r="N299" s="182">
        <f t="shared" si="619"/>
        <v>0</v>
      </c>
      <c r="O299" s="182">
        <f t="shared" si="624"/>
        <v>0</v>
      </c>
      <c r="P299" s="182">
        <f t="shared" si="629"/>
        <v>0</v>
      </c>
      <c r="Q299" s="182">
        <f t="shared" si="634"/>
        <v>0</v>
      </c>
      <c r="R299" s="182">
        <f t="shared" si="639"/>
        <v>0</v>
      </c>
      <c r="S299" s="182">
        <f t="shared" si="644"/>
        <v>0</v>
      </c>
      <c r="T299" s="182">
        <f t="shared" si="649"/>
        <v>0</v>
      </c>
      <c r="U299" s="182">
        <f t="shared" si="654"/>
        <v>0</v>
      </c>
      <c r="V299" s="182">
        <f t="shared" si="659"/>
        <v>0</v>
      </c>
      <c r="W299" s="182">
        <f t="shared" si="664"/>
        <v>0</v>
      </c>
      <c r="X299" s="182">
        <f t="shared" si="669"/>
        <v>0</v>
      </c>
      <c r="Y299" s="182">
        <f t="shared" si="674"/>
        <v>0</v>
      </c>
      <c r="Z299" s="182">
        <f t="shared" si="679"/>
        <v>0</v>
      </c>
      <c r="AA299" s="182">
        <f t="shared" si="684"/>
        <v>0</v>
      </c>
      <c r="AB299" s="182">
        <f t="shared" si="689"/>
        <v>0</v>
      </c>
      <c r="AC299" s="182">
        <f t="shared" si="694"/>
        <v>0</v>
      </c>
      <c r="AD299" s="182">
        <f t="shared" ref="AD299:AD330" si="699">AD132*AD$168</f>
        <v>0</v>
      </c>
      <c r="AE299" s="182">
        <f t="shared" si="535"/>
        <v>0</v>
      </c>
      <c r="AF299" s="182">
        <f t="shared" si="540"/>
        <v>0</v>
      </c>
      <c r="AG299" s="182">
        <f t="shared" si="545"/>
        <v>0</v>
      </c>
      <c r="AH299" s="182">
        <f t="shared" si="550"/>
        <v>0</v>
      </c>
      <c r="AI299" s="182">
        <f t="shared" si="555"/>
        <v>0</v>
      </c>
      <c r="AJ299" s="182">
        <f t="shared" si="561"/>
        <v>0</v>
      </c>
      <c r="AK299" s="182">
        <f t="shared" si="567"/>
        <v>0</v>
      </c>
      <c r="AL299" s="182">
        <f t="shared" si="573"/>
        <v>0</v>
      </c>
      <c r="AM299" s="182">
        <f t="shared" si="579"/>
        <v>0</v>
      </c>
      <c r="AN299" s="182">
        <f t="shared" si="585"/>
        <v>0</v>
      </c>
      <c r="AO299" s="182">
        <f t="shared" si="591"/>
        <v>0</v>
      </c>
      <c r="AP299" s="182">
        <f t="shared" si="597"/>
        <v>0</v>
      </c>
      <c r="AQ299" s="182">
        <f t="shared" si="603"/>
        <v>0</v>
      </c>
      <c r="AR299" s="182">
        <f t="shared" si="609"/>
        <v>0</v>
      </c>
      <c r="AS299" s="182">
        <f t="shared" si="615"/>
        <v>0</v>
      </c>
      <c r="AT299" s="182">
        <f t="shared" si="620"/>
        <v>0</v>
      </c>
      <c r="AU299" s="182">
        <f t="shared" si="625"/>
        <v>0</v>
      </c>
      <c r="AV299" s="182">
        <f t="shared" si="630"/>
        <v>0</v>
      </c>
      <c r="AW299" s="182">
        <f t="shared" si="635"/>
        <v>0</v>
      </c>
      <c r="AX299" s="182">
        <f t="shared" si="640"/>
        <v>0</v>
      </c>
      <c r="AY299" s="182">
        <f t="shared" si="645"/>
        <v>0</v>
      </c>
      <c r="AZ299" s="182">
        <f t="shared" si="650"/>
        <v>0</v>
      </c>
      <c r="BA299" s="182">
        <f t="shared" si="655"/>
        <v>0</v>
      </c>
      <c r="BB299" s="182">
        <f t="shared" si="660"/>
        <v>0</v>
      </c>
      <c r="BC299" s="182">
        <f t="shared" si="665"/>
        <v>0</v>
      </c>
      <c r="BD299" s="182">
        <f t="shared" si="670"/>
        <v>0</v>
      </c>
      <c r="BE299" s="182">
        <f t="shared" si="675"/>
        <v>0</v>
      </c>
      <c r="BF299" s="182">
        <f t="shared" si="680"/>
        <v>0</v>
      </c>
      <c r="BG299" s="182">
        <f t="shared" si="685"/>
        <v>0</v>
      </c>
      <c r="BH299" s="182">
        <f t="shared" si="690"/>
        <v>0</v>
      </c>
      <c r="BI299" s="182">
        <f t="shared" si="695"/>
        <v>0</v>
      </c>
      <c r="BJ299" s="182">
        <f t="shared" ref="BJ299:BJ330" si="700">BJ132*BJ$168</f>
        <v>0</v>
      </c>
      <c r="BK299" s="182">
        <f t="shared" si="536"/>
        <v>0</v>
      </c>
      <c r="BL299" s="182">
        <f t="shared" si="541"/>
        <v>0</v>
      </c>
      <c r="BM299" s="182">
        <f t="shared" si="546"/>
        <v>0</v>
      </c>
      <c r="BN299" s="182">
        <f t="shared" si="551"/>
        <v>0</v>
      </c>
      <c r="BO299" s="182">
        <f t="shared" si="556"/>
        <v>0</v>
      </c>
      <c r="BP299" s="182">
        <f t="shared" si="562"/>
        <v>0</v>
      </c>
      <c r="BQ299" s="182">
        <f t="shared" si="568"/>
        <v>0</v>
      </c>
      <c r="BR299" s="182">
        <f t="shared" si="574"/>
        <v>0</v>
      </c>
      <c r="BS299" s="182">
        <f t="shared" si="580"/>
        <v>0</v>
      </c>
      <c r="BT299" s="182">
        <f t="shared" si="586"/>
        <v>0</v>
      </c>
      <c r="BU299" s="182">
        <f t="shared" si="592"/>
        <v>0</v>
      </c>
      <c r="BV299" s="182">
        <f t="shared" si="598"/>
        <v>0</v>
      </c>
      <c r="BW299" s="182">
        <f t="shared" si="604"/>
        <v>0</v>
      </c>
      <c r="BX299" s="182">
        <f t="shared" si="610"/>
        <v>0</v>
      </c>
      <c r="BY299" s="182">
        <f t="shared" si="616"/>
        <v>0</v>
      </c>
      <c r="BZ299" s="182">
        <f t="shared" si="621"/>
        <v>0</v>
      </c>
      <c r="CA299" s="182">
        <f t="shared" si="626"/>
        <v>0</v>
      </c>
      <c r="CB299" s="182">
        <f t="shared" si="631"/>
        <v>0</v>
      </c>
      <c r="CC299" s="182">
        <f t="shared" si="636"/>
        <v>0</v>
      </c>
      <c r="CD299" s="182">
        <f t="shared" si="641"/>
        <v>0</v>
      </c>
      <c r="CE299" s="182">
        <f t="shared" si="646"/>
        <v>0</v>
      </c>
      <c r="CF299" s="182">
        <f t="shared" si="651"/>
        <v>0</v>
      </c>
      <c r="CG299" s="182">
        <f t="shared" si="656"/>
        <v>0</v>
      </c>
      <c r="CH299" s="182">
        <f t="shared" si="661"/>
        <v>0</v>
      </c>
      <c r="CI299" s="182">
        <f t="shared" si="666"/>
        <v>0</v>
      </c>
      <c r="CJ299" s="182">
        <f t="shared" si="671"/>
        <v>0</v>
      </c>
      <c r="CK299" s="182">
        <f t="shared" si="676"/>
        <v>0</v>
      </c>
      <c r="CL299" s="182">
        <f t="shared" si="681"/>
        <v>0</v>
      </c>
      <c r="CM299" s="182">
        <f t="shared" si="686"/>
        <v>0</v>
      </c>
      <c r="CN299" s="182">
        <f t="shared" si="691"/>
        <v>0</v>
      </c>
      <c r="CO299" s="182">
        <f t="shared" si="696"/>
        <v>0</v>
      </c>
      <c r="CP299" s="182">
        <f t="shared" ref="CP299:CP330" si="701">CP132*CP$168</f>
        <v>0</v>
      </c>
      <c r="CQ299" s="182">
        <f t="shared" si="537"/>
        <v>0</v>
      </c>
      <c r="CR299" s="182">
        <f t="shared" si="542"/>
        <v>0</v>
      </c>
      <c r="CS299" s="182">
        <f t="shared" si="547"/>
        <v>0</v>
      </c>
      <c r="CT299" s="182">
        <f t="shared" si="552"/>
        <v>0</v>
      </c>
      <c r="CU299" s="182">
        <f t="shared" si="557"/>
        <v>0</v>
      </c>
      <c r="CV299" s="182">
        <f t="shared" si="563"/>
        <v>0</v>
      </c>
      <c r="CW299" s="182">
        <f t="shared" si="569"/>
        <v>0</v>
      </c>
      <c r="CX299" s="182">
        <f t="shared" si="575"/>
        <v>0</v>
      </c>
      <c r="CY299" s="182">
        <f t="shared" si="581"/>
        <v>0</v>
      </c>
      <c r="CZ299" s="182">
        <f t="shared" si="587"/>
        <v>0</v>
      </c>
      <c r="DA299" s="182">
        <f t="shared" si="593"/>
        <v>0</v>
      </c>
      <c r="DB299" s="182">
        <f t="shared" si="599"/>
        <v>0</v>
      </c>
      <c r="DC299" s="182">
        <f t="shared" si="605"/>
        <v>0</v>
      </c>
      <c r="DD299" s="182">
        <f t="shared" si="611"/>
        <v>0</v>
      </c>
      <c r="DE299" s="182">
        <f t="shared" si="617"/>
        <v>0</v>
      </c>
      <c r="DF299" s="182">
        <f t="shared" si="622"/>
        <v>0</v>
      </c>
      <c r="DG299" s="182">
        <f t="shared" si="627"/>
        <v>0</v>
      </c>
      <c r="DH299" s="182">
        <f t="shared" si="632"/>
        <v>0</v>
      </c>
      <c r="DI299" s="182">
        <f t="shared" si="637"/>
        <v>0</v>
      </c>
      <c r="DJ299" s="182">
        <f t="shared" si="642"/>
        <v>0</v>
      </c>
      <c r="DK299" s="182">
        <f t="shared" si="647"/>
        <v>0</v>
      </c>
      <c r="DL299" s="182">
        <f t="shared" si="652"/>
        <v>0</v>
      </c>
      <c r="DM299" s="182">
        <f t="shared" si="657"/>
        <v>0</v>
      </c>
      <c r="DN299" s="182">
        <f t="shared" si="662"/>
        <v>0</v>
      </c>
      <c r="DO299" s="182">
        <f t="shared" si="667"/>
        <v>0</v>
      </c>
      <c r="DP299" s="182">
        <f t="shared" si="672"/>
        <v>0</v>
      </c>
      <c r="DQ299" s="182">
        <f t="shared" si="677"/>
        <v>0</v>
      </c>
      <c r="DR299" s="182">
        <f t="shared" si="682"/>
        <v>0</v>
      </c>
      <c r="DS299" s="182">
        <f t="shared" si="687"/>
        <v>3.0310210323860747</v>
      </c>
      <c r="DT299" s="182">
        <f t="shared" si="692"/>
        <v>0</v>
      </c>
      <c r="DU299" s="182">
        <f t="shared" si="697"/>
        <v>4.8261712369197665E-11</v>
      </c>
      <c r="DV299" s="182">
        <f t="shared" ref="DV299:DV330" si="702">DV132*DV$168</f>
        <v>0</v>
      </c>
      <c r="DW299" s="181">
        <f>$C299+SUM($D299:DV299,DX299:$FB299)-SUM(DW$176:DW298,DW300:DW$330)-DW$331</f>
        <v>0</v>
      </c>
      <c r="DX299" s="176">
        <f t="shared" ref="DX299:FB299" si="703">DX132*DX$168</f>
        <v>0</v>
      </c>
      <c r="DY299" s="176">
        <f t="shared" si="703"/>
        <v>0</v>
      </c>
      <c r="DZ299" s="176">
        <f t="shared" si="703"/>
        <v>0</v>
      </c>
      <c r="EA299" s="176">
        <f t="shared" si="703"/>
        <v>2.7159614729786643</v>
      </c>
      <c r="EB299" s="176">
        <f t="shared" si="703"/>
        <v>0</v>
      </c>
      <c r="EC299" s="176">
        <f t="shared" si="703"/>
        <v>0</v>
      </c>
      <c r="ED299" s="176">
        <f t="shared" si="703"/>
        <v>0</v>
      </c>
      <c r="EE299" s="176">
        <f t="shared" si="703"/>
        <v>0</v>
      </c>
      <c r="EF299" s="182">
        <f t="shared" si="703"/>
        <v>0</v>
      </c>
      <c r="EG299" s="182">
        <f t="shared" si="703"/>
        <v>0</v>
      </c>
      <c r="EH299" s="182">
        <f t="shared" si="703"/>
        <v>0</v>
      </c>
      <c r="EI299" s="182">
        <f t="shared" si="703"/>
        <v>0</v>
      </c>
      <c r="EJ299" s="182">
        <f t="shared" si="703"/>
        <v>0</v>
      </c>
      <c r="EK299" s="182">
        <f t="shared" si="703"/>
        <v>0</v>
      </c>
      <c r="EL299" s="182">
        <f t="shared" si="703"/>
        <v>0</v>
      </c>
      <c r="EM299" s="182">
        <f t="shared" si="703"/>
        <v>0</v>
      </c>
      <c r="EN299" s="182">
        <f t="shared" si="703"/>
        <v>0</v>
      </c>
      <c r="EO299" s="182">
        <f t="shared" si="703"/>
        <v>0</v>
      </c>
      <c r="EP299" s="182">
        <f t="shared" si="703"/>
        <v>0</v>
      </c>
      <c r="EQ299" s="182">
        <f t="shared" si="703"/>
        <v>0</v>
      </c>
      <c r="ER299" s="182">
        <f t="shared" si="703"/>
        <v>0</v>
      </c>
      <c r="ES299" s="182">
        <f t="shared" si="703"/>
        <v>0</v>
      </c>
      <c r="ET299" s="182">
        <f t="shared" si="703"/>
        <v>0</v>
      </c>
      <c r="EU299" s="182">
        <f t="shared" si="703"/>
        <v>0</v>
      </c>
      <c r="EV299" s="182">
        <f t="shared" si="703"/>
        <v>0</v>
      </c>
      <c r="EW299" s="182">
        <f t="shared" si="703"/>
        <v>0</v>
      </c>
      <c r="EX299" s="182">
        <f t="shared" si="703"/>
        <v>0</v>
      </c>
      <c r="EY299" s="182">
        <f t="shared" si="703"/>
        <v>0</v>
      </c>
      <c r="EZ299" s="182">
        <f t="shared" si="703"/>
        <v>0</v>
      </c>
      <c r="FA299" s="182">
        <f t="shared" si="703"/>
        <v>0</v>
      </c>
      <c r="FB299" s="183">
        <f t="shared" si="703"/>
        <v>0</v>
      </c>
    </row>
    <row r="300" spans="2:158" ht="12.75" customHeight="1" x14ac:dyDescent="0.3">
      <c r="B300" s="199" t="s">
        <v>3943</v>
      </c>
      <c r="C300" s="193">
        <v>0</v>
      </c>
      <c r="D300" s="182">
        <f t="shared" si="560"/>
        <v>0</v>
      </c>
      <c r="E300" s="182">
        <f t="shared" si="566"/>
        <v>0</v>
      </c>
      <c r="F300" s="182">
        <f t="shared" si="572"/>
        <v>0</v>
      </c>
      <c r="G300" s="182">
        <f t="shared" si="578"/>
        <v>0</v>
      </c>
      <c r="H300" s="182">
        <f t="shared" si="584"/>
        <v>0</v>
      </c>
      <c r="I300" s="176">
        <f t="shared" si="590"/>
        <v>0</v>
      </c>
      <c r="J300" s="182">
        <f t="shared" si="596"/>
        <v>0</v>
      </c>
      <c r="K300" s="182">
        <f t="shared" si="602"/>
        <v>0</v>
      </c>
      <c r="L300" s="182">
        <f t="shared" si="608"/>
        <v>0</v>
      </c>
      <c r="M300" s="182">
        <f t="shared" si="614"/>
        <v>0</v>
      </c>
      <c r="N300" s="182">
        <f t="shared" si="619"/>
        <v>0</v>
      </c>
      <c r="O300" s="182">
        <f t="shared" si="624"/>
        <v>0</v>
      </c>
      <c r="P300" s="182">
        <f t="shared" si="629"/>
        <v>0</v>
      </c>
      <c r="Q300" s="182">
        <f t="shared" si="634"/>
        <v>0</v>
      </c>
      <c r="R300" s="182">
        <f t="shared" si="639"/>
        <v>0</v>
      </c>
      <c r="S300" s="182">
        <f t="shared" si="644"/>
        <v>0</v>
      </c>
      <c r="T300" s="182">
        <f t="shared" si="649"/>
        <v>0</v>
      </c>
      <c r="U300" s="182">
        <f t="shared" si="654"/>
        <v>0</v>
      </c>
      <c r="V300" s="182">
        <f t="shared" si="659"/>
        <v>0</v>
      </c>
      <c r="W300" s="182">
        <f t="shared" si="664"/>
        <v>0</v>
      </c>
      <c r="X300" s="182">
        <f t="shared" si="669"/>
        <v>0</v>
      </c>
      <c r="Y300" s="182">
        <f t="shared" si="674"/>
        <v>0</v>
      </c>
      <c r="Z300" s="182">
        <f t="shared" si="679"/>
        <v>0</v>
      </c>
      <c r="AA300" s="182">
        <f t="shared" si="684"/>
        <v>0</v>
      </c>
      <c r="AB300" s="182">
        <f t="shared" si="689"/>
        <v>0</v>
      </c>
      <c r="AC300" s="182">
        <f t="shared" si="694"/>
        <v>0</v>
      </c>
      <c r="AD300" s="182">
        <f t="shared" si="699"/>
        <v>0</v>
      </c>
      <c r="AE300" s="182">
        <f t="shared" ref="AE300:AE330" si="704">AE133*AE$168</f>
        <v>0</v>
      </c>
      <c r="AF300" s="182">
        <f t="shared" si="540"/>
        <v>0</v>
      </c>
      <c r="AG300" s="182">
        <f t="shared" si="545"/>
        <v>0</v>
      </c>
      <c r="AH300" s="182">
        <f t="shared" si="550"/>
        <v>0</v>
      </c>
      <c r="AI300" s="182">
        <f t="shared" si="555"/>
        <v>0</v>
      </c>
      <c r="AJ300" s="182">
        <f t="shared" si="561"/>
        <v>0</v>
      </c>
      <c r="AK300" s="182">
        <f t="shared" si="567"/>
        <v>0</v>
      </c>
      <c r="AL300" s="182">
        <f t="shared" si="573"/>
        <v>0</v>
      </c>
      <c r="AM300" s="182">
        <f t="shared" si="579"/>
        <v>0</v>
      </c>
      <c r="AN300" s="182">
        <f t="shared" si="585"/>
        <v>0</v>
      </c>
      <c r="AO300" s="182">
        <f t="shared" si="591"/>
        <v>0</v>
      </c>
      <c r="AP300" s="182">
        <f t="shared" si="597"/>
        <v>0</v>
      </c>
      <c r="AQ300" s="182">
        <f t="shared" si="603"/>
        <v>0</v>
      </c>
      <c r="AR300" s="182">
        <f t="shared" si="609"/>
        <v>0</v>
      </c>
      <c r="AS300" s="182">
        <f t="shared" si="615"/>
        <v>0</v>
      </c>
      <c r="AT300" s="182">
        <f t="shared" si="620"/>
        <v>0</v>
      </c>
      <c r="AU300" s="182">
        <f t="shared" si="625"/>
        <v>0</v>
      </c>
      <c r="AV300" s="182">
        <f t="shared" si="630"/>
        <v>0</v>
      </c>
      <c r="AW300" s="182">
        <f t="shared" si="635"/>
        <v>0</v>
      </c>
      <c r="AX300" s="182">
        <f t="shared" si="640"/>
        <v>0</v>
      </c>
      <c r="AY300" s="182">
        <f t="shared" si="645"/>
        <v>0</v>
      </c>
      <c r="AZ300" s="182">
        <f t="shared" si="650"/>
        <v>0</v>
      </c>
      <c r="BA300" s="182">
        <f t="shared" si="655"/>
        <v>0</v>
      </c>
      <c r="BB300" s="182">
        <f t="shared" si="660"/>
        <v>0</v>
      </c>
      <c r="BC300" s="182">
        <f t="shared" si="665"/>
        <v>0</v>
      </c>
      <c r="BD300" s="182">
        <f t="shared" si="670"/>
        <v>0</v>
      </c>
      <c r="BE300" s="182">
        <f t="shared" si="675"/>
        <v>0</v>
      </c>
      <c r="BF300" s="182">
        <f t="shared" si="680"/>
        <v>0</v>
      </c>
      <c r="BG300" s="182">
        <f t="shared" si="685"/>
        <v>0</v>
      </c>
      <c r="BH300" s="182">
        <f t="shared" si="690"/>
        <v>0</v>
      </c>
      <c r="BI300" s="182">
        <f t="shared" si="695"/>
        <v>0</v>
      </c>
      <c r="BJ300" s="182">
        <f t="shared" si="700"/>
        <v>0</v>
      </c>
      <c r="BK300" s="182">
        <f t="shared" ref="BK300:BK330" si="705">BK133*BK$168</f>
        <v>0</v>
      </c>
      <c r="BL300" s="182">
        <f t="shared" si="541"/>
        <v>0</v>
      </c>
      <c r="BM300" s="182">
        <f t="shared" si="546"/>
        <v>0</v>
      </c>
      <c r="BN300" s="182">
        <f t="shared" si="551"/>
        <v>0</v>
      </c>
      <c r="BO300" s="182">
        <f t="shared" si="556"/>
        <v>0</v>
      </c>
      <c r="BP300" s="182">
        <f t="shared" si="562"/>
        <v>0</v>
      </c>
      <c r="BQ300" s="182">
        <f t="shared" si="568"/>
        <v>0</v>
      </c>
      <c r="BR300" s="182">
        <f t="shared" si="574"/>
        <v>0</v>
      </c>
      <c r="BS300" s="182">
        <f t="shared" si="580"/>
        <v>0</v>
      </c>
      <c r="BT300" s="182">
        <f t="shared" si="586"/>
        <v>0</v>
      </c>
      <c r="BU300" s="182">
        <f t="shared" si="592"/>
        <v>0</v>
      </c>
      <c r="BV300" s="182">
        <f t="shared" si="598"/>
        <v>0</v>
      </c>
      <c r="BW300" s="182">
        <f t="shared" si="604"/>
        <v>0</v>
      </c>
      <c r="BX300" s="182">
        <f t="shared" si="610"/>
        <v>0</v>
      </c>
      <c r="BY300" s="182">
        <f t="shared" si="616"/>
        <v>0</v>
      </c>
      <c r="BZ300" s="182">
        <f t="shared" si="621"/>
        <v>0</v>
      </c>
      <c r="CA300" s="182">
        <f t="shared" si="626"/>
        <v>0</v>
      </c>
      <c r="CB300" s="182">
        <f t="shared" si="631"/>
        <v>0</v>
      </c>
      <c r="CC300" s="182">
        <f t="shared" si="636"/>
        <v>0</v>
      </c>
      <c r="CD300" s="182">
        <f t="shared" si="641"/>
        <v>0</v>
      </c>
      <c r="CE300" s="182">
        <f t="shared" si="646"/>
        <v>0</v>
      </c>
      <c r="CF300" s="182">
        <f t="shared" si="651"/>
        <v>0</v>
      </c>
      <c r="CG300" s="182">
        <f t="shared" si="656"/>
        <v>0</v>
      </c>
      <c r="CH300" s="182">
        <f t="shared" si="661"/>
        <v>0</v>
      </c>
      <c r="CI300" s="182">
        <f t="shared" si="666"/>
        <v>0</v>
      </c>
      <c r="CJ300" s="182">
        <f t="shared" si="671"/>
        <v>0</v>
      </c>
      <c r="CK300" s="182">
        <f t="shared" si="676"/>
        <v>0</v>
      </c>
      <c r="CL300" s="182">
        <f t="shared" si="681"/>
        <v>0</v>
      </c>
      <c r="CM300" s="182">
        <f t="shared" si="686"/>
        <v>0</v>
      </c>
      <c r="CN300" s="182">
        <f t="shared" si="691"/>
        <v>0</v>
      </c>
      <c r="CO300" s="182">
        <f t="shared" si="696"/>
        <v>0</v>
      </c>
      <c r="CP300" s="182">
        <f t="shared" si="701"/>
        <v>0</v>
      </c>
      <c r="CQ300" s="182">
        <f t="shared" ref="CQ300:CQ330" si="706">CQ133*CQ$168</f>
        <v>0</v>
      </c>
      <c r="CR300" s="182">
        <f t="shared" si="542"/>
        <v>0</v>
      </c>
      <c r="CS300" s="182">
        <f t="shared" si="547"/>
        <v>0</v>
      </c>
      <c r="CT300" s="182">
        <f t="shared" si="552"/>
        <v>0</v>
      </c>
      <c r="CU300" s="182">
        <f t="shared" si="557"/>
        <v>0</v>
      </c>
      <c r="CV300" s="182">
        <f t="shared" si="563"/>
        <v>0</v>
      </c>
      <c r="CW300" s="182">
        <f t="shared" si="569"/>
        <v>0</v>
      </c>
      <c r="CX300" s="182">
        <f t="shared" si="575"/>
        <v>0</v>
      </c>
      <c r="CY300" s="182">
        <f t="shared" si="581"/>
        <v>0</v>
      </c>
      <c r="CZ300" s="182">
        <f t="shared" si="587"/>
        <v>0</v>
      </c>
      <c r="DA300" s="182">
        <f t="shared" si="593"/>
        <v>0</v>
      </c>
      <c r="DB300" s="182">
        <f t="shared" si="599"/>
        <v>0</v>
      </c>
      <c r="DC300" s="182">
        <f t="shared" si="605"/>
        <v>0</v>
      </c>
      <c r="DD300" s="182">
        <f t="shared" si="611"/>
        <v>0</v>
      </c>
      <c r="DE300" s="182">
        <f t="shared" si="617"/>
        <v>0</v>
      </c>
      <c r="DF300" s="182">
        <f t="shared" si="622"/>
        <v>0</v>
      </c>
      <c r="DG300" s="182">
        <f t="shared" si="627"/>
        <v>0</v>
      </c>
      <c r="DH300" s="182">
        <f t="shared" si="632"/>
        <v>0</v>
      </c>
      <c r="DI300" s="182">
        <f t="shared" si="637"/>
        <v>0</v>
      </c>
      <c r="DJ300" s="182">
        <f t="shared" si="642"/>
        <v>0</v>
      </c>
      <c r="DK300" s="182">
        <f t="shared" si="647"/>
        <v>0</v>
      </c>
      <c r="DL300" s="182">
        <f t="shared" si="652"/>
        <v>0</v>
      </c>
      <c r="DM300" s="182">
        <f t="shared" si="657"/>
        <v>0</v>
      </c>
      <c r="DN300" s="182">
        <f t="shared" si="662"/>
        <v>0</v>
      </c>
      <c r="DO300" s="182">
        <f t="shared" si="667"/>
        <v>0</v>
      </c>
      <c r="DP300" s="182">
        <f t="shared" si="672"/>
        <v>0</v>
      </c>
      <c r="DQ300" s="182">
        <f t="shared" si="677"/>
        <v>0</v>
      </c>
      <c r="DR300" s="182">
        <f t="shared" si="682"/>
        <v>0</v>
      </c>
      <c r="DS300" s="182">
        <f t="shared" si="687"/>
        <v>0</v>
      </c>
      <c r="DT300" s="182">
        <f t="shared" si="692"/>
        <v>0</v>
      </c>
      <c r="DU300" s="182">
        <f t="shared" si="697"/>
        <v>0</v>
      </c>
      <c r="DV300" s="182">
        <f t="shared" si="702"/>
        <v>0</v>
      </c>
      <c r="DW300" s="182">
        <f t="shared" ref="DW300:DW330" si="707">DW133*DW$168</f>
        <v>0</v>
      </c>
      <c r="DX300" s="181">
        <f>$C300+SUM($D300:DW300,DY300:$FB300)-SUM(DX$176:DX299,DX301:DX$330)-DX$331</f>
        <v>0</v>
      </c>
      <c r="DY300" s="176">
        <f t="shared" ref="DY300:FB300" si="708">DY133*DY$168</f>
        <v>0</v>
      </c>
      <c r="DZ300" s="176">
        <f t="shared" si="708"/>
        <v>0</v>
      </c>
      <c r="EA300" s="176">
        <f t="shared" si="708"/>
        <v>0</v>
      </c>
      <c r="EB300" s="176">
        <f t="shared" si="708"/>
        <v>0</v>
      </c>
      <c r="EC300" s="176">
        <f t="shared" si="708"/>
        <v>0</v>
      </c>
      <c r="ED300" s="176">
        <f t="shared" si="708"/>
        <v>0</v>
      </c>
      <c r="EE300" s="176">
        <f t="shared" si="708"/>
        <v>0</v>
      </c>
      <c r="EF300" s="182">
        <f t="shared" si="708"/>
        <v>0</v>
      </c>
      <c r="EG300" s="182">
        <f t="shared" si="708"/>
        <v>0</v>
      </c>
      <c r="EH300" s="182">
        <f t="shared" si="708"/>
        <v>0</v>
      </c>
      <c r="EI300" s="182">
        <f t="shared" si="708"/>
        <v>0</v>
      </c>
      <c r="EJ300" s="182">
        <f t="shared" si="708"/>
        <v>0</v>
      </c>
      <c r="EK300" s="182">
        <f t="shared" si="708"/>
        <v>0</v>
      </c>
      <c r="EL300" s="182">
        <f t="shared" si="708"/>
        <v>0</v>
      </c>
      <c r="EM300" s="182">
        <f t="shared" si="708"/>
        <v>0</v>
      </c>
      <c r="EN300" s="182">
        <f t="shared" si="708"/>
        <v>0</v>
      </c>
      <c r="EO300" s="182">
        <f t="shared" si="708"/>
        <v>0</v>
      </c>
      <c r="EP300" s="182">
        <f t="shared" si="708"/>
        <v>0</v>
      </c>
      <c r="EQ300" s="182">
        <f t="shared" si="708"/>
        <v>0</v>
      </c>
      <c r="ER300" s="182">
        <f t="shared" si="708"/>
        <v>0</v>
      </c>
      <c r="ES300" s="182">
        <f t="shared" si="708"/>
        <v>0</v>
      </c>
      <c r="ET300" s="182">
        <f t="shared" si="708"/>
        <v>0</v>
      </c>
      <c r="EU300" s="182">
        <f t="shared" si="708"/>
        <v>0</v>
      </c>
      <c r="EV300" s="182">
        <f t="shared" si="708"/>
        <v>0</v>
      </c>
      <c r="EW300" s="182">
        <f t="shared" si="708"/>
        <v>0</v>
      </c>
      <c r="EX300" s="182">
        <f t="shared" si="708"/>
        <v>0</v>
      </c>
      <c r="EY300" s="182">
        <f t="shared" si="708"/>
        <v>0</v>
      </c>
      <c r="EZ300" s="182">
        <f t="shared" si="708"/>
        <v>0</v>
      </c>
      <c r="FA300" s="182">
        <f t="shared" si="708"/>
        <v>0</v>
      </c>
      <c r="FB300" s="183">
        <f t="shared" si="708"/>
        <v>0</v>
      </c>
    </row>
    <row r="301" spans="2:158" ht="12.75" customHeight="1" x14ac:dyDescent="0.3">
      <c r="B301" s="199" t="s">
        <v>3944</v>
      </c>
      <c r="C301" s="193">
        <v>0</v>
      </c>
      <c r="D301" s="182">
        <f t="shared" si="560"/>
        <v>0</v>
      </c>
      <c r="E301" s="182">
        <f t="shared" si="566"/>
        <v>0</v>
      </c>
      <c r="F301" s="182">
        <f t="shared" si="572"/>
        <v>0</v>
      </c>
      <c r="G301" s="182">
        <f t="shared" si="578"/>
        <v>0</v>
      </c>
      <c r="H301" s="182">
        <f t="shared" si="584"/>
        <v>0</v>
      </c>
      <c r="I301" s="176">
        <f t="shared" si="590"/>
        <v>0</v>
      </c>
      <c r="J301" s="182">
        <f t="shared" si="596"/>
        <v>0</v>
      </c>
      <c r="K301" s="182">
        <f t="shared" si="602"/>
        <v>0</v>
      </c>
      <c r="L301" s="182">
        <f t="shared" si="608"/>
        <v>0</v>
      </c>
      <c r="M301" s="182">
        <f t="shared" si="614"/>
        <v>0</v>
      </c>
      <c r="N301" s="182">
        <f t="shared" si="619"/>
        <v>0</v>
      </c>
      <c r="O301" s="182">
        <f t="shared" si="624"/>
        <v>0</v>
      </c>
      <c r="P301" s="182">
        <f t="shared" si="629"/>
        <v>0</v>
      </c>
      <c r="Q301" s="182">
        <f t="shared" si="634"/>
        <v>0</v>
      </c>
      <c r="R301" s="182">
        <f t="shared" si="639"/>
        <v>0</v>
      </c>
      <c r="S301" s="182">
        <f t="shared" si="644"/>
        <v>0</v>
      </c>
      <c r="T301" s="182">
        <f t="shared" si="649"/>
        <v>0</v>
      </c>
      <c r="U301" s="182">
        <f t="shared" si="654"/>
        <v>0</v>
      </c>
      <c r="V301" s="182">
        <f t="shared" si="659"/>
        <v>0</v>
      </c>
      <c r="W301" s="182">
        <f t="shared" si="664"/>
        <v>0</v>
      </c>
      <c r="X301" s="182">
        <f t="shared" si="669"/>
        <v>0</v>
      </c>
      <c r="Y301" s="182">
        <f t="shared" si="674"/>
        <v>0</v>
      </c>
      <c r="Z301" s="182">
        <f t="shared" si="679"/>
        <v>0</v>
      </c>
      <c r="AA301" s="182">
        <f t="shared" si="684"/>
        <v>0</v>
      </c>
      <c r="AB301" s="182">
        <f t="shared" si="689"/>
        <v>0</v>
      </c>
      <c r="AC301" s="182">
        <f t="shared" si="694"/>
        <v>0</v>
      </c>
      <c r="AD301" s="182">
        <f t="shared" si="699"/>
        <v>0</v>
      </c>
      <c r="AE301" s="182">
        <f t="shared" si="704"/>
        <v>0</v>
      </c>
      <c r="AF301" s="182">
        <f t="shared" ref="AF301:AF330" si="709">AF134*AF$168</f>
        <v>0</v>
      </c>
      <c r="AG301" s="182">
        <f t="shared" si="545"/>
        <v>0</v>
      </c>
      <c r="AH301" s="182">
        <f t="shared" si="550"/>
        <v>0</v>
      </c>
      <c r="AI301" s="182">
        <f t="shared" si="555"/>
        <v>0</v>
      </c>
      <c r="AJ301" s="182">
        <f t="shared" si="561"/>
        <v>0</v>
      </c>
      <c r="AK301" s="182">
        <f t="shared" si="567"/>
        <v>0</v>
      </c>
      <c r="AL301" s="182">
        <f t="shared" si="573"/>
        <v>0</v>
      </c>
      <c r="AM301" s="182">
        <f t="shared" si="579"/>
        <v>0</v>
      </c>
      <c r="AN301" s="182">
        <f t="shared" si="585"/>
        <v>0</v>
      </c>
      <c r="AO301" s="182">
        <f t="shared" si="591"/>
        <v>0</v>
      </c>
      <c r="AP301" s="182">
        <f t="shared" si="597"/>
        <v>0</v>
      </c>
      <c r="AQ301" s="182">
        <f t="shared" si="603"/>
        <v>0</v>
      </c>
      <c r="AR301" s="182">
        <f t="shared" si="609"/>
        <v>0</v>
      </c>
      <c r="AS301" s="182">
        <f t="shared" si="615"/>
        <v>0</v>
      </c>
      <c r="AT301" s="182">
        <f t="shared" si="620"/>
        <v>0</v>
      </c>
      <c r="AU301" s="182">
        <f t="shared" si="625"/>
        <v>0</v>
      </c>
      <c r="AV301" s="182">
        <f t="shared" si="630"/>
        <v>0</v>
      </c>
      <c r="AW301" s="182">
        <f t="shared" si="635"/>
        <v>0</v>
      </c>
      <c r="AX301" s="182">
        <f t="shared" si="640"/>
        <v>0</v>
      </c>
      <c r="AY301" s="182">
        <f t="shared" si="645"/>
        <v>0</v>
      </c>
      <c r="AZ301" s="182">
        <f t="shared" si="650"/>
        <v>0</v>
      </c>
      <c r="BA301" s="182">
        <f t="shared" si="655"/>
        <v>0</v>
      </c>
      <c r="BB301" s="182">
        <f t="shared" si="660"/>
        <v>0</v>
      </c>
      <c r="BC301" s="182">
        <f t="shared" si="665"/>
        <v>0</v>
      </c>
      <c r="BD301" s="182">
        <f t="shared" si="670"/>
        <v>0</v>
      </c>
      <c r="BE301" s="182">
        <f t="shared" si="675"/>
        <v>0</v>
      </c>
      <c r="BF301" s="182">
        <f t="shared" si="680"/>
        <v>0</v>
      </c>
      <c r="BG301" s="182">
        <f t="shared" si="685"/>
        <v>0</v>
      </c>
      <c r="BH301" s="182">
        <f t="shared" si="690"/>
        <v>0</v>
      </c>
      <c r="BI301" s="182">
        <f t="shared" si="695"/>
        <v>0</v>
      </c>
      <c r="BJ301" s="182">
        <f t="shared" si="700"/>
        <v>0</v>
      </c>
      <c r="BK301" s="182">
        <f t="shared" si="705"/>
        <v>0</v>
      </c>
      <c r="BL301" s="182">
        <f t="shared" ref="BL301:BL330" si="710">BL134*BL$168</f>
        <v>0</v>
      </c>
      <c r="BM301" s="182">
        <f t="shared" si="546"/>
        <v>0</v>
      </c>
      <c r="BN301" s="182">
        <f t="shared" si="551"/>
        <v>0</v>
      </c>
      <c r="BO301" s="182">
        <f t="shared" si="556"/>
        <v>0</v>
      </c>
      <c r="BP301" s="182">
        <f t="shared" si="562"/>
        <v>0</v>
      </c>
      <c r="BQ301" s="182">
        <f t="shared" si="568"/>
        <v>0</v>
      </c>
      <c r="BR301" s="182">
        <f t="shared" si="574"/>
        <v>0</v>
      </c>
      <c r="BS301" s="182">
        <f t="shared" si="580"/>
        <v>0</v>
      </c>
      <c r="BT301" s="182">
        <f t="shared" si="586"/>
        <v>0</v>
      </c>
      <c r="BU301" s="182">
        <f t="shared" si="592"/>
        <v>0</v>
      </c>
      <c r="BV301" s="182">
        <f t="shared" si="598"/>
        <v>0</v>
      </c>
      <c r="BW301" s="182">
        <f t="shared" si="604"/>
        <v>0</v>
      </c>
      <c r="BX301" s="182">
        <f t="shared" si="610"/>
        <v>0</v>
      </c>
      <c r="BY301" s="182">
        <f t="shared" si="616"/>
        <v>0</v>
      </c>
      <c r="BZ301" s="182">
        <f t="shared" si="621"/>
        <v>0</v>
      </c>
      <c r="CA301" s="182">
        <f t="shared" si="626"/>
        <v>0</v>
      </c>
      <c r="CB301" s="182">
        <f t="shared" si="631"/>
        <v>0</v>
      </c>
      <c r="CC301" s="182">
        <f t="shared" si="636"/>
        <v>0</v>
      </c>
      <c r="CD301" s="182">
        <f t="shared" si="641"/>
        <v>0</v>
      </c>
      <c r="CE301" s="182">
        <f t="shared" si="646"/>
        <v>0</v>
      </c>
      <c r="CF301" s="182">
        <f t="shared" si="651"/>
        <v>0</v>
      </c>
      <c r="CG301" s="182">
        <f t="shared" si="656"/>
        <v>0</v>
      </c>
      <c r="CH301" s="182">
        <f t="shared" si="661"/>
        <v>0</v>
      </c>
      <c r="CI301" s="182">
        <f t="shared" si="666"/>
        <v>0</v>
      </c>
      <c r="CJ301" s="182">
        <f t="shared" si="671"/>
        <v>0</v>
      </c>
      <c r="CK301" s="182">
        <f t="shared" si="676"/>
        <v>0</v>
      </c>
      <c r="CL301" s="182">
        <f t="shared" si="681"/>
        <v>0</v>
      </c>
      <c r="CM301" s="182">
        <f t="shared" si="686"/>
        <v>0</v>
      </c>
      <c r="CN301" s="182">
        <f t="shared" si="691"/>
        <v>0</v>
      </c>
      <c r="CO301" s="182">
        <f t="shared" si="696"/>
        <v>0</v>
      </c>
      <c r="CP301" s="182">
        <f t="shared" si="701"/>
        <v>0</v>
      </c>
      <c r="CQ301" s="182">
        <f t="shared" si="706"/>
        <v>0</v>
      </c>
      <c r="CR301" s="182">
        <f t="shared" ref="CR301:CR330" si="711">CR134*CR$168</f>
        <v>0</v>
      </c>
      <c r="CS301" s="182">
        <f t="shared" si="547"/>
        <v>0</v>
      </c>
      <c r="CT301" s="182">
        <f t="shared" si="552"/>
        <v>0</v>
      </c>
      <c r="CU301" s="182">
        <f t="shared" si="557"/>
        <v>0</v>
      </c>
      <c r="CV301" s="182">
        <f t="shared" si="563"/>
        <v>0</v>
      </c>
      <c r="CW301" s="182">
        <f t="shared" si="569"/>
        <v>0</v>
      </c>
      <c r="CX301" s="182">
        <f t="shared" si="575"/>
        <v>0</v>
      </c>
      <c r="CY301" s="182">
        <f t="shared" si="581"/>
        <v>0</v>
      </c>
      <c r="CZ301" s="182">
        <f t="shared" si="587"/>
        <v>0</v>
      </c>
      <c r="DA301" s="182">
        <f t="shared" si="593"/>
        <v>0</v>
      </c>
      <c r="DB301" s="182">
        <f t="shared" si="599"/>
        <v>0</v>
      </c>
      <c r="DC301" s="182">
        <f t="shared" si="605"/>
        <v>0</v>
      </c>
      <c r="DD301" s="182">
        <f t="shared" si="611"/>
        <v>0</v>
      </c>
      <c r="DE301" s="182">
        <f t="shared" si="617"/>
        <v>0</v>
      </c>
      <c r="DF301" s="182">
        <f t="shared" si="622"/>
        <v>0</v>
      </c>
      <c r="DG301" s="182">
        <f t="shared" si="627"/>
        <v>0</v>
      </c>
      <c r="DH301" s="182">
        <f t="shared" si="632"/>
        <v>0</v>
      </c>
      <c r="DI301" s="182">
        <f t="shared" si="637"/>
        <v>0</v>
      </c>
      <c r="DJ301" s="182">
        <f t="shared" si="642"/>
        <v>0</v>
      </c>
      <c r="DK301" s="182">
        <f t="shared" si="647"/>
        <v>0</v>
      </c>
      <c r="DL301" s="182">
        <f t="shared" si="652"/>
        <v>0</v>
      </c>
      <c r="DM301" s="182">
        <f t="shared" si="657"/>
        <v>0</v>
      </c>
      <c r="DN301" s="182">
        <f t="shared" si="662"/>
        <v>0</v>
      </c>
      <c r="DO301" s="182">
        <f t="shared" si="667"/>
        <v>0</v>
      </c>
      <c r="DP301" s="182">
        <f t="shared" si="672"/>
        <v>0</v>
      </c>
      <c r="DQ301" s="182">
        <f t="shared" si="677"/>
        <v>0</v>
      </c>
      <c r="DR301" s="182">
        <f t="shared" si="682"/>
        <v>0</v>
      </c>
      <c r="DS301" s="182">
        <f t="shared" si="687"/>
        <v>0</v>
      </c>
      <c r="DT301" s="182">
        <f t="shared" si="692"/>
        <v>0</v>
      </c>
      <c r="DU301" s="182">
        <f t="shared" si="697"/>
        <v>3.313869751837135E-19</v>
      </c>
      <c r="DV301" s="182">
        <f t="shared" si="702"/>
        <v>0</v>
      </c>
      <c r="DW301" s="182">
        <f t="shared" si="707"/>
        <v>0</v>
      </c>
      <c r="DX301" s="182">
        <f t="shared" ref="DX301:DX330" si="712">DX134*DX$168</f>
        <v>0</v>
      </c>
      <c r="DY301" s="181">
        <f>$C301+SUM($D301:DX301,DZ301:$FB301)-SUM(DY$176:DY300,DY302:DY$330)-DY$331</f>
        <v>1.0156736193502811E-34</v>
      </c>
      <c r="DZ301" s="176">
        <f t="shared" ref="DZ301:FB301" si="713">DZ134*DZ$168</f>
        <v>0</v>
      </c>
      <c r="EA301" s="176">
        <f t="shared" si="713"/>
        <v>0</v>
      </c>
      <c r="EB301" s="176">
        <f t="shared" si="713"/>
        <v>0</v>
      </c>
      <c r="EC301" s="176">
        <f t="shared" si="713"/>
        <v>0</v>
      </c>
      <c r="ED301" s="176">
        <f t="shared" si="713"/>
        <v>0</v>
      </c>
      <c r="EE301" s="176">
        <f t="shared" si="713"/>
        <v>0</v>
      </c>
      <c r="EF301" s="182">
        <f t="shared" si="713"/>
        <v>0</v>
      </c>
      <c r="EG301" s="182">
        <f t="shared" si="713"/>
        <v>0</v>
      </c>
      <c r="EH301" s="182">
        <f t="shared" si="713"/>
        <v>0</v>
      </c>
      <c r="EI301" s="182">
        <f t="shared" si="713"/>
        <v>0</v>
      </c>
      <c r="EJ301" s="182">
        <f t="shared" si="713"/>
        <v>0</v>
      </c>
      <c r="EK301" s="182">
        <f t="shared" si="713"/>
        <v>0</v>
      </c>
      <c r="EL301" s="182">
        <f t="shared" si="713"/>
        <v>0</v>
      </c>
      <c r="EM301" s="182">
        <f t="shared" si="713"/>
        <v>0</v>
      </c>
      <c r="EN301" s="182">
        <f t="shared" si="713"/>
        <v>0</v>
      </c>
      <c r="EO301" s="182">
        <f t="shared" si="713"/>
        <v>0</v>
      </c>
      <c r="EP301" s="182">
        <f t="shared" si="713"/>
        <v>0</v>
      </c>
      <c r="EQ301" s="182">
        <f t="shared" si="713"/>
        <v>0</v>
      </c>
      <c r="ER301" s="182">
        <f t="shared" si="713"/>
        <v>0</v>
      </c>
      <c r="ES301" s="182">
        <f t="shared" si="713"/>
        <v>0</v>
      </c>
      <c r="ET301" s="182">
        <f t="shared" si="713"/>
        <v>0</v>
      </c>
      <c r="EU301" s="182">
        <f t="shared" si="713"/>
        <v>0</v>
      </c>
      <c r="EV301" s="182">
        <f t="shared" si="713"/>
        <v>0</v>
      </c>
      <c r="EW301" s="182">
        <f t="shared" si="713"/>
        <v>0</v>
      </c>
      <c r="EX301" s="182">
        <f t="shared" si="713"/>
        <v>0</v>
      </c>
      <c r="EY301" s="182">
        <f t="shared" si="713"/>
        <v>0</v>
      </c>
      <c r="EZ301" s="182">
        <f t="shared" si="713"/>
        <v>0</v>
      </c>
      <c r="FA301" s="182">
        <f t="shared" si="713"/>
        <v>0</v>
      </c>
      <c r="FB301" s="183">
        <f t="shared" si="713"/>
        <v>0</v>
      </c>
    </row>
    <row r="302" spans="2:158" ht="12.75" customHeight="1" x14ac:dyDescent="0.3">
      <c r="B302" s="199" t="s">
        <v>3945</v>
      </c>
      <c r="C302" s="193">
        <v>0</v>
      </c>
      <c r="D302" s="182">
        <f t="shared" si="560"/>
        <v>0</v>
      </c>
      <c r="E302" s="182">
        <f t="shared" si="566"/>
        <v>0</v>
      </c>
      <c r="F302" s="182">
        <f t="shared" si="572"/>
        <v>0</v>
      </c>
      <c r="G302" s="182">
        <f t="shared" si="578"/>
        <v>0</v>
      </c>
      <c r="H302" s="182">
        <f t="shared" si="584"/>
        <v>0</v>
      </c>
      <c r="I302" s="176">
        <f t="shared" si="590"/>
        <v>0</v>
      </c>
      <c r="J302" s="182">
        <f t="shared" si="596"/>
        <v>0</v>
      </c>
      <c r="K302" s="182">
        <f t="shared" si="602"/>
        <v>0</v>
      </c>
      <c r="L302" s="182">
        <f t="shared" si="608"/>
        <v>0</v>
      </c>
      <c r="M302" s="182">
        <f t="shared" si="614"/>
        <v>0</v>
      </c>
      <c r="N302" s="182">
        <f t="shared" si="619"/>
        <v>0</v>
      </c>
      <c r="O302" s="182">
        <f t="shared" si="624"/>
        <v>0</v>
      </c>
      <c r="P302" s="182">
        <f t="shared" si="629"/>
        <v>0</v>
      </c>
      <c r="Q302" s="182">
        <f t="shared" si="634"/>
        <v>0</v>
      </c>
      <c r="R302" s="182">
        <f t="shared" si="639"/>
        <v>0</v>
      </c>
      <c r="S302" s="182">
        <f t="shared" si="644"/>
        <v>0</v>
      </c>
      <c r="T302" s="182">
        <f t="shared" si="649"/>
        <v>0</v>
      </c>
      <c r="U302" s="182">
        <f t="shared" si="654"/>
        <v>0</v>
      </c>
      <c r="V302" s="182">
        <f t="shared" si="659"/>
        <v>0</v>
      </c>
      <c r="W302" s="182">
        <f t="shared" si="664"/>
        <v>0</v>
      </c>
      <c r="X302" s="182">
        <f t="shared" si="669"/>
        <v>0</v>
      </c>
      <c r="Y302" s="182">
        <f t="shared" si="674"/>
        <v>0</v>
      </c>
      <c r="Z302" s="182">
        <f t="shared" si="679"/>
        <v>0</v>
      </c>
      <c r="AA302" s="182">
        <f t="shared" si="684"/>
        <v>0</v>
      </c>
      <c r="AB302" s="182">
        <f t="shared" si="689"/>
        <v>0</v>
      </c>
      <c r="AC302" s="182">
        <f t="shared" si="694"/>
        <v>0</v>
      </c>
      <c r="AD302" s="182">
        <f t="shared" si="699"/>
        <v>0</v>
      </c>
      <c r="AE302" s="182">
        <f t="shared" si="704"/>
        <v>0</v>
      </c>
      <c r="AF302" s="182">
        <f t="shared" si="709"/>
        <v>0</v>
      </c>
      <c r="AG302" s="182">
        <f t="shared" ref="AG302:AG330" si="714">AG135*AG$168</f>
        <v>0</v>
      </c>
      <c r="AH302" s="182">
        <f t="shared" si="550"/>
        <v>0</v>
      </c>
      <c r="AI302" s="182">
        <f t="shared" si="555"/>
        <v>0</v>
      </c>
      <c r="AJ302" s="182">
        <f t="shared" si="561"/>
        <v>0</v>
      </c>
      <c r="AK302" s="182">
        <f t="shared" si="567"/>
        <v>0</v>
      </c>
      <c r="AL302" s="182">
        <f t="shared" si="573"/>
        <v>0</v>
      </c>
      <c r="AM302" s="182">
        <f t="shared" si="579"/>
        <v>0</v>
      </c>
      <c r="AN302" s="182">
        <f t="shared" si="585"/>
        <v>0</v>
      </c>
      <c r="AO302" s="182">
        <f t="shared" si="591"/>
        <v>0</v>
      </c>
      <c r="AP302" s="182">
        <f t="shared" si="597"/>
        <v>0</v>
      </c>
      <c r="AQ302" s="182">
        <f t="shared" si="603"/>
        <v>0</v>
      </c>
      <c r="AR302" s="182">
        <f t="shared" si="609"/>
        <v>0</v>
      </c>
      <c r="AS302" s="182">
        <f t="shared" si="615"/>
        <v>0</v>
      </c>
      <c r="AT302" s="182">
        <f t="shared" si="620"/>
        <v>0</v>
      </c>
      <c r="AU302" s="182">
        <f t="shared" si="625"/>
        <v>0</v>
      </c>
      <c r="AV302" s="182">
        <f t="shared" si="630"/>
        <v>0</v>
      </c>
      <c r="AW302" s="182">
        <f t="shared" si="635"/>
        <v>0</v>
      </c>
      <c r="AX302" s="182">
        <f t="shared" si="640"/>
        <v>0</v>
      </c>
      <c r="AY302" s="182">
        <f t="shared" si="645"/>
        <v>0</v>
      </c>
      <c r="AZ302" s="182">
        <f t="shared" si="650"/>
        <v>0</v>
      </c>
      <c r="BA302" s="182">
        <f t="shared" si="655"/>
        <v>0</v>
      </c>
      <c r="BB302" s="182">
        <f t="shared" si="660"/>
        <v>0</v>
      </c>
      <c r="BC302" s="182">
        <f t="shared" si="665"/>
        <v>0</v>
      </c>
      <c r="BD302" s="182">
        <f t="shared" si="670"/>
        <v>0</v>
      </c>
      <c r="BE302" s="182">
        <f t="shared" si="675"/>
        <v>0</v>
      </c>
      <c r="BF302" s="182">
        <f t="shared" si="680"/>
        <v>0</v>
      </c>
      <c r="BG302" s="182">
        <f t="shared" si="685"/>
        <v>0</v>
      </c>
      <c r="BH302" s="182">
        <f t="shared" si="690"/>
        <v>0</v>
      </c>
      <c r="BI302" s="182">
        <f t="shared" si="695"/>
        <v>0</v>
      </c>
      <c r="BJ302" s="182">
        <f t="shared" si="700"/>
        <v>0</v>
      </c>
      <c r="BK302" s="182">
        <f t="shared" si="705"/>
        <v>0</v>
      </c>
      <c r="BL302" s="182">
        <f t="shared" si="710"/>
        <v>0</v>
      </c>
      <c r="BM302" s="182">
        <f t="shared" ref="BM302:BM330" si="715">BM135*BM$168</f>
        <v>0</v>
      </c>
      <c r="BN302" s="182">
        <f t="shared" si="551"/>
        <v>0</v>
      </c>
      <c r="BO302" s="182">
        <f t="shared" si="556"/>
        <v>0</v>
      </c>
      <c r="BP302" s="182">
        <f t="shared" si="562"/>
        <v>0</v>
      </c>
      <c r="BQ302" s="182">
        <f t="shared" si="568"/>
        <v>0</v>
      </c>
      <c r="BR302" s="182">
        <f t="shared" si="574"/>
        <v>0</v>
      </c>
      <c r="BS302" s="182">
        <f t="shared" si="580"/>
        <v>0</v>
      </c>
      <c r="BT302" s="182">
        <f t="shared" si="586"/>
        <v>0</v>
      </c>
      <c r="BU302" s="182">
        <f t="shared" si="592"/>
        <v>0</v>
      </c>
      <c r="BV302" s="182">
        <f t="shared" si="598"/>
        <v>0</v>
      </c>
      <c r="BW302" s="182">
        <f t="shared" si="604"/>
        <v>0</v>
      </c>
      <c r="BX302" s="182">
        <f t="shared" si="610"/>
        <v>0</v>
      </c>
      <c r="BY302" s="182">
        <f t="shared" si="616"/>
        <v>0</v>
      </c>
      <c r="BZ302" s="182">
        <f t="shared" si="621"/>
        <v>0</v>
      </c>
      <c r="CA302" s="182">
        <f t="shared" si="626"/>
        <v>0</v>
      </c>
      <c r="CB302" s="182">
        <f t="shared" si="631"/>
        <v>0</v>
      </c>
      <c r="CC302" s="182">
        <f t="shared" si="636"/>
        <v>0</v>
      </c>
      <c r="CD302" s="182">
        <f t="shared" si="641"/>
        <v>0</v>
      </c>
      <c r="CE302" s="182">
        <f t="shared" si="646"/>
        <v>0</v>
      </c>
      <c r="CF302" s="182">
        <f t="shared" si="651"/>
        <v>0</v>
      </c>
      <c r="CG302" s="182">
        <f t="shared" si="656"/>
        <v>0</v>
      </c>
      <c r="CH302" s="182">
        <f t="shared" si="661"/>
        <v>0</v>
      </c>
      <c r="CI302" s="182">
        <f t="shared" si="666"/>
        <v>0</v>
      </c>
      <c r="CJ302" s="182">
        <f t="shared" si="671"/>
        <v>0</v>
      </c>
      <c r="CK302" s="182">
        <f t="shared" si="676"/>
        <v>0</v>
      </c>
      <c r="CL302" s="182">
        <f t="shared" si="681"/>
        <v>0</v>
      </c>
      <c r="CM302" s="182">
        <f t="shared" si="686"/>
        <v>0</v>
      </c>
      <c r="CN302" s="182">
        <f t="shared" si="691"/>
        <v>0</v>
      </c>
      <c r="CO302" s="182">
        <f t="shared" si="696"/>
        <v>0</v>
      </c>
      <c r="CP302" s="182">
        <f t="shared" si="701"/>
        <v>0</v>
      </c>
      <c r="CQ302" s="182">
        <f t="shared" si="706"/>
        <v>0</v>
      </c>
      <c r="CR302" s="182">
        <f t="shared" si="711"/>
        <v>0</v>
      </c>
      <c r="CS302" s="182">
        <f t="shared" ref="CS302:CS330" si="716">CS135*CS$168</f>
        <v>0</v>
      </c>
      <c r="CT302" s="182">
        <f t="shared" si="552"/>
        <v>0</v>
      </c>
      <c r="CU302" s="182">
        <f t="shared" si="557"/>
        <v>0</v>
      </c>
      <c r="CV302" s="182">
        <f t="shared" si="563"/>
        <v>0</v>
      </c>
      <c r="CW302" s="182">
        <f t="shared" si="569"/>
        <v>0</v>
      </c>
      <c r="CX302" s="182">
        <f t="shared" si="575"/>
        <v>0</v>
      </c>
      <c r="CY302" s="182">
        <f t="shared" si="581"/>
        <v>0</v>
      </c>
      <c r="CZ302" s="182">
        <f t="shared" si="587"/>
        <v>0</v>
      </c>
      <c r="DA302" s="182">
        <f t="shared" si="593"/>
        <v>0</v>
      </c>
      <c r="DB302" s="182">
        <f t="shared" si="599"/>
        <v>0</v>
      </c>
      <c r="DC302" s="182">
        <f t="shared" si="605"/>
        <v>0</v>
      </c>
      <c r="DD302" s="182">
        <f t="shared" si="611"/>
        <v>0</v>
      </c>
      <c r="DE302" s="182">
        <f t="shared" si="617"/>
        <v>0</v>
      </c>
      <c r="DF302" s="182">
        <f t="shared" si="622"/>
        <v>0</v>
      </c>
      <c r="DG302" s="182">
        <f t="shared" si="627"/>
        <v>0</v>
      </c>
      <c r="DH302" s="182">
        <f t="shared" si="632"/>
        <v>0</v>
      </c>
      <c r="DI302" s="182">
        <f t="shared" si="637"/>
        <v>0</v>
      </c>
      <c r="DJ302" s="182">
        <f t="shared" si="642"/>
        <v>0</v>
      </c>
      <c r="DK302" s="182">
        <f t="shared" si="647"/>
        <v>0</v>
      </c>
      <c r="DL302" s="182">
        <f t="shared" si="652"/>
        <v>0</v>
      </c>
      <c r="DM302" s="182">
        <f t="shared" si="657"/>
        <v>0</v>
      </c>
      <c r="DN302" s="182">
        <f t="shared" si="662"/>
        <v>0</v>
      </c>
      <c r="DO302" s="182">
        <f t="shared" si="667"/>
        <v>0</v>
      </c>
      <c r="DP302" s="182">
        <f t="shared" si="672"/>
        <v>0</v>
      </c>
      <c r="DQ302" s="182">
        <f t="shared" si="677"/>
        <v>0</v>
      </c>
      <c r="DR302" s="182">
        <f t="shared" si="682"/>
        <v>0</v>
      </c>
      <c r="DS302" s="182">
        <f t="shared" si="687"/>
        <v>0</v>
      </c>
      <c r="DT302" s="182">
        <f t="shared" si="692"/>
        <v>0</v>
      </c>
      <c r="DU302" s="182">
        <f t="shared" si="697"/>
        <v>0</v>
      </c>
      <c r="DV302" s="182">
        <f t="shared" si="702"/>
        <v>365.13973026899822</v>
      </c>
      <c r="DW302" s="182">
        <f t="shared" si="707"/>
        <v>0</v>
      </c>
      <c r="DX302" s="182">
        <f t="shared" si="712"/>
        <v>0</v>
      </c>
      <c r="DY302" s="182">
        <f t="shared" ref="DY302:DY330" si="717">DY135*DY$168</f>
        <v>6.6186129665595314E-20</v>
      </c>
      <c r="DZ302" s="181">
        <f>$C302+SUM($D302:DY302,EA302:$FB302)-SUM(DZ$176:DZ301,DZ303:DZ$330)-DZ$331</f>
        <v>-2.6770252681274087E-14</v>
      </c>
      <c r="EA302" s="176">
        <f t="shared" ref="EA302:FB302" si="718">EA135*EA$168</f>
        <v>0</v>
      </c>
      <c r="EB302" s="176">
        <f t="shared" si="718"/>
        <v>0</v>
      </c>
      <c r="EC302" s="176">
        <f t="shared" si="718"/>
        <v>0</v>
      </c>
      <c r="ED302" s="176">
        <f t="shared" si="718"/>
        <v>0</v>
      </c>
      <c r="EE302" s="176">
        <f t="shared" si="718"/>
        <v>0</v>
      </c>
      <c r="EF302" s="182">
        <f t="shared" si="718"/>
        <v>0</v>
      </c>
      <c r="EG302" s="182">
        <f t="shared" si="718"/>
        <v>0</v>
      </c>
      <c r="EH302" s="182">
        <f t="shared" si="718"/>
        <v>0</v>
      </c>
      <c r="EI302" s="182">
        <f t="shared" si="718"/>
        <v>0</v>
      </c>
      <c r="EJ302" s="182">
        <f t="shared" si="718"/>
        <v>0</v>
      </c>
      <c r="EK302" s="182">
        <f t="shared" si="718"/>
        <v>0</v>
      </c>
      <c r="EL302" s="182">
        <f t="shared" si="718"/>
        <v>0</v>
      </c>
      <c r="EM302" s="182">
        <f t="shared" si="718"/>
        <v>0</v>
      </c>
      <c r="EN302" s="182">
        <f t="shared" si="718"/>
        <v>0</v>
      </c>
      <c r="EO302" s="182">
        <f t="shared" si="718"/>
        <v>0</v>
      </c>
      <c r="EP302" s="182">
        <f t="shared" si="718"/>
        <v>0</v>
      </c>
      <c r="EQ302" s="182">
        <f t="shared" si="718"/>
        <v>0</v>
      </c>
      <c r="ER302" s="182">
        <f t="shared" si="718"/>
        <v>0</v>
      </c>
      <c r="ES302" s="182">
        <f t="shared" si="718"/>
        <v>0</v>
      </c>
      <c r="ET302" s="182">
        <f t="shared" si="718"/>
        <v>0</v>
      </c>
      <c r="EU302" s="182">
        <f t="shared" si="718"/>
        <v>0</v>
      </c>
      <c r="EV302" s="182">
        <f t="shared" si="718"/>
        <v>0</v>
      </c>
      <c r="EW302" s="182">
        <f t="shared" si="718"/>
        <v>0</v>
      </c>
      <c r="EX302" s="182">
        <f t="shared" si="718"/>
        <v>0</v>
      </c>
      <c r="EY302" s="182">
        <f t="shared" si="718"/>
        <v>0</v>
      </c>
      <c r="EZ302" s="182">
        <f t="shared" si="718"/>
        <v>0</v>
      </c>
      <c r="FA302" s="182">
        <f t="shared" si="718"/>
        <v>0</v>
      </c>
      <c r="FB302" s="183">
        <f t="shared" si="718"/>
        <v>0</v>
      </c>
    </row>
    <row r="303" spans="2:158" ht="12.75" customHeight="1" x14ac:dyDescent="0.3">
      <c r="B303" s="199" t="s">
        <v>3946</v>
      </c>
      <c r="C303" s="193">
        <v>0</v>
      </c>
      <c r="D303" s="182">
        <f t="shared" si="560"/>
        <v>0</v>
      </c>
      <c r="E303" s="182">
        <f t="shared" si="566"/>
        <v>0</v>
      </c>
      <c r="F303" s="182">
        <f t="shared" si="572"/>
        <v>0</v>
      </c>
      <c r="G303" s="182">
        <f t="shared" si="578"/>
        <v>0</v>
      </c>
      <c r="H303" s="182">
        <f t="shared" si="584"/>
        <v>0</v>
      </c>
      <c r="I303" s="176">
        <f t="shared" si="590"/>
        <v>0</v>
      </c>
      <c r="J303" s="182">
        <f t="shared" si="596"/>
        <v>0</v>
      </c>
      <c r="K303" s="182">
        <f t="shared" si="602"/>
        <v>0</v>
      </c>
      <c r="L303" s="182">
        <f t="shared" si="608"/>
        <v>0</v>
      </c>
      <c r="M303" s="182">
        <f t="shared" si="614"/>
        <v>0</v>
      </c>
      <c r="N303" s="182">
        <f t="shared" si="619"/>
        <v>0</v>
      </c>
      <c r="O303" s="182">
        <f t="shared" si="624"/>
        <v>0</v>
      </c>
      <c r="P303" s="182">
        <f t="shared" si="629"/>
        <v>0</v>
      </c>
      <c r="Q303" s="182">
        <f t="shared" si="634"/>
        <v>0</v>
      </c>
      <c r="R303" s="182">
        <f t="shared" si="639"/>
        <v>0</v>
      </c>
      <c r="S303" s="182">
        <f t="shared" si="644"/>
        <v>0</v>
      </c>
      <c r="T303" s="182">
        <f t="shared" si="649"/>
        <v>0</v>
      </c>
      <c r="U303" s="182">
        <f t="shared" si="654"/>
        <v>0</v>
      </c>
      <c r="V303" s="182">
        <f t="shared" si="659"/>
        <v>0</v>
      </c>
      <c r="W303" s="182">
        <f t="shared" si="664"/>
        <v>0</v>
      </c>
      <c r="X303" s="182">
        <f t="shared" si="669"/>
        <v>0</v>
      </c>
      <c r="Y303" s="182">
        <f t="shared" si="674"/>
        <v>0</v>
      </c>
      <c r="Z303" s="182">
        <f t="shared" si="679"/>
        <v>0</v>
      </c>
      <c r="AA303" s="182">
        <f t="shared" si="684"/>
        <v>0</v>
      </c>
      <c r="AB303" s="182">
        <f t="shared" si="689"/>
        <v>0</v>
      </c>
      <c r="AC303" s="182">
        <f t="shared" si="694"/>
        <v>0</v>
      </c>
      <c r="AD303" s="182">
        <f t="shared" si="699"/>
        <v>0</v>
      </c>
      <c r="AE303" s="182">
        <f t="shared" si="704"/>
        <v>0</v>
      </c>
      <c r="AF303" s="182">
        <f t="shared" si="709"/>
        <v>0</v>
      </c>
      <c r="AG303" s="182">
        <f t="shared" si="714"/>
        <v>0</v>
      </c>
      <c r="AH303" s="182">
        <f t="shared" ref="AH303:AH330" si="719">AH136*AH$168</f>
        <v>0</v>
      </c>
      <c r="AI303" s="182">
        <f t="shared" si="555"/>
        <v>0</v>
      </c>
      <c r="AJ303" s="182">
        <f t="shared" si="561"/>
        <v>0</v>
      </c>
      <c r="AK303" s="182">
        <f t="shared" si="567"/>
        <v>0</v>
      </c>
      <c r="AL303" s="182">
        <f t="shared" si="573"/>
        <v>0</v>
      </c>
      <c r="AM303" s="182">
        <f t="shared" si="579"/>
        <v>0</v>
      </c>
      <c r="AN303" s="182">
        <f t="shared" si="585"/>
        <v>0</v>
      </c>
      <c r="AO303" s="182">
        <f t="shared" si="591"/>
        <v>0</v>
      </c>
      <c r="AP303" s="182">
        <f t="shared" si="597"/>
        <v>0</v>
      </c>
      <c r="AQ303" s="182">
        <f t="shared" si="603"/>
        <v>0</v>
      </c>
      <c r="AR303" s="182">
        <f t="shared" si="609"/>
        <v>0</v>
      </c>
      <c r="AS303" s="182">
        <f t="shared" si="615"/>
        <v>0</v>
      </c>
      <c r="AT303" s="182">
        <f t="shared" si="620"/>
        <v>0</v>
      </c>
      <c r="AU303" s="182">
        <f t="shared" si="625"/>
        <v>0</v>
      </c>
      <c r="AV303" s="182">
        <f t="shared" si="630"/>
        <v>0</v>
      </c>
      <c r="AW303" s="182">
        <f t="shared" si="635"/>
        <v>0</v>
      </c>
      <c r="AX303" s="182">
        <f t="shared" si="640"/>
        <v>0</v>
      </c>
      <c r="AY303" s="182">
        <f t="shared" si="645"/>
        <v>0</v>
      </c>
      <c r="AZ303" s="182">
        <f t="shared" si="650"/>
        <v>0</v>
      </c>
      <c r="BA303" s="182">
        <f t="shared" si="655"/>
        <v>0</v>
      </c>
      <c r="BB303" s="182">
        <f t="shared" si="660"/>
        <v>0</v>
      </c>
      <c r="BC303" s="182">
        <f t="shared" si="665"/>
        <v>0</v>
      </c>
      <c r="BD303" s="182">
        <f t="shared" si="670"/>
        <v>0</v>
      </c>
      <c r="BE303" s="182">
        <f t="shared" si="675"/>
        <v>0</v>
      </c>
      <c r="BF303" s="182">
        <f t="shared" si="680"/>
        <v>0</v>
      </c>
      <c r="BG303" s="182">
        <f t="shared" si="685"/>
        <v>0</v>
      </c>
      <c r="BH303" s="182">
        <f t="shared" si="690"/>
        <v>0</v>
      </c>
      <c r="BI303" s="182">
        <f t="shared" si="695"/>
        <v>0</v>
      </c>
      <c r="BJ303" s="182">
        <f t="shared" si="700"/>
        <v>0</v>
      </c>
      <c r="BK303" s="182">
        <f t="shared" si="705"/>
        <v>0</v>
      </c>
      <c r="BL303" s="182">
        <f t="shared" si="710"/>
        <v>0</v>
      </c>
      <c r="BM303" s="182">
        <f t="shared" si="715"/>
        <v>0</v>
      </c>
      <c r="BN303" s="182">
        <f t="shared" ref="BN303:BN330" si="720">BN136*BN$168</f>
        <v>0</v>
      </c>
      <c r="BO303" s="182">
        <f t="shared" si="556"/>
        <v>0</v>
      </c>
      <c r="BP303" s="182">
        <f t="shared" si="562"/>
        <v>0</v>
      </c>
      <c r="BQ303" s="182">
        <f t="shared" si="568"/>
        <v>0</v>
      </c>
      <c r="BR303" s="182">
        <f t="shared" si="574"/>
        <v>0</v>
      </c>
      <c r="BS303" s="182">
        <f t="shared" si="580"/>
        <v>0</v>
      </c>
      <c r="BT303" s="182">
        <f t="shared" si="586"/>
        <v>0</v>
      </c>
      <c r="BU303" s="182">
        <f t="shared" si="592"/>
        <v>0</v>
      </c>
      <c r="BV303" s="182">
        <f t="shared" si="598"/>
        <v>0</v>
      </c>
      <c r="BW303" s="182">
        <f t="shared" si="604"/>
        <v>0</v>
      </c>
      <c r="BX303" s="182">
        <f t="shared" si="610"/>
        <v>0</v>
      </c>
      <c r="BY303" s="182">
        <f t="shared" si="616"/>
        <v>0</v>
      </c>
      <c r="BZ303" s="182">
        <f t="shared" si="621"/>
        <v>0</v>
      </c>
      <c r="CA303" s="182">
        <f t="shared" si="626"/>
        <v>0</v>
      </c>
      <c r="CB303" s="182">
        <f t="shared" si="631"/>
        <v>0</v>
      </c>
      <c r="CC303" s="182">
        <f t="shared" si="636"/>
        <v>0</v>
      </c>
      <c r="CD303" s="182">
        <f t="shared" si="641"/>
        <v>0</v>
      </c>
      <c r="CE303" s="182">
        <f t="shared" si="646"/>
        <v>0</v>
      </c>
      <c r="CF303" s="182">
        <f t="shared" si="651"/>
        <v>0</v>
      </c>
      <c r="CG303" s="182">
        <f t="shared" si="656"/>
        <v>0</v>
      </c>
      <c r="CH303" s="182">
        <f t="shared" si="661"/>
        <v>0</v>
      </c>
      <c r="CI303" s="182">
        <f t="shared" si="666"/>
        <v>0</v>
      </c>
      <c r="CJ303" s="182">
        <f t="shared" si="671"/>
        <v>0</v>
      </c>
      <c r="CK303" s="182">
        <f t="shared" si="676"/>
        <v>0</v>
      </c>
      <c r="CL303" s="182">
        <f t="shared" si="681"/>
        <v>0</v>
      </c>
      <c r="CM303" s="182">
        <f t="shared" si="686"/>
        <v>0</v>
      </c>
      <c r="CN303" s="182">
        <f t="shared" si="691"/>
        <v>0</v>
      </c>
      <c r="CO303" s="182">
        <f t="shared" si="696"/>
        <v>0</v>
      </c>
      <c r="CP303" s="182">
        <f t="shared" si="701"/>
        <v>0</v>
      </c>
      <c r="CQ303" s="182">
        <f t="shared" si="706"/>
        <v>0</v>
      </c>
      <c r="CR303" s="182">
        <f t="shared" si="711"/>
        <v>0</v>
      </c>
      <c r="CS303" s="182">
        <f t="shared" si="716"/>
        <v>0</v>
      </c>
      <c r="CT303" s="182">
        <f t="shared" ref="CT303:CT330" si="721">CT136*CT$168</f>
        <v>0</v>
      </c>
      <c r="CU303" s="182">
        <f t="shared" si="557"/>
        <v>0</v>
      </c>
      <c r="CV303" s="182">
        <f t="shared" si="563"/>
        <v>0</v>
      </c>
      <c r="CW303" s="182">
        <f t="shared" si="569"/>
        <v>0</v>
      </c>
      <c r="CX303" s="182">
        <f t="shared" si="575"/>
        <v>0</v>
      </c>
      <c r="CY303" s="182">
        <f t="shared" si="581"/>
        <v>0</v>
      </c>
      <c r="CZ303" s="182">
        <f t="shared" si="587"/>
        <v>0</v>
      </c>
      <c r="DA303" s="182">
        <f t="shared" si="593"/>
        <v>0</v>
      </c>
      <c r="DB303" s="182">
        <f t="shared" si="599"/>
        <v>0</v>
      </c>
      <c r="DC303" s="182">
        <f t="shared" si="605"/>
        <v>0</v>
      </c>
      <c r="DD303" s="182">
        <f t="shared" si="611"/>
        <v>0</v>
      </c>
      <c r="DE303" s="182">
        <f t="shared" si="617"/>
        <v>0</v>
      </c>
      <c r="DF303" s="182">
        <f t="shared" si="622"/>
        <v>0</v>
      </c>
      <c r="DG303" s="182">
        <f t="shared" si="627"/>
        <v>0</v>
      </c>
      <c r="DH303" s="182">
        <f t="shared" si="632"/>
        <v>0</v>
      </c>
      <c r="DI303" s="182">
        <f t="shared" si="637"/>
        <v>0</v>
      </c>
      <c r="DJ303" s="182">
        <f t="shared" si="642"/>
        <v>0</v>
      </c>
      <c r="DK303" s="182">
        <f t="shared" si="647"/>
        <v>0</v>
      </c>
      <c r="DL303" s="182">
        <f t="shared" si="652"/>
        <v>0</v>
      </c>
      <c r="DM303" s="182">
        <f t="shared" si="657"/>
        <v>0</v>
      </c>
      <c r="DN303" s="182">
        <f t="shared" si="662"/>
        <v>0</v>
      </c>
      <c r="DO303" s="182">
        <f t="shared" si="667"/>
        <v>0</v>
      </c>
      <c r="DP303" s="182">
        <f t="shared" si="672"/>
        <v>0</v>
      </c>
      <c r="DQ303" s="182">
        <f t="shared" si="677"/>
        <v>0</v>
      </c>
      <c r="DR303" s="182">
        <f t="shared" si="682"/>
        <v>0</v>
      </c>
      <c r="DS303" s="182">
        <f t="shared" si="687"/>
        <v>0</v>
      </c>
      <c r="DT303" s="182">
        <f t="shared" si="692"/>
        <v>0</v>
      </c>
      <c r="DU303" s="182">
        <f t="shared" si="697"/>
        <v>0</v>
      </c>
      <c r="DV303" s="182">
        <f t="shared" si="702"/>
        <v>0</v>
      </c>
      <c r="DW303" s="182">
        <f t="shared" si="707"/>
        <v>2.7165568827063811</v>
      </c>
      <c r="DX303" s="182">
        <f t="shared" si="712"/>
        <v>0</v>
      </c>
      <c r="DY303" s="182">
        <f t="shared" si="717"/>
        <v>2.65200626658954E-19</v>
      </c>
      <c r="DZ303" s="182">
        <f t="shared" ref="DZ303:DZ330" si="722">DZ136*DZ$168</f>
        <v>0</v>
      </c>
      <c r="EA303" s="181">
        <f>$C303+SUM($D303:DZ303,EB303:$FB303)-SUM(EA$176:EA302,EA304:EA$330)-EA$331</f>
        <v>3.06287113727155E-16</v>
      </c>
      <c r="EB303" s="176">
        <f t="shared" ref="EB303:FB303" si="723">EB136*EB$168</f>
        <v>0</v>
      </c>
      <c r="EC303" s="176">
        <f t="shared" si="723"/>
        <v>0</v>
      </c>
      <c r="ED303" s="176">
        <f t="shared" si="723"/>
        <v>0</v>
      </c>
      <c r="EE303" s="176">
        <f t="shared" si="723"/>
        <v>0</v>
      </c>
      <c r="EF303" s="182">
        <f t="shared" si="723"/>
        <v>0</v>
      </c>
      <c r="EG303" s="182">
        <f t="shared" si="723"/>
        <v>0</v>
      </c>
      <c r="EH303" s="182">
        <f t="shared" si="723"/>
        <v>0</v>
      </c>
      <c r="EI303" s="182">
        <f t="shared" si="723"/>
        <v>0</v>
      </c>
      <c r="EJ303" s="182">
        <f t="shared" si="723"/>
        <v>0</v>
      </c>
      <c r="EK303" s="182">
        <f t="shared" si="723"/>
        <v>0</v>
      </c>
      <c r="EL303" s="182">
        <f t="shared" si="723"/>
        <v>0</v>
      </c>
      <c r="EM303" s="182">
        <f t="shared" si="723"/>
        <v>0</v>
      </c>
      <c r="EN303" s="182">
        <f t="shared" si="723"/>
        <v>0</v>
      </c>
      <c r="EO303" s="182">
        <f t="shared" si="723"/>
        <v>0</v>
      </c>
      <c r="EP303" s="182">
        <f t="shared" si="723"/>
        <v>0</v>
      </c>
      <c r="EQ303" s="182">
        <f t="shared" si="723"/>
        <v>0</v>
      </c>
      <c r="ER303" s="182">
        <f t="shared" si="723"/>
        <v>0</v>
      </c>
      <c r="ES303" s="182">
        <f t="shared" si="723"/>
        <v>0</v>
      </c>
      <c r="ET303" s="182">
        <f t="shared" si="723"/>
        <v>0</v>
      </c>
      <c r="EU303" s="182">
        <f t="shared" si="723"/>
        <v>0</v>
      </c>
      <c r="EV303" s="182">
        <f t="shared" si="723"/>
        <v>0</v>
      </c>
      <c r="EW303" s="182">
        <f t="shared" si="723"/>
        <v>0</v>
      </c>
      <c r="EX303" s="182">
        <f t="shared" si="723"/>
        <v>0</v>
      </c>
      <c r="EY303" s="182">
        <f t="shared" si="723"/>
        <v>0</v>
      </c>
      <c r="EZ303" s="182">
        <f t="shared" si="723"/>
        <v>0</v>
      </c>
      <c r="FA303" s="182">
        <f t="shared" si="723"/>
        <v>0</v>
      </c>
      <c r="FB303" s="183">
        <f t="shared" si="723"/>
        <v>0</v>
      </c>
    </row>
    <row r="304" spans="2:158" ht="12.75" customHeight="1" x14ac:dyDescent="0.3">
      <c r="B304" s="199" t="s">
        <v>3947</v>
      </c>
      <c r="C304" s="193">
        <v>0</v>
      </c>
      <c r="D304" s="182">
        <f t="shared" si="560"/>
        <v>0</v>
      </c>
      <c r="E304" s="182">
        <f t="shared" si="566"/>
        <v>0</v>
      </c>
      <c r="F304" s="182">
        <f t="shared" si="572"/>
        <v>0</v>
      </c>
      <c r="G304" s="182">
        <f t="shared" si="578"/>
        <v>0</v>
      </c>
      <c r="H304" s="182">
        <f t="shared" si="584"/>
        <v>0</v>
      </c>
      <c r="I304" s="176">
        <f t="shared" si="590"/>
        <v>0</v>
      </c>
      <c r="J304" s="182">
        <f t="shared" si="596"/>
        <v>0</v>
      </c>
      <c r="K304" s="182">
        <f t="shared" si="602"/>
        <v>0</v>
      </c>
      <c r="L304" s="182">
        <f t="shared" si="608"/>
        <v>0</v>
      </c>
      <c r="M304" s="182">
        <f t="shared" si="614"/>
        <v>0</v>
      </c>
      <c r="N304" s="182">
        <f t="shared" si="619"/>
        <v>0</v>
      </c>
      <c r="O304" s="182">
        <f t="shared" si="624"/>
        <v>0</v>
      </c>
      <c r="P304" s="182">
        <f t="shared" si="629"/>
        <v>0</v>
      </c>
      <c r="Q304" s="182">
        <f t="shared" si="634"/>
        <v>0</v>
      </c>
      <c r="R304" s="182">
        <f t="shared" si="639"/>
        <v>0</v>
      </c>
      <c r="S304" s="182">
        <f t="shared" si="644"/>
        <v>0</v>
      </c>
      <c r="T304" s="182">
        <f t="shared" si="649"/>
        <v>0</v>
      </c>
      <c r="U304" s="182">
        <f t="shared" si="654"/>
        <v>0</v>
      </c>
      <c r="V304" s="182">
        <f t="shared" si="659"/>
        <v>0</v>
      </c>
      <c r="W304" s="182">
        <f t="shared" si="664"/>
        <v>0</v>
      </c>
      <c r="X304" s="182">
        <f t="shared" si="669"/>
        <v>0</v>
      </c>
      <c r="Y304" s="182">
        <f t="shared" si="674"/>
        <v>0</v>
      </c>
      <c r="Z304" s="182">
        <f t="shared" si="679"/>
        <v>0</v>
      </c>
      <c r="AA304" s="182">
        <f t="shared" si="684"/>
        <v>0</v>
      </c>
      <c r="AB304" s="182">
        <f t="shared" si="689"/>
        <v>0</v>
      </c>
      <c r="AC304" s="182">
        <f t="shared" si="694"/>
        <v>0</v>
      </c>
      <c r="AD304" s="182">
        <f t="shared" si="699"/>
        <v>0</v>
      </c>
      <c r="AE304" s="182">
        <f t="shared" si="704"/>
        <v>0</v>
      </c>
      <c r="AF304" s="182">
        <f t="shared" si="709"/>
        <v>0</v>
      </c>
      <c r="AG304" s="182">
        <f t="shared" si="714"/>
        <v>0</v>
      </c>
      <c r="AH304" s="182">
        <f t="shared" si="719"/>
        <v>0</v>
      </c>
      <c r="AI304" s="182">
        <f t="shared" ref="AI304:AI330" si="724">AI137*AI$168</f>
        <v>0</v>
      </c>
      <c r="AJ304" s="182">
        <f t="shared" si="561"/>
        <v>0</v>
      </c>
      <c r="AK304" s="182">
        <f t="shared" si="567"/>
        <v>0</v>
      </c>
      <c r="AL304" s="182">
        <f t="shared" si="573"/>
        <v>0</v>
      </c>
      <c r="AM304" s="182">
        <f t="shared" si="579"/>
        <v>0</v>
      </c>
      <c r="AN304" s="182">
        <f t="shared" si="585"/>
        <v>0</v>
      </c>
      <c r="AO304" s="182">
        <f t="shared" si="591"/>
        <v>0</v>
      </c>
      <c r="AP304" s="182">
        <f t="shared" si="597"/>
        <v>0</v>
      </c>
      <c r="AQ304" s="182">
        <f t="shared" si="603"/>
        <v>0</v>
      </c>
      <c r="AR304" s="182">
        <f t="shared" si="609"/>
        <v>0</v>
      </c>
      <c r="AS304" s="182">
        <f t="shared" si="615"/>
        <v>0</v>
      </c>
      <c r="AT304" s="182">
        <f t="shared" si="620"/>
        <v>0</v>
      </c>
      <c r="AU304" s="182">
        <f t="shared" si="625"/>
        <v>0</v>
      </c>
      <c r="AV304" s="182">
        <f t="shared" si="630"/>
        <v>0</v>
      </c>
      <c r="AW304" s="182">
        <f t="shared" si="635"/>
        <v>0</v>
      </c>
      <c r="AX304" s="182">
        <f t="shared" si="640"/>
        <v>0</v>
      </c>
      <c r="AY304" s="182">
        <f t="shared" si="645"/>
        <v>0</v>
      </c>
      <c r="AZ304" s="182">
        <f t="shared" si="650"/>
        <v>0</v>
      </c>
      <c r="BA304" s="182">
        <f t="shared" si="655"/>
        <v>0</v>
      </c>
      <c r="BB304" s="182">
        <f t="shared" si="660"/>
        <v>0</v>
      </c>
      <c r="BC304" s="182">
        <f t="shared" si="665"/>
        <v>0</v>
      </c>
      <c r="BD304" s="182">
        <f t="shared" si="670"/>
        <v>0</v>
      </c>
      <c r="BE304" s="182">
        <f t="shared" si="675"/>
        <v>0</v>
      </c>
      <c r="BF304" s="182">
        <f t="shared" si="680"/>
        <v>0</v>
      </c>
      <c r="BG304" s="182">
        <f t="shared" si="685"/>
        <v>0</v>
      </c>
      <c r="BH304" s="182">
        <f t="shared" si="690"/>
        <v>0</v>
      </c>
      <c r="BI304" s="182">
        <f t="shared" si="695"/>
        <v>0</v>
      </c>
      <c r="BJ304" s="182">
        <f t="shared" si="700"/>
        <v>0</v>
      </c>
      <c r="BK304" s="182">
        <f t="shared" si="705"/>
        <v>0</v>
      </c>
      <c r="BL304" s="182">
        <f t="shared" si="710"/>
        <v>0</v>
      </c>
      <c r="BM304" s="182">
        <f t="shared" si="715"/>
        <v>0</v>
      </c>
      <c r="BN304" s="182">
        <f t="shared" si="720"/>
        <v>0</v>
      </c>
      <c r="BO304" s="182">
        <f t="shared" ref="BO304:BO330" si="725">BO137*BO$168</f>
        <v>0</v>
      </c>
      <c r="BP304" s="182">
        <f t="shared" si="562"/>
        <v>0</v>
      </c>
      <c r="BQ304" s="182">
        <f t="shared" si="568"/>
        <v>0</v>
      </c>
      <c r="BR304" s="182">
        <f t="shared" si="574"/>
        <v>0</v>
      </c>
      <c r="BS304" s="182">
        <f t="shared" si="580"/>
        <v>0</v>
      </c>
      <c r="BT304" s="182">
        <f t="shared" si="586"/>
        <v>0</v>
      </c>
      <c r="BU304" s="182">
        <f t="shared" si="592"/>
        <v>0</v>
      </c>
      <c r="BV304" s="182">
        <f t="shared" si="598"/>
        <v>0</v>
      </c>
      <c r="BW304" s="182">
        <f t="shared" si="604"/>
        <v>0</v>
      </c>
      <c r="BX304" s="182">
        <f t="shared" si="610"/>
        <v>0</v>
      </c>
      <c r="BY304" s="182">
        <f t="shared" si="616"/>
        <v>0</v>
      </c>
      <c r="BZ304" s="182">
        <f t="shared" si="621"/>
        <v>0</v>
      </c>
      <c r="CA304" s="182">
        <f t="shared" si="626"/>
        <v>0</v>
      </c>
      <c r="CB304" s="182">
        <f t="shared" si="631"/>
        <v>0</v>
      </c>
      <c r="CC304" s="182">
        <f t="shared" si="636"/>
        <v>0</v>
      </c>
      <c r="CD304" s="182">
        <f t="shared" si="641"/>
        <v>0</v>
      </c>
      <c r="CE304" s="182">
        <f t="shared" si="646"/>
        <v>0</v>
      </c>
      <c r="CF304" s="182">
        <f t="shared" si="651"/>
        <v>0</v>
      </c>
      <c r="CG304" s="182">
        <f t="shared" si="656"/>
        <v>0</v>
      </c>
      <c r="CH304" s="182">
        <f t="shared" si="661"/>
        <v>0</v>
      </c>
      <c r="CI304" s="182">
        <f t="shared" si="666"/>
        <v>0</v>
      </c>
      <c r="CJ304" s="182">
        <f t="shared" si="671"/>
        <v>0</v>
      </c>
      <c r="CK304" s="182">
        <f t="shared" si="676"/>
        <v>0</v>
      </c>
      <c r="CL304" s="182">
        <f t="shared" si="681"/>
        <v>0</v>
      </c>
      <c r="CM304" s="182">
        <f t="shared" si="686"/>
        <v>0</v>
      </c>
      <c r="CN304" s="182">
        <f t="shared" si="691"/>
        <v>0</v>
      </c>
      <c r="CO304" s="182">
        <f t="shared" si="696"/>
        <v>0</v>
      </c>
      <c r="CP304" s="182">
        <f t="shared" si="701"/>
        <v>0</v>
      </c>
      <c r="CQ304" s="182">
        <f t="shared" si="706"/>
        <v>0</v>
      </c>
      <c r="CR304" s="182">
        <f t="shared" si="711"/>
        <v>0</v>
      </c>
      <c r="CS304" s="182">
        <f t="shared" si="716"/>
        <v>0</v>
      </c>
      <c r="CT304" s="182">
        <f t="shared" si="721"/>
        <v>0</v>
      </c>
      <c r="CU304" s="182">
        <f t="shared" ref="CU304:CU330" si="726">CU137*CU$168</f>
        <v>0</v>
      </c>
      <c r="CV304" s="182">
        <f t="shared" si="563"/>
        <v>0</v>
      </c>
      <c r="CW304" s="182">
        <f t="shared" si="569"/>
        <v>0</v>
      </c>
      <c r="CX304" s="182">
        <f t="shared" si="575"/>
        <v>0</v>
      </c>
      <c r="CY304" s="182">
        <f t="shared" si="581"/>
        <v>0</v>
      </c>
      <c r="CZ304" s="182">
        <f t="shared" si="587"/>
        <v>0</v>
      </c>
      <c r="DA304" s="182">
        <f t="shared" si="593"/>
        <v>0</v>
      </c>
      <c r="DB304" s="182">
        <f t="shared" si="599"/>
        <v>0</v>
      </c>
      <c r="DC304" s="182">
        <f t="shared" si="605"/>
        <v>0</v>
      </c>
      <c r="DD304" s="182">
        <f t="shared" si="611"/>
        <v>0</v>
      </c>
      <c r="DE304" s="182">
        <f t="shared" si="617"/>
        <v>0</v>
      </c>
      <c r="DF304" s="182">
        <f t="shared" si="622"/>
        <v>0</v>
      </c>
      <c r="DG304" s="182">
        <f t="shared" si="627"/>
        <v>0</v>
      </c>
      <c r="DH304" s="182">
        <f t="shared" si="632"/>
        <v>0</v>
      </c>
      <c r="DI304" s="182">
        <f t="shared" si="637"/>
        <v>0</v>
      </c>
      <c r="DJ304" s="182">
        <f t="shared" si="642"/>
        <v>0</v>
      </c>
      <c r="DK304" s="182">
        <f t="shared" si="647"/>
        <v>0</v>
      </c>
      <c r="DL304" s="182">
        <f t="shared" si="652"/>
        <v>0</v>
      </c>
      <c r="DM304" s="182">
        <f t="shared" si="657"/>
        <v>0</v>
      </c>
      <c r="DN304" s="182">
        <f t="shared" si="662"/>
        <v>0</v>
      </c>
      <c r="DO304" s="182">
        <f t="shared" si="667"/>
        <v>0</v>
      </c>
      <c r="DP304" s="182">
        <f t="shared" si="672"/>
        <v>0</v>
      </c>
      <c r="DQ304" s="182">
        <f t="shared" si="677"/>
        <v>0</v>
      </c>
      <c r="DR304" s="182">
        <f t="shared" si="682"/>
        <v>0</v>
      </c>
      <c r="DS304" s="182">
        <f t="shared" si="687"/>
        <v>0</v>
      </c>
      <c r="DT304" s="182">
        <f t="shared" si="692"/>
        <v>0</v>
      </c>
      <c r="DU304" s="182">
        <f t="shared" si="697"/>
        <v>0</v>
      </c>
      <c r="DV304" s="182">
        <f t="shared" si="702"/>
        <v>0</v>
      </c>
      <c r="DW304" s="182">
        <f t="shared" si="707"/>
        <v>0</v>
      </c>
      <c r="DX304" s="182">
        <f t="shared" si="712"/>
        <v>0</v>
      </c>
      <c r="DY304" s="182">
        <f t="shared" si="717"/>
        <v>0</v>
      </c>
      <c r="DZ304" s="182">
        <f t="shared" si="722"/>
        <v>0</v>
      </c>
      <c r="EA304" s="182">
        <f t="shared" ref="EA304:EA330" si="727">EA137*EA$168</f>
        <v>0</v>
      </c>
      <c r="EB304" s="181">
        <f>$C304+SUM($D304:EA304,EC304:$FB304)-SUM(EB$176:EB303,EB305:EB$330)-EB$331</f>
        <v>0</v>
      </c>
      <c r="EC304" s="176">
        <f t="shared" ref="EC304:FB304" si="728">EC137*EC$168</f>
        <v>0</v>
      </c>
      <c r="ED304" s="176">
        <f t="shared" si="728"/>
        <v>0</v>
      </c>
      <c r="EE304" s="176">
        <f t="shared" si="728"/>
        <v>0</v>
      </c>
      <c r="EF304" s="182">
        <f t="shared" si="728"/>
        <v>0</v>
      </c>
      <c r="EG304" s="182">
        <f t="shared" si="728"/>
        <v>0</v>
      </c>
      <c r="EH304" s="182">
        <f t="shared" si="728"/>
        <v>0</v>
      </c>
      <c r="EI304" s="182">
        <f t="shared" si="728"/>
        <v>0</v>
      </c>
      <c r="EJ304" s="182">
        <f t="shared" si="728"/>
        <v>0</v>
      </c>
      <c r="EK304" s="182">
        <f t="shared" si="728"/>
        <v>0</v>
      </c>
      <c r="EL304" s="182">
        <f t="shared" si="728"/>
        <v>0</v>
      </c>
      <c r="EM304" s="182">
        <f t="shared" si="728"/>
        <v>0</v>
      </c>
      <c r="EN304" s="182">
        <f t="shared" si="728"/>
        <v>0</v>
      </c>
      <c r="EO304" s="182">
        <f t="shared" si="728"/>
        <v>0</v>
      </c>
      <c r="EP304" s="182">
        <f t="shared" si="728"/>
        <v>0</v>
      </c>
      <c r="EQ304" s="182">
        <f t="shared" si="728"/>
        <v>0</v>
      </c>
      <c r="ER304" s="182">
        <f t="shared" si="728"/>
        <v>0</v>
      </c>
      <c r="ES304" s="182">
        <f t="shared" si="728"/>
        <v>0</v>
      </c>
      <c r="ET304" s="182">
        <f t="shared" si="728"/>
        <v>0</v>
      </c>
      <c r="EU304" s="182">
        <f t="shared" si="728"/>
        <v>0</v>
      </c>
      <c r="EV304" s="182">
        <f t="shared" si="728"/>
        <v>0</v>
      </c>
      <c r="EW304" s="182">
        <f t="shared" si="728"/>
        <v>0</v>
      </c>
      <c r="EX304" s="182">
        <f t="shared" si="728"/>
        <v>0</v>
      </c>
      <c r="EY304" s="182">
        <f t="shared" si="728"/>
        <v>0</v>
      </c>
      <c r="EZ304" s="182">
        <f t="shared" si="728"/>
        <v>0</v>
      </c>
      <c r="FA304" s="182">
        <f t="shared" si="728"/>
        <v>0</v>
      </c>
      <c r="FB304" s="183">
        <f t="shared" si="728"/>
        <v>0</v>
      </c>
    </row>
    <row r="305" spans="2:158" ht="12.75" customHeight="1" x14ac:dyDescent="0.3">
      <c r="B305" s="199" t="s">
        <v>3948</v>
      </c>
      <c r="C305" s="193">
        <v>0</v>
      </c>
      <c r="D305" s="182">
        <f t="shared" ref="D305:D330" si="729">D138*D$168</f>
        <v>0</v>
      </c>
      <c r="E305" s="182">
        <f t="shared" si="566"/>
        <v>0</v>
      </c>
      <c r="F305" s="182">
        <f t="shared" si="572"/>
        <v>0</v>
      </c>
      <c r="G305" s="182">
        <f t="shared" si="578"/>
        <v>0</v>
      </c>
      <c r="H305" s="182">
        <f t="shared" si="584"/>
        <v>0</v>
      </c>
      <c r="I305" s="176">
        <f t="shared" si="590"/>
        <v>0</v>
      </c>
      <c r="J305" s="182">
        <f t="shared" si="596"/>
        <v>0</v>
      </c>
      <c r="K305" s="182">
        <f t="shared" si="602"/>
        <v>0</v>
      </c>
      <c r="L305" s="182">
        <f t="shared" si="608"/>
        <v>0</v>
      </c>
      <c r="M305" s="182">
        <f t="shared" si="614"/>
        <v>0</v>
      </c>
      <c r="N305" s="182">
        <f t="shared" si="619"/>
        <v>0</v>
      </c>
      <c r="O305" s="182">
        <f t="shared" si="624"/>
        <v>0</v>
      </c>
      <c r="P305" s="182">
        <f t="shared" si="629"/>
        <v>0</v>
      </c>
      <c r="Q305" s="182">
        <f t="shared" si="634"/>
        <v>0</v>
      </c>
      <c r="R305" s="182">
        <f t="shared" si="639"/>
        <v>0</v>
      </c>
      <c r="S305" s="182">
        <f t="shared" si="644"/>
        <v>0</v>
      </c>
      <c r="T305" s="182">
        <f t="shared" si="649"/>
        <v>0</v>
      </c>
      <c r="U305" s="182">
        <f t="shared" si="654"/>
        <v>0</v>
      </c>
      <c r="V305" s="182">
        <f t="shared" si="659"/>
        <v>0</v>
      </c>
      <c r="W305" s="182">
        <f t="shared" si="664"/>
        <v>0</v>
      </c>
      <c r="X305" s="182">
        <f t="shared" si="669"/>
        <v>0</v>
      </c>
      <c r="Y305" s="182">
        <f t="shared" si="674"/>
        <v>0</v>
      </c>
      <c r="Z305" s="182">
        <f t="shared" si="679"/>
        <v>0</v>
      </c>
      <c r="AA305" s="182">
        <f t="shared" si="684"/>
        <v>0</v>
      </c>
      <c r="AB305" s="182">
        <f t="shared" si="689"/>
        <v>0</v>
      </c>
      <c r="AC305" s="182">
        <f t="shared" si="694"/>
        <v>0</v>
      </c>
      <c r="AD305" s="182">
        <f t="shared" si="699"/>
        <v>0</v>
      </c>
      <c r="AE305" s="182">
        <f t="shared" si="704"/>
        <v>0</v>
      </c>
      <c r="AF305" s="182">
        <f t="shared" si="709"/>
        <v>0</v>
      </c>
      <c r="AG305" s="182">
        <f t="shared" si="714"/>
        <v>0</v>
      </c>
      <c r="AH305" s="182">
        <f t="shared" si="719"/>
        <v>0</v>
      </c>
      <c r="AI305" s="182">
        <f t="shared" si="724"/>
        <v>0</v>
      </c>
      <c r="AJ305" s="182">
        <f t="shared" ref="AJ305:AJ330" si="730">AJ138*AJ$168</f>
        <v>0</v>
      </c>
      <c r="AK305" s="182">
        <f t="shared" si="567"/>
        <v>0</v>
      </c>
      <c r="AL305" s="182">
        <f t="shared" si="573"/>
        <v>0</v>
      </c>
      <c r="AM305" s="182">
        <f t="shared" si="579"/>
        <v>0</v>
      </c>
      <c r="AN305" s="182">
        <f t="shared" si="585"/>
        <v>0</v>
      </c>
      <c r="AO305" s="182">
        <f t="shared" si="591"/>
        <v>0</v>
      </c>
      <c r="AP305" s="182">
        <f t="shared" si="597"/>
        <v>0</v>
      </c>
      <c r="AQ305" s="182">
        <f t="shared" si="603"/>
        <v>0</v>
      </c>
      <c r="AR305" s="182">
        <f t="shared" si="609"/>
        <v>0</v>
      </c>
      <c r="AS305" s="182">
        <f t="shared" si="615"/>
        <v>0</v>
      </c>
      <c r="AT305" s="182">
        <f t="shared" si="620"/>
        <v>0</v>
      </c>
      <c r="AU305" s="182">
        <f t="shared" si="625"/>
        <v>0</v>
      </c>
      <c r="AV305" s="182">
        <f t="shared" si="630"/>
        <v>0</v>
      </c>
      <c r="AW305" s="182">
        <f t="shared" si="635"/>
        <v>0</v>
      </c>
      <c r="AX305" s="182">
        <f t="shared" si="640"/>
        <v>0</v>
      </c>
      <c r="AY305" s="182">
        <f t="shared" si="645"/>
        <v>0</v>
      </c>
      <c r="AZ305" s="182">
        <f t="shared" si="650"/>
        <v>0</v>
      </c>
      <c r="BA305" s="182">
        <f t="shared" si="655"/>
        <v>0</v>
      </c>
      <c r="BB305" s="182">
        <f t="shared" si="660"/>
        <v>0</v>
      </c>
      <c r="BC305" s="182">
        <f t="shared" si="665"/>
        <v>0</v>
      </c>
      <c r="BD305" s="182">
        <f t="shared" si="670"/>
        <v>0</v>
      </c>
      <c r="BE305" s="182">
        <f t="shared" si="675"/>
        <v>0</v>
      </c>
      <c r="BF305" s="182">
        <f t="shared" si="680"/>
        <v>0</v>
      </c>
      <c r="BG305" s="182">
        <f t="shared" si="685"/>
        <v>0</v>
      </c>
      <c r="BH305" s="182">
        <f t="shared" si="690"/>
        <v>0</v>
      </c>
      <c r="BI305" s="182">
        <f t="shared" si="695"/>
        <v>0</v>
      </c>
      <c r="BJ305" s="182">
        <f t="shared" si="700"/>
        <v>0</v>
      </c>
      <c r="BK305" s="182">
        <f t="shared" si="705"/>
        <v>0</v>
      </c>
      <c r="BL305" s="182">
        <f t="shared" si="710"/>
        <v>0</v>
      </c>
      <c r="BM305" s="182">
        <f t="shared" si="715"/>
        <v>0</v>
      </c>
      <c r="BN305" s="182">
        <f t="shared" si="720"/>
        <v>0</v>
      </c>
      <c r="BO305" s="182">
        <f t="shared" si="725"/>
        <v>0</v>
      </c>
      <c r="BP305" s="182">
        <f t="shared" ref="BP305:BP330" si="731">BP138*BP$168</f>
        <v>0</v>
      </c>
      <c r="BQ305" s="182">
        <f t="shared" si="568"/>
        <v>0</v>
      </c>
      <c r="BR305" s="182">
        <f t="shared" si="574"/>
        <v>0</v>
      </c>
      <c r="BS305" s="182">
        <f t="shared" si="580"/>
        <v>0</v>
      </c>
      <c r="BT305" s="182">
        <f t="shared" si="586"/>
        <v>0</v>
      </c>
      <c r="BU305" s="182">
        <f t="shared" si="592"/>
        <v>0</v>
      </c>
      <c r="BV305" s="182">
        <f t="shared" si="598"/>
        <v>0</v>
      </c>
      <c r="BW305" s="182">
        <f t="shared" si="604"/>
        <v>0</v>
      </c>
      <c r="BX305" s="182">
        <f t="shared" si="610"/>
        <v>0</v>
      </c>
      <c r="BY305" s="182">
        <f t="shared" si="616"/>
        <v>0</v>
      </c>
      <c r="BZ305" s="182">
        <f t="shared" si="621"/>
        <v>0</v>
      </c>
      <c r="CA305" s="182">
        <f t="shared" si="626"/>
        <v>0</v>
      </c>
      <c r="CB305" s="182">
        <f t="shared" si="631"/>
        <v>0</v>
      </c>
      <c r="CC305" s="182">
        <f t="shared" si="636"/>
        <v>0</v>
      </c>
      <c r="CD305" s="182">
        <f t="shared" si="641"/>
        <v>0</v>
      </c>
      <c r="CE305" s="182">
        <f t="shared" si="646"/>
        <v>0</v>
      </c>
      <c r="CF305" s="182">
        <f t="shared" si="651"/>
        <v>0</v>
      </c>
      <c r="CG305" s="182">
        <f t="shared" si="656"/>
        <v>0</v>
      </c>
      <c r="CH305" s="182">
        <f t="shared" si="661"/>
        <v>0</v>
      </c>
      <c r="CI305" s="182">
        <f t="shared" si="666"/>
        <v>0</v>
      </c>
      <c r="CJ305" s="182">
        <f t="shared" si="671"/>
        <v>0</v>
      </c>
      <c r="CK305" s="182">
        <f t="shared" si="676"/>
        <v>0</v>
      </c>
      <c r="CL305" s="182">
        <f t="shared" si="681"/>
        <v>0</v>
      </c>
      <c r="CM305" s="182">
        <f t="shared" si="686"/>
        <v>0</v>
      </c>
      <c r="CN305" s="182">
        <f t="shared" si="691"/>
        <v>0</v>
      </c>
      <c r="CO305" s="182">
        <f t="shared" si="696"/>
        <v>0</v>
      </c>
      <c r="CP305" s="182">
        <f t="shared" si="701"/>
        <v>0</v>
      </c>
      <c r="CQ305" s="182">
        <f t="shared" si="706"/>
        <v>0</v>
      </c>
      <c r="CR305" s="182">
        <f t="shared" si="711"/>
        <v>0</v>
      </c>
      <c r="CS305" s="182">
        <f t="shared" si="716"/>
        <v>0</v>
      </c>
      <c r="CT305" s="182">
        <f t="shared" si="721"/>
        <v>0</v>
      </c>
      <c r="CU305" s="182">
        <f t="shared" si="726"/>
        <v>0</v>
      </c>
      <c r="CV305" s="182">
        <f t="shared" ref="CV305:CV330" si="732">CV138*CV$168</f>
        <v>0</v>
      </c>
      <c r="CW305" s="182">
        <f t="shared" si="569"/>
        <v>0</v>
      </c>
      <c r="CX305" s="182">
        <f t="shared" si="575"/>
        <v>0</v>
      </c>
      <c r="CY305" s="182">
        <f t="shared" si="581"/>
        <v>0</v>
      </c>
      <c r="CZ305" s="182">
        <f t="shared" si="587"/>
        <v>0</v>
      </c>
      <c r="DA305" s="182">
        <f t="shared" si="593"/>
        <v>0</v>
      </c>
      <c r="DB305" s="182">
        <f t="shared" si="599"/>
        <v>0</v>
      </c>
      <c r="DC305" s="182">
        <f t="shared" si="605"/>
        <v>0</v>
      </c>
      <c r="DD305" s="182">
        <f t="shared" si="611"/>
        <v>0</v>
      </c>
      <c r="DE305" s="182">
        <f t="shared" si="617"/>
        <v>0</v>
      </c>
      <c r="DF305" s="182">
        <f t="shared" si="622"/>
        <v>0</v>
      </c>
      <c r="DG305" s="182">
        <f t="shared" si="627"/>
        <v>0</v>
      </c>
      <c r="DH305" s="182">
        <f t="shared" si="632"/>
        <v>0</v>
      </c>
      <c r="DI305" s="182">
        <f t="shared" si="637"/>
        <v>0</v>
      </c>
      <c r="DJ305" s="182">
        <f t="shared" si="642"/>
        <v>1.149938181681492E-5</v>
      </c>
      <c r="DK305" s="182">
        <f t="shared" si="647"/>
        <v>0</v>
      </c>
      <c r="DL305" s="182">
        <f t="shared" si="652"/>
        <v>0</v>
      </c>
      <c r="DM305" s="182">
        <f t="shared" si="657"/>
        <v>6.4499412276026E-6</v>
      </c>
      <c r="DN305" s="182">
        <f t="shared" si="662"/>
        <v>0</v>
      </c>
      <c r="DO305" s="182">
        <f t="shared" si="667"/>
        <v>0</v>
      </c>
      <c r="DP305" s="182">
        <f t="shared" si="672"/>
        <v>0</v>
      </c>
      <c r="DQ305" s="182">
        <f t="shared" si="677"/>
        <v>0</v>
      </c>
      <c r="DR305" s="182">
        <f t="shared" si="682"/>
        <v>0</v>
      </c>
      <c r="DS305" s="182">
        <f t="shared" si="687"/>
        <v>0</v>
      </c>
      <c r="DT305" s="182">
        <f t="shared" si="692"/>
        <v>0</v>
      </c>
      <c r="DU305" s="182">
        <f t="shared" si="697"/>
        <v>0</v>
      </c>
      <c r="DV305" s="182">
        <f t="shared" si="702"/>
        <v>0</v>
      </c>
      <c r="DW305" s="182">
        <f t="shared" si="707"/>
        <v>0</v>
      </c>
      <c r="DX305" s="182">
        <f t="shared" si="712"/>
        <v>0</v>
      </c>
      <c r="DY305" s="182">
        <f t="shared" si="717"/>
        <v>0</v>
      </c>
      <c r="DZ305" s="182">
        <f t="shared" si="722"/>
        <v>0</v>
      </c>
      <c r="EA305" s="182">
        <f t="shared" si="727"/>
        <v>0</v>
      </c>
      <c r="EB305" s="182">
        <f t="shared" ref="EB305:EB330" si="733">EB138*EB$168</f>
        <v>0</v>
      </c>
      <c r="EC305" s="181">
        <f>$C305+SUM($D305:EB305,ED305:$FB305)-SUM(EC$176:EC304,EC306:EC$330)-EC$331</f>
        <v>-9.2286394231137138E-21</v>
      </c>
      <c r="ED305" s="176">
        <f t="shared" ref="ED305:FB305" si="734">ED138*ED$168</f>
        <v>0</v>
      </c>
      <c r="EE305" s="176">
        <f t="shared" si="734"/>
        <v>0</v>
      </c>
      <c r="EF305" s="182">
        <f t="shared" si="734"/>
        <v>0</v>
      </c>
      <c r="EG305" s="182">
        <f t="shared" si="734"/>
        <v>0</v>
      </c>
      <c r="EH305" s="182">
        <f t="shared" si="734"/>
        <v>0</v>
      </c>
      <c r="EI305" s="182">
        <f t="shared" si="734"/>
        <v>0</v>
      </c>
      <c r="EJ305" s="182">
        <f t="shared" si="734"/>
        <v>0</v>
      </c>
      <c r="EK305" s="182">
        <f t="shared" si="734"/>
        <v>0</v>
      </c>
      <c r="EL305" s="182">
        <f t="shared" si="734"/>
        <v>0</v>
      </c>
      <c r="EM305" s="182">
        <f t="shared" si="734"/>
        <v>0</v>
      </c>
      <c r="EN305" s="182">
        <f t="shared" si="734"/>
        <v>0</v>
      </c>
      <c r="EO305" s="182">
        <f t="shared" si="734"/>
        <v>0</v>
      </c>
      <c r="EP305" s="182">
        <f t="shared" si="734"/>
        <v>0</v>
      </c>
      <c r="EQ305" s="182">
        <f t="shared" si="734"/>
        <v>0</v>
      </c>
      <c r="ER305" s="182">
        <f t="shared" si="734"/>
        <v>0</v>
      </c>
      <c r="ES305" s="182">
        <f t="shared" si="734"/>
        <v>0</v>
      </c>
      <c r="ET305" s="182">
        <f t="shared" si="734"/>
        <v>0</v>
      </c>
      <c r="EU305" s="182">
        <f t="shared" si="734"/>
        <v>0</v>
      </c>
      <c r="EV305" s="182">
        <f t="shared" si="734"/>
        <v>0</v>
      </c>
      <c r="EW305" s="182">
        <f t="shared" si="734"/>
        <v>0</v>
      </c>
      <c r="EX305" s="182">
        <f t="shared" si="734"/>
        <v>0</v>
      </c>
      <c r="EY305" s="182">
        <f t="shared" si="734"/>
        <v>0</v>
      </c>
      <c r="EZ305" s="182">
        <f t="shared" si="734"/>
        <v>0</v>
      </c>
      <c r="FA305" s="182">
        <f t="shared" si="734"/>
        <v>0</v>
      </c>
      <c r="FB305" s="183">
        <f t="shared" si="734"/>
        <v>0</v>
      </c>
    </row>
    <row r="306" spans="2:158" ht="12.75" customHeight="1" x14ac:dyDescent="0.3">
      <c r="B306" s="199" t="s">
        <v>3949</v>
      </c>
      <c r="C306" s="193">
        <v>0</v>
      </c>
      <c r="D306" s="182">
        <f t="shared" si="729"/>
        <v>0</v>
      </c>
      <c r="E306" s="182">
        <f t="shared" ref="E306:E330" si="735">E139*E$168</f>
        <v>0</v>
      </c>
      <c r="F306" s="182">
        <f t="shared" si="572"/>
        <v>0</v>
      </c>
      <c r="G306" s="182">
        <f t="shared" si="578"/>
        <v>0</v>
      </c>
      <c r="H306" s="182">
        <f t="shared" si="584"/>
        <v>0</v>
      </c>
      <c r="I306" s="176">
        <f t="shared" si="590"/>
        <v>0</v>
      </c>
      <c r="J306" s="182">
        <f t="shared" si="596"/>
        <v>0</v>
      </c>
      <c r="K306" s="182">
        <f t="shared" si="602"/>
        <v>0</v>
      </c>
      <c r="L306" s="182">
        <f t="shared" si="608"/>
        <v>0</v>
      </c>
      <c r="M306" s="182">
        <f t="shared" si="614"/>
        <v>0</v>
      </c>
      <c r="N306" s="182">
        <f t="shared" si="619"/>
        <v>0</v>
      </c>
      <c r="O306" s="182">
        <f t="shared" si="624"/>
        <v>0</v>
      </c>
      <c r="P306" s="182">
        <f t="shared" si="629"/>
        <v>0</v>
      </c>
      <c r="Q306" s="182">
        <f t="shared" si="634"/>
        <v>0</v>
      </c>
      <c r="R306" s="182">
        <f t="shared" si="639"/>
        <v>0</v>
      </c>
      <c r="S306" s="182">
        <f t="shared" si="644"/>
        <v>0</v>
      </c>
      <c r="T306" s="182">
        <f t="shared" si="649"/>
        <v>0</v>
      </c>
      <c r="U306" s="182">
        <f t="shared" si="654"/>
        <v>0</v>
      </c>
      <c r="V306" s="182">
        <f t="shared" si="659"/>
        <v>0</v>
      </c>
      <c r="W306" s="182">
        <f t="shared" si="664"/>
        <v>0</v>
      </c>
      <c r="X306" s="182">
        <f t="shared" si="669"/>
        <v>0</v>
      </c>
      <c r="Y306" s="182">
        <f t="shared" si="674"/>
        <v>0</v>
      </c>
      <c r="Z306" s="182">
        <f t="shared" si="679"/>
        <v>0</v>
      </c>
      <c r="AA306" s="182">
        <f t="shared" si="684"/>
        <v>0</v>
      </c>
      <c r="AB306" s="182">
        <f t="shared" si="689"/>
        <v>0</v>
      </c>
      <c r="AC306" s="182">
        <f t="shared" si="694"/>
        <v>0</v>
      </c>
      <c r="AD306" s="182">
        <f t="shared" si="699"/>
        <v>0</v>
      </c>
      <c r="AE306" s="182">
        <f t="shared" si="704"/>
        <v>0</v>
      </c>
      <c r="AF306" s="182">
        <f t="shared" si="709"/>
        <v>0</v>
      </c>
      <c r="AG306" s="182">
        <f t="shared" si="714"/>
        <v>0</v>
      </c>
      <c r="AH306" s="182">
        <f t="shared" si="719"/>
        <v>0</v>
      </c>
      <c r="AI306" s="182">
        <f t="shared" si="724"/>
        <v>0</v>
      </c>
      <c r="AJ306" s="182">
        <f t="shared" si="730"/>
        <v>0</v>
      </c>
      <c r="AK306" s="182">
        <f t="shared" ref="AK306:AK330" si="736">AK139*AK$168</f>
        <v>0</v>
      </c>
      <c r="AL306" s="182">
        <f t="shared" si="573"/>
        <v>0</v>
      </c>
      <c r="AM306" s="182">
        <f t="shared" si="579"/>
        <v>0</v>
      </c>
      <c r="AN306" s="182">
        <f t="shared" si="585"/>
        <v>0</v>
      </c>
      <c r="AO306" s="182">
        <f t="shared" si="591"/>
        <v>0</v>
      </c>
      <c r="AP306" s="182">
        <f t="shared" si="597"/>
        <v>0</v>
      </c>
      <c r="AQ306" s="182">
        <f t="shared" si="603"/>
        <v>0</v>
      </c>
      <c r="AR306" s="182">
        <f t="shared" si="609"/>
        <v>0</v>
      </c>
      <c r="AS306" s="182">
        <f t="shared" si="615"/>
        <v>0</v>
      </c>
      <c r="AT306" s="182">
        <f t="shared" si="620"/>
        <v>0</v>
      </c>
      <c r="AU306" s="182">
        <f t="shared" si="625"/>
        <v>0</v>
      </c>
      <c r="AV306" s="182">
        <f t="shared" si="630"/>
        <v>0</v>
      </c>
      <c r="AW306" s="182">
        <f t="shared" si="635"/>
        <v>0</v>
      </c>
      <c r="AX306" s="182">
        <f t="shared" si="640"/>
        <v>0</v>
      </c>
      <c r="AY306" s="182">
        <f t="shared" si="645"/>
        <v>0</v>
      </c>
      <c r="AZ306" s="182">
        <f t="shared" si="650"/>
        <v>0</v>
      </c>
      <c r="BA306" s="182">
        <f t="shared" si="655"/>
        <v>0</v>
      </c>
      <c r="BB306" s="182">
        <f t="shared" si="660"/>
        <v>0</v>
      </c>
      <c r="BC306" s="182">
        <f t="shared" si="665"/>
        <v>0</v>
      </c>
      <c r="BD306" s="182">
        <f t="shared" si="670"/>
        <v>0</v>
      </c>
      <c r="BE306" s="182">
        <f t="shared" si="675"/>
        <v>0</v>
      </c>
      <c r="BF306" s="182">
        <f t="shared" si="680"/>
        <v>0</v>
      </c>
      <c r="BG306" s="182">
        <f t="shared" si="685"/>
        <v>0</v>
      </c>
      <c r="BH306" s="182">
        <f t="shared" si="690"/>
        <v>0</v>
      </c>
      <c r="BI306" s="182">
        <f t="shared" si="695"/>
        <v>0</v>
      </c>
      <c r="BJ306" s="182">
        <f t="shared" si="700"/>
        <v>0</v>
      </c>
      <c r="BK306" s="182">
        <f t="shared" si="705"/>
        <v>0</v>
      </c>
      <c r="BL306" s="182">
        <f t="shared" si="710"/>
        <v>0</v>
      </c>
      <c r="BM306" s="182">
        <f t="shared" si="715"/>
        <v>0</v>
      </c>
      <c r="BN306" s="182">
        <f t="shared" si="720"/>
        <v>0</v>
      </c>
      <c r="BO306" s="182">
        <f t="shared" si="725"/>
        <v>0</v>
      </c>
      <c r="BP306" s="182">
        <f t="shared" si="731"/>
        <v>0</v>
      </c>
      <c r="BQ306" s="182">
        <f t="shared" ref="BQ306:BQ330" si="737">BQ139*BQ$168</f>
        <v>0</v>
      </c>
      <c r="BR306" s="182">
        <f t="shared" si="574"/>
        <v>0</v>
      </c>
      <c r="BS306" s="182">
        <f t="shared" si="580"/>
        <v>0</v>
      </c>
      <c r="BT306" s="182">
        <f t="shared" si="586"/>
        <v>0</v>
      </c>
      <c r="BU306" s="182">
        <f t="shared" si="592"/>
        <v>0</v>
      </c>
      <c r="BV306" s="182">
        <f t="shared" si="598"/>
        <v>0</v>
      </c>
      <c r="BW306" s="182">
        <f t="shared" si="604"/>
        <v>0</v>
      </c>
      <c r="BX306" s="182">
        <f t="shared" si="610"/>
        <v>0</v>
      </c>
      <c r="BY306" s="182">
        <f t="shared" si="616"/>
        <v>0</v>
      </c>
      <c r="BZ306" s="182">
        <f t="shared" si="621"/>
        <v>0</v>
      </c>
      <c r="CA306" s="182">
        <f t="shared" si="626"/>
        <v>0</v>
      </c>
      <c r="CB306" s="182">
        <f t="shared" si="631"/>
        <v>0</v>
      </c>
      <c r="CC306" s="182">
        <f t="shared" si="636"/>
        <v>0</v>
      </c>
      <c r="CD306" s="182">
        <f t="shared" si="641"/>
        <v>0</v>
      </c>
      <c r="CE306" s="182">
        <f t="shared" si="646"/>
        <v>0</v>
      </c>
      <c r="CF306" s="182">
        <f t="shared" si="651"/>
        <v>0</v>
      </c>
      <c r="CG306" s="182">
        <f t="shared" si="656"/>
        <v>0</v>
      </c>
      <c r="CH306" s="182">
        <f t="shared" si="661"/>
        <v>0</v>
      </c>
      <c r="CI306" s="182">
        <f t="shared" si="666"/>
        <v>0</v>
      </c>
      <c r="CJ306" s="182">
        <f t="shared" si="671"/>
        <v>0</v>
      </c>
      <c r="CK306" s="182">
        <f t="shared" si="676"/>
        <v>0</v>
      </c>
      <c r="CL306" s="182">
        <f t="shared" si="681"/>
        <v>0</v>
      </c>
      <c r="CM306" s="182">
        <f t="shared" si="686"/>
        <v>0</v>
      </c>
      <c r="CN306" s="182">
        <f t="shared" si="691"/>
        <v>0</v>
      </c>
      <c r="CO306" s="182">
        <f t="shared" si="696"/>
        <v>0</v>
      </c>
      <c r="CP306" s="182">
        <f t="shared" si="701"/>
        <v>0</v>
      </c>
      <c r="CQ306" s="182">
        <f t="shared" si="706"/>
        <v>0</v>
      </c>
      <c r="CR306" s="182">
        <f t="shared" si="711"/>
        <v>0</v>
      </c>
      <c r="CS306" s="182">
        <f t="shared" si="716"/>
        <v>0</v>
      </c>
      <c r="CT306" s="182">
        <f t="shared" si="721"/>
        <v>0</v>
      </c>
      <c r="CU306" s="182">
        <f t="shared" si="726"/>
        <v>0</v>
      </c>
      <c r="CV306" s="182">
        <f t="shared" si="732"/>
        <v>0</v>
      </c>
      <c r="CW306" s="182">
        <f t="shared" ref="CW306:CW330" si="738">CW139*CW$168</f>
        <v>0</v>
      </c>
      <c r="CX306" s="182">
        <f t="shared" si="575"/>
        <v>0</v>
      </c>
      <c r="CY306" s="182">
        <f t="shared" si="581"/>
        <v>0</v>
      </c>
      <c r="CZ306" s="182">
        <f t="shared" si="587"/>
        <v>0</v>
      </c>
      <c r="DA306" s="182">
        <f t="shared" si="593"/>
        <v>0</v>
      </c>
      <c r="DB306" s="182">
        <f t="shared" si="599"/>
        <v>0</v>
      </c>
      <c r="DC306" s="182">
        <f t="shared" si="605"/>
        <v>0</v>
      </c>
      <c r="DD306" s="182">
        <f t="shared" si="611"/>
        <v>0</v>
      </c>
      <c r="DE306" s="182">
        <f t="shared" si="617"/>
        <v>0</v>
      </c>
      <c r="DF306" s="182">
        <f t="shared" si="622"/>
        <v>0</v>
      </c>
      <c r="DG306" s="182">
        <f t="shared" si="627"/>
        <v>0</v>
      </c>
      <c r="DH306" s="182">
        <f t="shared" si="632"/>
        <v>0</v>
      </c>
      <c r="DI306" s="182">
        <f t="shared" si="637"/>
        <v>0</v>
      </c>
      <c r="DJ306" s="182">
        <f t="shared" si="642"/>
        <v>0</v>
      </c>
      <c r="DK306" s="182">
        <f t="shared" si="647"/>
        <v>1.1385032406175968E-2</v>
      </c>
      <c r="DL306" s="182">
        <f t="shared" si="652"/>
        <v>0</v>
      </c>
      <c r="DM306" s="182">
        <f t="shared" si="657"/>
        <v>0</v>
      </c>
      <c r="DN306" s="182">
        <f t="shared" si="662"/>
        <v>1.6196368428918521E-2</v>
      </c>
      <c r="DO306" s="182">
        <f t="shared" si="667"/>
        <v>0</v>
      </c>
      <c r="DP306" s="182">
        <f t="shared" si="672"/>
        <v>0</v>
      </c>
      <c r="DQ306" s="182">
        <f t="shared" si="677"/>
        <v>0</v>
      </c>
      <c r="DR306" s="182">
        <f t="shared" si="682"/>
        <v>0</v>
      </c>
      <c r="DS306" s="182">
        <f t="shared" si="687"/>
        <v>0</v>
      </c>
      <c r="DT306" s="182">
        <f t="shared" si="692"/>
        <v>0</v>
      </c>
      <c r="DU306" s="182">
        <f t="shared" si="697"/>
        <v>0</v>
      </c>
      <c r="DV306" s="182">
        <f t="shared" si="702"/>
        <v>0</v>
      </c>
      <c r="DW306" s="182">
        <f t="shared" si="707"/>
        <v>0</v>
      </c>
      <c r="DX306" s="182">
        <f t="shared" si="712"/>
        <v>0</v>
      </c>
      <c r="DY306" s="182">
        <f t="shared" si="717"/>
        <v>0</v>
      </c>
      <c r="DZ306" s="182">
        <f t="shared" si="722"/>
        <v>0</v>
      </c>
      <c r="EA306" s="182">
        <f t="shared" si="727"/>
        <v>0</v>
      </c>
      <c r="EB306" s="182">
        <f t="shared" si="733"/>
        <v>0</v>
      </c>
      <c r="EC306" s="182">
        <f t="shared" ref="EC306:EC330" si="739">EC139*EC$168</f>
        <v>1.3427800139592648E-5</v>
      </c>
      <c r="ED306" s="181">
        <f>$C306+SUM($D306:EC306,EE306:$FB306)-SUM(ED$176:ED305,ED307:ED$330)-ED$331</f>
        <v>-2.3581397251559721E-18</v>
      </c>
      <c r="EE306" s="176">
        <f t="shared" ref="EE306:FB306" si="740">EE139*EE$168</f>
        <v>0</v>
      </c>
      <c r="EF306" s="182">
        <f t="shared" si="740"/>
        <v>0</v>
      </c>
      <c r="EG306" s="182">
        <f t="shared" si="740"/>
        <v>0</v>
      </c>
      <c r="EH306" s="182">
        <f t="shared" si="740"/>
        <v>0</v>
      </c>
      <c r="EI306" s="182">
        <f t="shared" si="740"/>
        <v>0</v>
      </c>
      <c r="EJ306" s="182">
        <f t="shared" si="740"/>
        <v>0</v>
      </c>
      <c r="EK306" s="182">
        <f t="shared" si="740"/>
        <v>0</v>
      </c>
      <c r="EL306" s="182">
        <f t="shared" si="740"/>
        <v>0</v>
      </c>
      <c r="EM306" s="182">
        <f t="shared" si="740"/>
        <v>0</v>
      </c>
      <c r="EN306" s="182">
        <f t="shared" si="740"/>
        <v>0</v>
      </c>
      <c r="EO306" s="182">
        <f t="shared" si="740"/>
        <v>0</v>
      </c>
      <c r="EP306" s="182">
        <f t="shared" si="740"/>
        <v>0</v>
      </c>
      <c r="EQ306" s="182">
        <f t="shared" si="740"/>
        <v>0</v>
      </c>
      <c r="ER306" s="182">
        <f t="shared" si="740"/>
        <v>0</v>
      </c>
      <c r="ES306" s="182">
        <f t="shared" si="740"/>
        <v>0</v>
      </c>
      <c r="ET306" s="182">
        <f t="shared" si="740"/>
        <v>0</v>
      </c>
      <c r="EU306" s="182">
        <f t="shared" si="740"/>
        <v>0</v>
      </c>
      <c r="EV306" s="182">
        <f t="shared" si="740"/>
        <v>0</v>
      </c>
      <c r="EW306" s="182">
        <f t="shared" si="740"/>
        <v>0</v>
      </c>
      <c r="EX306" s="182">
        <f t="shared" si="740"/>
        <v>0</v>
      </c>
      <c r="EY306" s="182">
        <f t="shared" si="740"/>
        <v>0</v>
      </c>
      <c r="EZ306" s="182">
        <f t="shared" si="740"/>
        <v>0</v>
      </c>
      <c r="FA306" s="182">
        <f t="shared" si="740"/>
        <v>0</v>
      </c>
      <c r="FB306" s="183">
        <f t="shared" si="740"/>
        <v>0</v>
      </c>
    </row>
    <row r="307" spans="2:158" ht="12.75" customHeight="1" x14ac:dyDescent="0.3">
      <c r="B307" s="199" t="s">
        <v>3950</v>
      </c>
      <c r="C307" s="193">
        <v>0</v>
      </c>
      <c r="D307" s="182">
        <f t="shared" si="729"/>
        <v>0</v>
      </c>
      <c r="E307" s="182">
        <f t="shared" si="735"/>
        <v>0</v>
      </c>
      <c r="F307" s="182">
        <f t="shared" ref="F307:F330" si="741">F140*F$168</f>
        <v>0</v>
      </c>
      <c r="G307" s="182">
        <f t="shared" si="578"/>
        <v>0</v>
      </c>
      <c r="H307" s="182">
        <f t="shared" si="584"/>
        <v>0</v>
      </c>
      <c r="I307" s="176">
        <f t="shared" si="590"/>
        <v>0</v>
      </c>
      <c r="J307" s="182">
        <f t="shared" si="596"/>
        <v>0</v>
      </c>
      <c r="K307" s="182">
        <f t="shared" si="602"/>
        <v>0</v>
      </c>
      <c r="L307" s="182">
        <f t="shared" si="608"/>
        <v>0</v>
      </c>
      <c r="M307" s="182">
        <f t="shared" si="614"/>
        <v>0</v>
      </c>
      <c r="N307" s="182">
        <f t="shared" si="619"/>
        <v>0</v>
      </c>
      <c r="O307" s="182">
        <f t="shared" si="624"/>
        <v>0</v>
      </c>
      <c r="P307" s="182">
        <f t="shared" si="629"/>
        <v>0</v>
      </c>
      <c r="Q307" s="182">
        <f t="shared" si="634"/>
        <v>0</v>
      </c>
      <c r="R307" s="182">
        <f t="shared" si="639"/>
        <v>0</v>
      </c>
      <c r="S307" s="182">
        <f t="shared" si="644"/>
        <v>0</v>
      </c>
      <c r="T307" s="182">
        <f t="shared" si="649"/>
        <v>0</v>
      </c>
      <c r="U307" s="182">
        <f t="shared" si="654"/>
        <v>0</v>
      </c>
      <c r="V307" s="182">
        <f t="shared" si="659"/>
        <v>0</v>
      </c>
      <c r="W307" s="182">
        <f t="shared" si="664"/>
        <v>0</v>
      </c>
      <c r="X307" s="182">
        <f t="shared" si="669"/>
        <v>0</v>
      </c>
      <c r="Y307" s="182">
        <f t="shared" si="674"/>
        <v>0</v>
      </c>
      <c r="Z307" s="182">
        <f t="shared" si="679"/>
        <v>0</v>
      </c>
      <c r="AA307" s="182">
        <f t="shared" si="684"/>
        <v>0</v>
      </c>
      <c r="AB307" s="182">
        <f t="shared" si="689"/>
        <v>0</v>
      </c>
      <c r="AC307" s="182">
        <f t="shared" si="694"/>
        <v>0</v>
      </c>
      <c r="AD307" s="182">
        <f t="shared" si="699"/>
        <v>0</v>
      </c>
      <c r="AE307" s="182">
        <f t="shared" si="704"/>
        <v>0</v>
      </c>
      <c r="AF307" s="182">
        <f t="shared" si="709"/>
        <v>0</v>
      </c>
      <c r="AG307" s="182">
        <f t="shared" si="714"/>
        <v>0</v>
      </c>
      <c r="AH307" s="182">
        <f t="shared" si="719"/>
        <v>0</v>
      </c>
      <c r="AI307" s="182">
        <f t="shared" si="724"/>
        <v>0</v>
      </c>
      <c r="AJ307" s="182">
        <f t="shared" si="730"/>
        <v>0</v>
      </c>
      <c r="AK307" s="182">
        <f t="shared" si="736"/>
        <v>0</v>
      </c>
      <c r="AL307" s="182">
        <f t="shared" ref="AL307:AL330" si="742">AL140*AL$168</f>
        <v>0</v>
      </c>
      <c r="AM307" s="182">
        <f t="shared" si="579"/>
        <v>0</v>
      </c>
      <c r="AN307" s="182">
        <f t="shared" si="585"/>
        <v>0</v>
      </c>
      <c r="AO307" s="182">
        <f t="shared" si="591"/>
        <v>0</v>
      </c>
      <c r="AP307" s="182">
        <f t="shared" si="597"/>
        <v>0</v>
      </c>
      <c r="AQ307" s="182">
        <f t="shared" si="603"/>
        <v>0</v>
      </c>
      <c r="AR307" s="182">
        <f t="shared" si="609"/>
        <v>0</v>
      </c>
      <c r="AS307" s="182">
        <f t="shared" si="615"/>
        <v>0</v>
      </c>
      <c r="AT307" s="182">
        <f t="shared" si="620"/>
        <v>0</v>
      </c>
      <c r="AU307" s="182">
        <f t="shared" si="625"/>
        <v>0</v>
      </c>
      <c r="AV307" s="182">
        <f t="shared" si="630"/>
        <v>0</v>
      </c>
      <c r="AW307" s="182">
        <f t="shared" si="635"/>
        <v>0</v>
      </c>
      <c r="AX307" s="182">
        <f t="shared" si="640"/>
        <v>0</v>
      </c>
      <c r="AY307" s="182">
        <f t="shared" si="645"/>
        <v>0</v>
      </c>
      <c r="AZ307" s="182">
        <f t="shared" si="650"/>
        <v>0</v>
      </c>
      <c r="BA307" s="182">
        <f t="shared" si="655"/>
        <v>0</v>
      </c>
      <c r="BB307" s="182">
        <f t="shared" si="660"/>
        <v>0</v>
      </c>
      <c r="BC307" s="182">
        <f t="shared" si="665"/>
        <v>0</v>
      </c>
      <c r="BD307" s="182">
        <f t="shared" si="670"/>
        <v>0</v>
      </c>
      <c r="BE307" s="182">
        <f t="shared" si="675"/>
        <v>0</v>
      </c>
      <c r="BF307" s="182">
        <f t="shared" si="680"/>
        <v>0</v>
      </c>
      <c r="BG307" s="182">
        <f t="shared" si="685"/>
        <v>0</v>
      </c>
      <c r="BH307" s="182">
        <f t="shared" si="690"/>
        <v>0</v>
      </c>
      <c r="BI307" s="182">
        <f t="shared" si="695"/>
        <v>0</v>
      </c>
      <c r="BJ307" s="182">
        <f t="shared" si="700"/>
        <v>0</v>
      </c>
      <c r="BK307" s="182">
        <f t="shared" si="705"/>
        <v>0</v>
      </c>
      <c r="BL307" s="182">
        <f t="shared" si="710"/>
        <v>0</v>
      </c>
      <c r="BM307" s="182">
        <f t="shared" si="715"/>
        <v>0</v>
      </c>
      <c r="BN307" s="182">
        <f t="shared" si="720"/>
        <v>0</v>
      </c>
      <c r="BO307" s="182">
        <f t="shared" si="725"/>
        <v>0</v>
      </c>
      <c r="BP307" s="182">
        <f t="shared" si="731"/>
        <v>0</v>
      </c>
      <c r="BQ307" s="182">
        <f t="shared" si="737"/>
        <v>0</v>
      </c>
      <c r="BR307" s="182">
        <f t="shared" ref="BR307:BR330" si="743">BR140*BR$168</f>
        <v>0</v>
      </c>
      <c r="BS307" s="182">
        <f t="shared" si="580"/>
        <v>0</v>
      </c>
      <c r="BT307" s="182">
        <f t="shared" si="586"/>
        <v>0</v>
      </c>
      <c r="BU307" s="182">
        <f t="shared" si="592"/>
        <v>0</v>
      </c>
      <c r="BV307" s="182">
        <f t="shared" si="598"/>
        <v>0</v>
      </c>
      <c r="BW307" s="182">
        <f t="shared" si="604"/>
        <v>0</v>
      </c>
      <c r="BX307" s="182">
        <f t="shared" si="610"/>
        <v>0</v>
      </c>
      <c r="BY307" s="182">
        <f t="shared" si="616"/>
        <v>0</v>
      </c>
      <c r="BZ307" s="182">
        <f t="shared" si="621"/>
        <v>0</v>
      </c>
      <c r="CA307" s="182">
        <f t="shared" si="626"/>
        <v>0</v>
      </c>
      <c r="CB307" s="182">
        <f t="shared" si="631"/>
        <v>0</v>
      </c>
      <c r="CC307" s="182">
        <f t="shared" si="636"/>
        <v>0</v>
      </c>
      <c r="CD307" s="182">
        <f t="shared" si="641"/>
        <v>0</v>
      </c>
      <c r="CE307" s="182">
        <f t="shared" si="646"/>
        <v>0</v>
      </c>
      <c r="CF307" s="182">
        <f t="shared" si="651"/>
        <v>0</v>
      </c>
      <c r="CG307" s="182">
        <f t="shared" si="656"/>
        <v>0</v>
      </c>
      <c r="CH307" s="182">
        <f t="shared" si="661"/>
        <v>0</v>
      </c>
      <c r="CI307" s="182">
        <f t="shared" si="666"/>
        <v>0</v>
      </c>
      <c r="CJ307" s="182">
        <f t="shared" si="671"/>
        <v>0</v>
      </c>
      <c r="CK307" s="182">
        <f t="shared" si="676"/>
        <v>0</v>
      </c>
      <c r="CL307" s="182">
        <f t="shared" si="681"/>
        <v>0</v>
      </c>
      <c r="CM307" s="182">
        <f t="shared" si="686"/>
        <v>0</v>
      </c>
      <c r="CN307" s="182">
        <f t="shared" si="691"/>
        <v>0</v>
      </c>
      <c r="CO307" s="182">
        <f t="shared" si="696"/>
        <v>0</v>
      </c>
      <c r="CP307" s="182">
        <f t="shared" si="701"/>
        <v>0</v>
      </c>
      <c r="CQ307" s="182">
        <f t="shared" si="706"/>
        <v>0</v>
      </c>
      <c r="CR307" s="182">
        <f t="shared" si="711"/>
        <v>0</v>
      </c>
      <c r="CS307" s="182">
        <f t="shared" si="716"/>
        <v>0</v>
      </c>
      <c r="CT307" s="182">
        <f t="shared" si="721"/>
        <v>0</v>
      </c>
      <c r="CU307" s="182">
        <f t="shared" si="726"/>
        <v>0</v>
      </c>
      <c r="CV307" s="182">
        <f t="shared" si="732"/>
        <v>0</v>
      </c>
      <c r="CW307" s="182">
        <f t="shared" si="738"/>
        <v>0</v>
      </c>
      <c r="CX307" s="182">
        <f t="shared" ref="CX307:CX330" si="744">CX140*CX$168</f>
        <v>0</v>
      </c>
      <c r="CY307" s="182">
        <f t="shared" si="581"/>
        <v>0</v>
      </c>
      <c r="CZ307" s="182">
        <f t="shared" si="587"/>
        <v>0</v>
      </c>
      <c r="DA307" s="182">
        <f t="shared" si="593"/>
        <v>0</v>
      </c>
      <c r="DB307" s="182">
        <f t="shared" si="599"/>
        <v>0</v>
      </c>
      <c r="DC307" s="182">
        <f t="shared" si="605"/>
        <v>0</v>
      </c>
      <c r="DD307" s="182">
        <f t="shared" si="611"/>
        <v>0</v>
      </c>
      <c r="DE307" s="182">
        <f t="shared" si="617"/>
        <v>0</v>
      </c>
      <c r="DF307" s="182">
        <f t="shared" si="622"/>
        <v>0</v>
      </c>
      <c r="DG307" s="182">
        <f t="shared" si="627"/>
        <v>0</v>
      </c>
      <c r="DH307" s="182">
        <f t="shared" si="632"/>
        <v>0</v>
      </c>
      <c r="DI307" s="182">
        <f t="shared" si="637"/>
        <v>0</v>
      </c>
      <c r="DJ307" s="182">
        <f t="shared" si="642"/>
        <v>0</v>
      </c>
      <c r="DK307" s="182">
        <f t="shared" si="647"/>
        <v>0</v>
      </c>
      <c r="DL307" s="182">
        <f t="shared" si="652"/>
        <v>1.6276727768384988E-8</v>
      </c>
      <c r="DM307" s="182">
        <f t="shared" si="657"/>
        <v>0</v>
      </c>
      <c r="DN307" s="182">
        <f t="shared" si="662"/>
        <v>0</v>
      </c>
      <c r="DO307" s="182">
        <f t="shared" si="667"/>
        <v>4.3010958072696432E-7</v>
      </c>
      <c r="DP307" s="182">
        <f t="shared" si="672"/>
        <v>0</v>
      </c>
      <c r="DQ307" s="182">
        <f t="shared" si="677"/>
        <v>0</v>
      </c>
      <c r="DR307" s="182">
        <f t="shared" si="682"/>
        <v>0</v>
      </c>
      <c r="DS307" s="182">
        <f t="shared" si="687"/>
        <v>0</v>
      </c>
      <c r="DT307" s="182">
        <f t="shared" si="692"/>
        <v>0</v>
      </c>
      <c r="DU307" s="182">
        <f t="shared" si="697"/>
        <v>0</v>
      </c>
      <c r="DV307" s="182">
        <f t="shared" si="702"/>
        <v>0</v>
      </c>
      <c r="DW307" s="182">
        <f t="shared" si="707"/>
        <v>0</v>
      </c>
      <c r="DX307" s="182">
        <f t="shared" si="712"/>
        <v>0</v>
      </c>
      <c r="DY307" s="182">
        <f t="shared" si="717"/>
        <v>0</v>
      </c>
      <c r="DZ307" s="182">
        <f t="shared" si="722"/>
        <v>0</v>
      </c>
      <c r="EA307" s="182">
        <f t="shared" si="727"/>
        <v>0</v>
      </c>
      <c r="EB307" s="182">
        <f t="shared" si="733"/>
        <v>0</v>
      </c>
      <c r="EC307" s="182">
        <f t="shared" si="739"/>
        <v>4.5214761991692418E-6</v>
      </c>
      <c r="ED307" s="182">
        <f t="shared" ref="ED307:ED330" si="745">ED140*ED$168</f>
        <v>0</v>
      </c>
      <c r="EE307" s="181">
        <f>$C307+SUM($D307:ED307,EF307:$FB307)-SUM(EE$176:EE306,EE308:EE$330)-EE$331</f>
        <v>0</v>
      </c>
      <c r="EF307" s="182">
        <f t="shared" ref="EF307:FB307" si="746">EF140*EF$168</f>
        <v>0</v>
      </c>
      <c r="EG307" s="182">
        <f t="shared" si="746"/>
        <v>0</v>
      </c>
      <c r="EH307" s="182">
        <f t="shared" si="746"/>
        <v>0</v>
      </c>
      <c r="EI307" s="182">
        <f t="shared" si="746"/>
        <v>0</v>
      </c>
      <c r="EJ307" s="182">
        <f t="shared" si="746"/>
        <v>0</v>
      </c>
      <c r="EK307" s="182">
        <f t="shared" si="746"/>
        <v>0</v>
      </c>
      <c r="EL307" s="182">
        <f t="shared" si="746"/>
        <v>0</v>
      </c>
      <c r="EM307" s="182">
        <f t="shared" si="746"/>
        <v>0</v>
      </c>
      <c r="EN307" s="182">
        <f t="shared" si="746"/>
        <v>0</v>
      </c>
      <c r="EO307" s="182">
        <f t="shared" si="746"/>
        <v>0</v>
      </c>
      <c r="EP307" s="182">
        <f t="shared" si="746"/>
        <v>0</v>
      </c>
      <c r="EQ307" s="182">
        <f t="shared" si="746"/>
        <v>0</v>
      </c>
      <c r="ER307" s="182">
        <f t="shared" si="746"/>
        <v>0</v>
      </c>
      <c r="ES307" s="182">
        <f t="shared" si="746"/>
        <v>0</v>
      </c>
      <c r="ET307" s="182">
        <f t="shared" si="746"/>
        <v>0</v>
      </c>
      <c r="EU307" s="182">
        <f t="shared" si="746"/>
        <v>0</v>
      </c>
      <c r="EV307" s="182">
        <f t="shared" si="746"/>
        <v>0</v>
      </c>
      <c r="EW307" s="182">
        <f t="shared" si="746"/>
        <v>0</v>
      </c>
      <c r="EX307" s="182">
        <f t="shared" si="746"/>
        <v>0</v>
      </c>
      <c r="EY307" s="182">
        <f t="shared" si="746"/>
        <v>0</v>
      </c>
      <c r="EZ307" s="182">
        <f t="shared" si="746"/>
        <v>0</v>
      </c>
      <c r="FA307" s="182">
        <f t="shared" si="746"/>
        <v>0</v>
      </c>
      <c r="FB307" s="183">
        <f t="shared" si="746"/>
        <v>0</v>
      </c>
    </row>
    <row r="308" spans="2:158" ht="12.75" customHeight="1" x14ac:dyDescent="0.3">
      <c r="B308" s="199" t="s">
        <v>3951</v>
      </c>
      <c r="C308" s="193">
        <v>0</v>
      </c>
      <c r="D308" s="182">
        <f t="shared" si="729"/>
        <v>0</v>
      </c>
      <c r="E308" s="182">
        <f t="shared" si="735"/>
        <v>0</v>
      </c>
      <c r="F308" s="182">
        <f t="shared" si="741"/>
        <v>0</v>
      </c>
      <c r="G308" s="182">
        <f t="shared" ref="G308:G330" si="747">G141*G$168</f>
        <v>0</v>
      </c>
      <c r="H308" s="182">
        <f t="shared" si="584"/>
        <v>0</v>
      </c>
      <c r="I308" s="176">
        <f t="shared" si="590"/>
        <v>0</v>
      </c>
      <c r="J308" s="182">
        <f t="shared" si="596"/>
        <v>0</v>
      </c>
      <c r="K308" s="182">
        <f t="shared" si="602"/>
        <v>0</v>
      </c>
      <c r="L308" s="182">
        <f t="shared" si="608"/>
        <v>0</v>
      </c>
      <c r="M308" s="182">
        <f t="shared" si="614"/>
        <v>0</v>
      </c>
      <c r="N308" s="182">
        <f t="shared" si="619"/>
        <v>0</v>
      </c>
      <c r="O308" s="182">
        <f t="shared" si="624"/>
        <v>0</v>
      </c>
      <c r="P308" s="182">
        <f t="shared" si="629"/>
        <v>0</v>
      </c>
      <c r="Q308" s="182">
        <f t="shared" si="634"/>
        <v>0</v>
      </c>
      <c r="R308" s="182">
        <f t="shared" si="639"/>
        <v>0</v>
      </c>
      <c r="S308" s="182">
        <f t="shared" si="644"/>
        <v>0</v>
      </c>
      <c r="T308" s="182">
        <f t="shared" si="649"/>
        <v>0</v>
      </c>
      <c r="U308" s="182">
        <f t="shared" si="654"/>
        <v>0</v>
      </c>
      <c r="V308" s="182">
        <f t="shared" si="659"/>
        <v>0</v>
      </c>
      <c r="W308" s="182">
        <f t="shared" si="664"/>
        <v>0</v>
      </c>
      <c r="X308" s="182">
        <f t="shared" si="669"/>
        <v>0</v>
      </c>
      <c r="Y308" s="182">
        <f t="shared" si="674"/>
        <v>0</v>
      </c>
      <c r="Z308" s="182">
        <f t="shared" si="679"/>
        <v>0</v>
      </c>
      <c r="AA308" s="182">
        <f t="shared" si="684"/>
        <v>0</v>
      </c>
      <c r="AB308" s="182">
        <f t="shared" si="689"/>
        <v>0</v>
      </c>
      <c r="AC308" s="182">
        <f t="shared" si="694"/>
        <v>0</v>
      </c>
      <c r="AD308" s="182">
        <f t="shared" si="699"/>
        <v>0</v>
      </c>
      <c r="AE308" s="182">
        <f t="shared" si="704"/>
        <v>0</v>
      </c>
      <c r="AF308" s="182">
        <f t="shared" si="709"/>
        <v>0</v>
      </c>
      <c r="AG308" s="182">
        <f t="shared" si="714"/>
        <v>0</v>
      </c>
      <c r="AH308" s="182">
        <f t="shared" si="719"/>
        <v>0</v>
      </c>
      <c r="AI308" s="182">
        <f t="shared" si="724"/>
        <v>0</v>
      </c>
      <c r="AJ308" s="182">
        <f t="shared" si="730"/>
        <v>0</v>
      </c>
      <c r="AK308" s="182">
        <f t="shared" si="736"/>
        <v>0</v>
      </c>
      <c r="AL308" s="182">
        <f t="shared" si="742"/>
        <v>0</v>
      </c>
      <c r="AM308" s="182">
        <f t="shared" ref="AM308:AM330" si="748">AM141*AM$168</f>
        <v>0</v>
      </c>
      <c r="AN308" s="182">
        <f t="shared" si="585"/>
        <v>0</v>
      </c>
      <c r="AO308" s="182">
        <f t="shared" si="591"/>
        <v>0</v>
      </c>
      <c r="AP308" s="182">
        <f t="shared" si="597"/>
        <v>0</v>
      </c>
      <c r="AQ308" s="182">
        <f t="shared" si="603"/>
        <v>0</v>
      </c>
      <c r="AR308" s="182">
        <f t="shared" si="609"/>
        <v>0</v>
      </c>
      <c r="AS308" s="182">
        <f t="shared" si="615"/>
        <v>0</v>
      </c>
      <c r="AT308" s="182">
        <f t="shared" si="620"/>
        <v>0</v>
      </c>
      <c r="AU308" s="182">
        <f t="shared" si="625"/>
        <v>0</v>
      </c>
      <c r="AV308" s="182">
        <f t="shared" si="630"/>
        <v>0</v>
      </c>
      <c r="AW308" s="182">
        <f t="shared" si="635"/>
        <v>0</v>
      </c>
      <c r="AX308" s="182">
        <f t="shared" si="640"/>
        <v>0</v>
      </c>
      <c r="AY308" s="182">
        <f t="shared" si="645"/>
        <v>0</v>
      </c>
      <c r="AZ308" s="182">
        <f t="shared" si="650"/>
        <v>0</v>
      </c>
      <c r="BA308" s="182">
        <f t="shared" si="655"/>
        <v>0</v>
      </c>
      <c r="BB308" s="182">
        <f t="shared" si="660"/>
        <v>0</v>
      </c>
      <c r="BC308" s="182">
        <f t="shared" si="665"/>
        <v>0</v>
      </c>
      <c r="BD308" s="182">
        <f t="shared" si="670"/>
        <v>0</v>
      </c>
      <c r="BE308" s="182">
        <f t="shared" si="675"/>
        <v>0</v>
      </c>
      <c r="BF308" s="182">
        <f t="shared" si="680"/>
        <v>0</v>
      </c>
      <c r="BG308" s="182">
        <f t="shared" si="685"/>
        <v>0</v>
      </c>
      <c r="BH308" s="182">
        <f t="shared" si="690"/>
        <v>0</v>
      </c>
      <c r="BI308" s="182">
        <f t="shared" si="695"/>
        <v>0</v>
      </c>
      <c r="BJ308" s="182">
        <f t="shared" si="700"/>
        <v>0</v>
      </c>
      <c r="BK308" s="182">
        <f t="shared" si="705"/>
        <v>0</v>
      </c>
      <c r="BL308" s="182">
        <f t="shared" si="710"/>
        <v>0</v>
      </c>
      <c r="BM308" s="182">
        <f t="shared" si="715"/>
        <v>0</v>
      </c>
      <c r="BN308" s="182">
        <f t="shared" si="720"/>
        <v>0</v>
      </c>
      <c r="BO308" s="182">
        <f t="shared" si="725"/>
        <v>0</v>
      </c>
      <c r="BP308" s="182">
        <f t="shared" si="731"/>
        <v>0</v>
      </c>
      <c r="BQ308" s="182">
        <f t="shared" si="737"/>
        <v>0</v>
      </c>
      <c r="BR308" s="182">
        <f t="shared" si="743"/>
        <v>0</v>
      </c>
      <c r="BS308" s="182">
        <f t="shared" ref="BS308:BS330" si="749">BS141*BS$168</f>
        <v>0</v>
      </c>
      <c r="BT308" s="182">
        <f t="shared" si="586"/>
        <v>0</v>
      </c>
      <c r="BU308" s="182">
        <f t="shared" si="592"/>
        <v>0</v>
      </c>
      <c r="BV308" s="182">
        <f t="shared" si="598"/>
        <v>0</v>
      </c>
      <c r="BW308" s="182">
        <f t="shared" si="604"/>
        <v>0</v>
      </c>
      <c r="BX308" s="182">
        <f t="shared" si="610"/>
        <v>0</v>
      </c>
      <c r="BY308" s="182">
        <f t="shared" si="616"/>
        <v>0</v>
      </c>
      <c r="BZ308" s="182">
        <f t="shared" si="621"/>
        <v>0</v>
      </c>
      <c r="CA308" s="182">
        <f t="shared" si="626"/>
        <v>0</v>
      </c>
      <c r="CB308" s="182">
        <f t="shared" si="631"/>
        <v>0</v>
      </c>
      <c r="CC308" s="182">
        <f t="shared" si="636"/>
        <v>0</v>
      </c>
      <c r="CD308" s="182">
        <f t="shared" si="641"/>
        <v>0</v>
      </c>
      <c r="CE308" s="182">
        <f t="shared" si="646"/>
        <v>0</v>
      </c>
      <c r="CF308" s="182">
        <f t="shared" si="651"/>
        <v>0</v>
      </c>
      <c r="CG308" s="182">
        <f t="shared" si="656"/>
        <v>0</v>
      </c>
      <c r="CH308" s="182">
        <f t="shared" si="661"/>
        <v>0</v>
      </c>
      <c r="CI308" s="182">
        <f t="shared" si="666"/>
        <v>0</v>
      </c>
      <c r="CJ308" s="182">
        <f t="shared" si="671"/>
        <v>0</v>
      </c>
      <c r="CK308" s="182">
        <f t="shared" si="676"/>
        <v>0</v>
      </c>
      <c r="CL308" s="182">
        <f t="shared" si="681"/>
        <v>0</v>
      </c>
      <c r="CM308" s="182">
        <f t="shared" si="686"/>
        <v>0</v>
      </c>
      <c r="CN308" s="182">
        <f t="shared" si="691"/>
        <v>0</v>
      </c>
      <c r="CO308" s="182">
        <f t="shared" si="696"/>
        <v>0</v>
      </c>
      <c r="CP308" s="182">
        <f t="shared" si="701"/>
        <v>0</v>
      </c>
      <c r="CQ308" s="182">
        <f t="shared" si="706"/>
        <v>0</v>
      </c>
      <c r="CR308" s="182">
        <f t="shared" si="711"/>
        <v>0</v>
      </c>
      <c r="CS308" s="182">
        <f t="shared" si="716"/>
        <v>0</v>
      </c>
      <c r="CT308" s="182">
        <f t="shared" si="721"/>
        <v>0</v>
      </c>
      <c r="CU308" s="182">
        <f t="shared" si="726"/>
        <v>0</v>
      </c>
      <c r="CV308" s="182">
        <f t="shared" si="732"/>
        <v>0</v>
      </c>
      <c r="CW308" s="182">
        <f t="shared" si="738"/>
        <v>0</v>
      </c>
      <c r="CX308" s="182">
        <f t="shared" si="744"/>
        <v>0</v>
      </c>
      <c r="CY308" s="182">
        <f t="shared" ref="CY308:CY330" si="750">CY141*CY$168</f>
        <v>0</v>
      </c>
      <c r="CZ308" s="182">
        <f t="shared" si="587"/>
        <v>0</v>
      </c>
      <c r="DA308" s="182">
        <f t="shared" si="593"/>
        <v>0</v>
      </c>
      <c r="DB308" s="182">
        <f t="shared" si="599"/>
        <v>0</v>
      </c>
      <c r="DC308" s="182">
        <f t="shared" si="605"/>
        <v>0</v>
      </c>
      <c r="DD308" s="182">
        <f t="shared" si="611"/>
        <v>0</v>
      </c>
      <c r="DE308" s="182">
        <f t="shared" si="617"/>
        <v>0</v>
      </c>
      <c r="DF308" s="182">
        <f t="shared" si="622"/>
        <v>0</v>
      </c>
      <c r="DG308" s="182">
        <f t="shared" si="627"/>
        <v>0</v>
      </c>
      <c r="DH308" s="182">
        <f t="shared" si="632"/>
        <v>0</v>
      </c>
      <c r="DI308" s="182">
        <f t="shared" si="637"/>
        <v>0</v>
      </c>
      <c r="DJ308" s="182">
        <f t="shared" si="642"/>
        <v>0</v>
      </c>
      <c r="DK308" s="182">
        <f t="shared" si="647"/>
        <v>0</v>
      </c>
      <c r="DL308" s="182">
        <f t="shared" si="652"/>
        <v>0</v>
      </c>
      <c r="DM308" s="182">
        <f t="shared" si="657"/>
        <v>0</v>
      </c>
      <c r="DN308" s="182">
        <f t="shared" si="662"/>
        <v>0</v>
      </c>
      <c r="DO308" s="182">
        <f t="shared" si="667"/>
        <v>0</v>
      </c>
      <c r="DP308" s="182">
        <f t="shared" si="672"/>
        <v>0</v>
      </c>
      <c r="DQ308" s="182">
        <f t="shared" si="677"/>
        <v>0</v>
      </c>
      <c r="DR308" s="182">
        <f t="shared" si="682"/>
        <v>0</v>
      </c>
      <c r="DS308" s="182">
        <f t="shared" si="687"/>
        <v>0</v>
      </c>
      <c r="DT308" s="182">
        <f t="shared" si="692"/>
        <v>0</v>
      </c>
      <c r="DU308" s="182">
        <f t="shared" si="697"/>
        <v>0</v>
      </c>
      <c r="DV308" s="182">
        <f t="shared" si="702"/>
        <v>0</v>
      </c>
      <c r="DW308" s="182">
        <f t="shared" si="707"/>
        <v>0</v>
      </c>
      <c r="DX308" s="182">
        <f t="shared" si="712"/>
        <v>0</v>
      </c>
      <c r="DY308" s="182">
        <f t="shared" si="717"/>
        <v>0</v>
      </c>
      <c r="DZ308" s="182">
        <f t="shared" si="722"/>
        <v>0</v>
      </c>
      <c r="EA308" s="182">
        <f t="shared" si="727"/>
        <v>0</v>
      </c>
      <c r="EB308" s="182">
        <f t="shared" si="733"/>
        <v>0</v>
      </c>
      <c r="EC308" s="182">
        <f t="shared" si="739"/>
        <v>0</v>
      </c>
      <c r="ED308" s="182">
        <f t="shared" si="745"/>
        <v>0</v>
      </c>
      <c r="EE308" s="182">
        <f t="shared" ref="EE308:EE330" si="751">EE141*EE$168</f>
        <v>0</v>
      </c>
      <c r="EF308" s="181">
        <f>$C308+SUM($D308:EE308,EG308:$FB308)-SUM(EF$176:EF307,EF309:EF$330)-EF$331</f>
        <v>0</v>
      </c>
      <c r="EG308" s="182">
        <f t="shared" ref="EG308:FB308" si="752">EG141*EG$168</f>
        <v>0</v>
      </c>
      <c r="EH308" s="182">
        <f t="shared" si="752"/>
        <v>0</v>
      </c>
      <c r="EI308" s="182">
        <f t="shared" si="752"/>
        <v>0</v>
      </c>
      <c r="EJ308" s="182">
        <f t="shared" si="752"/>
        <v>0</v>
      </c>
      <c r="EK308" s="182">
        <f t="shared" si="752"/>
        <v>0</v>
      </c>
      <c r="EL308" s="182">
        <f t="shared" si="752"/>
        <v>0</v>
      </c>
      <c r="EM308" s="182">
        <f t="shared" si="752"/>
        <v>0</v>
      </c>
      <c r="EN308" s="182">
        <f t="shared" si="752"/>
        <v>0</v>
      </c>
      <c r="EO308" s="182">
        <f t="shared" si="752"/>
        <v>0</v>
      </c>
      <c r="EP308" s="182">
        <f t="shared" si="752"/>
        <v>0</v>
      </c>
      <c r="EQ308" s="182">
        <f t="shared" si="752"/>
        <v>0</v>
      </c>
      <c r="ER308" s="182">
        <f t="shared" si="752"/>
        <v>0</v>
      </c>
      <c r="ES308" s="182">
        <f t="shared" si="752"/>
        <v>0</v>
      </c>
      <c r="ET308" s="182">
        <f t="shared" si="752"/>
        <v>0</v>
      </c>
      <c r="EU308" s="182">
        <f t="shared" si="752"/>
        <v>0</v>
      </c>
      <c r="EV308" s="182">
        <f t="shared" si="752"/>
        <v>0</v>
      </c>
      <c r="EW308" s="182">
        <f t="shared" si="752"/>
        <v>0</v>
      </c>
      <c r="EX308" s="182">
        <f t="shared" si="752"/>
        <v>0</v>
      </c>
      <c r="EY308" s="182">
        <f t="shared" si="752"/>
        <v>0</v>
      </c>
      <c r="EZ308" s="182">
        <f t="shared" si="752"/>
        <v>0</v>
      </c>
      <c r="FA308" s="182">
        <f t="shared" si="752"/>
        <v>0</v>
      </c>
      <c r="FB308" s="183">
        <f t="shared" si="752"/>
        <v>0</v>
      </c>
    </row>
    <row r="309" spans="2:158" ht="12.75" customHeight="1" x14ac:dyDescent="0.3">
      <c r="B309" s="199" t="s">
        <v>3952</v>
      </c>
      <c r="C309" s="193">
        <v>0</v>
      </c>
      <c r="D309" s="182">
        <f t="shared" si="729"/>
        <v>0</v>
      </c>
      <c r="E309" s="182">
        <f t="shared" si="735"/>
        <v>0</v>
      </c>
      <c r="F309" s="182">
        <f t="shared" si="741"/>
        <v>0</v>
      </c>
      <c r="G309" s="182">
        <f t="shared" si="747"/>
        <v>0</v>
      </c>
      <c r="H309" s="182">
        <f t="shared" ref="H309:H330" si="753">H142*H$168</f>
        <v>0</v>
      </c>
      <c r="I309" s="176">
        <f t="shared" si="590"/>
        <v>0</v>
      </c>
      <c r="J309" s="182">
        <f t="shared" si="596"/>
        <v>0</v>
      </c>
      <c r="K309" s="182">
        <f t="shared" si="602"/>
        <v>0</v>
      </c>
      <c r="L309" s="182">
        <f t="shared" si="608"/>
        <v>0</v>
      </c>
      <c r="M309" s="182">
        <f t="shared" si="614"/>
        <v>0</v>
      </c>
      <c r="N309" s="182">
        <f t="shared" si="619"/>
        <v>0</v>
      </c>
      <c r="O309" s="182">
        <f t="shared" si="624"/>
        <v>0</v>
      </c>
      <c r="P309" s="182">
        <f t="shared" si="629"/>
        <v>0</v>
      </c>
      <c r="Q309" s="182">
        <f t="shared" si="634"/>
        <v>0</v>
      </c>
      <c r="R309" s="182">
        <f t="shared" si="639"/>
        <v>0</v>
      </c>
      <c r="S309" s="182">
        <f t="shared" si="644"/>
        <v>0</v>
      </c>
      <c r="T309" s="182">
        <f t="shared" si="649"/>
        <v>0</v>
      </c>
      <c r="U309" s="182">
        <f t="shared" si="654"/>
        <v>0</v>
      </c>
      <c r="V309" s="182">
        <f t="shared" si="659"/>
        <v>0</v>
      </c>
      <c r="W309" s="182">
        <f t="shared" si="664"/>
        <v>0</v>
      </c>
      <c r="X309" s="182">
        <f t="shared" si="669"/>
        <v>0</v>
      </c>
      <c r="Y309" s="182">
        <f t="shared" si="674"/>
        <v>0</v>
      </c>
      <c r="Z309" s="182">
        <f t="shared" si="679"/>
        <v>0</v>
      </c>
      <c r="AA309" s="182">
        <f t="shared" si="684"/>
        <v>0</v>
      </c>
      <c r="AB309" s="182">
        <f t="shared" si="689"/>
        <v>0</v>
      </c>
      <c r="AC309" s="182">
        <f t="shared" si="694"/>
        <v>0</v>
      </c>
      <c r="AD309" s="182">
        <f t="shared" si="699"/>
        <v>0</v>
      </c>
      <c r="AE309" s="182">
        <f t="shared" si="704"/>
        <v>0</v>
      </c>
      <c r="AF309" s="182">
        <f t="shared" si="709"/>
        <v>0</v>
      </c>
      <c r="AG309" s="182">
        <f t="shared" si="714"/>
        <v>0</v>
      </c>
      <c r="AH309" s="182">
        <f t="shared" si="719"/>
        <v>0</v>
      </c>
      <c r="AI309" s="182">
        <f t="shared" si="724"/>
        <v>0</v>
      </c>
      <c r="AJ309" s="182">
        <f t="shared" si="730"/>
        <v>0</v>
      </c>
      <c r="AK309" s="182">
        <f t="shared" si="736"/>
        <v>0</v>
      </c>
      <c r="AL309" s="182">
        <f t="shared" si="742"/>
        <v>0</v>
      </c>
      <c r="AM309" s="182">
        <f t="shared" si="748"/>
        <v>0</v>
      </c>
      <c r="AN309" s="182">
        <f t="shared" ref="AN309:AN330" si="754">AN142*AN$168</f>
        <v>0</v>
      </c>
      <c r="AO309" s="182">
        <f t="shared" si="591"/>
        <v>0</v>
      </c>
      <c r="AP309" s="182">
        <f t="shared" si="597"/>
        <v>0</v>
      </c>
      <c r="AQ309" s="182">
        <f t="shared" si="603"/>
        <v>0</v>
      </c>
      <c r="AR309" s="182">
        <f t="shared" si="609"/>
        <v>0</v>
      </c>
      <c r="AS309" s="182">
        <f t="shared" si="615"/>
        <v>0</v>
      </c>
      <c r="AT309" s="182">
        <f t="shared" si="620"/>
        <v>0</v>
      </c>
      <c r="AU309" s="182">
        <f t="shared" si="625"/>
        <v>0</v>
      </c>
      <c r="AV309" s="182">
        <f t="shared" si="630"/>
        <v>0</v>
      </c>
      <c r="AW309" s="182">
        <f t="shared" si="635"/>
        <v>0</v>
      </c>
      <c r="AX309" s="182">
        <f t="shared" si="640"/>
        <v>0</v>
      </c>
      <c r="AY309" s="182">
        <f t="shared" si="645"/>
        <v>0</v>
      </c>
      <c r="AZ309" s="182">
        <f t="shared" si="650"/>
        <v>0</v>
      </c>
      <c r="BA309" s="182">
        <f t="shared" si="655"/>
        <v>0</v>
      </c>
      <c r="BB309" s="182">
        <f t="shared" si="660"/>
        <v>0</v>
      </c>
      <c r="BC309" s="182">
        <f t="shared" si="665"/>
        <v>0</v>
      </c>
      <c r="BD309" s="182">
        <f t="shared" si="670"/>
        <v>0</v>
      </c>
      <c r="BE309" s="182">
        <f t="shared" si="675"/>
        <v>0</v>
      </c>
      <c r="BF309" s="182">
        <f t="shared" si="680"/>
        <v>0</v>
      </c>
      <c r="BG309" s="182">
        <f t="shared" si="685"/>
        <v>0</v>
      </c>
      <c r="BH309" s="182">
        <f t="shared" si="690"/>
        <v>0</v>
      </c>
      <c r="BI309" s="182">
        <f t="shared" si="695"/>
        <v>0</v>
      </c>
      <c r="BJ309" s="182">
        <f t="shared" si="700"/>
        <v>0</v>
      </c>
      <c r="BK309" s="182">
        <f t="shared" si="705"/>
        <v>0</v>
      </c>
      <c r="BL309" s="182">
        <f t="shared" si="710"/>
        <v>0</v>
      </c>
      <c r="BM309" s="182">
        <f t="shared" si="715"/>
        <v>0</v>
      </c>
      <c r="BN309" s="182">
        <f t="shared" si="720"/>
        <v>0</v>
      </c>
      <c r="BO309" s="182">
        <f t="shared" si="725"/>
        <v>0</v>
      </c>
      <c r="BP309" s="182">
        <f t="shared" si="731"/>
        <v>0</v>
      </c>
      <c r="BQ309" s="182">
        <f t="shared" si="737"/>
        <v>0</v>
      </c>
      <c r="BR309" s="182">
        <f t="shared" si="743"/>
        <v>0</v>
      </c>
      <c r="BS309" s="182">
        <f t="shared" si="749"/>
        <v>0</v>
      </c>
      <c r="BT309" s="182">
        <f t="shared" ref="BT309:BT330" si="755">BT142*BT$168</f>
        <v>0</v>
      </c>
      <c r="BU309" s="182">
        <f t="shared" si="592"/>
        <v>0</v>
      </c>
      <c r="BV309" s="182">
        <f t="shared" si="598"/>
        <v>0</v>
      </c>
      <c r="BW309" s="182">
        <f t="shared" si="604"/>
        <v>0</v>
      </c>
      <c r="BX309" s="182">
        <f t="shared" si="610"/>
        <v>0</v>
      </c>
      <c r="BY309" s="182">
        <f t="shared" si="616"/>
        <v>0</v>
      </c>
      <c r="BZ309" s="182">
        <f t="shared" si="621"/>
        <v>0</v>
      </c>
      <c r="CA309" s="182">
        <f t="shared" si="626"/>
        <v>0</v>
      </c>
      <c r="CB309" s="182">
        <f t="shared" si="631"/>
        <v>0</v>
      </c>
      <c r="CC309" s="182">
        <f t="shared" si="636"/>
        <v>0</v>
      </c>
      <c r="CD309" s="182">
        <f t="shared" si="641"/>
        <v>0</v>
      </c>
      <c r="CE309" s="182">
        <f t="shared" si="646"/>
        <v>0</v>
      </c>
      <c r="CF309" s="182">
        <f t="shared" si="651"/>
        <v>0</v>
      </c>
      <c r="CG309" s="182">
        <f t="shared" si="656"/>
        <v>0</v>
      </c>
      <c r="CH309" s="182">
        <f t="shared" si="661"/>
        <v>0</v>
      </c>
      <c r="CI309" s="182">
        <f t="shared" si="666"/>
        <v>0</v>
      </c>
      <c r="CJ309" s="182">
        <f t="shared" si="671"/>
        <v>0</v>
      </c>
      <c r="CK309" s="182">
        <f t="shared" si="676"/>
        <v>0</v>
      </c>
      <c r="CL309" s="182">
        <f t="shared" si="681"/>
        <v>0</v>
      </c>
      <c r="CM309" s="182">
        <f t="shared" si="686"/>
        <v>8.1461390940574293E-4</v>
      </c>
      <c r="CN309" s="182">
        <f t="shared" si="691"/>
        <v>0</v>
      </c>
      <c r="CO309" s="182">
        <f t="shared" si="696"/>
        <v>0</v>
      </c>
      <c r="CP309" s="182">
        <f t="shared" si="701"/>
        <v>0</v>
      </c>
      <c r="CQ309" s="182">
        <f t="shared" si="706"/>
        <v>0</v>
      </c>
      <c r="CR309" s="182">
        <f t="shared" si="711"/>
        <v>0</v>
      </c>
      <c r="CS309" s="182">
        <f t="shared" si="716"/>
        <v>0</v>
      </c>
      <c r="CT309" s="182">
        <f t="shared" si="721"/>
        <v>0</v>
      </c>
      <c r="CU309" s="182">
        <f t="shared" si="726"/>
        <v>0</v>
      </c>
      <c r="CV309" s="182">
        <f t="shared" si="732"/>
        <v>0</v>
      </c>
      <c r="CW309" s="182">
        <f t="shared" si="738"/>
        <v>0</v>
      </c>
      <c r="CX309" s="182">
        <f t="shared" si="744"/>
        <v>0</v>
      </c>
      <c r="CY309" s="182">
        <f t="shared" si="750"/>
        <v>0</v>
      </c>
      <c r="CZ309" s="182">
        <f t="shared" ref="CZ309:CZ330" si="756">CZ142*CZ$168</f>
        <v>0</v>
      </c>
      <c r="DA309" s="182">
        <f t="shared" si="593"/>
        <v>0</v>
      </c>
      <c r="DB309" s="182">
        <f t="shared" si="599"/>
        <v>0</v>
      </c>
      <c r="DC309" s="182">
        <f t="shared" si="605"/>
        <v>0</v>
      </c>
      <c r="DD309" s="182">
        <f t="shared" si="611"/>
        <v>0</v>
      </c>
      <c r="DE309" s="182">
        <f t="shared" si="617"/>
        <v>0</v>
      </c>
      <c r="DF309" s="182">
        <f t="shared" si="622"/>
        <v>0</v>
      </c>
      <c r="DG309" s="182">
        <f t="shared" si="627"/>
        <v>0</v>
      </c>
      <c r="DH309" s="182">
        <f t="shared" si="632"/>
        <v>0</v>
      </c>
      <c r="DI309" s="182">
        <f t="shared" si="637"/>
        <v>0</v>
      </c>
      <c r="DJ309" s="182">
        <f t="shared" si="642"/>
        <v>0</v>
      </c>
      <c r="DK309" s="182">
        <f t="shared" si="647"/>
        <v>0</v>
      </c>
      <c r="DL309" s="182">
        <f t="shared" si="652"/>
        <v>0</v>
      </c>
      <c r="DM309" s="182">
        <f t="shared" si="657"/>
        <v>0</v>
      </c>
      <c r="DN309" s="182">
        <f t="shared" si="662"/>
        <v>0</v>
      </c>
      <c r="DO309" s="182">
        <f t="shared" si="667"/>
        <v>0</v>
      </c>
      <c r="DP309" s="182">
        <f t="shared" si="672"/>
        <v>0</v>
      </c>
      <c r="DQ309" s="182">
        <f t="shared" si="677"/>
        <v>0</v>
      </c>
      <c r="DR309" s="182">
        <f t="shared" si="682"/>
        <v>0</v>
      </c>
      <c r="DS309" s="182">
        <f t="shared" si="687"/>
        <v>0</v>
      </c>
      <c r="DT309" s="182">
        <f t="shared" si="692"/>
        <v>0</v>
      </c>
      <c r="DU309" s="182">
        <f t="shared" si="697"/>
        <v>0</v>
      </c>
      <c r="DV309" s="182">
        <f t="shared" si="702"/>
        <v>0</v>
      </c>
      <c r="DW309" s="182">
        <f t="shared" si="707"/>
        <v>0</v>
      </c>
      <c r="DX309" s="182">
        <f t="shared" si="712"/>
        <v>0</v>
      </c>
      <c r="DY309" s="182">
        <f t="shared" si="717"/>
        <v>0</v>
      </c>
      <c r="DZ309" s="182">
        <f t="shared" si="722"/>
        <v>0</v>
      </c>
      <c r="EA309" s="182">
        <f t="shared" si="727"/>
        <v>0</v>
      </c>
      <c r="EB309" s="182">
        <f t="shared" si="733"/>
        <v>0</v>
      </c>
      <c r="EC309" s="182">
        <f t="shared" si="739"/>
        <v>0</v>
      </c>
      <c r="ED309" s="182">
        <f t="shared" si="745"/>
        <v>0</v>
      </c>
      <c r="EE309" s="182">
        <f t="shared" si="751"/>
        <v>0</v>
      </c>
      <c r="EF309" s="182">
        <f t="shared" ref="EF309:EF330" si="757">EF142*EF$168</f>
        <v>0</v>
      </c>
      <c r="EG309" s="181">
        <f>$C309+SUM($D309:EF309,EH309:$FB309)-SUM(EG$176:EG308,EG310:EG$330)-EG$331</f>
        <v>-4.5941611221195157E-21</v>
      </c>
      <c r="EH309" s="182">
        <f t="shared" ref="EH309:FB309" si="758">EH142*EH$168</f>
        <v>0</v>
      </c>
      <c r="EI309" s="182">
        <f t="shared" si="758"/>
        <v>0</v>
      </c>
      <c r="EJ309" s="182">
        <f t="shared" si="758"/>
        <v>0</v>
      </c>
      <c r="EK309" s="182">
        <f t="shared" si="758"/>
        <v>0</v>
      </c>
      <c r="EL309" s="182">
        <f t="shared" si="758"/>
        <v>0</v>
      </c>
      <c r="EM309" s="182">
        <f t="shared" si="758"/>
        <v>0</v>
      </c>
      <c r="EN309" s="182">
        <f t="shared" si="758"/>
        <v>0</v>
      </c>
      <c r="EO309" s="182">
        <f t="shared" si="758"/>
        <v>0</v>
      </c>
      <c r="EP309" s="182">
        <f t="shared" si="758"/>
        <v>0</v>
      </c>
      <c r="EQ309" s="182">
        <f t="shared" si="758"/>
        <v>0</v>
      </c>
      <c r="ER309" s="182">
        <f t="shared" si="758"/>
        <v>0</v>
      </c>
      <c r="ES309" s="182">
        <f t="shared" si="758"/>
        <v>0</v>
      </c>
      <c r="ET309" s="182">
        <f t="shared" si="758"/>
        <v>0</v>
      </c>
      <c r="EU309" s="182">
        <f t="shared" si="758"/>
        <v>0</v>
      </c>
      <c r="EV309" s="182">
        <f t="shared" si="758"/>
        <v>0</v>
      </c>
      <c r="EW309" s="182">
        <f t="shared" si="758"/>
        <v>0</v>
      </c>
      <c r="EX309" s="182">
        <f t="shared" si="758"/>
        <v>0</v>
      </c>
      <c r="EY309" s="182">
        <f t="shared" si="758"/>
        <v>0</v>
      </c>
      <c r="EZ309" s="182">
        <f t="shared" si="758"/>
        <v>0</v>
      </c>
      <c r="FA309" s="182">
        <f t="shared" si="758"/>
        <v>0</v>
      </c>
      <c r="FB309" s="183">
        <f t="shared" si="758"/>
        <v>0</v>
      </c>
    </row>
    <row r="310" spans="2:158" ht="12.75" customHeight="1" x14ac:dyDescent="0.3">
      <c r="B310" s="199" t="s">
        <v>3953</v>
      </c>
      <c r="C310" s="193">
        <v>0</v>
      </c>
      <c r="D310" s="182">
        <f t="shared" si="729"/>
        <v>0</v>
      </c>
      <c r="E310" s="182">
        <f t="shared" si="735"/>
        <v>0</v>
      </c>
      <c r="F310" s="182">
        <f t="shared" si="741"/>
        <v>0</v>
      </c>
      <c r="G310" s="182">
        <f t="shared" si="747"/>
        <v>0</v>
      </c>
      <c r="H310" s="182">
        <f t="shared" si="753"/>
        <v>0</v>
      </c>
      <c r="I310" s="176">
        <f t="shared" ref="I310:I330" si="759">I143*I$168</f>
        <v>0</v>
      </c>
      <c r="J310" s="182">
        <f t="shared" si="596"/>
        <v>0</v>
      </c>
      <c r="K310" s="182">
        <f t="shared" si="602"/>
        <v>0</v>
      </c>
      <c r="L310" s="182">
        <f t="shared" si="608"/>
        <v>0</v>
      </c>
      <c r="M310" s="182">
        <f t="shared" si="614"/>
        <v>0</v>
      </c>
      <c r="N310" s="182">
        <f t="shared" si="619"/>
        <v>0</v>
      </c>
      <c r="O310" s="182">
        <f t="shared" si="624"/>
        <v>0</v>
      </c>
      <c r="P310" s="182">
        <f t="shared" si="629"/>
        <v>0</v>
      </c>
      <c r="Q310" s="182">
        <f t="shared" si="634"/>
        <v>0</v>
      </c>
      <c r="R310" s="182">
        <f t="shared" si="639"/>
        <v>0</v>
      </c>
      <c r="S310" s="182">
        <f t="shared" si="644"/>
        <v>0</v>
      </c>
      <c r="T310" s="182">
        <f t="shared" si="649"/>
        <v>0</v>
      </c>
      <c r="U310" s="182">
        <f t="shared" si="654"/>
        <v>0</v>
      </c>
      <c r="V310" s="182">
        <f t="shared" si="659"/>
        <v>0</v>
      </c>
      <c r="W310" s="182">
        <f t="shared" si="664"/>
        <v>0</v>
      </c>
      <c r="X310" s="182">
        <f t="shared" si="669"/>
        <v>0</v>
      </c>
      <c r="Y310" s="182">
        <f t="shared" si="674"/>
        <v>0</v>
      </c>
      <c r="Z310" s="182">
        <f t="shared" si="679"/>
        <v>0</v>
      </c>
      <c r="AA310" s="182">
        <f t="shared" si="684"/>
        <v>0</v>
      </c>
      <c r="AB310" s="182">
        <f t="shared" si="689"/>
        <v>0</v>
      </c>
      <c r="AC310" s="182">
        <f t="shared" si="694"/>
        <v>0</v>
      </c>
      <c r="AD310" s="182">
        <f t="shared" si="699"/>
        <v>0</v>
      </c>
      <c r="AE310" s="182">
        <f t="shared" si="704"/>
        <v>0</v>
      </c>
      <c r="AF310" s="182">
        <f t="shared" si="709"/>
        <v>0</v>
      </c>
      <c r="AG310" s="182">
        <f t="shared" si="714"/>
        <v>0</v>
      </c>
      <c r="AH310" s="182">
        <f t="shared" si="719"/>
        <v>0</v>
      </c>
      <c r="AI310" s="182">
        <f t="shared" si="724"/>
        <v>0</v>
      </c>
      <c r="AJ310" s="182">
        <f t="shared" si="730"/>
        <v>0</v>
      </c>
      <c r="AK310" s="182">
        <f t="shared" si="736"/>
        <v>0</v>
      </c>
      <c r="AL310" s="182">
        <f t="shared" si="742"/>
        <v>0</v>
      </c>
      <c r="AM310" s="182">
        <f t="shared" si="748"/>
        <v>0</v>
      </c>
      <c r="AN310" s="182">
        <f t="shared" si="754"/>
        <v>0</v>
      </c>
      <c r="AO310" s="182">
        <f t="shared" ref="AO310:AO330" si="760">AO143*AO$168</f>
        <v>0</v>
      </c>
      <c r="AP310" s="182">
        <f t="shared" si="597"/>
        <v>0</v>
      </c>
      <c r="AQ310" s="182">
        <f t="shared" si="603"/>
        <v>0</v>
      </c>
      <c r="AR310" s="182">
        <f t="shared" si="609"/>
        <v>0</v>
      </c>
      <c r="AS310" s="182">
        <f t="shared" si="615"/>
        <v>0</v>
      </c>
      <c r="AT310" s="182">
        <f t="shared" si="620"/>
        <v>0</v>
      </c>
      <c r="AU310" s="182">
        <f t="shared" si="625"/>
        <v>0</v>
      </c>
      <c r="AV310" s="182">
        <f t="shared" si="630"/>
        <v>0</v>
      </c>
      <c r="AW310" s="182">
        <f t="shared" si="635"/>
        <v>0</v>
      </c>
      <c r="AX310" s="182">
        <f t="shared" si="640"/>
        <v>0</v>
      </c>
      <c r="AY310" s="182">
        <f t="shared" si="645"/>
        <v>0</v>
      </c>
      <c r="AZ310" s="182">
        <f t="shared" si="650"/>
        <v>0</v>
      </c>
      <c r="BA310" s="182">
        <f t="shared" si="655"/>
        <v>0</v>
      </c>
      <c r="BB310" s="182">
        <f t="shared" si="660"/>
        <v>0</v>
      </c>
      <c r="BC310" s="182">
        <f t="shared" si="665"/>
        <v>0</v>
      </c>
      <c r="BD310" s="182">
        <f t="shared" si="670"/>
        <v>0</v>
      </c>
      <c r="BE310" s="182">
        <f t="shared" si="675"/>
        <v>0</v>
      </c>
      <c r="BF310" s="182">
        <f t="shared" si="680"/>
        <v>0</v>
      </c>
      <c r="BG310" s="182">
        <f t="shared" si="685"/>
        <v>0</v>
      </c>
      <c r="BH310" s="182">
        <f t="shared" si="690"/>
        <v>0</v>
      </c>
      <c r="BI310" s="182">
        <f t="shared" si="695"/>
        <v>0</v>
      </c>
      <c r="BJ310" s="182">
        <f t="shared" si="700"/>
        <v>0</v>
      </c>
      <c r="BK310" s="182">
        <f t="shared" si="705"/>
        <v>0</v>
      </c>
      <c r="BL310" s="182">
        <f t="shared" si="710"/>
        <v>0</v>
      </c>
      <c r="BM310" s="182">
        <f t="shared" si="715"/>
        <v>0</v>
      </c>
      <c r="BN310" s="182">
        <f t="shared" si="720"/>
        <v>0</v>
      </c>
      <c r="BO310" s="182">
        <f t="shared" si="725"/>
        <v>0</v>
      </c>
      <c r="BP310" s="182">
        <f t="shared" si="731"/>
        <v>0</v>
      </c>
      <c r="BQ310" s="182">
        <f t="shared" si="737"/>
        <v>0</v>
      </c>
      <c r="BR310" s="182">
        <f t="shared" si="743"/>
        <v>0</v>
      </c>
      <c r="BS310" s="182">
        <f t="shared" si="749"/>
        <v>0</v>
      </c>
      <c r="BT310" s="182">
        <f t="shared" si="755"/>
        <v>0</v>
      </c>
      <c r="BU310" s="182">
        <f t="shared" ref="BU310:BU330" si="761">BU143*BU$168</f>
        <v>0</v>
      </c>
      <c r="BV310" s="182">
        <f t="shared" si="598"/>
        <v>0</v>
      </c>
      <c r="BW310" s="182">
        <f t="shared" si="604"/>
        <v>0</v>
      </c>
      <c r="BX310" s="182">
        <f t="shared" si="610"/>
        <v>0</v>
      </c>
      <c r="BY310" s="182">
        <f t="shared" si="616"/>
        <v>0</v>
      </c>
      <c r="BZ310" s="182">
        <f t="shared" si="621"/>
        <v>0</v>
      </c>
      <c r="CA310" s="182">
        <f t="shared" si="626"/>
        <v>0</v>
      </c>
      <c r="CB310" s="182">
        <f t="shared" si="631"/>
        <v>0</v>
      </c>
      <c r="CC310" s="182">
        <f t="shared" si="636"/>
        <v>0</v>
      </c>
      <c r="CD310" s="182">
        <f t="shared" si="641"/>
        <v>0</v>
      </c>
      <c r="CE310" s="182">
        <f t="shared" si="646"/>
        <v>0</v>
      </c>
      <c r="CF310" s="182">
        <f t="shared" si="651"/>
        <v>0</v>
      </c>
      <c r="CG310" s="182">
        <f t="shared" si="656"/>
        <v>0</v>
      </c>
      <c r="CH310" s="182">
        <f t="shared" si="661"/>
        <v>0</v>
      </c>
      <c r="CI310" s="182">
        <f t="shared" si="666"/>
        <v>0</v>
      </c>
      <c r="CJ310" s="182">
        <f t="shared" si="671"/>
        <v>0</v>
      </c>
      <c r="CK310" s="182">
        <f t="shared" si="676"/>
        <v>0</v>
      </c>
      <c r="CL310" s="182">
        <f t="shared" si="681"/>
        <v>0</v>
      </c>
      <c r="CM310" s="182">
        <f t="shared" si="686"/>
        <v>0</v>
      </c>
      <c r="CN310" s="182">
        <f t="shared" si="691"/>
        <v>0.34311459718128412</v>
      </c>
      <c r="CO310" s="182">
        <f t="shared" si="696"/>
        <v>0</v>
      </c>
      <c r="CP310" s="182">
        <f t="shared" si="701"/>
        <v>0</v>
      </c>
      <c r="CQ310" s="182">
        <f t="shared" si="706"/>
        <v>0</v>
      </c>
      <c r="CR310" s="182">
        <f t="shared" si="711"/>
        <v>0</v>
      </c>
      <c r="CS310" s="182">
        <f t="shared" si="716"/>
        <v>0</v>
      </c>
      <c r="CT310" s="182">
        <f t="shared" si="721"/>
        <v>0</v>
      </c>
      <c r="CU310" s="182">
        <f t="shared" si="726"/>
        <v>0</v>
      </c>
      <c r="CV310" s="182">
        <f t="shared" si="732"/>
        <v>0</v>
      </c>
      <c r="CW310" s="182">
        <f t="shared" si="738"/>
        <v>0</v>
      </c>
      <c r="CX310" s="182">
        <f t="shared" si="744"/>
        <v>0</v>
      </c>
      <c r="CY310" s="182">
        <f t="shared" si="750"/>
        <v>0</v>
      </c>
      <c r="CZ310" s="182">
        <f t="shared" si="756"/>
        <v>0</v>
      </c>
      <c r="DA310" s="182">
        <f t="shared" ref="DA310:DA330" si="762">DA143*DA$168</f>
        <v>0</v>
      </c>
      <c r="DB310" s="182">
        <f t="shared" si="599"/>
        <v>0</v>
      </c>
      <c r="DC310" s="182">
        <f t="shared" si="605"/>
        <v>0</v>
      </c>
      <c r="DD310" s="182">
        <f t="shared" si="611"/>
        <v>0</v>
      </c>
      <c r="DE310" s="182">
        <f t="shared" si="617"/>
        <v>0</v>
      </c>
      <c r="DF310" s="182">
        <f t="shared" si="622"/>
        <v>0</v>
      </c>
      <c r="DG310" s="182">
        <f t="shared" si="627"/>
        <v>0</v>
      </c>
      <c r="DH310" s="182">
        <f t="shared" si="632"/>
        <v>0</v>
      </c>
      <c r="DI310" s="182">
        <f t="shared" si="637"/>
        <v>0</v>
      </c>
      <c r="DJ310" s="182">
        <f t="shared" si="642"/>
        <v>0</v>
      </c>
      <c r="DK310" s="182">
        <f t="shared" si="647"/>
        <v>0</v>
      </c>
      <c r="DL310" s="182">
        <f t="shared" si="652"/>
        <v>0</v>
      </c>
      <c r="DM310" s="182">
        <f t="shared" si="657"/>
        <v>0</v>
      </c>
      <c r="DN310" s="182">
        <f t="shared" si="662"/>
        <v>0</v>
      </c>
      <c r="DO310" s="182">
        <f t="shared" si="667"/>
        <v>0</v>
      </c>
      <c r="DP310" s="182">
        <f t="shared" si="672"/>
        <v>0</v>
      </c>
      <c r="DQ310" s="182">
        <f t="shared" si="677"/>
        <v>0</v>
      </c>
      <c r="DR310" s="182">
        <f t="shared" si="682"/>
        <v>0</v>
      </c>
      <c r="DS310" s="182">
        <f t="shared" si="687"/>
        <v>0</v>
      </c>
      <c r="DT310" s="182">
        <f t="shared" si="692"/>
        <v>0</v>
      </c>
      <c r="DU310" s="182">
        <f t="shared" si="697"/>
        <v>0</v>
      </c>
      <c r="DV310" s="182">
        <f t="shared" si="702"/>
        <v>0</v>
      </c>
      <c r="DW310" s="182">
        <f t="shared" si="707"/>
        <v>0</v>
      </c>
      <c r="DX310" s="182">
        <f t="shared" si="712"/>
        <v>0</v>
      </c>
      <c r="DY310" s="182">
        <f t="shared" si="717"/>
        <v>0</v>
      </c>
      <c r="DZ310" s="182">
        <f t="shared" si="722"/>
        <v>0</v>
      </c>
      <c r="EA310" s="182">
        <f t="shared" si="727"/>
        <v>0</v>
      </c>
      <c r="EB310" s="182">
        <f t="shared" si="733"/>
        <v>0</v>
      </c>
      <c r="EC310" s="182">
        <f t="shared" si="739"/>
        <v>0</v>
      </c>
      <c r="ED310" s="182">
        <f t="shared" si="745"/>
        <v>0</v>
      </c>
      <c r="EE310" s="182">
        <f t="shared" si="751"/>
        <v>0</v>
      </c>
      <c r="EF310" s="182">
        <f t="shared" si="757"/>
        <v>0</v>
      </c>
      <c r="EG310" s="182">
        <f t="shared" ref="EG310:EG330" si="763">EG143*EG$168</f>
        <v>6.6525738758419178E-4</v>
      </c>
      <c r="EH310" s="181">
        <f>$C310+SUM($D310:EG310,EI310:$FB310)-SUM(EH$176:EH309,EH311:EH$330)-EH$331</f>
        <v>-1.2150518221773488E-16</v>
      </c>
      <c r="EI310" s="182">
        <f t="shared" ref="EI310:FB310" si="764">EI143*EI$168</f>
        <v>0</v>
      </c>
      <c r="EJ310" s="182">
        <f t="shared" si="764"/>
        <v>0</v>
      </c>
      <c r="EK310" s="182">
        <f t="shared" si="764"/>
        <v>0</v>
      </c>
      <c r="EL310" s="182">
        <f t="shared" si="764"/>
        <v>0</v>
      </c>
      <c r="EM310" s="182">
        <f t="shared" si="764"/>
        <v>0</v>
      </c>
      <c r="EN310" s="182">
        <f t="shared" si="764"/>
        <v>0</v>
      </c>
      <c r="EO310" s="182">
        <f t="shared" si="764"/>
        <v>0</v>
      </c>
      <c r="EP310" s="182">
        <f t="shared" si="764"/>
        <v>0</v>
      </c>
      <c r="EQ310" s="182">
        <f t="shared" si="764"/>
        <v>0</v>
      </c>
      <c r="ER310" s="182">
        <f t="shared" si="764"/>
        <v>0</v>
      </c>
      <c r="ES310" s="182">
        <f t="shared" si="764"/>
        <v>0</v>
      </c>
      <c r="ET310" s="182">
        <f t="shared" si="764"/>
        <v>0</v>
      </c>
      <c r="EU310" s="182">
        <f t="shared" si="764"/>
        <v>0</v>
      </c>
      <c r="EV310" s="182">
        <f t="shared" si="764"/>
        <v>0</v>
      </c>
      <c r="EW310" s="182">
        <f t="shared" si="764"/>
        <v>0</v>
      </c>
      <c r="EX310" s="182">
        <f t="shared" si="764"/>
        <v>0</v>
      </c>
      <c r="EY310" s="182">
        <f t="shared" si="764"/>
        <v>0</v>
      </c>
      <c r="EZ310" s="182">
        <f t="shared" si="764"/>
        <v>0</v>
      </c>
      <c r="FA310" s="182">
        <f t="shared" si="764"/>
        <v>0</v>
      </c>
      <c r="FB310" s="183">
        <f t="shared" si="764"/>
        <v>0</v>
      </c>
    </row>
    <row r="311" spans="2:158" ht="12.75" customHeight="1" x14ac:dyDescent="0.3">
      <c r="B311" s="199" t="s">
        <v>3954</v>
      </c>
      <c r="C311" s="193">
        <v>0</v>
      </c>
      <c r="D311" s="182">
        <f t="shared" si="729"/>
        <v>0</v>
      </c>
      <c r="E311" s="182">
        <f t="shared" si="735"/>
        <v>0</v>
      </c>
      <c r="F311" s="182">
        <f t="shared" si="741"/>
        <v>0</v>
      </c>
      <c r="G311" s="182">
        <f t="shared" si="747"/>
        <v>0</v>
      </c>
      <c r="H311" s="182">
        <f t="shared" si="753"/>
        <v>0</v>
      </c>
      <c r="I311" s="176">
        <f t="shared" si="759"/>
        <v>0</v>
      </c>
      <c r="J311" s="182">
        <f t="shared" ref="J311:J330" si="765">J144*J$168</f>
        <v>0</v>
      </c>
      <c r="K311" s="182">
        <f t="shared" si="602"/>
        <v>0</v>
      </c>
      <c r="L311" s="182">
        <f t="shared" si="608"/>
        <v>0</v>
      </c>
      <c r="M311" s="182">
        <f t="shared" si="614"/>
        <v>0</v>
      </c>
      <c r="N311" s="182">
        <f t="shared" si="619"/>
        <v>0</v>
      </c>
      <c r="O311" s="182">
        <f t="shared" si="624"/>
        <v>0</v>
      </c>
      <c r="P311" s="182">
        <f t="shared" si="629"/>
        <v>0</v>
      </c>
      <c r="Q311" s="182">
        <f t="shared" si="634"/>
        <v>0</v>
      </c>
      <c r="R311" s="182">
        <f t="shared" si="639"/>
        <v>0</v>
      </c>
      <c r="S311" s="182">
        <f t="shared" si="644"/>
        <v>0</v>
      </c>
      <c r="T311" s="182">
        <f t="shared" si="649"/>
        <v>0</v>
      </c>
      <c r="U311" s="182">
        <f t="shared" si="654"/>
        <v>0</v>
      </c>
      <c r="V311" s="182">
        <f t="shared" si="659"/>
        <v>0</v>
      </c>
      <c r="W311" s="182">
        <f t="shared" si="664"/>
        <v>0</v>
      </c>
      <c r="X311" s="182">
        <f t="shared" si="669"/>
        <v>0</v>
      </c>
      <c r="Y311" s="182">
        <f t="shared" si="674"/>
        <v>0</v>
      </c>
      <c r="Z311" s="182">
        <f t="shared" si="679"/>
        <v>0</v>
      </c>
      <c r="AA311" s="182">
        <f t="shared" si="684"/>
        <v>0</v>
      </c>
      <c r="AB311" s="182">
        <f t="shared" si="689"/>
        <v>0</v>
      </c>
      <c r="AC311" s="182">
        <f t="shared" si="694"/>
        <v>0</v>
      </c>
      <c r="AD311" s="182">
        <f t="shared" si="699"/>
        <v>0</v>
      </c>
      <c r="AE311" s="182">
        <f t="shared" si="704"/>
        <v>0</v>
      </c>
      <c r="AF311" s="182">
        <f t="shared" si="709"/>
        <v>0</v>
      </c>
      <c r="AG311" s="182">
        <f t="shared" si="714"/>
        <v>0</v>
      </c>
      <c r="AH311" s="182">
        <f t="shared" si="719"/>
        <v>0</v>
      </c>
      <c r="AI311" s="182">
        <f t="shared" si="724"/>
        <v>0</v>
      </c>
      <c r="AJ311" s="182">
        <f t="shared" si="730"/>
        <v>0</v>
      </c>
      <c r="AK311" s="182">
        <f t="shared" si="736"/>
        <v>0</v>
      </c>
      <c r="AL311" s="182">
        <f t="shared" si="742"/>
        <v>0</v>
      </c>
      <c r="AM311" s="182">
        <f t="shared" si="748"/>
        <v>0</v>
      </c>
      <c r="AN311" s="182">
        <f t="shared" si="754"/>
        <v>0</v>
      </c>
      <c r="AO311" s="182">
        <f t="shared" si="760"/>
        <v>0</v>
      </c>
      <c r="AP311" s="182">
        <f t="shared" ref="AP311:AP330" si="766">AP144*AP$168</f>
        <v>0</v>
      </c>
      <c r="AQ311" s="182">
        <f t="shared" si="603"/>
        <v>0</v>
      </c>
      <c r="AR311" s="182">
        <f t="shared" si="609"/>
        <v>0</v>
      </c>
      <c r="AS311" s="182">
        <f t="shared" si="615"/>
        <v>0</v>
      </c>
      <c r="AT311" s="182">
        <f t="shared" si="620"/>
        <v>0</v>
      </c>
      <c r="AU311" s="182">
        <f t="shared" si="625"/>
        <v>0</v>
      </c>
      <c r="AV311" s="182">
        <f t="shared" si="630"/>
        <v>0</v>
      </c>
      <c r="AW311" s="182">
        <f t="shared" si="635"/>
        <v>0</v>
      </c>
      <c r="AX311" s="182">
        <f t="shared" si="640"/>
        <v>0</v>
      </c>
      <c r="AY311" s="182">
        <f t="shared" si="645"/>
        <v>0</v>
      </c>
      <c r="AZ311" s="182">
        <f t="shared" si="650"/>
        <v>0</v>
      </c>
      <c r="BA311" s="182">
        <f t="shared" si="655"/>
        <v>0</v>
      </c>
      <c r="BB311" s="182">
        <f t="shared" si="660"/>
        <v>0</v>
      </c>
      <c r="BC311" s="182">
        <f t="shared" si="665"/>
        <v>0</v>
      </c>
      <c r="BD311" s="182">
        <f t="shared" si="670"/>
        <v>0</v>
      </c>
      <c r="BE311" s="182">
        <f t="shared" si="675"/>
        <v>0</v>
      </c>
      <c r="BF311" s="182">
        <f t="shared" si="680"/>
        <v>0</v>
      </c>
      <c r="BG311" s="182">
        <f t="shared" si="685"/>
        <v>0</v>
      </c>
      <c r="BH311" s="182">
        <f t="shared" si="690"/>
        <v>0</v>
      </c>
      <c r="BI311" s="182">
        <f t="shared" si="695"/>
        <v>0</v>
      </c>
      <c r="BJ311" s="182">
        <f t="shared" si="700"/>
        <v>0</v>
      </c>
      <c r="BK311" s="182">
        <f t="shared" si="705"/>
        <v>0</v>
      </c>
      <c r="BL311" s="182">
        <f t="shared" si="710"/>
        <v>0</v>
      </c>
      <c r="BM311" s="182">
        <f t="shared" si="715"/>
        <v>0</v>
      </c>
      <c r="BN311" s="182">
        <f t="shared" si="720"/>
        <v>0</v>
      </c>
      <c r="BO311" s="182">
        <f t="shared" si="725"/>
        <v>0</v>
      </c>
      <c r="BP311" s="182">
        <f t="shared" si="731"/>
        <v>0</v>
      </c>
      <c r="BQ311" s="182">
        <f t="shared" si="737"/>
        <v>0</v>
      </c>
      <c r="BR311" s="182">
        <f t="shared" si="743"/>
        <v>0</v>
      </c>
      <c r="BS311" s="182">
        <f t="shared" si="749"/>
        <v>0</v>
      </c>
      <c r="BT311" s="182">
        <f t="shared" si="755"/>
        <v>0</v>
      </c>
      <c r="BU311" s="182">
        <f t="shared" si="761"/>
        <v>0</v>
      </c>
      <c r="BV311" s="182">
        <f t="shared" ref="BV311:BV330" si="767">BV144*BV$168</f>
        <v>0</v>
      </c>
      <c r="BW311" s="182">
        <f t="shared" si="604"/>
        <v>0</v>
      </c>
      <c r="BX311" s="182">
        <f t="shared" si="610"/>
        <v>0</v>
      </c>
      <c r="BY311" s="182">
        <f t="shared" si="616"/>
        <v>0</v>
      </c>
      <c r="BZ311" s="182">
        <f t="shared" si="621"/>
        <v>0</v>
      </c>
      <c r="CA311" s="182">
        <f t="shared" si="626"/>
        <v>0</v>
      </c>
      <c r="CB311" s="182">
        <f t="shared" si="631"/>
        <v>0</v>
      </c>
      <c r="CC311" s="182">
        <f t="shared" si="636"/>
        <v>0</v>
      </c>
      <c r="CD311" s="182">
        <f t="shared" si="641"/>
        <v>0</v>
      </c>
      <c r="CE311" s="182">
        <f t="shared" si="646"/>
        <v>0</v>
      </c>
      <c r="CF311" s="182">
        <f t="shared" si="651"/>
        <v>0</v>
      </c>
      <c r="CG311" s="182">
        <f t="shared" si="656"/>
        <v>0</v>
      </c>
      <c r="CH311" s="182">
        <f t="shared" si="661"/>
        <v>0</v>
      </c>
      <c r="CI311" s="182">
        <f t="shared" si="666"/>
        <v>0</v>
      </c>
      <c r="CJ311" s="182">
        <f t="shared" si="671"/>
        <v>0</v>
      </c>
      <c r="CK311" s="182">
        <f t="shared" si="676"/>
        <v>0</v>
      </c>
      <c r="CL311" s="182">
        <f t="shared" si="681"/>
        <v>0</v>
      </c>
      <c r="CM311" s="182">
        <f t="shared" si="686"/>
        <v>0</v>
      </c>
      <c r="CN311" s="182">
        <f t="shared" si="691"/>
        <v>0</v>
      </c>
      <c r="CO311" s="182">
        <f t="shared" si="696"/>
        <v>6.6668593602181546E-7</v>
      </c>
      <c r="CP311" s="182">
        <f t="shared" si="701"/>
        <v>0</v>
      </c>
      <c r="CQ311" s="182">
        <f t="shared" si="706"/>
        <v>0</v>
      </c>
      <c r="CR311" s="182">
        <f t="shared" si="711"/>
        <v>0</v>
      </c>
      <c r="CS311" s="182">
        <f t="shared" si="716"/>
        <v>0</v>
      </c>
      <c r="CT311" s="182">
        <f t="shared" si="721"/>
        <v>0</v>
      </c>
      <c r="CU311" s="182">
        <f t="shared" si="726"/>
        <v>0</v>
      </c>
      <c r="CV311" s="182">
        <f t="shared" si="732"/>
        <v>0</v>
      </c>
      <c r="CW311" s="182">
        <f t="shared" si="738"/>
        <v>0</v>
      </c>
      <c r="CX311" s="182">
        <f t="shared" si="744"/>
        <v>0</v>
      </c>
      <c r="CY311" s="182">
        <f t="shared" si="750"/>
        <v>0</v>
      </c>
      <c r="CZ311" s="182">
        <f t="shared" si="756"/>
        <v>0</v>
      </c>
      <c r="DA311" s="182">
        <f t="shared" si="762"/>
        <v>0</v>
      </c>
      <c r="DB311" s="182">
        <f t="shared" ref="DB311:DB330" si="768">DB144*DB$168</f>
        <v>0</v>
      </c>
      <c r="DC311" s="182">
        <f t="shared" si="605"/>
        <v>0</v>
      </c>
      <c r="DD311" s="182">
        <f t="shared" si="611"/>
        <v>0</v>
      </c>
      <c r="DE311" s="182">
        <f t="shared" si="617"/>
        <v>0</v>
      </c>
      <c r="DF311" s="182">
        <f t="shared" si="622"/>
        <v>0</v>
      </c>
      <c r="DG311" s="182">
        <f t="shared" si="627"/>
        <v>0</v>
      </c>
      <c r="DH311" s="182">
        <f t="shared" si="632"/>
        <v>0</v>
      </c>
      <c r="DI311" s="182">
        <f t="shared" si="637"/>
        <v>0</v>
      </c>
      <c r="DJ311" s="182">
        <f t="shared" si="642"/>
        <v>0</v>
      </c>
      <c r="DK311" s="182">
        <f t="shared" si="647"/>
        <v>0</v>
      </c>
      <c r="DL311" s="182">
        <f t="shared" si="652"/>
        <v>0</v>
      </c>
      <c r="DM311" s="182">
        <f t="shared" si="657"/>
        <v>0</v>
      </c>
      <c r="DN311" s="182">
        <f t="shared" si="662"/>
        <v>0</v>
      </c>
      <c r="DO311" s="182">
        <f t="shared" si="667"/>
        <v>0</v>
      </c>
      <c r="DP311" s="182">
        <f t="shared" si="672"/>
        <v>0</v>
      </c>
      <c r="DQ311" s="182">
        <f t="shared" si="677"/>
        <v>0</v>
      </c>
      <c r="DR311" s="182">
        <f t="shared" si="682"/>
        <v>0</v>
      </c>
      <c r="DS311" s="182">
        <f t="shared" si="687"/>
        <v>0</v>
      </c>
      <c r="DT311" s="182">
        <f t="shared" si="692"/>
        <v>0</v>
      </c>
      <c r="DU311" s="182">
        <f t="shared" si="697"/>
        <v>0</v>
      </c>
      <c r="DV311" s="182">
        <f t="shared" si="702"/>
        <v>0</v>
      </c>
      <c r="DW311" s="182">
        <f t="shared" si="707"/>
        <v>0</v>
      </c>
      <c r="DX311" s="182">
        <f t="shared" si="712"/>
        <v>0</v>
      </c>
      <c r="DY311" s="182">
        <f t="shared" si="717"/>
        <v>0</v>
      </c>
      <c r="DZ311" s="182">
        <f t="shared" si="722"/>
        <v>0</v>
      </c>
      <c r="EA311" s="182">
        <f t="shared" si="727"/>
        <v>0</v>
      </c>
      <c r="EB311" s="182">
        <f t="shared" si="733"/>
        <v>0</v>
      </c>
      <c r="EC311" s="182">
        <f t="shared" si="739"/>
        <v>0</v>
      </c>
      <c r="ED311" s="182">
        <f t="shared" si="745"/>
        <v>0</v>
      </c>
      <c r="EE311" s="182">
        <f t="shared" si="751"/>
        <v>0</v>
      </c>
      <c r="EF311" s="182">
        <f t="shared" si="757"/>
        <v>0</v>
      </c>
      <c r="EG311" s="182">
        <f t="shared" si="763"/>
        <v>1.3582872082968007E-6</v>
      </c>
      <c r="EH311" s="182">
        <f t="shared" ref="EH311:EH330" si="769">EH144*EH$168</f>
        <v>0</v>
      </c>
      <c r="EI311" s="181">
        <f>$C311+SUM($D311:EH311,EJ311:$FB311)-SUM(EI$176:EI310,EI312:EI$330)-EI$331</f>
        <v>4.7504158629482094E-22</v>
      </c>
      <c r="EJ311" s="182">
        <f t="shared" ref="EJ311:FB311" si="770">EJ144*EJ$168</f>
        <v>0</v>
      </c>
      <c r="EK311" s="182">
        <f t="shared" si="770"/>
        <v>0</v>
      </c>
      <c r="EL311" s="182">
        <f t="shared" si="770"/>
        <v>0</v>
      </c>
      <c r="EM311" s="182">
        <f t="shared" si="770"/>
        <v>0</v>
      </c>
      <c r="EN311" s="182">
        <f t="shared" si="770"/>
        <v>0</v>
      </c>
      <c r="EO311" s="182">
        <f t="shared" si="770"/>
        <v>0</v>
      </c>
      <c r="EP311" s="182">
        <f t="shared" si="770"/>
        <v>0</v>
      </c>
      <c r="EQ311" s="182">
        <f t="shared" si="770"/>
        <v>0</v>
      </c>
      <c r="ER311" s="182">
        <f t="shared" si="770"/>
        <v>0</v>
      </c>
      <c r="ES311" s="182">
        <f t="shared" si="770"/>
        <v>0</v>
      </c>
      <c r="ET311" s="182">
        <f t="shared" si="770"/>
        <v>0</v>
      </c>
      <c r="EU311" s="182">
        <f t="shared" si="770"/>
        <v>0</v>
      </c>
      <c r="EV311" s="182">
        <f t="shared" si="770"/>
        <v>0</v>
      </c>
      <c r="EW311" s="182">
        <f t="shared" si="770"/>
        <v>0</v>
      </c>
      <c r="EX311" s="182">
        <f t="shared" si="770"/>
        <v>0</v>
      </c>
      <c r="EY311" s="182">
        <f t="shared" si="770"/>
        <v>0</v>
      </c>
      <c r="EZ311" s="182">
        <f t="shared" si="770"/>
        <v>0</v>
      </c>
      <c r="FA311" s="182">
        <f t="shared" si="770"/>
        <v>0</v>
      </c>
      <c r="FB311" s="183">
        <f t="shared" si="770"/>
        <v>0</v>
      </c>
    </row>
    <row r="312" spans="2:158" ht="12.75" customHeight="1" x14ac:dyDescent="0.3">
      <c r="B312" s="199" t="s">
        <v>3955</v>
      </c>
      <c r="C312" s="193">
        <v>0</v>
      </c>
      <c r="D312" s="182">
        <f t="shared" si="729"/>
        <v>0</v>
      </c>
      <c r="E312" s="182">
        <f t="shared" si="735"/>
        <v>0</v>
      </c>
      <c r="F312" s="182">
        <f t="shared" si="741"/>
        <v>0</v>
      </c>
      <c r="G312" s="182">
        <f t="shared" si="747"/>
        <v>0</v>
      </c>
      <c r="H312" s="182">
        <f t="shared" si="753"/>
        <v>0</v>
      </c>
      <c r="I312" s="176">
        <f t="shared" si="759"/>
        <v>0</v>
      </c>
      <c r="J312" s="182">
        <f t="shared" si="765"/>
        <v>0</v>
      </c>
      <c r="K312" s="182">
        <f t="shared" ref="K312:K330" si="771">K145*K$168</f>
        <v>0</v>
      </c>
      <c r="L312" s="182">
        <f t="shared" si="608"/>
        <v>0</v>
      </c>
      <c r="M312" s="182">
        <f t="shared" si="614"/>
        <v>0</v>
      </c>
      <c r="N312" s="182">
        <f t="shared" si="619"/>
        <v>0</v>
      </c>
      <c r="O312" s="182">
        <f t="shared" si="624"/>
        <v>0</v>
      </c>
      <c r="P312" s="182">
        <f t="shared" si="629"/>
        <v>0</v>
      </c>
      <c r="Q312" s="182">
        <f t="shared" si="634"/>
        <v>0</v>
      </c>
      <c r="R312" s="182">
        <f t="shared" si="639"/>
        <v>0</v>
      </c>
      <c r="S312" s="182">
        <f t="shared" si="644"/>
        <v>0</v>
      </c>
      <c r="T312" s="182">
        <f t="shared" si="649"/>
        <v>0</v>
      </c>
      <c r="U312" s="182">
        <f t="shared" si="654"/>
        <v>0</v>
      </c>
      <c r="V312" s="182">
        <f t="shared" si="659"/>
        <v>0</v>
      </c>
      <c r="W312" s="182">
        <f t="shared" si="664"/>
        <v>0</v>
      </c>
      <c r="X312" s="182">
        <f t="shared" si="669"/>
        <v>0</v>
      </c>
      <c r="Y312" s="182">
        <f t="shared" si="674"/>
        <v>0</v>
      </c>
      <c r="Z312" s="182">
        <f t="shared" si="679"/>
        <v>0</v>
      </c>
      <c r="AA312" s="182">
        <f t="shared" si="684"/>
        <v>0</v>
      </c>
      <c r="AB312" s="182">
        <f t="shared" si="689"/>
        <v>0</v>
      </c>
      <c r="AC312" s="182">
        <f t="shared" si="694"/>
        <v>0</v>
      </c>
      <c r="AD312" s="182">
        <f t="shared" si="699"/>
        <v>0</v>
      </c>
      <c r="AE312" s="182">
        <f t="shared" si="704"/>
        <v>0</v>
      </c>
      <c r="AF312" s="182">
        <f t="shared" si="709"/>
        <v>0</v>
      </c>
      <c r="AG312" s="182">
        <f t="shared" si="714"/>
        <v>0</v>
      </c>
      <c r="AH312" s="182">
        <f t="shared" si="719"/>
        <v>0</v>
      </c>
      <c r="AI312" s="182">
        <f t="shared" si="724"/>
        <v>0</v>
      </c>
      <c r="AJ312" s="182">
        <f t="shared" si="730"/>
        <v>0</v>
      </c>
      <c r="AK312" s="182">
        <f t="shared" si="736"/>
        <v>0</v>
      </c>
      <c r="AL312" s="182">
        <f t="shared" si="742"/>
        <v>0</v>
      </c>
      <c r="AM312" s="182">
        <f t="shared" si="748"/>
        <v>0</v>
      </c>
      <c r="AN312" s="182">
        <f t="shared" si="754"/>
        <v>0</v>
      </c>
      <c r="AO312" s="182">
        <f t="shared" si="760"/>
        <v>0</v>
      </c>
      <c r="AP312" s="182">
        <f t="shared" si="766"/>
        <v>0</v>
      </c>
      <c r="AQ312" s="182">
        <f t="shared" ref="AQ312:AQ330" si="772">AQ145*AQ$168</f>
        <v>0</v>
      </c>
      <c r="AR312" s="182">
        <f t="shared" si="609"/>
        <v>0</v>
      </c>
      <c r="AS312" s="182">
        <f t="shared" si="615"/>
        <v>0</v>
      </c>
      <c r="AT312" s="182">
        <f t="shared" si="620"/>
        <v>0</v>
      </c>
      <c r="AU312" s="182">
        <f t="shared" si="625"/>
        <v>0</v>
      </c>
      <c r="AV312" s="182">
        <f t="shared" si="630"/>
        <v>0</v>
      </c>
      <c r="AW312" s="182">
        <f t="shared" si="635"/>
        <v>0</v>
      </c>
      <c r="AX312" s="182">
        <f t="shared" si="640"/>
        <v>0</v>
      </c>
      <c r="AY312" s="182">
        <f t="shared" si="645"/>
        <v>0</v>
      </c>
      <c r="AZ312" s="182">
        <f t="shared" si="650"/>
        <v>0</v>
      </c>
      <c r="BA312" s="182">
        <f t="shared" si="655"/>
        <v>0</v>
      </c>
      <c r="BB312" s="182">
        <f t="shared" si="660"/>
        <v>0</v>
      </c>
      <c r="BC312" s="182">
        <f t="shared" si="665"/>
        <v>0</v>
      </c>
      <c r="BD312" s="182">
        <f t="shared" si="670"/>
        <v>0</v>
      </c>
      <c r="BE312" s="182">
        <f t="shared" si="675"/>
        <v>0</v>
      </c>
      <c r="BF312" s="182">
        <f t="shared" si="680"/>
        <v>0</v>
      </c>
      <c r="BG312" s="182">
        <f t="shared" si="685"/>
        <v>0</v>
      </c>
      <c r="BH312" s="182">
        <f t="shared" si="690"/>
        <v>0</v>
      </c>
      <c r="BI312" s="182">
        <f t="shared" si="695"/>
        <v>0</v>
      </c>
      <c r="BJ312" s="182">
        <f t="shared" si="700"/>
        <v>0</v>
      </c>
      <c r="BK312" s="182">
        <f t="shared" si="705"/>
        <v>0</v>
      </c>
      <c r="BL312" s="182">
        <f t="shared" si="710"/>
        <v>0</v>
      </c>
      <c r="BM312" s="182">
        <f t="shared" si="715"/>
        <v>0</v>
      </c>
      <c r="BN312" s="182">
        <f t="shared" si="720"/>
        <v>0</v>
      </c>
      <c r="BO312" s="182">
        <f t="shared" si="725"/>
        <v>0</v>
      </c>
      <c r="BP312" s="182">
        <f t="shared" si="731"/>
        <v>0</v>
      </c>
      <c r="BQ312" s="182">
        <f t="shared" si="737"/>
        <v>0</v>
      </c>
      <c r="BR312" s="182">
        <f t="shared" si="743"/>
        <v>0</v>
      </c>
      <c r="BS312" s="182">
        <f t="shared" si="749"/>
        <v>0</v>
      </c>
      <c r="BT312" s="182">
        <f t="shared" si="755"/>
        <v>0</v>
      </c>
      <c r="BU312" s="182">
        <f t="shared" si="761"/>
        <v>0</v>
      </c>
      <c r="BV312" s="182">
        <f t="shared" si="767"/>
        <v>0</v>
      </c>
      <c r="BW312" s="182">
        <f t="shared" ref="BW312:BW330" si="773">BW145*BW$168</f>
        <v>0</v>
      </c>
      <c r="BX312" s="182">
        <f t="shared" si="610"/>
        <v>0</v>
      </c>
      <c r="BY312" s="182">
        <f t="shared" si="616"/>
        <v>0</v>
      </c>
      <c r="BZ312" s="182">
        <f t="shared" si="621"/>
        <v>0</v>
      </c>
      <c r="CA312" s="182">
        <f t="shared" si="626"/>
        <v>0</v>
      </c>
      <c r="CB312" s="182">
        <f t="shared" si="631"/>
        <v>0</v>
      </c>
      <c r="CC312" s="182">
        <f t="shared" si="636"/>
        <v>0</v>
      </c>
      <c r="CD312" s="182">
        <f t="shared" si="641"/>
        <v>0</v>
      </c>
      <c r="CE312" s="182">
        <f t="shared" si="646"/>
        <v>0</v>
      </c>
      <c r="CF312" s="182">
        <f t="shared" si="651"/>
        <v>0</v>
      </c>
      <c r="CG312" s="182">
        <f t="shared" si="656"/>
        <v>0</v>
      </c>
      <c r="CH312" s="182">
        <f t="shared" si="661"/>
        <v>0</v>
      </c>
      <c r="CI312" s="182">
        <f t="shared" si="666"/>
        <v>0</v>
      </c>
      <c r="CJ312" s="182">
        <f t="shared" si="671"/>
        <v>0</v>
      </c>
      <c r="CK312" s="182">
        <f t="shared" si="676"/>
        <v>0</v>
      </c>
      <c r="CL312" s="182">
        <f t="shared" si="681"/>
        <v>0</v>
      </c>
      <c r="CM312" s="182">
        <f t="shared" si="686"/>
        <v>0</v>
      </c>
      <c r="CN312" s="182">
        <f t="shared" si="691"/>
        <v>0</v>
      </c>
      <c r="CO312" s="182">
        <f t="shared" si="696"/>
        <v>0</v>
      </c>
      <c r="CP312" s="182">
        <f t="shared" si="701"/>
        <v>0</v>
      </c>
      <c r="CQ312" s="182">
        <f t="shared" si="706"/>
        <v>0</v>
      </c>
      <c r="CR312" s="182">
        <f t="shared" si="711"/>
        <v>0</v>
      </c>
      <c r="CS312" s="182">
        <f t="shared" si="716"/>
        <v>0</v>
      </c>
      <c r="CT312" s="182">
        <f t="shared" si="721"/>
        <v>0</v>
      </c>
      <c r="CU312" s="182">
        <f t="shared" si="726"/>
        <v>0</v>
      </c>
      <c r="CV312" s="182">
        <f t="shared" si="732"/>
        <v>0</v>
      </c>
      <c r="CW312" s="182">
        <f t="shared" si="738"/>
        <v>0</v>
      </c>
      <c r="CX312" s="182">
        <f t="shared" si="744"/>
        <v>0</v>
      </c>
      <c r="CY312" s="182">
        <f t="shared" si="750"/>
        <v>0</v>
      </c>
      <c r="CZ312" s="182">
        <f t="shared" si="756"/>
        <v>0</v>
      </c>
      <c r="DA312" s="182">
        <f t="shared" si="762"/>
        <v>0</v>
      </c>
      <c r="DB312" s="182">
        <f t="shared" si="768"/>
        <v>0</v>
      </c>
      <c r="DC312" s="182">
        <f t="shared" ref="DC312:DC330" si="774">DC145*DC$168</f>
        <v>0</v>
      </c>
      <c r="DD312" s="182">
        <f t="shared" si="611"/>
        <v>0</v>
      </c>
      <c r="DE312" s="182">
        <f t="shared" si="617"/>
        <v>0</v>
      </c>
      <c r="DF312" s="182">
        <f t="shared" si="622"/>
        <v>0</v>
      </c>
      <c r="DG312" s="182">
        <f t="shared" si="627"/>
        <v>0</v>
      </c>
      <c r="DH312" s="182">
        <f t="shared" si="632"/>
        <v>0</v>
      </c>
      <c r="DI312" s="182">
        <f t="shared" si="637"/>
        <v>0</v>
      </c>
      <c r="DJ312" s="182">
        <f t="shared" si="642"/>
        <v>0</v>
      </c>
      <c r="DK312" s="182">
        <f t="shared" si="647"/>
        <v>0</v>
      </c>
      <c r="DL312" s="182">
        <f t="shared" si="652"/>
        <v>0</v>
      </c>
      <c r="DM312" s="182">
        <f t="shared" si="657"/>
        <v>0</v>
      </c>
      <c r="DN312" s="182">
        <f t="shared" si="662"/>
        <v>0</v>
      </c>
      <c r="DO312" s="182">
        <f t="shared" si="667"/>
        <v>0</v>
      </c>
      <c r="DP312" s="182">
        <f t="shared" si="672"/>
        <v>0</v>
      </c>
      <c r="DQ312" s="182">
        <f t="shared" si="677"/>
        <v>0</v>
      </c>
      <c r="DR312" s="182">
        <f t="shared" si="682"/>
        <v>0</v>
      </c>
      <c r="DS312" s="182">
        <f t="shared" si="687"/>
        <v>0</v>
      </c>
      <c r="DT312" s="182">
        <f t="shared" si="692"/>
        <v>0</v>
      </c>
      <c r="DU312" s="182">
        <f t="shared" si="697"/>
        <v>0</v>
      </c>
      <c r="DV312" s="182">
        <f t="shared" si="702"/>
        <v>0</v>
      </c>
      <c r="DW312" s="182">
        <f t="shared" si="707"/>
        <v>0</v>
      </c>
      <c r="DX312" s="182">
        <f t="shared" si="712"/>
        <v>0</v>
      </c>
      <c r="DY312" s="182">
        <f t="shared" si="717"/>
        <v>0</v>
      </c>
      <c r="DZ312" s="182">
        <f t="shared" si="722"/>
        <v>0</v>
      </c>
      <c r="EA312" s="182">
        <f t="shared" si="727"/>
        <v>0</v>
      </c>
      <c r="EB312" s="182">
        <f t="shared" si="733"/>
        <v>0</v>
      </c>
      <c r="EC312" s="182">
        <f t="shared" si="739"/>
        <v>0</v>
      </c>
      <c r="ED312" s="182">
        <f t="shared" si="745"/>
        <v>0</v>
      </c>
      <c r="EE312" s="182">
        <f t="shared" si="751"/>
        <v>0</v>
      </c>
      <c r="EF312" s="182">
        <f t="shared" si="757"/>
        <v>0</v>
      </c>
      <c r="EG312" s="182">
        <f t="shared" si="763"/>
        <v>5.1474781319289278E-5</v>
      </c>
      <c r="EH312" s="182">
        <f t="shared" si="769"/>
        <v>0</v>
      </c>
      <c r="EI312" s="182">
        <f t="shared" ref="EI312:EI330" si="775">EI145*EI$168</f>
        <v>0</v>
      </c>
      <c r="EJ312" s="181">
        <f>$C312+SUM($D312:EI312,EK312:$FB312)-SUM(EJ$176:EJ311,EJ313:EJ$330)-EJ$331</f>
        <v>-6.7762635780344027E-21</v>
      </c>
      <c r="EK312" s="182">
        <f t="shared" ref="EK312:FB312" si="776">EK145*EK$168</f>
        <v>0</v>
      </c>
      <c r="EL312" s="182">
        <f t="shared" si="776"/>
        <v>0</v>
      </c>
      <c r="EM312" s="182">
        <f t="shared" si="776"/>
        <v>0</v>
      </c>
      <c r="EN312" s="182">
        <f t="shared" si="776"/>
        <v>0</v>
      </c>
      <c r="EO312" s="182">
        <f t="shared" si="776"/>
        <v>0</v>
      </c>
      <c r="EP312" s="182">
        <f t="shared" si="776"/>
        <v>0</v>
      </c>
      <c r="EQ312" s="182">
        <f t="shared" si="776"/>
        <v>0</v>
      </c>
      <c r="ER312" s="182">
        <f t="shared" si="776"/>
        <v>0</v>
      </c>
      <c r="ES312" s="182">
        <f t="shared" si="776"/>
        <v>0</v>
      </c>
      <c r="ET312" s="182">
        <f t="shared" si="776"/>
        <v>0</v>
      </c>
      <c r="EU312" s="182">
        <f t="shared" si="776"/>
        <v>0</v>
      </c>
      <c r="EV312" s="182">
        <f t="shared" si="776"/>
        <v>0</v>
      </c>
      <c r="EW312" s="182">
        <f t="shared" si="776"/>
        <v>0</v>
      </c>
      <c r="EX312" s="182">
        <f t="shared" si="776"/>
        <v>0</v>
      </c>
      <c r="EY312" s="182">
        <f t="shared" si="776"/>
        <v>0</v>
      </c>
      <c r="EZ312" s="182">
        <f t="shared" si="776"/>
        <v>0</v>
      </c>
      <c r="FA312" s="182">
        <f t="shared" si="776"/>
        <v>0</v>
      </c>
      <c r="FB312" s="183">
        <f t="shared" si="776"/>
        <v>0</v>
      </c>
    </row>
    <row r="313" spans="2:158" ht="12.75" customHeight="1" x14ac:dyDescent="0.3">
      <c r="B313" s="199" t="s">
        <v>3956</v>
      </c>
      <c r="C313" s="193">
        <v>0</v>
      </c>
      <c r="D313" s="182">
        <f t="shared" si="729"/>
        <v>0</v>
      </c>
      <c r="E313" s="182">
        <f t="shared" si="735"/>
        <v>0</v>
      </c>
      <c r="F313" s="182">
        <f t="shared" si="741"/>
        <v>0</v>
      </c>
      <c r="G313" s="182">
        <f t="shared" si="747"/>
        <v>0</v>
      </c>
      <c r="H313" s="182">
        <f t="shared" si="753"/>
        <v>0</v>
      </c>
      <c r="I313" s="176">
        <f t="shared" si="759"/>
        <v>0</v>
      </c>
      <c r="J313" s="182">
        <f t="shared" si="765"/>
        <v>0</v>
      </c>
      <c r="K313" s="182">
        <f t="shared" si="771"/>
        <v>0</v>
      </c>
      <c r="L313" s="182">
        <f t="shared" ref="L313:L330" si="777">L146*L$168</f>
        <v>0</v>
      </c>
      <c r="M313" s="182">
        <f t="shared" si="614"/>
        <v>0</v>
      </c>
      <c r="N313" s="182">
        <f t="shared" si="619"/>
        <v>0</v>
      </c>
      <c r="O313" s="182">
        <f t="shared" si="624"/>
        <v>0</v>
      </c>
      <c r="P313" s="182">
        <f t="shared" si="629"/>
        <v>0</v>
      </c>
      <c r="Q313" s="182">
        <f t="shared" si="634"/>
        <v>0</v>
      </c>
      <c r="R313" s="182">
        <f t="shared" si="639"/>
        <v>0</v>
      </c>
      <c r="S313" s="182">
        <f t="shared" si="644"/>
        <v>0</v>
      </c>
      <c r="T313" s="182">
        <f t="shared" si="649"/>
        <v>0</v>
      </c>
      <c r="U313" s="182">
        <f t="shared" si="654"/>
        <v>0</v>
      </c>
      <c r="V313" s="182">
        <f t="shared" si="659"/>
        <v>0</v>
      </c>
      <c r="W313" s="182">
        <f t="shared" si="664"/>
        <v>0</v>
      </c>
      <c r="X313" s="182">
        <f t="shared" si="669"/>
        <v>0</v>
      </c>
      <c r="Y313" s="182">
        <f t="shared" si="674"/>
        <v>0</v>
      </c>
      <c r="Z313" s="182">
        <f t="shared" si="679"/>
        <v>0</v>
      </c>
      <c r="AA313" s="182">
        <f t="shared" si="684"/>
        <v>0</v>
      </c>
      <c r="AB313" s="182">
        <f t="shared" si="689"/>
        <v>0</v>
      </c>
      <c r="AC313" s="182">
        <f t="shared" si="694"/>
        <v>0</v>
      </c>
      <c r="AD313" s="182">
        <f t="shared" si="699"/>
        <v>0</v>
      </c>
      <c r="AE313" s="182">
        <f t="shared" si="704"/>
        <v>0</v>
      </c>
      <c r="AF313" s="182">
        <f t="shared" si="709"/>
        <v>0</v>
      </c>
      <c r="AG313" s="182">
        <f t="shared" si="714"/>
        <v>0</v>
      </c>
      <c r="AH313" s="182">
        <f t="shared" si="719"/>
        <v>0</v>
      </c>
      <c r="AI313" s="182">
        <f t="shared" si="724"/>
        <v>0</v>
      </c>
      <c r="AJ313" s="182">
        <f t="shared" si="730"/>
        <v>0</v>
      </c>
      <c r="AK313" s="182">
        <f t="shared" si="736"/>
        <v>0</v>
      </c>
      <c r="AL313" s="182">
        <f t="shared" si="742"/>
        <v>0</v>
      </c>
      <c r="AM313" s="182">
        <f t="shared" si="748"/>
        <v>0</v>
      </c>
      <c r="AN313" s="182">
        <f t="shared" si="754"/>
        <v>0</v>
      </c>
      <c r="AO313" s="182">
        <f t="shared" si="760"/>
        <v>0</v>
      </c>
      <c r="AP313" s="182">
        <f t="shared" si="766"/>
        <v>0</v>
      </c>
      <c r="AQ313" s="182">
        <f t="shared" si="772"/>
        <v>0</v>
      </c>
      <c r="AR313" s="182">
        <f t="shared" ref="AR313:AR330" si="778">AR146*AR$168</f>
        <v>0</v>
      </c>
      <c r="AS313" s="182">
        <f t="shared" si="615"/>
        <v>0</v>
      </c>
      <c r="AT313" s="182">
        <f t="shared" si="620"/>
        <v>0</v>
      </c>
      <c r="AU313" s="182">
        <f t="shared" si="625"/>
        <v>0</v>
      </c>
      <c r="AV313" s="182">
        <f t="shared" si="630"/>
        <v>0</v>
      </c>
      <c r="AW313" s="182">
        <f t="shared" si="635"/>
        <v>0</v>
      </c>
      <c r="AX313" s="182">
        <f t="shared" si="640"/>
        <v>0</v>
      </c>
      <c r="AY313" s="182">
        <f t="shared" si="645"/>
        <v>0</v>
      </c>
      <c r="AZ313" s="182">
        <f t="shared" si="650"/>
        <v>0</v>
      </c>
      <c r="BA313" s="182">
        <f t="shared" si="655"/>
        <v>0</v>
      </c>
      <c r="BB313" s="182">
        <f t="shared" si="660"/>
        <v>0</v>
      </c>
      <c r="BC313" s="182">
        <f t="shared" si="665"/>
        <v>0</v>
      </c>
      <c r="BD313" s="182">
        <f t="shared" si="670"/>
        <v>0</v>
      </c>
      <c r="BE313" s="182">
        <f t="shared" si="675"/>
        <v>0</v>
      </c>
      <c r="BF313" s="182">
        <f t="shared" si="680"/>
        <v>0</v>
      </c>
      <c r="BG313" s="182">
        <f t="shared" si="685"/>
        <v>0</v>
      </c>
      <c r="BH313" s="182">
        <f t="shared" si="690"/>
        <v>0</v>
      </c>
      <c r="BI313" s="182">
        <f t="shared" si="695"/>
        <v>0</v>
      </c>
      <c r="BJ313" s="182">
        <f t="shared" si="700"/>
        <v>0</v>
      </c>
      <c r="BK313" s="182">
        <f t="shared" si="705"/>
        <v>0</v>
      </c>
      <c r="BL313" s="182">
        <f t="shared" si="710"/>
        <v>0</v>
      </c>
      <c r="BM313" s="182">
        <f t="shared" si="715"/>
        <v>0</v>
      </c>
      <c r="BN313" s="182">
        <f t="shared" si="720"/>
        <v>0</v>
      </c>
      <c r="BO313" s="182">
        <f t="shared" si="725"/>
        <v>0</v>
      </c>
      <c r="BP313" s="182">
        <f t="shared" si="731"/>
        <v>0</v>
      </c>
      <c r="BQ313" s="182">
        <f t="shared" si="737"/>
        <v>0</v>
      </c>
      <c r="BR313" s="182">
        <f t="shared" si="743"/>
        <v>0</v>
      </c>
      <c r="BS313" s="182">
        <f t="shared" si="749"/>
        <v>0</v>
      </c>
      <c r="BT313" s="182">
        <f t="shared" si="755"/>
        <v>0</v>
      </c>
      <c r="BU313" s="182">
        <f t="shared" si="761"/>
        <v>0</v>
      </c>
      <c r="BV313" s="182">
        <f t="shared" si="767"/>
        <v>0</v>
      </c>
      <c r="BW313" s="182">
        <f t="shared" si="773"/>
        <v>0</v>
      </c>
      <c r="BX313" s="182">
        <f t="shared" ref="BX313:BX330" si="779">BX146*BX$168</f>
        <v>0</v>
      </c>
      <c r="BY313" s="182">
        <f t="shared" si="616"/>
        <v>0</v>
      </c>
      <c r="BZ313" s="182">
        <f t="shared" si="621"/>
        <v>0</v>
      </c>
      <c r="CA313" s="182">
        <f t="shared" si="626"/>
        <v>0</v>
      </c>
      <c r="CB313" s="182">
        <f t="shared" si="631"/>
        <v>0</v>
      </c>
      <c r="CC313" s="182">
        <f t="shared" si="636"/>
        <v>0</v>
      </c>
      <c r="CD313" s="182">
        <f t="shared" si="641"/>
        <v>0</v>
      </c>
      <c r="CE313" s="182">
        <f t="shared" si="646"/>
        <v>0</v>
      </c>
      <c r="CF313" s="182">
        <f t="shared" si="651"/>
        <v>0</v>
      </c>
      <c r="CG313" s="182">
        <f t="shared" si="656"/>
        <v>0</v>
      </c>
      <c r="CH313" s="182">
        <f t="shared" si="661"/>
        <v>0</v>
      </c>
      <c r="CI313" s="182">
        <f t="shared" si="666"/>
        <v>0</v>
      </c>
      <c r="CJ313" s="182">
        <f t="shared" si="671"/>
        <v>0</v>
      </c>
      <c r="CK313" s="182">
        <f t="shared" si="676"/>
        <v>0</v>
      </c>
      <c r="CL313" s="182">
        <f t="shared" si="681"/>
        <v>0</v>
      </c>
      <c r="CM313" s="182">
        <f t="shared" si="686"/>
        <v>0</v>
      </c>
      <c r="CN313" s="182">
        <f t="shared" si="691"/>
        <v>0</v>
      </c>
      <c r="CO313" s="182">
        <f t="shared" si="696"/>
        <v>0</v>
      </c>
      <c r="CP313" s="182">
        <f t="shared" si="701"/>
        <v>0</v>
      </c>
      <c r="CQ313" s="182">
        <f t="shared" si="706"/>
        <v>0</v>
      </c>
      <c r="CR313" s="182">
        <f t="shared" si="711"/>
        <v>0</v>
      </c>
      <c r="CS313" s="182">
        <f t="shared" si="716"/>
        <v>0</v>
      </c>
      <c r="CT313" s="182">
        <f t="shared" si="721"/>
        <v>0</v>
      </c>
      <c r="CU313" s="182">
        <f t="shared" si="726"/>
        <v>0</v>
      </c>
      <c r="CV313" s="182">
        <f t="shared" si="732"/>
        <v>0</v>
      </c>
      <c r="CW313" s="182">
        <f t="shared" si="738"/>
        <v>0</v>
      </c>
      <c r="CX313" s="182">
        <f t="shared" si="744"/>
        <v>0</v>
      </c>
      <c r="CY313" s="182">
        <f t="shared" si="750"/>
        <v>0</v>
      </c>
      <c r="CZ313" s="182">
        <f t="shared" si="756"/>
        <v>0</v>
      </c>
      <c r="DA313" s="182">
        <f t="shared" si="762"/>
        <v>0</v>
      </c>
      <c r="DB313" s="182">
        <f t="shared" si="768"/>
        <v>0</v>
      </c>
      <c r="DC313" s="182">
        <f t="shared" si="774"/>
        <v>0</v>
      </c>
      <c r="DD313" s="182">
        <f t="shared" ref="DD313:DD330" si="780">DD146*DD$168</f>
        <v>0</v>
      </c>
      <c r="DE313" s="182">
        <f t="shared" si="617"/>
        <v>0</v>
      </c>
      <c r="DF313" s="182">
        <f t="shared" si="622"/>
        <v>0</v>
      </c>
      <c r="DG313" s="182">
        <f t="shared" si="627"/>
        <v>0</v>
      </c>
      <c r="DH313" s="182">
        <f t="shared" si="632"/>
        <v>0</v>
      </c>
      <c r="DI313" s="182">
        <f t="shared" si="637"/>
        <v>0</v>
      </c>
      <c r="DJ313" s="182">
        <f t="shared" si="642"/>
        <v>0</v>
      </c>
      <c r="DK313" s="182">
        <f t="shared" si="647"/>
        <v>0</v>
      </c>
      <c r="DL313" s="182">
        <f t="shared" si="652"/>
        <v>0</v>
      </c>
      <c r="DM313" s="182">
        <f t="shared" si="657"/>
        <v>0</v>
      </c>
      <c r="DN313" s="182">
        <f t="shared" si="662"/>
        <v>0</v>
      </c>
      <c r="DO313" s="182">
        <f t="shared" si="667"/>
        <v>0</v>
      </c>
      <c r="DP313" s="182">
        <f t="shared" si="672"/>
        <v>0</v>
      </c>
      <c r="DQ313" s="182">
        <f t="shared" si="677"/>
        <v>0</v>
      </c>
      <c r="DR313" s="182">
        <f t="shared" si="682"/>
        <v>0</v>
      </c>
      <c r="DS313" s="182">
        <f t="shared" si="687"/>
        <v>0</v>
      </c>
      <c r="DT313" s="182">
        <f t="shared" si="692"/>
        <v>0</v>
      </c>
      <c r="DU313" s="182">
        <f t="shared" si="697"/>
        <v>0</v>
      </c>
      <c r="DV313" s="182">
        <f t="shared" si="702"/>
        <v>0</v>
      </c>
      <c r="DW313" s="182">
        <f t="shared" si="707"/>
        <v>0</v>
      </c>
      <c r="DX313" s="182">
        <f t="shared" si="712"/>
        <v>0</v>
      </c>
      <c r="DY313" s="182">
        <f t="shared" si="717"/>
        <v>0</v>
      </c>
      <c r="DZ313" s="182">
        <f t="shared" si="722"/>
        <v>0</v>
      </c>
      <c r="EA313" s="182">
        <f t="shared" si="727"/>
        <v>0</v>
      </c>
      <c r="EB313" s="182">
        <f t="shared" si="733"/>
        <v>0</v>
      </c>
      <c r="EC313" s="182">
        <f t="shared" si="739"/>
        <v>0</v>
      </c>
      <c r="ED313" s="182">
        <f t="shared" si="745"/>
        <v>0</v>
      </c>
      <c r="EE313" s="182">
        <f t="shared" si="751"/>
        <v>0</v>
      </c>
      <c r="EF313" s="182">
        <f t="shared" si="757"/>
        <v>0</v>
      </c>
      <c r="EG313" s="182">
        <f t="shared" si="763"/>
        <v>0</v>
      </c>
      <c r="EH313" s="182">
        <f t="shared" si="769"/>
        <v>0.13129566458342803</v>
      </c>
      <c r="EI313" s="182">
        <f t="shared" si="775"/>
        <v>0</v>
      </c>
      <c r="EJ313" s="182">
        <f t="shared" ref="EJ313:EJ330" si="781">EJ146*EJ$168</f>
        <v>0</v>
      </c>
      <c r="EK313" s="181">
        <f>$C313+SUM($D313:EJ313,EL313:$FB313)-SUM(EK$176:EK312,EK314:EK$330)-EK$331</f>
        <v>0</v>
      </c>
      <c r="EL313" s="182">
        <f t="shared" ref="EL313:FB313" si="782">EL146*EL$168</f>
        <v>0</v>
      </c>
      <c r="EM313" s="182">
        <f t="shared" si="782"/>
        <v>0</v>
      </c>
      <c r="EN313" s="182">
        <f t="shared" si="782"/>
        <v>0</v>
      </c>
      <c r="EO313" s="182">
        <f t="shared" si="782"/>
        <v>0</v>
      </c>
      <c r="EP313" s="182">
        <f t="shared" si="782"/>
        <v>0</v>
      </c>
      <c r="EQ313" s="182">
        <f t="shared" si="782"/>
        <v>0</v>
      </c>
      <c r="ER313" s="182">
        <f t="shared" si="782"/>
        <v>0</v>
      </c>
      <c r="ES313" s="182">
        <f t="shared" si="782"/>
        <v>0</v>
      </c>
      <c r="ET313" s="182">
        <f t="shared" si="782"/>
        <v>0</v>
      </c>
      <c r="EU313" s="182">
        <f t="shared" si="782"/>
        <v>0</v>
      </c>
      <c r="EV313" s="182">
        <f t="shared" si="782"/>
        <v>0</v>
      </c>
      <c r="EW313" s="182">
        <f t="shared" si="782"/>
        <v>0</v>
      </c>
      <c r="EX313" s="182">
        <f t="shared" si="782"/>
        <v>0</v>
      </c>
      <c r="EY313" s="182">
        <f t="shared" si="782"/>
        <v>0</v>
      </c>
      <c r="EZ313" s="182">
        <f t="shared" si="782"/>
        <v>0</v>
      </c>
      <c r="FA313" s="182">
        <f t="shared" si="782"/>
        <v>0</v>
      </c>
      <c r="FB313" s="183">
        <f t="shared" si="782"/>
        <v>0</v>
      </c>
    </row>
    <row r="314" spans="2:158" ht="12.75" customHeight="1" x14ac:dyDescent="0.3">
      <c r="B314" s="199" t="s">
        <v>3957</v>
      </c>
      <c r="C314" s="193">
        <v>0</v>
      </c>
      <c r="D314" s="182">
        <f t="shared" si="729"/>
        <v>0</v>
      </c>
      <c r="E314" s="182">
        <f t="shared" si="735"/>
        <v>0</v>
      </c>
      <c r="F314" s="182">
        <f t="shared" si="741"/>
        <v>0</v>
      </c>
      <c r="G314" s="182">
        <f t="shared" si="747"/>
        <v>0</v>
      </c>
      <c r="H314" s="182">
        <f t="shared" si="753"/>
        <v>0</v>
      </c>
      <c r="I314" s="176">
        <f t="shared" si="759"/>
        <v>0</v>
      </c>
      <c r="J314" s="182">
        <f t="shared" si="765"/>
        <v>0</v>
      </c>
      <c r="K314" s="182">
        <f t="shared" si="771"/>
        <v>0</v>
      </c>
      <c r="L314" s="182">
        <f t="shared" si="777"/>
        <v>0</v>
      </c>
      <c r="M314" s="182">
        <f t="shared" ref="M314:M330" si="783">M147*M$168</f>
        <v>0</v>
      </c>
      <c r="N314" s="182">
        <f t="shared" si="619"/>
        <v>0</v>
      </c>
      <c r="O314" s="182">
        <f t="shared" si="624"/>
        <v>0</v>
      </c>
      <c r="P314" s="182">
        <f t="shared" si="629"/>
        <v>0</v>
      </c>
      <c r="Q314" s="182">
        <f t="shared" si="634"/>
        <v>0</v>
      </c>
      <c r="R314" s="182">
        <f t="shared" si="639"/>
        <v>0</v>
      </c>
      <c r="S314" s="182">
        <f t="shared" si="644"/>
        <v>0</v>
      </c>
      <c r="T314" s="182">
        <f t="shared" si="649"/>
        <v>0</v>
      </c>
      <c r="U314" s="182">
        <f t="shared" si="654"/>
        <v>0</v>
      </c>
      <c r="V314" s="182">
        <f t="shared" si="659"/>
        <v>0</v>
      </c>
      <c r="W314" s="182">
        <f t="shared" si="664"/>
        <v>0</v>
      </c>
      <c r="X314" s="182">
        <f t="shared" si="669"/>
        <v>0</v>
      </c>
      <c r="Y314" s="182">
        <f t="shared" si="674"/>
        <v>0</v>
      </c>
      <c r="Z314" s="182">
        <f t="shared" si="679"/>
        <v>0</v>
      </c>
      <c r="AA314" s="182">
        <f t="shared" si="684"/>
        <v>0</v>
      </c>
      <c r="AB314" s="182">
        <f t="shared" si="689"/>
        <v>0</v>
      </c>
      <c r="AC314" s="182">
        <f t="shared" si="694"/>
        <v>0</v>
      </c>
      <c r="AD314" s="182">
        <f t="shared" si="699"/>
        <v>0</v>
      </c>
      <c r="AE314" s="182">
        <f t="shared" si="704"/>
        <v>0</v>
      </c>
      <c r="AF314" s="182">
        <f t="shared" si="709"/>
        <v>0</v>
      </c>
      <c r="AG314" s="182">
        <f t="shared" si="714"/>
        <v>0</v>
      </c>
      <c r="AH314" s="182">
        <f t="shared" si="719"/>
        <v>0</v>
      </c>
      <c r="AI314" s="182">
        <f t="shared" si="724"/>
        <v>0</v>
      </c>
      <c r="AJ314" s="182">
        <f t="shared" si="730"/>
        <v>0</v>
      </c>
      <c r="AK314" s="182">
        <f t="shared" si="736"/>
        <v>0</v>
      </c>
      <c r="AL314" s="182">
        <f t="shared" si="742"/>
        <v>0</v>
      </c>
      <c r="AM314" s="182">
        <f t="shared" si="748"/>
        <v>0</v>
      </c>
      <c r="AN314" s="182">
        <f t="shared" si="754"/>
        <v>0</v>
      </c>
      <c r="AO314" s="182">
        <f t="shared" si="760"/>
        <v>0</v>
      </c>
      <c r="AP314" s="182">
        <f t="shared" si="766"/>
        <v>0</v>
      </c>
      <c r="AQ314" s="182">
        <f t="shared" si="772"/>
        <v>0</v>
      </c>
      <c r="AR314" s="182">
        <f t="shared" si="778"/>
        <v>0</v>
      </c>
      <c r="AS314" s="182">
        <f t="shared" ref="AS314:AS330" si="784">AS147*AS$168</f>
        <v>0</v>
      </c>
      <c r="AT314" s="182">
        <f t="shared" si="620"/>
        <v>0</v>
      </c>
      <c r="AU314" s="182">
        <f t="shared" si="625"/>
        <v>0</v>
      </c>
      <c r="AV314" s="182">
        <f t="shared" si="630"/>
        <v>0</v>
      </c>
      <c r="AW314" s="182">
        <f t="shared" si="635"/>
        <v>0</v>
      </c>
      <c r="AX314" s="182">
        <f t="shared" si="640"/>
        <v>0</v>
      </c>
      <c r="AY314" s="182">
        <f t="shared" si="645"/>
        <v>0</v>
      </c>
      <c r="AZ314" s="182">
        <f t="shared" si="650"/>
        <v>0</v>
      </c>
      <c r="BA314" s="182">
        <f t="shared" si="655"/>
        <v>0</v>
      </c>
      <c r="BB314" s="182">
        <f t="shared" si="660"/>
        <v>0</v>
      </c>
      <c r="BC314" s="182">
        <f t="shared" si="665"/>
        <v>0</v>
      </c>
      <c r="BD314" s="182">
        <f t="shared" si="670"/>
        <v>0</v>
      </c>
      <c r="BE314" s="182">
        <f t="shared" si="675"/>
        <v>0</v>
      </c>
      <c r="BF314" s="182">
        <f t="shared" si="680"/>
        <v>0</v>
      </c>
      <c r="BG314" s="182">
        <f t="shared" si="685"/>
        <v>0</v>
      </c>
      <c r="BH314" s="182">
        <f t="shared" si="690"/>
        <v>0</v>
      </c>
      <c r="BI314" s="182">
        <f t="shared" si="695"/>
        <v>0</v>
      </c>
      <c r="BJ314" s="182">
        <f t="shared" si="700"/>
        <v>0</v>
      </c>
      <c r="BK314" s="182">
        <f t="shared" si="705"/>
        <v>0</v>
      </c>
      <c r="BL314" s="182">
        <f t="shared" si="710"/>
        <v>0</v>
      </c>
      <c r="BM314" s="182">
        <f t="shared" si="715"/>
        <v>0</v>
      </c>
      <c r="BN314" s="182">
        <f t="shared" si="720"/>
        <v>0</v>
      </c>
      <c r="BO314" s="182">
        <f t="shared" si="725"/>
        <v>0</v>
      </c>
      <c r="BP314" s="182">
        <f t="shared" si="731"/>
        <v>0</v>
      </c>
      <c r="BQ314" s="182">
        <f t="shared" si="737"/>
        <v>0</v>
      </c>
      <c r="BR314" s="182">
        <f t="shared" si="743"/>
        <v>0</v>
      </c>
      <c r="BS314" s="182">
        <f t="shared" si="749"/>
        <v>0</v>
      </c>
      <c r="BT314" s="182">
        <f t="shared" si="755"/>
        <v>0</v>
      </c>
      <c r="BU314" s="182">
        <f t="shared" si="761"/>
        <v>0</v>
      </c>
      <c r="BV314" s="182">
        <f t="shared" si="767"/>
        <v>0</v>
      </c>
      <c r="BW314" s="182">
        <f t="shared" si="773"/>
        <v>0</v>
      </c>
      <c r="BX314" s="182">
        <f t="shared" si="779"/>
        <v>0</v>
      </c>
      <c r="BY314" s="182">
        <f t="shared" ref="BY314:BY330" si="785">BY147*BY$168</f>
        <v>0</v>
      </c>
      <c r="BZ314" s="182">
        <f t="shared" si="621"/>
        <v>0</v>
      </c>
      <c r="CA314" s="182">
        <f t="shared" si="626"/>
        <v>0</v>
      </c>
      <c r="CB314" s="182">
        <f t="shared" si="631"/>
        <v>0</v>
      </c>
      <c r="CC314" s="182">
        <f t="shared" si="636"/>
        <v>0</v>
      </c>
      <c r="CD314" s="182">
        <f t="shared" si="641"/>
        <v>0</v>
      </c>
      <c r="CE314" s="182">
        <f t="shared" si="646"/>
        <v>0</v>
      </c>
      <c r="CF314" s="182">
        <f t="shared" si="651"/>
        <v>0</v>
      </c>
      <c r="CG314" s="182">
        <f t="shared" si="656"/>
        <v>0</v>
      </c>
      <c r="CH314" s="182">
        <f t="shared" si="661"/>
        <v>0</v>
      </c>
      <c r="CI314" s="182">
        <f t="shared" si="666"/>
        <v>0</v>
      </c>
      <c r="CJ314" s="182">
        <f t="shared" si="671"/>
        <v>0</v>
      </c>
      <c r="CK314" s="182">
        <f t="shared" si="676"/>
        <v>0</v>
      </c>
      <c r="CL314" s="182">
        <f t="shared" si="681"/>
        <v>0</v>
      </c>
      <c r="CM314" s="182">
        <f t="shared" si="686"/>
        <v>0</v>
      </c>
      <c r="CN314" s="182">
        <f t="shared" si="691"/>
        <v>0</v>
      </c>
      <c r="CO314" s="182">
        <f t="shared" si="696"/>
        <v>0</v>
      </c>
      <c r="CP314" s="182">
        <f t="shared" si="701"/>
        <v>0</v>
      </c>
      <c r="CQ314" s="182">
        <f t="shared" si="706"/>
        <v>0</v>
      </c>
      <c r="CR314" s="182">
        <f t="shared" si="711"/>
        <v>0</v>
      </c>
      <c r="CS314" s="182">
        <f t="shared" si="716"/>
        <v>0</v>
      </c>
      <c r="CT314" s="182">
        <f t="shared" si="721"/>
        <v>0</v>
      </c>
      <c r="CU314" s="182">
        <f t="shared" si="726"/>
        <v>0</v>
      </c>
      <c r="CV314" s="182">
        <f t="shared" si="732"/>
        <v>0</v>
      </c>
      <c r="CW314" s="182">
        <f t="shared" si="738"/>
        <v>0</v>
      </c>
      <c r="CX314" s="182">
        <f t="shared" si="744"/>
        <v>0</v>
      </c>
      <c r="CY314" s="182">
        <f t="shared" si="750"/>
        <v>0</v>
      </c>
      <c r="CZ314" s="182">
        <f t="shared" si="756"/>
        <v>0</v>
      </c>
      <c r="DA314" s="182">
        <f t="shared" si="762"/>
        <v>0</v>
      </c>
      <c r="DB314" s="182">
        <f t="shared" si="768"/>
        <v>0</v>
      </c>
      <c r="DC314" s="182">
        <f t="shared" si="774"/>
        <v>0</v>
      </c>
      <c r="DD314" s="182">
        <f t="shared" si="780"/>
        <v>0</v>
      </c>
      <c r="DE314" s="182">
        <f t="shared" ref="DE314:DE330" si="786">DE147*DE$168</f>
        <v>0</v>
      </c>
      <c r="DF314" s="182">
        <f t="shared" si="622"/>
        <v>0</v>
      </c>
      <c r="DG314" s="182">
        <f t="shared" si="627"/>
        <v>0</v>
      </c>
      <c r="DH314" s="182">
        <f t="shared" si="632"/>
        <v>0</v>
      </c>
      <c r="DI314" s="182">
        <f t="shared" si="637"/>
        <v>0</v>
      </c>
      <c r="DJ314" s="182">
        <f t="shared" si="642"/>
        <v>0</v>
      </c>
      <c r="DK314" s="182">
        <f t="shared" si="647"/>
        <v>0</v>
      </c>
      <c r="DL314" s="182">
        <f t="shared" si="652"/>
        <v>0</v>
      </c>
      <c r="DM314" s="182">
        <f t="shared" si="657"/>
        <v>0</v>
      </c>
      <c r="DN314" s="182">
        <f t="shared" si="662"/>
        <v>0</v>
      </c>
      <c r="DO314" s="182">
        <f t="shared" si="667"/>
        <v>0</v>
      </c>
      <c r="DP314" s="182">
        <f t="shared" si="672"/>
        <v>0</v>
      </c>
      <c r="DQ314" s="182">
        <f t="shared" si="677"/>
        <v>0</v>
      </c>
      <c r="DR314" s="182">
        <f t="shared" si="682"/>
        <v>0</v>
      </c>
      <c r="DS314" s="182">
        <f t="shared" si="687"/>
        <v>0</v>
      </c>
      <c r="DT314" s="182">
        <f t="shared" si="692"/>
        <v>0</v>
      </c>
      <c r="DU314" s="182">
        <f t="shared" si="697"/>
        <v>0</v>
      </c>
      <c r="DV314" s="182">
        <f t="shared" si="702"/>
        <v>0</v>
      </c>
      <c r="DW314" s="182">
        <f t="shared" si="707"/>
        <v>0</v>
      </c>
      <c r="DX314" s="182">
        <f t="shared" si="712"/>
        <v>0</v>
      </c>
      <c r="DY314" s="182">
        <f t="shared" si="717"/>
        <v>0</v>
      </c>
      <c r="DZ314" s="182">
        <f t="shared" si="722"/>
        <v>0</v>
      </c>
      <c r="EA314" s="182">
        <f t="shared" si="727"/>
        <v>0</v>
      </c>
      <c r="EB314" s="182">
        <f t="shared" si="733"/>
        <v>0</v>
      </c>
      <c r="EC314" s="182">
        <f t="shared" si="739"/>
        <v>0</v>
      </c>
      <c r="ED314" s="182">
        <f t="shared" si="745"/>
        <v>0</v>
      </c>
      <c r="EE314" s="182">
        <f t="shared" si="751"/>
        <v>0</v>
      </c>
      <c r="EF314" s="182">
        <f t="shared" si="757"/>
        <v>0</v>
      </c>
      <c r="EG314" s="182">
        <f t="shared" si="763"/>
        <v>0</v>
      </c>
      <c r="EH314" s="182">
        <f t="shared" si="769"/>
        <v>0</v>
      </c>
      <c r="EI314" s="182">
        <f t="shared" si="775"/>
        <v>2.0045483767558581E-6</v>
      </c>
      <c r="EJ314" s="182">
        <f t="shared" si="781"/>
        <v>0</v>
      </c>
      <c r="EK314" s="182">
        <f t="shared" ref="EK314:EK330" si="787">EK147*EK$168</f>
        <v>0</v>
      </c>
      <c r="EL314" s="181">
        <f>$C314+SUM($D314:EK314,EM314:$FB314)-SUM(EL$176:EL313,EL315:EL$330)-EL$331</f>
        <v>0</v>
      </c>
      <c r="EM314" s="182">
        <f t="shared" ref="EM314:FB314" si="788">EM147*EM$168</f>
        <v>0</v>
      </c>
      <c r="EN314" s="182">
        <f t="shared" si="788"/>
        <v>0</v>
      </c>
      <c r="EO314" s="182">
        <f t="shared" si="788"/>
        <v>0</v>
      </c>
      <c r="EP314" s="182">
        <f t="shared" si="788"/>
        <v>0</v>
      </c>
      <c r="EQ314" s="182">
        <f t="shared" si="788"/>
        <v>0</v>
      </c>
      <c r="ER314" s="182">
        <f t="shared" si="788"/>
        <v>0</v>
      </c>
      <c r="ES314" s="182">
        <f t="shared" si="788"/>
        <v>0</v>
      </c>
      <c r="ET314" s="182">
        <f t="shared" si="788"/>
        <v>0</v>
      </c>
      <c r="EU314" s="182">
        <f t="shared" si="788"/>
        <v>0</v>
      </c>
      <c r="EV314" s="182">
        <f t="shared" si="788"/>
        <v>0</v>
      </c>
      <c r="EW314" s="182">
        <f t="shared" si="788"/>
        <v>0</v>
      </c>
      <c r="EX314" s="182">
        <f t="shared" si="788"/>
        <v>0</v>
      </c>
      <c r="EY314" s="182">
        <f t="shared" si="788"/>
        <v>0</v>
      </c>
      <c r="EZ314" s="182">
        <f t="shared" si="788"/>
        <v>0</v>
      </c>
      <c r="FA314" s="182">
        <f t="shared" si="788"/>
        <v>0</v>
      </c>
      <c r="FB314" s="183">
        <f t="shared" si="788"/>
        <v>0</v>
      </c>
    </row>
    <row r="315" spans="2:158" ht="12.75" customHeight="1" x14ac:dyDescent="0.3">
      <c r="B315" s="199" t="s">
        <v>3958</v>
      </c>
      <c r="C315" s="193">
        <v>0</v>
      </c>
      <c r="D315" s="182">
        <f t="shared" si="729"/>
        <v>0</v>
      </c>
      <c r="E315" s="182">
        <f t="shared" si="735"/>
        <v>0</v>
      </c>
      <c r="F315" s="182">
        <f t="shared" si="741"/>
        <v>0</v>
      </c>
      <c r="G315" s="182">
        <f t="shared" si="747"/>
        <v>0</v>
      </c>
      <c r="H315" s="182">
        <f t="shared" si="753"/>
        <v>0</v>
      </c>
      <c r="I315" s="176">
        <f t="shared" si="759"/>
        <v>0</v>
      </c>
      <c r="J315" s="182">
        <f t="shared" si="765"/>
        <v>0</v>
      </c>
      <c r="K315" s="182">
        <f t="shared" si="771"/>
        <v>0</v>
      </c>
      <c r="L315" s="182">
        <f t="shared" si="777"/>
        <v>0</v>
      </c>
      <c r="M315" s="182">
        <f t="shared" si="783"/>
        <v>0</v>
      </c>
      <c r="N315" s="182">
        <f t="shared" ref="N315:N330" si="789">N148*N$168</f>
        <v>0</v>
      </c>
      <c r="O315" s="182">
        <f t="shared" si="624"/>
        <v>0</v>
      </c>
      <c r="P315" s="182">
        <f t="shared" si="629"/>
        <v>0</v>
      </c>
      <c r="Q315" s="182">
        <f t="shared" si="634"/>
        <v>0</v>
      </c>
      <c r="R315" s="182">
        <f t="shared" si="639"/>
        <v>0</v>
      </c>
      <c r="S315" s="182">
        <f t="shared" si="644"/>
        <v>0</v>
      </c>
      <c r="T315" s="182">
        <f t="shared" si="649"/>
        <v>0</v>
      </c>
      <c r="U315" s="182">
        <f t="shared" si="654"/>
        <v>0</v>
      </c>
      <c r="V315" s="182">
        <f t="shared" si="659"/>
        <v>0</v>
      </c>
      <c r="W315" s="182">
        <f t="shared" si="664"/>
        <v>0</v>
      </c>
      <c r="X315" s="182">
        <f t="shared" si="669"/>
        <v>0</v>
      </c>
      <c r="Y315" s="182">
        <f t="shared" si="674"/>
        <v>0</v>
      </c>
      <c r="Z315" s="182">
        <f t="shared" si="679"/>
        <v>0</v>
      </c>
      <c r="AA315" s="182">
        <f t="shared" si="684"/>
        <v>0</v>
      </c>
      <c r="AB315" s="182">
        <f t="shared" si="689"/>
        <v>0</v>
      </c>
      <c r="AC315" s="182">
        <f t="shared" si="694"/>
        <v>0</v>
      </c>
      <c r="AD315" s="182">
        <f t="shared" si="699"/>
        <v>0</v>
      </c>
      <c r="AE315" s="182">
        <f t="shared" si="704"/>
        <v>0</v>
      </c>
      <c r="AF315" s="182">
        <f t="shared" si="709"/>
        <v>0</v>
      </c>
      <c r="AG315" s="182">
        <f t="shared" si="714"/>
        <v>0</v>
      </c>
      <c r="AH315" s="182">
        <f t="shared" si="719"/>
        <v>0</v>
      </c>
      <c r="AI315" s="182">
        <f t="shared" si="724"/>
        <v>0</v>
      </c>
      <c r="AJ315" s="182">
        <f t="shared" si="730"/>
        <v>0</v>
      </c>
      <c r="AK315" s="182">
        <f t="shared" si="736"/>
        <v>0</v>
      </c>
      <c r="AL315" s="182">
        <f t="shared" si="742"/>
        <v>0</v>
      </c>
      <c r="AM315" s="182">
        <f t="shared" si="748"/>
        <v>0</v>
      </c>
      <c r="AN315" s="182">
        <f t="shared" si="754"/>
        <v>0</v>
      </c>
      <c r="AO315" s="182">
        <f t="shared" si="760"/>
        <v>0</v>
      </c>
      <c r="AP315" s="182">
        <f t="shared" si="766"/>
        <v>0</v>
      </c>
      <c r="AQ315" s="182">
        <f t="shared" si="772"/>
        <v>0</v>
      </c>
      <c r="AR315" s="182">
        <f t="shared" si="778"/>
        <v>0</v>
      </c>
      <c r="AS315" s="182">
        <f t="shared" si="784"/>
        <v>0</v>
      </c>
      <c r="AT315" s="182">
        <f t="shared" ref="AT315:AT330" si="790">AT148*AT$168</f>
        <v>0</v>
      </c>
      <c r="AU315" s="182">
        <f t="shared" si="625"/>
        <v>0</v>
      </c>
      <c r="AV315" s="182">
        <f t="shared" si="630"/>
        <v>0</v>
      </c>
      <c r="AW315" s="182">
        <f t="shared" si="635"/>
        <v>0</v>
      </c>
      <c r="AX315" s="182">
        <f t="shared" si="640"/>
        <v>0</v>
      </c>
      <c r="AY315" s="182">
        <f t="shared" si="645"/>
        <v>0</v>
      </c>
      <c r="AZ315" s="182">
        <f t="shared" si="650"/>
        <v>0</v>
      </c>
      <c r="BA315" s="182">
        <f t="shared" si="655"/>
        <v>0</v>
      </c>
      <c r="BB315" s="182">
        <f t="shared" si="660"/>
        <v>0</v>
      </c>
      <c r="BC315" s="182">
        <f t="shared" si="665"/>
        <v>0</v>
      </c>
      <c r="BD315" s="182">
        <f t="shared" si="670"/>
        <v>0</v>
      </c>
      <c r="BE315" s="182">
        <f t="shared" si="675"/>
        <v>0</v>
      </c>
      <c r="BF315" s="182">
        <f t="shared" si="680"/>
        <v>0</v>
      </c>
      <c r="BG315" s="182">
        <f t="shared" si="685"/>
        <v>0</v>
      </c>
      <c r="BH315" s="182">
        <f t="shared" si="690"/>
        <v>0</v>
      </c>
      <c r="BI315" s="182">
        <f t="shared" si="695"/>
        <v>0</v>
      </c>
      <c r="BJ315" s="182">
        <f t="shared" si="700"/>
        <v>0</v>
      </c>
      <c r="BK315" s="182">
        <f t="shared" si="705"/>
        <v>0</v>
      </c>
      <c r="BL315" s="182">
        <f t="shared" si="710"/>
        <v>0</v>
      </c>
      <c r="BM315" s="182">
        <f t="shared" si="715"/>
        <v>0</v>
      </c>
      <c r="BN315" s="182">
        <f t="shared" si="720"/>
        <v>0</v>
      </c>
      <c r="BO315" s="182">
        <f t="shared" si="725"/>
        <v>0</v>
      </c>
      <c r="BP315" s="182">
        <f t="shared" si="731"/>
        <v>0</v>
      </c>
      <c r="BQ315" s="182">
        <f t="shared" si="737"/>
        <v>0</v>
      </c>
      <c r="BR315" s="182">
        <f t="shared" si="743"/>
        <v>0</v>
      </c>
      <c r="BS315" s="182">
        <f t="shared" si="749"/>
        <v>0</v>
      </c>
      <c r="BT315" s="182">
        <f t="shared" si="755"/>
        <v>0</v>
      </c>
      <c r="BU315" s="182">
        <f t="shared" si="761"/>
        <v>0</v>
      </c>
      <c r="BV315" s="182">
        <f t="shared" si="767"/>
        <v>0</v>
      </c>
      <c r="BW315" s="182">
        <f t="shared" si="773"/>
        <v>0</v>
      </c>
      <c r="BX315" s="182">
        <f t="shared" si="779"/>
        <v>0</v>
      </c>
      <c r="BY315" s="182">
        <f t="shared" si="785"/>
        <v>0</v>
      </c>
      <c r="BZ315" s="182">
        <f t="shared" ref="BZ315:BZ330" si="791">BZ148*BZ$168</f>
        <v>0</v>
      </c>
      <c r="CA315" s="182">
        <f t="shared" si="626"/>
        <v>0</v>
      </c>
      <c r="CB315" s="182">
        <f t="shared" si="631"/>
        <v>0</v>
      </c>
      <c r="CC315" s="182">
        <f t="shared" si="636"/>
        <v>0</v>
      </c>
      <c r="CD315" s="182">
        <f t="shared" si="641"/>
        <v>0</v>
      </c>
      <c r="CE315" s="182">
        <f t="shared" si="646"/>
        <v>0</v>
      </c>
      <c r="CF315" s="182">
        <f t="shared" si="651"/>
        <v>0</v>
      </c>
      <c r="CG315" s="182">
        <f t="shared" si="656"/>
        <v>0</v>
      </c>
      <c r="CH315" s="182">
        <f t="shared" si="661"/>
        <v>0</v>
      </c>
      <c r="CI315" s="182">
        <f t="shared" si="666"/>
        <v>0</v>
      </c>
      <c r="CJ315" s="182">
        <f t="shared" si="671"/>
        <v>0</v>
      </c>
      <c r="CK315" s="182">
        <f t="shared" si="676"/>
        <v>0</v>
      </c>
      <c r="CL315" s="182">
        <f t="shared" si="681"/>
        <v>0</v>
      </c>
      <c r="CM315" s="182">
        <f t="shared" si="686"/>
        <v>0</v>
      </c>
      <c r="CN315" s="182">
        <f t="shared" si="691"/>
        <v>0</v>
      </c>
      <c r="CO315" s="182">
        <f t="shared" si="696"/>
        <v>0</v>
      </c>
      <c r="CP315" s="182">
        <f t="shared" si="701"/>
        <v>0</v>
      </c>
      <c r="CQ315" s="182">
        <f t="shared" si="706"/>
        <v>0</v>
      </c>
      <c r="CR315" s="182">
        <f t="shared" si="711"/>
        <v>0</v>
      </c>
      <c r="CS315" s="182">
        <f t="shared" si="716"/>
        <v>0</v>
      </c>
      <c r="CT315" s="182">
        <f t="shared" si="721"/>
        <v>0</v>
      </c>
      <c r="CU315" s="182">
        <f t="shared" si="726"/>
        <v>0</v>
      </c>
      <c r="CV315" s="182">
        <f t="shared" si="732"/>
        <v>0</v>
      </c>
      <c r="CW315" s="182">
        <f t="shared" si="738"/>
        <v>0</v>
      </c>
      <c r="CX315" s="182">
        <f t="shared" si="744"/>
        <v>0</v>
      </c>
      <c r="CY315" s="182">
        <f t="shared" si="750"/>
        <v>0</v>
      </c>
      <c r="CZ315" s="182">
        <f t="shared" si="756"/>
        <v>0</v>
      </c>
      <c r="DA315" s="182">
        <f t="shared" si="762"/>
        <v>0</v>
      </c>
      <c r="DB315" s="182">
        <f t="shared" si="768"/>
        <v>0</v>
      </c>
      <c r="DC315" s="182">
        <f t="shared" si="774"/>
        <v>0</v>
      </c>
      <c r="DD315" s="182">
        <f t="shared" si="780"/>
        <v>0</v>
      </c>
      <c r="DE315" s="182">
        <f t="shared" si="786"/>
        <v>0</v>
      </c>
      <c r="DF315" s="182">
        <f t="shared" si="622"/>
        <v>0</v>
      </c>
      <c r="DG315" s="182">
        <f t="shared" si="627"/>
        <v>0</v>
      </c>
      <c r="DH315" s="182">
        <f t="shared" si="632"/>
        <v>0</v>
      </c>
      <c r="DI315" s="182">
        <f t="shared" si="637"/>
        <v>0</v>
      </c>
      <c r="DJ315" s="182">
        <f t="shared" si="642"/>
        <v>0</v>
      </c>
      <c r="DK315" s="182">
        <f t="shared" si="647"/>
        <v>0</v>
      </c>
      <c r="DL315" s="182">
        <f t="shared" si="652"/>
        <v>0</v>
      </c>
      <c r="DM315" s="182">
        <f t="shared" si="657"/>
        <v>0</v>
      </c>
      <c r="DN315" s="182">
        <f t="shared" si="662"/>
        <v>0</v>
      </c>
      <c r="DO315" s="182">
        <f t="shared" si="667"/>
        <v>0</v>
      </c>
      <c r="DP315" s="182">
        <f t="shared" si="672"/>
        <v>0</v>
      </c>
      <c r="DQ315" s="182">
        <f t="shared" si="677"/>
        <v>0</v>
      </c>
      <c r="DR315" s="182">
        <f t="shared" si="682"/>
        <v>0</v>
      </c>
      <c r="DS315" s="182">
        <f t="shared" si="687"/>
        <v>0</v>
      </c>
      <c r="DT315" s="182">
        <f t="shared" si="692"/>
        <v>0</v>
      </c>
      <c r="DU315" s="182">
        <f t="shared" si="697"/>
        <v>0</v>
      </c>
      <c r="DV315" s="182">
        <f t="shared" si="702"/>
        <v>0</v>
      </c>
      <c r="DW315" s="182">
        <f t="shared" si="707"/>
        <v>0</v>
      </c>
      <c r="DX315" s="182">
        <f t="shared" si="712"/>
        <v>0</v>
      </c>
      <c r="DY315" s="182">
        <f t="shared" si="717"/>
        <v>0</v>
      </c>
      <c r="DZ315" s="182">
        <f t="shared" si="722"/>
        <v>0</v>
      </c>
      <c r="EA315" s="182">
        <f t="shared" si="727"/>
        <v>0</v>
      </c>
      <c r="EB315" s="182">
        <f t="shared" si="733"/>
        <v>0</v>
      </c>
      <c r="EC315" s="182">
        <f t="shared" si="739"/>
        <v>0</v>
      </c>
      <c r="ED315" s="182">
        <f t="shared" si="745"/>
        <v>0</v>
      </c>
      <c r="EE315" s="182">
        <f t="shared" si="751"/>
        <v>0</v>
      </c>
      <c r="EF315" s="182">
        <f t="shared" si="757"/>
        <v>0</v>
      </c>
      <c r="EG315" s="182">
        <f t="shared" si="763"/>
        <v>0</v>
      </c>
      <c r="EH315" s="182">
        <f t="shared" si="769"/>
        <v>0</v>
      </c>
      <c r="EI315" s="182">
        <f t="shared" si="775"/>
        <v>0</v>
      </c>
      <c r="EJ315" s="182">
        <f t="shared" si="781"/>
        <v>0</v>
      </c>
      <c r="EK315" s="182">
        <f t="shared" si="787"/>
        <v>0</v>
      </c>
      <c r="EL315" s="182">
        <f t="shared" ref="EL315:EL330" si="792">EL148*EL$168</f>
        <v>0</v>
      </c>
      <c r="EM315" s="181">
        <f>$C315+SUM($D315:EL315,EN315:$FB315)-SUM(EM$176:EM314,EM316:EM$330)-EM$331</f>
        <v>0</v>
      </c>
      <c r="EN315" s="182">
        <f t="shared" ref="EN315:FB315" si="793">EN148*EN$168</f>
        <v>0</v>
      </c>
      <c r="EO315" s="182">
        <f t="shared" si="793"/>
        <v>0</v>
      </c>
      <c r="EP315" s="182">
        <f t="shared" si="793"/>
        <v>0</v>
      </c>
      <c r="EQ315" s="182">
        <f t="shared" si="793"/>
        <v>0</v>
      </c>
      <c r="ER315" s="182">
        <f t="shared" si="793"/>
        <v>0</v>
      </c>
      <c r="ES315" s="182">
        <f t="shared" si="793"/>
        <v>0</v>
      </c>
      <c r="ET315" s="182">
        <f t="shared" si="793"/>
        <v>0</v>
      </c>
      <c r="EU315" s="182">
        <f t="shared" si="793"/>
        <v>0</v>
      </c>
      <c r="EV315" s="182">
        <f t="shared" si="793"/>
        <v>0</v>
      </c>
      <c r="EW315" s="182">
        <f t="shared" si="793"/>
        <v>0</v>
      </c>
      <c r="EX315" s="182">
        <f t="shared" si="793"/>
        <v>0</v>
      </c>
      <c r="EY315" s="182">
        <f t="shared" si="793"/>
        <v>0</v>
      </c>
      <c r="EZ315" s="182">
        <f t="shared" si="793"/>
        <v>0</v>
      </c>
      <c r="FA315" s="182">
        <f t="shared" si="793"/>
        <v>0</v>
      </c>
      <c r="FB315" s="183">
        <f t="shared" si="793"/>
        <v>0</v>
      </c>
    </row>
    <row r="316" spans="2:158" ht="12.75" customHeight="1" x14ac:dyDescent="0.3">
      <c r="B316" s="199" t="s">
        <v>3959</v>
      </c>
      <c r="C316" s="193">
        <v>0</v>
      </c>
      <c r="D316" s="182">
        <f t="shared" si="729"/>
        <v>0</v>
      </c>
      <c r="E316" s="182">
        <f t="shared" si="735"/>
        <v>0</v>
      </c>
      <c r="F316" s="182">
        <f t="shared" si="741"/>
        <v>0</v>
      </c>
      <c r="G316" s="182">
        <f t="shared" si="747"/>
        <v>0</v>
      </c>
      <c r="H316" s="182">
        <f t="shared" si="753"/>
        <v>0</v>
      </c>
      <c r="I316" s="176">
        <f t="shared" si="759"/>
        <v>0</v>
      </c>
      <c r="J316" s="182">
        <f t="shared" si="765"/>
        <v>0</v>
      </c>
      <c r="K316" s="182">
        <f t="shared" si="771"/>
        <v>0</v>
      </c>
      <c r="L316" s="182">
        <f t="shared" si="777"/>
        <v>0</v>
      </c>
      <c r="M316" s="182">
        <f t="shared" si="783"/>
        <v>0</v>
      </c>
      <c r="N316" s="182">
        <f t="shared" si="789"/>
        <v>0</v>
      </c>
      <c r="O316" s="182">
        <f t="shared" ref="O316:O330" si="794">O149*O$168</f>
        <v>0</v>
      </c>
      <c r="P316" s="182">
        <f t="shared" si="629"/>
        <v>0</v>
      </c>
      <c r="Q316" s="182">
        <f t="shared" si="634"/>
        <v>0</v>
      </c>
      <c r="R316" s="182">
        <f t="shared" si="639"/>
        <v>0</v>
      </c>
      <c r="S316" s="182">
        <f t="shared" si="644"/>
        <v>0</v>
      </c>
      <c r="T316" s="182">
        <f t="shared" si="649"/>
        <v>0</v>
      </c>
      <c r="U316" s="182">
        <f t="shared" si="654"/>
        <v>0</v>
      </c>
      <c r="V316" s="182">
        <f t="shared" si="659"/>
        <v>0</v>
      </c>
      <c r="W316" s="182">
        <f t="shared" si="664"/>
        <v>0</v>
      </c>
      <c r="X316" s="182">
        <f t="shared" si="669"/>
        <v>0</v>
      </c>
      <c r="Y316" s="182">
        <f t="shared" si="674"/>
        <v>0</v>
      </c>
      <c r="Z316" s="182">
        <f t="shared" si="679"/>
        <v>0</v>
      </c>
      <c r="AA316" s="182">
        <f t="shared" si="684"/>
        <v>0</v>
      </c>
      <c r="AB316" s="182">
        <f t="shared" si="689"/>
        <v>0</v>
      </c>
      <c r="AC316" s="182">
        <f t="shared" si="694"/>
        <v>0</v>
      </c>
      <c r="AD316" s="182">
        <f t="shared" si="699"/>
        <v>0</v>
      </c>
      <c r="AE316" s="182">
        <f t="shared" si="704"/>
        <v>0</v>
      </c>
      <c r="AF316" s="182">
        <f t="shared" si="709"/>
        <v>0</v>
      </c>
      <c r="AG316" s="182">
        <f t="shared" si="714"/>
        <v>0</v>
      </c>
      <c r="AH316" s="182">
        <f t="shared" si="719"/>
        <v>0</v>
      </c>
      <c r="AI316" s="182">
        <f t="shared" si="724"/>
        <v>0</v>
      </c>
      <c r="AJ316" s="182">
        <f t="shared" si="730"/>
        <v>0</v>
      </c>
      <c r="AK316" s="182">
        <f t="shared" si="736"/>
        <v>0</v>
      </c>
      <c r="AL316" s="182">
        <f t="shared" si="742"/>
        <v>0</v>
      </c>
      <c r="AM316" s="182">
        <f t="shared" si="748"/>
        <v>0</v>
      </c>
      <c r="AN316" s="182">
        <f t="shared" si="754"/>
        <v>0</v>
      </c>
      <c r="AO316" s="182">
        <f t="shared" si="760"/>
        <v>0</v>
      </c>
      <c r="AP316" s="182">
        <f t="shared" si="766"/>
        <v>0</v>
      </c>
      <c r="AQ316" s="182">
        <f t="shared" si="772"/>
        <v>0</v>
      </c>
      <c r="AR316" s="182">
        <f t="shared" si="778"/>
        <v>0</v>
      </c>
      <c r="AS316" s="182">
        <f t="shared" si="784"/>
        <v>0</v>
      </c>
      <c r="AT316" s="182">
        <f t="shared" si="790"/>
        <v>0</v>
      </c>
      <c r="AU316" s="182">
        <f t="shared" ref="AU316:AU330" si="795">AU149*AU$168</f>
        <v>0</v>
      </c>
      <c r="AV316" s="182">
        <f t="shared" si="630"/>
        <v>0</v>
      </c>
      <c r="AW316" s="182">
        <f t="shared" si="635"/>
        <v>0</v>
      </c>
      <c r="AX316" s="182">
        <f t="shared" si="640"/>
        <v>0</v>
      </c>
      <c r="AY316" s="182">
        <f t="shared" si="645"/>
        <v>0</v>
      </c>
      <c r="AZ316" s="182">
        <f t="shared" si="650"/>
        <v>0</v>
      </c>
      <c r="BA316" s="182">
        <f t="shared" si="655"/>
        <v>0</v>
      </c>
      <c r="BB316" s="182">
        <f t="shared" si="660"/>
        <v>0</v>
      </c>
      <c r="BC316" s="182">
        <f t="shared" si="665"/>
        <v>0</v>
      </c>
      <c r="BD316" s="182">
        <f t="shared" si="670"/>
        <v>0</v>
      </c>
      <c r="BE316" s="182">
        <f t="shared" si="675"/>
        <v>0</v>
      </c>
      <c r="BF316" s="182">
        <f t="shared" si="680"/>
        <v>0</v>
      </c>
      <c r="BG316" s="182">
        <f t="shared" si="685"/>
        <v>0</v>
      </c>
      <c r="BH316" s="182">
        <f t="shared" si="690"/>
        <v>0</v>
      </c>
      <c r="BI316" s="182">
        <f t="shared" si="695"/>
        <v>0</v>
      </c>
      <c r="BJ316" s="182">
        <f t="shared" si="700"/>
        <v>0</v>
      </c>
      <c r="BK316" s="182">
        <f t="shared" si="705"/>
        <v>0</v>
      </c>
      <c r="BL316" s="182">
        <f t="shared" si="710"/>
        <v>0</v>
      </c>
      <c r="BM316" s="182">
        <f t="shared" si="715"/>
        <v>0</v>
      </c>
      <c r="BN316" s="182">
        <f t="shared" si="720"/>
        <v>0</v>
      </c>
      <c r="BO316" s="182">
        <f t="shared" si="725"/>
        <v>0</v>
      </c>
      <c r="BP316" s="182">
        <f t="shared" si="731"/>
        <v>0</v>
      </c>
      <c r="BQ316" s="182">
        <f t="shared" si="737"/>
        <v>0</v>
      </c>
      <c r="BR316" s="182">
        <f t="shared" si="743"/>
        <v>0</v>
      </c>
      <c r="BS316" s="182">
        <f t="shared" si="749"/>
        <v>0</v>
      </c>
      <c r="BT316" s="182">
        <f t="shared" si="755"/>
        <v>0</v>
      </c>
      <c r="BU316" s="182">
        <f t="shared" si="761"/>
        <v>0</v>
      </c>
      <c r="BV316" s="182">
        <f t="shared" si="767"/>
        <v>0</v>
      </c>
      <c r="BW316" s="182">
        <f t="shared" si="773"/>
        <v>0</v>
      </c>
      <c r="BX316" s="182">
        <f t="shared" si="779"/>
        <v>0</v>
      </c>
      <c r="BY316" s="182">
        <f t="shared" si="785"/>
        <v>0</v>
      </c>
      <c r="BZ316" s="182">
        <f t="shared" si="791"/>
        <v>0</v>
      </c>
      <c r="CA316" s="182">
        <f t="shared" ref="CA316:CA330" si="796">CA149*CA$168</f>
        <v>0</v>
      </c>
      <c r="CB316" s="182">
        <f t="shared" si="631"/>
        <v>0</v>
      </c>
      <c r="CC316" s="182">
        <f t="shared" si="636"/>
        <v>0</v>
      </c>
      <c r="CD316" s="182">
        <f t="shared" si="641"/>
        <v>0</v>
      </c>
      <c r="CE316" s="182">
        <f t="shared" si="646"/>
        <v>0</v>
      </c>
      <c r="CF316" s="182">
        <f t="shared" si="651"/>
        <v>0</v>
      </c>
      <c r="CG316" s="182">
        <f t="shared" si="656"/>
        <v>0</v>
      </c>
      <c r="CH316" s="182">
        <f t="shared" si="661"/>
        <v>0</v>
      </c>
      <c r="CI316" s="182">
        <f t="shared" si="666"/>
        <v>0</v>
      </c>
      <c r="CJ316" s="182">
        <f t="shared" si="671"/>
        <v>0</v>
      </c>
      <c r="CK316" s="182">
        <f t="shared" si="676"/>
        <v>0</v>
      </c>
      <c r="CL316" s="182">
        <f t="shared" si="681"/>
        <v>0</v>
      </c>
      <c r="CM316" s="182">
        <f t="shared" si="686"/>
        <v>0</v>
      </c>
      <c r="CN316" s="182">
        <f t="shared" si="691"/>
        <v>0</v>
      </c>
      <c r="CO316" s="182">
        <f t="shared" si="696"/>
        <v>0</v>
      </c>
      <c r="CP316" s="182">
        <f t="shared" si="701"/>
        <v>0</v>
      </c>
      <c r="CQ316" s="182">
        <f t="shared" si="706"/>
        <v>0</v>
      </c>
      <c r="CR316" s="182">
        <f t="shared" si="711"/>
        <v>0</v>
      </c>
      <c r="CS316" s="182">
        <f t="shared" si="716"/>
        <v>0</v>
      </c>
      <c r="CT316" s="182">
        <f t="shared" si="721"/>
        <v>0</v>
      </c>
      <c r="CU316" s="182">
        <f t="shared" si="726"/>
        <v>0</v>
      </c>
      <c r="CV316" s="182">
        <f t="shared" si="732"/>
        <v>0</v>
      </c>
      <c r="CW316" s="182">
        <f t="shared" si="738"/>
        <v>0</v>
      </c>
      <c r="CX316" s="182">
        <f t="shared" si="744"/>
        <v>0</v>
      </c>
      <c r="CY316" s="182">
        <f t="shared" si="750"/>
        <v>0</v>
      </c>
      <c r="CZ316" s="182">
        <f t="shared" si="756"/>
        <v>0</v>
      </c>
      <c r="DA316" s="182">
        <f t="shared" si="762"/>
        <v>0</v>
      </c>
      <c r="DB316" s="182">
        <f t="shared" si="768"/>
        <v>0</v>
      </c>
      <c r="DC316" s="182">
        <f t="shared" si="774"/>
        <v>0</v>
      </c>
      <c r="DD316" s="182">
        <f t="shared" si="780"/>
        <v>0</v>
      </c>
      <c r="DE316" s="182">
        <f t="shared" si="786"/>
        <v>0</v>
      </c>
      <c r="DF316" s="182">
        <f t="shared" si="622"/>
        <v>0</v>
      </c>
      <c r="DG316" s="182">
        <f t="shared" si="627"/>
        <v>0</v>
      </c>
      <c r="DH316" s="182">
        <f t="shared" si="632"/>
        <v>0</v>
      </c>
      <c r="DI316" s="182">
        <f t="shared" si="637"/>
        <v>0</v>
      </c>
      <c r="DJ316" s="182">
        <f t="shared" si="642"/>
        <v>0</v>
      </c>
      <c r="DK316" s="182">
        <f t="shared" si="647"/>
        <v>0</v>
      </c>
      <c r="DL316" s="182">
        <f t="shared" si="652"/>
        <v>0</v>
      </c>
      <c r="DM316" s="182">
        <f t="shared" si="657"/>
        <v>0</v>
      </c>
      <c r="DN316" s="182">
        <f t="shared" si="662"/>
        <v>0</v>
      </c>
      <c r="DO316" s="182">
        <f t="shared" si="667"/>
        <v>0</v>
      </c>
      <c r="DP316" s="182">
        <f t="shared" si="672"/>
        <v>0</v>
      </c>
      <c r="DQ316" s="182">
        <f t="shared" si="677"/>
        <v>0</v>
      </c>
      <c r="DR316" s="182">
        <f t="shared" si="682"/>
        <v>0</v>
      </c>
      <c r="DS316" s="182">
        <f t="shared" si="687"/>
        <v>0</v>
      </c>
      <c r="DT316" s="182">
        <f t="shared" si="692"/>
        <v>0</v>
      </c>
      <c r="DU316" s="182">
        <f t="shared" si="697"/>
        <v>0</v>
      </c>
      <c r="DV316" s="182">
        <f t="shared" si="702"/>
        <v>0</v>
      </c>
      <c r="DW316" s="182">
        <f t="shared" si="707"/>
        <v>0</v>
      </c>
      <c r="DX316" s="182">
        <f t="shared" si="712"/>
        <v>0</v>
      </c>
      <c r="DY316" s="182">
        <f t="shared" si="717"/>
        <v>0</v>
      </c>
      <c r="DZ316" s="182">
        <f t="shared" si="722"/>
        <v>0</v>
      </c>
      <c r="EA316" s="182">
        <f t="shared" si="727"/>
        <v>0</v>
      </c>
      <c r="EB316" s="182">
        <f t="shared" si="733"/>
        <v>0</v>
      </c>
      <c r="EC316" s="182">
        <f t="shared" si="739"/>
        <v>0</v>
      </c>
      <c r="ED316" s="182">
        <f t="shared" si="745"/>
        <v>0</v>
      </c>
      <c r="EE316" s="182">
        <f t="shared" si="751"/>
        <v>0</v>
      </c>
      <c r="EF316" s="182">
        <f t="shared" si="757"/>
        <v>0</v>
      </c>
      <c r="EG316" s="182">
        <f t="shared" si="763"/>
        <v>6.9583630371752289E-5</v>
      </c>
      <c r="EH316" s="182">
        <f t="shared" si="769"/>
        <v>0</v>
      </c>
      <c r="EI316" s="182">
        <f t="shared" si="775"/>
        <v>0</v>
      </c>
      <c r="EJ316" s="182">
        <f t="shared" si="781"/>
        <v>3.6032346923502495E-5</v>
      </c>
      <c r="EK316" s="182">
        <f t="shared" si="787"/>
        <v>0</v>
      </c>
      <c r="EL316" s="182">
        <f t="shared" si="792"/>
        <v>0</v>
      </c>
      <c r="EM316" s="182">
        <f t="shared" ref="EM316:EM330" si="797">EM149*EM$168</f>
        <v>0</v>
      </c>
      <c r="EN316" s="181">
        <f>$C316+SUM($D316:EM316,EO316:$FB316)-SUM(EN$176:EN315,EN317:EN$330)-EN$331</f>
        <v>0</v>
      </c>
      <c r="EO316" s="182">
        <f t="shared" ref="EO316:FB316" si="798">EO149*EO$168</f>
        <v>0</v>
      </c>
      <c r="EP316" s="182">
        <f t="shared" si="798"/>
        <v>0</v>
      </c>
      <c r="EQ316" s="182">
        <f t="shared" si="798"/>
        <v>0</v>
      </c>
      <c r="ER316" s="182">
        <f t="shared" si="798"/>
        <v>1.625103026314749E-14</v>
      </c>
      <c r="ES316" s="182">
        <f t="shared" si="798"/>
        <v>0</v>
      </c>
      <c r="ET316" s="182">
        <f t="shared" si="798"/>
        <v>0</v>
      </c>
      <c r="EU316" s="182">
        <f t="shared" si="798"/>
        <v>0</v>
      </c>
      <c r="EV316" s="182">
        <f t="shared" si="798"/>
        <v>0</v>
      </c>
      <c r="EW316" s="182">
        <f t="shared" si="798"/>
        <v>0</v>
      </c>
      <c r="EX316" s="182">
        <f t="shared" si="798"/>
        <v>0</v>
      </c>
      <c r="EY316" s="182">
        <f t="shared" si="798"/>
        <v>0</v>
      </c>
      <c r="EZ316" s="182">
        <f t="shared" si="798"/>
        <v>3.7011086600648768E-10</v>
      </c>
      <c r="FA316" s="182">
        <f t="shared" si="798"/>
        <v>0</v>
      </c>
      <c r="FB316" s="183">
        <f t="shared" si="798"/>
        <v>0</v>
      </c>
    </row>
    <row r="317" spans="2:158" ht="12.75" customHeight="1" x14ac:dyDescent="0.3">
      <c r="B317" s="199" t="s">
        <v>3960</v>
      </c>
      <c r="C317" s="193">
        <v>0</v>
      </c>
      <c r="D317" s="182">
        <f t="shared" si="729"/>
        <v>0</v>
      </c>
      <c r="E317" s="182">
        <f t="shared" si="735"/>
        <v>0</v>
      </c>
      <c r="F317" s="182">
        <f t="shared" si="741"/>
        <v>0</v>
      </c>
      <c r="G317" s="182">
        <f t="shared" si="747"/>
        <v>0</v>
      </c>
      <c r="H317" s="182">
        <f t="shared" si="753"/>
        <v>0</v>
      </c>
      <c r="I317" s="176">
        <f t="shared" si="759"/>
        <v>0</v>
      </c>
      <c r="J317" s="182">
        <f t="shared" si="765"/>
        <v>0</v>
      </c>
      <c r="K317" s="182">
        <f t="shared" si="771"/>
        <v>0</v>
      </c>
      <c r="L317" s="182">
        <f t="shared" si="777"/>
        <v>0</v>
      </c>
      <c r="M317" s="182">
        <f t="shared" si="783"/>
        <v>0</v>
      </c>
      <c r="N317" s="182">
        <f t="shared" si="789"/>
        <v>0</v>
      </c>
      <c r="O317" s="182">
        <f t="shared" si="794"/>
        <v>0</v>
      </c>
      <c r="P317" s="182">
        <f t="shared" ref="P317:P330" si="799">P150*P$168</f>
        <v>0</v>
      </c>
      <c r="Q317" s="182">
        <f t="shared" si="634"/>
        <v>0</v>
      </c>
      <c r="R317" s="182">
        <f t="shared" si="639"/>
        <v>0</v>
      </c>
      <c r="S317" s="182">
        <f t="shared" si="644"/>
        <v>0</v>
      </c>
      <c r="T317" s="182">
        <f t="shared" si="649"/>
        <v>0</v>
      </c>
      <c r="U317" s="182">
        <f t="shared" si="654"/>
        <v>0</v>
      </c>
      <c r="V317" s="182">
        <f t="shared" si="659"/>
        <v>0</v>
      </c>
      <c r="W317" s="182">
        <f t="shared" si="664"/>
        <v>0</v>
      </c>
      <c r="X317" s="182">
        <f t="shared" si="669"/>
        <v>0</v>
      </c>
      <c r="Y317" s="182">
        <f t="shared" si="674"/>
        <v>0</v>
      </c>
      <c r="Z317" s="182">
        <f t="shared" si="679"/>
        <v>0</v>
      </c>
      <c r="AA317" s="182">
        <f t="shared" si="684"/>
        <v>0</v>
      </c>
      <c r="AB317" s="182">
        <f t="shared" si="689"/>
        <v>0</v>
      </c>
      <c r="AC317" s="182">
        <f t="shared" si="694"/>
        <v>0</v>
      </c>
      <c r="AD317" s="182">
        <f t="shared" si="699"/>
        <v>0</v>
      </c>
      <c r="AE317" s="182">
        <f t="shared" si="704"/>
        <v>0</v>
      </c>
      <c r="AF317" s="182">
        <f t="shared" si="709"/>
        <v>0</v>
      </c>
      <c r="AG317" s="182">
        <f t="shared" si="714"/>
        <v>0</v>
      </c>
      <c r="AH317" s="182">
        <f t="shared" si="719"/>
        <v>0</v>
      </c>
      <c r="AI317" s="182">
        <f t="shared" si="724"/>
        <v>0</v>
      </c>
      <c r="AJ317" s="182">
        <f t="shared" si="730"/>
        <v>0</v>
      </c>
      <c r="AK317" s="182">
        <f t="shared" si="736"/>
        <v>0</v>
      </c>
      <c r="AL317" s="182">
        <f t="shared" si="742"/>
        <v>0</v>
      </c>
      <c r="AM317" s="182">
        <f t="shared" si="748"/>
        <v>0</v>
      </c>
      <c r="AN317" s="182">
        <f t="shared" si="754"/>
        <v>0</v>
      </c>
      <c r="AO317" s="182">
        <f t="shared" si="760"/>
        <v>0</v>
      </c>
      <c r="AP317" s="182">
        <f t="shared" si="766"/>
        <v>0</v>
      </c>
      <c r="AQ317" s="182">
        <f t="shared" si="772"/>
        <v>0</v>
      </c>
      <c r="AR317" s="182">
        <f t="shared" si="778"/>
        <v>0</v>
      </c>
      <c r="AS317" s="182">
        <f t="shared" si="784"/>
        <v>0</v>
      </c>
      <c r="AT317" s="182">
        <f t="shared" si="790"/>
        <v>0</v>
      </c>
      <c r="AU317" s="182">
        <f t="shared" si="795"/>
        <v>0</v>
      </c>
      <c r="AV317" s="182">
        <f t="shared" ref="AV317:AV330" si="800">AV150*AV$168</f>
        <v>0</v>
      </c>
      <c r="AW317" s="182">
        <f t="shared" si="635"/>
        <v>0</v>
      </c>
      <c r="AX317" s="182">
        <f t="shared" si="640"/>
        <v>0</v>
      </c>
      <c r="AY317" s="182">
        <f t="shared" si="645"/>
        <v>0</v>
      </c>
      <c r="AZ317" s="182">
        <f t="shared" si="650"/>
        <v>0</v>
      </c>
      <c r="BA317" s="182">
        <f t="shared" si="655"/>
        <v>0</v>
      </c>
      <c r="BB317" s="182">
        <f t="shared" si="660"/>
        <v>0</v>
      </c>
      <c r="BC317" s="182">
        <f t="shared" si="665"/>
        <v>0</v>
      </c>
      <c r="BD317" s="182">
        <f t="shared" si="670"/>
        <v>0</v>
      </c>
      <c r="BE317" s="182">
        <f t="shared" si="675"/>
        <v>0</v>
      </c>
      <c r="BF317" s="182">
        <f t="shared" si="680"/>
        <v>0</v>
      </c>
      <c r="BG317" s="182">
        <f t="shared" si="685"/>
        <v>0</v>
      </c>
      <c r="BH317" s="182">
        <f t="shared" si="690"/>
        <v>0</v>
      </c>
      <c r="BI317" s="182">
        <f t="shared" si="695"/>
        <v>0</v>
      </c>
      <c r="BJ317" s="182">
        <f t="shared" si="700"/>
        <v>0</v>
      </c>
      <c r="BK317" s="182">
        <f t="shared" si="705"/>
        <v>0</v>
      </c>
      <c r="BL317" s="182">
        <f t="shared" si="710"/>
        <v>0</v>
      </c>
      <c r="BM317" s="182">
        <f t="shared" si="715"/>
        <v>0</v>
      </c>
      <c r="BN317" s="182">
        <f t="shared" si="720"/>
        <v>0</v>
      </c>
      <c r="BO317" s="182">
        <f t="shared" si="725"/>
        <v>0</v>
      </c>
      <c r="BP317" s="182">
        <f t="shared" si="731"/>
        <v>0</v>
      </c>
      <c r="BQ317" s="182">
        <f t="shared" si="737"/>
        <v>0</v>
      </c>
      <c r="BR317" s="182">
        <f t="shared" si="743"/>
        <v>0</v>
      </c>
      <c r="BS317" s="182">
        <f t="shared" si="749"/>
        <v>0</v>
      </c>
      <c r="BT317" s="182">
        <f t="shared" si="755"/>
        <v>0</v>
      </c>
      <c r="BU317" s="182">
        <f t="shared" si="761"/>
        <v>0</v>
      </c>
      <c r="BV317" s="182">
        <f t="shared" si="767"/>
        <v>0</v>
      </c>
      <c r="BW317" s="182">
        <f t="shared" si="773"/>
        <v>0</v>
      </c>
      <c r="BX317" s="182">
        <f t="shared" si="779"/>
        <v>0</v>
      </c>
      <c r="BY317" s="182">
        <f t="shared" si="785"/>
        <v>0</v>
      </c>
      <c r="BZ317" s="182">
        <f t="shared" si="791"/>
        <v>0</v>
      </c>
      <c r="CA317" s="182">
        <f t="shared" si="796"/>
        <v>0</v>
      </c>
      <c r="CB317" s="182">
        <f t="shared" ref="CB317:CB330" si="801">CB150*CB$168</f>
        <v>0</v>
      </c>
      <c r="CC317" s="182">
        <f t="shared" si="636"/>
        <v>0</v>
      </c>
      <c r="CD317" s="182">
        <f t="shared" si="641"/>
        <v>0</v>
      </c>
      <c r="CE317" s="182">
        <f t="shared" si="646"/>
        <v>0</v>
      </c>
      <c r="CF317" s="182">
        <f t="shared" si="651"/>
        <v>0</v>
      </c>
      <c r="CG317" s="182">
        <f t="shared" si="656"/>
        <v>0</v>
      </c>
      <c r="CH317" s="182">
        <f t="shared" si="661"/>
        <v>0</v>
      </c>
      <c r="CI317" s="182">
        <f t="shared" si="666"/>
        <v>0</v>
      </c>
      <c r="CJ317" s="182">
        <f t="shared" si="671"/>
        <v>0</v>
      </c>
      <c r="CK317" s="182">
        <f t="shared" si="676"/>
        <v>0</v>
      </c>
      <c r="CL317" s="182">
        <f t="shared" si="681"/>
        <v>0</v>
      </c>
      <c r="CM317" s="182">
        <f t="shared" si="686"/>
        <v>0</v>
      </c>
      <c r="CN317" s="182">
        <f t="shared" si="691"/>
        <v>0</v>
      </c>
      <c r="CO317" s="182">
        <f t="shared" si="696"/>
        <v>0</v>
      </c>
      <c r="CP317" s="182">
        <f t="shared" si="701"/>
        <v>0</v>
      </c>
      <c r="CQ317" s="182">
        <f t="shared" si="706"/>
        <v>0</v>
      </c>
      <c r="CR317" s="182">
        <f t="shared" si="711"/>
        <v>0</v>
      </c>
      <c r="CS317" s="182">
        <f t="shared" si="716"/>
        <v>0</v>
      </c>
      <c r="CT317" s="182">
        <f t="shared" si="721"/>
        <v>0</v>
      </c>
      <c r="CU317" s="182">
        <f t="shared" si="726"/>
        <v>0</v>
      </c>
      <c r="CV317" s="182">
        <f t="shared" si="732"/>
        <v>0</v>
      </c>
      <c r="CW317" s="182">
        <f t="shared" si="738"/>
        <v>0</v>
      </c>
      <c r="CX317" s="182">
        <f t="shared" si="744"/>
        <v>0</v>
      </c>
      <c r="CY317" s="182">
        <f t="shared" si="750"/>
        <v>0</v>
      </c>
      <c r="CZ317" s="182">
        <f t="shared" si="756"/>
        <v>0</v>
      </c>
      <c r="DA317" s="182">
        <f t="shared" si="762"/>
        <v>0</v>
      </c>
      <c r="DB317" s="182">
        <f t="shared" si="768"/>
        <v>0</v>
      </c>
      <c r="DC317" s="182">
        <f t="shared" si="774"/>
        <v>0</v>
      </c>
      <c r="DD317" s="182">
        <f t="shared" si="780"/>
        <v>0</v>
      </c>
      <c r="DE317" s="182">
        <f t="shared" si="786"/>
        <v>0</v>
      </c>
      <c r="DF317" s="182">
        <f t="shared" si="622"/>
        <v>0</v>
      </c>
      <c r="DG317" s="182">
        <f t="shared" si="627"/>
        <v>0</v>
      </c>
      <c r="DH317" s="182">
        <f t="shared" si="632"/>
        <v>0</v>
      </c>
      <c r="DI317" s="182">
        <f t="shared" si="637"/>
        <v>0</v>
      </c>
      <c r="DJ317" s="182">
        <f t="shared" si="642"/>
        <v>0</v>
      </c>
      <c r="DK317" s="182">
        <f t="shared" si="647"/>
        <v>0</v>
      </c>
      <c r="DL317" s="182">
        <f t="shared" si="652"/>
        <v>0</v>
      </c>
      <c r="DM317" s="182">
        <f t="shared" si="657"/>
        <v>0</v>
      </c>
      <c r="DN317" s="182">
        <f t="shared" si="662"/>
        <v>0</v>
      </c>
      <c r="DO317" s="182">
        <f t="shared" si="667"/>
        <v>0</v>
      </c>
      <c r="DP317" s="182">
        <f t="shared" si="672"/>
        <v>0</v>
      </c>
      <c r="DQ317" s="182">
        <f t="shared" si="677"/>
        <v>0</v>
      </c>
      <c r="DR317" s="182">
        <f t="shared" si="682"/>
        <v>0</v>
      </c>
      <c r="DS317" s="182">
        <f t="shared" si="687"/>
        <v>0</v>
      </c>
      <c r="DT317" s="182">
        <f t="shared" si="692"/>
        <v>0</v>
      </c>
      <c r="DU317" s="182">
        <f t="shared" si="697"/>
        <v>0</v>
      </c>
      <c r="DV317" s="182">
        <f t="shared" si="702"/>
        <v>0</v>
      </c>
      <c r="DW317" s="182">
        <f t="shared" si="707"/>
        <v>0</v>
      </c>
      <c r="DX317" s="182">
        <f t="shared" si="712"/>
        <v>0</v>
      </c>
      <c r="DY317" s="182">
        <f t="shared" si="717"/>
        <v>0</v>
      </c>
      <c r="DZ317" s="182">
        <f t="shared" si="722"/>
        <v>0</v>
      </c>
      <c r="EA317" s="182">
        <f t="shared" si="727"/>
        <v>0</v>
      </c>
      <c r="EB317" s="182">
        <f t="shared" si="733"/>
        <v>0</v>
      </c>
      <c r="EC317" s="182">
        <f t="shared" si="739"/>
        <v>0</v>
      </c>
      <c r="ED317" s="182">
        <f t="shared" si="745"/>
        <v>0</v>
      </c>
      <c r="EE317" s="182">
        <f t="shared" si="751"/>
        <v>0</v>
      </c>
      <c r="EF317" s="182">
        <f t="shared" si="757"/>
        <v>0</v>
      </c>
      <c r="EG317" s="182">
        <f t="shared" si="763"/>
        <v>0</v>
      </c>
      <c r="EH317" s="182">
        <f t="shared" si="769"/>
        <v>0.13364119590459367</v>
      </c>
      <c r="EI317" s="182">
        <f t="shared" si="775"/>
        <v>0</v>
      </c>
      <c r="EJ317" s="182">
        <f t="shared" si="781"/>
        <v>0</v>
      </c>
      <c r="EK317" s="182">
        <f t="shared" si="787"/>
        <v>9.1906965208399624E-2</v>
      </c>
      <c r="EL317" s="182">
        <f t="shared" si="792"/>
        <v>0</v>
      </c>
      <c r="EM317" s="182">
        <f t="shared" si="797"/>
        <v>0</v>
      </c>
      <c r="EN317" s="182">
        <f t="shared" ref="EN317:EN330" si="802">EN150*EN$168</f>
        <v>1.0447658356189619E-4</v>
      </c>
      <c r="EO317" s="181">
        <f>$C317+SUM($D317:EN317,EP317:$FB317)-SUM(EO$176:EO316,EO318:EO$330)-EO$331</f>
        <v>-1.1641532182693481E-10</v>
      </c>
      <c r="EP317" s="182">
        <f t="shared" ref="EP317:FB317" si="803">EP150*EP$168</f>
        <v>0</v>
      </c>
      <c r="EQ317" s="182">
        <f t="shared" si="803"/>
        <v>0</v>
      </c>
      <c r="ER317" s="182">
        <f t="shared" si="803"/>
        <v>0</v>
      </c>
      <c r="ES317" s="182">
        <f t="shared" si="803"/>
        <v>637690.75838218105</v>
      </c>
      <c r="ET317" s="182">
        <f t="shared" si="803"/>
        <v>0</v>
      </c>
      <c r="EU317" s="182">
        <f t="shared" si="803"/>
        <v>0</v>
      </c>
      <c r="EV317" s="182">
        <f t="shared" si="803"/>
        <v>0</v>
      </c>
      <c r="EW317" s="182">
        <f t="shared" si="803"/>
        <v>0</v>
      </c>
      <c r="EX317" s="182">
        <f t="shared" si="803"/>
        <v>0</v>
      </c>
      <c r="EY317" s="182">
        <f t="shared" si="803"/>
        <v>0</v>
      </c>
      <c r="EZ317" s="182">
        <f t="shared" si="803"/>
        <v>0</v>
      </c>
      <c r="FA317" s="182">
        <f t="shared" si="803"/>
        <v>5.3416800380094137E-2</v>
      </c>
      <c r="FB317" s="183">
        <f t="shared" si="803"/>
        <v>0</v>
      </c>
    </row>
    <row r="318" spans="2:158" ht="12.75" customHeight="1" x14ac:dyDescent="0.3">
      <c r="B318" s="199" t="s">
        <v>3961</v>
      </c>
      <c r="C318" s="193">
        <v>0</v>
      </c>
      <c r="D318" s="182">
        <f t="shared" si="729"/>
        <v>0</v>
      </c>
      <c r="E318" s="182">
        <f t="shared" si="735"/>
        <v>0</v>
      </c>
      <c r="F318" s="182">
        <f t="shared" si="741"/>
        <v>0</v>
      </c>
      <c r="G318" s="182">
        <f t="shared" si="747"/>
        <v>0</v>
      </c>
      <c r="H318" s="182">
        <f t="shared" si="753"/>
        <v>0</v>
      </c>
      <c r="I318" s="176">
        <f t="shared" si="759"/>
        <v>0</v>
      </c>
      <c r="J318" s="182">
        <f t="shared" si="765"/>
        <v>0</v>
      </c>
      <c r="K318" s="182">
        <f t="shared" si="771"/>
        <v>0</v>
      </c>
      <c r="L318" s="182">
        <f t="shared" si="777"/>
        <v>0</v>
      </c>
      <c r="M318" s="182">
        <f t="shared" si="783"/>
        <v>0</v>
      </c>
      <c r="N318" s="182">
        <f t="shared" si="789"/>
        <v>0</v>
      </c>
      <c r="O318" s="182">
        <f t="shared" si="794"/>
        <v>0</v>
      </c>
      <c r="P318" s="182">
        <f t="shared" si="799"/>
        <v>0</v>
      </c>
      <c r="Q318" s="182">
        <f t="shared" ref="Q318:Q330" si="804">Q151*Q$168</f>
        <v>0</v>
      </c>
      <c r="R318" s="182">
        <f t="shared" si="639"/>
        <v>0</v>
      </c>
      <c r="S318" s="182">
        <f t="shared" si="644"/>
        <v>0</v>
      </c>
      <c r="T318" s="182">
        <f t="shared" si="649"/>
        <v>0</v>
      </c>
      <c r="U318" s="182">
        <f t="shared" si="654"/>
        <v>0</v>
      </c>
      <c r="V318" s="182">
        <f t="shared" si="659"/>
        <v>0</v>
      </c>
      <c r="W318" s="182">
        <f t="shared" si="664"/>
        <v>0</v>
      </c>
      <c r="X318" s="182">
        <f t="shared" si="669"/>
        <v>0</v>
      </c>
      <c r="Y318" s="182">
        <f t="shared" si="674"/>
        <v>0</v>
      </c>
      <c r="Z318" s="182">
        <f t="shared" si="679"/>
        <v>0</v>
      </c>
      <c r="AA318" s="182">
        <f t="shared" si="684"/>
        <v>0</v>
      </c>
      <c r="AB318" s="182">
        <f t="shared" si="689"/>
        <v>0</v>
      </c>
      <c r="AC318" s="182">
        <f t="shared" si="694"/>
        <v>0</v>
      </c>
      <c r="AD318" s="182">
        <f t="shared" si="699"/>
        <v>0</v>
      </c>
      <c r="AE318" s="182">
        <f t="shared" si="704"/>
        <v>0</v>
      </c>
      <c r="AF318" s="182">
        <f t="shared" si="709"/>
        <v>0</v>
      </c>
      <c r="AG318" s="182">
        <f t="shared" si="714"/>
        <v>0</v>
      </c>
      <c r="AH318" s="182">
        <f t="shared" si="719"/>
        <v>0</v>
      </c>
      <c r="AI318" s="182">
        <f t="shared" si="724"/>
        <v>0</v>
      </c>
      <c r="AJ318" s="182">
        <f t="shared" si="730"/>
        <v>0</v>
      </c>
      <c r="AK318" s="182">
        <f t="shared" si="736"/>
        <v>0</v>
      </c>
      <c r="AL318" s="182">
        <f t="shared" si="742"/>
        <v>0</v>
      </c>
      <c r="AM318" s="182">
        <f t="shared" si="748"/>
        <v>0</v>
      </c>
      <c r="AN318" s="182">
        <f t="shared" si="754"/>
        <v>0</v>
      </c>
      <c r="AO318" s="182">
        <f t="shared" si="760"/>
        <v>0</v>
      </c>
      <c r="AP318" s="182">
        <f t="shared" si="766"/>
        <v>0</v>
      </c>
      <c r="AQ318" s="182">
        <f t="shared" si="772"/>
        <v>0</v>
      </c>
      <c r="AR318" s="182">
        <f t="shared" si="778"/>
        <v>0</v>
      </c>
      <c r="AS318" s="182">
        <f t="shared" si="784"/>
        <v>0</v>
      </c>
      <c r="AT318" s="182">
        <f t="shared" si="790"/>
        <v>0</v>
      </c>
      <c r="AU318" s="182">
        <f t="shared" si="795"/>
        <v>0</v>
      </c>
      <c r="AV318" s="182">
        <f t="shared" si="800"/>
        <v>0</v>
      </c>
      <c r="AW318" s="182">
        <f t="shared" ref="AW318:AW330" si="805">AW151*AW$168</f>
        <v>0</v>
      </c>
      <c r="AX318" s="182">
        <f t="shared" si="640"/>
        <v>0</v>
      </c>
      <c r="AY318" s="182">
        <f t="shared" si="645"/>
        <v>0</v>
      </c>
      <c r="AZ318" s="182">
        <f t="shared" si="650"/>
        <v>0</v>
      </c>
      <c r="BA318" s="182">
        <f t="shared" si="655"/>
        <v>0</v>
      </c>
      <c r="BB318" s="182">
        <f t="shared" si="660"/>
        <v>0</v>
      </c>
      <c r="BC318" s="182">
        <f t="shared" si="665"/>
        <v>0</v>
      </c>
      <c r="BD318" s="182">
        <f t="shared" si="670"/>
        <v>0</v>
      </c>
      <c r="BE318" s="182">
        <f t="shared" si="675"/>
        <v>0</v>
      </c>
      <c r="BF318" s="182">
        <f t="shared" si="680"/>
        <v>0</v>
      </c>
      <c r="BG318" s="182">
        <f t="shared" si="685"/>
        <v>0</v>
      </c>
      <c r="BH318" s="182">
        <f t="shared" si="690"/>
        <v>0</v>
      </c>
      <c r="BI318" s="182">
        <f t="shared" si="695"/>
        <v>0</v>
      </c>
      <c r="BJ318" s="182">
        <f t="shared" si="700"/>
        <v>0</v>
      </c>
      <c r="BK318" s="182">
        <f t="shared" si="705"/>
        <v>0</v>
      </c>
      <c r="BL318" s="182">
        <f t="shared" si="710"/>
        <v>0</v>
      </c>
      <c r="BM318" s="182">
        <f t="shared" si="715"/>
        <v>0</v>
      </c>
      <c r="BN318" s="182">
        <f t="shared" si="720"/>
        <v>0</v>
      </c>
      <c r="BO318" s="182">
        <f t="shared" si="725"/>
        <v>0</v>
      </c>
      <c r="BP318" s="182">
        <f t="shared" si="731"/>
        <v>0</v>
      </c>
      <c r="BQ318" s="182">
        <f t="shared" si="737"/>
        <v>0</v>
      </c>
      <c r="BR318" s="182">
        <f t="shared" si="743"/>
        <v>0</v>
      </c>
      <c r="BS318" s="182">
        <f t="shared" si="749"/>
        <v>0</v>
      </c>
      <c r="BT318" s="182">
        <f t="shared" si="755"/>
        <v>0</v>
      </c>
      <c r="BU318" s="182">
        <f t="shared" si="761"/>
        <v>0</v>
      </c>
      <c r="BV318" s="182">
        <f t="shared" si="767"/>
        <v>0</v>
      </c>
      <c r="BW318" s="182">
        <f t="shared" si="773"/>
        <v>0</v>
      </c>
      <c r="BX318" s="182">
        <f t="shared" si="779"/>
        <v>0</v>
      </c>
      <c r="BY318" s="182">
        <f t="shared" si="785"/>
        <v>0</v>
      </c>
      <c r="BZ318" s="182">
        <f t="shared" si="791"/>
        <v>0</v>
      </c>
      <c r="CA318" s="182">
        <f t="shared" si="796"/>
        <v>0</v>
      </c>
      <c r="CB318" s="182">
        <f t="shared" si="801"/>
        <v>0</v>
      </c>
      <c r="CC318" s="182">
        <f t="shared" ref="CC318:CC330" si="806">CC151*CC$168</f>
        <v>0</v>
      </c>
      <c r="CD318" s="182">
        <f t="shared" si="641"/>
        <v>0</v>
      </c>
      <c r="CE318" s="182">
        <f t="shared" si="646"/>
        <v>0</v>
      </c>
      <c r="CF318" s="182">
        <f t="shared" si="651"/>
        <v>0</v>
      </c>
      <c r="CG318" s="182">
        <f t="shared" si="656"/>
        <v>0</v>
      </c>
      <c r="CH318" s="182">
        <f t="shared" si="661"/>
        <v>0</v>
      </c>
      <c r="CI318" s="182">
        <f t="shared" si="666"/>
        <v>0</v>
      </c>
      <c r="CJ318" s="182">
        <f t="shared" si="671"/>
        <v>0</v>
      </c>
      <c r="CK318" s="182">
        <f t="shared" si="676"/>
        <v>0</v>
      </c>
      <c r="CL318" s="182">
        <f t="shared" si="681"/>
        <v>0</v>
      </c>
      <c r="CM318" s="182">
        <f t="shared" si="686"/>
        <v>0</v>
      </c>
      <c r="CN318" s="182">
        <f t="shared" si="691"/>
        <v>0</v>
      </c>
      <c r="CO318" s="182">
        <f t="shared" si="696"/>
        <v>0</v>
      </c>
      <c r="CP318" s="182">
        <f t="shared" si="701"/>
        <v>0</v>
      </c>
      <c r="CQ318" s="182">
        <f t="shared" si="706"/>
        <v>0</v>
      </c>
      <c r="CR318" s="182">
        <f t="shared" si="711"/>
        <v>0</v>
      </c>
      <c r="CS318" s="182">
        <f t="shared" si="716"/>
        <v>0</v>
      </c>
      <c r="CT318" s="182">
        <f t="shared" si="721"/>
        <v>0</v>
      </c>
      <c r="CU318" s="182">
        <f t="shared" si="726"/>
        <v>0</v>
      </c>
      <c r="CV318" s="182">
        <f t="shared" si="732"/>
        <v>0</v>
      </c>
      <c r="CW318" s="182">
        <f t="shared" si="738"/>
        <v>0</v>
      </c>
      <c r="CX318" s="182">
        <f t="shared" si="744"/>
        <v>0</v>
      </c>
      <c r="CY318" s="182">
        <f t="shared" si="750"/>
        <v>0</v>
      </c>
      <c r="CZ318" s="182">
        <f t="shared" si="756"/>
        <v>0</v>
      </c>
      <c r="DA318" s="182">
        <f t="shared" si="762"/>
        <v>0</v>
      </c>
      <c r="DB318" s="182">
        <f t="shared" si="768"/>
        <v>0</v>
      </c>
      <c r="DC318" s="182">
        <f t="shared" si="774"/>
        <v>0</v>
      </c>
      <c r="DD318" s="182">
        <f t="shared" si="780"/>
        <v>0</v>
      </c>
      <c r="DE318" s="182">
        <f t="shared" si="786"/>
        <v>0</v>
      </c>
      <c r="DF318" s="182">
        <f t="shared" si="622"/>
        <v>0</v>
      </c>
      <c r="DG318" s="182">
        <f t="shared" si="627"/>
        <v>0</v>
      </c>
      <c r="DH318" s="182">
        <f t="shared" si="632"/>
        <v>0</v>
      </c>
      <c r="DI318" s="182">
        <f t="shared" si="637"/>
        <v>0</v>
      </c>
      <c r="DJ318" s="182">
        <f t="shared" si="642"/>
        <v>0</v>
      </c>
      <c r="DK318" s="182">
        <f t="shared" si="647"/>
        <v>0</v>
      </c>
      <c r="DL318" s="182">
        <f t="shared" si="652"/>
        <v>0</v>
      </c>
      <c r="DM318" s="182">
        <f t="shared" si="657"/>
        <v>0</v>
      </c>
      <c r="DN318" s="182">
        <f t="shared" si="662"/>
        <v>0</v>
      </c>
      <c r="DO318" s="182">
        <f t="shared" si="667"/>
        <v>0</v>
      </c>
      <c r="DP318" s="182">
        <f t="shared" si="672"/>
        <v>0</v>
      </c>
      <c r="DQ318" s="182">
        <f t="shared" si="677"/>
        <v>0</v>
      </c>
      <c r="DR318" s="182">
        <f t="shared" si="682"/>
        <v>0</v>
      </c>
      <c r="DS318" s="182">
        <f t="shared" si="687"/>
        <v>0</v>
      </c>
      <c r="DT318" s="182">
        <f t="shared" si="692"/>
        <v>0</v>
      </c>
      <c r="DU318" s="182">
        <f t="shared" si="697"/>
        <v>0</v>
      </c>
      <c r="DV318" s="182">
        <f t="shared" si="702"/>
        <v>0</v>
      </c>
      <c r="DW318" s="182">
        <f t="shared" si="707"/>
        <v>0</v>
      </c>
      <c r="DX318" s="182">
        <f t="shared" si="712"/>
        <v>0</v>
      </c>
      <c r="DY318" s="182">
        <f t="shared" si="717"/>
        <v>0</v>
      </c>
      <c r="DZ318" s="182">
        <f t="shared" si="722"/>
        <v>0</v>
      </c>
      <c r="EA318" s="182">
        <f t="shared" si="727"/>
        <v>0</v>
      </c>
      <c r="EB318" s="182">
        <f t="shared" si="733"/>
        <v>0</v>
      </c>
      <c r="EC318" s="182">
        <f t="shared" si="739"/>
        <v>0</v>
      </c>
      <c r="ED318" s="182">
        <f t="shared" si="745"/>
        <v>0</v>
      </c>
      <c r="EE318" s="182">
        <f t="shared" si="751"/>
        <v>0</v>
      </c>
      <c r="EF318" s="182">
        <f t="shared" si="757"/>
        <v>0</v>
      </c>
      <c r="EG318" s="182">
        <f t="shared" si="763"/>
        <v>0</v>
      </c>
      <c r="EH318" s="182">
        <f t="shared" si="769"/>
        <v>0</v>
      </c>
      <c r="EI318" s="182">
        <f t="shared" si="775"/>
        <v>1.0211727600416954E-8</v>
      </c>
      <c r="EJ318" s="182">
        <f t="shared" si="781"/>
        <v>0</v>
      </c>
      <c r="EK318" s="182">
        <f t="shared" si="787"/>
        <v>0</v>
      </c>
      <c r="EL318" s="182">
        <f t="shared" si="792"/>
        <v>1.4031838637291005E-6</v>
      </c>
      <c r="EM318" s="182">
        <f t="shared" si="797"/>
        <v>0</v>
      </c>
      <c r="EN318" s="182">
        <f t="shared" si="802"/>
        <v>1.1320576293260209E-6</v>
      </c>
      <c r="EO318" s="182">
        <f t="shared" ref="EO318:EO330" si="807">EO151*EO$168</f>
        <v>0</v>
      </c>
      <c r="EP318" s="181">
        <f>$C318+SUM($D318:EO318,EQ318:$FB318)-SUM(EP$176:EP317,EP319:EP$330)-EP$331</f>
        <v>0</v>
      </c>
      <c r="EQ318" s="182">
        <f t="shared" ref="EQ318:FB318" si="808">EQ151*EQ$168</f>
        <v>0</v>
      </c>
      <c r="ER318" s="182">
        <f t="shared" si="808"/>
        <v>0</v>
      </c>
      <c r="ES318" s="182">
        <f t="shared" si="808"/>
        <v>0</v>
      </c>
      <c r="ET318" s="182">
        <f t="shared" si="808"/>
        <v>35.011447629895336</v>
      </c>
      <c r="EU318" s="182">
        <f t="shared" si="808"/>
        <v>0</v>
      </c>
      <c r="EV318" s="182">
        <f t="shared" si="808"/>
        <v>0</v>
      </c>
      <c r="EW318" s="182">
        <f t="shared" si="808"/>
        <v>0</v>
      </c>
      <c r="EX318" s="182">
        <f t="shared" si="808"/>
        <v>0</v>
      </c>
      <c r="EY318" s="182">
        <f t="shared" si="808"/>
        <v>0</v>
      </c>
      <c r="EZ318" s="182">
        <f t="shared" si="808"/>
        <v>0</v>
      </c>
      <c r="FA318" s="182">
        <f t="shared" si="808"/>
        <v>0</v>
      </c>
      <c r="FB318" s="183">
        <f t="shared" si="808"/>
        <v>7.4987884531272248E-6</v>
      </c>
    </row>
    <row r="319" spans="2:158" ht="12.75" customHeight="1" x14ac:dyDescent="0.3">
      <c r="B319" s="199" t="s">
        <v>3962</v>
      </c>
      <c r="C319" s="193">
        <v>0</v>
      </c>
      <c r="D319" s="182">
        <f t="shared" si="729"/>
        <v>0</v>
      </c>
      <c r="E319" s="182">
        <f t="shared" si="735"/>
        <v>0</v>
      </c>
      <c r="F319" s="182">
        <f t="shared" si="741"/>
        <v>0</v>
      </c>
      <c r="G319" s="182">
        <f t="shared" si="747"/>
        <v>0</v>
      </c>
      <c r="H319" s="182">
        <f t="shared" si="753"/>
        <v>0</v>
      </c>
      <c r="I319" s="176">
        <f t="shared" si="759"/>
        <v>0</v>
      </c>
      <c r="J319" s="182">
        <f t="shared" si="765"/>
        <v>0</v>
      </c>
      <c r="K319" s="182">
        <f t="shared" si="771"/>
        <v>0</v>
      </c>
      <c r="L319" s="182">
        <f t="shared" si="777"/>
        <v>0</v>
      </c>
      <c r="M319" s="182">
        <f t="shared" si="783"/>
        <v>0</v>
      </c>
      <c r="N319" s="182">
        <f t="shared" si="789"/>
        <v>0</v>
      </c>
      <c r="O319" s="182">
        <f t="shared" si="794"/>
        <v>0</v>
      </c>
      <c r="P319" s="182">
        <f t="shared" si="799"/>
        <v>0</v>
      </c>
      <c r="Q319" s="182">
        <f t="shared" si="804"/>
        <v>0</v>
      </c>
      <c r="R319" s="182">
        <f t="shared" ref="R319:R330" si="809">R152*R$168</f>
        <v>0</v>
      </c>
      <c r="S319" s="182">
        <f t="shared" si="644"/>
        <v>0</v>
      </c>
      <c r="T319" s="182">
        <f t="shared" si="649"/>
        <v>0</v>
      </c>
      <c r="U319" s="182">
        <f t="shared" si="654"/>
        <v>0</v>
      </c>
      <c r="V319" s="182">
        <f t="shared" si="659"/>
        <v>0</v>
      </c>
      <c r="W319" s="182">
        <f t="shared" si="664"/>
        <v>0</v>
      </c>
      <c r="X319" s="182">
        <f t="shared" si="669"/>
        <v>0</v>
      </c>
      <c r="Y319" s="182">
        <f t="shared" si="674"/>
        <v>0</v>
      </c>
      <c r="Z319" s="182">
        <f t="shared" si="679"/>
        <v>0</v>
      </c>
      <c r="AA319" s="182">
        <f t="shared" si="684"/>
        <v>0</v>
      </c>
      <c r="AB319" s="182">
        <f t="shared" si="689"/>
        <v>0</v>
      </c>
      <c r="AC319" s="182">
        <f t="shared" si="694"/>
        <v>0</v>
      </c>
      <c r="AD319" s="182">
        <f t="shared" si="699"/>
        <v>0</v>
      </c>
      <c r="AE319" s="182">
        <f t="shared" si="704"/>
        <v>0</v>
      </c>
      <c r="AF319" s="182">
        <f t="shared" si="709"/>
        <v>0</v>
      </c>
      <c r="AG319" s="182">
        <f t="shared" si="714"/>
        <v>0</v>
      </c>
      <c r="AH319" s="182">
        <f t="shared" si="719"/>
        <v>0</v>
      </c>
      <c r="AI319" s="182">
        <f t="shared" si="724"/>
        <v>0</v>
      </c>
      <c r="AJ319" s="182">
        <f t="shared" si="730"/>
        <v>0</v>
      </c>
      <c r="AK319" s="182">
        <f t="shared" si="736"/>
        <v>0</v>
      </c>
      <c r="AL319" s="182">
        <f t="shared" si="742"/>
        <v>0</v>
      </c>
      <c r="AM319" s="182">
        <f t="shared" si="748"/>
        <v>0</v>
      </c>
      <c r="AN319" s="182">
        <f t="shared" si="754"/>
        <v>0</v>
      </c>
      <c r="AO319" s="182">
        <f t="shared" si="760"/>
        <v>0</v>
      </c>
      <c r="AP319" s="182">
        <f t="shared" si="766"/>
        <v>0</v>
      </c>
      <c r="AQ319" s="182">
        <f t="shared" si="772"/>
        <v>0</v>
      </c>
      <c r="AR319" s="182">
        <f t="shared" si="778"/>
        <v>0</v>
      </c>
      <c r="AS319" s="182">
        <f t="shared" si="784"/>
        <v>0</v>
      </c>
      <c r="AT319" s="182">
        <f t="shared" si="790"/>
        <v>0</v>
      </c>
      <c r="AU319" s="182">
        <f t="shared" si="795"/>
        <v>0</v>
      </c>
      <c r="AV319" s="182">
        <f t="shared" si="800"/>
        <v>0</v>
      </c>
      <c r="AW319" s="182">
        <f t="shared" si="805"/>
        <v>0</v>
      </c>
      <c r="AX319" s="182">
        <f t="shared" ref="AX319:AX330" si="810">AX152*AX$168</f>
        <v>0</v>
      </c>
      <c r="AY319" s="182">
        <f t="shared" si="645"/>
        <v>0</v>
      </c>
      <c r="AZ319" s="182">
        <f t="shared" si="650"/>
        <v>0</v>
      </c>
      <c r="BA319" s="182">
        <f t="shared" si="655"/>
        <v>0</v>
      </c>
      <c r="BB319" s="182">
        <f t="shared" si="660"/>
        <v>0</v>
      </c>
      <c r="BC319" s="182">
        <f t="shared" si="665"/>
        <v>0</v>
      </c>
      <c r="BD319" s="182">
        <f t="shared" si="670"/>
        <v>0</v>
      </c>
      <c r="BE319" s="182">
        <f t="shared" si="675"/>
        <v>0</v>
      </c>
      <c r="BF319" s="182">
        <f t="shared" si="680"/>
        <v>0</v>
      </c>
      <c r="BG319" s="182">
        <f t="shared" si="685"/>
        <v>0</v>
      </c>
      <c r="BH319" s="182">
        <f t="shared" si="690"/>
        <v>0</v>
      </c>
      <c r="BI319" s="182">
        <f t="shared" si="695"/>
        <v>0</v>
      </c>
      <c r="BJ319" s="182">
        <f t="shared" si="700"/>
        <v>0</v>
      </c>
      <c r="BK319" s="182">
        <f t="shared" si="705"/>
        <v>0</v>
      </c>
      <c r="BL319" s="182">
        <f t="shared" si="710"/>
        <v>0</v>
      </c>
      <c r="BM319" s="182">
        <f t="shared" si="715"/>
        <v>0</v>
      </c>
      <c r="BN319" s="182">
        <f t="shared" si="720"/>
        <v>0</v>
      </c>
      <c r="BO319" s="182">
        <f t="shared" si="725"/>
        <v>0</v>
      </c>
      <c r="BP319" s="182">
        <f t="shared" si="731"/>
        <v>0</v>
      </c>
      <c r="BQ319" s="182">
        <f t="shared" si="737"/>
        <v>0</v>
      </c>
      <c r="BR319" s="182">
        <f t="shared" si="743"/>
        <v>0</v>
      </c>
      <c r="BS319" s="182">
        <f t="shared" si="749"/>
        <v>0</v>
      </c>
      <c r="BT319" s="182">
        <f t="shared" si="755"/>
        <v>0</v>
      </c>
      <c r="BU319" s="182">
        <f t="shared" si="761"/>
        <v>0</v>
      </c>
      <c r="BV319" s="182">
        <f t="shared" si="767"/>
        <v>0</v>
      </c>
      <c r="BW319" s="182">
        <f t="shared" si="773"/>
        <v>0</v>
      </c>
      <c r="BX319" s="182">
        <f t="shared" si="779"/>
        <v>0</v>
      </c>
      <c r="BY319" s="182">
        <f t="shared" si="785"/>
        <v>0</v>
      </c>
      <c r="BZ319" s="182">
        <f t="shared" si="791"/>
        <v>0</v>
      </c>
      <c r="CA319" s="182">
        <f t="shared" si="796"/>
        <v>0</v>
      </c>
      <c r="CB319" s="182">
        <f t="shared" si="801"/>
        <v>0</v>
      </c>
      <c r="CC319" s="182">
        <f t="shared" si="806"/>
        <v>0</v>
      </c>
      <c r="CD319" s="182">
        <f t="shared" ref="CD319:CD330" si="811">CD152*CD$168</f>
        <v>0</v>
      </c>
      <c r="CE319" s="182">
        <f t="shared" si="646"/>
        <v>0</v>
      </c>
      <c r="CF319" s="182">
        <f t="shared" si="651"/>
        <v>0</v>
      </c>
      <c r="CG319" s="182">
        <f t="shared" si="656"/>
        <v>0</v>
      </c>
      <c r="CH319" s="182">
        <f t="shared" si="661"/>
        <v>0</v>
      </c>
      <c r="CI319" s="182">
        <f t="shared" si="666"/>
        <v>0</v>
      </c>
      <c r="CJ319" s="182">
        <f t="shared" si="671"/>
        <v>0</v>
      </c>
      <c r="CK319" s="182">
        <f t="shared" si="676"/>
        <v>0</v>
      </c>
      <c r="CL319" s="182">
        <f t="shared" si="681"/>
        <v>0</v>
      </c>
      <c r="CM319" s="182">
        <f t="shared" si="686"/>
        <v>0</v>
      </c>
      <c r="CN319" s="182">
        <f t="shared" si="691"/>
        <v>0</v>
      </c>
      <c r="CO319" s="182">
        <f t="shared" si="696"/>
        <v>0</v>
      </c>
      <c r="CP319" s="182">
        <f t="shared" si="701"/>
        <v>0</v>
      </c>
      <c r="CQ319" s="182">
        <f t="shared" si="706"/>
        <v>0</v>
      </c>
      <c r="CR319" s="182">
        <f t="shared" si="711"/>
        <v>0</v>
      </c>
      <c r="CS319" s="182">
        <f t="shared" si="716"/>
        <v>0</v>
      </c>
      <c r="CT319" s="182">
        <f t="shared" si="721"/>
        <v>0</v>
      </c>
      <c r="CU319" s="182">
        <f t="shared" si="726"/>
        <v>0</v>
      </c>
      <c r="CV319" s="182">
        <f t="shared" si="732"/>
        <v>0</v>
      </c>
      <c r="CW319" s="182">
        <f t="shared" si="738"/>
        <v>0</v>
      </c>
      <c r="CX319" s="182">
        <f t="shared" si="744"/>
        <v>0</v>
      </c>
      <c r="CY319" s="182">
        <f t="shared" si="750"/>
        <v>0</v>
      </c>
      <c r="CZ319" s="182">
        <f t="shared" si="756"/>
        <v>0</v>
      </c>
      <c r="DA319" s="182">
        <f t="shared" si="762"/>
        <v>0</v>
      </c>
      <c r="DB319" s="182">
        <f t="shared" si="768"/>
        <v>0</v>
      </c>
      <c r="DC319" s="182">
        <f t="shared" si="774"/>
        <v>0</v>
      </c>
      <c r="DD319" s="182">
        <f t="shared" si="780"/>
        <v>0</v>
      </c>
      <c r="DE319" s="182">
        <f t="shared" si="786"/>
        <v>0</v>
      </c>
      <c r="DF319" s="182">
        <f t="shared" si="622"/>
        <v>0</v>
      </c>
      <c r="DG319" s="182">
        <f t="shared" si="627"/>
        <v>0</v>
      </c>
      <c r="DH319" s="182">
        <f t="shared" si="632"/>
        <v>0</v>
      </c>
      <c r="DI319" s="182">
        <f t="shared" si="637"/>
        <v>0</v>
      </c>
      <c r="DJ319" s="182">
        <f t="shared" si="642"/>
        <v>0</v>
      </c>
      <c r="DK319" s="182">
        <f t="shared" si="647"/>
        <v>0</v>
      </c>
      <c r="DL319" s="182">
        <f t="shared" si="652"/>
        <v>0</v>
      </c>
      <c r="DM319" s="182">
        <f t="shared" si="657"/>
        <v>0</v>
      </c>
      <c r="DN319" s="182">
        <f t="shared" si="662"/>
        <v>0</v>
      </c>
      <c r="DO319" s="182">
        <f t="shared" si="667"/>
        <v>0</v>
      </c>
      <c r="DP319" s="182">
        <f t="shared" si="672"/>
        <v>0</v>
      </c>
      <c r="DQ319" s="182">
        <f t="shared" si="677"/>
        <v>0</v>
      </c>
      <c r="DR319" s="182">
        <f t="shared" si="682"/>
        <v>0</v>
      </c>
      <c r="DS319" s="182">
        <f t="shared" si="687"/>
        <v>0</v>
      </c>
      <c r="DT319" s="182">
        <f t="shared" si="692"/>
        <v>0</v>
      </c>
      <c r="DU319" s="182">
        <f t="shared" si="697"/>
        <v>0</v>
      </c>
      <c r="DV319" s="182">
        <f t="shared" si="702"/>
        <v>0</v>
      </c>
      <c r="DW319" s="182">
        <f t="shared" si="707"/>
        <v>0</v>
      </c>
      <c r="DX319" s="182">
        <f t="shared" si="712"/>
        <v>0</v>
      </c>
      <c r="DY319" s="182">
        <f t="shared" si="717"/>
        <v>0</v>
      </c>
      <c r="DZ319" s="182">
        <f t="shared" si="722"/>
        <v>0</v>
      </c>
      <c r="EA319" s="182">
        <f t="shared" si="727"/>
        <v>0</v>
      </c>
      <c r="EB319" s="182">
        <f t="shared" si="733"/>
        <v>0</v>
      </c>
      <c r="EC319" s="182">
        <f t="shared" si="739"/>
        <v>0</v>
      </c>
      <c r="ED319" s="182">
        <f t="shared" si="745"/>
        <v>0</v>
      </c>
      <c r="EE319" s="182">
        <f t="shared" si="751"/>
        <v>0</v>
      </c>
      <c r="EF319" s="182">
        <f t="shared" si="757"/>
        <v>0</v>
      </c>
      <c r="EG319" s="182">
        <f t="shared" si="763"/>
        <v>0</v>
      </c>
      <c r="EH319" s="182">
        <f t="shared" si="769"/>
        <v>0</v>
      </c>
      <c r="EI319" s="182">
        <f t="shared" si="775"/>
        <v>0</v>
      </c>
      <c r="EJ319" s="182">
        <f t="shared" si="781"/>
        <v>0</v>
      </c>
      <c r="EK319" s="182">
        <f t="shared" si="787"/>
        <v>0</v>
      </c>
      <c r="EL319" s="182">
        <f t="shared" si="792"/>
        <v>0</v>
      </c>
      <c r="EM319" s="182">
        <f t="shared" si="797"/>
        <v>0</v>
      </c>
      <c r="EN319" s="182">
        <f t="shared" si="802"/>
        <v>0</v>
      </c>
      <c r="EO319" s="182">
        <f t="shared" si="807"/>
        <v>0</v>
      </c>
      <c r="EP319" s="182">
        <f t="shared" ref="EP319:EP330" si="812">EP152*EP$168</f>
        <v>0</v>
      </c>
      <c r="EQ319" s="181">
        <f>$C319+SUM($D319:EP319,ER319:$FB319)-SUM(EQ$176:EQ318,EQ320:EQ$330)-EQ$331</f>
        <v>0</v>
      </c>
      <c r="ER319" s="182">
        <f t="shared" ref="ER319:FB319" si="813">ER152*ER$168</f>
        <v>0</v>
      </c>
      <c r="ES319" s="182">
        <f t="shared" si="813"/>
        <v>0</v>
      </c>
      <c r="ET319" s="182">
        <f t="shared" si="813"/>
        <v>0</v>
      </c>
      <c r="EU319" s="182">
        <f t="shared" si="813"/>
        <v>0</v>
      </c>
      <c r="EV319" s="182">
        <f t="shared" si="813"/>
        <v>0</v>
      </c>
      <c r="EW319" s="182">
        <f t="shared" si="813"/>
        <v>0</v>
      </c>
      <c r="EX319" s="182">
        <f t="shared" si="813"/>
        <v>0</v>
      </c>
      <c r="EY319" s="182">
        <f t="shared" si="813"/>
        <v>0</v>
      </c>
      <c r="EZ319" s="182">
        <f t="shared" si="813"/>
        <v>0</v>
      </c>
      <c r="FA319" s="182">
        <f t="shared" si="813"/>
        <v>0</v>
      </c>
      <c r="FB319" s="183">
        <f t="shared" si="813"/>
        <v>0</v>
      </c>
    </row>
    <row r="320" spans="2:158" ht="12.75" customHeight="1" x14ac:dyDescent="0.3">
      <c r="B320" s="199" t="s">
        <v>3963</v>
      </c>
      <c r="C320" s="193">
        <v>0</v>
      </c>
      <c r="D320" s="182">
        <f t="shared" si="729"/>
        <v>0</v>
      </c>
      <c r="E320" s="182">
        <f t="shared" si="735"/>
        <v>0</v>
      </c>
      <c r="F320" s="182">
        <f t="shared" si="741"/>
        <v>0</v>
      </c>
      <c r="G320" s="182">
        <f t="shared" si="747"/>
        <v>0</v>
      </c>
      <c r="H320" s="182">
        <f t="shared" si="753"/>
        <v>0</v>
      </c>
      <c r="I320" s="176">
        <f t="shared" si="759"/>
        <v>0</v>
      </c>
      <c r="J320" s="182">
        <f t="shared" si="765"/>
        <v>0</v>
      </c>
      <c r="K320" s="182">
        <f t="shared" si="771"/>
        <v>0</v>
      </c>
      <c r="L320" s="182">
        <f t="shared" si="777"/>
        <v>0</v>
      </c>
      <c r="M320" s="182">
        <f t="shared" si="783"/>
        <v>0</v>
      </c>
      <c r="N320" s="182">
        <f t="shared" si="789"/>
        <v>0</v>
      </c>
      <c r="O320" s="182">
        <f t="shared" si="794"/>
        <v>0</v>
      </c>
      <c r="P320" s="182">
        <f t="shared" si="799"/>
        <v>0</v>
      </c>
      <c r="Q320" s="182">
        <f t="shared" si="804"/>
        <v>0</v>
      </c>
      <c r="R320" s="182">
        <f t="shared" si="809"/>
        <v>0</v>
      </c>
      <c r="S320" s="182">
        <f t="shared" ref="S320:S330" si="814">S153*S$168</f>
        <v>0</v>
      </c>
      <c r="T320" s="182">
        <f t="shared" si="649"/>
        <v>0</v>
      </c>
      <c r="U320" s="182">
        <f t="shared" si="654"/>
        <v>0</v>
      </c>
      <c r="V320" s="182">
        <f t="shared" si="659"/>
        <v>0</v>
      </c>
      <c r="W320" s="182">
        <f t="shared" si="664"/>
        <v>0</v>
      </c>
      <c r="X320" s="182">
        <f t="shared" si="669"/>
        <v>0</v>
      </c>
      <c r="Y320" s="182">
        <f t="shared" si="674"/>
        <v>0</v>
      </c>
      <c r="Z320" s="182">
        <f t="shared" si="679"/>
        <v>0</v>
      </c>
      <c r="AA320" s="182">
        <f t="shared" si="684"/>
        <v>0</v>
      </c>
      <c r="AB320" s="182">
        <f t="shared" si="689"/>
        <v>0</v>
      </c>
      <c r="AC320" s="182">
        <f t="shared" si="694"/>
        <v>0</v>
      </c>
      <c r="AD320" s="182">
        <f t="shared" si="699"/>
        <v>0</v>
      </c>
      <c r="AE320" s="182">
        <f t="shared" si="704"/>
        <v>0</v>
      </c>
      <c r="AF320" s="182">
        <f t="shared" si="709"/>
        <v>0</v>
      </c>
      <c r="AG320" s="182">
        <f t="shared" si="714"/>
        <v>0</v>
      </c>
      <c r="AH320" s="182">
        <f t="shared" si="719"/>
        <v>0</v>
      </c>
      <c r="AI320" s="182">
        <f t="shared" si="724"/>
        <v>0</v>
      </c>
      <c r="AJ320" s="182">
        <f t="shared" si="730"/>
        <v>0</v>
      </c>
      <c r="AK320" s="182">
        <f t="shared" si="736"/>
        <v>0</v>
      </c>
      <c r="AL320" s="182">
        <f t="shared" si="742"/>
        <v>0</v>
      </c>
      <c r="AM320" s="182">
        <f t="shared" si="748"/>
        <v>0</v>
      </c>
      <c r="AN320" s="182">
        <f t="shared" si="754"/>
        <v>0</v>
      </c>
      <c r="AO320" s="182">
        <f t="shared" si="760"/>
        <v>0</v>
      </c>
      <c r="AP320" s="182">
        <f t="shared" si="766"/>
        <v>0</v>
      </c>
      <c r="AQ320" s="182">
        <f t="shared" si="772"/>
        <v>0</v>
      </c>
      <c r="AR320" s="182">
        <f t="shared" si="778"/>
        <v>0</v>
      </c>
      <c r="AS320" s="182">
        <f t="shared" si="784"/>
        <v>0</v>
      </c>
      <c r="AT320" s="182">
        <f t="shared" si="790"/>
        <v>0</v>
      </c>
      <c r="AU320" s="182">
        <f t="shared" si="795"/>
        <v>0</v>
      </c>
      <c r="AV320" s="182">
        <f t="shared" si="800"/>
        <v>0</v>
      </c>
      <c r="AW320" s="182">
        <f t="shared" si="805"/>
        <v>0</v>
      </c>
      <c r="AX320" s="182">
        <f t="shared" si="810"/>
        <v>0</v>
      </c>
      <c r="AY320" s="182">
        <f t="shared" ref="AY320:AY330" si="815">AY153*AY$168</f>
        <v>0</v>
      </c>
      <c r="AZ320" s="182">
        <f t="shared" si="650"/>
        <v>0</v>
      </c>
      <c r="BA320" s="182">
        <f t="shared" si="655"/>
        <v>0</v>
      </c>
      <c r="BB320" s="182">
        <f t="shared" si="660"/>
        <v>0</v>
      </c>
      <c r="BC320" s="182">
        <f t="shared" si="665"/>
        <v>0</v>
      </c>
      <c r="BD320" s="182">
        <f t="shared" si="670"/>
        <v>0</v>
      </c>
      <c r="BE320" s="182">
        <f t="shared" si="675"/>
        <v>0</v>
      </c>
      <c r="BF320" s="182">
        <f t="shared" si="680"/>
        <v>0</v>
      </c>
      <c r="BG320" s="182">
        <f t="shared" si="685"/>
        <v>0</v>
      </c>
      <c r="BH320" s="182">
        <f t="shared" si="690"/>
        <v>0</v>
      </c>
      <c r="BI320" s="182">
        <f t="shared" si="695"/>
        <v>0</v>
      </c>
      <c r="BJ320" s="182">
        <f t="shared" si="700"/>
        <v>0</v>
      </c>
      <c r="BK320" s="182">
        <f t="shared" si="705"/>
        <v>0</v>
      </c>
      <c r="BL320" s="182">
        <f t="shared" si="710"/>
        <v>0</v>
      </c>
      <c r="BM320" s="182">
        <f t="shared" si="715"/>
        <v>0</v>
      </c>
      <c r="BN320" s="182">
        <f t="shared" si="720"/>
        <v>0</v>
      </c>
      <c r="BO320" s="182">
        <f t="shared" si="725"/>
        <v>0</v>
      </c>
      <c r="BP320" s="182">
        <f t="shared" si="731"/>
        <v>0</v>
      </c>
      <c r="BQ320" s="182">
        <f t="shared" si="737"/>
        <v>0</v>
      </c>
      <c r="BR320" s="182">
        <f t="shared" si="743"/>
        <v>0</v>
      </c>
      <c r="BS320" s="182">
        <f t="shared" si="749"/>
        <v>0</v>
      </c>
      <c r="BT320" s="182">
        <f t="shared" si="755"/>
        <v>0</v>
      </c>
      <c r="BU320" s="182">
        <f t="shared" si="761"/>
        <v>0</v>
      </c>
      <c r="BV320" s="182">
        <f t="shared" si="767"/>
        <v>0</v>
      </c>
      <c r="BW320" s="182">
        <f t="shared" si="773"/>
        <v>0</v>
      </c>
      <c r="BX320" s="182">
        <f t="shared" si="779"/>
        <v>0</v>
      </c>
      <c r="BY320" s="182">
        <f t="shared" si="785"/>
        <v>0</v>
      </c>
      <c r="BZ320" s="182">
        <f t="shared" si="791"/>
        <v>0</v>
      </c>
      <c r="CA320" s="182">
        <f t="shared" si="796"/>
        <v>0</v>
      </c>
      <c r="CB320" s="182">
        <f t="shared" si="801"/>
        <v>0</v>
      </c>
      <c r="CC320" s="182">
        <f t="shared" si="806"/>
        <v>0</v>
      </c>
      <c r="CD320" s="182">
        <f t="shared" si="811"/>
        <v>0</v>
      </c>
      <c r="CE320" s="182">
        <f t="shared" ref="CE320:CE330" si="816">CE153*CE$168</f>
        <v>0</v>
      </c>
      <c r="CF320" s="182">
        <f t="shared" si="651"/>
        <v>0</v>
      </c>
      <c r="CG320" s="182">
        <f t="shared" si="656"/>
        <v>0</v>
      </c>
      <c r="CH320" s="182">
        <f t="shared" si="661"/>
        <v>0</v>
      </c>
      <c r="CI320" s="182">
        <f t="shared" si="666"/>
        <v>0</v>
      </c>
      <c r="CJ320" s="182">
        <f t="shared" si="671"/>
        <v>0</v>
      </c>
      <c r="CK320" s="182">
        <f t="shared" si="676"/>
        <v>0</v>
      </c>
      <c r="CL320" s="182">
        <f t="shared" si="681"/>
        <v>0</v>
      </c>
      <c r="CM320" s="182">
        <f t="shared" si="686"/>
        <v>0</v>
      </c>
      <c r="CN320" s="182">
        <f t="shared" si="691"/>
        <v>0</v>
      </c>
      <c r="CO320" s="182">
        <f t="shared" si="696"/>
        <v>0</v>
      </c>
      <c r="CP320" s="182">
        <f t="shared" si="701"/>
        <v>0</v>
      </c>
      <c r="CQ320" s="182">
        <f t="shared" si="706"/>
        <v>0</v>
      </c>
      <c r="CR320" s="182">
        <f t="shared" si="711"/>
        <v>0</v>
      </c>
      <c r="CS320" s="182">
        <f t="shared" si="716"/>
        <v>0</v>
      </c>
      <c r="CT320" s="182">
        <f t="shared" si="721"/>
        <v>0</v>
      </c>
      <c r="CU320" s="182">
        <f t="shared" si="726"/>
        <v>0</v>
      </c>
      <c r="CV320" s="182">
        <f t="shared" si="732"/>
        <v>0</v>
      </c>
      <c r="CW320" s="182">
        <f t="shared" si="738"/>
        <v>0</v>
      </c>
      <c r="CX320" s="182">
        <f t="shared" si="744"/>
        <v>8.8363352262369171E-14</v>
      </c>
      <c r="CY320" s="182">
        <f t="shared" si="750"/>
        <v>0</v>
      </c>
      <c r="CZ320" s="182">
        <f t="shared" si="756"/>
        <v>0</v>
      </c>
      <c r="DA320" s="182">
        <f t="shared" si="762"/>
        <v>0</v>
      </c>
      <c r="DB320" s="182">
        <f t="shared" si="768"/>
        <v>0</v>
      </c>
      <c r="DC320" s="182">
        <f t="shared" si="774"/>
        <v>0</v>
      </c>
      <c r="DD320" s="182">
        <f t="shared" si="780"/>
        <v>0</v>
      </c>
      <c r="DE320" s="182">
        <f t="shared" si="786"/>
        <v>0</v>
      </c>
      <c r="DF320" s="182">
        <f t="shared" si="622"/>
        <v>0</v>
      </c>
      <c r="DG320" s="182">
        <f t="shared" si="627"/>
        <v>0</v>
      </c>
      <c r="DH320" s="182">
        <f t="shared" si="632"/>
        <v>0</v>
      </c>
      <c r="DI320" s="182">
        <f t="shared" si="637"/>
        <v>0</v>
      </c>
      <c r="DJ320" s="182">
        <f t="shared" si="642"/>
        <v>0</v>
      </c>
      <c r="DK320" s="182">
        <f t="shared" si="647"/>
        <v>0</v>
      </c>
      <c r="DL320" s="182">
        <f t="shared" si="652"/>
        <v>0</v>
      </c>
      <c r="DM320" s="182">
        <f t="shared" si="657"/>
        <v>0</v>
      </c>
      <c r="DN320" s="182">
        <f t="shared" si="662"/>
        <v>0</v>
      </c>
      <c r="DO320" s="182">
        <f t="shared" si="667"/>
        <v>0</v>
      </c>
      <c r="DP320" s="182">
        <f t="shared" si="672"/>
        <v>0</v>
      </c>
      <c r="DQ320" s="182">
        <f t="shared" si="677"/>
        <v>0</v>
      </c>
      <c r="DR320" s="182">
        <f t="shared" si="682"/>
        <v>0</v>
      </c>
      <c r="DS320" s="182">
        <f t="shared" si="687"/>
        <v>0</v>
      </c>
      <c r="DT320" s="182">
        <f t="shared" si="692"/>
        <v>0</v>
      </c>
      <c r="DU320" s="182">
        <f t="shared" si="697"/>
        <v>0</v>
      </c>
      <c r="DV320" s="182">
        <f t="shared" si="702"/>
        <v>0</v>
      </c>
      <c r="DW320" s="182">
        <f t="shared" si="707"/>
        <v>0</v>
      </c>
      <c r="DX320" s="182">
        <f t="shared" si="712"/>
        <v>0</v>
      </c>
      <c r="DY320" s="182">
        <f t="shared" si="717"/>
        <v>0</v>
      </c>
      <c r="DZ320" s="182">
        <f t="shared" si="722"/>
        <v>0</v>
      </c>
      <c r="EA320" s="182">
        <f t="shared" si="727"/>
        <v>0</v>
      </c>
      <c r="EB320" s="182">
        <f t="shared" si="733"/>
        <v>0</v>
      </c>
      <c r="EC320" s="182">
        <f t="shared" si="739"/>
        <v>0</v>
      </c>
      <c r="ED320" s="182">
        <f t="shared" si="745"/>
        <v>0</v>
      </c>
      <c r="EE320" s="182">
        <f t="shared" si="751"/>
        <v>0</v>
      </c>
      <c r="EF320" s="182">
        <f t="shared" si="757"/>
        <v>0</v>
      </c>
      <c r="EG320" s="182">
        <f t="shared" si="763"/>
        <v>0</v>
      </c>
      <c r="EH320" s="182">
        <f t="shared" si="769"/>
        <v>0</v>
      </c>
      <c r="EI320" s="182">
        <f t="shared" si="775"/>
        <v>0</v>
      </c>
      <c r="EJ320" s="182">
        <f t="shared" si="781"/>
        <v>0</v>
      </c>
      <c r="EK320" s="182">
        <f t="shared" si="787"/>
        <v>0</v>
      </c>
      <c r="EL320" s="182">
        <f t="shared" si="792"/>
        <v>0</v>
      </c>
      <c r="EM320" s="182">
        <f t="shared" si="797"/>
        <v>0</v>
      </c>
      <c r="EN320" s="182">
        <f t="shared" si="802"/>
        <v>7.175552415852457E-9</v>
      </c>
      <c r="EO320" s="182">
        <f t="shared" si="807"/>
        <v>0</v>
      </c>
      <c r="EP320" s="182">
        <f t="shared" si="812"/>
        <v>0</v>
      </c>
      <c r="EQ320" s="182">
        <f t="shared" ref="EQ320:EQ330" si="817">EQ153*EQ$168</f>
        <v>0</v>
      </c>
      <c r="ER320" s="181">
        <f>$C320+SUM($D320:EQ320,ES320:$FB320)-SUM(ER$176:ER319,ER321:ER$330)-ER$331</f>
        <v>1.6543612251060553E-24</v>
      </c>
      <c r="ES320" s="182">
        <f t="shared" ref="ES320:FB320" si="818">ES153*ES$168</f>
        <v>0</v>
      </c>
      <c r="ET320" s="182">
        <f t="shared" si="818"/>
        <v>0</v>
      </c>
      <c r="EU320" s="182">
        <f t="shared" si="818"/>
        <v>0</v>
      </c>
      <c r="EV320" s="182">
        <f t="shared" si="818"/>
        <v>3.2511023312225031E-25</v>
      </c>
      <c r="EW320" s="182">
        <f t="shared" si="818"/>
        <v>0</v>
      </c>
      <c r="EX320" s="182">
        <f t="shared" si="818"/>
        <v>0</v>
      </c>
      <c r="EY320" s="182">
        <f t="shared" si="818"/>
        <v>0</v>
      </c>
      <c r="EZ320" s="182">
        <f t="shared" si="818"/>
        <v>0</v>
      </c>
      <c r="FA320" s="182">
        <f t="shared" si="818"/>
        <v>0</v>
      </c>
      <c r="FB320" s="183">
        <f t="shared" si="818"/>
        <v>0</v>
      </c>
    </row>
    <row r="321" spans="2:158" ht="12.75" customHeight="1" x14ac:dyDescent="0.3">
      <c r="B321" s="199" t="s">
        <v>3964</v>
      </c>
      <c r="C321" s="193">
        <v>0</v>
      </c>
      <c r="D321" s="182">
        <f t="shared" si="729"/>
        <v>0</v>
      </c>
      <c r="E321" s="182">
        <f t="shared" si="735"/>
        <v>0</v>
      </c>
      <c r="F321" s="182">
        <f t="shared" si="741"/>
        <v>0</v>
      </c>
      <c r="G321" s="182">
        <f t="shared" si="747"/>
        <v>0</v>
      </c>
      <c r="H321" s="182">
        <f t="shared" si="753"/>
        <v>0</v>
      </c>
      <c r="I321" s="176">
        <f t="shared" si="759"/>
        <v>0</v>
      </c>
      <c r="J321" s="182">
        <f t="shared" si="765"/>
        <v>0</v>
      </c>
      <c r="K321" s="182">
        <f t="shared" si="771"/>
        <v>0</v>
      </c>
      <c r="L321" s="182">
        <f t="shared" si="777"/>
        <v>0</v>
      </c>
      <c r="M321" s="182">
        <f t="shared" si="783"/>
        <v>0</v>
      </c>
      <c r="N321" s="182">
        <f t="shared" si="789"/>
        <v>0</v>
      </c>
      <c r="O321" s="182">
        <f t="shared" si="794"/>
        <v>0</v>
      </c>
      <c r="P321" s="182">
        <f t="shared" si="799"/>
        <v>0</v>
      </c>
      <c r="Q321" s="182">
        <f t="shared" si="804"/>
        <v>0</v>
      </c>
      <c r="R321" s="182">
        <f t="shared" si="809"/>
        <v>0</v>
      </c>
      <c r="S321" s="182">
        <f t="shared" si="814"/>
        <v>0</v>
      </c>
      <c r="T321" s="182">
        <f t="shared" ref="T321:T330" si="819">T154*T$168</f>
        <v>0</v>
      </c>
      <c r="U321" s="182">
        <f t="shared" si="654"/>
        <v>0</v>
      </c>
      <c r="V321" s="182">
        <f t="shared" si="659"/>
        <v>0</v>
      </c>
      <c r="W321" s="182">
        <f t="shared" si="664"/>
        <v>0</v>
      </c>
      <c r="X321" s="182">
        <f t="shared" si="669"/>
        <v>0</v>
      </c>
      <c r="Y321" s="182">
        <f t="shared" si="674"/>
        <v>0</v>
      </c>
      <c r="Z321" s="182">
        <f t="shared" si="679"/>
        <v>0</v>
      </c>
      <c r="AA321" s="182">
        <f t="shared" si="684"/>
        <v>0</v>
      </c>
      <c r="AB321" s="182">
        <f t="shared" si="689"/>
        <v>0</v>
      </c>
      <c r="AC321" s="182">
        <f t="shared" si="694"/>
        <v>0</v>
      </c>
      <c r="AD321" s="182">
        <f t="shared" si="699"/>
        <v>0</v>
      </c>
      <c r="AE321" s="182">
        <f t="shared" si="704"/>
        <v>0</v>
      </c>
      <c r="AF321" s="182">
        <f t="shared" si="709"/>
        <v>0</v>
      </c>
      <c r="AG321" s="182">
        <f t="shared" si="714"/>
        <v>0</v>
      </c>
      <c r="AH321" s="182">
        <f t="shared" si="719"/>
        <v>0</v>
      </c>
      <c r="AI321" s="182">
        <f t="shared" si="724"/>
        <v>0</v>
      </c>
      <c r="AJ321" s="182">
        <f t="shared" si="730"/>
        <v>0</v>
      </c>
      <c r="AK321" s="182">
        <f t="shared" si="736"/>
        <v>0</v>
      </c>
      <c r="AL321" s="182">
        <f t="shared" si="742"/>
        <v>0</v>
      </c>
      <c r="AM321" s="182">
        <f t="shared" si="748"/>
        <v>0</v>
      </c>
      <c r="AN321" s="182">
        <f t="shared" si="754"/>
        <v>0</v>
      </c>
      <c r="AO321" s="182">
        <f t="shared" si="760"/>
        <v>0</v>
      </c>
      <c r="AP321" s="182">
        <f t="shared" si="766"/>
        <v>0</v>
      </c>
      <c r="AQ321" s="182">
        <f t="shared" si="772"/>
        <v>0</v>
      </c>
      <c r="AR321" s="182">
        <f t="shared" si="778"/>
        <v>0</v>
      </c>
      <c r="AS321" s="182">
        <f t="shared" si="784"/>
        <v>0</v>
      </c>
      <c r="AT321" s="182">
        <f t="shared" si="790"/>
        <v>0</v>
      </c>
      <c r="AU321" s="182">
        <f t="shared" si="795"/>
        <v>0</v>
      </c>
      <c r="AV321" s="182">
        <f t="shared" si="800"/>
        <v>0</v>
      </c>
      <c r="AW321" s="182">
        <f t="shared" si="805"/>
        <v>0</v>
      </c>
      <c r="AX321" s="182">
        <f t="shared" si="810"/>
        <v>0</v>
      </c>
      <c r="AY321" s="182">
        <f t="shared" si="815"/>
        <v>0</v>
      </c>
      <c r="AZ321" s="182">
        <f t="shared" ref="AZ321:AZ330" si="820">AZ154*AZ$168</f>
        <v>0</v>
      </c>
      <c r="BA321" s="182">
        <f t="shared" si="655"/>
        <v>0</v>
      </c>
      <c r="BB321" s="182">
        <f t="shared" si="660"/>
        <v>0</v>
      </c>
      <c r="BC321" s="182">
        <f t="shared" si="665"/>
        <v>0</v>
      </c>
      <c r="BD321" s="182">
        <f t="shared" si="670"/>
        <v>0</v>
      </c>
      <c r="BE321" s="182">
        <f t="shared" si="675"/>
        <v>0</v>
      </c>
      <c r="BF321" s="182">
        <f t="shared" si="680"/>
        <v>0</v>
      </c>
      <c r="BG321" s="182">
        <f t="shared" si="685"/>
        <v>0</v>
      </c>
      <c r="BH321" s="182">
        <f t="shared" si="690"/>
        <v>0</v>
      </c>
      <c r="BI321" s="182">
        <f t="shared" si="695"/>
        <v>0</v>
      </c>
      <c r="BJ321" s="182">
        <f t="shared" si="700"/>
        <v>0</v>
      </c>
      <c r="BK321" s="182">
        <f t="shared" si="705"/>
        <v>0</v>
      </c>
      <c r="BL321" s="182">
        <f t="shared" si="710"/>
        <v>0</v>
      </c>
      <c r="BM321" s="182">
        <f t="shared" si="715"/>
        <v>0</v>
      </c>
      <c r="BN321" s="182">
        <f t="shared" si="720"/>
        <v>0</v>
      </c>
      <c r="BO321" s="182">
        <f t="shared" si="725"/>
        <v>0</v>
      </c>
      <c r="BP321" s="182">
        <f t="shared" si="731"/>
        <v>0</v>
      </c>
      <c r="BQ321" s="182">
        <f t="shared" si="737"/>
        <v>0</v>
      </c>
      <c r="BR321" s="182">
        <f t="shared" si="743"/>
        <v>0</v>
      </c>
      <c r="BS321" s="182">
        <f t="shared" si="749"/>
        <v>0</v>
      </c>
      <c r="BT321" s="182">
        <f t="shared" si="755"/>
        <v>0</v>
      </c>
      <c r="BU321" s="182">
        <f t="shared" si="761"/>
        <v>0</v>
      </c>
      <c r="BV321" s="182">
        <f t="shared" si="767"/>
        <v>0</v>
      </c>
      <c r="BW321" s="182">
        <f t="shared" si="773"/>
        <v>0</v>
      </c>
      <c r="BX321" s="182">
        <f t="shared" si="779"/>
        <v>0</v>
      </c>
      <c r="BY321" s="182">
        <f t="shared" si="785"/>
        <v>0</v>
      </c>
      <c r="BZ321" s="182">
        <f t="shared" si="791"/>
        <v>0</v>
      </c>
      <c r="CA321" s="182">
        <f t="shared" si="796"/>
        <v>0</v>
      </c>
      <c r="CB321" s="182">
        <f t="shared" si="801"/>
        <v>0</v>
      </c>
      <c r="CC321" s="182">
        <f t="shared" si="806"/>
        <v>0</v>
      </c>
      <c r="CD321" s="182">
        <f t="shared" si="811"/>
        <v>0</v>
      </c>
      <c r="CE321" s="182">
        <f t="shared" si="816"/>
        <v>0</v>
      </c>
      <c r="CF321" s="182">
        <f t="shared" ref="CF321:CF330" si="821">CF154*CF$168</f>
        <v>0</v>
      </c>
      <c r="CG321" s="182">
        <f t="shared" si="656"/>
        <v>0</v>
      </c>
      <c r="CH321" s="182">
        <f t="shared" si="661"/>
        <v>0</v>
      </c>
      <c r="CI321" s="182">
        <f t="shared" si="666"/>
        <v>0</v>
      </c>
      <c r="CJ321" s="182">
        <f t="shared" si="671"/>
        <v>0</v>
      </c>
      <c r="CK321" s="182">
        <f t="shared" si="676"/>
        <v>0</v>
      </c>
      <c r="CL321" s="182">
        <f t="shared" si="681"/>
        <v>0</v>
      </c>
      <c r="CM321" s="182">
        <f t="shared" si="686"/>
        <v>0</v>
      </c>
      <c r="CN321" s="182">
        <f t="shared" si="691"/>
        <v>0</v>
      </c>
      <c r="CO321" s="182">
        <f t="shared" si="696"/>
        <v>0</v>
      </c>
      <c r="CP321" s="182">
        <f t="shared" si="701"/>
        <v>0</v>
      </c>
      <c r="CQ321" s="182">
        <f t="shared" si="706"/>
        <v>0</v>
      </c>
      <c r="CR321" s="182">
        <f t="shared" si="711"/>
        <v>0</v>
      </c>
      <c r="CS321" s="182">
        <f t="shared" si="716"/>
        <v>0</v>
      </c>
      <c r="CT321" s="182">
        <f t="shared" si="721"/>
        <v>0</v>
      </c>
      <c r="CU321" s="182">
        <f t="shared" si="726"/>
        <v>0</v>
      </c>
      <c r="CV321" s="182">
        <f t="shared" si="732"/>
        <v>0</v>
      </c>
      <c r="CW321" s="182">
        <f t="shared" si="738"/>
        <v>0</v>
      </c>
      <c r="CX321" s="182">
        <f t="shared" si="744"/>
        <v>0</v>
      </c>
      <c r="CY321" s="182">
        <f t="shared" si="750"/>
        <v>43826.70115660179</v>
      </c>
      <c r="CZ321" s="182">
        <f t="shared" si="756"/>
        <v>0</v>
      </c>
      <c r="DA321" s="182">
        <f t="shared" si="762"/>
        <v>0</v>
      </c>
      <c r="DB321" s="182">
        <f t="shared" si="768"/>
        <v>0</v>
      </c>
      <c r="DC321" s="182">
        <f t="shared" si="774"/>
        <v>0</v>
      </c>
      <c r="DD321" s="182">
        <f t="shared" si="780"/>
        <v>0</v>
      </c>
      <c r="DE321" s="182">
        <f t="shared" si="786"/>
        <v>0</v>
      </c>
      <c r="DF321" s="182">
        <f t="shared" si="622"/>
        <v>0</v>
      </c>
      <c r="DG321" s="182">
        <f t="shared" si="627"/>
        <v>0</v>
      </c>
      <c r="DH321" s="182">
        <f t="shared" si="632"/>
        <v>0</v>
      </c>
      <c r="DI321" s="182">
        <f t="shared" si="637"/>
        <v>0</v>
      </c>
      <c r="DJ321" s="182">
        <f t="shared" si="642"/>
        <v>0</v>
      </c>
      <c r="DK321" s="182">
        <f t="shared" si="647"/>
        <v>0</v>
      </c>
      <c r="DL321" s="182">
        <f t="shared" si="652"/>
        <v>0</v>
      </c>
      <c r="DM321" s="182">
        <f t="shared" si="657"/>
        <v>0</v>
      </c>
      <c r="DN321" s="182">
        <f t="shared" si="662"/>
        <v>0</v>
      </c>
      <c r="DO321" s="182">
        <f t="shared" si="667"/>
        <v>0</v>
      </c>
      <c r="DP321" s="182">
        <f t="shared" si="672"/>
        <v>0</v>
      </c>
      <c r="DQ321" s="182">
        <f t="shared" si="677"/>
        <v>0</v>
      </c>
      <c r="DR321" s="182">
        <f t="shared" si="682"/>
        <v>0</v>
      </c>
      <c r="DS321" s="182">
        <f t="shared" si="687"/>
        <v>0</v>
      </c>
      <c r="DT321" s="182">
        <f t="shared" si="692"/>
        <v>0</v>
      </c>
      <c r="DU321" s="182">
        <f t="shared" si="697"/>
        <v>0</v>
      </c>
      <c r="DV321" s="182">
        <f t="shared" si="702"/>
        <v>0</v>
      </c>
      <c r="DW321" s="182">
        <f t="shared" si="707"/>
        <v>0</v>
      </c>
      <c r="DX321" s="182">
        <f t="shared" si="712"/>
        <v>0</v>
      </c>
      <c r="DY321" s="182">
        <f t="shared" si="717"/>
        <v>0</v>
      </c>
      <c r="DZ321" s="182">
        <f t="shared" si="722"/>
        <v>0</v>
      </c>
      <c r="EA321" s="182">
        <f t="shared" si="727"/>
        <v>0</v>
      </c>
      <c r="EB321" s="182">
        <f t="shared" si="733"/>
        <v>0</v>
      </c>
      <c r="EC321" s="182">
        <f t="shared" si="739"/>
        <v>0</v>
      </c>
      <c r="ED321" s="182">
        <f t="shared" si="745"/>
        <v>0</v>
      </c>
      <c r="EE321" s="182">
        <f t="shared" si="751"/>
        <v>0</v>
      </c>
      <c r="EF321" s="182">
        <f t="shared" si="757"/>
        <v>0</v>
      </c>
      <c r="EG321" s="182">
        <f t="shared" si="763"/>
        <v>0</v>
      </c>
      <c r="EH321" s="182">
        <f t="shared" si="769"/>
        <v>0</v>
      </c>
      <c r="EI321" s="182">
        <f t="shared" si="775"/>
        <v>0</v>
      </c>
      <c r="EJ321" s="182">
        <f t="shared" si="781"/>
        <v>0</v>
      </c>
      <c r="EK321" s="182">
        <f t="shared" si="787"/>
        <v>0</v>
      </c>
      <c r="EL321" s="182">
        <f t="shared" si="792"/>
        <v>0</v>
      </c>
      <c r="EM321" s="182">
        <f t="shared" si="797"/>
        <v>0</v>
      </c>
      <c r="EN321" s="182">
        <f t="shared" si="802"/>
        <v>0</v>
      </c>
      <c r="EO321" s="182">
        <f t="shared" si="807"/>
        <v>593864.23840726353</v>
      </c>
      <c r="EP321" s="182">
        <f t="shared" si="812"/>
        <v>0</v>
      </c>
      <c r="EQ321" s="182">
        <f t="shared" si="817"/>
        <v>0</v>
      </c>
      <c r="ER321" s="182">
        <f t="shared" ref="ER321:ER330" si="822">ER154*ER$168</f>
        <v>7.0987063853671116E-9</v>
      </c>
      <c r="ES321" s="181">
        <f>$C321+SUM($D321:ER321,ET321:$FB321)-SUM(ES$176:ES320,ES322:ES$330)-ES$331</f>
        <v>0</v>
      </c>
      <c r="ET321" s="182">
        <f t="shared" ref="ET321:FB321" si="823">ET154*ET$168</f>
        <v>0</v>
      </c>
      <c r="EU321" s="182">
        <f t="shared" si="823"/>
        <v>0</v>
      </c>
      <c r="EV321" s="182">
        <f t="shared" si="823"/>
        <v>0</v>
      </c>
      <c r="EW321" s="182">
        <f t="shared" si="823"/>
        <v>1377.4338085460781</v>
      </c>
      <c r="EX321" s="182">
        <f t="shared" si="823"/>
        <v>0</v>
      </c>
      <c r="EY321" s="182">
        <f t="shared" si="823"/>
        <v>0</v>
      </c>
      <c r="EZ321" s="182">
        <f t="shared" si="823"/>
        <v>0</v>
      </c>
      <c r="FA321" s="182">
        <f t="shared" si="823"/>
        <v>0</v>
      </c>
      <c r="FB321" s="183">
        <f t="shared" si="823"/>
        <v>0</v>
      </c>
    </row>
    <row r="322" spans="2:158" ht="12.75" customHeight="1" x14ac:dyDescent="0.3">
      <c r="B322" s="199" t="s">
        <v>3965</v>
      </c>
      <c r="C322" s="193">
        <v>0</v>
      </c>
      <c r="D322" s="182">
        <f t="shared" si="729"/>
        <v>0</v>
      </c>
      <c r="E322" s="182">
        <f t="shared" si="735"/>
        <v>0</v>
      </c>
      <c r="F322" s="182">
        <f t="shared" si="741"/>
        <v>0</v>
      </c>
      <c r="G322" s="182">
        <f t="shared" si="747"/>
        <v>0</v>
      </c>
      <c r="H322" s="182">
        <f t="shared" si="753"/>
        <v>0</v>
      </c>
      <c r="I322" s="176">
        <f t="shared" si="759"/>
        <v>0</v>
      </c>
      <c r="J322" s="182">
        <f t="shared" si="765"/>
        <v>0</v>
      </c>
      <c r="K322" s="182">
        <f t="shared" si="771"/>
        <v>0</v>
      </c>
      <c r="L322" s="182">
        <f t="shared" si="777"/>
        <v>0</v>
      </c>
      <c r="M322" s="182">
        <f t="shared" si="783"/>
        <v>0</v>
      </c>
      <c r="N322" s="182">
        <f t="shared" si="789"/>
        <v>0</v>
      </c>
      <c r="O322" s="182">
        <f t="shared" si="794"/>
        <v>0</v>
      </c>
      <c r="P322" s="182">
        <f t="shared" si="799"/>
        <v>0</v>
      </c>
      <c r="Q322" s="182">
        <f t="shared" si="804"/>
        <v>0</v>
      </c>
      <c r="R322" s="182">
        <f t="shared" si="809"/>
        <v>0</v>
      </c>
      <c r="S322" s="182">
        <f t="shared" si="814"/>
        <v>0</v>
      </c>
      <c r="T322" s="182">
        <f t="shared" si="819"/>
        <v>0</v>
      </c>
      <c r="U322" s="182">
        <f t="shared" ref="U322:U330" si="824">U155*U$168</f>
        <v>0</v>
      </c>
      <c r="V322" s="182">
        <f t="shared" si="659"/>
        <v>0</v>
      </c>
      <c r="W322" s="182">
        <f t="shared" si="664"/>
        <v>0</v>
      </c>
      <c r="X322" s="182">
        <f t="shared" si="669"/>
        <v>0</v>
      </c>
      <c r="Y322" s="182">
        <f t="shared" si="674"/>
        <v>0</v>
      </c>
      <c r="Z322" s="182">
        <f t="shared" si="679"/>
        <v>0</v>
      </c>
      <c r="AA322" s="182">
        <f t="shared" si="684"/>
        <v>0</v>
      </c>
      <c r="AB322" s="182">
        <f t="shared" si="689"/>
        <v>0</v>
      </c>
      <c r="AC322" s="182">
        <f t="shared" si="694"/>
        <v>0</v>
      </c>
      <c r="AD322" s="182">
        <f t="shared" si="699"/>
        <v>0</v>
      </c>
      <c r="AE322" s="182">
        <f t="shared" si="704"/>
        <v>0</v>
      </c>
      <c r="AF322" s="182">
        <f t="shared" si="709"/>
        <v>0</v>
      </c>
      <c r="AG322" s="182">
        <f t="shared" si="714"/>
        <v>0</v>
      </c>
      <c r="AH322" s="182">
        <f t="shared" si="719"/>
        <v>0</v>
      </c>
      <c r="AI322" s="182">
        <f t="shared" si="724"/>
        <v>0</v>
      </c>
      <c r="AJ322" s="182">
        <f t="shared" si="730"/>
        <v>0</v>
      </c>
      <c r="AK322" s="182">
        <f t="shared" si="736"/>
        <v>0</v>
      </c>
      <c r="AL322" s="182">
        <f t="shared" si="742"/>
        <v>0</v>
      </c>
      <c r="AM322" s="182">
        <f t="shared" si="748"/>
        <v>0</v>
      </c>
      <c r="AN322" s="182">
        <f t="shared" si="754"/>
        <v>0</v>
      </c>
      <c r="AO322" s="182">
        <f t="shared" si="760"/>
        <v>0</v>
      </c>
      <c r="AP322" s="182">
        <f t="shared" si="766"/>
        <v>0</v>
      </c>
      <c r="AQ322" s="182">
        <f t="shared" si="772"/>
        <v>0</v>
      </c>
      <c r="AR322" s="182">
        <f t="shared" si="778"/>
        <v>0</v>
      </c>
      <c r="AS322" s="182">
        <f t="shared" si="784"/>
        <v>0</v>
      </c>
      <c r="AT322" s="182">
        <f t="shared" si="790"/>
        <v>0</v>
      </c>
      <c r="AU322" s="182">
        <f t="shared" si="795"/>
        <v>0</v>
      </c>
      <c r="AV322" s="182">
        <f t="shared" si="800"/>
        <v>0</v>
      </c>
      <c r="AW322" s="182">
        <f t="shared" si="805"/>
        <v>0</v>
      </c>
      <c r="AX322" s="182">
        <f t="shared" si="810"/>
        <v>0</v>
      </c>
      <c r="AY322" s="182">
        <f t="shared" si="815"/>
        <v>0</v>
      </c>
      <c r="AZ322" s="182">
        <f t="shared" si="820"/>
        <v>0</v>
      </c>
      <c r="BA322" s="182">
        <f t="shared" ref="BA322:BA330" si="825">BA155*BA$168</f>
        <v>0</v>
      </c>
      <c r="BB322" s="182">
        <f t="shared" si="660"/>
        <v>0</v>
      </c>
      <c r="BC322" s="182">
        <f t="shared" si="665"/>
        <v>0</v>
      </c>
      <c r="BD322" s="182">
        <f t="shared" si="670"/>
        <v>0</v>
      </c>
      <c r="BE322" s="182">
        <f t="shared" si="675"/>
        <v>0</v>
      </c>
      <c r="BF322" s="182">
        <f t="shared" si="680"/>
        <v>0</v>
      </c>
      <c r="BG322" s="182">
        <f t="shared" si="685"/>
        <v>0</v>
      </c>
      <c r="BH322" s="182">
        <f t="shared" si="690"/>
        <v>0</v>
      </c>
      <c r="BI322" s="182">
        <f t="shared" si="695"/>
        <v>0</v>
      </c>
      <c r="BJ322" s="182">
        <f t="shared" si="700"/>
        <v>0</v>
      </c>
      <c r="BK322" s="182">
        <f t="shared" si="705"/>
        <v>0</v>
      </c>
      <c r="BL322" s="182">
        <f t="shared" si="710"/>
        <v>0</v>
      </c>
      <c r="BM322" s="182">
        <f t="shared" si="715"/>
        <v>0</v>
      </c>
      <c r="BN322" s="182">
        <f t="shared" si="720"/>
        <v>0</v>
      </c>
      <c r="BO322" s="182">
        <f t="shared" si="725"/>
        <v>0</v>
      </c>
      <c r="BP322" s="182">
        <f t="shared" si="731"/>
        <v>0</v>
      </c>
      <c r="BQ322" s="182">
        <f t="shared" si="737"/>
        <v>0</v>
      </c>
      <c r="BR322" s="182">
        <f t="shared" si="743"/>
        <v>0</v>
      </c>
      <c r="BS322" s="182">
        <f t="shared" si="749"/>
        <v>0</v>
      </c>
      <c r="BT322" s="182">
        <f t="shared" si="755"/>
        <v>0</v>
      </c>
      <c r="BU322" s="182">
        <f t="shared" si="761"/>
        <v>0</v>
      </c>
      <c r="BV322" s="182">
        <f t="shared" si="767"/>
        <v>0</v>
      </c>
      <c r="BW322" s="182">
        <f t="shared" si="773"/>
        <v>0</v>
      </c>
      <c r="BX322" s="182">
        <f t="shared" si="779"/>
        <v>0</v>
      </c>
      <c r="BY322" s="182">
        <f t="shared" si="785"/>
        <v>0</v>
      </c>
      <c r="BZ322" s="182">
        <f t="shared" si="791"/>
        <v>0</v>
      </c>
      <c r="CA322" s="182">
        <f t="shared" si="796"/>
        <v>0</v>
      </c>
      <c r="CB322" s="182">
        <f t="shared" si="801"/>
        <v>0</v>
      </c>
      <c r="CC322" s="182">
        <f t="shared" si="806"/>
        <v>0</v>
      </c>
      <c r="CD322" s="182">
        <f t="shared" si="811"/>
        <v>0</v>
      </c>
      <c r="CE322" s="182">
        <f t="shared" si="816"/>
        <v>0</v>
      </c>
      <c r="CF322" s="182">
        <f t="shared" si="821"/>
        <v>0</v>
      </c>
      <c r="CG322" s="182">
        <f t="shared" ref="CG322:CG330" si="826">CG155*CG$168</f>
        <v>0</v>
      </c>
      <c r="CH322" s="182">
        <f t="shared" si="661"/>
        <v>0</v>
      </c>
      <c r="CI322" s="182">
        <f t="shared" si="666"/>
        <v>0</v>
      </c>
      <c r="CJ322" s="182">
        <f t="shared" si="671"/>
        <v>0</v>
      </c>
      <c r="CK322" s="182">
        <f t="shared" si="676"/>
        <v>0</v>
      </c>
      <c r="CL322" s="182">
        <f t="shared" si="681"/>
        <v>0</v>
      </c>
      <c r="CM322" s="182">
        <f t="shared" si="686"/>
        <v>0</v>
      </c>
      <c r="CN322" s="182">
        <f t="shared" si="691"/>
        <v>0</v>
      </c>
      <c r="CO322" s="182">
        <f t="shared" si="696"/>
        <v>0</v>
      </c>
      <c r="CP322" s="182">
        <f t="shared" si="701"/>
        <v>0</v>
      </c>
      <c r="CQ322" s="182">
        <f t="shared" si="706"/>
        <v>0</v>
      </c>
      <c r="CR322" s="182">
        <f t="shared" si="711"/>
        <v>0</v>
      </c>
      <c r="CS322" s="182">
        <f t="shared" si="716"/>
        <v>0</v>
      </c>
      <c r="CT322" s="182">
        <f t="shared" si="721"/>
        <v>0</v>
      </c>
      <c r="CU322" s="182">
        <f t="shared" si="726"/>
        <v>0</v>
      </c>
      <c r="CV322" s="182">
        <f t="shared" si="732"/>
        <v>0</v>
      </c>
      <c r="CW322" s="182">
        <f t="shared" si="738"/>
        <v>0</v>
      </c>
      <c r="CX322" s="182">
        <f t="shared" si="744"/>
        <v>0</v>
      </c>
      <c r="CY322" s="182">
        <f t="shared" si="750"/>
        <v>0</v>
      </c>
      <c r="CZ322" s="182">
        <f t="shared" si="756"/>
        <v>1.0993657005672293</v>
      </c>
      <c r="DA322" s="182">
        <f t="shared" si="762"/>
        <v>0</v>
      </c>
      <c r="DB322" s="182">
        <f t="shared" si="768"/>
        <v>0</v>
      </c>
      <c r="DC322" s="182">
        <f t="shared" si="774"/>
        <v>0</v>
      </c>
      <c r="DD322" s="182">
        <f t="shared" si="780"/>
        <v>0</v>
      </c>
      <c r="DE322" s="182">
        <f t="shared" si="786"/>
        <v>0</v>
      </c>
      <c r="DF322" s="182">
        <f t="shared" si="622"/>
        <v>0</v>
      </c>
      <c r="DG322" s="182">
        <f t="shared" si="627"/>
        <v>0</v>
      </c>
      <c r="DH322" s="182">
        <f t="shared" si="632"/>
        <v>0</v>
      </c>
      <c r="DI322" s="182">
        <f t="shared" si="637"/>
        <v>0</v>
      </c>
      <c r="DJ322" s="182">
        <f t="shared" si="642"/>
        <v>0</v>
      </c>
      <c r="DK322" s="182">
        <f t="shared" si="647"/>
        <v>0</v>
      </c>
      <c r="DL322" s="182">
        <f t="shared" si="652"/>
        <v>0</v>
      </c>
      <c r="DM322" s="182">
        <f t="shared" si="657"/>
        <v>0</v>
      </c>
      <c r="DN322" s="182">
        <f t="shared" si="662"/>
        <v>0</v>
      </c>
      <c r="DO322" s="182">
        <f t="shared" si="667"/>
        <v>0</v>
      </c>
      <c r="DP322" s="182">
        <f t="shared" si="672"/>
        <v>0</v>
      </c>
      <c r="DQ322" s="182">
        <f t="shared" si="677"/>
        <v>0</v>
      </c>
      <c r="DR322" s="182">
        <f t="shared" si="682"/>
        <v>0</v>
      </c>
      <c r="DS322" s="182">
        <f t="shared" si="687"/>
        <v>0</v>
      </c>
      <c r="DT322" s="182">
        <f t="shared" si="692"/>
        <v>0</v>
      </c>
      <c r="DU322" s="182">
        <f t="shared" si="697"/>
        <v>0</v>
      </c>
      <c r="DV322" s="182">
        <f t="shared" si="702"/>
        <v>0</v>
      </c>
      <c r="DW322" s="182">
        <f t="shared" si="707"/>
        <v>0</v>
      </c>
      <c r="DX322" s="182">
        <f t="shared" si="712"/>
        <v>0</v>
      </c>
      <c r="DY322" s="182">
        <f t="shared" si="717"/>
        <v>0</v>
      </c>
      <c r="DZ322" s="182">
        <f t="shared" si="722"/>
        <v>0</v>
      </c>
      <c r="EA322" s="182">
        <f t="shared" si="727"/>
        <v>0</v>
      </c>
      <c r="EB322" s="182">
        <f t="shared" si="733"/>
        <v>0</v>
      </c>
      <c r="EC322" s="182">
        <f t="shared" si="739"/>
        <v>0</v>
      </c>
      <c r="ED322" s="182">
        <f t="shared" si="745"/>
        <v>0</v>
      </c>
      <c r="EE322" s="182">
        <f t="shared" si="751"/>
        <v>0</v>
      </c>
      <c r="EF322" s="182">
        <f t="shared" si="757"/>
        <v>0</v>
      </c>
      <c r="EG322" s="182">
        <f t="shared" si="763"/>
        <v>0</v>
      </c>
      <c r="EH322" s="182">
        <f t="shared" si="769"/>
        <v>0</v>
      </c>
      <c r="EI322" s="182">
        <f t="shared" si="775"/>
        <v>0</v>
      </c>
      <c r="EJ322" s="182">
        <f t="shared" si="781"/>
        <v>0</v>
      </c>
      <c r="EK322" s="182">
        <f t="shared" si="787"/>
        <v>0</v>
      </c>
      <c r="EL322" s="182">
        <f t="shared" si="792"/>
        <v>0</v>
      </c>
      <c r="EM322" s="182">
        <f t="shared" si="797"/>
        <v>0</v>
      </c>
      <c r="EN322" s="182">
        <f t="shared" si="802"/>
        <v>0</v>
      </c>
      <c r="EO322" s="182">
        <f t="shared" si="807"/>
        <v>0</v>
      </c>
      <c r="EP322" s="182">
        <f t="shared" si="812"/>
        <v>33.918041356305615</v>
      </c>
      <c r="EQ322" s="182">
        <f t="shared" si="817"/>
        <v>0</v>
      </c>
      <c r="ER322" s="182">
        <f t="shared" si="822"/>
        <v>7.6918142304483378E-11</v>
      </c>
      <c r="ES322" s="182">
        <f t="shared" ref="ES322:ES330" si="827">ES155*ES$168</f>
        <v>0</v>
      </c>
      <c r="ET322" s="181">
        <f>$C322+SUM($D322:ES322,EU322:$FB322)-SUM(ET$176:ET321,ET323:ET$330)-ET$331</f>
        <v>-1.4210854715202004E-14</v>
      </c>
      <c r="EU322" s="182">
        <f t="shared" ref="EU322:FB322" si="828">EU155*EU$168</f>
        <v>0</v>
      </c>
      <c r="EV322" s="182">
        <f t="shared" si="828"/>
        <v>0</v>
      </c>
      <c r="EW322" s="182">
        <f t="shared" si="828"/>
        <v>0</v>
      </c>
      <c r="EX322" s="182">
        <f t="shared" si="828"/>
        <v>45.306544181284401</v>
      </c>
      <c r="EY322" s="182">
        <f t="shared" si="828"/>
        <v>0</v>
      </c>
      <c r="EZ322" s="182">
        <f t="shared" si="828"/>
        <v>0</v>
      </c>
      <c r="FA322" s="182">
        <f t="shared" si="828"/>
        <v>0</v>
      </c>
      <c r="FB322" s="183">
        <f t="shared" si="828"/>
        <v>0</v>
      </c>
    </row>
    <row r="323" spans="2:158" ht="12.75" customHeight="1" x14ac:dyDescent="0.3">
      <c r="B323" s="199" t="s">
        <v>3966</v>
      </c>
      <c r="C323" s="193">
        <v>0</v>
      </c>
      <c r="D323" s="182">
        <f t="shared" si="729"/>
        <v>0</v>
      </c>
      <c r="E323" s="182">
        <f t="shared" si="735"/>
        <v>0</v>
      </c>
      <c r="F323" s="182">
        <f t="shared" si="741"/>
        <v>0</v>
      </c>
      <c r="G323" s="182">
        <f t="shared" si="747"/>
        <v>0</v>
      </c>
      <c r="H323" s="182">
        <f t="shared" si="753"/>
        <v>0</v>
      </c>
      <c r="I323" s="176">
        <f t="shared" si="759"/>
        <v>0</v>
      </c>
      <c r="J323" s="182">
        <f t="shared" si="765"/>
        <v>0</v>
      </c>
      <c r="K323" s="182">
        <f t="shared" si="771"/>
        <v>0</v>
      </c>
      <c r="L323" s="182">
        <f t="shared" si="777"/>
        <v>0</v>
      </c>
      <c r="M323" s="182">
        <f t="shared" si="783"/>
        <v>0</v>
      </c>
      <c r="N323" s="182">
        <f t="shared" si="789"/>
        <v>0</v>
      </c>
      <c r="O323" s="182">
        <f t="shared" si="794"/>
        <v>0</v>
      </c>
      <c r="P323" s="182">
        <f t="shared" si="799"/>
        <v>0</v>
      </c>
      <c r="Q323" s="182">
        <f t="shared" si="804"/>
        <v>0</v>
      </c>
      <c r="R323" s="182">
        <f t="shared" si="809"/>
        <v>0</v>
      </c>
      <c r="S323" s="182">
        <f t="shared" si="814"/>
        <v>0</v>
      </c>
      <c r="T323" s="182">
        <f t="shared" si="819"/>
        <v>0</v>
      </c>
      <c r="U323" s="182">
        <f t="shared" si="824"/>
        <v>0</v>
      </c>
      <c r="V323" s="182">
        <f t="shared" ref="V323:V330" si="829">V156*V$168</f>
        <v>0</v>
      </c>
      <c r="W323" s="182">
        <f t="shared" si="664"/>
        <v>0</v>
      </c>
      <c r="X323" s="182">
        <f t="shared" si="669"/>
        <v>0</v>
      </c>
      <c r="Y323" s="182">
        <f t="shared" si="674"/>
        <v>0</v>
      </c>
      <c r="Z323" s="182">
        <f t="shared" si="679"/>
        <v>0</v>
      </c>
      <c r="AA323" s="182">
        <f t="shared" si="684"/>
        <v>0</v>
      </c>
      <c r="AB323" s="182">
        <f t="shared" si="689"/>
        <v>0</v>
      </c>
      <c r="AC323" s="182">
        <f t="shared" si="694"/>
        <v>0</v>
      </c>
      <c r="AD323" s="182">
        <f t="shared" si="699"/>
        <v>0</v>
      </c>
      <c r="AE323" s="182">
        <f t="shared" si="704"/>
        <v>0</v>
      </c>
      <c r="AF323" s="182">
        <f t="shared" si="709"/>
        <v>0</v>
      </c>
      <c r="AG323" s="182">
        <f t="shared" si="714"/>
        <v>0</v>
      </c>
      <c r="AH323" s="182">
        <f t="shared" si="719"/>
        <v>0</v>
      </c>
      <c r="AI323" s="182">
        <f t="shared" si="724"/>
        <v>0</v>
      </c>
      <c r="AJ323" s="182">
        <f t="shared" si="730"/>
        <v>0</v>
      </c>
      <c r="AK323" s="182">
        <f t="shared" si="736"/>
        <v>0</v>
      </c>
      <c r="AL323" s="182">
        <f t="shared" si="742"/>
        <v>0</v>
      </c>
      <c r="AM323" s="182">
        <f t="shared" si="748"/>
        <v>0</v>
      </c>
      <c r="AN323" s="182">
        <f t="shared" si="754"/>
        <v>0</v>
      </c>
      <c r="AO323" s="182">
        <f t="shared" si="760"/>
        <v>0</v>
      </c>
      <c r="AP323" s="182">
        <f t="shared" si="766"/>
        <v>0</v>
      </c>
      <c r="AQ323" s="182">
        <f t="shared" si="772"/>
        <v>0</v>
      </c>
      <c r="AR323" s="182">
        <f t="shared" si="778"/>
        <v>0</v>
      </c>
      <c r="AS323" s="182">
        <f t="shared" si="784"/>
        <v>0</v>
      </c>
      <c r="AT323" s="182">
        <f t="shared" si="790"/>
        <v>0</v>
      </c>
      <c r="AU323" s="182">
        <f t="shared" si="795"/>
        <v>0</v>
      </c>
      <c r="AV323" s="182">
        <f t="shared" si="800"/>
        <v>0</v>
      </c>
      <c r="AW323" s="182">
        <f t="shared" si="805"/>
        <v>0</v>
      </c>
      <c r="AX323" s="182">
        <f t="shared" si="810"/>
        <v>0</v>
      </c>
      <c r="AY323" s="182">
        <f t="shared" si="815"/>
        <v>0</v>
      </c>
      <c r="AZ323" s="182">
        <f t="shared" si="820"/>
        <v>0</v>
      </c>
      <c r="BA323" s="182">
        <f t="shared" si="825"/>
        <v>0</v>
      </c>
      <c r="BB323" s="182">
        <f t="shared" ref="BB323:BB330" si="830">BB156*BB$168</f>
        <v>0</v>
      </c>
      <c r="BC323" s="182">
        <f t="shared" si="665"/>
        <v>0</v>
      </c>
      <c r="BD323" s="182">
        <f t="shared" si="670"/>
        <v>0</v>
      </c>
      <c r="BE323" s="182">
        <f t="shared" si="675"/>
        <v>0</v>
      </c>
      <c r="BF323" s="182">
        <f t="shared" si="680"/>
        <v>0</v>
      </c>
      <c r="BG323" s="182">
        <f t="shared" si="685"/>
        <v>0</v>
      </c>
      <c r="BH323" s="182">
        <f t="shared" si="690"/>
        <v>0</v>
      </c>
      <c r="BI323" s="182">
        <f t="shared" si="695"/>
        <v>0</v>
      </c>
      <c r="BJ323" s="182">
        <f t="shared" si="700"/>
        <v>0</v>
      </c>
      <c r="BK323" s="182">
        <f t="shared" si="705"/>
        <v>0</v>
      </c>
      <c r="BL323" s="182">
        <f t="shared" si="710"/>
        <v>0</v>
      </c>
      <c r="BM323" s="182">
        <f t="shared" si="715"/>
        <v>0</v>
      </c>
      <c r="BN323" s="182">
        <f t="shared" si="720"/>
        <v>0</v>
      </c>
      <c r="BO323" s="182">
        <f t="shared" si="725"/>
        <v>0</v>
      </c>
      <c r="BP323" s="182">
        <f t="shared" si="731"/>
        <v>0</v>
      </c>
      <c r="BQ323" s="182">
        <f t="shared" si="737"/>
        <v>0</v>
      </c>
      <c r="BR323" s="182">
        <f t="shared" si="743"/>
        <v>0</v>
      </c>
      <c r="BS323" s="182">
        <f t="shared" si="749"/>
        <v>0</v>
      </c>
      <c r="BT323" s="182">
        <f t="shared" si="755"/>
        <v>0</v>
      </c>
      <c r="BU323" s="182">
        <f t="shared" si="761"/>
        <v>0</v>
      </c>
      <c r="BV323" s="182">
        <f t="shared" si="767"/>
        <v>0</v>
      </c>
      <c r="BW323" s="182">
        <f t="shared" si="773"/>
        <v>0</v>
      </c>
      <c r="BX323" s="182">
        <f t="shared" si="779"/>
        <v>0</v>
      </c>
      <c r="BY323" s="182">
        <f t="shared" si="785"/>
        <v>0</v>
      </c>
      <c r="BZ323" s="182">
        <f t="shared" si="791"/>
        <v>0</v>
      </c>
      <c r="CA323" s="182">
        <f t="shared" si="796"/>
        <v>0</v>
      </c>
      <c r="CB323" s="182">
        <f t="shared" si="801"/>
        <v>0</v>
      </c>
      <c r="CC323" s="182">
        <f t="shared" si="806"/>
        <v>0</v>
      </c>
      <c r="CD323" s="182">
        <f t="shared" si="811"/>
        <v>0</v>
      </c>
      <c r="CE323" s="182">
        <f t="shared" si="816"/>
        <v>0</v>
      </c>
      <c r="CF323" s="182">
        <f t="shared" si="821"/>
        <v>0</v>
      </c>
      <c r="CG323" s="182">
        <f t="shared" si="826"/>
        <v>0</v>
      </c>
      <c r="CH323" s="182">
        <f t="shared" ref="CH323:CH330" si="831">CH156*CH$168</f>
        <v>0</v>
      </c>
      <c r="CI323" s="182">
        <f t="shared" si="666"/>
        <v>0</v>
      </c>
      <c r="CJ323" s="182">
        <f t="shared" si="671"/>
        <v>0</v>
      </c>
      <c r="CK323" s="182">
        <f t="shared" si="676"/>
        <v>0</v>
      </c>
      <c r="CL323" s="182">
        <f t="shared" si="681"/>
        <v>0</v>
      </c>
      <c r="CM323" s="182">
        <f t="shared" si="686"/>
        <v>0</v>
      </c>
      <c r="CN323" s="182">
        <f t="shared" si="691"/>
        <v>0</v>
      </c>
      <c r="CO323" s="182">
        <f t="shared" si="696"/>
        <v>0</v>
      </c>
      <c r="CP323" s="182">
        <f t="shared" si="701"/>
        <v>0</v>
      </c>
      <c r="CQ323" s="182">
        <f t="shared" si="706"/>
        <v>0</v>
      </c>
      <c r="CR323" s="182">
        <f t="shared" si="711"/>
        <v>0</v>
      </c>
      <c r="CS323" s="182">
        <f t="shared" si="716"/>
        <v>0</v>
      </c>
      <c r="CT323" s="182">
        <f t="shared" si="721"/>
        <v>0</v>
      </c>
      <c r="CU323" s="182">
        <f t="shared" si="726"/>
        <v>0</v>
      </c>
      <c r="CV323" s="182">
        <f t="shared" si="732"/>
        <v>0</v>
      </c>
      <c r="CW323" s="182">
        <f t="shared" si="738"/>
        <v>0</v>
      </c>
      <c r="CX323" s="182">
        <f t="shared" si="744"/>
        <v>0</v>
      </c>
      <c r="CY323" s="182">
        <f t="shared" si="750"/>
        <v>0</v>
      </c>
      <c r="CZ323" s="182">
        <f t="shared" si="756"/>
        <v>0</v>
      </c>
      <c r="DA323" s="182">
        <f t="shared" si="762"/>
        <v>0</v>
      </c>
      <c r="DB323" s="182">
        <f t="shared" si="768"/>
        <v>0</v>
      </c>
      <c r="DC323" s="182">
        <f t="shared" si="774"/>
        <v>0</v>
      </c>
      <c r="DD323" s="182">
        <f t="shared" si="780"/>
        <v>0</v>
      </c>
      <c r="DE323" s="182">
        <f t="shared" si="786"/>
        <v>0</v>
      </c>
      <c r="DF323" s="182">
        <f t="shared" si="622"/>
        <v>0</v>
      </c>
      <c r="DG323" s="182">
        <f t="shared" si="627"/>
        <v>0</v>
      </c>
      <c r="DH323" s="182">
        <f t="shared" si="632"/>
        <v>0</v>
      </c>
      <c r="DI323" s="182">
        <f t="shared" si="637"/>
        <v>0</v>
      </c>
      <c r="DJ323" s="182">
        <f t="shared" si="642"/>
        <v>0</v>
      </c>
      <c r="DK323" s="182">
        <f t="shared" si="647"/>
        <v>0</v>
      </c>
      <c r="DL323" s="182">
        <f t="shared" si="652"/>
        <v>0</v>
      </c>
      <c r="DM323" s="182">
        <f t="shared" si="657"/>
        <v>0</v>
      </c>
      <c r="DN323" s="182">
        <f t="shared" si="662"/>
        <v>0</v>
      </c>
      <c r="DO323" s="182">
        <f t="shared" si="667"/>
        <v>0</v>
      </c>
      <c r="DP323" s="182">
        <f t="shared" si="672"/>
        <v>0</v>
      </c>
      <c r="DQ323" s="182">
        <f t="shared" si="677"/>
        <v>0</v>
      </c>
      <c r="DR323" s="182">
        <f t="shared" si="682"/>
        <v>0</v>
      </c>
      <c r="DS323" s="182">
        <f t="shared" si="687"/>
        <v>0</v>
      </c>
      <c r="DT323" s="182">
        <f t="shared" si="692"/>
        <v>0</v>
      </c>
      <c r="DU323" s="182">
        <f t="shared" si="697"/>
        <v>0</v>
      </c>
      <c r="DV323" s="182">
        <f t="shared" si="702"/>
        <v>0</v>
      </c>
      <c r="DW323" s="182">
        <f t="shared" si="707"/>
        <v>0</v>
      </c>
      <c r="DX323" s="182">
        <f t="shared" si="712"/>
        <v>0</v>
      </c>
      <c r="DY323" s="182">
        <f t="shared" si="717"/>
        <v>0</v>
      </c>
      <c r="DZ323" s="182">
        <f t="shared" si="722"/>
        <v>0</v>
      </c>
      <c r="EA323" s="182">
        <f t="shared" si="727"/>
        <v>0</v>
      </c>
      <c r="EB323" s="182">
        <f t="shared" si="733"/>
        <v>0</v>
      </c>
      <c r="EC323" s="182">
        <f t="shared" si="739"/>
        <v>0</v>
      </c>
      <c r="ED323" s="182">
        <f t="shared" si="745"/>
        <v>0</v>
      </c>
      <c r="EE323" s="182">
        <f t="shared" si="751"/>
        <v>0</v>
      </c>
      <c r="EF323" s="182">
        <f t="shared" si="757"/>
        <v>0</v>
      </c>
      <c r="EG323" s="182">
        <f t="shared" si="763"/>
        <v>0</v>
      </c>
      <c r="EH323" s="182">
        <f t="shared" si="769"/>
        <v>0</v>
      </c>
      <c r="EI323" s="182">
        <f t="shared" si="775"/>
        <v>0</v>
      </c>
      <c r="EJ323" s="182">
        <f t="shared" si="781"/>
        <v>0</v>
      </c>
      <c r="EK323" s="182">
        <f t="shared" si="787"/>
        <v>0</v>
      </c>
      <c r="EL323" s="182">
        <f t="shared" si="792"/>
        <v>0</v>
      </c>
      <c r="EM323" s="182">
        <f t="shared" si="797"/>
        <v>0</v>
      </c>
      <c r="EN323" s="182">
        <f t="shared" si="802"/>
        <v>0</v>
      </c>
      <c r="EO323" s="182">
        <f t="shared" si="807"/>
        <v>0</v>
      </c>
      <c r="EP323" s="182">
        <f t="shared" si="812"/>
        <v>0</v>
      </c>
      <c r="EQ323" s="182">
        <f t="shared" si="817"/>
        <v>0</v>
      </c>
      <c r="ER323" s="182">
        <f t="shared" si="822"/>
        <v>0</v>
      </c>
      <c r="ES323" s="182">
        <f t="shared" si="827"/>
        <v>0</v>
      </c>
      <c r="ET323" s="182">
        <f t="shared" ref="ET323:ET330" si="832">ET156*ET$168</f>
        <v>0</v>
      </c>
      <c r="EU323" s="181">
        <f>$C323+SUM($D323:ET323,EV323:$FB323)-SUM(EU$176:EU322,EU324:EU$330)-EU$331</f>
        <v>0</v>
      </c>
      <c r="EV323" s="182">
        <f t="shared" ref="EV323:FB323" si="833">EV156*EV$168</f>
        <v>0</v>
      </c>
      <c r="EW323" s="182">
        <f t="shared" si="833"/>
        <v>0</v>
      </c>
      <c r="EX323" s="182">
        <f t="shared" si="833"/>
        <v>0</v>
      </c>
      <c r="EY323" s="182">
        <f t="shared" si="833"/>
        <v>0</v>
      </c>
      <c r="EZ323" s="182">
        <f t="shared" si="833"/>
        <v>0</v>
      </c>
      <c r="FA323" s="182">
        <f t="shared" si="833"/>
        <v>0</v>
      </c>
      <c r="FB323" s="183">
        <f t="shared" si="833"/>
        <v>0</v>
      </c>
    </row>
    <row r="324" spans="2:158" ht="12.75" customHeight="1" x14ac:dyDescent="0.3">
      <c r="B324" s="199" t="s">
        <v>3967</v>
      </c>
      <c r="C324" s="193">
        <v>0</v>
      </c>
      <c r="D324" s="182">
        <f t="shared" si="729"/>
        <v>0</v>
      </c>
      <c r="E324" s="182">
        <f t="shared" si="735"/>
        <v>0</v>
      </c>
      <c r="F324" s="182">
        <f t="shared" si="741"/>
        <v>0</v>
      </c>
      <c r="G324" s="182">
        <f t="shared" si="747"/>
        <v>0</v>
      </c>
      <c r="H324" s="182">
        <f t="shared" si="753"/>
        <v>0</v>
      </c>
      <c r="I324" s="176">
        <f t="shared" si="759"/>
        <v>0</v>
      </c>
      <c r="J324" s="182">
        <f t="shared" si="765"/>
        <v>0</v>
      </c>
      <c r="K324" s="182">
        <f t="shared" si="771"/>
        <v>0</v>
      </c>
      <c r="L324" s="182">
        <f t="shared" si="777"/>
        <v>0</v>
      </c>
      <c r="M324" s="182">
        <f t="shared" si="783"/>
        <v>0</v>
      </c>
      <c r="N324" s="182">
        <f t="shared" si="789"/>
        <v>0</v>
      </c>
      <c r="O324" s="182">
        <f t="shared" si="794"/>
        <v>0</v>
      </c>
      <c r="P324" s="182">
        <f t="shared" si="799"/>
        <v>0</v>
      </c>
      <c r="Q324" s="182">
        <f t="shared" si="804"/>
        <v>0</v>
      </c>
      <c r="R324" s="182">
        <f t="shared" si="809"/>
        <v>0</v>
      </c>
      <c r="S324" s="182">
        <f t="shared" si="814"/>
        <v>0</v>
      </c>
      <c r="T324" s="182">
        <f t="shared" si="819"/>
        <v>0</v>
      </c>
      <c r="U324" s="182">
        <f t="shared" si="824"/>
        <v>0</v>
      </c>
      <c r="V324" s="182">
        <f t="shared" si="829"/>
        <v>0</v>
      </c>
      <c r="W324" s="182">
        <f t="shared" ref="W324:W330" si="834">W157*W$168</f>
        <v>0</v>
      </c>
      <c r="X324" s="182">
        <f t="shared" si="669"/>
        <v>0</v>
      </c>
      <c r="Y324" s="182">
        <f t="shared" si="674"/>
        <v>0</v>
      </c>
      <c r="Z324" s="182">
        <f t="shared" si="679"/>
        <v>0</v>
      </c>
      <c r="AA324" s="182">
        <f t="shared" si="684"/>
        <v>0</v>
      </c>
      <c r="AB324" s="182">
        <f t="shared" si="689"/>
        <v>0</v>
      </c>
      <c r="AC324" s="182">
        <f t="shared" si="694"/>
        <v>0</v>
      </c>
      <c r="AD324" s="182">
        <f t="shared" si="699"/>
        <v>0</v>
      </c>
      <c r="AE324" s="182">
        <f t="shared" si="704"/>
        <v>0</v>
      </c>
      <c r="AF324" s="182">
        <f t="shared" si="709"/>
        <v>0</v>
      </c>
      <c r="AG324" s="182">
        <f t="shared" si="714"/>
        <v>0</v>
      </c>
      <c r="AH324" s="182">
        <f t="shared" si="719"/>
        <v>0</v>
      </c>
      <c r="AI324" s="182">
        <f t="shared" si="724"/>
        <v>0</v>
      </c>
      <c r="AJ324" s="182">
        <f t="shared" si="730"/>
        <v>0</v>
      </c>
      <c r="AK324" s="182">
        <f t="shared" si="736"/>
        <v>0</v>
      </c>
      <c r="AL324" s="182">
        <f t="shared" si="742"/>
        <v>0</v>
      </c>
      <c r="AM324" s="182">
        <f t="shared" si="748"/>
        <v>0</v>
      </c>
      <c r="AN324" s="182">
        <f t="shared" si="754"/>
        <v>0</v>
      </c>
      <c r="AO324" s="182">
        <f t="shared" si="760"/>
        <v>0</v>
      </c>
      <c r="AP324" s="182">
        <f t="shared" si="766"/>
        <v>0</v>
      </c>
      <c r="AQ324" s="182">
        <f t="shared" si="772"/>
        <v>0</v>
      </c>
      <c r="AR324" s="182">
        <f t="shared" si="778"/>
        <v>0</v>
      </c>
      <c r="AS324" s="182">
        <f t="shared" si="784"/>
        <v>0</v>
      </c>
      <c r="AT324" s="182">
        <f t="shared" si="790"/>
        <v>0</v>
      </c>
      <c r="AU324" s="182">
        <f t="shared" si="795"/>
        <v>0</v>
      </c>
      <c r="AV324" s="182">
        <f t="shared" si="800"/>
        <v>0</v>
      </c>
      <c r="AW324" s="182">
        <f t="shared" si="805"/>
        <v>0</v>
      </c>
      <c r="AX324" s="182">
        <f t="shared" si="810"/>
        <v>0</v>
      </c>
      <c r="AY324" s="182">
        <f t="shared" si="815"/>
        <v>0</v>
      </c>
      <c r="AZ324" s="182">
        <f t="shared" si="820"/>
        <v>0</v>
      </c>
      <c r="BA324" s="182">
        <f t="shared" si="825"/>
        <v>0</v>
      </c>
      <c r="BB324" s="182">
        <f t="shared" si="830"/>
        <v>0</v>
      </c>
      <c r="BC324" s="182">
        <f t="shared" ref="BC324:BC330" si="835">BC157*BC$168</f>
        <v>0</v>
      </c>
      <c r="BD324" s="182">
        <f t="shared" si="670"/>
        <v>0</v>
      </c>
      <c r="BE324" s="182">
        <f t="shared" si="675"/>
        <v>0</v>
      </c>
      <c r="BF324" s="182">
        <f t="shared" si="680"/>
        <v>0</v>
      </c>
      <c r="BG324" s="182">
        <f t="shared" si="685"/>
        <v>0</v>
      </c>
      <c r="BH324" s="182">
        <f t="shared" si="690"/>
        <v>0</v>
      </c>
      <c r="BI324" s="182">
        <f t="shared" si="695"/>
        <v>0</v>
      </c>
      <c r="BJ324" s="182">
        <f t="shared" si="700"/>
        <v>0</v>
      </c>
      <c r="BK324" s="182">
        <f t="shared" si="705"/>
        <v>0</v>
      </c>
      <c r="BL324" s="182">
        <f t="shared" si="710"/>
        <v>0</v>
      </c>
      <c r="BM324" s="182">
        <f t="shared" si="715"/>
        <v>0</v>
      </c>
      <c r="BN324" s="182">
        <f t="shared" si="720"/>
        <v>0</v>
      </c>
      <c r="BO324" s="182">
        <f t="shared" si="725"/>
        <v>0</v>
      </c>
      <c r="BP324" s="182">
        <f t="shared" si="731"/>
        <v>0</v>
      </c>
      <c r="BQ324" s="182">
        <f t="shared" si="737"/>
        <v>0</v>
      </c>
      <c r="BR324" s="182">
        <f t="shared" si="743"/>
        <v>0</v>
      </c>
      <c r="BS324" s="182">
        <f t="shared" si="749"/>
        <v>0</v>
      </c>
      <c r="BT324" s="182">
        <f t="shared" si="755"/>
        <v>0</v>
      </c>
      <c r="BU324" s="182">
        <f t="shared" si="761"/>
        <v>0</v>
      </c>
      <c r="BV324" s="182">
        <f t="shared" si="767"/>
        <v>0</v>
      </c>
      <c r="BW324" s="182">
        <f t="shared" si="773"/>
        <v>0</v>
      </c>
      <c r="BX324" s="182">
        <f t="shared" si="779"/>
        <v>0</v>
      </c>
      <c r="BY324" s="182">
        <f t="shared" si="785"/>
        <v>0</v>
      </c>
      <c r="BZ324" s="182">
        <f t="shared" si="791"/>
        <v>0</v>
      </c>
      <c r="CA324" s="182">
        <f t="shared" si="796"/>
        <v>0</v>
      </c>
      <c r="CB324" s="182">
        <f t="shared" si="801"/>
        <v>0</v>
      </c>
      <c r="CC324" s="182">
        <f t="shared" si="806"/>
        <v>0</v>
      </c>
      <c r="CD324" s="182">
        <f t="shared" si="811"/>
        <v>0</v>
      </c>
      <c r="CE324" s="182">
        <f t="shared" si="816"/>
        <v>0</v>
      </c>
      <c r="CF324" s="182">
        <f t="shared" si="821"/>
        <v>0</v>
      </c>
      <c r="CG324" s="182">
        <f t="shared" si="826"/>
        <v>0</v>
      </c>
      <c r="CH324" s="182">
        <f t="shared" si="831"/>
        <v>0</v>
      </c>
      <c r="CI324" s="182">
        <f t="shared" ref="CI324:CI330" si="836">CI157*CI$168</f>
        <v>0</v>
      </c>
      <c r="CJ324" s="182">
        <f t="shared" si="671"/>
        <v>0</v>
      </c>
      <c r="CK324" s="182">
        <f t="shared" si="676"/>
        <v>0</v>
      </c>
      <c r="CL324" s="182">
        <f t="shared" si="681"/>
        <v>0</v>
      </c>
      <c r="CM324" s="182">
        <f t="shared" si="686"/>
        <v>0</v>
      </c>
      <c r="CN324" s="182">
        <f t="shared" si="691"/>
        <v>0</v>
      </c>
      <c r="CO324" s="182">
        <f t="shared" si="696"/>
        <v>0</v>
      </c>
      <c r="CP324" s="182">
        <f t="shared" si="701"/>
        <v>0</v>
      </c>
      <c r="CQ324" s="182">
        <f t="shared" si="706"/>
        <v>0</v>
      </c>
      <c r="CR324" s="182">
        <f t="shared" si="711"/>
        <v>0</v>
      </c>
      <c r="CS324" s="182">
        <f t="shared" si="716"/>
        <v>0</v>
      </c>
      <c r="CT324" s="182">
        <f t="shared" si="721"/>
        <v>0</v>
      </c>
      <c r="CU324" s="182">
        <f t="shared" si="726"/>
        <v>0</v>
      </c>
      <c r="CV324" s="182">
        <f t="shared" si="732"/>
        <v>0</v>
      </c>
      <c r="CW324" s="182">
        <f t="shared" si="738"/>
        <v>0</v>
      </c>
      <c r="CX324" s="182">
        <f t="shared" si="744"/>
        <v>0</v>
      </c>
      <c r="CY324" s="182">
        <f t="shared" si="750"/>
        <v>0</v>
      </c>
      <c r="CZ324" s="182">
        <f t="shared" si="756"/>
        <v>0</v>
      </c>
      <c r="DA324" s="182">
        <f t="shared" si="762"/>
        <v>0</v>
      </c>
      <c r="DB324" s="182">
        <f t="shared" si="768"/>
        <v>0</v>
      </c>
      <c r="DC324" s="182">
        <f t="shared" si="774"/>
        <v>0</v>
      </c>
      <c r="DD324" s="182">
        <f t="shared" si="780"/>
        <v>0</v>
      </c>
      <c r="DE324" s="182">
        <f t="shared" si="786"/>
        <v>0</v>
      </c>
      <c r="DF324" s="182">
        <f t="shared" si="622"/>
        <v>0</v>
      </c>
      <c r="DG324" s="182">
        <f t="shared" si="627"/>
        <v>0</v>
      </c>
      <c r="DH324" s="182">
        <f t="shared" si="632"/>
        <v>0</v>
      </c>
      <c r="DI324" s="182">
        <f t="shared" si="637"/>
        <v>0</v>
      </c>
      <c r="DJ324" s="182">
        <f t="shared" si="642"/>
        <v>0</v>
      </c>
      <c r="DK324" s="182">
        <f t="shared" si="647"/>
        <v>0</v>
      </c>
      <c r="DL324" s="182">
        <f t="shared" si="652"/>
        <v>0</v>
      </c>
      <c r="DM324" s="182">
        <f t="shared" si="657"/>
        <v>0</v>
      </c>
      <c r="DN324" s="182">
        <f t="shared" si="662"/>
        <v>0</v>
      </c>
      <c r="DO324" s="182">
        <f t="shared" si="667"/>
        <v>0</v>
      </c>
      <c r="DP324" s="182">
        <f t="shared" si="672"/>
        <v>0</v>
      </c>
      <c r="DQ324" s="182">
        <f t="shared" si="677"/>
        <v>0</v>
      </c>
      <c r="DR324" s="182">
        <f t="shared" si="682"/>
        <v>0</v>
      </c>
      <c r="DS324" s="182">
        <f t="shared" si="687"/>
        <v>0</v>
      </c>
      <c r="DT324" s="182">
        <f t="shared" si="692"/>
        <v>0</v>
      </c>
      <c r="DU324" s="182">
        <f t="shared" si="697"/>
        <v>0</v>
      </c>
      <c r="DV324" s="182">
        <f t="shared" si="702"/>
        <v>0</v>
      </c>
      <c r="DW324" s="182">
        <f t="shared" si="707"/>
        <v>0</v>
      </c>
      <c r="DX324" s="182">
        <f t="shared" si="712"/>
        <v>0</v>
      </c>
      <c r="DY324" s="182">
        <f t="shared" si="717"/>
        <v>0</v>
      </c>
      <c r="DZ324" s="182">
        <f t="shared" si="722"/>
        <v>0</v>
      </c>
      <c r="EA324" s="182">
        <f t="shared" si="727"/>
        <v>0</v>
      </c>
      <c r="EB324" s="182">
        <f t="shared" si="733"/>
        <v>0</v>
      </c>
      <c r="EC324" s="182">
        <f t="shared" si="739"/>
        <v>0</v>
      </c>
      <c r="ED324" s="182">
        <f t="shared" si="745"/>
        <v>0</v>
      </c>
      <c r="EE324" s="182">
        <f t="shared" si="751"/>
        <v>0</v>
      </c>
      <c r="EF324" s="182">
        <f t="shared" si="757"/>
        <v>0</v>
      </c>
      <c r="EG324" s="182">
        <f t="shared" si="763"/>
        <v>0</v>
      </c>
      <c r="EH324" s="182">
        <f t="shared" si="769"/>
        <v>0</v>
      </c>
      <c r="EI324" s="182">
        <f t="shared" si="775"/>
        <v>0</v>
      </c>
      <c r="EJ324" s="182">
        <f t="shared" si="781"/>
        <v>0</v>
      </c>
      <c r="EK324" s="182">
        <f t="shared" si="787"/>
        <v>0</v>
      </c>
      <c r="EL324" s="182">
        <f t="shared" si="792"/>
        <v>0</v>
      </c>
      <c r="EM324" s="182">
        <f t="shared" si="797"/>
        <v>0</v>
      </c>
      <c r="EN324" s="182">
        <f t="shared" si="802"/>
        <v>0</v>
      </c>
      <c r="EO324" s="182">
        <f t="shared" si="807"/>
        <v>0</v>
      </c>
      <c r="EP324" s="182">
        <f t="shared" si="812"/>
        <v>0</v>
      </c>
      <c r="EQ324" s="182">
        <f t="shared" si="817"/>
        <v>0</v>
      </c>
      <c r="ER324" s="182">
        <f t="shared" si="822"/>
        <v>5.0286078644840565E-19</v>
      </c>
      <c r="ES324" s="182">
        <f t="shared" si="827"/>
        <v>0</v>
      </c>
      <c r="ET324" s="182">
        <f t="shared" si="832"/>
        <v>0</v>
      </c>
      <c r="EU324" s="182">
        <f t="shared" ref="EU324:EU330" si="837">EU157*EU$168</f>
        <v>0</v>
      </c>
      <c r="EV324" s="181">
        <f>$C324+SUM($D324:EU324,EW324:$FB324)-SUM(EV$176:EV323,EV325:EV$330)-EV$331</f>
        <v>4.2093869813231701E-35</v>
      </c>
      <c r="EW324" s="182">
        <f t="shared" ref="EW324:FB324" si="838">EW157*EW$168</f>
        <v>0</v>
      </c>
      <c r="EX324" s="182">
        <f t="shared" si="838"/>
        <v>0</v>
      </c>
      <c r="EY324" s="182">
        <f t="shared" si="838"/>
        <v>0</v>
      </c>
      <c r="EZ324" s="182">
        <f t="shared" si="838"/>
        <v>0</v>
      </c>
      <c r="FA324" s="182">
        <f t="shared" si="838"/>
        <v>0</v>
      </c>
      <c r="FB324" s="183">
        <f t="shared" si="838"/>
        <v>0</v>
      </c>
    </row>
    <row r="325" spans="2:158" ht="12.75" customHeight="1" x14ac:dyDescent="0.3">
      <c r="B325" s="199" t="s">
        <v>3968</v>
      </c>
      <c r="C325" s="193">
        <v>0</v>
      </c>
      <c r="D325" s="182">
        <f t="shared" si="729"/>
        <v>0</v>
      </c>
      <c r="E325" s="182">
        <f t="shared" si="735"/>
        <v>0</v>
      </c>
      <c r="F325" s="182">
        <f t="shared" si="741"/>
        <v>0</v>
      </c>
      <c r="G325" s="182">
        <f t="shared" si="747"/>
        <v>0</v>
      </c>
      <c r="H325" s="182">
        <f t="shared" si="753"/>
        <v>0</v>
      </c>
      <c r="I325" s="176">
        <f t="shared" si="759"/>
        <v>0</v>
      </c>
      <c r="J325" s="182">
        <f t="shared" si="765"/>
        <v>0</v>
      </c>
      <c r="K325" s="182">
        <f t="shared" si="771"/>
        <v>0</v>
      </c>
      <c r="L325" s="182">
        <f t="shared" si="777"/>
        <v>0</v>
      </c>
      <c r="M325" s="182">
        <f t="shared" si="783"/>
        <v>0</v>
      </c>
      <c r="N325" s="182">
        <f t="shared" si="789"/>
        <v>0</v>
      </c>
      <c r="O325" s="182">
        <f t="shared" si="794"/>
        <v>0</v>
      </c>
      <c r="P325" s="182">
        <f t="shared" si="799"/>
        <v>0</v>
      </c>
      <c r="Q325" s="182">
        <f t="shared" si="804"/>
        <v>0</v>
      </c>
      <c r="R325" s="182">
        <f t="shared" si="809"/>
        <v>0</v>
      </c>
      <c r="S325" s="182">
        <f t="shared" si="814"/>
        <v>0</v>
      </c>
      <c r="T325" s="182">
        <f t="shared" si="819"/>
        <v>0</v>
      </c>
      <c r="U325" s="182">
        <f t="shared" si="824"/>
        <v>0</v>
      </c>
      <c r="V325" s="182">
        <f t="shared" si="829"/>
        <v>0</v>
      </c>
      <c r="W325" s="182">
        <f t="shared" si="834"/>
        <v>0</v>
      </c>
      <c r="X325" s="182">
        <f t="shared" ref="X325:X330" si="839">X158*X$168</f>
        <v>0</v>
      </c>
      <c r="Y325" s="182">
        <f t="shared" si="674"/>
        <v>0</v>
      </c>
      <c r="Z325" s="182">
        <f t="shared" si="679"/>
        <v>0</v>
      </c>
      <c r="AA325" s="182">
        <f t="shared" si="684"/>
        <v>0</v>
      </c>
      <c r="AB325" s="182">
        <f t="shared" si="689"/>
        <v>0</v>
      </c>
      <c r="AC325" s="182">
        <f t="shared" si="694"/>
        <v>0</v>
      </c>
      <c r="AD325" s="182">
        <f t="shared" si="699"/>
        <v>0</v>
      </c>
      <c r="AE325" s="182">
        <f t="shared" si="704"/>
        <v>0</v>
      </c>
      <c r="AF325" s="182">
        <f t="shared" si="709"/>
        <v>0</v>
      </c>
      <c r="AG325" s="182">
        <f t="shared" si="714"/>
        <v>0</v>
      </c>
      <c r="AH325" s="182">
        <f t="shared" si="719"/>
        <v>0</v>
      </c>
      <c r="AI325" s="182">
        <f t="shared" si="724"/>
        <v>0</v>
      </c>
      <c r="AJ325" s="182">
        <f t="shared" si="730"/>
        <v>0</v>
      </c>
      <c r="AK325" s="182">
        <f t="shared" si="736"/>
        <v>0</v>
      </c>
      <c r="AL325" s="182">
        <f t="shared" si="742"/>
        <v>0</v>
      </c>
      <c r="AM325" s="182">
        <f t="shared" si="748"/>
        <v>0</v>
      </c>
      <c r="AN325" s="182">
        <f t="shared" si="754"/>
        <v>0</v>
      </c>
      <c r="AO325" s="182">
        <f t="shared" si="760"/>
        <v>0</v>
      </c>
      <c r="AP325" s="182">
        <f t="shared" si="766"/>
        <v>0</v>
      </c>
      <c r="AQ325" s="182">
        <f t="shared" si="772"/>
        <v>0</v>
      </c>
      <c r="AR325" s="182">
        <f t="shared" si="778"/>
        <v>0</v>
      </c>
      <c r="AS325" s="182">
        <f t="shared" si="784"/>
        <v>0</v>
      </c>
      <c r="AT325" s="182">
        <f t="shared" si="790"/>
        <v>0</v>
      </c>
      <c r="AU325" s="182">
        <f t="shared" si="795"/>
        <v>0</v>
      </c>
      <c r="AV325" s="182">
        <f t="shared" si="800"/>
        <v>0</v>
      </c>
      <c r="AW325" s="182">
        <f t="shared" si="805"/>
        <v>0</v>
      </c>
      <c r="AX325" s="182">
        <f t="shared" si="810"/>
        <v>0</v>
      </c>
      <c r="AY325" s="182">
        <f t="shared" si="815"/>
        <v>0</v>
      </c>
      <c r="AZ325" s="182">
        <f t="shared" si="820"/>
        <v>0</v>
      </c>
      <c r="BA325" s="182">
        <f t="shared" si="825"/>
        <v>0</v>
      </c>
      <c r="BB325" s="182">
        <f t="shared" si="830"/>
        <v>0</v>
      </c>
      <c r="BC325" s="182">
        <f t="shared" si="835"/>
        <v>0</v>
      </c>
      <c r="BD325" s="182">
        <f t="shared" ref="BD325:BD330" si="840">BD158*BD$168</f>
        <v>0</v>
      </c>
      <c r="BE325" s="182">
        <f t="shared" si="675"/>
        <v>0</v>
      </c>
      <c r="BF325" s="182">
        <f t="shared" si="680"/>
        <v>0</v>
      </c>
      <c r="BG325" s="182">
        <f t="shared" si="685"/>
        <v>0</v>
      </c>
      <c r="BH325" s="182">
        <f t="shared" si="690"/>
        <v>0</v>
      </c>
      <c r="BI325" s="182">
        <f t="shared" si="695"/>
        <v>0</v>
      </c>
      <c r="BJ325" s="182">
        <f t="shared" si="700"/>
        <v>0</v>
      </c>
      <c r="BK325" s="182">
        <f t="shared" si="705"/>
        <v>0</v>
      </c>
      <c r="BL325" s="182">
        <f t="shared" si="710"/>
        <v>0</v>
      </c>
      <c r="BM325" s="182">
        <f t="shared" si="715"/>
        <v>0</v>
      </c>
      <c r="BN325" s="182">
        <f t="shared" si="720"/>
        <v>0</v>
      </c>
      <c r="BO325" s="182">
        <f t="shared" si="725"/>
        <v>0</v>
      </c>
      <c r="BP325" s="182">
        <f t="shared" si="731"/>
        <v>0</v>
      </c>
      <c r="BQ325" s="182">
        <f t="shared" si="737"/>
        <v>0</v>
      </c>
      <c r="BR325" s="182">
        <f t="shared" si="743"/>
        <v>0</v>
      </c>
      <c r="BS325" s="182">
        <f t="shared" si="749"/>
        <v>0</v>
      </c>
      <c r="BT325" s="182">
        <f t="shared" si="755"/>
        <v>0</v>
      </c>
      <c r="BU325" s="182">
        <f t="shared" si="761"/>
        <v>0</v>
      </c>
      <c r="BV325" s="182">
        <f t="shared" si="767"/>
        <v>0</v>
      </c>
      <c r="BW325" s="182">
        <f t="shared" si="773"/>
        <v>0</v>
      </c>
      <c r="BX325" s="182">
        <f t="shared" si="779"/>
        <v>0</v>
      </c>
      <c r="BY325" s="182">
        <f t="shared" si="785"/>
        <v>0</v>
      </c>
      <c r="BZ325" s="182">
        <f t="shared" si="791"/>
        <v>0</v>
      </c>
      <c r="CA325" s="182">
        <f t="shared" si="796"/>
        <v>0</v>
      </c>
      <c r="CB325" s="182">
        <f t="shared" si="801"/>
        <v>0</v>
      </c>
      <c r="CC325" s="182">
        <f t="shared" si="806"/>
        <v>0</v>
      </c>
      <c r="CD325" s="182">
        <f t="shared" si="811"/>
        <v>0</v>
      </c>
      <c r="CE325" s="182">
        <f t="shared" si="816"/>
        <v>0</v>
      </c>
      <c r="CF325" s="182">
        <f t="shared" si="821"/>
        <v>0</v>
      </c>
      <c r="CG325" s="182">
        <f t="shared" si="826"/>
        <v>0</v>
      </c>
      <c r="CH325" s="182">
        <f t="shared" si="831"/>
        <v>0</v>
      </c>
      <c r="CI325" s="182">
        <f t="shared" si="836"/>
        <v>0</v>
      </c>
      <c r="CJ325" s="182">
        <f t="shared" ref="CJ325:CJ330" si="841">CJ158*CJ$168</f>
        <v>0</v>
      </c>
      <c r="CK325" s="182">
        <f t="shared" si="676"/>
        <v>0</v>
      </c>
      <c r="CL325" s="182">
        <f t="shared" si="681"/>
        <v>0</v>
      </c>
      <c r="CM325" s="182">
        <f t="shared" si="686"/>
        <v>0</v>
      </c>
      <c r="CN325" s="182">
        <f t="shared" si="691"/>
        <v>0</v>
      </c>
      <c r="CO325" s="182">
        <f t="shared" si="696"/>
        <v>0</v>
      </c>
      <c r="CP325" s="182">
        <f t="shared" si="701"/>
        <v>0</v>
      </c>
      <c r="CQ325" s="182">
        <f t="shared" si="706"/>
        <v>0</v>
      </c>
      <c r="CR325" s="182">
        <f t="shared" si="711"/>
        <v>0</v>
      </c>
      <c r="CS325" s="182">
        <f t="shared" si="716"/>
        <v>0</v>
      </c>
      <c r="CT325" s="182">
        <f t="shared" si="721"/>
        <v>0</v>
      </c>
      <c r="CU325" s="182">
        <f t="shared" si="726"/>
        <v>0</v>
      </c>
      <c r="CV325" s="182">
        <f t="shared" si="732"/>
        <v>0</v>
      </c>
      <c r="CW325" s="182">
        <f t="shared" si="738"/>
        <v>0</v>
      </c>
      <c r="CX325" s="182">
        <f t="shared" si="744"/>
        <v>0</v>
      </c>
      <c r="CY325" s="182">
        <f t="shared" si="750"/>
        <v>0</v>
      </c>
      <c r="CZ325" s="182">
        <f t="shared" si="756"/>
        <v>0</v>
      </c>
      <c r="DA325" s="182">
        <f t="shared" si="762"/>
        <v>0</v>
      </c>
      <c r="DB325" s="182">
        <f t="shared" si="768"/>
        <v>0</v>
      </c>
      <c r="DC325" s="182">
        <f t="shared" si="774"/>
        <v>0</v>
      </c>
      <c r="DD325" s="182">
        <f t="shared" si="780"/>
        <v>0</v>
      </c>
      <c r="DE325" s="182">
        <f t="shared" si="786"/>
        <v>0</v>
      </c>
      <c r="DF325" s="182">
        <f t="shared" si="622"/>
        <v>0</v>
      </c>
      <c r="DG325" s="182">
        <f t="shared" si="627"/>
        <v>0</v>
      </c>
      <c r="DH325" s="182">
        <f t="shared" si="632"/>
        <v>0</v>
      </c>
      <c r="DI325" s="182">
        <f t="shared" si="637"/>
        <v>0</v>
      </c>
      <c r="DJ325" s="182">
        <f t="shared" si="642"/>
        <v>0</v>
      </c>
      <c r="DK325" s="182">
        <f t="shared" si="647"/>
        <v>0</v>
      </c>
      <c r="DL325" s="182">
        <f t="shared" si="652"/>
        <v>0</v>
      </c>
      <c r="DM325" s="182">
        <f t="shared" si="657"/>
        <v>0</v>
      </c>
      <c r="DN325" s="182">
        <f t="shared" si="662"/>
        <v>0</v>
      </c>
      <c r="DO325" s="182">
        <f t="shared" si="667"/>
        <v>0</v>
      </c>
      <c r="DP325" s="182">
        <f t="shared" si="672"/>
        <v>0</v>
      </c>
      <c r="DQ325" s="182">
        <f t="shared" si="677"/>
        <v>0</v>
      </c>
      <c r="DR325" s="182">
        <f t="shared" si="682"/>
        <v>0</v>
      </c>
      <c r="DS325" s="182">
        <f t="shared" si="687"/>
        <v>0</v>
      </c>
      <c r="DT325" s="182">
        <f t="shared" si="692"/>
        <v>0</v>
      </c>
      <c r="DU325" s="182">
        <f t="shared" si="697"/>
        <v>0</v>
      </c>
      <c r="DV325" s="182">
        <f t="shared" si="702"/>
        <v>0</v>
      </c>
      <c r="DW325" s="182">
        <f t="shared" si="707"/>
        <v>0</v>
      </c>
      <c r="DX325" s="182">
        <f t="shared" si="712"/>
        <v>0</v>
      </c>
      <c r="DY325" s="182">
        <f t="shared" si="717"/>
        <v>0</v>
      </c>
      <c r="DZ325" s="182">
        <f t="shared" si="722"/>
        <v>0</v>
      </c>
      <c r="EA325" s="182">
        <f t="shared" si="727"/>
        <v>0</v>
      </c>
      <c r="EB325" s="182">
        <f t="shared" si="733"/>
        <v>0</v>
      </c>
      <c r="EC325" s="182">
        <f t="shared" si="739"/>
        <v>0</v>
      </c>
      <c r="ED325" s="182">
        <f t="shared" si="745"/>
        <v>0</v>
      </c>
      <c r="EE325" s="182">
        <f t="shared" si="751"/>
        <v>0</v>
      </c>
      <c r="EF325" s="182">
        <f t="shared" si="757"/>
        <v>0</v>
      </c>
      <c r="EG325" s="182">
        <f t="shared" si="763"/>
        <v>0</v>
      </c>
      <c r="EH325" s="182">
        <f t="shared" si="769"/>
        <v>0</v>
      </c>
      <c r="EI325" s="182">
        <f t="shared" si="775"/>
        <v>0</v>
      </c>
      <c r="EJ325" s="182">
        <f t="shared" si="781"/>
        <v>0</v>
      </c>
      <c r="EK325" s="182">
        <f t="shared" si="787"/>
        <v>0</v>
      </c>
      <c r="EL325" s="182">
        <f t="shared" si="792"/>
        <v>0</v>
      </c>
      <c r="EM325" s="182">
        <f t="shared" si="797"/>
        <v>0</v>
      </c>
      <c r="EN325" s="182">
        <f t="shared" si="802"/>
        <v>0</v>
      </c>
      <c r="EO325" s="182">
        <f t="shared" si="807"/>
        <v>0</v>
      </c>
      <c r="EP325" s="182">
        <f t="shared" si="812"/>
        <v>0</v>
      </c>
      <c r="EQ325" s="182">
        <f t="shared" si="817"/>
        <v>0</v>
      </c>
      <c r="ER325" s="182">
        <f t="shared" si="822"/>
        <v>0</v>
      </c>
      <c r="ES325" s="182">
        <f t="shared" si="827"/>
        <v>1377.6149902374357</v>
      </c>
      <c r="ET325" s="182">
        <f t="shared" si="832"/>
        <v>0</v>
      </c>
      <c r="EU325" s="182">
        <f t="shared" si="837"/>
        <v>0</v>
      </c>
      <c r="EV325" s="182">
        <f t="shared" ref="EV325:EV330" si="842">EV158*EV$168</f>
        <v>1.1142529517011702E-19</v>
      </c>
      <c r="EW325" s="181">
        <f>$C325+SUM($D325:EV325,EX325:$FB325)-SUM(EW$176:EW324,EW326:EW$330)-EW$331</f>
        <v>-3.960720640350246E-14</v>
      </c>
      <c r="EX325" s="182">
        <f>EX158*EX$168</f>
        <v>0</v>
      </c>
      <c r="EY325" s="182">
        <f>EY158*EY$168</f>
        <v>0</v>
      </c>
      <c r="EZ325" s="182">
        <f>EZ158*EZ$168</f>
        <v>0</v>
      </c>
      <c r="FA325" s="182">
        <f>FA158*FA$168</f>
        <v>0</v>
      </c>
      <c r="FB325" s="183">
        <f>FB158*FB$168</f>
        <v>0</v>
      </c>
    </row>
    <row r="326" spans="2:158" ht="12.75" customHeight="1" x14ac:dyDescent="0.3">
      <c r="B326" s="199" t="s">
        <v>3969</v>
      </c>
      <c r="C326" s="193">
        <v>0</v>
      </c>
      <c r="D326" s="182">
        <f t="shared" si="729"/>
        <v>0</v>
      </c>
      <c r="E326" s="182">
        <f t="shared" si="735"/>
        <v>0</v>
      </c>
      <c r="F326" s="182">
        <f t="shared" si="741"/>
        <v>0</v>
      </c>
      <c r="G326" s="182">
        <f t="shared" si="747"/>
        <v>0</v>
      </c>
      <c r="H326" s="182">
        <f t="shared" si="753"/>
        <v>0</v>
      </c>
      <c r="I326" s="176">
        <f t="shared" si="759"/>
        <v>0</v>
      </c>
      <c r="J326" s="182">
        <f t="shared" si="765"/>
        <v>0</v>
      </c>
      <c r="K326" s="182">
        <f t="shared" si="771"/>
        <v>0</v>
      </c>
      <c r="L326" s="182">
        <f t="shared" si="777"/>
        <v>0</v>
      </c>
      <c r="M326" s="182">
        <f t="shared" si="783"/>
        <v>0</v>
      </c>
      <c r="N326" s="182">
        <f t="shared" si="789"/>
        <v>0</v>
      </c>
      <c r="O326" s="182">
        <f t="shared" si="794"/>
        <v>0</v>
      </c>
      <c r="P326" s="182">
        <f t="shared" si="799"/>
        <v>0</v>
      </c>
      <c r="Q326" s="182">
        <f t="shared" si="804"/>
        <v>0</v>
      </c>
      <c r="R326" s="182">
        <f t="shared" si="809"/>
        <v>0</v>
      </c>
      <c r="S326" s="182">
        <f t="shared" si="814"/>
        <v>0</v>
      </c>
      <c r="T326" s="182">
        <f t="shared" si="819"/>
        <v>0</v>
      </c>
      <c r="U326" s="182">
        <f t="shared" si="824"/>
        <v>0</v>
      </c>
      <c r="V326" s="182">
        <f t="shared" si="829"/>
        <v>0</v>
      </c>
      <c r="W326" s="182">
        <f t="shared" si="834"/>
        <v>0</v>
      </c>
      <c r="X326" s="182">
        <f t="shared" si="839"/>
        <v>0</v>
      </c>
      <c r="Y326" s="182">
        <f t="shared" ref="Y326:Y330" si="843">Y159*Y$168</f>
        <v>0</v>
      </c>
      <c r="Z326" s="182">
        <f t="shared" si="679"/>
        <v>0</v>
      </c>
      <c r="AA326" s="182">
        <f t="shared" si="684"/>
        <v>0</v>
      </c>
      <c r="AB326" s="182">
        <f t="shared" si="689"/>
        <v>0</v>
      </c>
      <c r="AC326" s="182">
        <f t="shared" si="694"/>
        <v>0</v>
      </c>
      <c r="AD326" s="182">
        <f t="shared" si="699"/>
        <v>0</v>
      </c>
      <c r="AE326" s="182">
        <f t="shared" si="704"/>
        <v>0</v>
      </c>
      <c r="AF326" s="182">
        <f t="shared" si="709"/>
        <v>0</v>
      </c>
      <c r="AG326" s="182">
        <f t="shared" si="714"/>
        <v>0</v>
      </c>
      <c r="AH326" s="182">
        <f t="shared" si="719"/>
        <v>0</v>
      </c>
      <c r="AI326" s="182">
        <f t="shared" si="724"/>
        <v>0</v>
      </c>
      <c r="AJ326" s="182">
        <f t="shared" si="730"/>
        <v>0</v>
      </c>
      <c r="AK326" s="182">
        <f t="shared" si="736"/>
        <v>0</v>
      </c>
      <c r="AL326" s="182">
        <f t="shared" si="742"/>
        <v>0</v>
      </c>
      <c r="AM326" s="182">
        <f t="shared" si="748"/>
        <v>0</v>
      </c>
      <c r="AN326" s="182">
        <f t="shared" si="754"/>
        <v>0</v>
      </c>
      <c r="AO326" s="182">
        <f t="shared" si="760"/>
        <v>0</v>
      </c>
      <c r="AP326" s="182">
        <f t="shared" si="766"/>
        <v>0</v>
      </c>
      <c r="AQ326" s="182">
        <f t="shared" si="772"/>
        <v>0</v>
      </c>
      <c r="AR326" s="182">
        <f t="shared" si="778"/>
        <v>0</v>
      </c>
      <c r="AS326" s="182">
        <f t="shared" si="784"/>
        <v>0</v>
      </c>
      <c r="AT326" s="182">
        <f t="shared" si="790"/>
        <v>0</v>
      </c>
      <c r="AU326" s="182">
        <f t="shared" si="795"/>
        <v>0</v>
      </c>
      <c r="AV326" s="182">
        <f t="shared" si="800"/>
        <v>0</v>
      </c>
      <c r="AW326" s="182">
        <f t="shared" si="805"/>
        <v>0</v>
      </c>
      <c r="AX326" s="182">
        <f t="shared" si="810"/>
        <v>0</v>
      </c>
      <c r="AY326" s="182">
        <f t="shared" si="815"/>
        <v>0</v>
      </c>
      <c r="AZ326" s="182">
        <f t="shared" si="820"/>
        <v>0</v>
      </c>
      <c r="BA326" s="182">
        <f t="shared" si="825"/>
        <v>0</v>
      </c>
      <c r="BB326" s="182">
        <f t="shared" si="830"/>
        <v>0</v>
      </c>
      <c r="BC326" s="182">
        <f t="shared" si="835"/>
        <v>0</v>
      </c>
      <c r="BD326" s="182">
        <f t="shared" si="840"/>
        <v>0</v>
      </c>
      <c r="BE326" s="182">
        <f t="shared" ref="BE326:BE330" si="844">BE159*BE$168</f>
        <v>0</v>
      </c>
      <c r="BF326" s="182">
        <f t="shared" si="680"/>
        <v>0</v>
      </c>
      <c r="BG326" s="182">
        <f t="shared" si="685"/>
        <v>0</v>
      </c>
      <c r="BH326" s="182">
        <f t="shared" si="690"/>
        <v>0</v>
      </c>
      <c r="BI326" s="182">
        <f t="shared" si="695"/>
        <v>0</v>
      </c>
      <c r="BJ326" s="182">
        <f t="shared" si="700"/>
        <v>0</v>
      </c>
      <c r="BK326" s="182">
        <f t="shared" si="705"/>
        <v>0</v>
      </c>
      <c r="BL326" s="182">
        <f t="shared" si="710"/>
        <v>0</v>
      </c>
      <c r="BM326" s="182">
        <f t="shared" si="715"/>
        <v>0</v>
      </c>
      <c r="BN326" s="182">
        <f t="shared" si="720"/>
        <v>0</v>
      </c>
      <c r="BO326" s="182">
        <f t="shared" si="725"/>
        <v>0</v>
      </c>
      <c r="BP326" s="182">
        <f t="shared" si="731"/>
        <v>0</v>
      </c>
      <c r="BQ326" s="182">
        <f t="shared" si="737"/>
        <v>0</v>
      </c>
      <c r="BR326" s="182">
        <f t="shared" si="743"/>
        <v>0</v>
      </c>
      <c r="BS326" s="182">
        <f t="shared" si="749"/>
        <v>0</v>
      </c>
      <c r="BT326" s="182">
        <f t="shared" si="755"/>
        <v>0</v>
      </c>
      <c r="BU326" s="182">
        <f t="shared" si="761"/>
        <v>0</v>
      </c>
      <c r="BV326" s="182">
        <f t="shared" si="767"/>
        <v>0</v>
      </c>
      <c r="BW326" s="182">
        <f t="shared" si="773"/>
        <v>0</v>
      </c>
      <c r="BX326" s="182">
        <f t="shared" si="779"/>
        <v>0</v>
      </c>
      <c r="BY326" s="182">
        <f t="shared" si="785"/>
        <v>0</v>
      </c>
      <c r="BZ326" s="182">
        <f t="shared" si="791"/>
        <v>0</v>
      </c>
      <c r="CA326" s="182">
        <f t="shared" si="796"/>
        <v>0</v>
      </c>
      <c r="CB326" s="182">
        <f t="shared" si="801"/>
        <v>0</v>
      </c>
      <c r="CC326" s="182">
        <f t="shared" si="806"/>
        <v>0</v>
      </c>
      <c r="CD326" s="182">
        <f t="shared" si="811"/>
        <v>0</v>
      </c>
      <c r="CE326" s="182">
        <f t="shared" si="816"/>
        <v>0</v>
      </c>
      <c r="CF326" s="182">
        <f t="shared" si="821"/>
        <v>0</v>
      </c>
      <c r="CG326" s="182">
        <f t="shared" si="826"/>
        <v>0</v>
      </c>
      <c r="CH326" s="182">
        <f t="shared" si="831"/>
        <v>0</v>
      </c>
      <c r="CI326" s="182">
        <f t="shared" si="836"/>
        <v>0</v>
      </c>
      <c r="CJ326" s="182">
        <f t="shared" si="841"/>
        <v>0</v>
      </c>
      <c r="CK326" s="182">
        <f t="shared" ref="CK326:CK330" si="845">CK159*CK$168</f>
        <v>0</v>
      </c>
      <c r="CL326" s="182">
        <f t="shared" si="681"/>
        <v>0</v>
      </c>
      <c r="CM326" s="182">
        <f t="shared" si="686"/>
        <v>0</v>
      </c>
      <c r="CN326" s="182">
        <f t="shared" si="691"/>
        <v>0</v>
      </c>
      <c r="CO326" s="182">
        <f t="shared" si="696"/>
        <v>0</v>
      </c>
      <c r="CP326" s="182">
        <f t="shared" si="701"/>
        <v>0</v>
      </c>
      <c r="CQ326" s="182">
        <f t="shared" si="706"/>
        <v>0</v>
      </c>
      <c r="CR326" s="182">
        <f t="shared" si="711"/>
        <v>0</v>
      </c>
      <c r="CS326" s="182">
        <f t="shared" si="716"/>
        <v>0</v>
      </c>
      <c r="CT326" s="182">
        <f t="shared" si="721"/>
        <v>0</v>
      </c>
      <c r="CU326" s="182">
        <f t="shared" si="726"/>
        <v>0</v>
      </c>
      <c r="CV326" s="182">
        <f t="shared" si="732"/>
        <v>0</v>
      </c>
      <c r="CW326" s="182">
        <f t="shared" si="738"/>
        <v>0</v>
      </c>
      <c r="CX326" s="182">
        <f t="shared" si="744"/>
        <v>0</v>
      </c>
      <c r="CY326" s="182">
        <f t="shared" si="750"/>
        <v>0</v>
      </c>
      <c r="CZ326" s="182">
        <f t="shared" si="756"/>
        <v>0</v>
      </c>
      <c r="DA326" s="182">
        <f t="shared" si="762"/>
        <v>0</v>
      </c>
      <c r="DB326" s="182">
        <f t="shared" si="768"/>
        <v>0</v>
      </c>
      <c r="DC326" s="182">
        <f t="shared" si="774"/>
        <v>0</v>
      </c>
      <c r="DD326" s="182">
        <f t="shared" si="780"/>
        <v>0</v>
      </c>
      <c r="DE326" s="182">
        <f t="shared" si="786"/>
        <v>0</v>
      </c>
      <c r="DF326" s="182">
        <f t="shared" si="622"/>
        <v>0</v>
      </c>
      <c r="DG326" s="182">
        <f t="shared" si="627"/>
        <v>0</v>
      </c>
      <c r="DH326" s="182">
        <f t="shared" si="632"/>
        <v>0</v>
      </c>
      <c r="DI326" s="182">
        <f t="shared" si="637"/>
        <v>0</v>
      </c>
      <c r="DJ326" s="182">
        <f t="shared" si="642"/>
        <v>0</v>
      </c>
      <c r="DK326" s="182">
        <f t="shared" si="647"/>
        <v>0</v>
      </c>
      <c r="DL326" s="182">
        <f t="shared" si="652"/>
        <v>0</v>
      </c>
      <c r="DM326" s="182">
        <f t="shared" si="657"/>
        <v>0</v>
      </c>
      <c r="DN326" s="182">
        <f t="shared" si="662"/>
        <v>0</v>
      </c>
      <c r="DO326" s="182">
        <f t="shared" si="667"/>
        <v>0</v>
      </c>
      <c r="DP326" s="182">
        <f t="shared" si="672"/>
        <v>0</v>
      </c>
      <c r="DQ326" s="182">
        <f t="shared" si="677"/>
        <v>0</v>
      </c>
      <c r="DR326" s="182">
        <f t="shared" si="682"/>
        <v>0</v>
      </c>
      <c r="DS326" s="182">
        <f t="shared" si="687"/>
        <v>0</v>
      </c>
      <c r="DT326" s="182">
        <f t="shared" si="692"/>
        <v>0</v>
      </c>
      <c r="DU326" s="182">
        <f t="shared" si="697"/>
        <v>0</v>
      </c>
      <c r="DV326" s="182">
        <f t="shared" si="702"/>
        <v>0</v>
      </c>
      <c r="DW326" s="182">
        <f t="shared" si="707"/>
        <v>0</v>
      </c>
      <c r="DX326" s="182">
        <f t="shared" si="712"/>
        <v>0</v>
      </c>
      <c r="DY326" s="182">
        <f t="shared" si="717"/>
        <v>0</v>
      </c>
      <c r="DZ326" s="182">
        <f t="shared" si="722"/>
        <v>0</v>
      </c>
      <c r="EA326" s="182">
        <f t="shared" si="727"/>
        <v>0</v>
      </c>
      <c r="EB326" s="182">
        <f t="shared" si="733"/>
        <v>0</v>
      </c>
      <c r="EC326" s="182">
        <f t="shared" si="739"/>
        <v>0</v>
      </c>
      <c r="ED326" s="182">
        <f t="shared" si="745"/>
        <v>0</v>
      </c>
      <c r="EE326" s="182">
        <f t="shared" si="751"/>
        <v>0</v>
      </c>
      <c r="EF326" s="182">
        <f t="shared" si="757"/>
        <v>0</v>
      </c>
      <c r="EG326" s="182">
        <f t="shared" si="763"/>
        <v>0</v>
      </c>
      <c r="EH326" s="182">
        <f t="shared" si="769"/>
        <v>0</v>
      </c>
      <c r="EI326" s="182">
        <f t="shared" si="775"/>
        <v>0</v>
      </c>
      <c r="EJ326" s="182">
        <f t="shared" si="781"/>
        <v>0</v>
      </c>
      <c r="EK326" s="182">
        <f t="shared" si="787"/>
        <v>0</v>
      </c>
      <c r="EL326" s="182">
        <f t="shared" si="792"/>
        <v>0</v>
      </c>
      <c r="EM326" s="182">
        <f t="shared" si="797"/>
        <v>0</v>
      </c>
      <c r="EN326" s="182">
        <f t="shared" si="802"/>
        <v>0</v>
      </c>
      <c r="EO326" s="182">
        <f t="shared" si="807"/>
        <v>0</v>
      </c>
      <c r="EP326" s="182">
        <f t="shared" si="812"/>
        <v>0</v>
      </c>
      <c r="EQ326" s="182">
        <f t="shared" si="817"/>
        <v>0</v>
      </c>
      <c r="ER326" s="182">
        <f t="shared" si="822"/>
        <v>0</v>
      </c>
      <c r="ES326" s="182">
        <f t="shared" si="827"/>
        <v>0</v>
      </c>
      <c r="ET326" s="182">
        <f t="shared" si="832"/>
        <v>45.31250360833883</v>
      </c>
      <c r="EU326" s="182">
        <f t="shared" si="837"/>
        <v>0</v>
      </c>
      <c r="EV326" s="182">
        <f t="shared" si="842"/>
        <v>3.9143516612529185E-19</v>
      </c>
      <c r="EW326" s="182">
        <f>EW159*EW$168</f>
        <v>0</v>
      </c>
      <c r="EX326" s="181">
        <f>$C326+SUM($D326:EW326,EY326:$FB326)-SUM(EX$176:EX325,EX327:EX$330)-EX$331</f>
        <v>6.5052130349130266E-16</v>
      </c>
      <c r="EY326" s="182">
        <f>EY159*EY$168</f>
        <v>0</v>
      </c>
      <c r="EZ326" s="182">
        <f>EZ159*EZ$168</f>
        <v>0</v>
      </c>
      <c r="FA326" s="182">
        <f>FA159*FA$168</f>
        <v>0</v>
      </c>
      <c r="FB326" s="183">
        <f>FB159*FB$168</f>
        <v>0</v>
      </c>
    </row>
    <row r="327" spans="2:158" ht="12.75" customHeight="1" x14ac:dyDescent="0.3">
      <c r="B327" s="199" t="s">
        <v>3970</v>
      </c>
      <c r="C327" s="193">
        <v>0</v>
      </c>
      <c r="D327" s="182">
        <f t="shared" si="729"/>
        <v>0</v>
      </c>
      <c r="E327" s="182">
        <f t="shared" si="735"/>
        <v>0</v>
      </c>
      <c r="F327" s="182">
        <f t="shared" si="741"/>
        <v>0</v>
      </c>
      <c r="G327" s="182">
        <f t="shared" si="747"/>
        <v>0</v>
      </c>
      <c r="H327" s="182">
        <f t="shared" si="753"/>
        <v>0</v>
      </c>
      <c r="I327" s="176">
        <f t="shared" si="759"/>
        <v>0</v>
      </c>
      <c r="J327" s="182">
        <f t="shared" si="765"/>
        <v>0</v>
      </c>
      <c r="K327" s="182">
        <f t="shared" si="771"/>
        <v>0</v>
      </c>
      <c r="L327" s="182">
        <f t="shared" si="777"/>
        <v>0</v>
      </c>
      <c r="M327" s="182">
        <f t="shared" si="783"/>
        <v>0</v>
      </c>
      <c r="N327" s="182">
        <f t="shared" si="789"/>
        <v>0</v>
      </c>
      <c r="O327" s="182">
        <f t="shared" si="794"/>
        <v>0</v>
      </c>
      <c r="P327" s="182">
        <f t="shared" si="799"/>
        <v>0</v>
      </c>
      <c r="Q327" s="182">
        <f t="shared" si="804"/>
        <v>0</v>
      </c>
      <c r="R327" s="182">
        <f t="shared" si="809"/>
        <v>0</v>
      </c>
      <c r="S327" s="182">
        <f t="shared" si="814"/>
        <v>0</v>
      </c>
      <c r="T327" s="182">
        <f t="shared" si="819"/>
        <v>0</v>
      </c>
      <c r="U327" s="182">
        <f t="shared" si="824"/>
        <v>0</v>
      </c>
      <c r="V327" s="182">
        <f t="shared" si="829"/>
        <v>0</v>
      </c>
      <c r="W327" s="182">
        <f t="shared" si="834"/>
        <v>0</v>
      </c>
      <c r="X327" s="182">
        <f t="shared" si="839"/>
        <v>0</v>
      </c>
      <c r="Y327" s="182">
        <f t="shared" si="843"/>
        <v>0</v>
      </c>
      <c r="Z327" s="182">
        <f t="shared" ref="Z327:Z330" si="846">Z160*Z$168</f>
        <v>0</v>
      </c>
      <c r="AA327" s="182">
        <f t="shared" si="684"/>
        <v>0</v>
      </c>
      <c r="AB327" s="182">
        <f t="shared" si="689"/>
        <v>0</v>
      </c>
      <c r="AC327" s="182">
        <f t="shared" si="694"/>
        <v>0</v>
      </c>
      <c r="AD327" s="182">
        <f t="shared" si="699"/>
        <v>0</v>
      </c>
      <c r="AE327" s="182">
        <f t="shared" si="704"/>
        <v>0</v>
      </c>
      <c r="AF327" s="182">
        <f t="shared" si="709"/>
        <v>0</v>
      </c>
      <c r="AG327" s="182">
        <f t="shared" si="714"/>
        <v>0</v>
      </c>
      <c r="AH327" s="182">
        <f t="shared" si="719"/>
        <v>0</v>
      </c>
      <c r="AI327" s="182">
        <f t="shared" si="724"/>
        <v>0</v>
      </c>
      <c r="AJ327" s="182">
        <f t="shared" si="730"/>
        <v>0</v>
      </c>
      <c r="AK327" s="182">
        <f t="shared" si="736"/>
        <v>0</v>
      </c>
      <c r="AL327" s="182">
        <f t="shared" si="742"/>
        <v>0</v>
      </c>
      <c r="AM327" s="182">
        <f t="shared" si="748"/>
        <v>0</v>
      </c>
      <c r="AN327" s="182">
        <f t="shared" si="754"/>
        <v>0</v>
      </c>
      <c r="AO327" s="182">
        <f t="shared" si="760"/>
        <v>0</v>
      </c>
      <c r="AP327" s="182">
        <f t="shared" si="766"/>
        <v>0</v>
      </c>
      <c r="AQ327" s="182">
        <f t="shared" si="772"/>
        <v>0</v>
      </c>
      <c r="AR327" s="182">
        <f t="shared" si="778"/>
        <v>0</v>
      </c>
      <c r="AS327" s="182">
        <f t="shared" si="784"/>
        <v>0</v>
      </c>
      <c r="AT327" s="182">
        <f t="shared" si="790"/>
        <v>0</v>
      </c>
      <c r="AU327" s="182">
        <f t="shared" si="795"/>
        <v>0</v>
      </c>
      <c r="AV327" s="182">
        <f t="shared" si="800"/>
        <v>0</v>
      </c>
      <c r="AW327" s="182">
        <f t="shared" si="805"/>
        <v>0</v>
      </c>
      <c r="AX327" s="182">
        <f t="shared" si="810"/>
        <v>0</v>
      </c>
      <c r="AY327" s="182">
        <f t="shared" si="815"/>
        <v>0</v>
      </c>
      <c r="AZ327" s="182">
        <f t="shared" si="820"/>
        <v>0</v>
      </c>
      <c r="BA327" s="182">
        <f t="shared" si="825"/>
        <v>0</v>
      </c>
      <c r="BB327" s="182">
        <f t="shared" si="830"/>
        <v>0</v>
      </c>
      <c r="BC327" s="182">
        <f t="shared" si="835"/>
        <v>0</v>
      </c>
      <c r="BD327" s="182">
        <f t="shared" si="840"/>
        <v>0</v>
      </c>
      <c r="BE327" s="182">
        <f t="shared" si="844"/>
        <v>0</v>
      </c>
      <c r="BF327" s="182">
        <f t="shared" ref="BF327:BF330" si="847">BF160*BF$168</f>
        <v>0</v>
      </c>
      <c r="BG327" s="182">
        <f t="shared" si="685"/>
        <v>0</v>
      </c>
      <c r="BH327" s="182">
        <f t="shared" si="690"/>
        <v>0</v>
      </c>
      <c r="BI327" s="182">
        <f t="shared" si="695"/>
        <v>0</v>
      </c>
      <c r="BJ327" s="182">
        <f t="shared" si="700"/>
        <v>0</v>
      </c>
      <c r="BK327" s="182">
        <f t="shared" si="705"/>
        <v>0</v>
      </c>
      <c r="BL327" s="182">
        <f t="shared" si="710"/>
        <v>0</v>
      </c>
      <c r="BM327" s="182">
        <f t="shared" si="715"/>
        <v>0</v>
      </c>
      <c r="BN327" s="182">
        <f t="shared" si="720"/>
        <v>0</v>
      </c>
      <c r="BO327" s="182">
        <f t="shared" si="725"/>
        <v>0</v>
      </c>
      <c r="BP327" s="182">
        <f t="shared" si="731"/>
        <v>0</v>
      </c>
      <c r="BQ327" s="182">
        <f t="shared" si="737"/>
        <v>0</v>
      </c>
      <c r="BR327" s="182">
        <f t="shared" si="743"/>
        <v>0</v>
      </c>
      <c r="BS327" s="182">
        <f t="shared" si="749"/>
        <v>0</v>
      </c>
      <c r="BT327" s="182">
        <f t="shared" si="755"/>
        <v>0</v>
      </c>
      <c r="BU327" s="182">
        <f t="shared" si="761"/>
        <v>0</v>
      </c>
      <c r="BV327" s="182">
        <f t="shared" si="767"/>
        <v>0</v>
      </c>
      <c r="BW327" s="182">
        <f t="shared" si="773"/>
        <v>0</v>
      </c>
      <c r="BX327" s="182">
        <f t="shared" si="779"/>
        <v>0</v>
      </c>
      <c r="BY327" s="182">
        <f t="shared" si="785"/>
        <v>0</v>
      </c>
      <c r="BZ327" s="182">
        <f t="shared" si="791"/>
        <v>0</v>
      </c>
      <c r="CA327" s="182">
        <f t="shared" si="796"/>
        <v>0</v>
      </c>
      <c r="CB327" s="182">
        <f t="shared" si="801"/>
        <v>0</v>
      </c>
      <c r="CC327" s="182">
        <f t="shared" si="806"/>
        <v>0</v>
      </c>
      <c r="CD327" s="182">
        <f t="shared" si="811"/>
        <v>0</v>
      </c>
      <c r="CE327" s="182">
        <f t="shared" si="816"/>
        <v>0</v>
      </c>
      <c r="CF327" s="182">
        <f t="shared" si="821"/>
        <v>0</v>
      </c>
      <c r="CG327" s="182">
        <f t="shared" si="826"/>
        <v>0</v>
      </c>
      <c r="CH327" s="182">
        <f t="shared" si="831"/>
        <v>0</v>
      </c>
      <c r="CI327" s="182">
        <f t="shared" si="836"/>
        <v>0</v>
      </c>
      <c r="CJ327" s="182">
        <f t="shared" si="841"/>
        <v>0</v>
      </c>
      <c r="CK327" s="182">
        <f t="shared" si="845"/>
        <v>0</v>
      </c>
      <c r="CL327" s="182">
        <f t="shared" ref="CL327:CL330" si="848">CL160*CL$168</f>
        <v>0</v>
      </c>
      <c r="CM327" s="182">
        <f t="shared" si="686"/>
        <v>0</v>
      </c>
      <c r="CN327" s="182">
        <f t="shared" si="691"/>
        <v>0</v>
      </c>
      <c r="CO327" s="182">
        <f t="shared" si="696"/>
        <v>0</v>
      </c>
      <c r="CP327" s="182">
        <f t="shared" si="701"/>
        <v>0</v>
      </c>
      <c r="CQ327" s="182">
        <f t="shared" si="706"/>
        <v>0</v>
      </c>
      <c r="CR327" s="182">
        <f t="shared" si="711"/>
        <v>0</v>
      </c>
      <c r="CS327" s="182">
        <f t="shared" si="716"/>
        <v>0</v>
      </c>
      <c r="CT327" s="182">
        <f t="shared" si="721"/>
        <v>0</v>
      </c>
      <c r="CU327" s="182">
        <f t="shared" si="726"/>
        <v>0</v>
      </c>
      <c r="CV327" s="182">
        <f t="shared" si="732"/>
        <v>0</v>
      </c>
      <c r="CW327" s="182">
        <f t="shared" si="738"/>
        <v>0</v>
      </c>
      <c r="CX327" s="182">
        <f t="shared" si="744"/>
        <v>0</v>
      </c>
      <c r="CY327" s="182">
        <f t="shared" si="750"/>
        <v>0</v>
      </c>
      <c r="CZ327" s="182">
        <f t="shared" si="756"/>
        <v>0</v>
      </c>
      <c r="DA327" s="182">
        <f t="shared" si="762"/>
        <v>0</v>
      </c>
      <c r="DB327" s="182">
        <f t="shared" si="768"/>
        <v>0</v>
      </c>
      <c r="DC327" s="182">
        <f t="shared" si="774"/>
        <v>0</v>
      </c>
      <c r="DD327" s="182">
        <f t="shared" si="780"/>
        <v>0</v>
      </c>
      <c r="DE327" s="182">
        <f t="shared" si="786"/>
        <v>0</v>
      </c>
      <c r="DF327" s="182">
        <f t="shared" si="622"/>
        <v>0</v>
      </c>
      <c r="DG327" s="182">
        <f t="shared" si="627"/>
        <v>0</v>
      </c>
      <c r="DH327" s="182">
        <f t="shared" si="632"/>
        <v>0</v>
      </c>
      <c r="DI327" s="182">
        <f t="shared" si="637"/>
        <v>0</v>
      </c>
      <c r="DJ327" s="182">
        <f t="shared" si="642"/>
        <v>0</v>
      </c>
      <c r="DK327" s="182">
        <f t="shared" si="647"/>
        <v>0</v>
      </c>
      <c r="DL327" s="182">
        <f t="shared" si="652"/>
        <v>0</v>
      </c>
      <c r="DM327" s="182">
        <f t="shared" si="657"/>
        <v>0</v>
      </c>
      <c r="DN327" s="182">
        <f t="shared" si="662"/>
        <v>0</v>
      </c>
      <c r="DO327" s="182">
        <f t="shared" si="667"/>
        <v>0</v>
      </c>
      <c r="DP327" s="182">
        <f t="shared" si="672"/>
        <v>0</v>
      </c>
      <c r="DQ327" s="182">
        <f t="shared" si="677"/>
        <v>0</v>
      </c>
      <c r="DR327" s="182">
        <f t="shared" si="682"/>
        <v>0</v>
      </c>
      <c r="DS327" s="182">
        <f t="shared" si="687"/>
        <v>0</v>
      </c>
      <c r="DT327" s="182">
        <f t="shared" si="692"/>
        <v>0</v>
      </c>
      <c r="DU327" s="182">
        <f t="shared" si="697"/>
        <v>0</v>
      </c>
      <c r="DV327" s="182">
        <f t="shared" si="702"/>
        <v>0</v>
      </c>
      <c r="DW327" s="182">
        <f t="shared" si="707"/>
        <v>0</v>
      </c>
      <c r="DX327" s="182">
        <f t="shared" si="712"/>
        <v>0</v>
      </c>
      <c r="DY327" s="182">
        <f t="shared" si="717"/>
        <v>0</v>
      </c>
      <c r="DZ327" s="182">
        <f t="shared" si="722"/>
        <v>0</v>
      </c>
      <c r="EA327" s="182">
        <f t="shared" si="727"/>
        <v>0</v>
      </c>
      <c r="EB327" s="182">
        <f t="shared" si="733"/>
        <v>0</v>
      </c>
      <c r="EC327" s="182">
        <f t="shared" si="739"/>
        <v>0</v>
      </c>
      <c r="ED327" s="182">
        <f t="shared" si="745"/>
        <v>0</v>
      </c>
      <c r="EE327" s="182">
        <f t="shared" si="751"/>
        <v>0</v>
      </c>
      <c r="EF327" s="182">
        <f t="shared" si="757"/>
        <v>0</v>
      </c>
      <c r="EG327" s="182">
        <f t="shared" si="763"/>
        <v>0</v>
      </c>
      <c r="EH327" s="182">
        <f t="shared" si="769"/>
        <v>0</v>
      </c>
      <c r="EI327" s="182">
        <f t="shared" si="775"/>
        <v>0</v>
      </c>
      <c r="EJ327" s="182">
        <f t="shared" si="781"/>
        <v>0</v>
      </c>
      <c r="EK327" s="182">
        <f t="shared" si="787"/>
        <v>0</v>
      </c>
      <c r="EL327" s="182">
        <f t="shared" si="792"/>
        <v>0</v>
      </c>
      <c r="EM327" s="182">
        <f t="shared" si="797"/>
        <v>0</v>
      </c>
      <c r="EN327" s="182">
        <f t="shared" si="802"/>
        <v>0</v>
      </c>
      <c r="EO327" s="182">
        <f t="shared" si="807"/>
        <v>0</v>
      </c>
      <c r="EP327" s="182">
        <f t="shared" si="812"/>
        <v>0</v>
      </c>
      <c r="EQ327" s="182">
        <f t="shared" si="817"/>
        <v>0</v>
      </c>
      <c r="ER327" s="182">
        <f t="shared" si="822"/>
        <v>0</v>
      </c>
      <c r="ES327" s="182">
        <f t="shared" si="827"/>
        <v>0</v>
      </c>
      <c r="ET327" s="182">
        <f t="shared" si="832"/>
        <v>0</v>
      </c>
      <c r="EU327" s="182">
        <f t="shared" si="837"/>
        <v>0</v>
      </c>
      <c r="EV327" s="182">
        <f t="shared" si="842"/>
        <v>0</v>
      </c>
      <c r="EW327" s="182">
        <f>EW160*EW$168</f>
        <v>0</v>
      </c>
      <c r="EX327" s="182">
        <f>EX160*EX$168</f>
        <v>0</v>
      </c>
      <c r="EY327" s="181">
        <f>$C327+SUM($D327:EX327,EZ327:$FB327)-SUM(EY$176:EY326,EY328:EY$330)-EY$331</f>
        <v>0</v>
      </c>
      <c r="EZ327" s="182">
        <f>EZ160*EZ$168</f>
        <v>0</v>
      </c>
      <c r="FA327" s="182">
        <f>FA160*FA$168</f>
        <v>0</v>
      </c>
      <c r="FB327" s="183">
        <f>FB160*FB$168</f>
        <v>0</v>
      </c>
    </row>
    <row r="328" spans="2:158" ht="12.75" customHeight="1" x14ac:dyDescent="0.3">
      <c r="B328" s="199" t="s">
        <v>3971</v>
      </c>
      <c r="C328" s="193">
        <v>0</v>
      </c>
      <c r="D328" s="182">
        <f t="shared" si="729"/>
        <v>0</v>
      </c>
      <c r="E328" s="182">
        <f t="shared" si="735"/>
        <v>0</v>
      </c>
      <c r="F328" s="182">
        <f t="shared" si="741"/>
        <v>0</v>
      </c>
      <c r="G328" s="182">
        <f t="shared" si="747"/>
        <v>0</v>
      </c>
      <c r="H328" s="182">
        <f t="shared" si="753"/>
        <v>0</v>
      </c>
      <c r="I328" s="176">
        <f t="shared" si="759"/>
        <v>0</v>
      </c>
      <c r="J328" s="182">
        <f t="shared" si="765"/>
        <v>0</v>
      </c>
      <c r="K328" s="182">
        <f t="shared" si="771"/>
        <v>0</v>
      </c>
      <c r="L328" s="182">
        <f t="shared" si="777"/>
        <v>0</v>
      </c>
      <c r="M328" s="182">
        <f t="shared" si="783"/>
        <v>0</v>
      </c>
      <c r="N328" s="182">
        <f t="shared" si="789"/>
        <v>0</v>
      </c>
      <c r="O328" s="182">
        <f t="shared" si="794"/>
        <v>0</v>
      </c>
      <c r="P328" s="182">
        <f t="shared" si="799"/>
        <v>0</v>
      </c>
      <c r="Q328" s="182">
        <f t="shared" si="804"/>
        <v>0</v>
      </c>
      <c r="R328" s="182">
        <f t="shared" si="809"/>
        <v>0</v>
      </c>
      <c r="S328" s="182">
        <f t="shared" si="814"/>
        <v>0</v>
      </c>
      <c r="T328" s="182">
        <f t="shared" si="819"/>
        <v>0</v>
      </c>
      <c r="U328" s="182">
        <f t="shared" si="824"/>
        <v>0</v>
      </c>
      <c r="V328" s="182">
        <f t="shared" si="829"/>
        <v>0</v>
      </c>
      <c r="W328" s="182">
        <f t="shared" si="834"/>
        <v>0</v>
      </c>
      <c r="X328" s="182">
        <f t="shared" si="839"/>
        <v>0</v>
      </c>
      <c r="Y328" s="182">
        <f t="shared" si="843"/>
        <v>0</v>
      </c>
      <c r="Z328" s="182">
        <f t="shared" si="846"/>
        <v>0</v>
      </c>
      <c r="AA328" s="182">
        <f t="shared" ref="AA328:AA330" si="849">AA161*AA$168</f>
        <v>0</v>
      </c>
      <c r="AB328" s="182">
        <f t="shared" si="689"/>
        <v>0</v>
      </c>
      <c r="AC328" s="182">
        <f t="shared" si="694"/>
        <v>0</v>
      </c>
      <c r="AD328" s="182">
        <f t="shared" si="699"/>
        <v>0</v>
      </c>
      <c r="AE328" s="182">
        <f t="shared" si="704"/>
        <v>0</v>
      </c>
      <c r="AF328" s="182">
        <f t="shared" si="709"/>
        <v>0</v>
      </c>
      <c r="AG328" s="182">
        <f t="shared" si="714"/>
        <v>0</v>
      </c>
      <c r="AH328" s="182">
        <f t="shared" si="719"/>
        <v>0</v>
      </c>
      <c r="AI328" s="182">
        <f t="shared" si="724"/>
        <v>0</v>
      </c>
      <c r="AJ328" s="182">
        <f t="shared" si="730"/>
        <v>0</v>
      </c>
      <c r="AK328" s="182">
        <f t="shared" si="736"/>
        <v>0</v>
      </c>
      <c r="AL328" s="182">
        <f t="shared" si="742"/>
        <v>0</v>
      </c>
      <c r="AM328" s="182">
        <f t="shared" si="748"/>
        <v>0</v>
      </c>
      <c r="AN328" s="182">
        <f t="shared" si="754"/>
        <v>0</v>
      </c>
      <c r="AO328" s="182">
        <f t="shared" si="760"/>
        <v>0</v>
      </c>
      <c r="AP328" s="182">
        <f t="shared" si="766"/>
        <v>0</v>
      </c>
      <c r="AQ328" s="182">
        <f t="shared" si="772"/>
        <v>0</v>
      </c>
      <c r="AR328" s="182">
        <f t="shared" si="778"/>
        <v>0</v>
      </c>
      <c r="AS328" s="182">
        <f t="shared" si="784"/>
        <v>0</v>
      </c>
      <c r="AT328" s="182">
        <f t="shared" si="790"/>
        <v>0</v>
      </c>
      <c r="AU328" s="182">
        <f t="shared" si="795"/>
        <v>0</v>
      </c>
      <c r="AV328" s="182">
        <f t="shared" si="800"/>
        <v>0</v>
      </c>
      <c r="AW328" s="182">
        <f t="shared" si="805"/>
        <v>0</v>
      </c>
      <c r="AX328" s="182">
        <f t="shared" si="810"/>
        <v>0</v>
      </c>
      <c r="AY328" s="182">
        <f t="shared" si="815"/>
        <v>0</v>
      </c>
      <c r="AZ328" s="182">
        <f t="shared" si="820"/>
        <v>0</v>
      </c>
      <c r="BA328" s="182">
        <f t="shared" si="825"/>
        <v>0</v>
      </c>
      <c r="BB328" s="182">
        <f t="shared" si="830"/>
        <v>0</v>
      </c>
      <c r="BC328" s="182">
        <f t="shared" si="835"/>
        <v>0</v>
      </c>
      <c r="BD328" s="182">
        <f t="shared" si="840"/>
        <v>0</v>
      </c>
      <c r="BE328" s="182">
        <f t="shared" si="844"/>
        <v>0</v>
      </c>
      <c r="BF328" s="182">
        <f t="shared" si="847"/>
        <v>0</v>
      </c>
      <c r="BG328" s="182">
        <f t="shared" ref="BG328:BG330" si="850">BG161*BG$168</f>
        <v>0</v>
      </c>
      <c r="BH328" s="182">
        <f t="shared" si="690"/>
        <v>0</v>
      </c>
      <c r="BI328" s="182">
        <f t="shared" si="695"/>
        <v>0</v>
      </c>
      <c r="BJ328" s="182">
        <f t="shared" si="700"/>
        <v>0</v>
      </c>
      <c r="BK328" s="182">
        <f t="shared" si="705"/>
        <v>0</v>
      </c>
      <c r="BL328" s="182">
        <f t="shared" si="710"/>
        <v>0</v>
      </c>
      <c r="BM328" s="182">
        <f t="shared" si="715"/>
        <v>0</v>
      </c>
      <c r="BN328" s="182">
        <f t="shared" si="720"/>
        <v>0</v>
      </c>
      <c r="BO328" s="182">
        <f t="shared" si="725"/>
        <v>0</v>
      </c>
      <c r="BP328" s="182">
        <f t="shared" si="731"/>
        <v>0</v>
      </c>
      <c r="BQ328" s="182">
        <f t="shared" si="737"/>
        <v>0</v>
      </c>
      <c r="BR328" s="182">
        <f t="shared" si="743"/>
        <v>0</v>
      </c>
      <c r="BS328" s="182">
        <f t="shared" si="749"/>
        <v>0</v>
      </c>
      <c r="BT328" s="182">
        <f t="shared" si="755"/>
        <v>0</v>
      </c>
      <c r="BU328" s="182">
        <f t="shared" si="761"/>
        <v>0</v>
      </c>
      <c r="BV328" s="182">
        <f t="shared" si="767"/>
        <v>0</v>
      </c>
      <c r="BW328" s="182">
        <f t="shared" si="773"/>
        <v>0</v>
      </c>
      <c r="BX328" s="182">
        <f t="shared" si="779"/>
        <v>0</v>
      </c>
      <c r="BY328" s="182">
        <f t="shared" si="785"/>
        <v>0</v>
      </c>
      <c r="BZ328" s="182">
        <f t="shared" si="791"/>
        <v>0</v>
      </c>
      <c r="CA328" s="182">
        <f t="shared" si="796"/>
        <v>0</v>
      </c>
      <c r="CB328" s="182">
        <f t="shared" si="801"/>
        <v>0</v>
      </c>
      <c r="CC328" s="182">
        <f t="shared" si="806"/>
        <v>0</v>
      </c>
      <c r="CD328" s="182">
        <f t="shared" si="811"/>
        <v>0</v>
      </c>
      <c r="CE328" s="182">
        <f t="shared" si="816"/>
        <v>0</v>
      </c>
      <c r="CF328" s="182">
        <f t="shared" si="821"/>
        <v>0</v>
      </c>
      <c r="CG328" s="182">
        <f t="shared" si="826"/>
        <v>0</v>
      </c>
      <c r="CH328" s="182">
        <f t="shared" si="831"/>
        <v>0</v>
      </c>
      <c r="CI328" s="182">
        <f t="shared" si="836"/>
        <v>0</v>
      </c>
      <c r="CJ328" s="182">
        <f t="shared" si="841"/>
        <v>0</v>
      </c>
      <c r="CK328" s="182">
        <f t="shared" si="845"/>
        <v>0</v>
      </c>
      <c r="CL328" s="182">
        <f t="shared" si="848"/>
        <v>0</v>
      </c>
      <c r="CM328" s="182">
        <f t="shared" ref="CM328:CM330" si="851">CM161*CM$168</f>
        <v>0</v>
      </c>
      <c r="CN328" s="182">
        <f t="shared" si="691"/>
        <v>0</v>
      </c>
      <c r="CO328" s="182">
        <f t="shared" si="696"/>
        <v>0</v>
      </c>
      <c r="CP328" s="182">
        <f t="shared" si="701"/>
        <v>0</v>
      </c>
      <c r="CQ328" s="182">
        <f t="shared" si="706"/>
        <v>0</v>
      </c>
      <c r="CR328" s="182">
        <f t="shared" si="711"/>
        <v>0</v>
      </c>
      <c r="CS328" s="182">
        <f t="shared" si="716"/>
        <v>0</v>
      </c>
      <c r="CT328" s="182">
        <f t="shared" si="721"/>
        <v>0</v>
      </c>
      <c r="CU328" s="182">
        <f t="shared" si="726"/>
        <v>0</v>
      </c>
      <c r="CV328" s="182">
        <f t="shared" si="732"/>
        <v>0</v>
      </c>
      <c r="CW328" s="182">
        <f t="shared" si="738"/>
        <v>0</v>
      </c>
      <c r="CX328" s="182">
        <f t="shared" si="744"/>
        <v>0</v>
      </c>
      <c r="CY328" s="182">
        <f t="shared" si="750"/>
        <v>0</v>
      </c>
      <c r="CZ328" s="182">
        <f t="shared" si="756"/>
        <v>0</v>
      </c>
      <c r="DA328" s="182">
        <f t="shared" si="762"/>
        <v>0</v>
      </c>
      <c r="DB328" s="182">
        <f t="shared" si="768"/>
        <v>0</v>
      </c>
      <c r="DC328" s="182">
        <f t="shared" si="774"/>
        <v>0</v>
      </c>
      <c r="DD328" s="182">
        <f t="shared" si="780"/>
        <v>0</v>
      </c>
      <c r="DE328" s="182">
        <f t="shared" si="786"/>
        <v>0</v>
      </c>
      <c r="DF328" s="182">
        <f t="shared" si="622"/>
        <v>0</v>
      </c>
      <c r="DG328" s="182">
        <f t="shared" si="627"/>
        <v>0</v>
      </c>
      <c r="DH328" s="182">
        <f t="shared" si="632"/>
        <v>0</v>
      </c>
      <c r="DI328" s="182">
        <f t="shared" si="637"/>
        <v>0</v>
      </c>
      <c r="DJ328" s="182">
        <f t="shared" si="642"/>
        <v>0</v>
      </c>
      <c r="DK328" s="182">
        <f t="shared" si="647"/>
        <v>0</v>
      </c>
      <c r="DL328" s="182">
        <f t="shared" si="652"/>
        <v>0</v>
      </c>
      <c r="DM328" s="182">
        <f t="shared" si="657"/>
        <v>0</v>
      </c>
      <c r="DN328" s="182">
        <f t="shared" si="662"/>
        <v>0</v>
      </c>
      <c r="DO328" s="182">
        <f t="shared" si="667"/>
        <v>0</v>
      </c>
      <c r="DP328" s="182">
        <f t="shared" si="672"/>
        <v>0</v>
      </c>
      <c r="DQ328" s="182">
        <f t="shared" si="677"/>
        <v>0</v>
      </c>
      <c r="DR328" s="182">
        <f t="shared" si="682"/>
        <v>0</v>
      </c>
      <c r="DS328" s="182">
        <f t="shared" si="687"/>
        <v>0</v>
      </c>
      <c r="DT328" s="182">
        <f t="shared" si="692"/>
        <v>0</v>
      </c>
      <c r="DU328" s="182">
        <f t="shared" si="697"/>
        <v>0</v>
      </c>
      <c r="DV328" s="182">
        <f t="shared" si="702"/>
        <v>0</v>
      </c>
      <c r="DW328" s="182">
        <f t="shared" si="707"/>
        <v>0</v>
      </c>
      <c r="DX328" s="182">
        <f t="shared" si="712"/>
        <v>0</v>
      </c>
      <c r="DY328" s="182">
        <f t="shared" si="717"/>
        <v>0</v>
      </c>
      <c r="DZ328" s="182">
        <f t="shared" si="722"/>
        <v>0</v>
      </c>
      <c r="EA328" s="182">
        <f t="shared" si="727"/>
        <v>0</v>
      </c>
      <c r="EB328" s="182">
        <f t="shared" si="733"/>
        <v>0</v>
      </c>
      <c r="EC328" s="182">
        <f t="shared" si="739"/>
        <v>0</v>
      </c>
      <c r="ED328" s="182">
        <f t="shared" si="745"/>
        <v>0</v>
      </c>
      <c r="EE328" s="182">
        <f t="shared" si="751"/>
        <v>0</v>
      </c>
      <c r="EF328" s="182">
        <f t="shared" si="757"/>
        <v>0</v>
      </c>
      <c r="EG328" s="182">
        <f t="shared" si="763"/>
        <v>1.4799938308617851E-5</v>
      </c>
      <c r="EH328" s="182">
        <f t="shared" si="769"/>
        <v>0</v>
      </c>
      <c r="EI328" s="182">
        <f t="shared" si="775"/>
        <v>0</v>
      </c>
      <c r="EJ328" s="182">
        <f t="shared" si="781"/>
        <v>1.5442434395786786E-5</v>
      </c>
      <c r="EK328" s="182">
        <f t="shared" si="787"/>
        <v>0</v>
      </c>
      <c r="EL328" s="182">
        <f t="shared" si="792"/>
        <v>0</v>
      </c>
      <c r="EM328" s="182">
        <f t="shared" si="797"/>
        <v>0</v>
      </c>
      <c r="EN328" s="182">
        <f t="shared" si="802"/>
        <v>0</v>
      </c>
      <c r="EO328" s="182">
        <f t="shared" si="807"/>
        <v>0</v>
      </c>
      <c r="EP328" s="182">
        <f t="shared" si="812"/>
        <v>0</v>
      </c>
      <c r="EQ328" s="182">
        <f t="shared" si="817"/>
        <v>0</v>
      </c>
      <c r="ER328" s="182">
        <f t="shared" si="822"/>
        <v>0</v>
      </c>
      <c r="ES328" s="182">
        <f t="shared" si="827"/>
        <v>0</v>
      </c>
      <c r="ET328" s="182">
        <f t="shared" si="832"/>
        <v>0</v>
      </c>
      <c r="EU328" s="182">
        <f t="shared" si="837"/>
        <v>0</v>
      </c>
      <c r="EV328" s="182">
        <f t="shared" si="842"/>
        <v>0</v>
      </c>
      <c r="EW328" s="182">
        <f>EW161*EW$168</f>
        <v>0</v>
      </c>
      <c r="EX328" s="182">
        <f>EX161*EX$168</f>
        <v>0</v>
      </c>
      <c r="EY328" s="182">
        <f>EY161*EY$168</f>
        <v>0</v>
      </c>
      <c r="EZ328" s="181">
        <f>$C328+SUM($D328:EY328,FA328:$FB328)-SUM(EZ$176:EZ327,EZ329:EZ$330)-EZ$331</f>
        <v>1.3044654415832585E-21</v>
      </c>
      <c r="FA328" s="182">
        <f>FA161*FA$168</f>
        <v>0</v>
      </c>
      <c r="FB328" s="183">
        <f>FB161*FB$168</f>
        <v>0</v>
      </c>
    </row>
    <row r="329" spans="2:158" ht="12.75" customHeight="1" x14ac:dyDescent="0.3">
      <c r="B329" s="199" t="s">
        <v>3972</v>
      </c>
      <c r="C329" s="193">
        <v>0</v>
      </c>
      <c r="D329" s="182">
        <f t="shared" si="729"/>
        <v>0</v>
      </c>
      <c r="E329" s="182">
        <f t="shared" si="735"/>
        <v>0</v>
      </c>
      <c r="F329" s="182">
        <f t="shared" si="741"/>
        <v>0</v>
      </c>
      <c r="G329" s="182">
        <f t="shared" si="747"/>
        <v>0</v>
      </c>
      <c r="H329" s="182">
        <f t="shared" si="753"/>
        <v>0</v>
      </c>
      <c r="I329" s="176">
        <f t="shared" si="759"/>
        <v>0</v>
      </c>
      <c r="J329" s="182">
        <f t="shared" si="765"/>
        <v>0</v>
      </c>
      <c r="K329" s="182">
        <f t="shared" si="771"/>
        <v>0</v>
      </c>
      <c r="L329" s="182">
        <f t="shared" si="777"/>
        <v>0</v>
      </c>
      <c r="M329" s="182">
        <f t="shared" si="783"/>
        <v>0</v>
      </c>
      <c r="N329" s="182">
        <f t="shared" si="789"/>
        <v>0</v>
      </c>
      <c r="O329" s="182">
        <f t="shared" si="794"/>
        <v>0</v>
      </c>
      <c r="P329" s="182">
        <f t="shared" si="799"/>
        <v>0</v>
      </c>
      <c r="Q329" s="182">
        <f t="shared" si="804"/>
        <v>0</v>
      </c>
      <c r="R329" s="182">
        <f t="shared" si="809"/>
        <v>0</v>
      </c>
      <c r="S329" s="182">
        <f t="shared" si="814"/>
        <v>0</v>
      </c>
      <c r="T329" s="182">
        <f t="shared" si="819"/>
        <v>0</v>
      </c>
      <c r="U329" s="182">
        <f t="shared" si="824"/>
        <v>0</v>
      </c>
      <c r="V329" s="182">
        <f t="shared" si="829"/>
        <v>0</v>
      </c>
      <c r="W329" s="182">
        <f t="shared" si="834"/>
        <v>0</v>
      </c>
      <c r="X329" s="182">
        <f t="shared" si="839"/>
        <v>0</v>
      </c>
      <c r="Y329" s="182">
        <f t="shared" si="843"/>
        <v>0</v>
      </c>
      <c r="Z329" s="182">
        <f t="shared" si="846"/>
        <v>0</v>
      </c>
      <c r="AA329" s="182">
        <f t="shared" si="849"/>
        <v>0</v>
      </c>
      <c r="AB329" s="182">
        <f t="shared" ref="AB329:AB330" si="852">AB162*AB$168</f>
        <v>0</v>
      </c>
      <c r="AC329" s="182">
        <f t="shared" si="694"/>
        <v>0</v>
      </c>
      <c r="AD329" s="182">
        <f t="shared" si="699"/>
        <v>0</v>
      </c>
      <c r="AE329" s="182">
        <f t="shared" si="704"/>
        <v>0</v>
      </c>
      <c r="AF329" s="182">
        <f t="shared" si="709"/>
        <v>0</v>
      </c>
      <c r="AG329" s="182">
        <f t="shared" si="714"/>
        <v>0</v>
      </c>
      <c r="AH329" s="182">
        <f t="shared" si="719"/>
        <v>0</v>
      </c>
      <c r="AI329" s="182">
        <f t="shared" si="724"/>
        <v>0</v>
      </c>
      <c r="AJ329" s="182">
        <f t="shared" si="730"/>
        <v>0</v>
      </c>
      <c r="AK329" s="182">
        <f t="shared" si="736"/>
        <v>0</v>
      </c>
      <c r="AL329" s="182">
        <f t="shared" si="742"/>
        <v>0</v>
      </c>
      <c r="AM329" s="182">
        <f t="shared" si="748"/>
        <v>0</v>
      </c>
      <c r="AN329" s="182">
        <f t="shared" si="754"/>
        <v>0</v>
      </c>
      <c r="AO329" s="182">
        <f t="shared" si="760"/>
        <v>0</v>
      </c>
      <c r="AP329" s="182">
        <f t="shared" si="766"/>
        <v>0</v>
      </c>
      <c r="AQ329" s="182">
        <f t="shared" si="772"/>
        <v>0</v>
      </c>
      <c r="AR329" s="182">
        <f t="shared" si="778"/>
        <v>0</v>
      </c>
      <c r="AS329" s="182">
        <f t="shared" si="784"/>
        <v>0</v>
      </c>
      <c r="AT329" s="182">
        <f t="shared" si="790"/>
        <v>0</v>
      </c>
      <c r="AU329" s="182">
        <f t="shared" si="795"/>
        <v>0</v>
      </c>
      <c r="AV329" s="182">
        <f t="shared" si="800"/>
        <v>0</v>
      </c>
      <c r="AW329" s="182">
        <f t="shared" si="805"/>
        <v>0</v>
      </c>
      <c r="AX329" s="182">
        <f t="shared" si="810"/>
        <v>0</v>
      </c>
      <c r="AY329" s="182">
        <f t="shared" si="815"/>
        <v>0</v>
      </c>
      <c r="AZ329" s="182">
        <f t="shared" si="820"/>
        <v>0</v>
      </c>
      <c r="BA329" s="182">
        <f t="shared" si="825"/>
        <v>0</v>
      </c>
      <c r="BB329" s="182">
        <f t="shared" si="830"/>
        <v>0</v>
      </c>
      <c r="BC329" s="182">
        <f t="shared" si="835"/>
        <v>0</v>
      </c>
      <c r="BD329" s="182">
        <f t="shared" si="840"/>
        <v>0</v>
      </c>
      <c r="BE329" s="182">
        <f t="shared" si="844"/>
        <v>0</v>
      </c>
      <c r="BF329" s="182">
        <f t="shared" si="847"/>
        <v>0</v>
      </c>
      <c r="BG329" s="182">
        <f t="shared" si="850"/>
        <v>0</v>
      </c>
      <c r="BH329" s="182">
        <f t="shared" ref="BH329:BH330" si="853">BH162*BH$168</f>
        <v>0</v>
      </c>
      <c r="BI329" s="182">
        <f t="shared" si="695"/>
        <v>0</v>
      </c>
      <c r="BJ329" s="182">
        <f t="shared" si="700"/>
        <v>0</v>
      </c>
      <c r="BK329" s="182">
        <f t="shared" si="705"/>
        <v>0</v>
      </c>
      <c r="BL329" s="182">
        <f t="shared" si="710"/>
        <v>0</v>
      </c>
      <c r="BM329" s="182">
        <f t="shared" si="715"/>
        <v>0</v>
      </c>
      <c r="BN329" s="182">
        <f t="shared" si="720"/>
        <v>0</v>
      </c>
      <c r="BO329" s="182">
        <f t="shared" si="725"/>
        <v>0</v>
      </c>
      <c r="BP329" s="182">
        <f t="shared" si="731"/>
        <v>0</v>
      </c>
      <c r="BQ329" s="182">
        <f t="shared" si="737"/>
        <v>0</v>
      </c>
      <c r="BR329" s="182">
        <f t="shared" si="743"/>
        <v>0</v>
      </c>
      <c r="BS329" s="182">
        <f t="shared" si="749"/>
        <v>0</v>
      </c>
      <c r="BT329" s="182">
        <f t="shared" si="755"/>
        <v>0</v>
      </c>
      <c r="BU329" s="182">
        <f t="shared" si="761"/>
        <v>0</v>
      </c>
      <c r="BV329" s="182">
        <f t="shared" si="767"/>
        <v>0</v>
      </c>
      <c r="BW329" s="182">
        <f t="shared" si="773"/>
        <v>0</v>
      </c>
      <c r="BX329" s="182">
        <f t="shared" si="779"/>
        <v>0</v>
      </c>
      <c r="BY329" s="182">
        <f t="shared" si="785"/>
        <v>0</v>
      </c>
      <c r="BZ329" s="182">
        <f t="shared" si="791"/>
        <v>0</v>
      </c>
      <c r="CA329" s="182">
        <f t="shared" si="796"/>
        <v>0</v>
      </c>
      <c r="CB329" s="182">
        <f t="shared" si="801"/>
        <v>0</v>
      </c>
      <c r="CC329" s="182">
        <f t="shared" si="806"/>
        <v>0</v>
      </c>
      <c r="CD329" s="182">
        <f t="shared" si="811"/>
        <v>0</v>
      </c>
      <c r="CE329" s="182">
        <f t="shared" si="816"/>
        <v>0</v>
      </c>
      <c r="CF329" s="182">
        <f t="shared" si="821"/>
        <v>0</v>
      </c>
      <c r="CG329" s="182">
        <f t="shared" si="826"/>
        <v>0</v>
      </c>
      <c r="CH329" s="182">
        <f t="shared" si="831"/>
        <v>0</v>
      </c>
      <c r="CI329" s="182">
        <f t="shared" si="836"/>
        <v>0</v>
      </c>
      <c r="CJ329" s="182">
        <f t="shared" si="841"/>
        <v>0</v>
      </c>
      <c r="CK329" s="182">
        <f t="shared" si="845"/>
        <v>0</v>
      </c>
      <c r="CL329" s="182">
        <f t="shared" si="848"/>
        <v>0</v>
      </c>
      <c r="CM329" s="182">
        <f t="shared" si="851"/>
        <v>0</v>
      </c>
      <c r="CN329" s="182">
        <f t="shared" ref="CN329:CN330" si="854">CN162*CN$168</f>
        <v>0</v>
      </c>
      <c r="CO329" s="182">
        <f t="shared" si="696"/>
        <v>0</v>
      </c>
      <c r="CP329" s="182">
        <f t="shared" si="701"/>
        <v>0</v>
      </c>
      <c r="CQ329" s="182">
        <f t="shared" si="706"/>
        <v>0</v>
      </c>
      <c r="CR329" s="182">
        <f t="shared" si="711"/>
        <v>0</v>
      </c>
      <c r="CS329" s="182">
        <f t="shared" si="716"/>
        <v>0</v>
      </c>
      <c r="CT329" s="182">
        <f t="shared" si="721"/>
        <v>0</v>
      </c>
      <c r="CU329" s="182">
        <f t="shared" si="726"/>
        <v>0</v>
      </c>
      <c r="CV329" s="182">
        <f t="shared" si="732"/>
        <v>0</v>
      </c>
      <c r="CW329" s="182">
        <f t="shared" si="738"/>
        <v>0</v>
      </c>
      <c r="CX329" s="182">
        <f t="shared" si="744"/>
        <v>0</v>
      </c>
      <c r="CY329" s="182">
        <f t="shared" si="750"/>
        <v>0</v>
      </c>
      <c r="CZ329" s="182">
        <f t="shared" si="756"/>
        <v>0</v>
      </c>
      <c r="DA329" s="182">
        <f t="shared" si="762"/>
        <v>0</v>
      </c>
      <c r="DB329" s="182">
        <f t="shared" si="768"/>
        <v>0</v>
      </c>
      <c r="DC329" s="182">
        <f t="shared" si="774"/>
        <v>0</v>
      </c>
      <c r="DD329" s="182">
        <f t="shared" si="780"/>
        <v>0</v>
      </c>
      <c r="DE329" s="182">
        <f t="shared" si="786"/>
        <v>0</v>
      </c>
      <c r="DF329" s="182">
        <f t="shared" si="622"/>
        <v>0</v>
      </c>
      <c r="DG329" s="182">
        <f t="shared" si="627"/>
        <v>0</v>
      </c>
      <c r="DH329" s="182">
        <f t="shared" si="632"/>
        <v>0</v>
      </c>
      <c r="DI329" s="182">
        <f t="shared" si="637"/>
        <v>0</v>
      </c>
      <c r="DJ329" s="182">
        <f t="shared" si="642"/>
        <v>0</v>
      </c>
      <c r="DK329" s="182">
        <f t="shared" si="647"/>
        <v>0</v>
      </c>
      <c r="DL329" s="182">
        <f t="shared" si="652"/>
        <v>0</v>
      </c>
      <c r="DM329" s="182">
        <f t="shared" si="657"/>
        <v>0</v>
      </c>
      <c r="DN329" s="182">
        <f t="shared" si="662"/>
        <v>0</v>
      </c>
      <c r="DO329" s="182">
        <f t="shared" si="667"/>
        <v>0</v>
      </c>
      <c r="DP329" s="182">
        <f t="shared" si="672"/>
        <v>0</v>
      </c>
      <c r="DQ329" s="182">
        <f t="shared" si="677"/>
        <v>0</v>
      </c>
      <c r="DR329" s="182">
        <f t="shared" si="682"/>
        <v>0</v>
      </c>
      <c r="DS329" s="182">
        <f t="shared" si="687"/>
        <v>0</v>
      </c>
      <c r="DT329" s="182">
        <f t="shared" si="692"/>
        <v>0</v>
      </c>
      <c r="DU329" s="182">
        <f t="shared" si="697"/>
        <v>0</v>
      </c>
      <c r="DV329" s="182">
        <f t="shared" si="702"/>
        <v>0</v>
      </c>
      <c r="DW329" s="182">
        <f t="shared" si="707"/>
        <v>0</v>
      </c>
      <c r="DX329" s="182">
        <f t="shared" si="712"/>
        <v>0</v>
      </c>
      <c r="DY329" s="182">
        <f t="shared" si="717"/>
        <v>0</v>
      </c>
      <c r="DZ329" s="182">
        <f t="shared" si="722"/>
        <v>0</v>
      </c>
      <c r="EA329" s="182">
        <f t="shared" si="727"/>
        <v>0</v>
      </c>
      <c r="EB329" s="182">
        <f t="shared" si="733"/>
        <v>0</v>
      </c>
      <c r="EC329" s="182">
        <f t="shared" si="739"/>
        <v>0</v>
      </c>
      <c r="ED329" s="182">
        <f t="shared" si="745"/>
        <v>0</v>
      </c>
      <c r="EE329" s="182">
        <f t="shared" si="751"/>
        <v>0</v>
      </c>
      <c r="EF329" s="182">
        <f t="shared" si="757"/>
        <v>0</v>
      </c>
      <c r="EG329" s="182">
        <f t="shared" si="763"/>
        <v>0</v>
      </c>
      <c r="EH329" s="182">
        <f t="shared" si="769"/>
        <v>1.4364645479436833E-2</v>
      </c>
      <c r="EI329" s="182">
        <f t="shared" si="775"/>
        <v>0</v>
      </c>
      <c r="EJ329" s="182">
        <f t="shared" si="781"/>
        <v>0</v>
      </c>
      <c r="EK329" s="182">
        <f t="shared" si="787"/>
        <v>3.9388699375028417E-2</v>
      </c>
      <c r="EL329" s="182">
        <f t="shared" si="792"/>
        <v>0</v>
      </c>
      <c r="EM329" s="182">
        <f t="shared" si="797"/>
        <v>0</v>
      </c>
      <c r="EN329" s="182">
        <f t="shared" si="802"/>
        <v>0</v>
      </c>
      <c r="EO329" s="182">
        <f t="shared" si="807"/>
        <v>0</v>
      </c>
      <c r="EP329" s="182">
        <f t="shared" si="812"/>
        <v>0</v>
      </c>
      <c r="EQ329" s="182">
        <f t="shared" si="817"/>
        <v>0</v>
      </c>
      <c r="ER329" s="182">
        <f t="shared" si="822"/>
        <v>0</v>
      </c>
      <c r="ES329" s="182">
        <f t="shared" si="827"/>
        <v>0</v>
      </c>
      <c r="ET329" s="182">
        <f t="shared" si="832"/>
        <v>0</v>
      </c>
      <c r="EU329" s="182">
        <f t="shared" si="837"/>
        <v>0</v>
      </c>
      <c r="EV329" s="182">
        <f t="shared" si="842"/>
        <v>0</v>
      </c>
      <c r="EW329" s="182">
        <f>EW162*EW$168</f>
        <v>0</v>
      </c>
      <c r="EX329" s="182">
        <f>EX162*EX$168</f>
        <v>0</v>
      </c>
      <c r="EY329" s="182">
        <f>EY162*EY$168</f>
        <v>0</v>
      </c>
      <c r="EZ329" s="182">
        <f>EZ162*EZ$168</f>
        <v>2.3348952614517794E-5</v>
      </c>
      <c r="FA329" s="181">
        <f>$C329+SUM($D329:EZ329,FB329:$FB329)-SUM(FA$176:FA328,FA330:FA$330)-FA$331</f>
        <v>1.2468324983583301E-18</v>
      </c>
      <c r="FB329" s="183">
        <f>FB162*FB$168</f>
        <v>0</v>
      </c>
    </row>
    <row r="330" spans="2:158" ht="12.75" customHeight="1" x14ac:dyDescent="0.3">
      <c r="B330" s="296" t="s">
        <v>3973</v>
      </c>
      <c r="C330" s="194">
        <v>0</v>
      </c>
      <c r="D330" s="182">
        <f t="shared" si="729"/>
        <v>0</v>
      </c>
      <c r="E330" s="182">
        <f t="shared" si="735"/>
        <v>0</v>
      </c>
      <c r="F330" s="182">
        <f t="shared" si="741"/>
        <v>0</v>
      </c>
      <c r="G330" s="182">
        <f t="shared" si="747"/>
        <v>0</v>
      </c>
      <c r="H330" s="182">
        <f t="shared" si="753"/>
        <v>0</v>
      </c>
      <c r="I330" s="176">
        <f t="shared" si="759"/>
        <v>0</v>
      </c>
      <c r="J330" s="182">
        <f t="shared" si="765"/>
        <v>0</v>
      </c>
      <c r="K330" s="182">
        <f t="shared" si="771"/>
        <v>0</v>
      </c>
      <c r="L330" s="182">
        <f t="shared" si="777"/>
        <v>0</v>
      </c>
      <c r="M330" s="182">
        <f t="shared" si="783"/>
        <v>0</v>
      </c>
      <c r="N330" s="182">
        <f t="shared" si="789"/>
        <v>0</v>
      </c>
      <c r="O330" s="182">
        <f t="shared" si="794"/>
        <v>0</v>
      </c>
      <c r="P330" s="182">
        <f t="shared" si="799"/>
        <v>0</v>
      </c>
      <c r="Q330" s="182">
        <f t="shared" si="804"/>
        <v>0</v>
      </c>
      <c r="R330" s="182">
        <f t="shared" si="809"/>
        <v>0</v>
      </c>
      <c r="S330" s="182">
        <f t="shared" si="814"/>
        <v>0</v>
      </c>
      <c r="T330" s="182">
        <f t="shared" si="819"/>
        <v>0</v>
      </c>
      <c r="U330" s="182">
        <f t="shared" si="824"/>
        <v>0</v>
      </c>
      <c r="V330" s="182">
        <f t="shared" si="829"/>
        <v>0</v>
      </c>
      <c r="W330" s="182">
        <f t="shared" si="834"/>
        <v>0</v>
      </c>
      <c r="X330" s="182">
        <f t="shared" si="839"/>
        <v>0</v>
      </c>
      <c r="Y330" s="182">
        <f t="shared" si="843"/>
        <v>0</v>
      </c>
      <c r="Z330" s="182">
        <f t="shared" si="846"/>
        <v>0</v>
      </c>
      <c r="AA330" s="182">
        <f t="shared" si="849"/>
        <v>0</v>
      </c>
      <c r="AB330" s="182">
        <f t="shared" si="852"/>
        <v>0</v>
      </c>
      <c r="AC330" s="182">
        <f t="shared" ref="AC330" si="855">AC163*AC$168</f>
        <v>0</v>
      </c>
      <c r="AD330" s="182">
        <f t="shared" si="699"/>
        <v>0</v>
      </c>
      <c r="AE330" s="182">
        <f t="shared" si="704"/>
        <v>0</v>
      </c>
      <c r="AF330" s="182">
        <f t="shared" si="709"/>
        <v>0</v>
      </c>
      <c r="AG330" s="182">
        <f t="shared" si="714"/>
        <v>0</v>
      </c>
      <c r="AH330" s="182">
        <f t="shared" si="719"/>
        <v>0</v>
      </c>
      <c r="AI330" s="182">
        <f t="shared" si="724"/>
        <v>0</v>
      </c>
      <c r="AJ330" s="182">
        <f t="shared" si="730"/>
        <v>0</v>
      </c>
      <c r="AK330" s="182">
        <f t="shared" si="736"/>
        <v>0</v>
      </c>
      <c r="AL330" s="182">
        <f t="shared" si="742"/>
        <v>0</v>
      </c>
      <c r="AM330" s="182">
        <f t="shared" si="748"/>
        <v>0</v>
      </c>
      <c r="AN330" s="182">
        <f t="shared" si="754"/>
        <v>0</v>
      </c>
      <c r="AO330" s="182">
        <f t="shared" si="760"/>
        <v>0</v>
      </c>
      <c r="AP330" s="182">
        <f t="shared" si="766"/>
        <v>0</v>
      </c>
      <c r="AQ330" s="182">
        <f t="shared" si="772"/>
        <v>0</v>
      </c>
      <c r="AR330" s="182">
        <f t="shared" si="778"/>
        <v>0</v>
      </c>
      <c r="AS330" s="182">
        <f t="shared" si="784"/>
        <v>0</v>
      </c>
      <c r="AT330" s="182">
        <f t="shared" si="790"/>
        <v>0</v>
      </c>
      <c r="AU330" s="182">
        <f t="shared" si="795"/>
        <v>0</v>
      </c>
      <c r="AV330" s="182">
        <f t="shared" si="800"/>
        <v>0</v>
      </c>
      <c r="AW330" s="182">
        <f t="shared" si="805"/>
        <v>0</v>
      </c>
      <c r="AX330" s="182">
        <f t="shared" si="810"/>
        <v>0</v>
      </c>
      <c r="AY330" s="182">
        <f t="shared" si="815"/>
        <v>0</v>
      </c>
      <c r="AZ330" s="182">
        <f t="shared" si="820"/>
        <v>0</v>
      </c>
      <c r="BA330" s="182">
        <f t="shared" si="825"/>
        <v>0</v>
      </c>
      <c r="BB330" s="182">
        <f t="shared" si="830"/>
        <v>0</v>
      </c>
      <c r="BC330" s="182">
        <f t="shared" si="835"/>
        <v>0</v>
      </c>
      <c r="BD330" s="182">
        <f t="shared" si="840"/>
        <v>0</v>
      </c>
      <c r="BE330" s="182">
        <f t="shared" si="844"/>
        <v>0</v>
      </c>
      <c r="BF330" s="182">
        <f t="shared" si="847"/>
        <v>0</v>
      </c>
      <c r="BG330" s="182">
        <f t="shared" si="850"/>
        <v>0</v>
      </c>
      <c r="BH330" s="182">
        <f t="shared" si="853"/>
        <v>0</v>
      </c>
      <c r="BI330" s="182">
        <f t="shared" ref="BI330" si="856">BI163*BI$168</f>
        <v>0</v>
      </c>
      <c r="BJ330" s="182">
        <f t="shared" si="700"/>
        <v>0</v>
      </c>
      <c r="BK330" s="182">
        <f t="shared" si="705"/>
        <v>0</v>
      </c>
      <c r="BL330" s="182">
        <f t="shared" si="710"/>
        <v>0</v>
      </c>
      <c r="BM330" s="182">
        <f t="shared" si="715"/>
        <v>0</v>
      </c>
      <c r="BN330" s="182">
        <f t="shared" si="720"/>
        <v>0</v>
      </c>
      <c r="BO330" s="182">
        <f t="shared" si="725"/>
        <v>0</v>
      </c>
      <c r="BP330" s="182">
        <f t="shared" si="731"/>
        <v>0</v>
      </c>
      <c r="BQ330" s="182">
        <f t="shared" si="737"/>
        <v>0</v>
      </c>
      <c r="BR330" s="182">
        <f t="shared" si="743"/>
        <v>0</v>
      </c>
      <c r="BS330" s="182">
        <f t="shared" si="749"/>
        <v>0</v>
      </c>
      <c r="BT330" s="182">
        <f t="shared" si="755"/>
        <v>0</v>
      </c>
      <c r="BU330" s="182">
        <f t="shared" si="761"/>
        <v>0</v>
      </c>
      <c r="BV330" s="182">
        <f t="shared" si="767"/>
        <v>0</v>
      </c>
      <c r="BW330" s="182">
        <f t="shared" si="773"/>
        <v>0</v>
      </c>
      <c r="BX330" s="182">
        <f t="shared" si="779"/>
        <v>0</v>
      </c>
      <c r="BY330" s="182">
        <f t="shared" si="785"/>
        <v>0</v>
      </c>
      <c r="BZ330" s="182">
        <f t="shared" si="791"/>
        <v>0</v>
      </c>
      <c r="CA330" s="182">
        <f t="shared" si="796"/>
        <v>0</v>
      </c>
      <c r="CB330" s="182">
        <f t="shared" si="801"/>
        <v>0</v>
      </c>
      <c r="CC330" s="182">
        <f t="shared" si="806"/>
        <v>0</v>
      </c>
      <c r="CD330" s="182">
        <f t="shared" si="811"/>
        <v>0</v>
      </c>
      <c r="CE330" s="182">
        <f t="shared" si="816"/>
        <v>0</v>
      </c>
      <c r="CF330" s="182">
        <f t="shared" si="821"/>
        <v>0</v>
      </c>
      <c r="CG330" s="182">
        <f t="shared" si="826"/>
        <v>0</v>
      </c>
      <c r="CH330" s="182">
        <f t="shared" si="831"/>
        <v>0</v>
      </c>
      <c r="CI330" s="182">
        <f t="shared" si="836"/>
        <v>0</v>
      </c>
      <c r="CJ330" s="182">
        <f t="shared" si="841"/>
        <v>0</v>
      </c>
      <c r="CK330" s="182">
        <f t="shared" si="845"/>
        <v>0</v>
      </c>
      <c r="CL330" s="182">
        <f t="shared" si="848"/>
        <v>0</v>
      </c>
      <c r="CM330" s="182">
        <f t="shared" si="851"/>
        <v>0</v>
      </c>
      <c r="CN330" s="182">
        <f t="shared" si="854"/>
        <v>0</v>
      </c>
      <c r="CO330" s="182">
        <f t="shared" ref="CO330" si="857">CO163*CO$168</f>
        <v>0</v>
      </c>
      <c r="CP330" s="182">
        <f t="shared" si="701"/>
        <v>0</v>
      </c>
      <c r="CQ330" s="182">
        <f t="shared" si="706"/>
        <v>0</v>
      </c>
      <c r="CR330" s="182">
        <f t="shared" si="711"/>
        <v>0</v>
      </c>
      <c r="CS330" s="182">
        <f t="shared" si="716"/>
        <v>0</v>
      </c>
      <c r="CT330" s="182">
        <f t="shared" si="721"/>
        <v>0</v>
      </c>
      <c r="CU330" s="182">
        <f t="shared" si="726"/>
        <v>0</v>
      </c>
      <c r="CV330" s="182">
        <f t="shared" si="732"/>
        <v>0</v>
      </c>
      <c r="CW330" s="182">
        <f t="shared" si="738"/>
        <v>0</v>
      </c>
      <c r="CX330" s="182">
        <f t="shared" si="744"/>
        <v>0</v>
      </c>
      <c r="CY330" s="182">
        <f t="shared" si="750"/>
        <v>0</v>
      </c>
      <c r="CZ330" s="182">
        <f t="shared" si="756"/>
        <v>0</v>
      </c>
      <c r="DA330" s="182">
        <f t="shared" si="762"/>
        <v>0</v>
      </c>
      <c r="DB330" s="182">
        <f t="shared" si="768"/>
        <v>0</v>
      </c>
      <c r="DC330" s="182">
        <f t="shared" si="774"/>
        <v>0</v>
      </c>
      <c r="DD330" s="182">
        <f t="shared" si="780"/>
        <v>0</v>
      </c>
      <c r="DE330" s="182">
        <f t="shared" si="786"/>
        <v>0</v>
      </c>
      <c r="DF330" s="182">
        <f t="shared" si="622"/>
        <v>0</v>
      </c>
      <c r="DG330" s="182">
        <f t="shared" si="627"/>
        <v>0</v>
      </c>
      <c r="DH330" s="182">
        <f t="shared" si="632"/>
        <v>0</v>
      </c>
      <c r="DI330" s="182">
        <f t="shared" si="637"/>
        <v>0</v>
      </c>
      <c r="DJ330" s="182">
        <f t="shared" si="642"/>
        <v>0</v>
      </c>
      <c r="DK330" s="182">
        <f t="shared" si="647"/>
        <v>0</v>
      </c>
      <c r="DL330" s="182">
        <f t="shared" si="652"/>
        <v>0</v>
      </c>
      <c r="DM330" s="182">
        <f t="shared" si="657"/>
        <v>0</v>
      </c>
      <c r="DN330" s="182">
        <f t="shared" si="662"/>
        <v>0</v>
      </c>
      <c r="DO330" s="182">
        <f t="shared" si="667"/>
        <v>0</v>
      </c>
      <c r="DP330" s="182">
        <f t="shared" si="672"/>
        <v>0</v>
      </c>
      <c r="DQ330" s="182">
        <f t="shared" si="677"/>
        <v>0</v>
      </c>
      <c r="DR330" s="182">
        <f t="shared" si="682"/>
        <v>0</v>
      </c>
      <c r="DS330" s="182">
        <f t="shared" si="687"/>
        <v>0</v>
      </c>
      <c r="DT330" s="182">
        <f t="shared" si="692"/>
        <v>0</v>
      </c>
      <c r="DU330" s="182">
        <f t="shared" si="697"/>
        <v>0</v>
      </c>
      <c r="DV330" s="182">
        <f t="shared" si="702"/>
        <v>0</v>
      </c>
      <c r="DW330" s="182">
        <f t="shared" si="707"/>
        <v>0</v>
      </c>
      <c r="DX330" s="182">
        <f t="shared" si="712"/>
        <v>0</v>
      </c>
      <c r="DY330" s="182">
        <f t="shared" si="717"/>
        <v>0</v>
      </c>
      <c r="DZ330" s="182">
        <f t="shared" si="722"/>
        <v>0</v>
      </c>
      <c r="EA330" s="182">
        <f t="shared" si="727"/>
        <v>0</v>
      </c>
      <c r="EB330" s="182">
        <f t="shared" si="733"/>
        <v>0</v>
      </c>
      <c r="EC330" s="182">
        <f t="shared" si="739"/>
        <v>0</v>
      </c>
      <c r="ED330" s="182">
        <f t="shared" si="745"/>
        <v>0</v>
      </c>
      <c r="EE330" s="182">
        <f t="shared" si="751"/>
        <v>0</v>
      </c>
      <c r="EF330" s="182">
        <f t="shared" si="757"/>
        <v>0</v>
      </c>
      <c r="EG330" s="182">
        <f t="shared" si="763"/>
        <v>0</v>
      </c>
      <c r="EH330" s="182">
        <f t="shared" si="769"/>
        <v>0</v>
      </c>
      <c r="EI330" s="182">
        <f t="shared" si="775"/>
        <v>4.3764546858929797E-9</v>
      </c>
      <c r="EJ330" s="182">
        <f t="shared" si="781"/>
        <v>0</v>
      </c>
      <c r="EK330" s="182">
        <f t="shared" si="787"/>
        <v>0</v>
      </c>
      <c r="EL330" s="182">
        <f t="shared" si="792"/>
        <v>6.0136451302675745E-7</v>
      </c>
      <c r="EM330" s="182">
        <f t="shared" si="797"/>
        <v>0</v>
      </c>
      <c r="EN330" s="182">
        <f t="shared" si="802"/>
        <v>0</v>
      </c>
      <c r="EO330" s="182">
        <f t="shared" si="807"/>
        <v>0</v>
      </c>
      <c r="EP330" s="182">
        <f t="shared" si="812"/>
        <v>0</v>
      </c>
      <c r="EQ330" s="182">
        <f t="shared" si="817"/>
        <v>0</v>
      </c>
      <c r="ER330" s="182">
        <f t="shared" si="822"/>
        <v>0</v>
      </c>
      <c r="ES330" s="182">
        <f t="shared" si="827"/>
        <v>0</v>
      </c>
      <c r="ET330" s="182">
        <f t="shared" si="832"/>
        <v>0</v>
      </c>
      <c r="EU330" s="182">
        <f t="shared" si="837"/>
        <v>0</v>
      </c>
      <c r="EV330" s="182">
        <f t="shared" si="842"/>
        <v>0</v>
      </c>
      <c r="EW330" s="182">
        <f>EW163*EW$168</f>
        <v>0</v>
      </c>
      <c r="EX330" s="182">
        <f>EX163*EX$168</f>
        <v>0</v>
      </c>
      <c r="EY330" s="182">
        <f>EY163*EY$168</f>
        <v>0</v>
      </c>
      <c r="EZ330" s="182">
        <f>EZ163*EZ$168</f>
        <v>6.8930474854145728E-6</v>
      </c>
      <c r="FA330" s="182">
        <f>FA163*FA$168</f>
        <v>0</v>
      </c>
      <c r="FB330" s="346">
        <f>$C330+SUM($D330:FA330)-SUM(FB$176:FB329)-FB$331</f>
        <v>-1.6940658945086007E-21</v>
      </c>
    </row>
    <row r="331" spans="2:158" ht="12.75" customHeight="1" x14ac:dyDescent="0.3">
      <c r="B331" s="178" t="s">
        <v>3982</v>
      </c>
      <c r="C331" s="195"/>
      <c r="D331" s="532">
        <f t="shared" ref="D331:J331" si="858">D338</f>
        <v>0</v>
      </c>
      <c r="E331" s="532">
        <f>E338</f>
        <v>2.4001722382596361E-5</v>
      </c>
      <c r="F331" s="532">
        <f t="shared" si="858"/>
        <v>6.1175951788276987E-5</v>
      </c>
      <c r="G331" s="532">
        <f t="shared" si="858"/>
        <v>1.2236664275636758E-8</v>
      </c>
      <c r="H331" s="532">
        <f t="shared" si="858"/>
        <v>0</v>
      </c>
      <c r="I331" s="532">
        <f t="shared" si="858"/>
        <v>0</v>
      </c>
      <c r="J331" s="532">
        <f t="shared" si="858"/>
        <v>0</v>
      </c>
      <c r="K331" s="532">
        <f>K338</f>
        <v>0</v>
      </c>
      <c r="L331" s="196">
        <f t="shared" ref="L331:BN331" si="859">L338</f>
        <v>0</v>
      </c>
      <c r="M331" s="196">
        <f t="shared" si="859"/>
        <v>0</v>
      </c>
      <c r="N331" s="196">
        <f t="shared" si="859"/>
        <v>0</v>
      </c>
      <c r="O331" s="196">
        <f t="shared" si="859"/>
        <v>0</v>
      </c>
      <c r="P331" s="196">
        <f t="shared" si="859"/>
        <v>0</v>
      </c>
      <c r="Q331" s="196">
        <f t="shared" si="859"/>
        <v>0</v>
      </c>
      <c r="R331" s="196">
        <f t="shared" si="859"/>
        <v>0</v>
      </c>
      <c r="S331" s="196">
        <f t="shared" si="859"/>
        <v>0</v>
      </c>
      <c r="T331" s="196">
        <f t="shared" si="859"/>
        <v>0</v>
      </c>
      <c r="U331" s="196">
        <f t="shared" si="859"/>
        <v>0</v>
      </c>
      <c r="V331" s="196">
        <f t="shared" si="859"/>
        <v>0</v>
      </c>
      <c r="W331" s="196">
        <f t="shared" si="859"/>
        <v>0</v>
      </c>
      <c r="X331" s="196">
        <f t="shared" si="859"/>
        <v>1.7377697429687096E-16</v>
      </c>
      <c r="Y331" s="196">
        <f t="shared" si="859"/>
        <v>2.5801170885609796E-2</v>
      </c>
      <c r="Z331" s="196">
        <f t="shared" si="859"/>
        <v>4.4854325151479822E-2</v>
      </c>
      <c r="AA331" s="196">
        <f t="shared" si="859"/>
        <v>0</v>
      </c>
      <c r="AB331" s="196">
        <f t="shared" si="859"/>
        <v>1.4443017958392148E-11</v>
      </c>
      <c r="AC331" s="196">
        <f t="shared" si="859"/>
        <v>7.8761714835580046E-2</v>
      </c>
      <c r="AD331" s="196">
        <f t="shared" si="859"/>
        <v>0.76207977377273517</v>
      </c>
      <c r="AE331" s="196">
        <f t="shared" si="859"/>
        <v>0</v>
      </c>
      <c r="AF331" s="196">
        <f t="shared" si="859"/>
        <v>1.3860346670549717E-17</v>
      </c>
      <c r="AG331" s="196">
        <f t="shared" si="859"/>
        <v>2.3889613820160895E-3</v>
      </c>
      <c r="AH331" s="196">
        <f t="shared" si="859"/>
        <v>9.5863213276759403E-3</v>
      </c>
      <c r="AI331" s="196">
        <f t="shared" si="859"/>
        <v>0</v>
      </c>
      <c r="AJ331" s="196">
        <f t="shared" si="859"/>
        <v>1.6444892720657835E-9</v>
      </c>
      <c r="AK331" s="196">
        <f t="shared" si="859"/>
        <v>3.1744606387366762E-4</v>
      </c>
      <c r="AL331" s="196">
        <f t="shared" si="859"/>
        <v>0</v>
      </c>
      <c r="AM331" s="196">
        <f t="shared" si="859"/>
        <v>0</v>
      </c>
      <c r="AN331" s="196">
        <f t="shared" si="859"/>
        <v>4.6739002006652504E-8</v>
      </c>
      <c r="AO331" s="196">
        <f t="shared" si="859"/>
        <v>1.1730434705675172E-2</v>
      </c>
      <c r="AP331" s="196">
        <f t="shared" si="859"/>
        <v>0</v>
      </c>
      <c r="AQ331" s="196">
        <f t="shared" si="859"/>
        <v>0</v>
      </c>
      <c r="AR331" s="196">
        <f t="shared" si="859"/>
        <v>6.0907010076510482E-10</v>
      </c>
      <c r="AS331" s="196">
        <f t="shared" si="859"/>
        <v>1.1757261624950651E-4</v>
      </c>
      <c r="AT331" s="196">
        <f t="shared" si="859"/>
        <v>0</v>
      </c>
      <c r="AU331" s="196">
        <f t="shared" si="859"/>
        <v>0</v>
      </c>
      <c r="AV331" s="196">
        <f t="shared" si="859"/>
        <v>8.6645026056615292E-6</v>
      </c>
      <c r="AW331" s="196">
        <f t="shared" si="859"/>
        <v>3.0213557989494346E-4</v>
      </c>
      <c r="AX331" s="196">
        <f t="shared" si="859"/>
        <v>6.3582491676069461E-9</v>
      </c>
      <c r="AY331" s="196">
        <f t="shared" si="859"/>
        <v>0</v>
      </c>
      <c r="AZ331" s="196">
        <f t="shared" si="859"/>
        <v>0</v>
      </c>
      <c r="BA331" s="196">
        <f t="shared" si="859"/>
        <v>0</v>
      </c>
      <c r="BB331" s="196">
        <f t="shared" si="859"/>
        <v>0</v>
      </c>
      <c r="BC331" s="196">
        <f t="shared" si="859"/>
        <v>0</v>
      </c>
      <c r="BD331" s="196">
        <f t="shared" si="859"/>
        <v>0</v>
      </c>
      <c r="BE331" s="196">
        <f t="shared" si="859"/>
        <v>0</v>
      </c>
      <c r="BF331" s="196">
        <f t="shared" si="859"/>
        <v>0</v>
      </c>
      <c r="BG331" s="196">
        <f t="shared" si="859"/>
        <v>0</v>
      </c>
      <c r="BH331" s="196">
        <f t="shared" si="859"/>
        <v>0</v>
      </c>
      <c r="BI331" s="196">
        <f t="shared" si="859"/>
        <v>0</v>
      </c>
      <c r="BJ331" s="196">
        <f t="shared" si="859"/>
        <v>0</v>
      </c>
      <c r="BK331" s="196">
        <f t="shared" si="859"/>
        <v>0</v>
      </c>
      <c r="BL331" s="196">
        <f t="shared" si="859"/>
        <v>0</v>
      </c>
      <c r="BM331" s="196">
        <f t="shared" si="859"/>
        <v>0</v>
      </c>
      <c r="BN331" s="196">
        <f t="shared" si="859"/>
        <v>0</v>
      </c>
      <c r="BO331" s="196">
        <f t="shared" ref="BO331:DX331" si="860">BO338</f>
        <v>1.1067522279003119E-17</v>
      </c>
      <c r="BP331" s="196">
        <f t="shared" si="860"/>
        <v>2.9514957712556277E-3</v>
      </c>
      <c r="BQ331" s="196">
        <f t="shared" si="860"/>
        <v>4.9349999064402395E-4</v>
      </c>
      <c r="BR331" s="196">
        <f t="shared" si="860"/>
        <v>0</v>
      </c>
      <c r="BS331" s="196">
        <f t="shared" si="860"/>
        <v>3.4186923942149867E-15</v>
      </c>
      <c r="BT331" s="196">
        <f t="shared" si="860"/>
        <v>4.4913286021749464E-3</v>
      </c>
      <c r="BU331" s="196">
        <f t="shared" si="860"/>
        <v>5.2892926021614207E-3</v>
      </c>
      <c r="BV331" s="196">
        <f t="shared" si="860"/>
        <v>0</v>
      </c>
      <c r="BW331" s="196">
        <f t="shared" si="860"/>
        <v>6.0337746172417191E-18</v>
      </c>
      <c r="BX331" s="196">
        <f t="shared" si="860"/>
        <v>5.0346971465249188</v>
      </c>
      <c r="BY331" s="196">
        <f t="shared" si="860"/>
        <v>4.1277672642150397E-2</v>
      </c>
      <c r="BZ331" s="196">
        <f t="shared" si="860"/>
        <v>0</v>
      </c>
      <c r="CA331" s="196">
        <f t="shared" si="860"/>
        <v>2.8870105649952438E-10</v>
      </c>
      <c r="CB331" s="196">
        <f t="shared" si="860"/>
        <v>3.5582930524977511E-4</v>
      </c>
      <c r="CC331" s="196">
        <f t="shared" si="860"/>
        <v>0</v>
      </c>
      <c r="CD331" s="196">
        <f t="shared" si="860"/>
        <v>0</v>
      </c>
      <c r="CE331" s="196">
        <f t="shared" si="860"/>
        <v>2.9194473197978515E-10</v>
      </c>
      <c r="CF331" s="196">
        <f t="shared" si="860"/>
        <v>7.9077979955725268E-4</v>
      </c>
      <c r="CG331" s="196">
        <f t="shared" si="860"/>
        <v>0</v>
      </c>
      <c r="CH331" s="196">
        <f t="shared" si="860"/>
        <v>0</v>
      </c>
      <c r="CI331" s="196">
        <f t="shared" si="860"/>
        <v>1.0692631722204608E-10</v>
      </c>
      <c r="CJ331" s="196">
        <f t="shared" si="860"/>
        <v>1.3178863157399073E-4</v>
      </c>
      <c r="CK331" s="196">
        <f t="shared" si="860"/>
        <v>0</v>
      </c>
      <c r="CL331" s="196">
        <f t="shared" si="860"/>
        <v>0</v>
      </c>
      <c r="CM331" s="196">
        <f t="shared" si="860"/>
        <v>4.5420266693408465E-7</v>
      </c>
      <c r="CN331" s="196">
        <f t="shared" si="860"/>
        <v>1.9130972759529797E-4</v>
      </c>
      <c r="CO331" s="196">
        <f t="shared" si="860"/>
        <v>3.7172275927556155E-10</v>
      </c>
      <c r="CP331" s="196">
        <f t="shared" si="860"/>
        <v>0</v>
      </c>
      <c r="CQ331" s="196">
        <f t="shared" si="860"/>
        <v>0</v>
      </c>
      <c r="CR331" s="196">
        <f t="shared" si="860"/>
        <v>0</v>
      </c>
      <c r="CS331" s="196">
        <f t="shared" si="860"/>
        <v>0</v>
      </c>
      <c r="CT331" s="196">
        <f t="shared" si="860"/>
        <v>0</v>
      </c>
      <c r="CU331" s="196">
        <f t="shared" si="860"/>
        <v>0</v>
      </c>
      <c r="CV331" s="196">
        <f t="shared" si="860"/>
        <v>0</v>
      </c>
      <c r="CW331" s="196">
        <f t="shared" si="860"/>
        <v>0</v>
      </c>
      <c r="CX331" s="196">
        <f t="shared" si="860"/>
        <v>0</v>
      </c>
      <c r="CY331" s="196">
        <f t="shared" si="860"/>
        <v>0</v>
      </c>
      <c r="CZ331" s="196">
        <f t="shared" si="860"/>
        <v>0</v>
      </c>
      <c r="DA331" s="196">
        <f t="shared" si="860"/>
        <v>0</v>
      </c>
      <c r="DB331" s="196">
        <f t="shared" si="860"/>
        <v>3.2395500224278923E-27</v>
      </c>
      <c r="DC331" s="196">
        <f t="shared" si="860"/>
        <v>0.17211279712097052</v>
      </c>
      <c r="DD331" s="196">
        <f t="shared" si="860"/>
        <v>2.5864662576394076E-3</v>
      </c>
      <c r="DE331" s="196">
        <f t="shared" si="860"/>
        <v>0</v>
      </c>
      <c r="DF331" s="196">
        <f t="shared" si="860"/>
        <v>8.2309059857797182E-11</v>
      </c>
      <c r="DG331" s="196">
        <f t="shared" si="860"/>
        <v>1.5724807155378449E-3</v>
      </c>
      <c r="DH331" s="196">
        <f t="shared" si="860"/>
        <v>0</v>
      </c>
      <c r="DI331" s="196">
        <f t="shared" si="860"/>
        <v>0</v>
      </c>
      <c r="DJ331" s="196">
        <f t="shared" si="860"/>
        <v>6.9769493301113485E-9</v>
      </c>
      <c r="DK331" s="196">
        <f t="shared" si="860"/>
        <v>3.9288819476458351E-5</v>
      </c>
      <c r="DL331" s="196">
        <f t="shared" si="860"/>
        <v>1.490646216063578E-11</v>
      </c>
      <c r="DM331" s="196">
        <f t="shared" si="860"/>
        <v>0</v>
      </c>
      <c r="DN331" s="196">
        <f t="shared" si="860"/>
        <v>0</v>
      </c>
      <c r="DO331" s="196">
        <f t="shared" si="860"/>
        <v>0</v>
      </c>
      <c r="DP331" s="196">
        <f t="shared" si="860"/>
        <v>0</v>
      </c>
      <c r="DQ331" s="196">
        <f t="shared" si="860"/>
        <v>0</v>
      </c>
      <c r="DR331" s="196">
        <f t="shared" si="860"/>
        <v>0</v>
      </c>
      <c r="DS331" s="196">
        <f t="shared" si="860"/>
        <v>0</v>
      </c>
      <c r="DT331" s="196">
        <f t="shared" si="860"/>
        <v>0</v>
      </c>
      <c r="DU331" s="196">
        <f t="shared" si="860"/>
        <v>0</v>
      </c>
      <c r="DV331" s="196">
        <f t="shared" si="860"/>
        <v>0</v>
      </c>
      <c r="DW331" s="196">
        <f t="shared" si="860"/>
        <v>0</v>
      </c>
      <c r="DX331" s="196">
        <f t="shared" si="860"/>
        <v>0</v>
      </c>
      <c r="DY331" s="196">
        <f t="shared" ref="DY331:FB331" si="861">DY338</f>
        <v>4.7969131853988168E-29</v>
      </c>
      <c r="DZ331" s="196">
        <f t="shared" si="861"/>
        <v>8.0030625812382308E-2</v>
      </c>
      <c r="EA331" s="196">
        <f t="shared" si="861"/>
        <v>5.9540972771646064E-4</v>
      </c>
      <c r="EB331" s="196">
        <f t="shared" si="861"/>
        <v>0</v>
      </c>
      <c r="EC331" s="196">
        <f t="shared" si="861"/>
        <v>3.1247674845521945E-13</v>
      </c>
      <c r="ED331" s="196">
        <f t="shared" si="861"/>
        <v>1.8461880490477464E-4</v>
      </c>
      <c r="EE331" s="196">
        <f t="shared" si="861"/>
        <v>0</v>
      </c>
      <c r="EF331" s="196">
        <f t="shared" si="861"/>
        <v>0</v>
      </c>
      <c r="EG331" s="196">
        <f t="shared" si="861"/>
        <v>1.111538163899141E-8</v>
      </c>
      <c r="EH331" s="196">
        <f t="shared" si="861"/>
        <v>5.9036924564669848E-5</v>
      </c>
      <c r="EI331" s="196">
        <f t="shared" si="861"/>
        <v>5.3440271370936077E-12</v>
      </c>
      <c r="EJ331" s="196">
        <f t="shared" si="861"/>
        <v>0</v>
      </c>
      <c r="EK331" s="196">
        <f t="shared" si="861"/>
        <v>0</v>
      </c>
      <c r="EL331" s="196">
        <f t="shared" si="861"/>
        <v>0</v>
      </c>
      <c r="EM331" s="196">
        <f t="shared" si="861"/>
        <v>0</v>
      </c>
      <c r="EN331" s="196">
        <f t="shared" si="861"/>
        <v>0</v>
      </c>
      <c r="EO331" s="196">
        <f t="shared" si="861"/>
        <v>0</v>
      </c>
      <c r="EP331" s="196">
        <f t="shared" si="861"/>
        <v>0</v>
      </c>
      <c r="EQ331" s="196">
        <f t="shared" si="861"/>
        <v>0</v>
      </c>
      <c r="ER331" s="196">
        <f t="shared" si="861"/>
        <v>0</v>
      </c>
      <c r="ES331" s="196">
        <f t="shared" si="861"/>
        <v>0</v>
      </c>
      <c r="ET331" s="196">
        <f t="shared" si="861"/>
        <v>0</v>
      </c>
      <c r="EU331" s="196">
        <f t="shared" si="861"/>
        <v>0</v>
      </c>
      <c r="EV331" s="196">
        <f t="shared" si="861"/>
        <v>4.276359528079603E-29</v>
      </c>
      <c r="EW331" s="196">
        <f t="shared" si="861"/>
        <v>0.18118169135759085</v>
      </c>
      <c r="EX331" s="196">
        <f t="shared" si="861"/>
        <v>5.9594270544274398E-3</v>
      </c>
      <c r="EY331" s="196">
        <f t="shared" si="861"/>
        <v>0</v>
      </c>
      <c r="EZ331" s="196">
        <f t="shared" si="861"/>
        <v>2.4936062621476321E-12</v>
      </c>
      <c r="FA331" s="196">
        <f t="shared" si="861"/>
        <v>3.5989342698562618E-4</v>
      </c>
      <c r="FB331" s="197">
        <f t="shared" si="861"/>
        <v>0</v>
      </c>
    </row>
    <row r="332" spans="2:158" ht="12.75" customHeight="1" x14ac:dyDescent="0.3">
      <c r="BF332" s="29"/>
      <c r="BG332" s="29"/>
      <c r="BH332" s="29"/>
      <c r="BI332" s="29"/>
    </row>
    <row r="334" spans="2:158" ht="12.75" customHeight="1" x14ac:dyDescent="0.3">
      <c r="B334" s="178" t="s">
        <v>3983</v>
      </c>
      <c r="C334" s="179"/>
      <c r="D334" s="179" t="s">
        <v>3504</v>
      </c>
      <c r="E334" s="179" t="s">
        <v>3505</v>
      </c>
      <c r="F334" s="179" t="s">
        <v>3506</v>
      </c>
      <c r="G334" s="179" t="s">
        <v>3507</v>
      </c>
      <c r="H334" s="179" t="s">
        <v>3508</v>
      </c>
      <c r="I334" s="179" t="s">
        <v>3509</v>
      </c>
      <c r="J334" s="179" t="s">
        <v>3510</v>
      </c>
      <c r="K334" s="179" t="s">
        <v>3511</v>
      </c>
      <c r="L334" s="179" t="s">
        <v>3512</v>
      </c>
      <c r="M334" s="179" t="s">
        <v>3513</v>
      </c>
      <c r="N334" s="179" t="s">
        <v>3514</v>
      </c>
      <c r="O334" s="179" t="s">
        <v>3515</v>
      </c>
      <c r="P334" s="179" t="s">
        <v>3516</v>
      </c>
      <c r="Q334" s="179" t="s">
        <v>3517</v>
      </c>
      <c r="R334" s="179" t="s">
        <v>3518</v>
      </c>
      <c r="S334" s="179" t="s">
        <v>3519</v>
      </c>
      <c r="T334" s="179" t="s">
        <v>3520</v>
      </c>
      <c r="U334" s="179" t="s">
        <v>3521</v>
      </c>
      <c r="V334" s="179" t="s">
        <v>3522</v>
      </c>
      <c r="W334" s="179" t="s">
        <v>3523</v>
      </c>
      <c r="X334" s="179" t="s">
        <v>3524</v>
      </c>
      <c r="Y334" s="179" t="s">
        <v>3525</v>
      </c>
      <c r="Z334" s="179" t="s">
        <v>3526</v>
      </c>
      <c r="AA334" s="179" t="s">
        <v>3527</v>
      </c>
      <c r="AB334" s="179" t="s">
        <v>3528</v>
      </c>
      <c r="AC334" s="179" t="s">
        <v>3529</v>
      </c>
      <c r="AD334" s="179" t="s">
        <v>3530</v>
      </c>
      <c r="AE334" s="179" t="s">
        <v>3531</v>
      </c>
      <c r="AF334" s="179" t="s">
        <v>3532</v>
      </c>
      <c r="AG334" s="179" t="s">
        <v>3533</v>
      </c>
      <c r="AH334" s="179" t="s">
        <v>3534</v>
      </c>
      <c r="AI334" s="179" t="s">
        <v>3535</v>
      </c>
      <c r="AJ334" s="179" t="s">
        <v>3536</v>
      </c>
      <c r="AK334" s="179" t="s">
        <v>3537</v>
      </c>
      <c r="AL334" s="179" t="s">
        <v>3538</v>
      </c>
      <c r="AM334" s="179" t="s">
        <v>3539</v>
      </c>
      <c r="AN334" s="179" t="s">
        <v>3540</v>
      </c>
      <c r="AO334" s="179" t="s">
        <v>3541</v>
      </c>
      <c r="AP334" s="179" t="s">
        <v>3542</v>
      </c>
      <c r="AQ334" s="179" t="s">
        <v>3543</v>
      </c>
      <c r="AR334" s="179" t="s">
        <v>3544</v>
      </c>
      <c r="AS334" s="179" t="s">
        <v>3545</v>
      </c>
      <c r="AT334" s="179" t="s">
        <v>3546</v>
      </c>
      <c r="AU334" s="179" t="s">
        <v>3547</v>
      </c>
      <c r="AV334" s="179" t="s">
        <v>3548</v>
      </c>
      <c r="AW334" s="179" t="s">
        <v>3549</v>
      </c>
      <c r="AX334" s="179" t="s">
        <v>3550</v>
      </c>
      <c r="AY334" s="179" t="s">
        <v>3551</v>
      </c>
      <c r="AZ334" s="179" t="s">
        <v>3552</v>
      </c>
      <c r="BA334" s="179" t="s">
        <v>3553</v>
      </c>
      <c r="BB334" s="179" t="s">
        <v>3554</v>
      </c>
      <c r="BC334" s="179" t="s">
        <v>3555</v>
      </c>
      <c r="BD334" s="179" t="s">
        <v>3556</v>
      </c>
      <c r="BE334" s="179" t="s">
        <v>3557</v>
      </c>
      <c r="BF334" s="179" t="s">
        <v>3558</v>
      </c>
      <c r="BG334" s="179" t="s">
        <v>3559</v>
      </c>
      <c r="BH334" s="179" t="s">
        <v>3560</v>
      </c>
      <c r="BI334" s="179" t="s">
        <v>3561</v>
      </c>
      <c r="BJ334" s="179" t="s">
        <v>3562</v>
      </c>
      <c r="BK334" s="179" t="s">
        <v>3563</v>
      </c>
      <c r="BL334" s="179" t="s">
        <v>3564</v>
      </c>
      <c r="BM334" s="179" t="s">
        <v>3565</v>
      </c>
      <c r="BN334" s="179" t="s">
        <v>3566</v>
      </c>
      <c r="BO334" s="179" t="s">
        <v>3567</v>
      </c>
      <c r="BP334" s="179" t="s">
        <v>3568</v>
      </c>
      <c r="BQ334" s="179" t="s">
        <v>3569</v>
      </c>
      <c r="BR334" s="179" t="s">
        <v>3570</v>
      </c>
      <c r="BS334" s="179" t="s">
        <v>3571</v>
      </c>
      <c r="BT334" s="179" t="s">
        <v>3572</v>
      </c>
      <c r="BU334" s="179" t="s">
        <v>3573</v>
      </c>
      <c r="BV334" s="179" t="s">
        <v>3574</v>
      </c>
      <c r="BW334" s="179" t="s">
        <v>3575</v>
      </c>
      <c r="BX334" s="179" t="s">
        <v>3576</v>
      </c>
      <c r="BY334" s="179" t="s">
        <v>3577</v>
      </c>
      <c r="BZ334" s="179" t="s">
        <v>3578</v>
      </c>
      <c r="CA334" s="179" t="s">
        <v>3579</v>
      </c>
      <c r="CB334" s="179" t="s">
        <v>3580</v>
      </c>
      <c r="CC334" s="179" t="s">
        <v>3581</v>
      </c>
      <c r="CD334" s="179" t="s">
        <v>3582</v>
      </c>
      <c r="CE334" s="179" t="s">
        <v>3583</v>
      </c>
      <c r="CF334" s="179" t="s">
        <v>3584</v>
      </c>
      <c r="CG334" s="179" t="s">
        <v>3585</v>
      </c>
      <c r="CH334" s="179" t="s">
        <v>3586</v>
      </c>
      <c r="CI334" s="179" t="s">
        <v>3587</v>
      </c>
      <c r="CJ334" s="179" t="s">
        <v>3588</v>
      </c>
      <c r="CK334" s="179" t="s">
        <v>3589</v>
      </c>
      <c r="CL334" s="179" t="s">
        <v>3590</v>
      </c>
      <c r="CM334" s="179" t="s">
        <v>3591</v>
      </c>
      <c r="CN334" s="179" t="s">
        <v>3592</v>
      </c>
      <c r="CO334" s="179" t="s">
        <v>3593</v>
      </c>
      <c r="CP334" s="179" t="s">
        <v>3594</v>
      </c>
      <c r="CQ334" s="179" t="s">
        <v>3595</v>
      </c>
      <c r="CR334" s="179" t="s">
        <v>3596</v>
      </c>
      <c r="CS334" s="179" t="s">
        <v>3597</v>
      </c>
      <c r="CT334" s="179" t="s">
        <v>3598</v>
      </c>
      <c r="CU334" s="179" t="s">
        <v>3599</v>
      </c>
      <c r="CV334" s="179" t="s">
        <v>3600</v>
      </c>
      <c r="CW334" s="179" t="s">
        <v>3601</v>
      </c>
      <c r="CX334" s="179" t="s">
        <v>3602</v>
      </c>
      <c r="CY334" s="179" t="s">
        <v>3603</v>
      </c>
      <c r="CZ334" s="179" t="s">
        <v>3604</v>
      </c>
      <c r="DA334" s="179" t="s">
        <v>3605</v>
      </c>
      <c r="DB334" s="179" t="s">
        <v>3606</v>
      </c>
      <c r="DC334" s="179" t="s">
        <v>3607</v>
      </c>
      <c r="DD334" s="179" t="s">
        <v>3608</v>
      </c>
      <c r="DE334" s="179" t="s">
        <v>3609</v>
      </c>
      <c r="DF334" s="179" t="s">
        <v>3610</v>
      </c>
      <c r="DG334" s="179" t="s">
        <v>3611</v>
      </c>
      <c r="DH334" s="179" t="s">
        <v>3612</v>
      </c>
      <c r="DI334" s="179" t="s">
        <v>3613</v>
      </c>
      <c r="DJ334" s="179" t="s">
        <v>3614</v>
      </c>
      <c r="DK334" s="179" t="s">
        <v>3615</v>
      </c>
      <c r="DL334" s="179" t="s">
        <v>3616</v>
      </c>
      <c r="DM334" s="179" t="s">
        <v>3617</v>
      </c>
      <c r="DN334" s="179" t="s">
        <v>3618</v>
      </c>
      <c r="DO334" s="179" t="s">
        <v>3619</v>
      </c>
      <c r="DP334" s="179" t="s">
        <v>3620</v>
      </c>
      <c r="DQ334" s="179" t="s">
        <v>3621</v>
      </c>
      <c r="DR334" s="179" t="s">
        <v>3622</v>
      </c>
      <c r="DS334" s="179" t="s">
        <v>3623</v>
      </c>
      <c r="DT334" s="179" t="s">
        <v>3624</v>
      </c>
      <c r="DU334" s="179" t="s">
        <v>3625</v>
      </c>
      <c r="DV334" s="179" t="s">
        <v>3626</v>
      </c>
      <c r="DW334" s="179" t="s">
        <v>3627</v>
      </c>
      <c r="DX334" s="179" t="s">
        <v>3628</v>
      </c>
      <c r="DY334" s="179" t="s">
        <v>3629</v>
      </c>
      <c r="DZ334" s="179" t="s">
        <v>3630</v>
      </c>
      <c r="EA334" s="179" t="s">
        <v>3631</v>
      </c>
      <c r="EB334" s="179" t="s">
        <v>3632</v>
      </c>
      <c r="EC334" s="179" t="s">
        <v>3633</v>
      </c>
      <c r="ED334" s="179" t="s">
        <v>3634</v>
      </c>
      <c r="EE334" s="179" t="s">
        <v>3635</v>
      </c>
      <c r="EF334" s="179" t="s">
        <v>3636</v>
      </c>
      <c r="EG334" s="179" t="s">
        <v>3637</v>
      </c>
      <c r="EH334" s="179" t="s">
        <v>3638</v>
      </c>
      <c r="EI334" s="179" t="s">
        <v>3639</v>
      </c>
      <c r="EJ334" s="179" t="s">
        <v>3640</v>
      </c>
      <c r="EK334" s="179" t="s">
        <v>3641</v>
      </c>
      <c r="EL334" s="179" t="s">
        <v>3642</v>
      </c>
      <c r="EM334" s="179" t="s">
        <v>3643</v>
      </c>
      <c r="EN334" s="179" t="s">
        <v>3644</v>
      </c>
      <c r="EO334" s="179" t="s">
        <v>3645</v>
      </c>
      <c r="EP334" s="179" t="s">
        <v>3646</v>
      </c>
      <c r="EQ334" s="179" t="s">
        <v>3647</v>
      </c>
      <c r="ER334" s="179" t="s">
        <v>3648</v>
      </c>
      <c r="ES334" s="179" t="s">
        <v>3649</v>
      </c>
      <c r="ET334" s="179" t="s">
        <v>3650</v>
      </c>
      <c r="EU334" s="179" t="s">
        <v>3651</v>
      </c>
      <c r="EV334" s="179" t="s">
        <v>3652</v>
      </c>
      <c r="EW334" s="179" t="s">
        <v>3653</v>
      </c>
      <c r="EX334" s="179" t="s">
        <v>3654</v>
      </c>
      <c r="EY334" s="179" t="s">
        <v>3655</v>
      </c>
      <c r="EZ334" s="179" t="s">
        <v>3656</v>
      </c>
      <c r="FA334" s="179" t="s">
        <v>3657</v>
      </c>
      <c r="FB334" s="186" t="s">
        <v>3658</v>
      </c>
    </row>
    <row r="335" spans="2:158" ht="12.75" customHeight="1" x14ac:dyDescent="0.3">
      <c r="B335" s="180" t="s">
        <v>3661</v>
      </c>
      <c r="C335" s="168">
        <f>SUM(D335:EY335)</f>
        <v>6.4713861191356301</v>
      </c>
      <c r="D335" s="168">
        <f t="shared" ref="D335:AI335" si="862">D5</f>
        <v>0</v>
      </c>
      <c r="E335" s="168">
        <f t="shared" si="862"/>
        <v>2.1571287063785434</v>
      </c>
      <c r="F335" s="168">
        <f t="shared" si="862"/>
        <v>0</v>
      </c>
      <c r="G335" s="168">
        <f t="shared" si="862"/>
        <v>0</v>
      </c>
      <c r="H335" s="168">
        <f t="shared" si="862"/>
        <v>0</v>
      </c>
      <c r="I335" s="168">
        <f t="shared" si="862"/>
        <v>0</v>
      </c>
      <c r="J335" s="168">
        <f t="shared" si="862"/>
        <v>0</v>
      </c>
      <c r="K335" s="168">
        <f t="shared" si="862"/>
        <v>0</v>
      </c>
      <c r="L335" s="168">
        <f t="shared" si="862"/>
        <v>0</v>
      </c>
      <c r="M335" s="168">
        <f t="shared" si="862"/>
        <v>0</v>
      </c>
      <c r="N335" s="168">
        <f t="shared" si="862"/>
        <v>0</v>
      </c>
      <c r="O335" s="168">
        <f t="shared" si="862"/>
        <v>0</v>
      </c>
      <c r="P335" s="168">
        <f t="shared" si="862"/>
        <v>2.1571287063785434</v>
      </c>
      <c r="Q335" s="168">
        <f t="shared" si="862"/>
        <v>0</v>
      </c>
      <c r="R335" s="168">
        <f t="shared" si="862"/>
        <v>0</v>
      </c>
      <c r="S335" s="168">
        <f t="shared" si="862"/>
        <v>0</v>
      </c>
      <c r="T335" s="168">
        <f t="shared" si="862"/>
        <v>0</v>
      </c>
      <c r="U335" s="168">
        <f t="shared" si="862"/>
        <v>0</v>
      </c>
      <c r="V335" s="168">
        <f t="shared" si="862"/>
        <v>0</v>
      </c>
      <c r="W335" s="168">
        <f t="shared" si="862"/>
        <v>0</v>
      </c>
      <c r="X335" s="168">
        <f t="shared" si="862"/>
        <v>0</v>
      </c>
      <c r="Y335" s="168">
        <f t="shared" si="862"/>
        <v>0</v>
      </c>
      <c r="Z335" s="168">
        <f t="shared" si="862"/>
        <v>0</v>
      </c>
      <c r="AA335" s="168">
        <f t="shared" si="862"/>
        <v>0</v>
      </c>
      <c r="AB335" s="168">
        <f t="shared" si="862"/>
        <v>0</v>
      </c>
      <c r="AC335" s="168">
        <f t="shared" si="862"/>
        <v>0</v>
      </c>
      <c r="AD335" s="168">
        <f t="shared" si="862"/>
        <v>0</v>
      </c>
      <c r="AE335" s="168">
        <f t="shared" si="862"/>
        <v>0</v>
      </c>
      <c r="AF335" s="168">
        <f t="shared" si="862"/>
        <v>0</v>
      </c>
      <c r="AG335" s="168">
        <f t="shared" si="862"/>
        <v>0</v>
      </c>
      <c r="AH335" s="168">
        <f t="shared" si="862"/>
        <v>0</v>
      </c>
      <c r="AI335" s="168">
        <f t="shared" si="862"/>
        <v>0</v>
      </c>
      <c r="AJ335" s="168">
        <f t="shared" ref="AJ335:BO335" si="863">AJ5</f>
        <v>0</v>
      </c>
      <c r="AK335" s="168">
        <f t="shared" si="863"/>
        <v>0</v>
      </c>
      <c r="AL335" s="168">
        <f t="shared" si="863"/>
        <v>0</v>
      </c>
      <c r="AM335" s="168">
        <f t="shared" si="863"/>
        <v>0</v>
      </c>
      <c r="AN335" s="168">
        <f t="shared" si="863"/>
        <v>2.1571287063785434</v>
      </c>
      <c r="AO335" s="168">
        <f t="shared" si="863"/>
        <v>0</v>
      </c>
      <c r="AP335" s="168">
        <f t="shared" si="863"/>
        <v>0</v>
      </c>
      <c r="AQ335" s="168">
        <f t="shared" si="863"/>
        <v>0</v>
      </c>
      <c r="AR335" s="168">
        <f t="shared" si="863"/>
        <v>0</v>
      </c>
      <c r="AS335" s="168">
        <f t="shared" si="863"/>
        <v>0</v>
      </c>
      <c r="AT335" s="168">
        <f t="shared" si="863"/>
        <v>0</v>
      </c>
      <c r="AU335" s="168">
        <f t="shared" si="863"/>
        <v>0</v>
      </c>
      <c r="AV335" s="168">
        <f t="shared" si="863"/>
        <v>0</v>
      </c>
      <c r="AW335" s="168">
        <f t="shared" si="863"/>
        <v>0</v>
      </c>
      <c r="AX335" s="168">
        <f t="shared" si="863"/>
        <v>0</v>
      </c>
      <c r="AY335" s="168">
        <f t="shared" si="863"/>
        <v>0</v>
      </c>
      <c r="AZ335" s="168">
        <f t="shared" si="863"/>
        <v>0</v>
      </c>
      <c r="BA335" s="168">
        <f t="shared" si="863"/>
        <v>0</v>
      </c>
      <c r="BB335" s="168">
        <f t="shared" si="863"/>
        <v>0</v>
      </c>
      <c r="BC335" s="168">
        <f t="shared" si="863"/>
        <v>0</v>
      </c>
      <c r="BD335" s="168">
        <f t="shared" si="863"/>
        <v>0</v>
      </c>
      <c r="BE335" s="168">
        <f t="shared" si="863"/>
        <v>0</v>
      </c>
      <c r="BF335" s="168">
        <f t="shared" si="863"/>
        <v>0</v>
      </c>
      <c r="BG335" s="168">
        <f t="shared" si="863"/>
        <v>0</v>
      </c>
      <c r="BH335" s="168">
        <f t="shared" si="863"/>
        <v>0</v>
      </c>
      <c r="BI335" s="168">
        <f t="shared" si="863"/>
        <v>0</v>
      </c>
      <c r="BJ335" s="168">
        <f t="shared" si="863"/>
        <v>0</v>
      </c>
      <c r="BK335" s="168">
        <f t="shared" si="863"/>
        <v>0</v>
      </c>
      <c r="BL335" s="168">
        <f t="shared" si="863"/>
        <v>0</v>
      </c>
      <c r="BM335" s="168">
        <f t="shared" si="863"/>
        <v>0</v>
      </c>
      <c r="BN335" s="168">
        <f t="shared" si="863"/>
        <v>0</v>
      </c>
      <c r="BO335" s="168">
        <f t="shared" si="863"/>
        <v>0</v>
      </c>
      <c r="BP335" s="168">
        <f t="shared" ref="BP335:CU335" si="864">BP5</f>
        <v>0</v>
      </c>
      <c r="BQ335" s="168">
        <f t="shared" si="864"/>
        <v>0</v>
      </c>
      <c r="BR335" s="168">
        <f t="shared" si="864"/>
        <v>0</v>
      </c>
      <c r="BS335" s="168">
        <f t="shared" si="864"/>
        <v>0</v>
      </c>
      <c r="BT335" s="168">
        <f t="shared" si="864"/>
        <v>0</v>
      </c>
      <c r="BU335" s="168">
        <f t="shared" si="864"/>
        <v>0</v>
      </c>
      <c r="BV335" s="168">
        <f t="shared" si="864"/>
        <v>0</v>
      </c>
      <c r="BW335" s="168">
        <f t="shared" si="864"/>
        <v>0</v>
      </c>
      <c r="BX335" s="168">
        <f t="shared" si="864"/>
        <v>0</v>
      </c>
      <c r="BY335" s="168">
        <f t="shared" si="864"/>
        <v>0</v>
      </c>
      <c r="BZ335" s="168">
        <f t="shared" si="864"/>
        <v>0</v>
      </c>
      <c r="CA335" s="168">
        <f t="shared" si="864"/>
        <v>0</v>
      </c>
      <c r="CB335" s="168">
        <f t="shared" si="864"/>
        <v>0</v>
      </c>
      <c r="CC335" s="168">
        <f t="shared" si="864"/>
        <v>0</v>
      </c>
      <c r="CD335" s="168">
        <f t="shared" si="864"/>
        <v>0</v>
      </c>
      <c r="CE335" s="168">
        <f t="shared" si="864"/>
        <v>0</v>
      </c>
      <c r="CF335" s="168">
        <f t="shared" si="864"/>
        <v>0</v>
      </c>
      <c r="CG335" s="168">
        <f t="shared" si="864"/>
        <v>0</v>
      </c>
      <c r="CH335" s="168">
        <f t="shared" si="864"/>
        <v>0</v>
      </c>
      <c r="CI335" s="168">
        <f t="shared" si="864"/>
        <v>0</v>
      </c>
      <c r="CJ335" s="168">
        <f t="shared" si="864"/>
        <v>0</v>
      </c>
      <c r="CK335" s="168">
        <f t="shared" si="864"/>
        <v>0</v>
      </c>
      <c r="CL335" s="168">
        <f t="shared" si="864"/>
        <v>0</v>
      </c>
      <c r="CM335" s="168">
        <f t="shared" si="864"/>
        <v>0</v>
      </c>
      <c r="CN335" s="168">
        <f t="shared" si="864"/>
        <v>0</v>
      </c>
      <c r="CO335" s="168">
        <f t="shared" si="864"/>
        <v>0</v>
      </c>
      <c r="CP335" s="168">
        <f t="shared" si="864"/>
        <v>0</v>
      </c>
      <c r="CQ335" s="168">
        <f t="shared" si="864"/>
        <v>0</v>
      </c>
      <c r="CR335" s="168">
        <f t="shared" si="864"/>
        <v>0</v>
      </c>
      <c r="CS335" s="168">
        <f t="shared" si="864"/>
        <v>0</v>
      </c>
      <c r="CT335" s="168">
        <f t="shared" si="864"/>
        <v>0</v>
      </c>
      <c r="CU335" s="168">
        <f t="shared" si="864"/>
        <v>0</v>
      </c>
      <c r="CV335" s="168">
        <f t="shared" ref="CV335:EA335" si="865">CV5</f>
        <v>0</v>
      </c>
      <c r="CW335" s="168">
        <f t="shared" si="865"/>
        <v>0</v>
      </c>
      <c r="CX335" s="168">
        <f t="shared" si="865"/>
        <v>0</v>
      </c>
      <c r="CY335" s="168">
        <f t="shared" si="865"/>
        <v>0</v>
      </c>
      <c r="CZ335" s="168">
        <f t="shared" si="865"/>
        <v>0</v>
      </c>
      <c r="DA335" s="168">
        <f t="shared" si="865"/>
        <v>0</v>
      </c>
      <c r="DB335" s="168">
        <f t="shared" si="865"/>
        <v>0</v>
      </c>
      <c r="DC335" s="168">
        <f t="shared" si="865"/>
        <v>0</v>
      </c>
      <c r="DD335" s="168">
        <f t="shared" si="865"/>
        <v>0</v>
      </c>
      <c r="DE335" s="168">
        <f t="shared" si="865"/>
        <v>0</v>
      </c>
      <c r="DF335" s="168">
        <f t="shared" si="865"/>
        <v>0</v>
      </c>
      <c r="DG335" s="168">
        <f t="shared" si="865"/>
        <v>0</v>
      </c>
      <c r="DH335" s="168">
        <f t="shared" si="865"/>
        <v>0</v>
      </c>
      <c r="DI335" s="168">
        <f t="shared" si="865"/>
        <v>0</v>
      </c>
      <c r="DJ335" s="168">
        <f t="shared" si="865"/>
        <v>0</v>
      </c>
      <c r="DK335" s="168">
        <f t="shared" si="865"/>
        <v>0</v>
      </c>
      <c r="DL335" s="168">
        <f t="shared" si="865"/>
        <v>0</v>
      </c>
      <c r="DM335" s="168">
        <f t="shared" si="865"/>
        <v>0</v>
      </c>
      <c r="DN335" s="168">
        <f t="shared" si="865"/>
        <v>0</v>
      </c>
      <c r="DO335" s="168">
        <f t="shared" si="865"/>
        <v>0</v>
      </c>
      <c r="DP335" s="168">
        <f t="shared" si="865"/>
        <v>0</v>
      </c>
      <c r="DQ335" s="168">
        <f t="shared" si="865"/>
        <v>0</v>
      </c>
      <c r="DR335" s="168">
        <f t="shared" si="865"/>
        <v>0</v>
      </c>
      <c r="DS335" s="168">
        <f t="shared" si="865"/>
        <v>0</v>
      </c>
      <c r="DT335" s="168">
        <f t="shared" si="865"/>
        <v>0</v>
      </c>
      <c r="DU335" s="168">
        <f t="shared" si="865"/>
        <v>0</v>
      </c>
      <c r="DV335" s="168">
        <f t="shared" si="865"/>
        <v>0</v>
      </c>
      <c r="DW335" s="168">
        <f t="shared" si="865"/>
        <v>0</v>
      </c>
      <c r="DX335" s="168">
        <f t="shared" si="865"/>
        <v>0</v>
      </c>
      <c r="DY335" s="168">
        <f t="shared" si="865"/>
        <v>0</v>
      </c>
      <c r="DZ335" s="168">
        <f t="shared" si="865"/>
        <v>0</v>
      </c>
      <c r="EA335" s="168">
        <f t="shared" si="865"/>
        <v>0</v>
      </c>
      <c r="EB335" s="168">
        <f t="shared" ref="EB335:FB335" si="866">EB5</f>
        <v>0</v>
      </c>
      <c r="EC335" s="168">
        <f t="shared" si="866"/>
        <v>0</v>
      </c>
      <c r="ED335" s="168">
        <f t="shared" si="866"/>
        <v>0</v>
      </c>
      <c r="EE335" s="168">
        <f t="shared" si="866"/>
        <v>0</v>
      </c>
      <c r="EF335" s="168">
        <f t="shared" si="866"/>
        <v>0</v>
      </c>
      <c r="EG335" s="168">
        <f t="shared" si="866"/>
        <v>0</v>
      </c>
      <c r="EH335" s="168">
        <f t="shared" si="866"/>
        <v>0</v>
      </c>
      <c r="EI335" s="168">
        <f t="shared" si="866"/>
        <v>0</v>
      </c>
      <c r="EJ335" s="168">
        <f t="shared" si="866"/>
        <v>0</v>
      </c>
      <c r="EK335" s="168">
        <f t="shared" si="866"/>
        <v>0</v>
      </c>
      <c r="EL335" s="168">
        <f t="shared" si="866"/>
        <v>0</v>
      </c>
      <c r="EM335" s="168">
        <f t="shared" si="866"/>
        <v>0</v>
      </c>
      <c r="EN335" s="168">
        <f t="shared" si="866"/>
        <v>0</v>
      </c>
      <c r="EO335" s="168">
        <f t="shared" si="866"/>
        <v>0</v>
      </c>
      <c r="EP335" s="168">
        <f t="shared" si="866"/>
        <v>0</v>
      </c>
      <c r="EQ335" s="168">
        <f t="shared" si="866"/>
        <v>0</v>
      </c>
      <c r="ER335" s="168">
        <f t="shared" si="866"/>
        <v>0</v>
      </c>
      <c r="ES335" s="168">
        <f t="shared" si="866"/>
        <v>0</v>
      </c>
      <c r="ET335" s="168">
        <f t="shared" si="866"/>
        <v>0</v>
      </c>
      <c r="EU335" s="168">
        <f t="shared" si="866"/>
        <v>0</v>
      </c>
      <c r="EV335" s="168">
        <f t="shared" si="866"/>
        <v>0</v>
      </c>
      <c r="EW335" s="168">
        <f t="shared" si="866"/>
        <v>0</v>
      </c>
      <c r="EX335" s="168">
        <f t="shared" si="866"/>
        <v>0</v>
      </c>
      <c r="EY335" s="168">
        <f t="shared" si="866"/>
        <v>0</v>
      </c>
      <c r="EZ335" s="168">
        <f t="shared" si="866"/>
        <v>0</v>
      </c>
      <c r="FA335" s="168">
        <f t="shared" si="866"/>
        <v>0</v>
      </c>
      <c r="FB335" s="198">
        <f t="shared" si="866"/>
        <v>0</v>
      </c>
    </row>
    <row r="336" spans="2:158" ht="12.75" customHeight="1" x14ac:dyDescent="0.3">
      <c r="B336" s="180" t="s">
        <v>3984</v>
      </c>
      <c r="C336" s="168">
        <f>SUM(D336:EY336)</f>
        <v>2434370.0604634527</v>
      </c>
      <c r="D336" s="177">
        <f>SUM($D$176:$FB$176)</f>
        <v>0</v>
      </c>
      <c r="E336" s="177">
        <f>SUM($D$177:$FB$177)</f>
        <v>7.1049560470972323E-3</v>
      </c>
      <c r="F336" s="177">
        <f>SUM($D$178:$FB$178)</f>
        <v>1.6534591864435113</v>
      </c>
      <c r="G336" s="177">
        <f>SUM($D$179:$FB$179)</f>
        <v>2.8196127447021016E-3</v>
      </c>
      <c r="H336" s="177">
        <f>SUM($D$180:$FB$180)</f>
        <v>2.9564004469304499E-2</v>
      </c>
      <c r="I336" s="177">
        <f>SUM($D$181:$FB$181)</f>
        <v>2.9201105055593705E-2</v>
      </c>
      <c r="J336" s="177">
        <f>SUM($D$182:$FB$182)</f>
        <v>2.4715284814478019E-3</v>
      </c>
      <c r="K336" s="177">
        <f>SUM($D$183:$FB$183)</f>
        <v>0</v>
      </c>
      <c r="L336" s="177">
        <f>SUM($D$184:$FB$184)</f>
        <v>7.3152655511403149E-4</v>
      </c>
      <c r="M336" s="177">
        <f>SUM($D$185:$FB$185)</f>
        <v>0.15179335761501062</v>
      </c>
      <c r="N336" s="177">
        <f>SUM($D$186:$FB$186)</f>
        <v>4.5219935311477492E-2</v>
      </c>
      <c r="O336" s="177">
        <f>SUM($D$187:$FB$187)</f>
        <v>0</v>
      </c>
      <c r="P336" s="177">
        <f>SUM($D$188:$FB$188)</f>
        <v>8.0468033127756369E-3</v>
      </c>
      <c r="Q336" s="177">
        <f>SUM($D$189:$FB$189)</f>
        <v>4.3516333093509019</v>
      </c>
      <c r="R336" s="177">
        <f>SUM($D$190:$FB$190)</f>
        <v>7.7983739674749195</v>
      </c>
      <c r="S336" s="177">
        <f>SUM($D$191:$FB$191)</f>
        <v>0</v>
      </c>
      <c r="T336" s="177">
        <f>SUM($D$192:$FB$192)</f>
        <v>1.8889422107155984E-3</v>
      </c>
      <c r="U336" s="177">
        <f>SUM($D$193:$FB$193)</f>
        <v>7.1733270336388815</v>
      </c>
      <c r="V336" s="177">
        <f>SUM($D$194:$FB$194)</f>
        <v>0.15066514409980336</v>
      </c>
      <c r="W336" s="177">
        <f>SUM($D$195:$FB$195)</f>
        <v>0</v>
      </c>
      <c r="X336" s="177">
        <f>SUM($D$196:$FB$196)</f>
        <v>3.2483252135442745E-11</v>
      </c>
      <c r="Y336" s="177">
        <f>SUM($D$197:$FB$197)</f>
        <v>2.5801170885609799E-2</v>
      </c>
      <c r="Z336" s="177">
        <f>SUM($D$198:$FB$198)</f>
        <v>4.4854325151479829E-2</v>
      </c>
      <c r="AA336" s="177">
        <f>SUM($D$199:$FB$199)</f>
        <v>0</v>
      </c>
      <c r="AB336" s="177">
        <f>SUM($D$200:$FB$200)</f>
        <v>2.6998926672392791E-6</v>
      </c>
      <c r="AC336" s="177">
        <f>SUM($D$201:$FB$201)</f>
        <v>0.80004159819712017</v>
      </c>
      <c r="AD336" s="177">
        <f>SUM($D$202:$FB$202)</f>
        <v>7.7410137836081399</v>
      </c>
      <c r="AE336" s="177">
        <f>SUM($D$203:$FB$203)</f>
        <v>0</v>
      </c>
      <c r="AF336" s="177">
        <f>SUM($D$204:$FB$204)</f>
        <v>8.2046134982233571E-11</v>
      </c>
      <c r="AG336" s="177">
        <f>SUM($D$205:$FB$205)</f>
        <v>2.5615543755682476E-2</v>
      </c>
      <c r="AH336" s="177">
        <f>SUM($D$206:$FB$206)</f>
        <v>0.10278895057645654</v>
      </c>
      <c r="AI336" s="177">
        <f>SUM($D$207:$FB$207)</f>
        <v>0</v>
      </c>
      <c r="AJ336" s="177">
        <f>SUM($D$208:$FB$208)</f>
        <v>3.5811801402327793E-2</v>
      </c>
      <c r="AK336" s="177">
        <f>SUM($D$209:$FB$209)</f>
        <v>4.7436974992901809E-2</v>
      </c>
      <c r="AL336" s="177">
        <f>SUM($D$210:$FB$210)</f>
        <v>9.1356469416885595E-3</v>
      </c>
      <c r="AM336" s="177">
        <f>SUM($D$211:$FB$211)</f>
        <v>0</v>
      </c>
      <c r="AN336" s="177">
        <f>SUM($D$212:$FB$212)</f>
        <v>7.9581780894061288E-2</v>
      </c>
      <c r="AO336" s="177">
        <f>SUM($D$213:$FB$213)</f>
        <v>1.7528103360608231</v>
      </c>
      <c r="AP336" s="177">
        <f>SUM($D$214:$FB$214)</f>
        <v>0.53002887010578847</v>
      </c>
      <c r="AQ336" s="177">
        <f>SUM($D$215:$FB$215)</f>
        <v>0</v>
      </c>
      <c r="AR336" s="177">
        <f>SUM($D$216:$FB$216)</f>
        <v>1.3263630149010297E-2</v>
      </c>
      <c r="AS336" s="177">
        <f>SUM($D$217:$FB$217)</f>
        <v>1.7569249997371045E-2</v>
      </c>
      <c r="AT336" s="177">
        <f>SUM($D$218:$FB$218)</f>
        <v>3.3835729413661322E-3</v>
      </c>
      <c r="AU336" s="177">
        <f>SUM($D$219:$FB$219)</f>
        <v>0</v>
      </c>
      <c r="AV336" s="177">
        <f>SUM($D$220:$FB$220)</f>
        <v>0.61736805824146124</v>
      </c>
      <c r="AW336" s="177">
        <f>SUM($D$221:$FB$221)</f>
        <v>2.1475771387863625</v>
      </c>
      <c r="AX336" s="177">
        <f>SUM($D$222:$FB$222)</f>
        <v>1.3307824212530537E-3</v>
      </c>
      <c r="AY336" s="177">
        <f>SUM($D$223:$FB$223)</f>
        <v>1.0672458820864348E-2</v>
      </c>
      <c r="AZ336" s="177">
        <f>SUM($D$224:$FB$224)</f>
        <v>0.144218317028876</v>
      </c>
      <c r="BA336" s="177">
        <f>SUM($D$225:$FB$225)</f>
        <v>1.2842220359980095E-3</v>
      </c>
      <c r="BB336" s="177">
        <f>SUM($D$226:$FB$226)</f>
        <v>0</v>
      </c>
      <c r="BC336" s="177">
        <f>SUM($D$227:$FB$227)</f>
        <v>1.2832648597763257E-4</v>
      </c>
      <c r="BD336" s="177">
        <f>SUM($D$228:$FB$228)</f>
        <v>1.7364229524170011E-2</v>
      </c>
      <c r="BE336" s="177">
        <f>SUM($D$229:$FB$229)</f>
        <v>4.9752253281831445E-4</v>
      </c>
      <c r="BF336" s="177">
        <f>SUM($D$230:$FB$230)</f>
        <v>0</v>
      </c>
      <c r="BG336" s="177">
        <f>SUM($D$231:$FB$231)</f>
        <v>1.4115932884627392E-3</v>
      </c>
      <c r="BH336" s="177">
        <f>SUM($D$232:$FB$232)</f>
        <v>0.24593503286262597</v>
      </c>
      <c r="BI336" s="177">
        <f>SUM($D$233:$FB$233)</f>
        <v>5.3642480507608531E-2</v>
      </c>
      <c r="BJ336" s="177">
        <f>SUM($D$234:$FB$234)</f>
        <v>0</v>
      </c>
      <c r="BK336" s="177">
        <f>SUM($D$235:$FB$235)</f>
        <v>4.4978730230704062E-2</v>
      </c>
      <c r="BL336" s="177">
        <f>SUM($D$236:$FB$236)</f>
        <v>6921.2612265771631</v>
      </c>
      <c r="BM336" s="177">
        <f>SUM($D$237:$FB$237)</f>
        <v>0.52989538034143491</v>
      </c>
      <c r="BN336" s="177">
        <f>SUM($D$238:$FB$238)</f>
        <v>0</v>
      </c>
      <c r="BO336" s="177">
        <f>SUM($D$239:$FB$239)</f>
        <v>5.6983052365296701E-12</v>
      </c>
      <c r="BP336" s="177">
        <f>SUM($D$240:$FB$240)</f>
        <v>2.9514957712556277E-3</v>
      </c>
      <c r="BQ336" s="177">
        <f>SUM($D$241:$FB$241)</f>
        <v>4.9349999064402395E-4</v>
      </c>
      <c r="BR336" s="177">
        <f>SUM($D$242:$FB$242)</f>
        <v>0</v>
      </c>
      <c r="BS336" s="177">
        <f>SUM($D$243:$FB$243)</f>
        <v>1.7602038964444365E-9</v>
      </c>
      <c r="BT336" s="177">
        <f>SUM($D$244:$FB$244)</f>
        <v>4.5214717470115282E-2</v>
      </c>
      <c r="BU336" s="177">
        <f>SUM($D$245:$FB$245)</f>
        <v>5.3247912100594923E-2</v>
      </c>
      <c r="BV336" s="177">
        <f>SUM($D$246:$FB$246)</f>
        <v>0</v>
      </c>
      <c r="BW336" s="177">
        <f>SUM($D$247:$FB$247)</f>
        <v>9.7763286967860464E-11</v>
      </c>
      <c r="BX336" s="177">
        <f>SUM($D$248:$FB$248)</f>
        <v>53.167844629935033</v>
      </c>
      <c r="BY336" s="177">
        <f>SUM($D$249:$FB$249)</f>
        <v>0.43590405179345798</v>
      </c>
      <c r="BZ336" s="177">
        <f>SUM($D$250:$FB$250)</f>
        <v>0</v>
      </c>
      <c r="CA336" s="177">
        <f>SUM($D$251:$FB$251)</f>
        <v>6.2870005147650527E-3</v>
      </c>
      <c r="CB336" s="177">
        <f>SUM($D$252:$FB$252)</f>
        <v>5.3172704833387527E-2</v>
      </c>
      <c r="CC336" s="177">
        <f>SUM($D$253:$FB$253)</f>
        <v>1.6557652072298889E-3</v>
      </c>
      <c r="CD336" s="177">
        <f>SUM($D$254:$FB$254)</f>
        <v>0</v>
      </c>
      <c r="CE336" s="177">
        <f>SUM($D$255:$FB$255)</f>
        <v>1.3971112255033448E-2</v>
      </c>
      <c r="CF336" s="177">
        <f>SUM($D$256:$FB$256)</f>
        <v>0.11816160619703811</v>
      </c>
      <c r="CG336" s="177">
        <f>SUM($D$257:$FB$257)</f>
        <v>3.6794905841093565E-3</v>
      </c>
      <c r="CH336" s="177">
        <f>SUM($D$258:$FB$258)</f>
        <v>0</v>
      </c>
      <c r="CI336" s="177">
        <f>SUM($D$259:$FB$259)</f>
        <v>2.3285187091722404E-3</v>
      </c>
      <c r="CJ336" s="177">
        <f>SUM($D$260:$FB$260)</f>
        <v>1.9693594382736115E-2</v>
      </c>
      <c r="CK336" s="177">
        <f>SUM($D$261:$FB$261)</f>
        <v>6.1324637304810729E-4</v>
      </c>
      <c r="CL336" s="177">
        <f>SUM($D$262:$FB$262)</f>
        <v>0</v>
      </c>
      <c r="CM336" s="177">
        <f>SUM($D$263:$FB$263)</f>
        <v>3.2707932584594916E-2</v>
      </c>
      <c r="CN336" s="177">
        <f>SUM($D$264:$FB$264)</f>
        <v>1.3049342774789559</v>
      </c>
      <c r="CO336" s="177">
        <f>SUM($D$265:$FB$265)</f>
        <v>7.7276393644169869E-5</v>
      </c>
      <c r="CP336" s="177">
        <f>SUM($D$266:$FB$266)</f>
        <v>1.6217519379171622E-3</v>
      </c>
      <c r="CQ336" s="177">
        <f>SUM($D$267:$FB$267)</f>
        <v>0.31871903539976276</v>
      </c>
      <c r="CR336" s="177">
        <f>SUM($D$268:$FB$268)</f>
        <v>7.5079561394938068E-5</v>
      </c>
      <c r="CS336" s="177">
        <f>SUM($D$269:$FB$269)</f>
        <v>0</v>
      </c>
      <c r="CT336" s="177">
        <f>SUM($D$270:$FB$270)</f>
        <v>2.8175158944859615E-3</v>
      </c>
      <c r="CU336" s="177">
        <f>SUM($D$271:$FB$271)</f>
        <v>332992.94817333575</v>
      </c>
      <c r="CV336" s="177">
        <f>SUM($D$272:$FB$272)</f>
        <v>8.2692339279515057</v>
      </c>
      <c r="CW336" s="177">
        <f>SUM($D$273:$FB$273)</f>
        <v>0</v>
      </c>
      <c r="CX336" s="177">
        <f>SUM($D$274:$FB$274)</f>
        <v>2.1933277273282754E-7</v>
      </c>
      <c r="CY336" s="177">
        <f>SUM($D$275:$FB$275)</f>
        <v>326683.97888526839</v>
      </c>
      <c r="CZ336" s="177">
        <f>SUM($D$276:$FB$276)</f>
        <v>16.541024170017025</v>
      </c>
      <c r="DA336" s="177">
        <f>SUM($D$277:$FB$277)</f>
        <v>0</v>
      </c>
      <c r="DB336" s="177">
        <f>SUM($D$278:$FB$278)</f>
        <v>1.6066136438963751E-17</v>
      </c>
      <c r="DC336" s="177">
        <f>SUM($D$279:$FB$279)</f>
        <v>556.32543394970276</v>
      </c>
      <c r="DD336" s="177">
        <f>SUM($D$280:$FB$280)</f>
        <v>8.3603136271508962</v>
      </c>
      <c r="DE336" s="177">
        <f>SUM($D$281:$FB$281)</f>
        <v>0</v>
      </c>
      <c r="DF336" s="177">
        <f>SUM($D$282:$FB$282)</f>
        <v>1.7924323103287658E-3</v>
      </c>
      <c r="DG336" s="177">
        <f>SUM($D$283:$FB$283)</f>
        <v>0.23498079475156061</v>
      </c>
      <c r="DH336" s="177">
        <f>SUM($D$284:$FB$284)</f>
        <v>4.615955305981819E-4</v>
      </c>
      <c r="DI336" s="177">
        <f>SUM($D$285:$FB$285)</f>
        <v>0</v>
      </c>
      <c r="DJ336" s="177">
        <f>SUM($D$286:$FB$286)</f>
        <v>4.7031755988101903E-4</v>
      </c>
      <c r="DK336" s="177">
        <f>SUM($D$287:$FB$287)</f>
        <v>0.19848990813977299</v>
      </c>
      <c r="DL336" s="177">
        <f>SUM($D$288:$FB$288)</f>
        <v>1.1441533188778925E-6</v>
      </c>
      <c r="DM336" s="177">
        <f>SUM($D$289:$FB$289)</f>
        <v>1.6124853069006507E-5</v>
      </c>
      <c r="DN336" s="177">
        <f>SUM($D$290:$FB$290)</f>
        <v>4.0490921072296321E-2</v>
      </c>
      <c r="DO336" s="177">
        <f>SUM($D$291:$FB$291)</f>
        <v>1.0752739518174113E-6</v>
      </c>
      <c r="DP336" s="177">
        <f>SUM($D$292:$FB$292)</f>
        <v>0</v>
      </c>
      <c r="DQ336" s="177">
        <f>SUM($D$293:$FB$293)</f>
        <v>4.5846853689597855E-5</v>
      </c>
      <c r="DR336" s="177">
        <f>SUM($D$294:$FB$294)</f>
        <v>244024.99505961727</v>
      </c>
      <c r="DS336" s="177">
        <f>SUM($D$295:$FB$295)</f>
        <v>3.0310210323860729</v>
      </c>
      <c r="DT336" s="177">
        <f>SUM($D$296:$FB$296)</f>
        <v>0</v>
      </c>
      <c r="DU336" s="177">
        <f>SUM($D$297:$FB$297)</f>
        <v>4.1775981165356022E-9</v>
      </c>
      <c r="DV336" s="177">
        <f>SUM($D$298:$FB$298)</f>
        <v>244390.05475926466</v>
      </c>
      <c r="DW336" s="177">
        <f>SUM($D$299:$FB$299)</f>
        <v>5.7469825054130013</v>
      </c>
      <c r="DX336" s="177">
        <f>SUM($D$300:$FB$300)</f>
        <v>0</v>
      </c>
      <c r="DY336" s="177">
        <f>SUM($D$301:$FB$301)</f>
        <v>3.313869751837136E-19</v>
      </c>
      <c r="DZ336" s="177">
        <f>SUM($D$302:$FB$302)</f>
        <v>365.13973026899822</v>
      </c>
      <c r="EA336" s="177">
        <f>SUM($D$303:$FB$303)</f>
        <v>2.7165568827063815</v>
      </c>
      <c r="EB336" s="177">
        <f>SUM($D$304:$FB$304)</f>
        <v>0</v>
      </c>
      <c r="EC336" s="177">
        <f>SUM($D$305:$FB$305)</f>
        <v>1.7949323044417511E-5</v>
      </c>
      <c r="ED336" s="177">
        <f>SUM($D$306:$FB$306)</f>
        <v>2.7594828635234079E-2</v>
      </c>
      <c r="EE336" s="177">
        <f>SUM($D$307:$FB$307)</f>
        <v>4.9678625076645913E-6</v>
      </c>
      <c r="EF336" s="177">
        <f>SUM($D$308:$FB$308)</f>
        <v>0</v>
      </c>
      <c r="EG336" s="177">
        <f>SUM($D$309:$FB$309)</f>
        <v>8.1461390940574293E-4</v>
      </c>
      <c r="EH336" s="177">
        <f>SUM($D$310:$FB$310)</f>
        <v>0.34377985456886823</v>
      </c>
      <c r="EI336" s="177">
        <f>SUM($D$311:$FB$311)</f>
        <v>2.0249731443186166E-6</v>
      </c>
      <c r="EJ336" s="177">
        <f>SUM($D$312:$FB$312)</f>
        <v>5.1474781319289271E-5</v>
      </c>
      <c r="EK336" s="177">
        <f>SUM($D$313:$FB$313)</f>
        <v>0.13129566458342803</v>
      </c>
      <c r="EL336" s="177">
        <f>SUM($D$314:$FB$314)</f>
        <v>2.0045483767558581E-6</v>
      </c>
      <c r="EM336" s="177">
        <f>SUM($D$315:$FB$315)</f>
        <v>0</v>
      </c>
      <c r="EN336" s="177">
        <f>SUM($D$316:$FB$316)</f>
        <v>1.0561634742237181E-4</v>
      </c>
      <c r="EO336" s="177">
        <f>SUM($D$317:$FB$317)</f>
        <v>637691.03745161893</v>
      </c>
      <c r="EP336" s="177">
        <f>SUM($D$318:$FB$318)</f>
        <v>35.011457674137013</v>
      </c>
      <c r="EQ336" s="177">
        <f>SUM($D$319:$FB$319)</f>
        <v>0</v>
      </c>
      <c r="ER336" s="177">
        <f>SUM($D$320:$FB$320)</f>
        <v>7.1756407792047213E-9</v>
      </c>
      <c r="ES336" s="177">
        <f>SUM($D$321:$FB$321)</f>
        <v>639068.37337241846</v>
      </c>
      <c r="ET336" s="177">
        <f>SUM($D$322:$FB$322)</f>
        <v>80.323951238234145</v>
      </c>
      <c r="EU336" s="177">
        <f>SUM($D$323:$FB$323)</f>
        <v>0</v>
      </c>
      <c r="EV336" s="177">
        <f>SUM($D$324:$FB$324)</f>
        <v>5.0286078644840565E-19</v>
      </c>
      <c r="EW336" s="177">
        <f>SUM($D$325:$FB$325)</f>
        <v>1377.6149902374357</v>
      </c>
      <c r="EX336" s="182">
        <f>SUM($D$326:$FB$326)</f>
        <v>45.31250360833883</v>
      </c>
      <c r="EY336" s="177">
        <f>SUM($D$327:$FB$327)</f>
        <v>0</v>
      </c>
      <c r="EZ336" s="177">
        <f>SUM($D$328:$FB$328)</f>
        <v>3.0242372704404637E-5</v>
      </c>
      <c r="FA336" s="177">
        <f>SUM($D$329:$FB$329)</f>
        <v>5.3776693807079765E-2</v>
      </c>
      <c r="FB336" s="184">
        <f>SUM($D$330:$FB$330)</f>
        <v>7.4987884531272214E-6</v>
      </c>
    </row>
    <row r="337" spans="2:158" ht="12.75" customHeight="1" x14ac:dyDescent="0.3">
      <c r="B337" s="180" t="s">
        <v>3985</v>
      </c>
      <c r="C337" s="168">
        <f>SUM(D337:EY337)</f>
        <v>2434370.0608233465</v>
      </c>
      <c r="D337" s="168">
        <f t="shared" ref="D337:AI337" si="867">SUM(D176:D330)</f>
        <v>0</v>
      </c>
      <c r="E337" s="168">
        <f t="shared" si="867"/>
        <v>2.1642096607032579</v>
      </c>
      <c r="F337" s="168">
        <f t="shared" si="867"/>
        <v>1.6533980104917236</v>
      </c>
      <c r="G337" s="168">
        <f t="shared" si="867"/>
        <v>2.8196005080378256E-3</v>
      </c>
      <c r="H337" s="168">
        <f t="shared" si="867"/>
        <v>2.9564004469304499E-2</v>
      </c>
      <c r="I337" s="168">
        <f t="shared" si="867"/>
        <v>2.9201105055593698E-2</v>
      </c>
      <c r="J337" s="168">
        <f t="shared" si="867"/>
        <v>2.4715284814478006E-3</v>
      </c>
      <c r="K337" s="168">
        <f t="shared" si="867"/>
        <v>0</v>
      </c>
      <c r="L337" s="168">
        <f t="shared" si="867"/>
        <v>7.3152655511403159E-4</v>
      </c>
      <c r="M337" s="168">
        <f t="shared" si="867"/>
        <v>0.15179335761501062</v>
      </c>
      <c r="N337" s="168">
        <f>SUM(N176:N330)</f>
        <v>4.5219935311477506E-2</v>
      </c>
      <c r="O337" s="168">
        <f t="shared" si="867"/>
        <v>0</v>
      </c>
      <c r="P337" s="168">
        <f t="shared" si="867"/>
        <v>2.1651755096913194</v>
      </c>
      <c r="Q337" s="168">
        <f t="shared" si="867"/>
        <v>4.3516333093509019</v>
      </c>
      <c r="R337" s="168">
        <f t="shared" si="867"/>
        <v>7.7983739674749213</v>
      </c>
      <c r="S337" s="168">
        <f t="shared" si="867"/>
        <v>0</v>
      </c>
      <c r="T337" s="168">
        <f t="shared" si="867"/>
        <v>1.8889422107155986E-3</v>
      </c>
      <c r="U337" s="168">
        <f t="shared" si="867"/>
        <v>7.1733270336388815</v>
      </c>
      <c r="V337" s="168">
        <f t="shared" si="867"/>
        <v>0.15066514409980336</v>
      </c>
      <c r="W337" s="168">
        <f t="shared" si="867"/>
        <v>0</v>
      </c>
      <c r="X337" s="168">
        <f t="shared" si="867"/>
        <v>3.2483078358468445E-11</v>
      </c>
      <c r="Y337" s="168">
        <f t="shared" si="867"/>
        <v>0</v>
      </c>
      <c r="Z337" s="168">
        <f t="shared" si="867"/>
        <v>0</v>
      </c>
      <c r="AA337" s="168">
        <f t="shared" si="867"/>
        <v>0</v>
      </c>
      <c r="AB337" s="168">
        <f t="shared" si="867"/>
        <v>2.6998782242213204E-6</v>
      </c>
      <c r="AC337" s="168">
        <f t="shared" si="867"/>
        <v>0.72127988336154014</v>
      </c>
      <c r="AD337" s="168">
        <f t="shared" si="867"/>
        <v>6.9789340098354042</v>
      </c>
      <c r="AE337" s="168">
        <f t="shared" si="867"/>
        <v>0</v>
      </c>
      <c r="AF337" s="168">
        <f t="shared" si="867"/>
        <v>8.2046121121886867E-11</v>
      </c>
      <c r="AG337" s="168">
        <f t="shared" si="867"/>
        <v>2.3226582373666389E-2</v>
      </c>
      <c r="AH337" s="168">
        <f t="shared" si="867"/>
        <v>9.3202629248780616E-2</v>
      </c>
      <c r="AI337" s="168">
        <f t="shared" si="867"/>
        <v>0</v>
      </c>
      <c r="AJ337" s="168">
        <f t="shared" ref="AJ337:BO337" si="868">SUM(AJ176:AJ330)</f>
        <v>3.5811799757838519E-2</v>
      </c>
      <c r="AK337" s="168">
        <f t="shared" si="868"/>
        <v>4.7119528929028154E-2</v>
      </c>
      <c r="AL337" s="168">
        <f t="shared" si="868"/>
        <v>9.1356469416885595E-3</v>
      </c>
      <c r="AM337" s="168">
        <f t="shared" si="868"/>
        <v>0</v>
      </c>
      <c r="AN337" s="168">
        <f t="shared" si="868"/>
        <v>2.2367104405336029</v>
      </c>
      <c r="AO337" s="168">
        <f t="shared" si="868"/>
        <v>1.7410799013551479</v>
      </c>
      <c r="AP337" s="168">
        <f t="shared" si="868"/>
        <v>0.53002887010578847</v>
      </c>
      <c r="AQ337" s="168">
        <f t="shared" si="868"/>
        <v>0</v>
      </c>
      <c r="AR337" s="168">
        <f t="shared" si="868"/>
        <v>1.3263629539940192E-2</v>
      </c>
      <c r="AS337" s="168">
        <f t="shared" si="868"/>
        <v>1.7451677381121539E-2</v>
      </c>
      <c r="AT337" s="168">
        <f t="shared" si="868"/>
        <v>3.3835729413661327E-3</v>
      </c>
      <c r="AU337" s="168">
        <f t="shared" si="868"/>
        <v>0</v>
      </c>
      <c r="AV337" s="168">
        <f t="shared" si="868"/>
        <v>0.61735939373885562</v>
      </c>
      <c r="AW337" s="168">
        <f t="shared" si="868"/>
        <v>2.1472750032064676</v>
      </c>
      <c r="AX337" s="168">
        <f t="shared" si="868"/>
        <v>1.3307760630038865E-3</v>
      </c>
      <c r="AY337" s="168">
        <f t="shared" si="868"/>
        <v>1.0672458820864348E-2</v>
      </c>
      <c r="AZ337" s="168">
        <f t="shared" si="868"/>
        <v>0.144218317028876</v>
      </c>
      <c r="BA337" s="168">
        <f t="shared" si="868"/>
        <v>1.2842220359980091E-3</v>
      </c>
      <c r="BB337" s="168">
        <f t="shared" si="868"/>
        <v>0</v>
      </c>
      <c r="BC337" s="168">
        <f t="shared" si="868"/>
        <v>1.283264859776326E-4</v>
      </c>
      <c r="BD337" s="168">
        <f t="shared" si="868"/>
        <v>1.7364229524170011E-2</v>
      </c>
      <c r="BE337" s="168">
        <f t="shared" si="868"/>
        <v>4.9752253281831445E-4</v>
      </c>
      <c r="BF337" s="168">
        <f t="shared" si="868"/>
        <v>0</v>
      </c>
      <c r="BG337" s="168">
        <f t="shared" si="868"/>
        <v>1.411593288462739E-3</v>
      </c>
      <c r="BH337" s="168">
        <f t="shared" si="868"/>
        <v>0.24593503286262597</v>
      </c>
      <c r="BI337" s="168">
        <f t="shared" si="868"/>
        <v>5.3642480507608531E-2</v>
      </c>
      <c r="BJ337" s="168">
        <f t="shared" si="868"/>
        <v>0</v>
      </c>
      <c r="BK337" s="168">
        <f t="shared" si="868"/>
        <v>4.4978730230704055E-2</v>
      </c>
      <c r="BL337" s="168">
        <f t="shared" si="868"/>
        <v>6921.2612265771631</v>
      </c>
      <c r="BM337" s="168">
        <f t="shared" si="868"/>
        <v>0.52989538034143502</v>
      </c>
      <c r="BN337" s="168">
        <f t="shared" si="868"/>
        <v>0</v>
      </c>
      <c r="BO337" s="168">
        <f t="shared" si="868"/>
        <v>5.698294169007391E-12</v>
      </c>
      <c r="BP337" s="168">
        <f t="shared" ref="BP337:CU337" si="869">SUM(BP176:BP330)</f>
        <v>0</v>
      </c>
      <c r="BQ337" s="168">
        <f t="shared" si="869"/>
        <v>0</v>
      </c>
      <c r="BR337" s="168">
        <f t="shared" si="869"/>
        <v>0</v>
      </c>
      <c r="BS337" s="168">
        <f t="shared" si="869"/>
        <v>1.7602004777520418E-9</v>
      </c>
      <c r="BT337" s="168">
        <f t="shared" si="869"/>
        <v>4.072338886794033E-2</v>
      </c>
      <c r="BU337" s="168">
        <f t="shared" si="869"/>
        <v>4.7958619498433511E-2</v>
      </c>
      <c r="BV337" s="168">
        <f t="shared" si="869"/>
        <v>0</v>
      </c>
      <c r="BW337" s="168">
        <f t="shared" si="869"/>
        <v>9.7763280934085836E-11</v>
      </c>
      <c r="BX337" s="168">
        <f t="shared" si="869"/>
        <v>48.133147483410113</v>
      </c>
      <c r="BY337" s="168">
        <f t="shared" si="869"/>
        <v>0.39462637915130749</v>
      </c>
      <c r="BZ337" s="168">
        <f t="shared" si="869"/>
        <v>0</v>
      </c>
      <c r="CA337" s="168">
        <f t="shared" si="869"/>
        <v>6.287000226063994E-3</v>
      </c>
      <c r="CB337" s="168">
        <f t="shared" si="869"/>
        <v>5.2816875528137755E-2</v>
      </c>
      <c r="CC337" s="168">
        <f t="shared" si="869"/>
        <v>1.6557652072298891E-3</v>
      </c>
      <c r="CD337" s="168">
        <f t="shared" si="869"/>
        <v>0</v>
      </c>
      <c r="CE337" s="168">
        <f t="shared" si="869"/>
        <v>1.3971111963088713E-2</v>
      </c>
      <c r="CF337" s="168">
        <f t="shared" si="869"/>
        <v>0.11737082639748085</v>
      </c>
      <c r="CG337" s="168">
        <f t="shared" si="869"/>
        <v>3.679490584109356E-3</v>
      </c>
      <c r="CH337" s="168">
        <f t="shared" si="869"/>
        <v>0</v>
      </c>
      <c r="CI337" s="168">
        <f t="shared" si="869"/>
        <v>2.3285186022459232E-3</v>
      </c>
      <c r="CJ337" s="168">
        <f t="shared" si="869"/>
        <v>1.9561805751162124E-2</v>
      </c>
      <c r="CK337" s="168">
        <f t="shared" si="869"/>
        <v>6.1324637304810718E-4</v>
      </c>
      <c r="CL337" s="168">
        <f t="shared" si="869"/>
        <v>0</v>
      </c>
      <c r="CM337" s="168">
        <f t="shared" si="869"/>
        <v>3.270747838192798E-2</v>
      </c>
      <c r="CN337" s="168">
        <f t="shared" si="869"/>
        <v>1.3047429677513607</v>
      </c>
      <c r="CO337" s="168">
        <f t="shared" si="869"/>
        <v>7.7276021921410593E-5</v>
      </c>
      <c r="CP337" s="168">
        <f t="shared" si="869"/>
        <v>1.6217519379171622E-3</v>
      </c>
      <c r="CQ337" s="168">
        <f t="shared" si="869"/>
        <v>0.31871903539976282</v>
      </c>
      <c r="CR337" s="168">
        <f t="shared" si="869"/>
        <v>7.5079561394938055E-5</v>
      </c>
      <c r="CS337" s="168">
        <f t="shared" si="869"/>
        <v>0</v>
      </c>
      <c r="CT337" s="168">
        <f t="shared" si="869"/>
        <v>2.8175158944859623E-3</v>
      </c>
      <c r="CU337" s="168">
        <f t="shared" si="869"/>
        <v>332992.94817333575</v>
      </c>
      <c r="CV337" s="168">
        <f t="shared" ref="CV337:EA337" si="870">SUM(CV176:CV330)</f>
        <v>8.2692339279515075</v>
      </c>
      <c r="CW337" s="168">
        <f t="shared" si="870"/>
        <v>0</v>
      </c>
      <c r="CX337" s="168">
        <f t="shared" si="870"/>
        <v>2.1933277273282759E-7</v>
      </c>
      <c r="CY337" s="168">
        <f t="shared" si="870"/>
        <v>326683.97888526827</v>
      </c>
      <c r="CZ337" s="168">
        <f t="shared" si="870"/>
        <v>16.541024170017025</v>
      </c>
      <c r="DA337" s="168">
        <f t="shared" si="870"/>
        <v>0</v>
      </c>
      <c r="DB337" s="168">
        <f t="shared" si="870"/>
        <v>1.6066136435724198E-17</v>
      </c>
      <c r="DC337" s="168">
        <f t="shared" si="870"/>
        <v>556.15332115258195</v>
      </c>
      <c r="DD337" s="168">
        <f t="shared" si="870"/>
        <v>8.3577271608932584</v>
      </c>
      <c r="DE337" s="168">
        <f t="shared" si="870"/>
        <v>0</v>
      </c>
      <c r="DF337" s="168">
        <f t="shared" si="870"/>
        <v>1.792432228019706E-3</v>
      </c>
      <c r="DG337" s="168">
        <f t="shared" si="870"/>
        <v>0.23340831403602283</v>
      </c>
      <c r="DH337" s="168">
        <f t="shared" si="870"/>
        <v>4.615955305981819E-4</v>
      </c>
      <c r="DI337" s="168">
        <f t="shared" si="870"/>
        <v>0</v>
      </c>
      <c r="DJ337" s="168">
        <f t="shared" si="870"/>
        <v>4.7031058293168896E-4</v>
      </c>
      <c r="DK337" s="168">
        <f t="shared" si="870"/>
        <v>0.19845061932029656</v>
      </c>
      <c r="DL337" s="168">
        <f t="shared" si="870"/>
        <v>1.1441384124157318E-6</v>
      </c>
      <c r="DM337" s="168">
        <f t="shared" si="870"/>
        <v>1.6124853069006504E-5</v>
      </c>
      <c r="DN337" s="168">
        <f t="shared" si="870"/>
        <v>4.0490921072296314E-2</v>
      </c>
      <c r="DO337" s="168">
        <f t="shared" si="870"/>
        <v>1.0752739518174111E-6</v>
      </c>
      <c r="DP337" s="168">
        <f t="shared" si="870"/>
        <v>0</v>
      </c>
      <c r="DQ337" s="168">
        <f t="shared" si="870"/>
        <v>4.5846853689597842E-5</v>
      </c>
      <c r="DR337" s="168">
        <f t="shared" si="870"/>
        <v>244024.9950596173</v>
      </c>
      <c r="DS337" s="168">
        <f t="shared" si="870"/>
        <v>3.0310210323860738</v>
      </c>
      <c r="DT337" s="168">
        <f t="shared" si="870"/>
        <v>0</v>
      </c>
      <c r="DU337" s="168">
        <f t="shared" si="870"/>
        <v>4.1775981165356022E-9</v>
      </c>
      <c r="DV337" s="168">
        <f t="shared" si="870"/>
        <v>244390.05475926466</v>
      </c>
      <c r="DW337" s="168">
        <f t="shared" si="870"/>
        <v>5.7469825054130013</v>
      </c>
      <c r="DX337" s="168">
        <f t="shared" si="870"/>
        <v>0</v>
      </c>
      <c r="DY337" s="168">
        <f t="shared" si="870"/>
        <v>3.3138697513574437E-19</v>
      </c>
      <c r="DZ337" s="168">
        <f t="shared" si="870"/>
        <v>365.05969964318587</v>
      </c>
      <c r="EA337" s="168">
        <f t="shared" si="870"/>
        <v>2.7159614729786647</v>
      </c>
      <c r="EB337" s="168">
        <f t="shared" ref="EB337:FB337" si="871">SUM(EB176:EB330)</f>
        <v>0</v>
      </c>
      <c r="EC337" s="168">
        <f t="shared" si="871"/>
        <v>1.7949322731940768E-5</v>
      </c>
      <c r="ED337" s="168">
        <f t="shared" si="871"/>
        <v>2.7410209830329307E-2</v>
      </c>
      <c r="EE337" s="168">
        <f t="shared" si="871"/>
        <v>4.9678625076645913E-6</v>
      </c>
      <c r="EF337" s="168">
        <f t="shared" si="871"/>
        <v>0</v>
      </c>
      <c r="EG337" s="168">
        <f t="shared" si="871"/>
        <v>8.1460279402410395E-4</v>
      </c>
      <c r="EH337" s="168">
        <f t="shared" si="871"/>
        <v>0.34372081764430368</v>
      </c>
      <c r="EI337" s="168">
        <f t="shared" si="871"/>
        <v>2.024967800291479E-6</v>
      </c>
      <c r="EJ337" s="168">
        <f t="shared" si="871"/>
        <v>5.1474781319289271E-5</v>
      </c>
      <c r="EK337" s="168">
        <f t="shared" si="871"/>
        <v>0.13129566458342803</v>
      </c>
      <c r="EL337" s="168">
        <f t="shared" si="871"/>
        <v>2.0045483767558581E-6</v>
      </c>
      <c r="EM337" s="168">
        <f t="shared" si="871"/>
        <v>0</v>
      </c>
      <c r="EN337" s="168">
        <f t="shared" si="871"/>
        <v>1.0561634742237181E-4</v>
      </c>
      <c r="EO337" s="168">
        <f t="shared" si="871"/>
        <v>637691.03745161905</v>
      </c>
      <c r="EP337" s="168">
        <f t="shared" si="871"/>
        <v>35.011457674137013</v>
      </c>
      <c r="EQ337" s="168">
        <f t="shared" si="871"/>
        <v>0</v>
      </c>
      <c r="ER337" s="168">
        <f t="shared" si="871"/>
        <v>7.1756407792047196E-9</v>
      </c>
      <c r="ES337" s="168">
        <f t="shared" si="871"/>
        <v>639068.37337241846</v>
      </c>
      <c r="ET337" s="168">
        <f t="shared" si="871"/>
        <v>80.323951238234145</v>
      </c>
      <c r="EU337" s="168">
        <f t="shared" si="871"/>
        <v>0</v>
      </c>
      <c r="EV337" s="168">
        <f t="shared" si="871"/>
        <v>5.0286078640564202E-19</v>
      </c>
      <c r="EW337" s="168">
        <f t="shared" si="871"/>
        <v>1377.4338085460781</v>
      </c>
      <c r="EX337" s="168">
        <f t="shared" si="871"/>
        <v>45.306544181284401</v>
      </c>
      <c r="EY337" s="168">
        <f t="shared" si="871"/>
        <v>0</v>
      </c>
      <c r="EZ337" s="168">
        <f t="shared" si="871"/>
        <v>3.0242370210798374E-5</v>
      </c>
      <c r="FA337" s="168">
        <f t="shared" si="871"/>
        <v>5.3416800380094137E-2</v>
      </c>
      <c r="FB337" s="198">
        <f t="shared" si="871"/>
        <v>7.4987884531272231E-6</v>
      </c>
    </row>
    <row r="338" spans="2:158" ht="12.75" customHeight="1" x14ac:dyDescent="0.3">
      <c r="B338" s="199" t="s">
        <v>3986</v>
      </c>
      <c r="C338" s="168">
        <f>SUM(D338:EY338)</f>
        <v>6.4710262257491467</v>
      </c>
      <c r="D338" s="168">
        <f>k.aRG*D168</f>
        <v>0</v>
      </c>
      <c r="E338" s="168">
        <f>k.aRS*E168</f>
        <v>2.4001722382596361E-5</v>
      </c>
      <c r="F338" s="168">
        <f>k.aRA*F168</f>
        <v>6.1175951788276987E-5</v>
      </c>
      <c r="G338" s="168">
        <f>k.aRP*G168</f>
        <v>1.2236664275636758E-8</v>
      </c>
      <c r="H338" s="168">
        <v>0</v>
      </c>
      <c r="I338" s="168">
        <v>0</v>
      </c>
      <c r="J338" s="168">
        <v>0</v>
      </c>
      <c r="K338" s="168">
        <f>k.w0RD*K168</f>
        <v>0</v>
      </c>
      <c r="L338" s="168">
        <f>k.w0RS*L168</f>
        <v>0</v>
      </c>
      <c r="M338" s="168">
        <f>k.w0RA*M168</f>
        <v>0</v>
      </c>
      <c r="N338" s="168">
        <f>k.w0RP*N168</f>
        <v>0</v>
      </c>
      <c r="O338" s="168">
        <f>k.w1RD*O168</f>
        <v>0</v>
      </c>
      <c r="P338" s="168">
        <f>k.w1RS*P168</f>
        <v>0</v>
      </c>
      <c r="Q338" s="168">
        <f>k.w1RA*Q168</f>
        <v>0</v>
      </c>
      <c r="R338" s="168">
        <f>k.w1RP*R168</f>
        <v>0</v>
      </c>
      <c r="S338" s="168">
        <f>k.w2RD*S168</f>
        <v>0</v>
      </c>
      <c r="T338" s="168">
        <f>k.w2RS*T168</f>
        <v>0</v>
      </c>
      <c r="U338" s="168">
        <f>k.w2RA*U168</f>
        <v>0</v>
      </c>
      <c r="V338" s="168">
        <f>k.w2RP*V168</f>
        <v>0</v>
      </c>
      <c r="W338" s="168">
        <f>k.sd0RD*W168</f>
        <v>0</v>
      </c>
      <c r="X338" s="168">
        <f>k.sd0RS*X168</f>
        <v>1.7377697429687096E-16</v>
      </c>
      <c r="Y338" s="168">
        <f>k.sd0RA*Y168</f>
        <v>2.5801170885609796E-2</v>
      </c>
      <c r="Z338" s="168">
        <f>k.sd0RP*Z168</f>
        <v>4.4854325151479822E-2</v>
      </c>
      <c r="AA338" s="168">
        <f>k.sd1RD*AA168</f>
        <v>0</v>
      </c>
      <c r="AB338" s="168">
        <f>k.sd1RS*AB168</f>
        <v>1.4443017958392148E-11</v>
      </c>
      <c r="AC338" s="168">
        <f>k.sd1RA*AC168</f>
        <v>7.8761714835580046E-2</v>
      </c>
      <c r="AD338" s="168">
        <f>k.sd1RP*AD168</f>
        <v>0.76207977377273517</v>
      </c>
      <c r="AE338" s="168">
        <f>k.sd2RD*AE168</f>
        <v>0</v>
      </c>
      <c r="AF338" s="168">
        <f>k.sd2RS*AF168</f>
        <v>1.3860346670549717E-17</v>
      </c>
      <c r="AG338" s="168">
        <f>k.sd2RA*AG168</f>
        <v>2.3889613820160895E-3</v>
      </c>
      <c r="AH338" s="168">
        <f>k.sd2RP*AH168</f>
        <v>9.5863213276759403E-3</v>
      </c>
      <c r="AI338" s="168">
        <f>k.s1RD*AI168</f>
        <v>0</v>
      </c>
      <c r="AJ338" s="168">
        <f>k.s1RS*AJ168</f>
        <v>1.6444892720657835E-9</v>
      </c>
      <c r="AK338" s="168">
        <f>k.s1RA*AK168</f>
        <v>3.1744606387366762E-4</v>
      </c>
      <c r="AL338" s="168">
        <f>k.s1RP*AL168</f>
        <v>0</v>
      </c>
      <c r="AM338" s="168">
        <f>k.s2RD*AM168</f>
        <v>0</v>
      </c>
      <c r="AN338" s="168">
        <f>k.s2RS*AN168</f>
        <v>4.6739002006652504E-8</v>
      </c>
      <c r="AO338" s="168">
        <f>k.s2RA*AO168</f>
        <v>1.1730434705675172E-2</v>
      </c>
      <c r="AP338" s="168">
        <f>k.s2RP*AP168</f>
        <v>0</v>
      </c>
      <c r="AQ338" s="168">
        <f>k.s3RD*AQ168</f>
        <v>0</v>
      </c>
      <c r="AR338" s="168">
        <f>k.s3RS*AR168</f>
        <v>6.0907010076510482E-10</v>
      </c>
      <c r="AS338" s="168">
        <f>k.s3RA*AS168</f>
        <v>1.1757261624950651E-4</v>
      </c>
      <c r="AT338" s="168">
        <f>k.s3RP*AT168</f>
        <v>0</v>
      </c>
      <c r="AU338" s="168">
        <f>k.aC*AU168</f>
        <v>0</v>
      </c>
      <c r="AV338" s="168">
        <f>k.aCS*AV168</f>
        <v>8.6645026056615292E-6</v>
      </c>
      <c r="AW338" s="168">
        <f>k.aCA*AW168</f>
        <v>3.0213557989494346E-4</v>
      </c>
      <c r="AX338" s="168">
        <f>k.aCP*AX168</f>
        <v>6.3582491676069461E-9</v>
      </c>
      <c r="AY338" s="168">
        <v>0</v>
      </c>
      <c r="AZ338" s="168">
        <v>0</v>
      </c>
      <c r="BA338" s="168">
        <v>0</v>
      </c>
      <c r="BB338" s="168">
        <f>k.w0C*BB168</f>
        <v>0</v>
      </c>
      <c r="BC338" s="168">
        <f>k.w0CS*BC168</f>
        <v>0</v>
      </c>
      <c r="BD338" s="168">
        <f>k.w0CA*BD168</f>
        <v>0</v>
      </c>
      <c r="BE338" s="168">
        <f>k.w0CP*BE168</f>
        <v>0</v>
      </c>
      <c r="BF338" s="168">
        <f>k.w1C*BF168</f>
        <v>0</v>
      </c>
      <c r="BG338" s="168">
        <f>k.w1CS*BG168</f>
        <v>0</v>
      </c>
      <c r="BH338" s="168">
        <f>k.w1CA*BH168</f>
        <v>0</v>
      </c>
      <c r="BI338" s="168">
        <f>k.w1CP*BI168</f>
        <v>0</v>
      </c>
      <c r="BJ338" s="168">
        <f>k.w2C*BJ168</f>
        <v>0</v>
      </c>
      <c r="BK338" s="168">
        <f>k.w2CS*BK168</f>
        <v>0</v>
      </c>
      <c r="BL338" s="168">
        <f>k.w2CA*BL168</f>
        <v>0</v>
      </c>
      <c r="BM338" s="168">
        <f>k.w2CP*BM168</f>
        <v>0</v>
      </c>
      <c r="BN338" s="168">
        <f>k.sd0CD*BN168</f>
        <v>0</v>
      </c>
      <c r="BO338" s="168">
        <f>k.sd0CS*BO168</f>
        <v>1.1067522279003119E-17</v>
      </c>
      <c r="BP338" s="168">
        <f>k.sd0CA*BP168</f>
        <v>2.9514957712556277E-3</v>
      </c>
      <c r="BQ338" s="168">
        <f>k.sd0CP*BQ168</f>
        <v>4.9349999064402395E-4</v>
      </c>
      <c r="BR338" s="168">
        <f>k.sd1C*BR168</f>
        <v>0</v>
      </c>
      <c r="BS338" s="168">
        <f>k.sd1CS*BS168</f>
        <v>3.4186923942149867E-15</v>
      </c>
      <c r="BT338" s="168">
        <f>k.sd1CA*BT168</f>
        <v>4.4913286021749464E-3</v>
      </c>
      <c r="BU338" s="168">
        <f>k.sd1CP*BU168</f>
        <v>5.2892926021614207E-3</v>
      </c>
      <c r="BV338" s="168">
        <f>k.sd2C*BV168</f>
        <v>0</v>
      </c>
      <c r="BW338" s="168">
        <f>k.sd2CS*BW168</f>
        <v>6.0337746172417191E-18</v>
      </c>
      <c r="BX338" s="168">
        <f>k.sd2CA*BX168</f>
        <v>5.0346971465249188</v>
      </c>
      <c r="BY338" s="168">
        <f>k.sd2CP*BY168</f>
        <v>4.1277672642150397E-2</v>
      </c>
      <c r="BZ338" s="168">
        <f>k.s1C*BZ168</f>
        <v>0</v>
      </c>
      <c r="CA338" s="168">
        <f>k.s1CS*CA168</f>
        <v>2.8870105649952438E-10</v>
      </c>
      <c r="CB338" s="168">
        <f>k.s1CA*CB168</f>
        <v>3.5582930524977511E-4</v>
      </c>
      <c r="CC338" s="168">
        <f>k.s1CP*CC168</f>
        <v>0</v>
      </c>
      <c r="CD338" s="168">
        <f>k.s2C*CD168</f>
        <v>0</v>
      </c>
      <c r="CE338" s="168">
        <f>k.s2CS*CE168</f>
        <v>2.9194473197978515E-10</v>
      </c>
      <c r="CF338" s="168">
        <f>k.s2CA*CF168</f>
        <v>7.9077979955725268E-4</v>
      </c>
      <c r="CG338" s="168">
        <f>k.s2CP*CG168</f>
        <v>0</v>
      </c>
      <c r="CH338" s="168">
        <f>k.s3C*CH168</f>
        <v>0</v>
      </c>
      <c r="CI338" s="168">
        <f>k.s3CS*CI168</f>
        <v>1.0692631722204608E-10</v>
      </c>
      <c r="CJ338" s="168">
        <f>k.s3CA*CJ168</f>
        <v>1.3178863157399073E-4</v>
      </c>
      <c r="CK338" s="168">
        <f>k.s3CP*CK168</f>
        <v>0</v>
      </c>
      <c r="CL338" s="168">
        <f>k.aM*CL168</f>
        <v>0</v>
      </c>
      <c r="CM338" s="168">
        <f>k.aMS*CM168</f>
        <v>4.5420266693408465E-7</v>
      </c>
      <c r="CN338" s="168">
        <f>k.aMA*CN168</f>
        <v>1.9130972759529797E-4</v>
      </c>
      <c r="CO338" s="168">
        <f>k.aMP*CO168</f>
        <v>3.7172275927556155E-10</v>
      </c>
      <c r="CP338" s="168">
        <v>0</v>
      </c>
      <c r="CQ338" s="168">
        <v>0</v>
      </c>
      <c r="CR338" s="168">
        <v>0</v>
      </c>
      <c r="CS338" s="168">
        <f>k.w2M*CS168</f>
        <v>0</v>
      </c>
      <c r="CT338" s="168">
        <f>k.w2MS*CT168</f>
        <v>0</v>
      </c>
      <c r="CU338" s="168">
        <f>k.w2MA*CU168</f>
        <v>0</v>
      </c>
      <c r="CV338" s="168">
        <f>k.w2MP*CV168</f>
        <v>0</v>
      </c>
      <c r="CW338" s="168">
        <f>k.w3M*CW168</f>
        <v>0</v>
      </c>
      <c r="CX338" s="168">
        <f>k.w3MS*CX168</f>
        <v>0</v>
      </c>
      <c r="CY338" s="168">
        <f>k.w3MA*CY168</f>
        <v>0</v>
      </c>
      <c r="CZ338" s="168">
        <f>k.w3MP*CZ168</f>
        <v>0</v>
      </c>
      <c r="DA338" s="168">
        <f>k.sdM*DA168</f>
        <v>0</v>
      </c>
      <c r="DB338" s="168">
        <f>k.sdMS*DB168</f>
        <v>3.2395500224278923E-27</v>
      </c>
      <c r="DC338" s="168">
        <f>k.sdMA*DC168</f>
        <v>0.17211279712097052</v>
      </c>
      <c r="DD338" s="168">
        <f>k.sdMP*DD168</f>
        <v>2.5864662576394076E-3</v>
      </c>
      <c r="DE338" s="168">
        <f>k.sM*DE168</f>
        <v>0</v>
      </c>
      <c r="DF338" s="168">
        <f>k.sMS*DF168</f>
        <v>8.2309059857797182E-11</v>
      </c>
      <c r="DG338" s="168">
        <f>k.sMA*DG168</f>
        <v>1.5724807155378449E-3</v>
      </c>
      <c r="DH338" s="168">
        <f>k.sMP*DH168</f>
        <v>0</v>
      </c>
      <c r="DI338" s="168">
        <f>k.aA*DI168</f>
        <v>0</v>
      </c>
      <c r="DJ338" s="168">
        <f>k.aAS*DJ168</f>
        <v>6.9769493301113485E-9</v>
      </c>
      <c r="DK338" s="168">
        <f>k.aAA*DK168</f>
        <v>3.9288819476458351E-5</v>
      </c>
      <c r="DL338" s="168">
        <f>k.aAP*DL168</f>
        <v>1.490646216063578E-11</v>
      </c>
      <c r="DM338" s="168">
        <v>0</v>
      </c>
      <c r="DN338" s="168">
        <v>0</v>
      </c>
      <c r="DO338" s="168">
        <v>0</v>
      </c>
      <c r="DP338" s="168">
        <f>k.w2A*DP168</f>
        <v>0</v>
      </c>
      <c r="DQ338" s="168">
        <f>k.w2AS*DQ168</f>
        <v>0</v>
      </c>
      <c r="DR338" s="168">
        <f>k.w2AA*DR168</f>
        <v>0</v>
      </c>
      <c r="DS338" s="168">
        <f>k.w2AP*DS168</f>
        <v>0</v>
      </c>
      <c r="DT338" s="168">
        <f>k.w3A*DT168</f>
        <v>0</v>
      </c>
      <c r="DU338" s="168">
        <f>k.w3AS*DU168</f>
        <v>0</v>
      </c>
      <c r="DV338" s="168">
        <f>k.w3AA*DV168</f>
        <v>0</v>
      </c>
      <c r="DW338" s="168">
        <f>k.w3AP*DW168</f>
        <v>0</v>
      </c>
      <c r="DX338" s="168">
        <f>k.sdA*DX168</f>
        <v>0</v>
      </c>
      <c r="DY338" s="168">
        <f>k.sdAS*DY168</f>
        <v>4.7969131853988168E-29</v>
      </c>
      <c r="DZ338" s="168">
        <f>k.sdAA*DZ168</f>
        <v>8.0030625812382308E-2</v>
      </c>
      <c r="EA338" s="168">
        <f>k.sdAP*EA168</f>
        <v>5.9540972771646064E-4</v>
      </c>
      <c r="EB338" s="168">
        <f>k.sA*EB168</f>
        <v>0</v>
      </c>
      <c r="EC338" s="168">
        <f>k.sAS*EC168</f>
        <v>3.1247674845521945E-13</v>
      </c>
      <c r="ED338" s="168">
        <f>k.sAA*ED168</f>
        <v>1.8461880490477464E-4</v>
      </c>
      <c r="EE338" s="168">
        <f>k.sAP*EE168</f>
        <v>0</v>
      </c>
      <c r="EF338" s="168">
        <f>k.aT*EF168</f>
        <v>0</v>
      </c>
      <c r="EG338" s="168">
        <f>k.aTS*EG168</f>
        <v>1.111538163899141E-8</v>
      </c>
      <c r="EH338" s="168">
        <f>k.aTA*EH168</f>
        <v>5.9036924564669848E-5</v>
      </c>
      <c r="EI338" s="168">
        <f>k.aTP*EI168</f>
        <v>5.3440271370936077E-12</v>
      </c>
      <c r="EJ338" s="168">
        <v>0</v>
      </c>
      <c r="EK338" s="168">
        <v>0</v>
      </c>
      <c r="EL338" s="168">
        <v>0</v>
      </c>
      <c r="EM338" s="168">
        <f>k.w2T*EM168</f>
        <v>0</v>
      </c>
      <c r="EN338" s="168">
        <f>k.w2TS*EN168</f>
        <v>0</v>
      </c>
      <c r="EO338" s="168">
        <f>k.w2TA*EO168</f>
        <v>0</v>
      </c>
      <c r="EP338" s="168">
        <f>k.w2TP*EP168</f>
        <v>0</v>
      </c>
      <c r="EQ338" s="168">
        <f>k.w3T*EQ168</f>
        <v>0</v>
      </c>
      <c r="ER338" s="168">
        <f>k.w3TS*ER168</f>
        <v>0</v>
      </c>
      <c r="ES338" s="168">
        <f>k.w3TA*ES168</f>
        <v>0</v>
      </c>
      <c r="ET338" s="168">
        <f>k.w3TP*ET168</f>
        <v>0</v>
      </c>
      <c r="EU338" s="168">
        <f>k.sdT*EU168</f>
        <v>0</v>
      </c>
      <c r="EV338" s="168">
        <f>k.sdTS*EV168</f>
        <v>4.276359528079603E-29</v>
      </c>
      <c r="EW338" s="168">
        <f>k.sdTA*EW168</f>
        <v>0.18118169135759085</v>
      </c>
      <c r="EX338" s="168">
        <f>k.sdTP*EX168</f>
        <v>5.9594270544274398E-3</v>
      </c>
      <c r="EY338" s="168">
        <f>k.sT*EY168</f>
        <v>0</v>
      </c>
      <c r="EZ338" s="168">
        <f>k.sTS*EZ168</f>
        <v>2.4936062621476321E-12</v>
      </c>
      <c r="FA338" s="168">
        <f>k.sTA*FA168</f>
        <v>3.5989342698562618E-4</v>
      </c>
      <c r="FB338" s="168">
        <f>k.sTP*FB168</f>
        <v>0</v>
      </c>
    </row>
    <row r="339" spans="2:158" ht="12.75" customHeight="1" x14ac:dyDescent="0.3">
      <c r="B339" s="200" t="s">
        <v>3987</v>
      </c>
      <c r="C339" s="201">
        <f>SUM(C335:C336)-SUM(C337:C338)</f>
        <v>0</v>
      </c>
      <c r="D339" s="201">
        <f>SUM(D335:D336)-SUM(D337:D338)</f>
        <v>0</v>
      </c>
      <c r="E339" s="201">
        <f>SUM(E335:E336)-SUM(E337:E338)</f>
        <v>0</v>
      </c>
      <c r="F339" s="201">
        <f t="shared" ref="F339:BN339" si="872">SUM(F335:F336)-SUM(F337:F338)</f>
        <v>0</v>
      </c>
      <c r="G339" s="201">
        <f t="shared" si="872"/>
        <v>0</v>
      </c>
      <c r="H339" s="201">
        <f t="shared" si="872"/>
        <v>0</v>
      </c>
      <c r="I339" s="201">
        <f t="shared" si="872"/>
        <v>0</v>
      </c>
      <c r="J339" s="201">
        <f t="shared" si="872"/>
        <v>0</v>
      </c>
      <c r="K339" s="201">
        <f t="shared" si="872"/>
        <v>0</v>
      </c>
      <c r="L339" s="201">
        <f t="shared" si="872"/>
        <v>0</v>
      </c>
      <c r="M339" s="201">
        <f t="shared" si="872"/>
        <v>0</v>
      </c>
      <c r="N339" s="201">
        <f>SUM(N335:N336)-SUM(N337:N338)</f>
        <v>0</v>
      </c>
      <c r="O339" s="201">
        <f t="shared" si="872"/>
        <v>0</v>
      </c>
      <c r="P339" s="201">
        <f t="shared" si="872"/>
        <v>0</v>
      </c>
      <c r="Q339" s="201">
        <f t="shared" si="872"/>
        <v>0</v>
      </c>
      <c r="R339" s="201">
        <f t="shared" si="872"/>
        <v>0</v>
      </c>
      <c r="S339" s="201">
        <f t="shared" si="872"/>
        <v>0</v>
      </c>
      <c r="T339" s="201">
        <f t="shared" si="872"/>
        <v>0</v>
      </c>
      <c r="U339" s="201">
        <f t="shared" si="872"/>
        <v>0</v>
      </c>
      <c r="V339" s="201">
        <f t="shared" si="872"/>
        <v>0</v>
      </c>
      <c r="W339" s="201">
        <f t="shared" si="872"/>
        <v>0</v>
      </c>
      <c r="X339" s="201">
        <f t="shared" si="872"/>
        <v>0</v>
      </c>
      <c r="Y339" s="201">
        <f t="shared" si="872"/>
        <v>0</v>
      </c>
      <c r="Z339" s="201">
        <f t="shared" si="872"/>
        <v>0</v>
      </c>
      <c r="AA339" s="201">
        <f t="shared" si="872"/>
        <v>0</v>
      </c>
      <c r="AB339" s="201">
        <f t="shared" si="872"/>
        <v>0</v>
      </c>
      <c r="AC339" s="201">
        <f t="shared" si="872"/>
        <v>0</v>
      </c>
      <c r="AD339" s="201">
        <f t="shared" si="872"/>
        <v>0</v>
      </c>
      <c r="AE339" s="201">
        <f t="shared" si="872"/>
        <v>0</v>
      </c>
      <c r="AF339" s="201">
        <f t="shared" si="872"/>
        <v>0</v>
      </c>
      <c r="AG339" s="201">
        <f t="shared" si="872"/>
        <v>0</v>
      </c>
      <c r="AH339" s="201">
        <f t="shared" si="872"/>
        <v>0</v>
      </c>
      <c r="AI339" s="201">
        <f t="shared" si="872"/>
        <v>0</v>
      </c>
      <c r="AJ339" s="201">
        <f t="shared" si="872"/>
        <v>0</v>
      </c>
      <c r="AK339" s="201">
        <f t="shared" si="872"/>
        <v>0</v>
      </c>
      <c r="AL339" s="201">
        <f t="shared" si="872"/>
        <v>0</v>
      </c>
      <c r="AM339" s="201">
        <f t="shared" si="872"/>
        <v>0</v>
      </c>
      <c r="AN339" s="201">
        <f t="shared" si="872"/>
        <v>0</v>
      </c>
      <c r="AO339" s="201">
        <f t="shared" si="872"/>
        <v>0</v>
      </c>
      <c r="AP339" s="201">
        <f t="shared" si="872"/>
        <v>0</v>
      </c>
      <c r="AQ339" s="201">
        <f t="shared" si="872"/>
        <v>0</v>
      </c>
      <c r="AR339" s="201">
        <f t="shared" si="872"/>
        <v>0</v>
      </c>
      <c r="AS339" s="201">
        <f t="shared" si="872"/>
        <v>0</v>
      </c>
      <c r="AT339" s="201">
        <f t="shared" si="872"/>
        <v>0</v>
      </c>
      <c r="AU339" s="201">
        <f t="shared" si="872"/>
        <v>0</v>
      </c>
      <c r="AV339" s="201">
        <f t="shared" si="872"/>
        <v>0</v>
      </c>
      <c r="AW339" s="201">
        <f t="shared" si="872"/>
        <v>0</v>
      </c>
      <c r="AX339" s="201">
        <f t="shared" si="872"/>
        <v>0</v>
      </c>
      <c r="AY339" s="201">
        <f t="shared" si="872"/>
        <v>0</v>
      </c>
      <c r="AZ339" s="201">
        <f t="shared" si="872"/>
        <v>0</v>
      </c>
      <c r="BA339" s="201">
        <f t="shared" si="872"/>
        <v>0</v>
      </c>
      <c r="BB339" s="201">
        <f t="shared" si="872"/>
        <v>0</v>
      </c>
      <c r="BC339" s="201">
        <f t="shared" si="872"/>
        <v>0</v>
      </c>
      <c r="BD339" s="201">
        <f t="shared" si="872"/>
        <v>0</v>
      </c>
      <c r="BE339" s="201">
        <f t="shared" si="872"/>
        <v>0</v>
      </c>
      <c r="BF339" s="201">
        <f t="shared" si="872"/>
        <v>0</v>
      </c>
      <c r="BG339" s="201">
        <f t="shared" si="872"/>
        <v>0</v>
      </c>
      <c r="BH339" s="201">
        <f t="shared" si="872"/>
        <v>0</v>
      </c>
      <c r="BI339" s="201">
        <f t="shared" si="872"/>
        <v>0</v>
      </c>
      <c r="BJ339" s="201">
        <f t="shared" si="872"/>
        <v>0</v>
      </c>
      <c r="BK339" s="201">
        <f t="shared" si="872"/>
        <v>0</v>
      </c>
      <c r="BL339" s="201">
        <f t="shared" si="872"/>
        <v>0</v>
      </c>
      <c r="BM339" s="201">
        <f t="shared" si="872"/>
        <v>0</v>
      </c>
      <c r="BN339" s="201">
        <f t="shared" si="872"/>
        <v>0</v>
      </c>
      <c r="BO339" s="201">
        <f t="shared" ref="BO339:DX339" si="873">SUM(BO335:BO336)-SUM(BO337:BO338)</f>
        <v>0</v>
      </c>
      <c r="BP339" s="201">
        <f t="shared" si="873"/>
        <v>0</v>
      </c>
      <c r="BQ339" s="201">
        <f t="shared" si="873"/>
        <v>0</v>
      </c>
      <c r="BR339" s="201">
        <f t="shared" si="873"/>
        <v>0</v>
      </c>
      <c r="BS339" s="201">
        <f t="shared" si="873"/>
        <v>0</v>
      </c>
      <c r="BT339" s="201">
        <f t="shared" si="873"/>
        <v>0</v>
      </c>
      <c r="BU339" s="201">
        <f t="shared" si="873"/>
        <v>0</v>
      </c>
      <c r="BV339" s="201">
        <f t="shared" si="873"/>
        <v>0</v>
      </c>
      <c r="BW339" s="201">
        <f t="shared" si="873"/>
        <v>0</v>
      </c>
      <c r="BX339" s="201">
        <f t="shared" si="873"/>
        <v>0</v>
      </c>
      <c r="BY339" s="201">
        <f t="shared" si="873"/>
        <v>0</v>
      </c>
      <c r="BZ339" s="201">
        <f t="shared" si="873"/>
        <v>0</v>
      </c>
      <c r="CA339" s="201">
        <f t="shared" si="873"/>
        <v>0</v>
      </c>
      <c r="CB339" s="201">
        <f t="shared" si="873"/>
        <v>0</v>
      </c>
      <c r="CC339" s="201">
        <f t="shared" si="873"/>
        <v>0</v>
      </c>
      <c r="CD339" s="201">
        <f t="shared" si="873"/>
        <v>0</v>
      </c>
      <c r="CE339" s="201">
        <f t="shared" si="873"/>
        <v>0</v>
      </c>
      <c r="CF339" s="201">
        <f t="shared" si="873"/>
        <v>0</v>
      </c>
      <c r="CG339" s="201">
        <f t="shared" si="873"/>
        <v>0</v>
      </c>
      <c r="CH339" s="201">
        <f t="shared" si="873"/>
        <v>0</v>
      </c>
      <c r="CI339" s="201">
        <f t="shared" si="873"/>
        <v>0</v>
      </c>
      <c r="CJ339" s="201">
        <f t="shared" si="873"/>
        <v>0</v>
      </c>
      <c r="CK339" s="201">
        <f t="shared" si="873"/>
        <v>0</v>
      </c>
      <c r="CL339" s="201">
        <f t="shared" si="873"/>
        <v>0</v>
      </c>
      <c r="CM339" s="201">
        <f t="shared" si="873"/>
        <v>0</v>
      </c>
      <c r="CN339" s="201">
        <f t="shared" si="873"/>
        <v>0</v>
      </c>
      <c r="CO339" s="201">
        <f t="shared" si="873"/>
        <v>0</v>
      </c>
      <c r="CP339" s="201">
        <f t="shared" si="873"/>
        <v>0</v>
      </c>
      <c r="CQ339" s="201">
        <f t="shared" si="873"/>
        <v>0</v>
      </c>
      <c r="CR339" s="201">
        <f t="shared" si="873"/>
        <v>0</v>
      </c>
      <c r="CS339" s="201">
        <f t="shared" si="873"/>
        <v>0</v>
      </c>
      <c r="CT339" s="201">
        <f t="shared" si="873"/>
        <v>0</v>
      </c>
      <c r="CU339" s="201">
        <f t="shared" si="873"/>
        <v>0</v>
      </c>
      <c r="CV339" s="201">
        <f t="shared" si="873"/>
        <v>0</v>
      </c>
      <c r="CW339" s="201">
        <f t="shared" si="873"/>
        <v>0</v>
      </c>
      <c r="CX339" s="201">
        <f t="shared" si="873"/>
        <v>0</v>
      </c>
      <c r="CY339" s="201">
        <f t="shared" si="873"/>
        <v>0</v>
      </c>
      <c r="CZ339" s="201">
        <f t="shared" si="873"/>
        <v>0</v>
      </c>
      <c r="DA339" s="201">
        <f t="shared" si="873"/>
        <v>0</v>
      </c>
      <c r="DB339" s="201">
        <f t="shared" si="873"/>
        <v>0</v>
      </c>
      <c r="DC339" s="201">
        <f t="shared" si="873"/>
        <v>0</v>
      </c>
      <c r="DD339" s="201">
        <f t="shared" si="873"/>
        <v>0</v>
      </c>
      <c r="DE339" s="201">
        <f t="shared" si="873"/>
        <v>0</v>
      </c>
      <c r="DF339" s="201">
        <f t="shared" si="873"/>
        <v>0</v>
      </c>
      <c r="DG339" s="201">
        <f t="shared" si="873"/>
        <v>0</v>
      </c>
      <c r="DH339" s="201">
        <f t="shared" si="873"/>
        <v>0</v>
      </c>
      <c r="DI339" s="201">
        <f t="shared" si="873"/>
        <v>0</v>
      </c>
      <c r="DJ339" s="201">
        <f t="shared" si="873"/>
        <v>0</v>
      </c>
      <c r="DK339" s="201">
        <f t="shared" si="873"/>
        <v>0</v>
      </c>
      <c r="DL339" s="201">
        <f t="shared" si="873"/>
        <v>0</v>
      </c>
      <c r="DM339" s="201">
        <f t="shared" si="873"/>
        <v>0</v>
      </c>
      <c r="DN339" s="201">
        <f t="shared" si="873"/>
        <v>0</v>
      </c>
      <c r="DO339" s="201">
        <f t="shared" si="873"/>
        <v>0</v>
      </c>
      <c r="DP339" s="201">
        <f t="shared" si="873"/>
        <v>0</v>
      </c>
      <c r="DQ339" s="201">
        <f t="shared" si="873"/>
        <v>0</v>
      </c>
      <c r="DR339" s="201">
        <f t="shared" si="873"/>
        <v>0</v>
      </c>
      <c r="DS339" s="201">
        <f t="shared" si="873"/>
        <v>0</v>
      </c>
      <c r="DT339" s="201">
        <f t="shared" si="873"/>
        <v>0</v>
      </c>
      <c r="DU339" s="201">
        <f t="shared" si="873"/>
        <v>0</v>
      </c>
      <c r="DV339" s="201">
        <f t="shared" si="873"/>
        <v>0</v>
      </c>
      <c r="DW339" s="201">
        <f t="shared" si="873"/>
        <v>0</v>
      </c>
      <c r="DX339" s="201">
        <f t="shared" si="873"/>
        <v>0</v>
      </c>
      <c r="DY339" s="201">
        <f t="shared" ref="DY339:FB339" si="874">SUM(DY335:DY336)-SUM(DY337:DY338)</f>
        <v>0</v>
      </c>
      <c r="DZ339" s="201">
        <f t="shared" si="874"/>
        <v>0</v>
      </c>
      <c r="EA339" s="201">
        <f t="shared" si="874"/>
        <v>0</v>
      </c>
      <c r="EB339" s="201">
        <f t="shared" si="874"/>
        <v>0</v>
      </c>
      <c r="EC339" s="201">
        <f t="shared" si="874"/>
        <v>0</v>
      </c>
      <c r="ED339" s="201">
        <f t="shared" si="874"/>
        <v>0</v>
      </c>
      <c r="EE339" s="201">
        <f t="shared" si="874"/>
        <v>0</v>
      </c>
      <c r="EF339" s="201">
        <f t="shared" si="874"/>
        <v>0</v>
      </c>
      <c r="EG339" s="201">
        <f t="shared" si="874"/>
        <v>0</v>
      </c>
      <c r="EH339" s="201">
        <f t="shared" si="874"/>
        <v>0</v>
      </c>
      <c r="EI339" s="201">
        <f t="shared" si="874"/>
        <v>0</v>
      </c>
      <c r="EJ339" s="201">
        <f t="shared" si="874"/>
        <v>0</v>
      </c>
      <c r="EK339" s="201">
        <f t="shared" si="874"/>
        <v>0</v>
      </c>
      <c r="EL339" s="201">
        <f t="shared" si="874"/>
        <v>0</v>
      </c>
      <c r="EM339" s="201">
        <f t="shared" si="874"/>
        <v>0</v>
      </c>
      <c r="EN339" s="201">
        <f t="shared" si="874"/>
        <v>0</v>
      </c>
      <c r="EO339" s="201">
        <f t="shared" si="874"/>
        <v>0</v>
      </c>
      <c r="EP339" s="201">
        <f t="shared" si="874"/>
        <v>0</v>
      </c>
      <c r="EQ339" s="201">
        <f t="shared" si="874"/>
        <v>0</v>
      </c>
      <c r="ER339" s="201">
        <f t="shared" si="874"/>
        <v>0</v>
      </c>
      <c r="ES339" s="201">
        <f t="shared" si="874"/>
        <v>0</v>
      </c>
      <c r="ET339" s="201">
        <f t="shared" si="874"/>
        <v>0</v>
      </c>
      <c r="EU339" s="201">
        <f t="shared" si="874"/>
        <v>0</v>
      </c>
      <c r="EV339" s="201">
        <f t="shared" si="874"/>
        <v>0</v>
      </c>
      <c r="EW339" s="201">
        <f t="shared" si="874"/>
        <v>0</v>
      </c>
      <c r="EX339" s="201">
        <f t="shared" si="874"/>
        <v>0</v>
      </c>
      <c r="EY339" s="201">
        <f t="shared" si="874"/>
        <v>0</v>
      </c>
      <c r="EZ339" s="201">
        <f t="shared" si="874"/>
        <v>0</v>
      </c>
      <c r="FA339" s="201">
        <f t="shared" si="874"/>
        <v>0</v>
      </c>
      <c r="FB339" s="202">
        <f t="shared" si="874"/>
        <v>0</v>
      </c>
    </row>
    <row r="340" spans="2:158" ht="12.75" customHeight="1" x14ac:dyDescent="0.3">
      <c r="D340" s="344"/>
      <c r="E340" s="344"/>
      <c r="F340" s="344"/>
      <c r="G340" s="344"/>
      <c r="K340"/>
      <c r="L340"/>
      <c r="M340"/>
      <c r="N340"/>
      <c r="BB340"/>
      <c r="BC340"/>
      <c r="BD340"/>
      <c r="BE340"/>
    </row>
    <row r="341" spans="2:158" ht="12.75" customHeight="1" x14ac:dyDescent="0.3">
      <c r="C341" s="344"/>
      <c r="K341"/>
      <c r="L341"/>
      <c r="M341"/>
      <c r="N341"/>
      <c r="BB341"/>
      <c r="BC341"/>
      <c r="BD341"/>
      <c r="BE341"/>
    </row>
    <row r="342" spans="2:158" ht="12.75" customHeight="1" x14ac:dyDescent="0.3">
      <c r="B342" s="29"/>
      <c r="C342" s="344"/>
      <c r="D342" s="344"/>
      <c r="E342" s="344"/>
      <c r="F342" s="344"/>
      <c r="G342" s="344"/>
      <c r="K342"/>
      <c r="L342"/>
      <c r="M342"/>
      <c r="N342"/>
    </row>
    <row r="343" spans="2:158" ht="12.75" customHeight="1" x14ac:dyDescent="0.3">
      <c r="C343" s="344"/>
      <c r="D343" s="344"/>
      <c r="E343" s="344"/>
      <c r="F343" s="344"/>
      <c r="G343" s="344"/>
      <c r="K343"/>
      <c r="L343"/>
      <c r="M343"/>
      <c r="N343"/>
    </row>
    <row r="344" spans="2:158" ht="12.75" customHeight="1" x14ac:dyDescent="0.3">
      <c r="C344" s="344"/>
      <c r="D344" s="344"/>
      <c r="E344" s="344"/>
      <c r="F344" s="344"/>
      <c r="G344" s="344"/>
      <c r="K344"/>
      <c r="L344"/>
      <c r="M344"/>
      <c r="N344"/>
    </row>
    <row r="345" spans="2:158" ht="12.75" customHeight="1" x14ac:dyDescent="0.3">
      <c r="K345"/>
      <c r="L345"/>
      <c r="M345"/>
      <c r="N345"/>
    </row>
    <row r="346" spans="2:158" ht="12.75" customHeight="1" x14ac:dyDescent="0.3">
      <c r="K346"/>
      <c r="L346"/>
      <c r="M346"/>
      <c r="N346"/>
    </row>
  </sheetData>
  <dataConsolidate/>
  <customSheetViews>
    <customSheetView guid="{E10D53E4-7CBD-11D4-9F98-0000E22085C7}" scale="92" fitToPage="1" showRuler="0" topLeftCell="AS72">
      <selection activeCell="AS72" sqref="AS72"/>
      <pageMargins left="0" right="0" top="0" bottom="0" header="0" footer="0"/>
      <pageSetup paperSize="9" scale="52" orientation="landscape" horizontalDpi="4294967292" verticalDpi="4294967292" r:id="rId1"/>
      <headerFooter alignWithMargins="0">
        <oddHeader>&amp;L&amp;D, &amp;T&amp;C&amp;P&amp;R&amp;F</oddHeader>
      </headerFooter>
    </customSheetView>
    <customSheetView guid="{E10D53E5-7CBD-11D4-9F98-0000E22085C7}" scale="92" showPageBreaks="1" showRuler="0" topLeftCell="AS147">
      <selection activeCell="AS147" sqref="AS147"/>
      <pageMargins left="0" right="0" top="0" bottom="0" header="0" footer="0"/>
      <pageSetup paperSize="9" scale="48" orientation="landscape" horizontalDpi="4294967292" verticalDpi="4294967292" r:id="rId2"/>
      <headerFooter alignWithMargins="0">
        <oddHeader>&amp;L&amp;D, &amp;T&amp;C&amp;P&amp;R&amp;F</oddHeader>
      </headerFooter>
    </customSheetView>
    <customSheetView guid="{E10D53E6-7CBD-11D4-9F98-0000E22085C7}" scale="92" fitToPage="1" showRuler="0" topLeftCell="BL72">
      <selection activeCell="BL72" sqref="BL72"/>
      <pageMargins left="0" right="0" top="0" bottom="0" header="0" footer="0"/>
      <pageSetup paperSize="9" scale="52" orientation="landscape" horizontalDpi="4294967292" verticalDpi="4294967292" r:id="rId3"/>
      <headerFooter alignWithMargins="0">
        <oddHeader>&amp;L&amp;D, &amp;T&amp;C&amp;P&amp;R&amp;F</oddHeader>
      </headerFooter>
    </customSheetView>
    <customSheetView guid="{E10D53E7-7CBD-11D4-9F98-0000E22085C7}" scale="92" showPageBreaks="1" showRuler="0" topLeftCell="BL147">
      <selection activeCell="BL147" sqref="BL147"/>
      <pageMargins left="0" right="0" top="0" bottom="0" header="0" footer="0"/>
      <pageSetup paperSize="9" scale="48" orientation="landscape" horizontalDpi="4294967292" verticalDpi="4294967292" r:id="rId4"/>
      <headerFooter alignWithMargins="0">
        <oddHeader>&amp;L&amp;D, &amp;T&amp;C&amp;P&amp;R&amp;F</oddHeader>
      </headerFooter>
    </customSheetView>
    <customSheetView guid="{E10D53E8-7CBD-11D4-9F98-0000E22085C7}" scale="92" showPageBreaks="1" showRuler="0" topLeftCell="I81">
      <selection activeCell="I81" sqref="I81"/>
      <pageMargins left="0" right="0" top="0" bottom="0" header="0" footer="0"/>
      <pageSetup paperSize="9" scale="45" orientation="landscape" horizontalDpi="4294967292" verticalDpi="4294967292" r:id="rId5"/>
      <headerFooter alignWithMargins="0">
        <oddHeader>&amp;L&amp;D, &amp;T&amp;C&amp;P&amp;R&amp;F</oddHeader>
      </headerFooter>
    </customSheetView>
    <customSheetView guid="{E10D53E9-7CBD-11D4-9F98-0000E22085C7}" scale="92" fitToPage="1" showRuler="0" topLeftCell="AB81">
      <selection activeCell="AB81" sqref="AB81"/>
      <pageMargins left="0" right="0" top="0" bottom="0" header="0" footer="0"/>
      <pageSetup paperSize="9" scale="52" orientation="landscape" horizontalDpi="4294967292" verticalDpi="4294967292" r:id="rId6"/>
      <headerFooter alignWithMargins="0">
        <oddHeader>&amp;L&amp;D, &amp;T&amp;C&amp;P&amp;R&amp;F</oddHeader>
      </headerFooter>
    </customSheetView>
    <customSheetView guid="{E10D53EC-7CBD-11D4-9F98-0000E22085C7}" scale="92" showPageBreaks="1" showRuler="0">
      <pageMargins left="0" right="0" top="0" bottom="0" header="0" footer="0"/>
      <pageSetup paperSize="9" scale="52" orientation="portrait" horizontalDpi="4294967292" verticalDpi="4294967292" r:id="rId7"/>
      <headerFooter alignWithMargins="0">
        <oddHeader>&amp;L&amp;D, &amp;T&amp;C&amp;P&amp;R&amp;F</oddHeader>
      </headerFooter>
    </customSheetView>
    <customSheetView guid="{E10D53FF-7CBD-11D4-9F98-0000E22085C7}" scale="92" showPageBreaks="1" showRuler="0" topLeftCell="AR1">
      <selection activeCell="AS3" sqref="AS3"/>
      <pageMargins left="0" right="0" top="0" bottom="0" header="0" footer="0"/>
      <pageSetup paperSize="9" scale="52" orientation="portrait" horizontalDpi="4294967292" verticalDpi="4294967292" r:id="rId8"/>
      <headerFooter alignWithMargins="0">
        <oddHeader>&amp;L&amp;D, &amp;T&amp;C&amp;P&amp;R&amp;F</oddHeader>
      </headerFooter>
    </customSheetView>
    <customSheetView guid="{E10D5400-7CBD-11D4-9F98-0000E22085C7}" scale="92" showPageBreaks="1" showRuler="0" topLeftCell="DJ1">
      <selection activeCell="DJ1" sqref="DJ1"/>
      <pageMargins left="0" right="0" top="0" bottom="0" header="0" footer="0"/>
      <pageSetup paperSize="9" scale="48" orientation="portrait" horizontalDpi="4294967292" verticalDpi="4294967292" r:id="rId9"/>
      <headerFooter alignWithMargins="0">
        <oddHeader>&amp;L&amp;D, &amp;T&amp;C&amp;P&amp;R&amp;F</oddHeader>
      </headerFooter>
    </customSheetView>
    <customSheetView guid="{E10D5401-7CBD-11D4-9F98-0000E22085C7}" scale="92" showPageBreaks="1" showRuler="0" topLeftCell="DZ1">
      <selection activeCell="DZ1" sqref="DZ1"/>
      <pageMargins left="0" right="0" top="0" bottom="0" header="0" footer="0"/>
      <pageSetup paperSize="9" scale="48" orientation="portrait" horizontalDpi="4294967292" verticalDpi="4294967292" r:id="rId10"/>
      <headerFooter alignWithMargins="0">
        <oddHeader>&amp;L&amp;D, &amp;T&amp;C&amp;P&amp;R&amp;F</oddHeader>
      </headerFooter>
    </customSheetView>
    <customSheetView guid="{E10D5402-7CBD-11D4-9F98-0000E22085C7}" scale="92" fitToPage="1" showRuler="0" topLeftCell="CB1">
      <selection activeCell="CC1" sqref="CC1"/>
      <pageMargins left="0" right="0" top="0" bottom="0" header="0" footer="0"/>
      <pageSetup paperSize="9" scale="52" orientation="portrait" horizontalDpi="4294967292" verticalDpi="4294967292" r:id="rId11"/>
      <headerFooter alignWithMargins="0">
        <oddHeader>&amp;L&amp;D, &amp;T&amp;C&amp;P&amp;R&amp;F</oddHeader>
      </headerFooter>
    </customSheetView>
    <customSheetView guid="{E10D5403-7CBD-11D4-9F98-0000E22085C7}" scale="92" showPageBreaks="1" showRuler="0" topLeftCell="CT1">
      <selection activeCell="CT1" sqref="CT1"/>
      <pageMargins left="0" right="0" top="0" bottom="0" header="0" footer="0"/>
      <pageSetup paperSize="9" scale="48" orientation="portrait" horizontalDpi="4294967292" verticalDpi="4294967292" r:id="rId12"/>
      <headerFooter alignWithMargins="0">
        <oddHeader>&amp;L&amp;D, &amp;T&amp;C&amp;P&amp;R&amp;F</oddHeader>
      </headerFooter>
    </customSheetView>
    <customSheetView guid="{E10D5404-7CBD-11D4-9F98-0000E22085C7}" scale="92" fitToPage="1" showRuler="0" topLeftCell="I1">
      <selection activeCell="I3" sqref="I3"/>
      <pageMargins left="0" right="0" top="0" bottom="0" header="0" footer="0"/>
      <pageSetup paperSize="9" scale="52" orientation="landscape" horizontalDpi="4294967292" verticalDpi="4294967292" r:id="rId13"/>
      <headerFooter alignWithMargins="0">
        <oddHeader>&amp;L&amp;D, &amp;T&amp;C&amp;P&amp;R&amp;F</oddHeader>
      </headerFooter>
    </customSheetView>
    <customSheetView guid="{E10D5405-7CBD-11D4-9F98-0000E22085C7}" scale="92" fitToPage="1" showRuler="0" topLeftCell="AB1">
      <selection activeCell="AB1" sqref="AB1"/>
      <pageMargins left="0" right="0" top="0" bottom="0" header="0" footer="0"/>
      <pageSetup paperSize="9" scale="52" orientation="landscape" horizontalDpi="4294967292" verticalDpi="4294967292" r:id="rId14"/>
      <headerFooter alignWithMargins="0">
        <oddHeader>&amp;L&amp;D, &amp;T&amp;C&amp;P&amp;R&amp;F</oddHeader>
      </headerFooter>
    </customSheetView>
    <customSheetView guid="{E10D540B-7CBD-11D4-9F98-0000E22085C7}" scale="92" showPageBreaks="1" showRuler="0" topLeftCell="I157">
      <selection activeCell="I157" sqref="I157"/>
      <pageMargins left="0" right="0" top="0" bottom="0" header="0" footer="0"/>
      <pageSetup paperSize="9" scale="43" orientation="landscape" horizontalDpi="4294967292" verticalDpi="4294967292" r:id="rId15"/>
      <headerFooter alignWithMargins="0">
        <oddHeader>&amp;L&amp;D, &amp;T&amp;C&amp;P&amp;R&amp;F</oddHeader>
      </headerFooter>
    </customSheetView>
    <customSheetView guid="{E10D540C-7CBD-11D4-9F98-0000E22085C7}" scale="92" fitToPage="1" showRuler="0" topLeftCell="AB157">
      <selection activeCell="AB157" sqref="AB157"/>
      <pageMargins left="0" right="0" top="0" bottom="0" header="0" footer="0"/>
      <pageSetup paperSize="9" scale="52" orientation="landscape" horizontalDpi="4294967292" verticalDpi="4294967292" r:id="rId16"/>
      <headerFooter alignWithMargins="0">
        <oddHeader>&amp;L&amp;D, &amp;T&amp;C&amp;P&amp;R&amp;F</oddHeader>
      </headerFooter>
    </customSheetView>
  </customSheetViews>
  <phoneticPr fontId="6" type="noConversion"/>
  <conditionalFormatting sqref="B342">
    <cfRule type="cellIs" dxfId="34" priority="14" stopIfTrue="1" operator="lessThan">
      <formula>0</formula>
    </cfRule>
    <cfRule type="cellIs" dxfId="33" priority="15" stopIfTrue="1" operator="greaterThan">
      <formula>0</formula>
    </cfRule>
    <cfRule type="cellIs" dxfId="32" priority="16" stopIfTrue="1" operator="equal">
      <formula>0</formula>
    </cfRule>
  </conditionalFormatting>
  <conditionalFormatting sqref="C176:C331">
    <cfRule type="cellIs" dxfId="31" priority="155" stopIfTrue="1" operator="lessThan">
      <formula>0</formula>
    </cfRule>
    <cfRule type="cellIs" dxfId="30" priority="156" stopIfTrue="1" operator="equal">
      <formula>0</formula>
    </cfRule>
    <cfRule type="cellIs" dxfId="29" priority="157" stopIfTrue="1" operator="greaterThan">
      <formula>0</formula>
    </cfRule>
  </conditionalFormatting>
  <conditionalFormatting sqref="C335:FB335 C336:EV336 EY336:FB336 C337:FB339">
    <cfRule type="cellIs" dxfId="28" priority="304" stopIfTrue="1" operator="equal">
      <formula>0</formula>
    </cfRule>
  </conditionalFormatting>
  <conditionalFormatting sqref="D4:FB5 D9:FB163 FC10:FD44 D168:FB171">
    <cfRule type="cellIs" dxfId="27" priority="302" stopIfTrue="1" operator="equal">
      <formula>0</formula>
    </cfRule>
    <cfRule type="cellIs" dxfId="26" priority="307" stopIfTrue="1" operator="lessThan">
      <formula>0</formula>
    </cfRule>
    <cfRule type="cellIs" dxfId="25" priority="308" stopIfTrue="1" operator="greaterThan">
      <formula>0</formula>
    </cfRule>
  </conditionalFormatting>
  <conditionalFormatting sqref="D9:FB163 D4:FB5 FC10:FD44 D168:FB171">
    <cfRule type="cellIs" dxfId="24" priority="57" stopIfTrue="1" operator="equal">
      <formula>1E-20</formula>
    </cfRule>
  </conditionalFormatting>
  <conditionalFormatting sqref="D9:FB163">
    <cfRule type="cellIs" dxfId="23" priority="2" stopIfTrue="1" operator="equal">
      <formula>1E-21</formula>
    </cfRule>
  </conditionalFormatting>
  <conditionalFormatting sqref="D166:FB166">
    <cfRule type="expression" dxfId="22" priority="1">
      <formula>D$166=D$168</formula>
    </cfRule>
  </conditionalFormatting>
  <conditionalFormatting sqref="D172:FB172">
    <cfRule type="colorScale" priority="1901">
      <colorScale>
        <cfvo type="min"/>
        <cfvo type="percentile" val="50"/>
        <cfvo type="max"/>
        <color rgb="FF63BE7B"/>
        <color rgb="FFFFEB84"/>
        <color rgb="FFF8696B"/>
      </colorScale>
    </cfRule>
  </conditionalFormatting>
  <conditionalFormatting sqref="D176:FB176 H177:J181 K177:K182 L177:L183 N177:O183 M177:M184 P177:P187 Q177:Q188 R177:R189 S177:S190 T177:T191 U177:U192 V177:V193 W177:W194 X177:X195 Y177:Y196 Z177:Z197 AA177:AA198 AB177:AB199 AC177:AC200 AD177:AD201 AE177:AE202 AF177:AF203 AG177:AG204 AH177:AH205 AI177:AI206 AJ177:AJ207 AK177:AK208 AL177:AL209 AM177:AM210 AN177:AN211 AO177:AO212 AP177:AP213 AQ177:AQ214 AR177:AR215 AS177:AS216 AT177:AT217 AU177:AU218 AV177:AV219 AW177:AW220 AX177:AX221 AY177:AY222 AZ177:AZ223 BA177:BA224 BB177:BB225 BC177:BC226 BD177:BD227 BE177:BE228 BF177:BF229 BG177:BG230 BH177:BH231 BI177:BI232 BJ177:BJ233 BK177:BK234 BL177:BL235 BM177:BM236 BN177:BN237 BO177:BO238 BP177:BP239 BQ177:BQ240 BR177:BR241 BS177:BS242 BT177:BT243 BU177:BU244 BV177:BV245 BW177:BW246 BX177:BX247 BY177:BY248 BZ177:BZ249 CA177:CA250 CB177:CB251 CC177:CC252 CD177:CD253 CE177:CE254 CF177:CF255 CG177:CG256 CH177:CH257 CI177:CI258 CJ177:CJ259 CK177:CK260 CL177:CL261 CM177:CM262 CN177:CN263 CO177:CO264 CP177:CP265 CQ177:CQ266 CR177:CR267 CS177:CS268 CT177:CT269 CU177:CU270 CV177:CV271 CW177:CW272 CX177:CX273 CY177:CY274 CZ177:CZ275 DA177:DA276 DB177:DB277 DC177:DC278 DD177:DD279 DE177:DE280 DF177:DF281 DG177:DG282 DH177:DH283 DI177:DI284 DJ177:DJ285 DK177:DK286 DL177:DL287 DM177:DM288 DN177:DN289 DO177:DO290 DP177:DP291 DQ177:DQ292 DR177:DR293 DS177:DS294 DT177:DT295 DU177:DU296 DV177:DV297 DW177:DW298 DX177:DX299 DY177:DY300 DZ177:DZ301 EA177:EA302 EB177:EB303 EC177:EC304 ED177:ED305 EE177:FB306 D177:G330 I182:J182 H182:I330 J183:K183 K184:L184 N184:N185 O184:O186 J184:J330 L185:M185 K185:K330 M186:N186 L186:L330 N187:O187 M187:M330 O188:P188 N188:N330 P189:Q189 O189:O330 Q190:R190 P190:P330 R191:S191 Q191:Q330 R192:T192 R193:U193 R194:V194 R195:W195 R196:X196 R197:Y197 R198:Z198 R199:AA199 R200:AB200 R201:AC201 R202:AD202 R203:AE203 R204:AF204 R205:AG205 R206:AH206 R207:AI207 R208:AJ208 R209:AK209 R210:AL210 R211:AM211 R212:AN212 R213:AO213 R214:AP214 R215:AQ215 R216:AR216 R217:AS217 R218:AT218 R219:AU219 R220:AV220 R221:AW221 R222:AX222 R223:AY223 R224:AZ224 R225:BA225 R226:BB226 R227:BC227 R228:BD228 R229:BE229 R230:BF230 R231:BG231 R232:BH232 R233:BI233 R234:BJ234 R235:BK235 R236:BL236 R237:BM237 R238:BN238 R239:BO239 R240:BP240 R241:BQ241 R242:BR242 R243:BS243 R244:BT244 R245:BU245 R246:BV246 R247:BW247 R248:BX248 R249:BY249 R250:BZ250 R251:CA251 R252:CB252 R253:CC253 R254:CD254 R255:CE255 R256:CF256 R257:CG257 R258:CH258 R259:CI259 R260:CJ260 R261:CK261 R262:CL262 R263:CM263 R264:CN264 R265:CO265 R266:CP266 R267:CQ267 R268:CR268 R269:CS269 R270:CT270 R271:CU271 R272:CV272 R273:CW273 R274:CX274 R275:CY275 R276:CZ276 R277:DA277 R278:DB278 R279:DC279 R280:DD280 R281:DE281 R282:DF282 R283:DG283 R284:DH284 R285:DI285 R286:DJ286 R287:DK287 R288:DL288 R289:DM289 R290:DN290 R291:DO291 R292:DP292 R293:DQ293 R294:DR294 R295:DS295 R296:DT296 R297:DU297 R298:DV298 R299:DW299 R300:DX300 R301:DY301 R302:DZ302 R303:EA303 R304:EB304 R305:EC305 R306:ED306 R307:FB330 C335:FB339">
    <cfRule type="cellIs" dxfId="21" priority="149" stopIfTrue="1" operator="lessThan">
      <formula>0</formula>
    </cfRule>
    <cfRule type="cellIs" dxfId="20" priority="150" stopIfTrue="1" operator="greaterThan">
      <formula>0</formula>
    </cfRule>
  </conditionalFormatting>
  <conditionalFormatting sqref="D176:FB176 H177:J181 K177:K182 L177:L183 N177:O183 M177:M184 P177:P187 Q177:Q188 R177:R189 S177:S190 T177:T191 U177:U192 V177:V193 W177:W194 X177:X195 Y177:Y196 Z177:Z197 AA177:AA198 AB177:AB199 AC177:AC200 AD177:AD201 AE177:AE202 AF177:AF203 AG177:AG204 AH177:AH205 AI177:AI206 AJ177:AJ207 AK177:AK208 AL177:AL209 AM177:AM210 AN177:AN211 AO177:AO212 AP177:AP213 AQ177:AQ214 AR177:AR215 AS177:AS216 AT177:AT217 AU177:AU218 AV177:AV219 AW177:AW220 AX177:AX221 AY177:AY222 AZ177:AZ223 BA177:BA224 BB177:BB225 BC177:BC226 BD177:BD227 BE177:BE228 BF177:BF229 BG177:BG230 BH177:BH231 BI177:BI232 BJ177:BJ233 BK177:BK234 BL177:BL235 BM177:BM236 BN177:BN237 BO177:BO238 BP177:BP239 BQ177:BQ240 BR177:BR241 BS177:BS242 BT177:BT243 BU177:BU244 BV177:BV245 BW177:BW246 BX177:BX247 BY177:BY248 BZ177:BZ249 CA177:CA250 CB177:CB251 CC177:CC252 CD177:CD253 CE177:CE254 CF177:CF255 CG177:CG256 CH177:CH257 CI177:CI258 CJ177:CJ259 CK177:CK260 CL177:CL261 CM177:CM262 CN177:CN263 CO177:CO264 CP177:CP265 CQ177:CQ266 CR177:CR267 CS177:CS268 CT177:CT269 CU177:CU270 CV177:CV271 CW177:CW272 CX177:CX273 CY177:CY274 CZ177:CZ275 DA177:DA276 DB177:DB277 DC177:DC278 DD177:DD279 DE177:DE280 DF177:DF281 DG177:DG282 DH177:DH283 DI177:DI284 DJ177:DJ285 DK177:DK286 DL177:DL287 DM177:DM288 DN177:DN289 DO177:DO290 DP177:DP291 DQ177:DQ292 DR177:DR293 DS177:DS294 DT177:DT295 DU177:DU296 DV177:DV297 DW177:DW298 DX177:DX299 DY177:DY300 DZ177:DZ301 EA177:EA302 EB177:EB303 EC177:EC304 ED177:ED305 EE177:FB306 D177:G330 I182:J182 H182:I330 J183:K183 K184:L184 N184:N185 O184:O186 J184:J330 L185:M185 K185:K330 M186:N186 L186:L330 N187:O187 M187:M330 O188:P188 N188:N330 P189:Q189 O189:O330 Q190:R190 P190:P330 R191:S191 Q191:Q330 R192:T192 R193:U193 R194:V194 R195:W195 R196:X196 R197:Y197 R198:Z198 R199:AA199 R200:AB200 R201:AC201 R202:AD202 R203:AE203 R204:AF204 R205:AG205 R206:AH206 R207:AI207 R208:AJ208 R209:AK209 R210:AL210 R211:AM211 R212:AN212 R213:AO213 R214:AP214 R215:AQ215 R216:AR216 R217:AS217 R218:AT218 R219:AU219 R220:AV220 R221:AW221 R222:AX222 R223:AY223 R224:AZ224 R225:BA225 R226:BB226 R227:BC227 R228:BD228 R229:BE229 R230:BF230 R231:BG231 R232:BH232 R233:BI233 R234:BJ234 R235:BK235 R236:BL236 R237:BM237 R238:BN238 R239:BO239 R240:BP240 R241:BQ241 R242:BR242 R243:BS243 R244:BT244 R245:BU245 R246:BV246 R247:BW247 R248:BX248 R249:BY249 R250:BZ250 R251:CA251 R252:CB252 R253:CC253 R254:CD254 R255:CE255 R256:CF256 R257:CG257 R258:CH258 R259:CI259 R260:CJ260 R261:CK261 R262:CL262 R263:CM263 R264:CN264 R265:CO265 R266:CP266 R267:CQ267 R268:CR268 R269:CS269 R270:CT270 R271:CU271 R272:CV272 R273:CW273 R274:CX274 R275:CY275 R276:CZ276 R277:DA277 R278:DB278 R279:DC279 R280:DD280 R281:DE281 R282:DF282 R283:DG283 R284:DH284 R285:DI285 R286:DJ286 R287:DK287 R288:DL288 R289:DM289 R290:DN290 R291:DO291 R292:DP292 R293:DQ293 R294:DR294 R295:DS295 R296:DT296 R297:DU297 R298:DV298 R299:DW299 R300:DX300 R301:DY301 R302:DZ302 R303:EA303 R304:EB304 R305:EC305 R306:ED306 R307:FB330 EW336:EX336">
    <cfRule type="cellIs" dxfId="19" priority="148" stopIfTrue="1" operator="equal">
      <formula>0</formula>
    </cfRule>
  </conditionalFormatting>
  <conditionalFormatting sqref="D331:FB331">
    <cfRule type="cellIs" dxfId="18" priority="293" stopIfTrue="1" operator="lessThan">
      <formula>0</formula>
    </cfRule>
    <cfRule type="cellIs" dxfId="17" priority="305" stopIfTrue="1" operator="equal">
      <formula>0</formula>
    </cfRule>
    <cfRule type="cellIs" dxfId="16" priority="306" stopIfTrue="1" operator="greaterThan">
      <formula>0</formula>
    </cfRule>
  </conditionalFormatting>
  <pageMargins left="0.98425196850393704" right="0.98425196850393704" top="0.98425196850393704" bottom="0.98425196850393704" header="0.51181102362204722" footer="0.51181102362204722"/>
  <pageSetup paperSize="9" scale="52" orientation="portrait" horizontalDpi="4294967292" verticalDpi="4294967292" r:id="rId17"/>
  <headerFooter alignWithMargins="0"/>
  <ignoredErrors>
    <ignoredError sqref="D170 K170 O170 S170 AA170 AE170 AI170 AM170 AQ170 AU170 BB170 BF170 BJ170 BR170" unlockedFormula="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3">
    <pageSetUpPr fitToPage="1"/>
  </sheetPr>
  <dimension ref="A1:FI119"/>
  <sheetViews>
    <sheetView showRuler="0" showWhiteSpace="0" zoomScaleNormal="100" workbookViewId="0">
      <selection activeCell="J10" sqref="J10"/>
    </sheetView>
  </sheetViews>
  <sheetFormatPr defaultColWidth="12.109375" defaultRowHeight="12.75" customHeight="1" x14ac:dyDescent="0.3"/>
  <cols>
    <col min="1" max="1" width="3.109375" style="448" customWidth="1" collapsed="1"/>
    <col min="2" max="2" width="6.44140625" style="448" customWidth="1" collapsed="1"/>
    <col min="3" max="3" width="6.6640625" style="448" customWidth="1" collapsed="1"/>
    <col min="4" max="4" width="58.6640625" style="448" customWidth="1" collapsed="1"/>
    <col min="5" max="5" width="6.109375" style="448" bestFit="1" customWidth="1" collapsed="1"/>
    <col min="6" max="6" width="5.44140625" style="423" customWidth="1" collapsed="1"/>
    <col min="7" max="8" width="9" style="421" customWidth="1" collapsed="1"/>
    <col min="9" max="9" width="11.6640625" style="421" customWidth="1" collapsed="1"/>
    <col min="10" max="14" width="8.88671875" style="421" customWidth="1" collapsed="1"/>
    <col min="15" max="16" width="9.33203125" style="421" customWidth="1" collapsed="1"/>
    <col min="17" max="24" width="8.88671875" style="421" customWidth="1" collapsed="1"/>
    <col min="25" max="26" width="9.33203125" style="421" customWidth="1" collapsed="1"/>
    <col min="27" max="32" width="8.88671875" style="421" customWidth="1" collapsed="1"/>
    <col min="33" max="33" width="12.33203125" style="421" customWidth="1" collapsed="1"/>
    <col min="34" max="34" width="8.88671875" style="421" customWidth="1" collapsed="1"/>
    <col min="35" max="36" width="9.33203125" style="421" customWidth="1" collapsed="1"/>
    <col min="37" max="37" width="8.88671875" style="421" customWidth="1" collapsed="1"/>
    <col min="38" max="38" width="10.88671875" style="421" customWidth="1" collapsed="1"/>
    <col min="39" max="107" width="8.88671875" style="421" customWidth="1" collapsed="1"/>
    <col min="108" max="108" width="9" style="421" customWidth="1" collapsed="1"/>
    <col min="109" max="164" width="8.88671875" style="421" customWidth="1" collapsed="1"/>
    <col min="165" max="165" width="3.88671875" style="421" customWidth="1" collapsed="1"/>
    <col min="166" max="16384" width="12.109375" style="426"/>
  </cols>
  <sheetData>
    <row r="1" spans="1:164" ht="12.75" customHeight="1" thickBot="1" x14ac:dyDescent="0.35">
      <c r="A1" s="422"/>
      <c r="B1" s="422"/>
      <c r="C1" s="422"/>
      <c r="D1" s="422"/>
      <c r="G1" s="424" t="s">
        <v>3988</v>
      </c>
      <c r="H1" s="424"/>
      <c r="I1" s="424"/>
      <c r="J1" s="425"/>
      <c r="K1" s="425"/>
      <c r="L1" s="425"/>
      <c r="M1" s="425"/>
      <c r="N1" s="425"/>
      <c r="O1" s="425"/>
      <c r="P1" s="425"/>
      <c r="Q1" s="425"/>
      <c r="R1" s="425"/>
      <c r="S1" s="425"/>
      <c r="T1" s="425"/>
      <c r="U1" s="425"/>
      <c r="V1" s="425"/>
      <c r="W1" s="425"/>
      <c r="X1" s="425"/>
      <c r="Y1" s="425"/>
      <c r="Z1" s="425"/>
      <c r="AA1" s="425"/>
      <c r="AB1" s="425"/>
      <c r="AC1" s="425"/>
      <c r="AD1" s="425"/>
      <c r="AE1" s="425"/>
      <c r="AF1" s="425"/>
      <c r="AG1" s="425"/>
      <c r="AH1" s="425"/>
      <c r="AI1" s="425"/>
      <c r="AJ1" s="425"/>
      <c r="AK1" s="425"/>
      <c r="AL1" s="425"/>
      <c r="AM1" s="425"/>
      <c r="AN1" s="425"/>
      <c r="AO1" s="425"/>
      <c r="AP1" s="425"/>
      <c r="AQ1" s="425"/>
      <c r="AR1" s="425"/>
      <c r="AS1" s="425"/>
      <c r="AT1" s="425"/>
      <c r="AU1" s="425"/>
      <c r="AV1" s="425"/>
      <c r="AW1" s="425"/>
      <c r="AX1" s="425"/>
      <c r="AY1" s="425"/>
      <c r="AZ1" s="425"/>
      <c r="BA1" s="425"/>
      <c r="BB1" s="425"/>
      <c r="BC1" s="425"/>
      <c r="BD1" s="425"/>
      <c r="BE1" s="425"/>
      <c r="BF1" s="425"/>
      <c r="BG1" s="425"/>
      <c r="BH1" s="425"/>
      <c r="BI1" s="425"/>
      <c r="BJ1" s="425"/>
      <c r="BK1" s="425"/>
      <c r="BL1" s="425"/>
      <c r="BM1" s="425"/>
      <c r="BN1" s="425"/>
      <c r="BO1" s="425"/>
      <c r="BP1" s="425"/>
      <c r="BQ1" s="425"/>
      <c r="BR1" s="425"/>
      <c r="BS1" s="425"/>
      <c r="BT1" s="425"/>
      <c r="BU1" s="425"/>
      <c r="BV1" s="425"/>
      <c r="BW1" s="425"/>
      <c r="BX1" s="425"/>
      <c r="BY1" s="425"/>
      <c r="BZ1" s="425"/>
      <c r="CA1" s="425"/>
      <c r="CB1" s="425"/>
      <c r="CC1" s="425"/>
      <c r="CD1" s="425"/>
      <c r="CE1" s="425"/>
      <c r="CF1" s="425"/>
      <c r="CG1" s="425"/>
      <c r="CH1" s="425"/>
      <c r="CI1" s="425"/>
      <c r="CJ1" s="425"/>
      <c r="CK1" s="425"/>
      <c r="CL1" s="425"/>
      <c r="CM1" s="425"/>
      <c r="CN1" s="425"/>
      <c r="CO1" s="425"/>
      <c r="CP1" s="425"/>
      <c r="CQ1" s="425"/>
      <c r="CR1" s="425"/>
      <c r="CS1" s="425"/>
      <c r="CT1" s="425"/>
      <c r="CU1" s="425"/>
      <c r="CV1" s="425"/>
      <c r="CW1" s="425"/>
      <c r="CX1" s="425"/>
      <c r="CY1" s="425"/>
      <c r="CZ1" s="425"/>
      <c r="DA1" s="425"/>
      <c r="DB1" s="425"/>
      <c r="DC1" s="425"/>
      <c r="DD1" s="425"/>
      <c r="DE1" s="425"/>
      <c r="DF1" s="425"/>
      <c r="DG1" s="425"/>
      <c r="DH1" s="425"/>
      <c r="DI1" s="425"/>
      <c r="DJ1" s="425"/>
      <c r="DK1" s="425"/>
      <c r="DL1" s="425"/>
      <c r="DM1" s="425"/>
      <c r="DN1" s="425"/>
      <c r="DO1" s="425"/>
      <c r="DP1" s="425"/>
      <c r="DQ1" s="425"/>
      <c r="DR1" s="425"/>
      <c r="DS1" s="425"/>
      <c r="DT1" s="425"/>
      <c r="DU1" s="425"/>
      <c r="DV1" s="425"/>
      <c r="DW1" s="425"/>
      <c r="DX1" s="425"/>
      <c r="DY1" s="425"/>
      <c r="DZ1" s="425"/>
      <c r="EA1" s="425"/>
      <c r="EB1" s="425"/>
      <c r="EC1" s="425"/>
      <c r="ED1" s="425"/>
      <c r="EE1" s="425"/>
      <c r="EF1" s="425"/>
      <c r="EG1" s="425"/>
      <c r="EH1" s="425"/>
      <c r="EI1" s="425"/>
      <c r="EJ1" s="425"/>
      <c r="EK1" s="425"/>
      <c r="EL1" s="425"/>
      <c r="EM1" s="425"/>
      <c r="EN1" s="425"/>
      <c r="EO1" s="425"/>
      <c r="EP1" s="425"/>
      <c r="EQ1" s="425"/>
      <c r="ER1" s="425"/>
      <c r="ES1" s="425"/>
      <c r="ET1" s="425"/>
      <c r="EU1" s="425"/>
      <c r="EV1" s="425"/>
      <c r="EW1" s="425"/>
      <c r="EX1" s="425"/>
      <c r="EY1" s="425"/>
      <c r="EZ1" s="425"/>
      <c r="FA1" s="425"/>
      <c r="FB1" s="425"/>
      <c r="FC1" s="425"/>
      <c r="FD1" s="425"/>
      <c r="FE1" s="425"/>
      <c r="FF1" s="425"/>
      <c r="FG1" s="425"/>
      <c r="FH1" s="425"/>
    </row>
    <row r="2" spans="1:164" ht="12.75" customHeight="1" thickTop="1" x14ac:dyDescent="0.3">
      <c r="A2" s="422"/>
      <c r="B2" s="422"/>
      <c r="C2" s="422"/>
      <c r="D2" s="422"/>
      <c r="G2" s="527" t="s">
        <v>3989</v>
      </c>
      <c r="AP2" s="427"/>
    </row>
    <row r="3" spans="1:164" ht="12.75" customHeight="1" x14ac:dyDescent="0.3">
      <c r="A3" s="422"/>
      <c r="B3" s="422"/>
      <c r="C3" s="422"/>
      <c r="D3" s="422"/>
      <c r="G3" s="527"/>
      <c r="AP3" s="427"/>
    </row>
    <row r="4" spans="1:164" ht="12.75" customHeight="1" x14ac:dyDescent="0.3">
      <c r="A4" s="422"/>
      <c r="B4" s="422"/>
      <c r="C4" s="422"/>
      <c r="D4" s="422"/>
      <c r="F4" s="520" t="s">
        <v>57</v>
      </c>
      <c r="G4" s="165" t="s">
        <v>3990</v>
      </c>
      <c r="H4" s="533"/>
      <c r="I4" s="533"/>
      <c r="J4" s="426"/>
      <c r="AP4" s="427"/>
    </row>
    <row r="5" spans="1:164" ht="12.75" customHeight="1" x14ac:dyDescent="0.3">
      <c r="A5" s="422"/>
      <c r="B5" s="422"/>
      <c r="C5" s="422"/>
      <c r="D5" s="422"/>
      <c r="F5" s="520" t="s">
        <v>61</v>
      </c>
      <c r="G5" s="534" t="str">
        <f>ChemName</f>
        <v>default substance</v>
      </c>
      <c r="H5" s="533"/>
      <c r="I5" s="533"/>
      <c r="J5" s="426"/>
      <c r="AP5" s="427"/>
    </row>
    <row r="6" spans="1:164" ht="12.75" customHeight="1" x14ac:dyDescent="0.3">
      <c r="A6" s="422"/>
      <c r="B6" s="422"/>
      <c r="C6" s="422"/>
      <c r="D6" s="422"/>
      <c r="F6" s="520" t="s">
        <v>63</v>
      </c>
      <c r="G6" s="535" t="str">
        <f>ScenarioName</f>
        <v>default scenario</v>
      </c>
      <c r="H6" s="533"/>
      <c r="I6" s="533"/>
      <c r="J6" s="426"/>
      <c r="AP6" s="427"/>
    </row>
    <row r="7" spans="1:164" ht="12.75" customHeight="1" x14ac:dyDescent="0.3">
      <c r="A7" s="422"/>
      <c r="B7" s="422"/>
      <c r="C7" s="422"/>
      <c r="D7" s="422"/>
      <c r="F7" s="520" t="s">
        <v>65</v>
      </c>
      <c r="G7" s="535" t="str">
        <f>CaseName</f>
        <v>defaults only</v>
      </c>
      <c r="H7" s="533"/>
      <c r="I7" s="533"/>
      <c r="J7" s="426"/>
      <c r="AP7" s="427"/>
    </row>
    <row r="8" spans="1:164" ht="12.75" customHeight="1" x14ac:dyDescent="0.3">
      <c r="A8" s="422"/>
      <c r="B8" s="422"/>
      <c r="C8" s="422"/>
      <c r="D8" s="422"/>
      <c r="F8" s="536" t="s">
        <v>3991</v>
      </c>
      <c r="G8" s="533"/>
      <c r="H8" s="237">
        <f>(M.tot/Emis.tot)/(3600*24*365)</f>
        <v>714054.8457032619</v>
      </c>
      <c r="I8" s="277" t="s">
        <v>3992</v>
      </c>
      <c r="J8" s="426"/>
      <c r="AP8" s="427"/>
    </row>
    <row r="9" spans="1:164" ht="12.75" customHeight="1" x14ac:dyDescent="0.3">
      <c r="A9" s="422"/>
      <c r="B9" s="422"/>
      <c r="C9" s="422"/>
      <c r="D9" s="422"/>
      <c r="F9" s="520" t="s">
        <v>3993</v>
      </c>
      <c r="G9" s="533"/>
      <c r="H9" s="565">
        <v>1</v>
      </c>
      <c r="I9" s="277" t="s">
        <v>3994</v>
      </c>
      <c r="J9" s="426"/>
      <c r="K9" s="22" t="s">
        <v>3995</v>
      </c>
      <c r="AP9" s="427"/>
    </row>
    <row r="10" spans="1:164" ht="12.75" customHeight="1" x14ac:dyDescent="0.3">
      <c r="A10" s="422"/>
      <c r="B10" s="422"/>
      <c r="C10" s="422"/>
      <c r="D10" s="422"/>
      <c r="F10" s="522" t="s">
        <v>3996</v>
      </c>
      <c r="G10" s="537">
        <v>0</v>
      </c>
      <c r="H10" s="537">
        <f>G11</f>
        <v>714054.8457032619</v>
      </c>
      <c r="I10" s="277" t="s">
        <v>3992</v>
      </c>
      <c r="J10" s="426"/>
      <c r="K10" s="705" t="s">
        <v>3997</v>
      </c>
      <c r="AP10" s="427"/>
    </row>
    <row r="11" spans="1:164" ht="12.75" customHeight="1" x14ac:dyDescent="0.3">
      <c r="A11" s="422"/>
      <c r="B11" s="422"/>
      <c r="C11" s="422"/>
      <c r="D11" s="422"/>
      <c r="F11" s="522" t="s">
        <v>3998</v>
      </c>
      <c r="G11" s="537">
        <f>Scale*(M.tot/Emis.tot)/(3600*24*365)</f>
        <v>714054.8457032619</v>
      </c>
      <c r="H11" s="537">
        <f>2*Scale*(M.tot/Emis.tot)/(3600*24*365)</f>
        <v>1428109.6914065238</v>
      </c>
      <c r="I11" s="277" t="s">
        <v>3992</v>
      </c>
      <c r="J11" s="426"/>
      <c r="K11" s="426"/>
      <c r="L11" s="426"/>
      <c r="M11" s="426"/>
      <c r="AP11" s="427"/>
    </row>
    <row r="12" spans="1:164" ht="12.75" customHeight="1" x14ac:dyDescent="0.3">
      <c r="A12" s="422"/>
      <c r="B12" s="422"/>
      <c r="C12" s="422"/>
      <c r="D12" s="422"/>
      <c r="F12" s="435"/>
      <c r="G12" s="426"/>
      <c r="H12" s="448"/>
      <c r="I12" s="427"/>
    </row>
    <row r="13" spans="1:164" ht="12.75" customHeight="1" x14ac:dyDescent="0.3">
      <c r="A13" s="422"/>
      <c r="B13" s="422"/>
      <c r="C13" s="422"/>
      <c r="D13" s="422"/>
      <c r="G13" s="571"/>
      <c r="H13" s="437"/>
      <c r="I13" s="428"/>
      <c r="J13" s="429" t="s">
        <v>3999</v>
      </c>
      <c r="K13" s="430" t="s">
        <v>4000</v>
      </c>
      <c r="L13" s="430" t="s">
        <v>4001</v>
      </c>
      <c r="M13" s="430" t="s">
        <v>4002</v>
      </c>
      <c r="N13" s="430" t="s">
        <v>3508</v>
      </c>
      <c r="O13" s="430" t="s">
        <v>3509</v>
      </c>
      <c r="P13" s="430" t="s">
        <v>3510</v>
      </c>
      <c r="Q13" s="431" t="s">
        <v>3511</v>
      </c>
      <c r="R13" s="431" t="s">
        <v>3512</v>
      </c>
      <c r="S13" s="431" t="s">
        <v>3513</v>
      </c>
      <c r="T13" s="431" t="s">
        <v>3514</v>
      </c>
      <c r="U13" s="432" t="s">
        <v>87</v>
      </c>
      <c r="V13" s="431" t="s">
        <v>3516</v>
      </c>
      <c r="W13" s="431" t="s">
        <v>3517</v>
      </c>
      <c r="X13" s="431" t="s">
        <v>3518</v>
      </c>
      <c r="Y13" s="432" t="s">
        <v>88</v>
      </c>
      <c r="Z13" s="431" t="s">
        <v>3520</v>
      </c>
      <c r="AA13" s="431" t="s">
        <v>3521</v>
      </c>
      <c r="AB13" s="431" t="s">
        <v>3522</v>
      </c>
      <c r="AC13" s="431" t="s">
        <v>3523</v>
      </c>
      <c r="AD13" s="431" t="s">
        <v>3524</v>
      </c>
      <c r="AE13" s="431" t="s">
        <v>3525</v>
      </c>
      <c r="AF13" s="431" t="s">
        <v>3526</v>
      </c>
      <c r="AG13" s="431" t="s">
        <v>3527</v>
      </c>
      <c r="AH13" s="431" t="s">
        <v>3528</v>
      </c>
      <c r="AI13" s="431" t="s">
        <v>3529</v>
      </c>
      <c r="AJ13" s="431" t="s">
        <v>3530</v>
      </c>
      <c r="AK13" s="431" t="s">
        <v>3531</v>
      </c>
      <c r="AL13" s="431" t="s">
        <v>3532</v>
      </c>
      <c r="AM13" s="431" t="s">
        <v>3533</v>
      </c>
      <c r="AN13" s="431" t="s">
        <v>3534</v>
      </c>
      <c r="AO13" s="431" t="s">
        <v>3535</v>
      </c>
      <c r="AP13" s="431" t="s">
        <v>3536</v>
      </c>
      <c r="AQ13" s="431" t="s">
        <v>3537</v>
      </c>
      <c r="AR13" s="431" t="s">
        <v>3538</v>
      </c>
      <c r="AS13" s="431" t="s">
        <v>3539</v>
      </c>
      <c r="AT13" s="431" t="s">
        <v>3540</v>
      </c>
      <c r="AU13" s="431" t="s">
        <v>3541</v>
      </c>
      <c r="AV13" s="431" t="s">
        <v>3542</v>
      </c>
      <c r="AW13" s="431" t="s">
        <v>3543</v>
      </c>
      <c r="AX13" s="431" t="s">
        <v>3544</v>
      </c>
      <c r="AY13" s="431" t="s">
        <v>3545</v>
      </c>
      <c r="AZ13" s="431" t="s">
        <v>3546</v>
      </c>
      <c r="BA13" s="431" t="s">
        <v>3547</v>
      </c>
      <c r="BB13" s="431" t="s">
        <v>3548</v>
      </c>
      <c r="BC13" s="431" t="s">
        <v>3549</v>
      </c>
      <c r="BD13" s="431" t="s">
        <v>3550</v>
      </c>
      <c r="BE13" s="431" t="s">
        <v>3551</v>
      </c>
      <c r="BF13" s="431" t="s">
        <v>3552</v>
      </c>
      <c r="BG13" s="431" t="s">
        <v>3553</v>
      </c>
      <c r="BH13" s="431" t="s">
        <v>3554</v>
      </c>
      <c r="BI13" s="431" t="s">
        <v>3555</v>
      </c>
      <c r="BJ13" s="431" t="s">
        <v>3556</v>
      </c>
      <c r="BK13" s="431" t="s">
        <v>3557</v>
      </c>
      <c r="BL13" s="431" t="s">
        <v>3558</v>
      </c>
      <c r="BM13" s="431" t="s">
        <v>3559</v>
      </c>
      <c r="BN13" s="431" t="s">
        <v>3560</v>
      </c>
      <c r="BO13" s="431" t="s">
        <v>3561</v>
      </c>
      <c r="BP13" s="431" t="s">
        <v>3562</v>
      </c>
      <c r="BQ13" s="431" t="s">
        <v>3563</v>
      </c>
      <c r="BR13" s="431" t="s">
        <v>3564</v>
      </c>
      <c r="BS13" s="431" t="s">
        <v>3565</v>
      </c>
      <c r="BT13" s="431" t="s">
        <v>3566</v>
      </c>
      <c r="BU13" s="431" t="s">
        <v>3567</v>
      </c>
      <c r="BV13" s="431" t="s">
        <v>3568</v>
      </c>
      <c r="BW13" s="431" t="s">
        <v>3569</v>
      </c>
      <c r="BX13" s="431" t="s">
        <v>3570</v>
      </c>
      <c r="BY13" s="431" t="s">
        <v>3571</v>
      </c>
      <c r="BZ13" s="431" t="s">
        <v>3572</v>
      </c>
      <c r="CA13" s="431" t="s">
        <v>3573</v>
      </c>
      <c r="CB13" s="431" t="s">
        <v>3574</v>
      </c>
      <c r="CC13" s="431" t="s">
        <v>3575</v>
      </c>
      <c r="CD13" s="431" t="s">
        <v>3576</v>
      </c>
      <c r="CE13" s="431" t="s">
        <v>3577</v>
      </c>
      <c r="CF13" s="431" t="s">
        <v>3578</v>
      </c>
      <c r="CG13" s="431" t="s">
        <v>3579</v>
      </c>
      <c r="CH13" s="431" t="s">
        <v>3580</v>
      </c>
      <c r="CI13" s="431" t="s">
        <v>3581</v>
      </c>
      <c r="CJ13" s="431" t="s">
        <v>3582</v>
      </c>
      <c r="CK13" s="431" t="s">
        <v>3583</v>
      </c>
      <c r="CL13" s="431" t="s">
        <v>3584</v>
      </c>
      <c r="CM13" s="431" t="s">
        <v>3585</v>
      </c>
      <c r="CN13" s="431" t="s">
        <v>3586</v>
      </c>
      <c r="CO13" s="431" t="s">
        <v>3587</v>
      </c>
      <c r="CP13" s="431" t="s">
        <v>3588</v>
      </c>
      <c r="CQ13" s="431" t="s">
        <v>3589</v>
      </c>
      <c r="CR13" s="431" t="s">
        <v>3590</v>
      </c>
      <c r="CS13" s="431" t="s">
        <v>3591</v>
      </c>
      <c r="CT13" s="431" t="s">
        <v>3592</v>
      </c>
      <c r="CU13" s="431" t="s">
        <v>3593</v>
      </c>
      <c r="CV13" s="431" t="s">
        <v>3594</v>
      </c>
      <c r="CW13" s="431" t="s">
        <v>3595</v>
      </c>
      <c r="CX13" s="431" t="s">
        <v>3596</v>
      </c>
      <c r="CY13" s="431" t="s">
        <v>3597</v>
      </c>
      <c r="CZ13" s="431" t="s">
        <v>3598</v>
      </c>
      <c r="DA13" s="431" t="s">
        <v>3599</v>
      </c>
      <c r="DB13" s="431" t="s">
        <v>3600</v>
      </c>
      <c r="DC13" s="431" t="s">
        <v>3601</v>
      </c>
      <c r="DD13" s="431" t="s">
        <v>3602</v>
      </c>
      <c r="DE13" s="431" t="s">
        <v>3603</v>
      </c>
      <c r="DF13" s="431" t="s">
        <v>3604</v>
      </c>
      <c r="DG13" s="431" t="s">
        <v>3605</v>
      </c>
      <c r="DH13" s="431" t="s">
        <v>3606</v>
      </c>
      <c r="DI13" s="431" t="s">
        <v>3607</v>
      </c>
      <c r="DJ13" s="431" t="s">
        <v>3608</v>
      </c>
      <c r="DK13" s="431" t="s">
        <v>3609</v>
      </c>
      <c r="DL13" s="431" t="s">
        <v>3610</v>
      </c>
      <c r="DM13" s="431" t="s">
        <v>3611</v>
      </c>
      <c r="DN13" s="431" t="s">
        <v>3612</v>
      </c>
      <c r="DO13" s="431" t="s">
        <v>3613</v>
      </c>
      <c r="DP13" s="431" t="s">
        <v>3614</v>
      </c>
      <c r="DQ13" s="431" t="s">
        <v>3615</v>
      </c>
      <c r="DR13" s="431" t="s">
        <v>3616</v>
      </c>
      <c r="DS13" s="431" t="s">
        <v>3617</v>
      </c>
      <c r="DT13" s="431" t="s">
        <v>3618</v>
      </c>
      <c r="DU13" s="431" t="s">
        <v>3619</v>
      </c>
      <c r="DV13" s="431" t="s">
        <v>3620</v>
      </c>
      <c r="DW13" s="431" t="s">
        <v>3621</v>
      </c>
      <c r="DX13" s="431" t="s">
        <v>3622</v>
      </c>
      <c r="DY13" s="431" t="s">
        <v>3623</v>
      </c>
      <c r="DZ13" s="431" t="s">
        <v>3624</v>
      </c>
      <c r="EA13" s="431" t="s">
        <v>3625</v>
      </c>
      <c r="EB13" s="431" t="s">
        <v>3626</v>
      </c>
      <c r="EC13" s="431" t="s">
        <v>3627</v>
      </c>
      <c r="ED13" s="431" t="s">
        <v>3628</v>
      </c>
      <c r="EE13" s="431" t="s">
        <v>3629</v>
      </c>
      <c r="EF13" s="431" t="s">
        <v>3630</v>
      </c>
      <c r="EG13" s="431" t="s">
        <v>3631</v>
      </c>
      <c r="EH13" s="431" t="s">
        <v>3632</v>
      </c>
      <c r="EI13" s="431" t="s">
        <v>3633</v>
      </c>
      <c r="EJ13" s="431" t="s">
        <v>3634</v>
      </c>
      <c r="EK13" s="431" t="s">
        <v>3635</v>
      </c>
      <c r="EL13" s="431" t="s">
        <v>3636</v>
      </c>
      <c r="EM13" s="431" t="s">
        <v>3637</v>
      </c>
      <c r="EN13" s="431" t="s">
        <v>3638</v>
      </c>
      <c r="EO13" s="431" t="s">
        <v>3639</v>
      </c>
      <c r="EP13" s="431" t="s">
        <v>3640</v>
      </c>
      <c r="EQ13" s="431" t="s">
        <v>3641</v>
      </c>
      <c r="ER13" s="431" t="s">
        <v>3642</v>
      </c>
      <c r="ES13" s="431" t="s">
        <v>3643</v>
      </c>
      <c r="ET13" s="431" t="s">
        <v>3644</v>
      </c>
      <c r="EU13" s="431" t="s">
        <v>3645</v>
      </c>
      <c r="EV13" s="431" t="s">
        <v>3646</v>
      </c>
      <c r="EW13" s="431" t="s">
        <v>3647</v>
      </c>
      <c r="EX13" s="431" t="s">
        <v>3648</v>
      </c>
      <c r="EY13" s="431" t="s">
        <v>3649</v>
      </c>
      <c r="EZ13" s="431" t="s">
        <v>3650</v>
      </c>
      <c r="FA13" s="431" t="s">
        <v>3651</v>
      </c>
      <c r="FB13" s="431" t="s">
        <v>3652</v>
      </c>
      <c r="FC13" s="431" t="s">
        <v>3653</v>
      </c>
      <c r="FD13" s="431" t="s">
        <v>3654</v>
      </c>
      <c r="FE13" s="431" t="s">
        <v>3655</v>
      </c>
      <c r="FF13" s="431" t="s">
        <v>3656</v>
      </c>
      <c r="FG13" s="431" t="s">
        <v>3657</v>
      </c>
      <c r="FH13" s="433" t="s">
        <v>3658</v>
      </c>
    </row>
    <row r="14" spans="1:164" ht="12.75" customHeight="1" x14ac:dyDescent="0.3">
      <c r="A14" s="422"/>
      <c r="B14" s="422"/>
      <c r="C14" s="422"/>
      <c r="D14" s="422"/>
      <c r="E14" s="426"/>
      <c r="F14" s="529"/>
      <c r="G14" s="434"/>
      <c r="H14" s="435"/>
      <c r="I14" s="427" t="s">
        <v>4003</v>
      </c>
      <c r="J14" s="436">
        <v>0</v>
      </c>
      <c r="K14" s="436">
        <v>0</v>
      </c>
      <c r="L14" s="436">
        <v>0</v>
      </c>
      <c r="M14" s="436">
        <v>0</v>
      </c>
      <c r="N14" s="436">
        <v>0</v>
      </c>
      <c r="O14" s="436">
        <v>0</v>
      </c>
      <c r="P14" s="436">
        <v>0</v>
      </c>
      <c r="Q14" s="436">
        <v>0</v>
      </c>
      <c r="R14" s="436">
        <v>0</v>
      </c>
      <c r="S14" s="436">
        <v>0</v>
      </c>
      <c r="T14" s="436">
        <v>0</v>
      </c>
      <c r="U14" s="436">
        <v>0</v>
      </c>
      <c r="V14" s="436">
        <v>0</v>
      </c>
      <c r="W14" s="436">
        <v>0</v>
      </c>
      <c r="X14" s="436">
        <v>0</v>
      </c>
      <c r="Y14" s="436">
        <v>0</v>
      </c>
      <c r="Z14" s="436">
        <v>0</v>
      </c>
      <c r="AA14" s="436">
        <v>0</v>
      </c>
      <c r="AB14" s="436">
        <v>0</v>
      </c>
      <c r="AC14" s="436">
        <v>0</v>
      </c>
      <c r="AD14" s="436">
        <v>0</v>
      </c>
      <c r="AE14" s="436">
        <v>0</v>
      </c>
      <c r="AF14" s="436">
        <v>0</v>
      </c>
      <c r="AG14" s="436">
        <v>0</v>
      </c>
      <c r="AH14" s="436">
        <v>0</v>
      </c>
      <c r="AI14" s="436">
        <v>0</v>
      </c>
      <c r="AJ14" s="436">
        <v>0</v>
      </c>
      <c r="AK14" s="436">
        <v>0</v>
      </c>
      <c r="AL14" s="436">
        <v>0</v>
      </c>
      <c r="AM14" s="436">
        <v>0</v>
      </c>
      <c r="AN14" s="436">
        <v>0</v>
      </c>
      <c r="AO14" s="436">
        <v>0</v>
      </c>
      <c r="AP14" s="436">
        <v>0</v>
      </c>
      <c r="AQ14" s="436">
        <v>0</v>
      </c>
      <c r="AR14" s="436">
        <v>0</v>
      </c>
      <c r="AS14" s="436">
        <v>0</v>
      </c>
      <c r="AT14" s="436">
        <v>0</v>
      </c>
      <c r="AU14" s="436">
        <v>0</v>
      </c>
      <c r="AV14" s="436">
        <v>0</v>
      </c>
      <c r="AW14" s="436">
        <v>0</v>
      </c>
      <c r="AX14" s="436">
        <v>0</v>
      </c>
      <c r="AY14" s="436">
        <v>0</v>
      </c>
      <c r="AZ14" s="436">
        <v>0</v>
      </c>
      <c r="BA14" s="436">
        <v>0</v>
      </c>
      <c r="BB14" s="436">
        <v>0</v>
      </c>
      <c r="BC14" s="436">
        <v>0</v>
      </c>
      <c r="BD14" s="436">
        <v>0</v>
      </c>
      <c r="BE14" s="436">
        <v>0</v>
      </c>
      <c r="BF14" s="436">
        <v>0</v>
      </c>
      <c r="BG14" s="436">
        <v>0</v>
      </c>
      <c r="BH14" s="436">
        <v>0</v>
      </c>
      <c r="BI14" s="436">
        <v>0</v>
      </c>
      <c r="BJ14" s="436">
        <v>0</v>
      </c>
      <c r="BK14" s="436">
        <v>0</v>
      </c>
      <c r="BL14" s="436">
        <v>0</v>
      </c>
      <c r="BM14" s="436">
        <v>0</v>
      </c>
      <c r="BN14" s="436">
        <v>0</v>
      </c>
      <c r="BO14" s="436">
        <v>0</v>
      </c>
      <c r="BP14" s="436">
        <v>0</v>
      </c>
      <c r="BQ14" s="436">
        <v>0</v>
      </c>
      <c r="BR14" s="436">
        <v>0</v>
      </c>
      <c r="BS14" s="436">
        <v>0</v>
      </c>
      <c r="BT14" s="436">
        <v>0</v>
      </c>
      <c r="BU14" s="436">
        <v>0</v>
      </c>
      <c r="BV14" s="436">
        <v>0</v>
      </c>
      <c r="BW14" s="436">
        <v>0</v>
      </c>
      <c r="BX14" s="436">
        <v>0</v>
      </c>
      <c r="BY14" s="436">
        <v>0</v>
      </c>
      <c r="BZ14" s="436">
        <v>0</v>
      </c>
      <c r="CA14" s="436">
        <v>0</v>
      </c>
      <c r="CB14" s="436">
        <v>0</v>
      </c>
      <c r="CC14" s="436">
        <v>0</v>
      </c>
      <c r="CD14" s="436">
        <v>0</v>
      </c>
      <c r="CE14" s="436">
        <v>0</v>
      </c>
      <c r="CF14" s="436">
        <v>0</v>
      </c>
      <c r="CG14" s="436">
        <v>0</v>
      </c>
      <c r="CH14" s="436">
        <v>0</v>
      </c>
      <c r="CI14" s="436">
        <v>0</v>
      </c>
      <c r="CJ14" s="436">
        <v>0</v>
      </c>
      <c r="CK14" s="436">
        <v>0</v>
      </c>
      <c r="CL14" s="436">
        <v>0</v>
      </c>
      <c r="CM14" s="436">
        <v>0</v>
      </c>
      <c r="CN14" s="436">
        <v>0</v>
      </c>
      <c r="CO14" s="436">
        <v>0</v>
      </c>
      <c r="CP14" s="436">
        <v>0</v>
      </c>
      <c r="CQ14" s="436">
        <v>0</v>
      </c>
      <c r="CR14" s="436">
        <v>0</v>
      </c>
      <c r="CS14" s="436">
        <v>0</v>
      </c>
      <c r="CT14" s="436">
        <v>0</v>
      </c>
      <c r="CU14" s="436">
        <v>0</v>
      </c>
      <c r="CV14" s="436">
        <v>0</v>
      </c>
      <c r="CW14" s="436">
        <v>0</v>
      </c>
      <c r="CX14" s="436">
        <v>0</v>
      </c>
      <c r="CY14" s="436">
        <v>0</v>
      </c>
      <c r="CZ14" s="436">
        <v>0</v>
      </c>
      <c r="DA14" s="436">
        <v>0</v>
      </c>
      <c r="DB14" s="436">
        <v>0</v>
      </c>
      <c r="DC14" s="436">
        <v>0</v>
      </c>
      <c r="DD14" s="436">
        <v>0</v>
      </c>
      <c r="DE14" s="436">
        <v>0</v>
      </c>
      <c r="DF14" s="436">
        <v>0</v>
      </c>
      <c r="DG14" s="436">
        <v>0</v>
      </c>
      <c r="DH14" s="436">
        <v>0</v>
      </c>
      <c r="DI14" s="436">
        <v>0</v>
      </c>
      <c r="DJ14" s="436">
        <v>0</v>
      </c>
      <c r="DK14" s="436">
        <v>0</v>
      </c>
      <c r="DL14" s="436">
        <v>0</v>
      </c>
      <c r="DM14" s="436">
        <v>0</v>
      </c>
      <c r="DN14" s="436">
        <v>0</v>
      </c>
      <c r="DO14" s="436">
        <v>0</v>
      </c>
      <c r="DP14" s="436">
        <v>0</v>
      </c>
      <c r="DQ14" s="436">
        <v>0</v>
      </c>
      <c r="DR14" s="436">
        <v>0</v>
      </c>
      <c r="DS14" s="436">
        <v>0</v>
      </c>
      <c r="DT14" s="436">
        <v>0</v>
      </c>
      <c r="DU14" s="436">
        <v>0</v>
      </c>
      <c r="DV14" s="436">
        <v>0</v>
      </c>
      <c r="DW14" s="436">
        <v>0</v>
      </c>
      <c r="DX14" s="436">
        <v>0</v>
      </c>
      <c r="DY14" s="436">
        <v>0</v>
      </c>
      <c r="DZ14" s="436">
        <v>0</v>
      </c>
      <c r="EA14" s="436">
        <v>0</v>
      </c>
      <c r="EB14" s="436">
        <v>0</v>
      </c>
      <c r="EC14" s="436">
        <v>0</v>
      </c>
      <c r="ED14" s="436">
        <v>0</v>
      </c>
      <c r="EE14" s="436">
        <v>0</v>
      </c>
      <c r="EF14" s="436">
        <v>0</v>
      </c>
      <c r="EG14" s="436">
        <v>0</v>
      </c>
      <c r="EH14" s="436">
        <v>0</v>
      </c>
      <c r="EI14" s="436">
        <v>0</v>
      </c>
      <c r="EJ14" s="436">
        <v>0</v>
      </c>
      <c r="EK14" s="436">
        <v>0</v>
      </c>
      <c r="EL14" s="436">
        <v>0</v>
      </c>
      <c r="EM14" s="436">
        <v>0</v>
      </c>
      <c r="EN14" s="436">
        <v>0</v>
      </c>
      <c r="EO14" s="436">
        <v>0</v>
      </c>
      <c r="EP14" s="436">
        <v>0</v>
      </c>
      <c r="EQ14" s="436">
        <v>0</v>
      </c>
      <c r="ER14" s="436">
        <v>0</v>
      </c>
      <c r="ES14" s="436">
        <v>0</v>
      </c>
      <c r="ET14" s="436">
        <v>0</v>
      </c>
      <c r="EU14" s="436">
        <v>0</v>
      </c>
      <c r="EV14" s="436">
        <v>0</v>
      </c>
      <c r="EW14" s="436">
        <v>0</v>
      </c>
      <c r="EX14" s="436">
        <v>0</v>
      </c>
      <c r="EY14" s="436">
        <v>0</v>
      </c>
      <c r="EZ14" s="436">
        <v>0</v>
      </c>
      <c r="FA14" s="436">
        <v>0</v>
      </c>
      <c r="FB14" s="436">
        <v>0</v>
      </c>
      <c r="FC14" s="436">
        <v>0</v>
      </c>
      <c r="FD14" s="436">
        <v>0</v>
      </c>
      <c r="FE14" s="436">
        <v>0</v>
      </c>
      <c r="FF14" s="436">
        <v>0</v>
      </c>
      <c r="FG14" s="436">
        <v>0</v>
      </c>
      <c r="FH14" s="436">
        <v>0</v>
      </c>
    </row>
    <row r="15" spans="1:164" ht="12.75" customHeight="1" x14ac:dyDescent="0.3">
      <c r="A15" s="422"/>
      <c r="B15" s="422"/>
      <c r="C15" s="422"/>
      <c r="D15" s="422"/>
      <c r="E15" s="426"/>
      <c r="G15" s="437"/>
      <c r="H15" s="437"/>
      <c r="I15" s="438" t="s">
        <v>4004</v>
      </c>
      <c r="J15" s="14">
        <f t="array" ref="J15:FH15">emis</f>
        <v>0</v>
      </c>
      <c r="K15" s="14">
        <v>2.1571287063785434</v>
      </c>
      <c r="L15" s="14">
        <v>0</v>
      </c>
      <c r="M15" s="14">
        <v>0</v>
      </c>
      <c r="N15" s="14">
        <v>0</v>
      </c>
      <c r="O15" s="14">
        <v>0</v>
      </c>
      <c r="P15" s="14">
        <v>0</v>
      </c>
      <c r="Q15" s="14">
        <v>0</v>
      </c>
      <c r="R15" s="14">
        <v>0</v>
      </c>
      <c r="S15" s="14">
        <v>0</v>
      </c>
      <c r="T15" s="14">
        <v>0</v>
      </c>
      <c r="U15" s="14">
        <v>0</v>
      </c>
      <c r="V15" s="14">
        <v>2.1571287063785434</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2.1571287063785434</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0</v>
      </c>
      <c r="BR15" s="14">
        <v>0</v>
      </c>
      <c r="BS15" s="14">
        <v>0</v>
      </c>
      <c r="BT15" s="14">
        <v>0</v>
      </c>
      <c r="BU15" s="14">
        <v>0</v>
      </c>
      <c r="BV15" s="14">
        <v>0</v>
      </c>
      <c r="BW15" s="14">
        <v>0</v>
      </c>
      <c r="BX15" s="14">
        <v>0</v>
      </c>
      <c r="BY15" s="14">
        <v>0</v>
      </c>
      <c r="BZ15" s="14">
        <v>0</v>
      </c>
      <c r="CA15" s="14">
        <v>0</v>
      </c>
      <c r="CB15" s="14">
        <v>0</v>
      </c>
      <c r="CC15" s="14">
        <v>0</v>
      </c>
      <c r="CD15" s="14">
        <v>0</v>
      </c>
      <c r="CE15" s="14">
        <v>0</v>
      </c>
      <c r="CF15" s="14">
        <v>0</v>
      </c>
      <c r="CG15" s="14">
        <v>0</v>
      </c>
      <c r="CH15" s="14">
        <v>0</v>
      </c>
      <c r="CI15" s="14">
        <v>0</v>
      </c>
      <c r="CJ15" s="14">
        <v>0</v>
      </c>
      <c r="CK15" s="14">
        <v>0</v>
      </c>
      <c r="CL15" s="14">
        <v>0</v>
      </c>
      <c r="CM15" s="14">
        <v>0</v>
      </c>
      <c r="CN15" s="14">
        <v>0</v>
      </c>
      <c r="CO15" s="14">
        <v>0</v>
      </c>
      <c r="CP15" s="14">
        <v>0</v>
      </c>
      <c r="CQ15" s="14">
        <v>0</v>
      </c>
      <c r="CR15" s="14">
        <v>0</v>
      </c>
      <c r="CS15" s="14">
        <v>0</v>
      </c>
      <c r="CT15" s="14">
        <v>0</v>
      </c>
      <c r="CU15" s="14">
        <v>0</v>
      </c>
      <c r="CV15" s="14">
        <v>0</v>
      </c>
      <c r="CW15" s="14">
        <v>0</v>
      </c>
      <c r="CX15" s="14">
        <v>0</v>
      </c>
      <c r="CY15" s="14">
        <v>0</v>
      </c>
      <c r="CZ15" s="14">
        <v>0</v>
      </c>
      <c r="DA15" s="14">
        <v>0</v>
      </c>
      <c r="DB15" s="14">
        <v>0</v>
      </c>
      <c r="DC15" s="14">
        <v>0</v>
      </c>
      <c r="DD15" s="14">
        <v>0</v>
      </c>
      <c r="DE15" s="14">
        <v>0</v>
      </c>
      <c r="DF15" s="14">
        <v>0</v>
      </c>
      <c r="DG15" s="14">
        <v>0</v>
      </c>
      <c r="DH15" s="14">
        <v>0</v>
      </c>
      <c r="DI15" s="14">
        <v>0</v>
      </c>
      <c r="DJ15" s="14">
        <v>0</v>
      </c>
      <c r="DK15" s="14">
        <v>0</v>
      </c>
      <c r="DL15" s="14">
        <v>0</v>
      </c>
      <c r="DM15" s="14">
        <v>0</v>
      </c>
      <c r="DN15" s="14">
        <v>0</v>
      </c>
      <c r="DO15" s="14">
        <v>0</v>
      </c>
      <c r="DP15" s="14">
        <v>0</v>
      </c>
      <c r="DQ15" s="14">
        <v>0</v>
      </c>
      <c r="DR15" s="14">
        <v>0</v>
      </c>
      <c r="DS15" s="14">
        <v>0</v>
      </c>
      <c r="DT15" s="14">
        <v>0</v>
      </c>
      <c r="DU15" s="14">
        <v>0</v>
      </c>
      <c r="DV15" s="14">
        <v>0</v>
      </c>
      <c r="DW15" s="14">
        <v>0</v>
      </c>
      <c r="DX15" s="14">
        <v>0</v>
      </c>
      <c r="DY15" s="14">
        <v>0</v>
      </c>
      <c r="DZ15" s="14">
        <v>0</v>
      </c>
      <c r="EA15" s="14">
        <v>0</v>
      </c>
      <c r="EB15" s="14">
        <v>0</v>
      </c>
      <c r="EC15" s="14">
        <v>0</v>
      </c>
      <c r="ED15" s="14">
        <v>0</v>
      </c>
      <c r="EE15" s="14">
        <v>0</v>
      </c>
      <c r="EF15" s="14">
        <v>0</v>
      </c>
      <c r="EG15" s="14">
        <v>0</v>
      </c>
      <c r="EH15" s="14">
        <v>0</v>
      </c>
      <c r="EI15" s="14">
        <v>0</v>
      </c>
      <c r="EJ15" s="14">
        <v>0</v>
      </c>
      <c r="EK15" s="14">
        <v>0</v>
      </c>
      <c r="EL15" s="14">
        <v>0</v>
      </c>
      <c r="EM15" s="14">
        <v>0</v>
      </c>
      <c r="EN15" s="14">
        <v>0</v>
      </c>
      <c r="EO15" s="14">
        <v>0</v>
      </c>
      <c r="EP15" s="14">
        <v>0</v>
      </c>
      <c r="EQ15" s="14">
        <v>0</v>
      </c>
      <c r="ER15" s="14">
        <v>0</v>
      </c>
      <c r="ES15" s="14">
        <v>0</v>
      </c>
      <c r="ET15" s="14">
        <v>0</v>
      </c>
      <c r="EU15" s="14">
        <v>0</v>
      </c>
      <c r="EV15" s="14">
        <v>0</v>
      </c>
      <c r="EW15" s="14">
        <v>0</v>
      </c>
      <c r="EX15" s="14">
        <v>0</v>
      </c>
      <c r="EY15" s="14">
        <v>0</v>
      </c>
      <c r="EZ15" s="14">
        <v>0</v>
      </c>
      <c r="FA15" s="14">
        <v>0</v>
      </c>
      <c r="FB15" s="14">
        <v>0</v>
      </c>
      <c r="FC15" s="14">
        <v>0</v>
      </c>
      <c r="FD15" s="14">
        <v>0</v>
      </c>
      <c r="FE15" s="14">
        <v>0</v>
      </c>
      <c r="FF15" s="14">
        <v>0</v>
      </c>
      <c r="FG15" s="14">
        <v>0</v>
      </c>
      <c r="FH15" s="14">
        <v>0</v>
      </c>
    </row>
    <row r="16" spans="1:164" ht="12.75" customHeight="1" x14ac:dyDescent="0.3">
      <c r="A16" s="422"/>
      <c r="B16" s="422"/>
      <c r="C16" s="422"/>
      <c r="D16" s="422"/>
      <c r="E16" s="423"/>
      <c r="G16" s="437"/>
      <c r="H16" s="437"/>
      <c r="I16" s="438" t="s">
        <v>4005</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c r="AR16" s="14">
        <v>0</v>
      </c>
      <c r="AS16" s="14">
        <v>0</v>
      </c>
      <c r="AT16" s="14">
        <v>0</v>
      </c>
      <c r="AU16" s="14">
        <v>0</v>
      </c>
      <c r="AV16" s="14">
        <v>0</v>
      </c>
      <c r="AW16" s="14">
        <v>0</v>
      </c>
      <c r="AX16" s="14">
        <v>0</v>
      </c>
      <c r="AY16" s="14">
        <v>0</v>
      </c>
      <c r="AZ16" s="14">
        <v>0</v>
      </c>
      <c r="BA16" s="14">
        <v>0</v>
      </c>
      <c r="BB16" s="14">
        <v>0</v>
      </c>
      <c r="BC16" s="14">
        <v>0</v>
      </c>
      <c r="BD16" s="14">
        <v>0</v>
      </c>
      <c r="BE16" s="14">
        <v>0</v>
      </c>
      <c r="BF16" s="14">
        <v>0</v>
      </c>
      <c r="BG16" s="14">
        <v>0</v>
      </c>
      <c r="BH16" s="14">
        <v>0</v>
      </c>
      <c r="BI16" s="14">
        <v>0</v>
      </c>
      <c r="BJ16" s="14">
        <v>0</v>
      </c>
      <c r="BK16" s="14">
        <v>0</v>
      </c>
      <c r="BL16" s="14">
        <v>0</v>
      </c>
      <c r="BM16" s="14">
        <v>0</v>
      </c>
      <c r="BN16" s="14">
        <v>0</v>
      </c>
      <c r="BO16" s="14">
        <v>0</v>
      </c>
      <c r="BP16" s="14">
        <v>0</v>
      </c>
      <c r="BQ16" s="14">
        <v>0</v>
      </c>
      <c r="BR16" s="14">
        <v>0</v>
      </c>
      <c r="BS16" s="14">
        <v>0</v>
      </c>
      <c r="BT16" s="14">
        <v>0</v>
      </c>
      <c r="BU16" s="14">
        <v>0</v>
      </c>
      <c r="BV16" s="14">
        <v>0</v>
      </c>
      <c r="BW16" s="14">
        <v>0</v>
      </c>
      <c r="BX16" s="14">
        <v>0</v>
      </c>
      <c r="BY16" s="14">
        <v>0</v>
      </c>
      <c r="BZ16" s="14">
        <v>0</v>
      </c>
      <c r="CA16" s="14">
        <v>0</v>
      </c>
      <c r="CB16" s="14">
        <v>0</v>
      </c>
      <c r="CC16" s="14">
        <v>0</v>
      </c>
      <c r="CD16" s="14">
        <v>0</v>
      </c>
      <c r="CE16" s="14">
        <v>0</v>
      </c>
      <c r="CF16" s="14">
        <v>0</v>
      </c>
      <c r="CG16" s="14">
        <v>0</v>
      </c>
      <c r="CH16" s="14">
        <v>0</v>
      </c>
      <c r="CI16" s="14">
        <v>0</v>
      </c>
      <c r="CJ16" s="14">
        <v>0</v>
      </c>
      <c r="CK16" s="14">
        <v>0</v>
      </c>
      <c r="CL16" s="14">
        <v>0</v>
      </c>
      <c r="CM16" s="14">
        <v>0</v>
      </c>
      <c r="CN16" s="14">
        <v>0</v>
      </c>
      <c r="CO16" s="14">
        <v>0</v>
      </c>
      <c r="CP16" s="14">
        <v>0</v>
      </c>
      <c r="CQ16" s="14">
        <v>0</v>
      </c>
      <c r="CR16" s="14">
        <v>0</v>
      </c>
      <c r="CS16" s="14">
        <v>0</v>
      </c>
      <c r="CT16" s="14">
        <v>0</v>
      </c>
      <c r="CU16" s="14">
        <v>0</v>
      </c>
      <c r="CV16" s="14">
        <v>0</v>
      </c>
      <c r="CW16" s="14">
        <v>0</v>
      </c>
      <c r="CX16" s="14">
        <v>0</v>
      </c>
      <c r="CY16" s="14">
        <v>0</v>
      </c>
      <c r="CZ16" s="14">
        <v>0</v>
      </c>
      <c r="DA16" s="14">
        <v>0</v>
      </c>
      <c r="DB16" s="14">
        <v>0</v>
      </c>
      <c r="DC16" s="14">
        <v>0</v>
      </c>
      <c r="DD16" s="14">
        <v>0</v>
      </c>
      <c r="DE16" s="14">
        <v>0</v>
      </c>
      <c r="DF16" s="14">
        <v>0</v>
      </c>
      <c r="DG16" s="14">
        <v>0</v>
      </c>
      <c r="DH16" s="14">
        <v>0</v>
      </c>
      <c r="DI16" s="14">
        <v>0</v>
      </c>
      <c r="DJ16" s="14">
        <v>0</v>
      </c>
      <c r="DK16" s="14">
        <v>0</v>
      </c>
      <c r="DL16" s="14">
        <v>0</v>
      </c>
      <c r="DM16" s="14">
        <v>0</v>
      </c>
      <c r="DN16" s="14">
        <v>0</v>
      </c>
      <c r="DO16" s="14">
        <v>0</v>
      </c>
      <c r="DP16" s="14">
        <v>0</v>
      </c>
      <c r="DQ16" s="14">
        <v>0</v>
      </c>
      <c r="DR16" s="14">
        <v>0</v>
      </c>
      <c r="DS16" s="14">
        <v>0</v>
      </c>
      <c r="DT16" s="14">
        <v>0</v>
      </c>
      <c r="DU16" s="14">
        <v>0</v>
      </c>
      <c r="DV16" s="14">
        <v>0</v>
      </c>
      <c r="DW16" s="14">
        <v>0</v>
      </c>
      <c r="DX16" s="14">
        <v>0</v>
      </c>
      <c r="DY16" s="14">
        <v>0</v>
      </c>
      <c r="DZ16" s="14">
        <v>0</v>
      </c>
      <c r="EA16" s="14">
        <v>0</v>
      </c>
      <c r="EB16" s="14">
        <v>0</v>
      </c>
      <c r="EC16" s="14">
        <v>0</v>
      </c>
      <c r="ED16" s="14">
        <v>0</v>
      </c>
      <c r="EE16" s="14">
        <v>0</v>
      </c>
      <c r="EF16" s="14">
        <v>0</v>
      </c>
      <c r="EG16" s="14">
        <v>0</v>
      </c>
      <c r="EH16" s="14">
        <v>0</v>
      </c>
      <c r="EI16" s="14">
        <v>0</v>
      </c>
      <c r="EJ16" s="14">
        <v>0</v>
      </c>
      <c r="EK16" s="14">
        <v>0</v>
      </c>
      <c r="EL16" s="14">
        <v>0</v>
      </c>
      <c r="EM16" s="14">
        <v>0</v>
      </c>
      <c r="EN16" s="14">
        <v>0</v>
      </c>
      <c r="EO16" s="14">
        <v>0</v>
      </c>
      <c r="EP16" s="14">
        <v>0</v>
      </c>
      <c r="EQ16" s="14">
        <v>0</v>
      </c>
      <c r="ER16" s="14">
        <v>0</v>
      </c>
      <c r="ES16" s="14">
        <v>0</v>
      </c>
      <c r="ET16" s="14">
        <v>0</v>
      </c>
      <c r="EU16" s="14">
        <v>0</v>
      </c>
      <c r="EV16" s="14">
        <v>0</v>
      </c>
      <c r="EW16" s="14">
        <v>0</v>
      </c>
      <c r="EX16" s="14">
        <v>0</v>
      </c>
      <c r="EY16" s="14">
        <v>0</v>
      </c>
      <c r="EZ16" s="14">
        <v>0</v>
      </c>
      <c r="FA16" s="14">
        <v>0</v>
      </c>
      <c r="FB16" s="14">
        <v>0</v>
      </c>
      <c r="FC16" s="14">
        <v>0</v>
      </c>
      <c r="FD16" s="14">
        <v>0</v>
      </c>
      <c r="FE16" s="14">
        <v>0</v>
      </c>
      <c r="FF16" s="14">
        <v>0</v>
      </c>
      <c r="FG16" s="14">
        <v>0</v>
      </c>
      <c r="FH16" s="14">
        <v>0</v>
      </c>
    </row>
    <row r="17" spans="1:164" ht="12.75" customHeight="1" x14ac:dyDescent="0.3">
      <c r="A17" s="422"/>
      <c r="B17" s="422"/>
      <c r="C17" s="422"/>
      <c r="D17" s="422"/>
      <c r="G17" s="439"/>
      <c r="H17" s="439"/>
      <c r="I17" s="439"/>
      <c r="J17" s="439"/>
      <c r="K17" s="439"/>
      <c r="L17" s="439"/>
      <c r="M17" s="439"/>
      <c r="N17" s="439"/>
      <c r="O17" s="439"/>
      <c r="P17" s="439"/>
      <c r="Q17" s="439"/>
      <c r="R17" s="439"/>
      <c r="S17" s="439"/>
      <c r="T17" s="439"/>
      <c r="U17" s="439"/>
      <c r="V17" s="439"/>
      <c r="W17" s="439"/>
      <c r="X17" s="439"/>
      <c r="Y17" s="439"/>
      <c r="Z17" s="439"/>
      <c r="AA17" s="439"/>
      <c r="AB17" s="439"/>
      <c r="AC17" s="439"/>
      <c r="AD17" s="439"/>
      <c r="AE17" s="439"/>
      <c r="AF17" s="439"/>
      <c r="AG17" s="439"/>
      <c r="AH17" s="439"/>
      <c r="AI17" s="439"/>
      <c r="AJ17" s="439"/>
      <c r="AK17" s="439"/>
      <c r="AL17" s="439"/>
      <c r="AM17" s="439"/>
      <c r="AN17" s="439"/>
      <c r="AO17" s="439"/>
      <c r="AP17" s="439"/>
      <c r="AQ17" s="439"/>
      <c r="AR17" s="439"/>
      <c r="AS17" s="439"/>
      <c r="AT17" s="439"/>
      <c r="AU17" s="439"/>
      <c r="AV17" s="439"/>
      <c r="AW17" s="439"/>
      <c r="AX17" s="439"/>
      <c r="AY17" s="439"/>
      <c r="AZ17" s="439"/>
      <c r="BA17" s="439"/>
      <c r="BB17" s="439"/>
      <c r="BC17" s="439"/>
      <c r="BD17" s="439"/>
      <c r="BE17" s="439"/>
      <c r="BF17" s="439"/>
      <c r="BG17" s="439"/>
      <c r="BH17" s="439"/>
      <c r="BI17" s="439"/>
      <c r="BJ17" s="439"/>
      <c r="BK17" s="439"/>
      <c r="BL17" s="439"/>
      <c r="BM17" s="439"/>
      <c r="BN17" s="439"/>
      <c r="BO17" s="439"/>
      <c r="BP17" s="439"/>
      <c r="BQ17" s="439"/>
      <c r="BR17" s="439"/>
      <c r="BS17" s="439"/>
      <c r="BT17" s="439"/>
      <c r="BU17" s="439"/>
      <c r="BV17" s="439"/>
      <c r="BW17" s="439"/>
      <c r="BX17" s="439"/>
      <c r="BY17" s="439"/>
      <c r="BZ17" s="439"/>
      <c r="CA17" s="439"/>
      <c r="CB17" s="439"/>
      <c r="CC17" s="439"/>
      <c r="CD17" s="439"/>
      <c r="CE17" s="439"/>
      <c r="CF17" s="439"/>
      <c r="CG17" s="439"/>
      <c r="CH17" s="439"/>
      <c r="CI17" s="439"/>
      <c r="CJ17" s="439"/>
      <c r="CK17" s="439"/>
      <c r="CL17" s="439"/>
      <c r="CM17" s="439"/>
      <c r="CN17" s="439"/>
      <c r="CO17" s="439"/>
      <c r="CP17" s="439"/>
      <c r="CQ17" s="439"/>
      <c r="CR17" s="439"/>
      <c r="CS17" s="439"/>
      <c r="CT17" s="439"/>
      <c r="CU17" s="439"/>
      <c r="CV17" s="439"/>
      <c r="CW17" s="439"/>
      <c r="CX17" s="439"/>
      <c r="CY17" s="439"/>
      <c r="CZ17" s="439"/>
      <c r="DA17" s="439"/>
      <c r="DB17" s="439"/>
      <c r="DC17" s="439"/>
      <c r="DD17" s="439"/>
      <c r="DE17" s="439"/>
      <c r="DF17" s="439"/>
      <c r="DG17" s="439"/>
      <c r="DH17" s="439"/>
      <c r="DI17" s="439"/>
      <c r="DJ17" s="439"/>
      <c r="DK17" s="439"/>
      <c r="DL17" s="439"/>
      <c r="DM17" s="439"/>
      <c r="DN17" s="439"/>
      <c r="DO17" s="439"/>
      <c r="DP17" s="439"/>
      <c r="DQ17" s="439"/>
      <c r="DR17" s="439"/>
      <c r="DS17" s="439"/>
      <c r="DT17" s="439"/>
      <c r="DU17" s="439"/>
      <c r="DV17" s="439"/>
      <c r="DW17" s="439"/>
      <c r="DX17" s="439"/>
      <c r="DY17" s="439"/>
      <c r="DZ17" s="439"/>
      <c r="EA17" s="439"/>
      <c r="EB17" s="439"/>
      <c r="EC17" s="439"/>
      <c r="ED17" s="439"/>
      <c r="EE17" s="439"/>
      <c r="EF17" s="439"/>
      <c r="EG17" s="439"/>
      <c r="EH17" s="439"/>
      <c r="EI17" s="439"/>
      <c r="EJ17" s="439"/>
      <c r="EK17" s="439"/>
      <c r="EL17" s="439"/>
      <c r="EM17" s="439"/>
      <c r="EN17" s="439"/>
      <c r="EO17" s="439"/>
      <c r="EP17" s="439"/>
      <c r="EQ17" s="439"/>
      <c r="ER17" s="439"/>
      <c r="ES17" s="439"/>
      <c r="ET17" s="439"/>
      <c r="EU17" s="439"/>
      <c r="EV17" s="439"/>
      <c r="EW17" s="439"/>
      <c r="EX17" s="439"/>
      <c r="EY17" s="439"/>
      <c r="EZ17" s="439"/>
      <c r="FA17" s="439"/>
      <c r="FB17" s="439"/>
      <c r="FC17" s="439"/>
      <c r="FD17" s="439"/>
      <c r="FE17" s="439"/>
      <c r="FF17" s="439"/>
      <c r="FG17" s="439"/>
      <c r="FH17" s="439"/>
    </row>
    <row r="18" spans="1:164" ht="12.75" customHeight="1" x14ac:dyDescent="0.3">
      <c r="A18" s="422"/>
      <c r="B18" s="422"/>
      <c r="C18" s="422"/>
      <c r="D18" s="422"/>
      <c r="G18" s="439"/>
      <c r="H18" s="439"/>
      <c r="I18" s="439"/>
      <c r="J18" s="439"/>
      <c r="K18" s="439"/>
      <c r="L18" s="439"/>
      <c r="M18" s="439"/>
      <c r="N18" s="439"/>
      <c r="O18" s="439"/>
      <c r="P18" s="439"/>
      <c r="Q18" s="439"/>
      <c r="R18" s="439"/>
      <c r="S18" s="439"/>
      <c r="T18" s="439"/>
      <c r="U18" s="439"/>
      <c r="V18" s="439"/>
      <c r="W18" s="439"/>
      <c r="X18" s="439"/>
      <c r="Y18" s="439"/>
      <c r="Z18" s="439"/>
      <c r="AA18" s="439"/>
      <c r="AB18" s="439"/>
      <c r="AC18" s="439"/>
      <c r="AD18" s="439"/>
      <c r="AE18" s="439"/>
      <c r="AF18" s="439"/>
      <c r="AG18" s="439"/>
      <c r="AH18" s="439"/>
      <c r="AI18" s="439"/>
      <c r="AJ18" s="439"/>
      <c r="AK18" s="439"/>
      <c r="AL18" s="439"/>
      <c r="AM18" s="439"/>
      <c r="AN18" s="439"/>
      <c r="AO18" s="439"/>
      <c r="AP18" s="439"/>
      <c r="AQ18" s="439"/>
      <c r="AR18" s="439"/>
      <c r="AS18" s="439"/>
      <c r="AT18" s="439"/>
      <c r="AU18" s="439"/>
      <c r="AV18" s="439"/>
      <c r="AW18" s="439"/>
      <c r="AX18" s="439"/>
      <c r="AY18" s="439"/>
      <c r="AZ18" s="439"/>
      <c r="BA18" s="439"/>
      <c r="BB18" s="439"/>
      <c r="BC18" s="439"/>
      <c r="BD18" s="439"/>
      <c r="BE18" s="439"/>
      <c r="BF18" s="439"/>
      <c r="BG18" s="439"/>
      <c r="BH18" s="439"/>
      <c r="BI18" s="439"/>
      <c r="BJ18" s="439"/>
      <c r="BK18" s="439"/>
      <c r="BL18" s="439"/>
      <c r="BM18" s="439"/>
      <c r="BN18" s="439"/>
      <c r="BO18" s="439"/>
      <c r="BP18" s="439"/>
      <c r="BQ18" s="439"/>
      <c r="BR18" s="439"/>
      <c r="BS18" s="439"/>
      <c r="BT18" s="439"/>
      <c r="BU18" s="439"/>
      <c r="BV18" s="439"/>
      <c r="BW18" s="439"/>
      <c r="BX18" s="439"/>
      <c r="BY18" s="439"/>
      <c r="BZ18" s="439"/>
      <c r="CA18" s="439"/>
      <c r="CB18" s="439"/>
      <c r="CC18" s="439"/>
      <c r="CD18" s="439"/>
      <c r="CE18" s="439"/>
      <c r="CF18" s="439"/>
      <c r="CG18" s="439"/>
      <c r="CH18" s="439"/>
      <c r="CI18" s="439"/>
      <c r="CJ18" s="439"/>
      <c r="CK18" s="439"/>
      <c r="CL18" s="439"/>
      <c r="CM18" s="439"/>
      <c r="CN18" s="439"/>
      <c r="CO18" s="439"/>
      <c r="CP18" s="439"/>
      <c r="CQ18" s="439"/>
      <c r="CR18" s="439"/>
      <c r="CS18" s="439"/>
      <c r="CT18" s="439"/>
      <c r="CU18" s="439"/>
      <c r="CV18" s="439"/>
      <c r="CW18" s="439"/>
      <c r="CX18" s="439"/>
      <c r="CY18" s="439"/>
      <c r="CZ18" s="439"/>
      <c r="DA18" s="439"/>
      <c r="DB18" s="439"/>
      <c r="DC18" s="439"/>
      <c r="DD18" s="439"/>
      <c r="DE18" s="439"/>
      <c r="DF18" s="439"/>
      <c r="DG18" s="439"/>
      <c r="DH18" s="439"/>
      <c r="DI18" s="439"/>
      <c r="DJ18" s="439"/>
      <c r="DK18" s="439"/>
      <c r="DL18" s="439"/>
      <c r="DM18" s="439"/>
      <c r="DN18" s="439"/>
      <c r="DO18" s="439"/>
      <c r="DP18" s="439"/>
      <c r="DQ18" s="439"/>
      <c r="DR18" s="439"/>
      <c r="DS18" s="439"/>
      <c r="DT18" s="439"/>
      <c r="DU18" s="439"/>
      <c r="DV18" s="439"/>
      <c r="DW18" s="439"/>
      <c r="DX18" s="439"/>
      <c r="DY18" s="439"/>
      <c r="DZ18" s="439"/>
      <c r="EA18" s="439"/>
      <c r="EB18" s="439"/>
      <c r="EC18" s="439"/>
      <c r="ED18" s="439"/>
      <c r="EE18" s="439"/>
      <c r="EF18" s="439"/>
      <c r="EG18" s="439"/>
      <c r="EH18" s="439"/>
      <c r="EI18" s="439"/>
      <c r="EJ18" s="439"/>
      <c r="EK18" s="439"/>
      <c r="EL18" s="439"/>
      <c r="EM18" s="439"/>
      <c r="EN18" s="439"/>
      <c r="EO18" s="439"/>
      <c r="EP18" s="439"/>
      <c r="EQ18" s="439"/>
      <c r="ER18" s="439"/>
      <c r="ES18" s="439"/>
      <c r="ET18" s="439"/>
      <c r="EU18" s="439"/>
      <c r="EV18" s="439"/>
      <c r="EW18" s="439"/>
      <c r="EX18" s="439"/>
      <c r="EY18" s="439"/>
      <c r="EZ18" s="439"/>
      <c r="FA18" s="439"/>
      <c r="FB18" s="439"/>
      <c r="FC18" s="439"/>
      <c r="FD18" s="439"/>
      <c r="FE18" s="439"/>
      <c r="FF18" s="439"/>
      <c r="FG18" s="439"/>
      <c r="FH18" s="439"/>
    </row>
    <row r="19" spans="1:164" ht="12.75" customHeight="1" x14ac:dyDescent="0.3">
      <c r="A19" s="422"/>
      <c r="B19" s="422"/>
      <c r="C19" s="422"/>
      <c r="D19" s="422"/>
      <c r="E19" s="422"/>
      <c r="F19" s="567"/>
      <c r="G19" s="569"/>
      <c r="H19" s="439"/>
      <c r="I19" s="573" t="s">
        <v>4006</v>
      </c>
      <c r="J19" s="572" t="s">
        <v>3999</v>
      </c>
      <c r="K19" s="430" t="s">
        <v>4000</v>
      </c>
      <c r="L19" s="430" t="s">
        <v>4001</v>
      </c>
      <c r="M19" s="430" t="s">
        <v>4002</v>
      </c>
      <c r="N19" s="430" t="s">
        <v>3508</v>
      </c>
      <c r="O19" s="430" t="s">
        <v>3509</v>
      </c>
      <c r="P19" s="430" t="s">
        <v>3510</v>
      </c>
      <c r="Q19" s="431" t="s">
        <v>4007</v>
      </c>
      <c r="R19" s="431" t="s">
        <v>4008</v>
      </c>
      <c r="S19" s="431" t="s">
        <v>4009</v>
      </c>
      <c r="T19" s="431" t="s">
        <v>4010</v>
      </c>
      <c r="U19" s="432" t="s">
        <v>4011</v>
      </c>
      <c r="V19" s="431" t="s">
        <v>4012</v>
      </c>
      <c r="W19" s="431" t="s">
        <v>4013</v>
      </c>
      <c r="X19" s="431" t="s">
        <v>4014</v>
      </c>
      <c r="Y19" s="432" t="s">
        <v>4015</v>
      </c>
      <c r="Z19" s="431" t="s">
        <v>4016</v>
      </c>
      <c r="AA19" s="431" t="s">
        <v>4017</v>
      </c>
      <c r="AB19" s="431" t="s">
        <v>4018</v>
      </c>
      <c r="AC19" s="431" t="s">
        <v>3523</v>
      </c>
      <c r="AD19" s="431" t="s">
        <v>3524</v>
      </c>
      <c r="AE19" s="431" t="s">
        <v>3525</v>
      </c>
      <c r="AF19" s="431" t="s">
        <v>3526</v>
      </c>
      <c r="AG19" s="431" t="s">
        <v>4019</v>
      </c>
      <c r="AH19" s="431" t="s">
        <v>4020</v>
      </c>
      <c r="AI19" s="431" t="s">
        <v>4021</v>
      </c>
      <c r="AJ19" s="431" t="s">
        <v>4022</v>
      </c>
      <c r="AK19" s="431" t="s">
        <v>4023</v>
      </c>
      <c r="AL19" s="431" t="s">
        <v>4024</v>
      </c>
      <c r="AM19" s="431" t="s">
        <v>4025</v>
      </c>
      <c r="AN19" s="431" t="s">
        <v>4026</v>
      </c>
      <c r="AO19" s="431" t="s">
        <v>4027</v>
      </c>
      <c r="AP19" s="431" t="s">
        <v>4028</v>
      </c>
      <c r="AQ19" s="431" t="s">
        <v>4029</v>
      </c>
      <c r="AR19" s="431" t="s">
        <v>4030</v>
      </c>
      <c r="AS19" s="431" t="s">
        <v>4031</v>
      </c>
      <c r="AT19" s="431" t="s">
        <v>4032</v>
      </c>
      <c r="AU19" s="431" t="s">
        <v>4033</v>
      </c>
      <c r="AV19" s="431" t="s">
        <v>4034</v>
      </c>
      <c r="AW19" s="431" t="s">
        <v>4035</v>
      </c>
      <c r="AX19" s="431" t="s">
        <v>4036</v>
      </c>
      <c r="AY19" s="431" t="s">
        <v>4037</v>
      </c>
      <c r="AZ19" s="431" t="s">
        <v>4038</v>
      </c>
      <c r="BA19" s="431" t="s">
        <v>4039</v>
      </c>
      <c r="BB19" s="431" t="s">
        <v>4040</v>
      </c>
      <c r="BC19" s="431" t="s">
        <v>4041</v>
      </c>
      <c r="BD19" s="431" t="s">
        <v>4042</v>
      </c>
      <c r="BE19" s="431" t="s">
        <v>3551</v>
      </c>
      <c r="BF19" s="431" t="s">
        <v>3552</v>
      </c>
      <c r="BG19" s="431" t="s">
        <v>3553</v>
      </c>
      <c r="BH19" s="431" t="s">
        <v>4043</v>
      </c>
      <c r="BI19" s="431" t="s">
        <v>4044</v>
      </c>
      <c r="BJ19" s="431" t="s">
        <v>4045</v>
      </c>
      <c r="BK19" s="431" t="s">
        <v>4046</v>
      </c>
      <c r="BL19" s="431" t="s">
        <v>4047</v>
      </c>
      <c r="BM19" s="431" t="s">
        <v>4048</v>
      </c>
      <c r="BN19" s="431" t="s">
        <v>4049</v>
      </c>
      <c r="BO19" s="431" t="s">
        <v>4050</v>
      </c>
      <c r="BP19" s="431" t="s">
        <v>4051</v>
      </c>
      <c r="BQ19" s="431" t="s">
        <v>4052</v>
      </c>
      <c r="BR19" s="431" t="s">
        <v>4053</v>
      </c>
      <c r="BS19" s="431" t="s">
        <v>4054</v>
      </c>
      <c r="BT19" s="431" t="s">
        <v>3566</v>
      </c>
      <c r="BU19" s="431" t="s">
        <v>3567</v>
      </c>
      <c r="BV19" s="431" t="s">
        <v>3568</v>
      </c>
      <c r="BW19" s="431" t="s">
        <v>3569</v>
      </c>
      <c r="BX19" s="431" t="s">
        <v>4055</v>
      </c>
      <c r="BY19" s="431" t="s">
        <v>4056</v>
      </c>
      <c r="BZ19" s="431" t="s">
        <v>4057</v>
      </c>
      <c r="CA19" s="431" t="s">
        <v>4058</v>
      </c>
      <c r="CB19" s="431" t="s">
        <v>4059</v>
      </c>
      <c r="CC19" s="431" t="s">
        <v>4060</v>
      </c>
      <c r="CD19" s="431" t="s">
        <v>4061</v>
      </c>
      <c r="CE19" s="431" t="s">
        <v>4062</v>
      </c>
      <c r="CF19" s="431" t="s">
        <v>4063</v>
      </c>
      <c r="CG19" s="431" t="s">
        <v>4064</v>
      </c>
      <c r="CH19" s="431" t="s">
        <v>4065</v>
      </c>
      <c r="CI19" s="431" t="s">
        <v>4066</v>
      </c>
      <c r="CJ19" s="431" t="s">
        <v>4067</v>
      </c>
      <c r="CK19" s="431" t="s">
        <v>4068</v>
      </c>
      <c r="CL19" s="431" t="s">
        <v>4069</v>
      </c>
      <c r="CM19" s="431" t="s">
        <v>4070</v>
      </c>
      <c r="CN19" s="431" t="s">
        <v>4071</v>
      </c>
      <c r="CO19" s="431" t="s">
        <v>4072</v>
      </c>
      <c r="CP19" s="431" t="s">
        <v>4073</v>
      </c>
      <c r="CQ19" s="431" t="s">
        <v>4074</v>
      </c>
      <c r="CR19" s="431" t="s">
        <v>4075</v>
      </c>
      <c r="CS19" s="431" t="s">
        <v>4076</v>
      </c>
      <c r="CT19" s="431" t="s">
        <v>4077</v>
      </c>
      <c r="CU19" s="431" t="s">
        <v>4078</v>
      </c>
      <c r="CV19" s="431" t="s">
        <v>3594</v>
      </c>
      <c r="CW19" s="431" t="s">
        <v>3595</v>
      </c>
      <c r="CX19" s="431" t="s">
        <v>3596</v>
      </c>
      <c r="CY19" s="431" t="s">
        <v>4079</v>
      </c>
      <c r="CZ19" s="431" t="s">
        <v>4080</v>
      </c>
      <c r="DA19" s="431" t="s">
        <v>4081</v>
      </c>
      <c r="DB19" s="431" t="s">
        <v>4082</v>
      </c>
      <c r="DC19" s="431" t="s">
        <v>4083</v>
      </c>
      <c r="DD19" s="431" t="s">
        <v>4084</v>
      </c>
      <c r="DE19" s="431" t="s">
        <v>4085</v>
      </c>
      <c r="DF19" s="431" t="s">
        <v>4086</v>
      </c>
      <c r="DG19" s="431" t="s">
        <v>4087</v>
      </c>
      <c r="DH19" s="431" t="s">
        <v>4088</v>
      </c>
      <c r="DI19" s="431" t="s">
        <v>4089</v>
      </c>
      <c r="DJ19" s="431" t="s">
        <v>4090</v>
      </c>
      <c r="DK19" s="431" t="s">
        <v>4091</v>
      </c>
      <c r="DL19" s="431" t="s">
        <v>4092</v>
      </c>
      <c r="DM19" s="431" t="s">
        <v>4093</v>
      </c>
      <c r="DN19" s="431" t="s">
        <v>4094</v>
      </c>
      <c r="DO19" s="431" t="s">
        <v>4095</v>
      </c>
      <c r="DP19" s="431" t="s">
        <v>4096</v>
      </c>
      <c r="DQ19" s="431" t="s">
        <v>4097</v>
      </c>
      <c r="DR19" s="431" t="s">
        <v>4098</v>
      </c>
      <c r="DS19" s="431" t="s">
        <v>3617</v>
      </c>
      <c r="DT19" s="431" t="s">
        <v>3618</v>
      </c>
      <c r="DU19" s="431" t="s">
        <v>3619</v>
      </c>
      <c r="DV19" s="431" t="s">
        <v>4099</v>
      </c>
      <c r="DW19" s="431" t="s">
        <v>4100</v>
      </c>
      <c r="DX19" s="431" t="s">
        <v>4101</v>
      </c>
      <c r="DY19" s="431" t="s">
        <v>4102</v>
      </c>
      <c r="DZ19" s="431" t="s">
        <v>4103</v>
      </c>
      <c r="EA19" s="431" t="s">
        <v>4104</v>
      </c>
      <c r="EB19" s="431" t="s">
        <v>4105</v>
      </c>
      <c r="EC19" s="431" t="s">
        <v>4106</v>
      </c>
      <c r="ED19" s="431" t="s">
        <v>4107</v>
      </c>
      <c r="EE19" s="431" t="s">
        <v>4108</v>
      </c>
      <c r="EF19" s="431" t="s">
        <v>4109</v>
      </c>
      <c r="EG19" s="431" t="s">
        <v>4110</v>
      </c>
      <c r="EH19" s="431" t="s">
        <v>4111</v>
      </c>
      <c r="EI19" s="431" t="s">
        <v>4112</v>
      </c>
      <c r="EJ19" s="431" t="s">
        <v>4113</v>
      </c>
      <c r="EK19" s="431" t="s">
        <v>4114</v>
      </c>
      <c r="EL19" s="431" t="s">
        <v>4115</v>
      </c>
      <c r="EM19" s="431" t="s">
        <v>4116</v>
      </c>
      <c r="EN19" s="431" t="s">
        <v>4117</v>
      </c>
      <c r="EO19" s="431" t="s">
        <v>4118</v>
      </c>
      <c r="EP19" s="431" t="s">
        <v>3640</v>
      </c>
      <c r="EQ19" s="431" t="s">
        <v>3641</v>
      </c>
      <c r="ER19" s="431" t="s">
        <v>3642</v>
      </c>
      <c r="ES19" s="431" t="s">
        <v>4119</v>
      </c>
      <c r="ET19" s="431" t="s">
        <v>4120</v>
      </c>
      <c r="EU19" s="431" t="s">
        <v>4121</v>
      </c>
      <c r="EV19" s="431" t="s">
        <v>4122</v>
      </c>
      <c r="EW19" s="431" t="s">
        <v>4123</v>
      </c>
      <c r="EX19" s="431" t="s">
        <v>4124</v>
      </c>
      <c r="EY19" s="431" t="s">
        <v>4125</v>
      </c>
      <c r="EZ19" s="431" t="s">
        <v>4126</v>
      </c>
      <c r="FA19" s="431" t="s">
        <v>4127</v>
      </c>
      <c r="FB19" s="431" t="s">
        <v>4128</v>
      </c>
      <c r="FC19" s="431" t="s">
        <v>4129</v>
      </c>
      <c r="FD19" s="431" t="s">
        <v>4130</v>
      </c>
      <c r="FE19" s="431" t="s">
        <v>4131</v>
      </c>
      <c r="FF19" s="431" t="s">
        <v>4132</v>
      </c>
      <c r="FG19" s="431" t="s">
        <v>4133</v>
      </c>
      <c r="FH19" s="433" t="s">
        <v>4134</v>
      </c>
    </row>
    <row r="20" spans="1:164" ht="12.75" customHeight="1" x14ac:dyDescent="0.3">
      <c r="A20" s="422"/>
      <c r="B20" s="422"/>
      <c r="C20" s="422"/>
      <c r="D20" s="422"/>
      <c r="E20" s="422"/>
      <c r="F20" s="568"/>
      <c r="G20" s="569"/>
      <c r="H20" s="439"/>
      <c r="I20" s="574">
        <v>0</v>
      </c>
      <c r="J20" s="566">
        <v>0</v>
      </c>
      <c r="K20" s="566">
        <v>0</v>
      </c>
      <c r="L20" s="566">
        <v>0</v>
      </c>
      <c r="M20" s="566">
        <v>0</v>
      </c>
      <c r="N20" s="566">
        <v>0</v>
      </c>
      <c r="O20" s="566">
        <v>0</v>
      </c>
      <c r="P20" s="566">
        <v>0</v>
      </c>
      <c r="Q20" s="566">
        <v>0</v>
      </c>
      <c r="R20" s="566">
        <v>0</v>
      </c>
      <c r="S20" s="566">
        <v>0</v>
      </c>
      <c r="T20" s="566">
        <v>0</v>
      </c>
      <c r="U20" s="566">
        <v>0</v>
      </c>
      <c r="V20" s="566">
        <v>0</v>
      </c>
      <c r="W20" s="566">
        <v>0</v>
      </c>
      <c r="X20" s="566">
        <v>0</v>
      </c>
      <c r="Y20" s="566">
        <v>0</v>
      </c>
      <c r="Z20" s="566">
        <v>0</v>
      </c>
      <c r="AA20" s="566">
        <v>0</v>
      </c>
      <c r="AB20" s="566">
        <v>0</v>
      </c>
      <c r="AC20" s="566">
        <v>0</v>
      </c>
      <c r="AD20" s="566">
        <v>0</v>
      </c>
      <c r="AE20" s="566">
        <v>0</v>
      </c>
      <c r="AF20" s="566">
        <v>0</v>
      </c>
      <c r="AG20" s="566">
        <v>0</v>
      </c>
      <c r="AH20" s="566">
        <v>0</v>
      </c>
      <c r="AI20" s="566">
        <v>0</v>
      </c>
      <c r="AJ20" s="566">
        <v>0</v>
      </c>
      <c r="AK20" s="566">
        <v>0</v>
      </c>
      <c r="AL20" s="566">
        <v>0</v>
      </c>
      <c r="AM20" s="566">
        <v>0</v>
      </c>
      <c r="AN20" s="566">
        <v>0</v>
      </c>
      <c r="AO20" s="566">
        <v>0</v>
      </c>
      <c r="AP20" s="566">
        <v>0</v>
      </c>
      <c r="AQ20" s="566">
        <v>0</v>
      </c>
      <c r="AR20" s="566">
        <v>0</v>
      </c>
      <c r="AS20" s="566">
        <v>0</v>
      </c>
      <c r="AT20" s="566">
        <v>0</v>
      </c>
      <c r="AU20" s="566">
        <v>0</v>
      </c>
      <c r="AV20" s="566">
        <v>0</v>
      </c>
      <c r="AW20" s="566">
        <v>0</v>
      </c>
      <c r="AX20" s="566">
        <v>0</v>
      </c>
      <c r="AY20" s="566">
        <v>0</v>
      </c>
      <c r="AZ20" s="566">
        <v>0</v>
      </c>
      <c r="BA20" s="566">
        <v>0</v>
      </c>
      <c r="BB20" s="566">
        <v>0</v>
      </c>
      <c r="BC20" s="566">
        <v>0</v>
      </c>
      <c r="BD20" s="566">
        <v>0</v>
      </c>
      <c r="BE20" s="566">
        <v>0</v>
      </c>
      <c r="BF20" s="566">
        <v>0</v>
      </c>
      <c r="BG20" s="566">
        <v>0</v>
      </c>
      <c r="BH20" s="566">
        <v>0</v>
      </c>
      <c r="BI20" s="566">
        <v>0</v>
      </c>
      <c r="BJ20" s="566">
        <v>0</v>
      </c>
      <c r="BK20" s="566">
        <v>0</v>
      </c>
      <c r="BL20" s="566">
        <v>0</v>
      </c>
      <c r="BM20" s="566">
        <v>0</v>
      </c>
      <c r="BN20" s="566">
        <v>0</v>
      </c>
      <c r="BO20" s="566">
        <v>0</v>
      </c>
      <c r="BP20" s="566">
        <v>0</v>
      </c>
      <c r="BQ20" s="566">
        <v>0</v>
      </c>
      <c r="BR20" s="566">
        <v>0</v>
      </c>
      <c r="BS20" s="566">
        <v>0</v>
      </c>
      <c r="BT20" s="566">
        <v>0</v>
      </c>
      <c r="BU20" s="566">
        <v>0</v>
      </c>
      <c r="BV20" s="566">
        <v>0</v>
      </c>
      <c r="BW20" s="566">
        <v>0</v>
      </c>
      <c r="BX20" s="566">
        <v>0</v>
      </c>
      <c r="BY20" s="566">
        <v>0</v>
      </c>
      <c r="BZ20" s="566">
        <v>0</v>
      </c>
      <c r="CA20" s="566">
        <v>0</v>
      </c>
      <c r="CB20" s="566">
        <v>0</v>
      </c>
      <c r="CC20" s="566">
        <v>0</v>
      </c>
      <c r="CD20" s="566">
        <v>0</v>
      </c>
      <c r="CE20" s="566">
        <v>0</v>
      </c>
      <c r="CF20" s="566">
        <v>0</v>
      </c>
      <c r="CG20" s="566">
        <v>0</v>
      </c>
      <c r="CH20" s="566">
        <v>0</v>
      </c>
      <c r="CI20" s="566">
        <v>0</v>
      </c>
      <c r="CJ20" s="566">
        <v>0</v>
      </c>
      <c r="CK20" s="566">
        <v>0</v>
      </c>
      <c r="CL20" s="566">
        <v>0</v>
      </c>
      <c r="CM20" s="566">
        <v>0</v>
      </c>
      <c r="CN20" s="566">
        <v>0</v>
      </c>
      <c r="CO20" s="566">
        <v>0</v>
      </c>
      <c r="CP20" s="566">
        <v>0</v>
      </c>
      <c r="CQ20" s="566">
        <v>0</v>
      </c>
      <c r="CR20" s="566">
        <v>0</v>
      </c>
      <c r="CS20" s="566">
        <v>0</v>
      </c>
      <c r="CT20" s="566">
        <v>0</v>
      </c>
      <c r="CU20" s="566">
        <v>0</v>
      </c>
      <c r="CV20" s="566">
        <v>0</v>
      </c>
      <c r="CW20" s="566">
        <v>0</v>
      </c>
      <c r="CX20" s="566">
        <v>0</v>
      </c>
      <c r="CY20" s="566">
        <v>0</v>
      </c>
      <c r="CZ20" s="566">
        <v>0</v>
      </c>
      <c r="DA20" s="566">
        <v>0</v>
      </c>
      <c r="DB20" s="566">
        <v>0</v>
      </c>
      <c r="DC20" s="566">
        <v>0</v>
      </c>
      <c r="DD20" s="566">
        <v>0</v>
      </c>
      <c r="DE20" s="566">
        <v>0</v>
      </c>
      <c r="DF20" s="566">
        <v>0</v>
      </c>
      <c r="DG20" s="566">
        <v>0</v>
      </c>
      <c r="DH20" s="566">
        <v>0</v>
      </c>
      <c r="DI20" s="566">
        <v>0</v>
      </c>
      <c r="DJ20" s="566">
        <v>0</v>
      </c>
      <c r="DK20" s="566">
        <v>0</v>
      </c>
      <c r="DL20" s="566">
        <v>0</v>
      </c>
      <c r="DM20" s="566">
        <v>0</v>
      </c>
      <c r="DN20" s="566">
        <v>0</v>
      </c>
      <c r="DO20" s="566">
        <v>0</v>
      </c>
      <c r="DP20" s="566">
        <v>0</v>
      </c>
      <c r="DQ20" s="566">
        <v>0</v>
      </c>
      <c r="DR20" s="566">
        <v>0</v>
      </c>
      <c r="DS20" s="566">
        <v>0</v>
      </c>
      <c r="DT20" s="566">
        <v>0</v>
      </c>
      <c r="DU20" s="566">
        <v>0</v>
      </c>
      <c r="DV20" s="566">
        <v>0</v>
      </c>
      <c r="DW20" s="566">
        <v>0</v>
      </c>
      <c r="DX20" s="566">
        <v>0</v>
      </c>
      <c r="DY20" s="566">
        <v>0</v>
      </c>
      <c r="DZ20" s="566">
        <v>0</v>
      </c>
      <c r="EA20" s="566">
        <v>0</v>
      </c>
      <c r="EB20" s="566">
        <v>0</v>
      </c>
      <c r="EC20" s="566">
        <v>0</v>
      </c>
      <c r="ED20" s="566">
        <v>0</v>
      </c>
      <c r="EE20" s="566">
        <v>0</v>
      </c>
      <c r="EF20" s="566">
        <v>0</v>
      </c>
      <c r="EG20" s="566">
        <v>0</v>
      </c>
      <c r="EH20" s="566">
        <v>0</v>
      </c>
      <c r="EI20" s="566">
        <v>0</v>
      </c>
      <c r="EJ20" s="566">
        <v>0</v>
      </c>
      <c r="EK20" s="566">
        <v>0</v>
      </c>
      <c r="EL20" s="566">
        <v>0</v>
      </c>
      <c r="EM20" s="566">
        <v>0</v>
      </c>
      <c r="EN20" s="566">
        <v>0</v>
      </c>
      <c r="EO20" s="566">
        <v>0</v>
      </c>
      <c r="EP20" s="566">
        <v>0</v>
      </c>
      <c r="EQ20" s="566">
        <v>0</v>
      </c>
      <c r="ER20" s="566">
        <v>0</v>
      </c>
      <c r="ES20" s="566">
        <v>0</v>
      </c>
      <c r="ET20" s="566">
        <v>0</v>
      </c>
      <c r="EU20" s="566">
        <v>0</v>
      </c>
      <c r="EV20" s="566">
        <v>0</v>
      </c>
      <c r="EW20" s="566">
        <v>0</v>
      </c>
      <c r="EX20" s="566">
        <v>0</v>
      </c>
      <c r="EY20" s="566">
        <v>0</v>
      </c>
      <c r="EZ20" s="566">
        <v>0</v>
      </c>
      <c r="FA20" s="566">
        <v>0</v>
      </c>
      <c r="FB20" s="566">
        <v>0</v>
      </c>
      <c r="FC20" s="566">
        <v>0</v>
      </c>
      <c r="FD20" s="566">
        <v>0</v>
      </c>
      <c r="FE20" s="566">
        <v>0</v>
      </c>
      <c r="FF20" s="566">
        <v>0</v>
      </c>
      <c r="FG20" s="566">
        <v>0</v>
      </c>
      <c r="FH20" s="566">
        <v>0</v>
      </c>
    </row>
    <row r="21" spans="1:164" ht="12.75" customHeight="1" x14ac:dyDescent="0.3">
      <c r="A21" s="422"/>
      <c r="B21" s="422"/>
      <c r="C21" s="422"/>
      <c r="D21" s="422"/>
      <c r="E21" s="422"/>
      <c r="F21" s="567"/>
      <c r="G21" s="569"/>
      <c r="H21" s="439"/>
      <c r="I21" s="574">
        <v>83758.906624272204</v>
      </c>
      <c r="J21" s="566">
        <v>5.4076255099663198E-2</v>
      </c>
      <c r="K21" s="566">
        <v>1</v>
      </c>
      <c r="L21" s="566">
        <v>1</v>
      </c>
      <c r="M21" s="566">
        <v>1</v>
      </c>
      <c r="N21" s="566">
        <v>1</v>
      </c>
      <c r="O21" s="566">
        <v>1</v>
      </c>
      <c r="P21" s="566">
        <v>1</v>
      </c>
      <c r="Q21" s="566">
        <v>1</v>
      </c>
      <c r="R21" s="566">
        <v>1</v>
      </c>
      <c r="S21" s="566">
        <v>1</v>
      </c>
      <c r="T21" s="566">
        <v>1</v>
      </c>
      <c r="U21" s="566">
        <v>0.999999999999999</v>
      </c>
      <c r="V21" s="566">
        <v>1</v>
      </c>
      <c r="W21" s="566">
        <v>1</v>
      </c>
      <c r="X21" s="566">
        <v>1</v>
      </c>
      <c r="Y21" s="566">
        <v>0.18919596427023799</v>
      </c>
      <c r="Z21" s="566">
        <v>1</v>
      </c>
      <c r="AA21" s="566">
        <v>1</v>
      </c>
      <c r="AB21" s="566">
        <v>1</v>
      </c>
      <c r="AC21" s="566">
        <v>1</v>
      </c>
      <c r="AD21" s="566">
        <v>1</v>
      </c>
      <c r="AE21" s="566">
        <v>1</v>
      </c>
      <c r="AF21" s="566">
        <v>1</v>
      </c>
      <c r="AG21" s="566">
        <v>0.999999999999999</v>
      </c>
      <c r="AH21" s="566">
        <v>1</v>
      </c>
      <c r="AI21" s="566">
        <v>1</v>
      </c>
      <c r="AJ21" s="566">
        <v>1</v>
      </c>
      <c r="AK21" s="566">
        <v>0.19204857396493499</v>
      </c>
      <c r="AL21" s="566">
        <v>1</v>
      </c>
      <c r="AM21" s="566">
        <v>1</v>
      </c>
      <c r="AN21" s="566">
        <v>1</v>
      </c>
      <c r="AO21" s="566">
        <v>1</v>
      </c>
      <c r="AP21" s="566">
        <v>1</v>
      </c>
      <c r="AQ21" s="566">
        <v>1</v>
      </c>
      <c r="AR21" s="566">
        <v>1</v>
      </c>
      <c r="AS21" s="566">
        <v>0.999999999999999</v>
      </c>
      <c r="AT21" s="566">
        <v>1</v>
      </c>
      <c r="AU21" s="566">
        <v>1</v>
      </c>
      <c r="AV21" s="566">
        <v>1</v>
      </c>
      <c r="AW21" s="566">
        <v>1</v>
      </c>
      <c r="AX21" s="566">
        <v>1</v>
      </c>
      <c r="AY21" s="566">
        <v>1</v>
      </c>
      <c r="AZ21" s="566">
        <v>1</v>
      </c>
      <c r="BA21" s="566">
        <v>2.0752011463963299E-2</v>
      </c>
      <c r="BB21" s="566">
        <v>1</v>
      </c>
      <c r="BC21" s="566">
        <v>1</v>
      </c>
      <c r="BD21" s="566">
        <v>1</v>
      </c>
      <c r="BE21" s="566">
        <v>1</v>
      </c>
      <c r="BF21" s="566">
        <v>1</v>
      </c>
      <c r="BG21" s="566">
        <v>1</v>
      </c>
      <c r="BH21" s="566">
        <v>0.999999999999996</v>
      </c>
      <c r="BI21" s="566">
        <v>1</v>
      </c>
      <c r="BJ21" s="566">
        <v>1</v>
      </c>
      <c r="BK21" s="566">
        <v>1</v>
      </c>
      <c r="BL21" s="566">
        <v>0.99999999999999101</v>
      </c>
      <c r="BM21" s="566">
        <v>1</v>
      </c>
      <c r="BN21" s="566">
        <v>1</v>
      </c>
      <c r="BO21" s="566">
        <v>1</v>
      </c>
      <c r="BP21" s="566">
        <v>2.0131817151505998E-2</v>
      </c>
      <c r="BQ21" s="566">
        <v>1</v>
      </c>
      <c r="BR21" s="566">
        <v>1</v>
      </c>
      <c r="BS21" s="566">
        <v>1.00000000000001</v>
      </c>
      <c r="BT21" s="566">
        <v>0.999999999999995</v>
      </c>
      <c r="BU21" s="566">
        <v>1</v>
      </c>
      <c r="BV21" s="566">
        <v>1</v>
      </c>
      <c r="BW21" s="566">
        <v>1</v>
      </c>
      <c r="BX21" s="566">
        <v>0.99999999999999101</v>
      </c>
      <c r="BY21" s="566">
        <v>1</v>
      </c>
      <c r="BZ21" s="566">
        <v>1</v>
      </c>
      <c r="CA21" s="566">
        <v>1</v>
      </c>
      <c r="CB21" s="566">
        <v>2.0131948052879201E-2</v>
      </c>
      <c r="CC21" s="566">
        <v>1</v>
      </c>
      <c r="CD21" s="566">
        <v>1</v>
      </c>
      <c r="CE21" s="566">
        <v>1.00000000000001</v>
      </c>
      <c r="CF21" s="566">
        <v>0.99999999999999001</v>
      </c>
      <c r="CG21" s="566">
        <v>1</v>
      </c>
      <c r="CH21" s="566">
        <v>1</v>
      </c>
      <c r="CI21" s="566">
        <v>1</v>
      </c>
      <c r="CJ21" s="566">
        <v>0.99999999999998901</v>
      </c>
      <c r="CK21" s="566">
        <v>1</v>
      </c>
      <c r="CL21" s="566">
        <v>1</v>
      </c>
      <c r="CM21" s="566">
        <v>1</v>
      </c>
      <c r="CN21" s="566">
        <v>0.99999999999999001</v>
      </c>
      <c r="CO21" s="566">
        <v>1</v>
      </c>
      <c r="CP21" s="566">
        <v>1</v>
      </c>
      <c r="CQ21" s="566">
        <v>1</v>
      </c>
      <c r="CR21" s="566">
        <v>1.99978252839863E-2</v>
      </c>
      <c r="CS21" s="566">
        <v>1</v>
      </c>
      <c r="CT21" s="566">
        <v>1</v>
      </c>
      <c r="CU21" s="566">
        <v>1</v>
      </c>
      <c r="CV21" s="566">
        <v>1</v>
      </c>
      <c r="CW21" s="566">
        <v>1</v>
      </c>
      <c r="CX21" s="566">
        <v>1</v>
      </c>
      <c r="CY21" s="566">
        <v>1.9998164849522999E-2</v>
      </c>
      <c r="CZ21" s="566">
        <v>1</v>
      </c>
      <c r="DA21" s="566">
        <v>1</v>
      </c>
      <c r="DB21" s="566">
        <v>1</v>
      </c>
      <c r="DC21" s="566">
        <v>1.99969615814251E-2</v>
      </c>
      <c r="DD21" s="566">
        <v>1</v>
      </c>
      <c r="DE21" s="566">
        <v>0.999999999999999</v>
      </c>
      <c r="DF21" s="566">
        <v>1</v>
      </c>
      <c r="DG21" s="566">
        <v>1.9996795998808901E-2</v>
      </c>
      <c r="DH21" s="566">
        <v>1</v>
      </c>
      <c r="DI21" s="566">
        <v>1</v>
      </c>
      <c r="DJ21" s="566">
        <v>1</v>
      </c>
      <c r="DK21" s="566">
        <v>0.99999999999959299</v>
      </c>
      <c r="DL21" s="566">
        <v>1</v>
      </c>
      <c r="DM21" s="566">
        <v>1</v>
      </c>
      <c r="DN21" s="566">
        <v>1</v>
      </c>
      <c r="DO21" s="566">
        <v>1.9997824461962001E-2</v>
      </c>
      <c r="DP21" s="566">
        <v>1</v>
      </c>
      <c r="DQ21" s="566">
        <v>1</v>
      </c>
      <c r="DR21" s="566">
        <v>1</v>
      </c>
      <c r="DS21" s="566">
        <v>1</v>
      </c>
      <c r="DT21" s="566">
        <v>1</v>
      </c>
      <c r="DU21" s="566">
        <v>1</v>
      </c>
      <c r="DV21" s="566">
        <v>1.9995437357843801E-2</v>
      </c>
      <c r="DW21" s="566">
        <v>1</v>
      </c>
      <c r="DX21" s="566">
        <v>1</v>
      </c>
      <c r="DY21" s="566">
        <v>1</v>
      </c>
      <c r="DZ21" s="566">
        <v>1.9994762499019499E-2</v>
      </c>
      <c r="EA21" s="566">
        <v>1</v>
      </c>
      <c r="EB21" s="566">
        <v>1</v>
      </c>
      <c r="EC21" s="566">
        <v>1.0000000000001401</v>
      </c>
      <c r="ED21" s="566">
        <v>1.9994596761715801E-2</v>
      </c>
      <c r="EE21" s="566">
        <v>1</v>
      </c>
      <c r="EF21" s="566">
        <v>1</v>
      </c>
      <c r="EG21" s="566">
        <v>0.99999999999969102</v>
      </c>
      <c r="EH21" s="566">
        <v>0.99999999999986999</v>
      </c>
      <c r="EI21" s="566">
        <v>1</v>
      </c>
      <c r="EJ21" s="566">
        <v>1</v>
      </c>
      <c r="EK21" s="566">
        <v>1</v>
      </c>
      <c r="EL21" s="566">
        <v>1.9993900444637499E-2</v>
      </c>
      <c r="EM21" s="566">
        <v>1</v>
      </c>
      <c r="EN21" s="566">
        <v>1</v>
      </c>
      <c r="EO21" s="566">
        <v>1</v>
      </c>
      <c r="EP21" s="566">
        <v>1</v>
      </c>
      <c r="EQ21" s="566">
        <v>1</v>
      </c>
      <c r="ER21" s="566">
        <v>1</v>
      </c>
      <c r="ES21" s="566">
        <v>1.99833879703161E-2</v>
      </c>
      <c r="ET21" s="566">
        <v>0.999999999999999</v>
      </c>
      <c r="EU21" s="566">
        <v>0.999999999999999</v>
      </c>
      <c r="EV21" s="566">
        <v>0.999999999999999</v>
      </c>
      <c r="EW21" s="566">
        <v>1.9983341366846499E-2</v>
      </c>
      <c r="EX21" s="566">
        <v>1</v>
      </c>
      <c r="EY21" s="566">
        <v>1</v>
      </c>
      <c r="EZ21" s="566">
        <v>1</v>
      </c>
      <c r="FA21" s="566">
        <v>1.9983175590936899E-2</v>
      </c>
      <c r="FB21" s="566">
        <v>1</v>
      </c>
      <c r="FC21" s="566">
        <v>1</v>
      </c>
      <c r="FD21" s="566">
        <v>1</v>
      </c>
      <c r="FE21" s="566">
        <v>0.99999999997358402</v>
      </c>
      <c r="FF21" s="566">
        <v>1</v>
      </c>
      <c r="FG21" s="566">
        <v>1</v>
      </c>
      <c r="FH21" s="566">
        <v>0.999999999999999</v>
      </c>
    </row>
    <row r="22" spans="1:164" ht="12.75" customHeight="1" x14ac:dyDescent="0.3">
      <c r="A22" s="422"/>
      <c r="B22" s="422"/>
      <c r="C22" s="422"/>
      <c r="D22" s="422"/>
      <c r="E22" s="422"/>
      <c r="F22" s="567"/>
      <c r="G22" s="569"/>
      <c r="H22" s="439"/>
      <c r="I22" s="574">
        <v>167517.813248544</v>
      </c>
      <c r="J22" s="566">
        <v>7.2985394221466507E-2</v>
      </c>
      <c r="K22" s="566">
        <v>0.999999999999999</v>
      </c>
      <c r="L22" s="566">
        <v>0.999999999999998</v>
      </c>
      <c r="M22" s="566">
        <v>0.999999999999999</v>
      </c>
      <c r="N22" s="566">
        <v>0.999999999999998</v>
      </c>
      <c r="O22" s="566">
        <v>0.999999999999999</v>
      </c>
      <c r="P22" s="566">
        <v>1</v>
      </c>
      <c r="Q22" s="566">
        <v>1</v>
      </c>
      <c r="R22" s="566">
        <v>1</v>
      </c>
      <c r="S22" s="566">
        <v>1</v>
      </c>
      <c r="T22" s="566">
        <v>1</v>
      </c>
      <c r="U22" s="566">
        <v>1</v>
      </c>
      <c r="V22" s="566">
        <v>1</v>
      </c>
      <c r="W22" s="566">
        <v>1</v>
      </c>
      <c r="X22" s="566">
        <v>0.999999999999999</v>
      </c>
      <c r="Y22" s="566">
        <v>0.20540404276999999</v>
      </c>
      <c r="Z22" s="566">
        <v>0.999999999999999</v>
      </c>
      <c r="AA22" s="566">
        <v>1</v>
      </c>
      <c r="AB22" s="566">
        <v>0.999999999999999</v>
      </c>
      <c r="AC22" s="566">
        <v>0.999999999999999</v>
      </c>
      <c r="AD22" s="566">
        <v>0.999999999999999</v>
      </c>
      <c r="AE22" s="566">
        <v>1</v>
      </c>
      <c r="AF22" s="566">
        <v>1</v>
      </c>
      <c r="AG22" s="566">
        <v>1</v>
      </c>
      <c r="AH22" s="566">
        <v>1</v>
      </c>
      <c r="AI22" s="566">
        <v>1</v>
      </c>
      <c r="AJ22" s="566">
        <v>0.999999999999999</v>
      </c>
      <c r="AK22" s="566">
        <v>0.20819962842458101</v>
      </c>
      <c r="AL22" s="566">
        <v>0.999999999999998</v>
      </c>
      <c r="AM22" s="566">
        <v>1</v>
      </c>
      <c r="AN22" s="566">
        <v>1</v>
      </c>
      <c r="AO22" s="566">
        <v>0.999999999999996</v>
      </c>
      <c r="AP22" s="566">
        <v>0.999999999999998</v>
      </c>
      <c r="AQ22" s="566">
        <v>0.999999999999997</v>
      </c>
      <c r="AR22" s="566">
        <v>0.999999999999998</v>
      </c>
      <c r="AS22" s="566">
        <v>0.999999999999999</v>
      </c>
      <c r="AT22" s="566">
        <v>0.999999999999999</v>
      </c>
      <c r="AU22" s="566">
        <v>1</v>
      </c>
      <c r="AV22" s="566">
        <v>0.999999999999999</v>
      </c>
      <c r="AW22" s="566">
        <v>1</v>
      </c>
      <c r="AX22" s="566">
        <v>0.999999999999999</v>
      </c>
      <c r="AY22" s="566">
        <v>1</v>
      </c>
      <c r="AZ22" s="566">
        <v>1</v>
      </c>
      <c r="BA22" s="566">
        <v>4.0327306565499099E-2</v>
      </c>
      <c r="BB22" s="566">
        <v>0.999999999999998</v>
      </c>
      <c r="BC22" s="566">
        <v>0.999999999999998</v>
      </c>
      <c r="BD22" s="566">
        <v>0.999999999999998</v>
      </c>
      <c r="BE22" s="566">
        <v>0.999999999999998</v>
      </c>
      <c r="BF22" s="566">
        <v>0.999999999999998</v>
      </c>
      <c r="BG22" s="566">
        <v>0.999999999999999</v>
      </c>
      <c r="BH22" s="566">
        <v>0.99999999999999001</v>
      </c>
      <c r="BI22" s="566">
        <v>1</v>
      </c>
      <c r="BJ22" s="566">
        <v>0.999999999999997</v>
      </c>
      <c r="BK22" s="566">
        <v>1</v>
      </c>
      <c r="BL22" s="566">
        <v>0.99999999999999001</v>
      </c>
      <c r="BM22" s="566">
        <v>0.999999999999996</v>
      </c>
      <c r="BN22" s="566">
        <v>0.999999999999998</v>
      </c>
      <c r="BO22" s="566">
        <v>0.999999999999998</v>
      </c>
      <c r="BP22" s="566">
        <v>3.9719510018295101E-2</v>
      </c>
      <c r="BQ22" s="566">
        <v>0.999999999999998</v>
      </c>
      <c r="BR22" s="566">
        <v>0.999999999999999</v>
      </c>
      <c r="BS22" s="566">
        <v>1.00000000000004</v>
      </c>
      <c r="BT22" s="566">
        <v>0.99999999999999201</v>
      </c>
      <c r="BU22" s="566">
        <v>1</v>
      </c>
      <c r="BV22" s="566">
        <v>0.999999999999996</v>
      </c>
      <c r="BW22" s="566">
        <v>1</v>
      </c>
      <c r="BX22" s="566">
        <v>0.99999999999999001</v>
      </c>
      <c r="BY22" s="566">
        <v>0.999999999999996</v>
      </c>
      <c r="BZ22" s="566">
        <v>0.999999999999998</v>
      </c>
      <c r="CA22" s="566">
        <v>0.999999999999997</v>
      </c>
      <c r="CB22" s="566">
        <v>3.9719638302932798E-2</v>
      </c>
      <c r="CC22" s="566">
        <v>0.999999999999997</v>
      </c>
      <c r="CD22" s="566">
        <v>0.999999999999999</v>
      </c>
      <c r="CE22" s="566">
        <v>1.00000000000003</v>
      </c>
      <c r="CF22" s="566">
        <v>0.99999999999998801</v>
      </c>
      <c r="CG22" s="566">
        <v>0.999999999999998</v>
      </c>
      <c r="CH22" s="566">
        <v>0.999999999999997</v>
      </c>
      <c r="CI22" s="566">
        <v>0.999999999999997</v>
      </c>
      <c r="CJ22" s="566">
        <v>0.99999999999999001</v>
      </c>
      <c r="CK22" s="566">
        <v>0.999999999999998</v>
      </c>
      <c r="CL22" s="566">
        <v>0.999999999999998</v>
      </c>
      <c r="CM22" s="566">
        <v>0.999999999999999</v>
      </c>
      <c r="CN22" s="566">
        <v>0.99999999999998901</v>
      </c>
      <c r="CO22" s="566">
        <v>0.999999999999999</v>
      </c>
      <c r="CP22" s="566">
        <v>0.999999999999998</v>
      </c>
      <c r="CQ22" s="566">
        <v>1</v>
      </c>
      <c r="CR22" s="566">
        <v>3.9588196665695602E-2</v>
      </c>
      <c r="CS22" s="566">
        <v>0.999999999999996</v>
      </c>
      <c r="CT22" s="566">
        <v>0.999999999999997</v>
      </c>
      <c r="CU22" s="566">
        <v>1</v>
      </c>
      <c r="CV22" s="566">
        <v>0.999999999999997</v>
      </c>
      <c r="CW22" s="566">
        <v>0.999999999999997</v>
      </c>
      <c r="CX22" s="566">
        <v>0.999999999999999</v>
      </c>
      <c r="CY22" s="566">
        <v>3.9588529443272902E-2</v>
      </c>
      <c r="CZ22" s="566">
        <v>0.999999999999998</v>
      </c>
      <c r="DA22" s="566">
        <v>0.999999999999997</v>
      </c>
      <c r="DB22" s="566">
        <v>1</v>
      </c>
      <c r="DC22" s="566">
        <v>3.9587350228661299E-2</v>
      </c>
      <c r="DD22" s="566">
        <v>0.999999999999999</v>
      </c>
      <c r="DE22" s="566">
        <v>0.999999999999997</v>
      </c>
      <c r="DF22" s="566">
        <v>1.00000000000001</v>
      </c>
      <c r="DG22" s="566">
        <v>3.9587187956063197E-2</v>
      </c>
      <c r="DH22" s="566">
        <v>0.999999999999998</v>
      </c>
      <c r="DI22" s="566">
        <v>0.999999999999998</v>
      </c>
      <c r="DJ22" s="566">
        <v>1</v>
      </c>
      <c r="DK22" s="566">
        <v>0.99999999999959699</v>
      </c>
      <c r="DL22" s="566">
        <v>0.999999999999997</v>
      </c>
      <c r="DM22" s="566">
        <v>0.999999999999995</v>
      </c>
      <c r="DN22" s="566">
        <v>0.999999999999997</v>
      </c>
      <c r="DO22" s="566">
        <v>3.95881958601038E-2</v>
      </c>
      <c r="DP22" s="566">
        <v>0.999999999999997</v>
      </c>
      <c r="DQ22" s="566">
        <v>0.999999999999996</v>
      </c>
      <c r="DR22" s="566">
        <v>0.999999999999997</v>
      </c>
      <c r="DS22" s="566">
        <v>0.999999999999997</v>
      </c>
      <c r="DT22" s="566">
        <v>0.999999999999997</v>
      </c>
      <c r="DU22" s="566">
        <v>0.999999999999998</v>
      </c>
      <c r="DV22" s="566">
        <v>3.9585856474508303E-2</v>
      </c>
      <c r="DW22" s="566">
        <v>0.999999999999997</v>
      </c>
      <c r="DX22" s="566">
        <v>0.999999999999997</v>
      </c>
      <c r="DY22" s="566">
        <v>1</v>
      </c>
      <c r="DZ22" s="566">
        <v>3.9585195106200101E-2</v>
      </c>
      <c r="EA22" s="566">
        <v>0.999999999999998</v>
      </c>
      <c r="EB22" s="566">
        <v>0.999999999999998</v>
      </c>
      <c r="EC22" s="566">
        <v>1.00000000000031</v>
      </c>
      <c r="ED22" s="566">
        <v>3.95850326820067E-2</v>
      </c>
      <c r="EE22" s="566">
        <v>0.999999999999996</v>
      </c>
      <c r="EF22" s="566">
        <v>0.999999999999997</v>
      </c>
      <c r="EG22" s="566">
        <v>0.99999999999906997</v>
      </c>
      <c r="EH22" s="566">
        <v>0.99999999999988198</v>
      </c>
      <c r="EI22" s="566">
        <v>0.999999999999996</v>
      </c>
      <c r="EJ22" s="566">
        <v>0.999999999999996</v>
      </c>
      <c r="EK22" s="566">
        <v>0.999999999999996</v>
      </c>
      <c r="EL22" s="566">
        <v>3.9584350284397697E-2</v>
      </c>
      <c r="EM22" s="566">
        <v>0.999999999999997</v>
      </c>
      <c r="EN22" s="566">
        <v>0.999999999999996</v>
      </c>
      <c r="EO22" s="566">
        <v>0.999999999999998</v>
      </c>
      <c r="EP22" s="566">
        <v>0.999999999999996</v>
      </c>
      <c r="EQ22" s="566">
        <v>0.999999999999995</v>
      </c>
      <c r="ER22" s="566">
        <v>0.999999999999997</v>
      </c>
      <c r="ES22" s="566">
        <v>3.9574047955810002E-2</v>
      </c>
      <c r="ET22" s="566">
        <v>0.999999999999996</v>
      </c>
      <c r="EU22" s="566">
        <v>0.999999999999995</v>
      </c>
      <c r="EV22" s="566">
        <v>0.999999999999996</v>
      </c>
      <c r="EW22" s="566">
        <v>3.9574002283949902E-2</v>
      </c>
      <c r="EX22" s="566">
        <v>0.999999999999997</v>
      </c>
      <c r="EY22" s="566">
        <v>0.999999999999994</v>
      </c>
      <c r="EZ22" s="566">
        <v>0.999999999999995</v>
      </c>
      <c r="FA22" s="566">
        <v>3.9573839821922398E-2</v>
      </c>
      <c r="FB22" s="566">
        <v>0.999999999999996</v>
      </c>
      <c r="FC22" s="566">
        <v>0.999999999999995</v>
      </c>
      <c r="FD22" s="566">
        <v>0.999999999999996</v>
      </c>
      <c r="FE22" s="566">
        <v>0.99999999997410804</v>
      </c>
      <c r="FF22" s="566">
        <v>0.999999999999997</v>
      </c>
      <c r="FG22" s="566">
        <v>0.999999999999995</v>
      </c>
      <c r="FH22" s="566">
        <v>0.999999999999996</v>
      </c>
    </row>
    <row r="23" spans="1:164" ht="12.75" customHeight="1" x14ac:dyDescent="0.3">
      <c r="A23" s="422"/>
      <c r="B23" s="422"/>
      <c r="C23" s="422"/>
      <c r="D23" s="422"/>
      <c r="E23" s="422"/>
      <c r="F23" s="567"/>
      <c r="G23" s="569"/>
      <c r="H23" s="439"/>
      <c r="I23" s="574">
        <v>251276.71987281699</v>
      </c>
      <c r="J23" s="566">
        <v>9.1516536472099702E-2</v>
      </c>
      <c r="K23" s="566">
        <v>0.999999999999999</v>
      </c>
      <c r="L23" s="566">
        <v>0.999999999999998</v>
      </c>
      <c r="M23" s="566">
        <v>0.999999999999999</v>
      </c>
      <c r="N23" s="566">
        <v>0.999999999999997</v>
      </c>
      <c r="O23" s="566">
        <v>0.999999999999998</v>
      </c>
      <c r="P23" s="566">
        <v>1</v>
      </c>
      <c r="Q23" s="566">
        <v>1</v>
      </c>
      <c r="R23" s="566">
        <v>1</v>
      </c>
      <c r="S23" s="566">
        <v>1</v>
      </c>
      <c r="T23" s="566">
        <v>1</v>
      </c>
      <c r="U23" s="566">
        <v>1</v>
      </c>
      <c r="V23" s="566">
        <v>1</v>
      </c>
      <c r="W23" s="566">
        <v>1</v>
      </c>
      <c r="X23" s="566">
        <v>0.999999999999999</v>
      </c>
      <c r="Y23" s="566">
        <v>0.22128811905469001</v>
      </c>
      <c r="Z23" s="566">
        <v>0.999999999999999</v>
      </c>
      <c r="AA23" s="566">
        <v>1</v>
      </c>
      <c r="AB23" s="566">
        <v>0.999999999999998</v>
      </c>
      <c r="AC23" s="566">
        <v>0.999999999999999</v>
      </c>
      <c r="AD23" s="566">
        <v>0.999999999999998</v>
      </c>
      <c r="AE23" s="566">
        <v>1</v>
      </c>
      <c r="AF23" s="566">
        <v>1</v>
      </c>
      <c r="AG23" s="566">
        <v>1</v>
      </c>
      <c r="AH23" s="566">
        <v>1</v>
      </c>
      <c r="AI23" s="566">
        <v>1</v>
      </c>
      <c r="AJ23" s="566">
        <v>0.999999999999998</v>
      </c>
      <c r="AK23" s="566">
        <v>0.22402782058930501</v>
      </c>
      <c r="AL23" s="566">
        <v>0.999999999999997</v>
      </c>
      <c r="AM23" s="566">
        <v>1</v>
      </c>
      <c r="AN23" s="566">
        <v>0.999999999999999</v>
      </c>
      <c r="AO23" s="566">
        <v>0.999999999999994</v>
      </c>
      <c r="AP23" s="566">
        <v>0.999999999999997</v>
      </c>
      <c r="AQ23" s="566">
        <v>0.999999999999996</v>
      </c>
      <c r="AR23" s="566">
        <v>0.999999999999997</v>
      </c>
      <c r="AS23" s="566">
        <v>0.999999999999999</v>
      </c>
      <c r="AT23" s="566">
        <v>1</v>
      </c>
      <c r="AU23" s="566">
        <v>1</v>
      </c>
      <c r="AV23" s="566">
        <v>0.999999999999998</v>
      </c>
      <c r="AW23" s="566">
        <v>1</v>
      </c>
      <c r="AX23" s="566">
        <v>0.999999999999999</v>
      </c>
      <c r="AY23" s="566">
        <v>1</v>
      </c>
      <c r="AZ23" s="566">
        <v>0.999999999999999</v>
      </c>
      <c r="BA23" s="566">
        <v>5.9511288225796398E-2</v>
      </c>
      <c r="BB23" s="566">
        <v>0.999999999999997</v>
      </c>
      <c r="BC23" s="566">
        <v>0.999999999999998</v>
      </c>
      <c r="BD23" s="566">
        <v>0.999999999999998</v>
      </c>
      <c r="BE23" s="566">
        <v>0.999999999999998</v>
      </c>
      <c r="BF23" s="566">
        <v>0.999999999999998</v>
      </c>
      <c r="BG23" s="566">
        <v>0.999999999999999</v>
      </c>
      <c r="BH23" s="566">
        <v>0.99999999999998801</v>
      </c>
      <c r="BI23" s="566">
        <v>1</v>
      </c>
      <c r="BJ23" s="566">
        <v>0.999999999999996</v>
      </c>
      <c r="BK23" s="566">
        <v>1</v>
      </c>
      <c r="BL23" s="566">
        <v>0.99999999999999001</v>
      </c>
      <c r="BM23" s="566">
        <v>0.999999999999994</v>
      </c>
      <c r="BN23" s="566">
        <v>0.999999999999998</v>
      </c>
      <c r="BO23" s="566">
        <v>0.999999999999997</v>
      </c>
      <c r="BP23" s="566">
        <v>5.8915641610433202E-2</v>
      </c>
      <c r="BQ23" s="566">
        <v>0.999999999999997</v>
      </c>
      <c r="BR23" s="566">
        <v>1</v>
      </c>
      <c r="BS23" s="566">
        <v>1.00000000000006</v>
      </c>
      <c r="BT23" s="566">
        <v>0.99999999999999001</v>
      </c>
      <c r="BU23" s="566">
        <v>1</v>
      </c>
      <c r="BV23" s="566">
        <v>0.999999999999995</v>
      </c>
      <c r="BW23" s="566">
        <v>1</v>
      </c>
      <c r="BX23" s="566">
        <v>0.99999999999998801</v>
      </c>
      <c r="BY23" s="566">
        <v>0.999999999999994</v>
      </c>
      <c r="BZ23" s="566">
        <v>0.999999999999998</v>
      </c>
      <c r="CA23" s="566">
        <v>0.999999999999995</v>
      </c>
      <c r="CB23" s="566">
        <v>5.8915767330644402E-2</v>
      </c>
      <c r="CC23" s="566">
        <v>0.999999999999996</v>
      </c>
      <c r="CD23" s="566">
        <v>0.999999999999999</v>
      </c>
      <c r="CE23" s="566">
        <v>1.00000000000005</v>
      </c>
      <c r="CF23" s="566">
        <v>0.99999999999998701</v>
      </c>
      <c r="CG23" s="566">
        <v>0.999999999999997</v>
      </c>
      <c r="CH23" s="566">
        <v>0.999999999999997</v>
      </c>
      <c r="CI23" s="566">
        <v>0.999999999999996</v>
      </c>
      <c r="CJ23" s="566">
        <v>0.99999999999998901</v>
      </c>
      <c r="CK23" s="566">
        <v>0.999999999999998</v>
      </c>
      <c r="CL23" s="566">
        <v>0.999999999999997</v>
      </c>
      <c r="CM23" s="566">
        <v>0.999999999999998</v>
      </c>
      <c r="CN23" s="566">
        <v>0.99999999999998801</v>
      </c>
      <c r="CO23" s="566">
        <v>0.999999999999999</v>
      </c>
      <c r="CP23" s="566">
        <v>0.999999999999998</v>
      </c>
      <c r="CQ23" s="566">
        <v>0.999999999999999</v>
      </c>
      <c r="CR23" s="566">
        <v>5.8786953228790302E-2</v>
      </c>
      <c r="CS23" s="566">
        <v>0.999999999999995</v>
      </c>
      <c r="CT23" s="566">
        <v>0.999999999999996</v>
      </c>
      <c r="CU23" s="566">
        <v>0.999999999999999</v>
      </c>
      <c r="CV23" s="566">
        <v>0.999999999999995</v>
      </c>
      <c r="CW23" s="566">
        <v>0.999999999999996</v>
      </c>
      <c r="CX23" s="566">
        <v>0.999999999999998</v>
      </c>
      <c r="CY23" s="566">
        <v>5.8787279354100698E-2</v>
      </c>
      <c r="CZ23" s="566">
        <v>0.999999999999997</v>
      </c>
      <c r="DA23" s="566">
        <v>0.999999999999997</v>
      </c>
      <c r="DB23" s="566">
        <v>1</v>
      </c>
      <c r="DC23" s="566">
        <v>5.8786123712142098E-2</v>
      </c>
      <c r="DD23" s="566">
        <v>0.999999999999997</v>
      </c>
      <c r="DE23" s="566">
        <v>0.999999999999995</v>
      </c>
      <c r="DF23" s="566">
        <v>1</v>
      </c>
      <c r="DG23" s="566">
        <v>5.8785964683394303E-2</v>
      </c>
      <c r="DH23" s="566">
        <v>0.999999999999996</v>
      </c>
      <c r="DI23" s="566">
        <v>0.999999999999997</v>
      </c>
      <c r="DJ23" s="566">
        <v>1</v>
      </c>
      <c r="DK23" s="566">
        <v>0.99999999999960199</v>
      </c>
      <c r="DL23" s="566">
        <v>0.999999999999995</v>
      </c>
      <c r="DM23" s="566">
        <v>0.99999999999999301</v>
      </c>
      <c r="DN23" s="566">
        <v>0.999999999999996</v>
      </c>
      <c r="DO23" s="566">
        <v>5.8786952439302299E-2</v>
      </c>
      <c r="DP23" s="566">
        <v>0.999999999999996</v>
      </c>
      <c r="DQ23" s="566">
        <v>0.999999999999994</v>
      </c>
      <c r="DR23" s="566">
        <v>0.999999999999996</v>
      </c>
      <c r="DS23" s="566">
        <v>0.999999999999995</v>
      </c>
      <c r="DT23" s="566">
        <v>0.999999999999995</v>
      </c>
      <c r="DU23" s="566">
        <v>0.999999999999996</v>
      </c>
      <c r="DV23" s="566">
        <v>5.8784659818328498E-2</v>
      </c>
      <c r="DW23" s="566">
        <v>0.999999999999996</v>
      </c>
      <c r="DX23" s="566">
        <v>0.999999999999996</v>
      </c>
      <c r="DY23" s="566">
        <v>1</v>
      </c>
      <c r="DZ23" s="566">
        <v>5.8784011670858602E-2</v>
      </c>
      <c r="EA23" s="566">
        <v>0.999999999999996</v>
      </c>
      <c r="EB23" s="566">
        <v>0.999999999999997</v>
      </c>
      <c r="EC23" s="566">
        <v>1.0000000000007201</v>
      </c>
      <c r="ED23" s="566">
        <v>5.8783852493545903E-2</v>
      </c>
      <c r="EE23" s="566">
        <v>0.999999999999995</v>
      </c>
      <c r="EF23" s="566">
        <v>0.999999999999996</v>
      </c>
      <c r="EG23" s="566">
        <v>0.99999999999784495</v>
      </c>
      <c r="EH23" s="566">
        <v>0.99999999999988398</v>
      </c>
      <c r="EI23" s="566">
        <v>0.999999999999995</v>
      </c>
      <c r="EJ23" s="566">
        <v>0.999999999999995</v>
      </c>
      <c r="EK23" s="566">
        <v>0.999999999999994</v>
      </c>
      <c r="EL23" s="566">
        <v>5.8783183737153501E-2</v>
      </c>
      <c r="EM23" s="566">
        <v>0.999999999999996</v>
      </c>
      <c r="EN23" s="566">
        <v>0.999999999999994</v>
      </c>
      <c r="EO23" s="566">
        <v>0.999999999999996</v>
      </c>
      <c r="EP23" s="566">
        <v>0.999999999999994</v>
      </c>
      <c r="EQ23" s="566">
        <v>0.99999999999999201</v>
      </c>
      <c r="ER23" s="566">
        <v>0.999999999999995</v>
      </c>
      <c r="ES23" s="566">
        <v>5.87730873534512E-2</v>
      </c>
      <c r="ET23" s="566">
        <v>0.999999999999994</v>
      </c>
      <c r="EU23" s="566">
        <v>0.99999999999999301</v>
      </c>
      <c r="EV23" s="566">
        <v>0.999999999999994</v>
      </c>
      <c r="EW23" s="566">
        <v>5.8773042594577399E-2</v>
      </c>
      <c r="EX23" s="566">
        <v>0.999999999999995</v>
      </c>
      <c r="EY23" s="566">
        <v>0.99999999999999201</v>
      </c>
      <c r="EZ23" s="566">
        <v>0.99999999999999301</v>
      </c>
      <c r="FA23" s="566">
        <v>5.8772883380186998E-2</v>
      </c>
      <c r="FB23" s="566">
        <v>0.999999999999995</v>
      </c>
      <c r="FC23" s="566">
        <v>0.99999999999999201</v>
      </c>
      <c r="FD23" s="566">
        <v>0.999999999999994</v>
      </c>
      <c r="FE23" s="566">
        <v>0.99999999997462397</v>
      </c>
      <c r="FF23" s="566">
        <v>0.999999999999995</v>
      </c>
      <c r="FG23" s="566">
        <v>0.99999999999999301</v>
      </c>
      <c r="FH23" s="566">
        <v>0.999999999999994</v>
      </c>
    </row>
    <row r="24" spans="1:164" ht="12.75" customHeight="1" x14ac:dyDescent="0.3">
      <c r="A24" s="422"/>
      <c r="B24" s="422"/>
      <c r="C24" s="422"/>
      <c r="D24" s="422"/>
      <c r="E24" s="422"/>
      <c r="F24" s="570"/>
      <c r="G24" s="569"/>
      <c r="H24" s="439"/>
      <c r="I24" s="574">
        <v>335035.62649708899</v>
      </c>
      <c r="J24" s="566">
        <v>0.10967724345568799</v>
      </c>
      <c r="K24" s="566">
        <v>1</v>
      </c>
      <c r="L24" s="566">
        <v>1</v>
      </c>
      <c r="M24" s="566">
        <v>1</v>
      </c>
      <c r="N24" s="566">
        <v>1</v>
      </c>
      <c r="O24" s="566">
        <v>1</v>
      </c>
      <c r="P24" s="566">
        <v>1</v>
      </c>
      <c r="Q24" s="566">
        <v>1</v>
      </c>
      <c r="R24" s="566">
        <v>1</v>
      </c>
      <c r="S24" s="566">
        <v>1</v>
      </c>
      <c r="T24" s="566">
        <v>1</v>
      </c>
      <c r="U24" s="566">
        <v>1</v>
      </c>
      <c r="V24" s="566">
        <v>1</v>
      </c>
      <c r="W24" s="566">
        <v>1</v>
      </c>
      <c r="X24" s="566">
        <v>1</v>
      </c>
      <c r="Y24" s="566">
        <v>0.236854674597231</v>
      </c>
      <c r="Z24" s="566">
        <v>1</v>
      </c>
      <c r="AA24" s="566">
        <v>1</v>
      </c>
      <c r="AB24" s="566">
        <v>1</v>
      </c>
      <c r="AC24" s="566">
        <v>1</v>
      </c>
      <c r="AD24" s="566">
        <v>1</v>
      </c>
      <c r="AE24" s="566">
        <v>1</v>
      </c>
      <c r="AF24" s="566">
        <v>1</v>
      </c>
      <c r="AG24" s="566">
        <v>1</v>
      </c>
      <c r="AH24" s="566">
        <v>1</v>
      </c>
      <c r="AI24" s="566">
        <v>1</v>
      </c>
      <c r="AJ24" s="566">
        <v>1</v>
      </c>
      <c r="AK24" s="566">
        <v>0.239539609128603</v>
      </c>
      <c r="AL24" s="566">
        <v>1</v>
      </c>
      <c r="AM24" s="566">
        <v>1</v>
      </c>
      <c r="AN24" s="566">
        <v>1</v>
      </c>
      <c r="AO24" s="566">
        <v>0.999999999999999</v>
      </c>
      <c r="AP24" s="566">
        <v>1</v>
      </c>
      <c r="AQ24" s="566">
        <v>1</v>
      </c>
      <c r="AR24" s="566">
        <v>1</v>
      </c>
      <c r="AS24" s="566">
        <v>1</v>
      </c>
      <c r="AT24" s="566">
        <v>1</v>
      </c>
      <c r="AU24" s="566">
        <v>1</v>
      </c>
      <c r="AV24" s="566">
        <v>1</v>
      </c>
      <c r="AW24" s="566">
        <v>1</v>
      </c>
      <c r="AX24" s="566">
        <v>1</v>
      </c>
      <c r="AY24" s="566">
        <v>1</v>
      </c>
      <c r="AZ24" s="566">
        <v>1</v>
      </c>
      <c r="BA24" s="566">
        <v>7.8311784439097906E-2</v>
      </c>
      <c r="BB24" s="566">
        <v>1</v>
      </c>
      <c r="BC24" s="566">
        <v>1</v>
      </c>
      <c r="BD24" s="566">
        <v>1</v>
      </c>
      <c r="BE24" s="566">
        <v>1</v>
      </c>
      <c r="BF24" s="566">
        <v>1</v>
      </c>
      <c r="BG24" s="566">
        <v>1</v>
      </c>
      <c r="BH24" s="566">
        <v>0.999999999999996</v>
      </c>
      <c r="BI24" s="566">
        <v>1</v>
      </c>
      <c r="BJ24" s="566">
        <v>1</v>
      </c>
      <c r="BK24" s="566">
        <v>1</v>
      </c>
      <c r="BL24" s="566">
        <v>0.99999999999999201</v>
      </c>
      <c r="BM24" s="566">
        <v>1</v>
      </c>
      <c r="BN24" s="566">
        <v>1</v>
      </c>
      <c r="BO24" s="566">
        <v>1</v>
      </c>
      <c r="BP24" s="566">
        <v>7.7728044879925698E-2</v>
      </c>
      <c r="BQ24" s="566">
        <v>1</v>
      </c>
      <c r="BR24" s="566">
        <v>1</v>
      </c>
      <c r="BS24" s="566">
        <v>0.99999999999994904</v>
      </c>
      <c r="BT24" s="566">
        <v>0.999999999999996</v>
      </c>
      <c r="BU24" s="566">
        <v>1</v>
      </c>
      <c r="BV24" s="566">
        <v>0.999999999999999</v>
      </c>
      <c r="BW24" s="566">
        <v>1</v>
      </c>
      <c r="BX24" s="566">
        <v>0.99999999999999201</v>
      </c>
      <c r="BY24" s="566">
        <v>0.999999999999999</v>
      </c>
      <c r="BZ24" s="566">
        <v>1</v>
      </c>
      <c r="CA24" s="566">
        <v>1</v>
      </c>
      <c r="CB24" s="566">
        <v>7.7728168086972804E-2</v>
      </c>
      <c r="CC24" s="566">
        <v>1</v>
      </c>
      <c r="CD24" s="566">
        <v>1</v>
      </c>
      <c r="CE24" s="566">
        <v>0.99999999999992295</v>
      </c>
      <c r="CF24" s="566">
        <v>0.99999999999999101</v>
      </c>
      <c r="CG24" s="566">
        <v>1</v>
      </c>
      <c r="CH24" s="566">
        <v>1</v>
      </c>
      <c r="CI24" s="566">
        <v>1</v>
      </c>
      <c r="CJ24" s="566">
        <v>0.99999999999999101</v>
      </c>
      <c r="CK24" s="566">
        <v>1</v>
      </c>
      <c r="CL24" s="566">
        <v>1</v>
      </c>
      <c r="CM24" s="566">
        <v>1</v>
      </c>
      <c r="CN24" s="566">
        <v>0.99999999999999101</v>
      </c>
      <c r="CO24" s="566">
        <v>1</v>
      </c>
      <c r="CP24" s="566">
        <v>1</v>
      </c>
      <c r="CQ24" s="566">
        <v>1</v>
      </c>
      <c r="CR24" s="566">
        <v>7.7601928996389305E-2</v>
      </c>
      <c r="CS24" s="566">
        <v>1</v>
      </c>
      <c r="CT24" s="566">
        <v>1</v>
      </c>
      <c r="CU24" s="566">
        <v>1</v>
      </c>
      <c r="CV24" s="566">
        <v>1</v>
      </c>
      <c r="CW24" s="566">
        <v>1</v>
      </c>
      <c r="CX24" s="566">
        <v>1</v>
      </c>
      <c r="CY24" s="566">
        <v>7.7602248602412299E-2</v>
      </c>
      <c r="CZ24" s="566">
        <v>1</v>
      </c>
      <c r="DA24" s="566">
        <v>1</v>
      </c>
      <c r="DB24" s="566">
        <v>0.99999999999997302</v>
      </c>
      <c r="DC24" s="566">
        <v>7.76011160618926E-2</v>
      </c>
      <c r="DD24" s="566">
        <v>1</v>
      </c>
      <c r="DE24" s="566">
        <v>0.999999999999999</v>
      </c>
      <c r="DF24" s="566">
        <v>0.99999999999997302</v>
      </c>
      <c r="DG24" s="566">
        <v>7.7600960212151002E-2</v>
      </c>
      <c r="DH24" s="566">
        <v>1</v>
      </c>
      <c r="DI24" s="566">
        <v>1</v>
      </c>
      <c r="DJ24" s="566">
        <v>0.99999999999997302</v>
      </c>
      <c r="DK24" s="566">
        <v>0.99999999999961597</v>
      </c>
      <c r="DL24" s="566">
        <v>1</v>
      </c>
      <c r="DM24" s="566">
        <v>1</v>
      </c>
      <c r="DN24" s="566">
        <v>1</v>
      </c>
      <c r="DO24" s="566">
        <v>7.7601928222683303E-2</v>
      </c>
      <c r="DP24" s="566">
        <v>1</v>
      </c>
      <c r="DQ24" s="566">
        <v>1</v>
      </c>
      <c r="DR24" s="566">
        <v>1</v>
      </c>
      <c r="DS24" s="566">
        <v>1</v>
      </c>
      <c r="DT24" s="566">
        <v>1</v>
      </c>
      <c r="DU24" s="566">
        <v>1</v>
      </c>
      <c r="DV24" s="566">
        <v>7.7599681431514106E-2</v>
      </c>
      <c r="DW24" s="566">
        <v>1</v>
      </c>
      <c r="DX24" s="566">
        <v>1</v>
      </c>
      <c r="DY24" s="566">
        <v>0.99999999999997902</v>
      </c>
      <c r="DZ24" s="566">
        <v>7.7599046240599601E-2</v>
      </c>
      <c r="EA24" s="566">
        <v>1</v>
      </c>
      <c r="EB24" s="566">
        <v>1</v>
      </c>
      <c r="EC24" s="566">
        <v>1.00000000000005</v>
      </c>
      <c r="ED24" s="566">
        <v>7.7598890245262897E-2</v>
      </c>
      <c r="EE24" s="566">
        <v>0.999999999999999</v>
      </c>
      <c r="EF24" s="566">
        <v>1</v>
      </c>
      <c r="EG24" s="566">
        <v>0.99999999999976896</v>
      </c>
      <c r="EH24" s="566">
        <v>0.99999999999988898</v>
      </c>
      <c r="EI24" s="566">
        <v>1</v>
      </c>
      <c r="EJ24" s="566">
        <v>1</v>
      </c>
      <c r="EK24" s="566">
        <v>1</v>
      </c>
      <c r="EL24" s="566">
        <v>7.7598234857398807E-2</v>
      </c>
      <c r="EM24" s="566">
        <v>1</v>
      </c>
      <c r="EN24" s="566">
        <v>1</v>
      </c>
      <c r="EO24" s="566">
        <v>1</v>
      </c>
      <c r="EP24" s="566">
        <v>0.999999999999999</v>
      </c>
      <c r="EQ24" s="566">
        <v>0.999999999999999</v>
      </c>
      <c r="ER24" s="566">
        <v>0.999999999999999</v>
      </c>
      <c r="ES24" s="566">
        <v>7.7588340301768602E-2</v>
      </c>
      <c r="ET24" s="566">
        <v>0.999999999999999</v>
      </c>
      <c r="EU24" s="566">
        <v>0.999999999999999</v>
      </c>
      <c r="EV24" s="566">
        <v>0.999999999999999</v>
      </c>
      <c r="EW24" s="566">
        <v>7.7588296437630794E-2</v>
      </c>
      <c r="EX24" s="566">
        <v>0.999999999999999</v>
      </c>
      <c r="EY24" s="566">
        <v>0.999999999999999</v>
      </c>
      <c r="EZ24" s="566">
        <v>0.999999999999997</v>
      </c>
      <c r="FA24" s="566">
        <v>7.7588140405957601E-2</v>
      </c>
      <c r="FB24" s="566">
        <v>0.999999999999999</v>
      </c>
      <c r="FC24" s="566">
        <v>0.999999999999999</v>
      </c>
      <c r="FD24" s="566">
        <v>0.999999999999997</v>
      </c>
      <c r="FE24" s="566">
        <v>0.999999999975136</v>
      </c>
      <c r="FF24" s="566">
        <v>1</v>
      </c>
      <c r="FG24" s="566">
        <v>0.999999999999999</v>
      </c>
      <c r="FH24" s="566">
        <v>0.999999999999999</v>
      </c>
    </row>
    <row r="25" spans="1:164" ht="12.75" customHeight="1" x14ac:dyDescent="0.3">
      <c r="A25" s="422"/>
      <c r="B25" s="422"/>
      <c r="C25" s="422"/>
      <c r="D25" s="422"/>
      <c r="E25" s="422"/>
      <c r="F25" s="568"/>
      <c r="G25" s="569"/>
      <c r="H25" s="439"/>
      <c r="I25" s="574">
        <v>418794.53312136099</v>
      </c>
      <c r="J25" s="566">
        <v>0.127474917081668</v>
      </c>
      <c r="K25" s="566">
        <v>1</v>
      </c>
      <c r="L25" s="566">
        <v>1</v>
      </c>
      <c r="M25" s="566">
        <v>1</v>
      </c>
      <c r="N25" s="566">
        <v>1</v>
      </c>
      <c r="O25" s="566">
        <v>1</v>
      </c>
      <c r="P25" s="566">
        <v>1</v>
      </c>
      <c r="Q25" s="566">
        <v>1</v>
      </c>
      <c r="R25" s="566">
        <v>1</v>
      </c>
      <c r="S25" s="566">
        <v>1</v>
      </c>
      <c r="T25" s="566">
        <v>1</v>
      </c>
      <c r="U25" s="566">
        <v>1</v>
      </c>
      <c r="V25" s="566">
        <v>1</v>
      </c>
      <c r="W25" s="566">
        <v>1</v>
      </c>
      <c r="X25" s="566">
        <v>1</v>
      </c>
      <c r="Y25" s="566">
        <v>0.25211005398731401</v>
      </c>
      <c r="Z25" s="566">
        <v>1</v>
      </c>
      <c r="AA25" s="566">
        <v>1</v>
      </c>
      <c r="AB25" s="566">
        <v>1</v>
      </c>
      <c r="AC25" s="566">
        <v>1</v>
      </c>
      <c r="AD25" s="566">
        <v>1</v>
      </c>
      <c r="AE25" s="566">
        <v>1</v>
      </c>
      <c r="AF25" s="566">
        <v>1</v>
      </c>
      <c r="AG25" s="566">
        <v>1</v>
      </c>
      <c r="AH25" s="566">
        <v>1</v>
      </c>
      <c r="AI25" s="566">
        <v>1</v>
      </c>
      <c r="AJ25" s="566">
        <v>1</v>
      </c>
      <c r="AK25" s="566">
        <v>0.25474131631032698</v>
      </c>
      <c r="AL25" s="566">
        <v>1</v>
      </c>
      <c r="AM25" s="566">
        <v>1</v>
      </c>
      <c r="AN25" s="566">
        <v>1</v>
      </c>
      <c r="AO25" s="566">
        <v>1</v>
      </c>
      <c r="AP25" s="566">
        <v>1</v>
      </c>
      <c r="AQ25" s="566">
        <v>1</v>
      </c>
      <c r="AR25" s="566">
        <v>1</v>
      </c>
      <c r="AS25" s="566">
        <v>1</v>
      </c>
      <c r="AT25" s="566">
        <v>1</v>
      </c>
      <c r="AU25" s="566">
        <v>1</v>
      </c>
      <c r="AV25" s="566">
        <v>1</v>
      </c>
      <c r="AW25" s="566">
        <v>0.999999999999999</v>
      </c>
      <c r="AX25" s="566">
        <v>1</v>
      </c>
      <c r="AY25" s="566">
        <v>1</v>
      </c>
      <c r="AZ25" s="566">
        <v>1</v>
      </c>
      <c r="BA25" s="566">
        <v>9.6736457879026003E-2</v>
      </c>
      <c r="BB25" s="566">
        <v>1</v>
      </c>
      <c r="BC25" s="566">
        <v>1</v>
      </c>
      <c r="BD25" s="566">
        <v>1</v>
      </c>
      <c r="BE25" s="566">
        <v>1</v>
      </c>
      <c r="BF25" s="566">
        <v>1</v>
      </c>
      <c r="BG25" s="566">
        <v>1</v>
      </c>
      <c r="BH25" s="566">
        <v>0.999999999999996</v>
      </c>
      <c r="BI25" s="566">
        <v>1</v>
      </c>
      <c r="BJ25" s="566">
        <v>1</v>
      </c>
      <c r="BK25" s="566">
        <v>1</v>
      </c>
      <c r="BL25" s="566">
        <v>0.99999999999999201</v>
      </c>
      <c r="BM25" s="566">
        <v>1</v>
      </c>
      <c r="BN25" s="566">
        <v>1</v>
      </c>
      <c r="BO25" s="566">
        <v>1</v>
      </c>
      <c r="BP25" s="566">
        <v>9.6164387353444999E-2</v>
      </c>
      <c r="BQ25" s="566">
        <v>1</v>
      </c>
      <c r="BR25" s="566">
        <v>1</v>
      </c>
      <c r="BS25" s="566">
        <v>0.99999999999997402</v>
      </c>
      <c r="BT25" s="566">
        <v>0.999999999999997</v>
      </c>
      <c r="BU25" s="566">
        <v>1</v>
      </c>
      <c r="BV25" s="566">
        <v>1</v>
      </c>
      <c r="BW25" s="566">
        <v>1</v>
      </c>
      <c r="BX25" s="566">
        <v>0.99999999999999201</v>
      </c>
      <c r="BY25" s="566">
        <v>1</v>
      </c>
      <c r="BZ25" s="566">
        <v>1</v>
      </c>
      <c r="CA25" s="566">
        <v>1</v>
      </c>
      <c r="CB25" s="566">
        <v>9.6164508097566603E-2</v>
      </c>
      <c r="CC25" s="566">
        <v>1</v>
      </c>
      <c r="CD25" s="566">
        <v>1</v>
      </c>
      <c r="CE25" s="566">
        <v>0.999999999999999</v>
      </c>
      <c r="CF25" s="566">
        <v>0.99999999999999101</v>
      </c>
      <c r="CG25" s="566">
        <v>1</v>
      </c>
      <c r="CH25" s="566">
        <v>1</v>
      </c>
      <c r="CI25" s="566">
        <v>1</v>
      </c>
      <c r="CJ25" s="566">
        <v>0.99999999999999101</v>
      </c>
      <c r="CK25" s="566">
        <v>1</v>
      </c>
      <c r="CL25" s="566">
        <v>1</v>
      </c>
      <c r="CM25" s="566">
        <v>1</v>
      </c>
      <c r="CN25" s="566">
        <v>0.99999999999999101</v>
      </c>
      <c r="CO25" s="566">
        <v>1</v>
      </c>
      <c r="CP25" s="566">
        <v>1</v>
      </c>
      <c r="CQ25" s="566">
        <v>1</v>
      </c>
      <c r="CR25" s="566">
        <v>9.6040792543666806E-2</v>
      </c>
      <c r="CS25" s="566">
        <v>1</v>
      </c>
      <c r="CT25" s="566">
        <v>1</v>
      </c>
      <c r="CU25" s="566">
        <v>1</v>
      </c>
      <c r="CV25" s="566">
        <v>1</v>
      </c>
      <c r="CW25" s="566">
        <v>1</v>
      </c>
      <c r="CX25" s="566">
        <v>1</v>
      </c>
      <c r="CY25" s="566">
        <v>9.6041105760717602E-2</v>
      </c>
      <c r="CZ25" s="566">
        <v>1</v>
      </c>
      <c r="DA25" s="566">
        <v>1</v>
      </c>
      <c r="DB25" s="566">
        <v>1.0000000000000799</v>
      </c>
      <c r="DC25" s="566">
        <v>9.6039995859837302E-2</v>
      </c>
      <c r="DD25" s="566">
        <v>1</v>
      </c>
      <c r="DE25" s="566">
        <v>1</v>
      </c>
      <c r="DF25" s="566">
        <v>1.0000000000000799</v>
      </c>
      <c r="DG25" s="566">
        <v>9.6039843125552998E-2</v>
      </c>
      <c r="DH25" s="566">
        <v>1</v>
      </c>
      <c r="DI25" s="566">
        <v>1</v>
      </c>
      <c r="DJ25" s="566">
        <v>1.0000000000000799</v>
      </c>
      <c r="DK25" s="566">
        <v>0.99999999999962497</v>
      </c>
      <c r="DL25" s="566">
        <v>1</v>
      </c>
      <c r="DM25" s="566">
        <v>1</v>
      </c>
      <c r="DN25" s="566">
        <v>1</v>
      </c>
      <c r="DO25" s="566">
        <v>9.6040791785427307E-2</v>
      </c>
      <c r="DP25" s="566">
        <v>1</v>
      </c>
      <c r="DQ25" s="566">
        <v>1</v>
      </c>
      <c r="DR25" s="566">
        <v>1</v>
      </c>
      <c r="DS25" s="566">
        <v>1</v>
      </c>
      <c r="DT25" s="566">
        <v>1</v>
      </c>
      <c r="DU25" s="566">
        <v>1</v>
      </c>
      <c r="DV25" s="566">
        <v>9.6038589907915001E-2</v>
      </c>
      <c r="DW25" s="566">
        <v>1</v>
      </c>
      <c r="DX25" s="566">
        <v>1</v>
      </c>
      <c r="DY25" s="566">
        <v>1.00000000000006</v>
      </c>
      <c r="DZ25" s="566">
        <v>9.6037967414553504E-2</v>
      </c>
      <c r="EA25" s="566">
        <v>1</v>
      </c>
      <c r="EB25" s="566">
        <v>1</v>
      </c>
      <c r="EC25" s="566">
        <v>1.00000000000006</v>
      </c>
      <c r="ED25" s="566">
        <v>9.6037814537585003E-2</v>
      </c>
      <c r="EE25" s="566">
        <v>1</v>
      </c>
      <c r="EF25" s="566">
        <v>1</v>
      </c>
      <c r="EG25" s="566">
        <v>1.00000000000006</v>
      </c>
      <c r="EH25" s="566">
        <v>0.99999999999989198</v>
      </c>
      <c r="EI25" s="566">
        <v>1</v>
      </c>
      <c r="EJ25" s="566">
        <v>1</v>
      </c>
      <c r="EK25" s="566">
        <v>1</v>
      </c>
      <c r="EL25" s="566">
        <v>9.6037172251019903E-2</v>
      </c>
      <c r="EM25" s="566">
        <v>1</v>
      </c>
      <c r="EN25" s="566">
        <v>1</v>
      </c>
      <c r="EO25" s="566">
        <v>1</v>
      </c>
      <c r="EP25" s="566">
        <v>1</v>
      </c>
      <c r="EQ25" s="566">
        <v>1</v>
      </c>
      <c r="ER25" s="566">
        <v>1</v>
      </c>
      <c r="ES25" s="566">
        <v>9.6027475488909303E-2</v>
      </c>
      <c r="ET25" s="566">
        <v>1</v>
      </c>
      <c r="EU25" s="566">
        <v>1</v>
      </c>
      <c r="EV25" s="566">
        <v>1</v>
      </c>
      <c r="EW25" s="566">
        <v>9.6027432501621504E-2</v>
      </c>
      <c r="EX25" s="566">
        <v>1</v>
      </c>
      <c r="EY25" s="566">
        <v>1</v>
      </c>
      <c r="EZ25" s="566">
        <v>1</v>
      </c>
      <c r="FA25" s="566">
        <v>9.60272795890426E-2</v>
      </c>
      <c r="FB25" s="566">
        <v>1</v>
      </c>
      <c r="FC25" s="566">
        <v>1</v>
      </c>
      <c r="FD25" s="566">
        <v>1</v>
      </c>
      <c r="FE25" s="566">
        <v>0.99999999997563405</v>
      </c>
      <c r="FF25" s="566">
        <v>1</v>
      </c>
      <c r="FG25" s="566">
        <v>1</v>
      </c>
      <c r="FH25" s="566">
        <v>1</v>
      </c>
    </row>
    <row r="26" spans="1:164" ht="12.75" customHeight="1" x14ac:dyDescent="0.3">
      <c r="A26" s="422"/>
      <c r="B26" s="422"/>
      <c r="C26" s="422"/>
      <c r="D26" s="422"/>
      <c r="E26" s="422"/>
      <c r="F26" s="568"/>
      <c r="G26" s="569"/>
      <c r="H26" s="439"/>
      <c r="I26" s="574">
        <v>502553.43974563299</v>
      </c>
      <c r="J26" s="566">
        <v>0.14491681157390801</v>
      </c>
      <c r="K26" s="566">
        <v>1</v>
      </c>
      <c r="L26" s="566">
        <v>1</v>
      </c>
      <c r="M26" s="566">
        <v>1</v>
      </c>
      <c r="N26" s="566">
        <v>1</v>
      </c>
      <c r="O26" s="566">
        <v>1</v>
      </c>
      <c r="P26" s="566">
        <v>1</v>
      </c>
      <c r="Q26" s="566">
        <v>1</v>
      </c>
      <c r="R26" s="566">
        <v>1</v>
      </c>
      <c r="S26" s="566">
        <v>1</v>
      </c>
      <c r="T26" s="566">
        <v>1</v>
      </c>
      <c r="U26" s="566">
        <v>1</v>
      </c>
      <c r="V26" s="566">
        <v>1</v>
      </c>
      <c r="W26" s="566">
        <v>1</v>
      </c>
      <c r="X26" s="566">
        <v>1</v>
      </c>
      <c r="Y26" s="566">
        <v>0.26706047522509802</v>
      </c>
      <c r="Z26" s="566">
        <v>1</v>
      </c>
      <c r="AA26" s="566">
        <v>1</v>
      </c>
      <c r="AB26" s="566">
        <v>1</v>
      </c>
      <c r="AC26" s="566">
        <v>1</v>
      </c>
      <c r="AD26" s="566">
        <v>1</v>
      </c>
      <c r="AE26" s="566">
        <v>1</v>
      </c>
      <c r="AF26" s="566">
        <v>1</v>
      </c>
      <c r="AG26" s="566">
        <v>1</v>
      </c>
      <c r="AH26" s="566">
        <v>1</v>
      </c>
      <c r="AI26" s="566">
        <v>1</v>
      </c>
      <c r="AJ26" s="566">
        <v>1</v>
      </c>
      <c r="AK26" s="566">
        <v>0.26963913825816699</v>
      </c>
      <c r="AL26" s="566">
        <v>1</v>
      </c>
      <c r="AM26" s="566">
        <v>1</v>
      </c>
      <c r="AN26" s="566">
        <v>1</v>
      </c>
      <c r="AO26" s="566">
        <v>1</v>
      </c>
      <c r="AP26" s="566">
        <v>1</v>
      </c>
      <c r="AQ26" s="566">
        <v>1</v>
      </c>
      <c r="AR26" s="566">
        <v>1</v>
      </c>
      <c r="AS26" s="566">
        <v>1</v>
      </c>
      <c r="AT26" s="566">
        <v>1</v>
      </c>
      <c r="AU26" s="566">
        <v>1</v>
      </c>
      <c r="AV26" s="566">
        <v>1</v>
      </c>
      <c r="AW26" s="566">
        <v>1</v>
      </c>
      <c r="AX26" s="566">
        <v>1</v>
      </c>
      <c r="AY26" s="566">
        <v>1</v>
      </c>
      <c r="AZ26" s="566">
        <v>1</v>
      </c>
      <c r="BA26" s="566">
        <v>0.11479281833077</v>
      </c>
      <c r="BB26" s="566">
        <v>1</v>
      </c>
      <c r="BC26" s="566">
        <v>1</v>
      </c>
      <c r="BD26" s="566">
        <v>1</v>
      </c>
      <c r="BE26" s="566">
        <v>1</v>
      </c>
      <c r="BF26" s="566">
        <v>1</v>
      </c>
      <c r="BG26" s="566">
        <v>1</v>
      </c>
      <c r="BH26" s="566">
        <v>0.999999999999997</v>
      </c>
      <c r="BI26" s="566">
        <v>1</v>
      </c>
      <c r="BJ26" s="566">
        <v>1</v>
      </c>
      <c r="BK26" s="566">
        <v>1</v>
      </c>
      <c r="BL26" s="566">
        <v>0.99999999999999301</v>
      </c>
      <c r="BM26" s="566">
        <v>1</v>
      </c>
      <c r="BN26" s="566">
        <v>1</v>
      </c>
      <c r="BO26" s="566">
        <v>1</v>
      </c>
      <c r="BP26" s="566">
        <v>0.114232183572418</v>
      </c>
      <c r="BQ26" s="566">
        <v>1</v>
      </c>
      <c r="BR26" s="566">
        <v>1</v>
      </c>
      <c r="BS26" s="566">
        <v>0.999999999999995</v>
      </c>
      <c r="BT26" s="566">
        <v>0.999999999999997</v>
      </c>
      <c r="BU26" s="566">
        <v>1</v>
      </c>
      <c r="BV26" s="566">
        <v>1</v>
      </c>
      <c r="BW26" s="566">
        <v>1</v>
      </c>
      <c r="BX26" s="566">
        <v>0.99999999999999301</v>
      </c>
      <c r="BY26" s="566">
        <v>1</v>
      </c>
      <c r="BZ26" s="566">
        <v>1</v>
      </c>
      <c r="CA26" s="566">
        <v>1</v>
      </c>
      <c r="CB26" s="566">
        <v>0.114232301902849</v>
      </c>
      <c r="CC26" s="566">
        <v>1</v>
      </c>
      <c r="CD26" s="566">
        <v>1</v>
      </c>
      <c r="CE26" s="566">
        <v>0.99999999999996303</v>
      </c>
      <c r="CF26" s="566">
        <v>0.99999999999999201</v>
      </c>
      <c r="CG26" s="566">
        <v>1</v>
      </c>
      <c r="CH26" s="566">
        <v>1</v>
      </c>
      <c r="CI26" s="566">
        <v>1</v>
      </c>
      <c r="CJ26" s="566">
        <v>0.99999999999999201</v>
      </c>
      <c r="CK26" s="566">
        <v>1</v>
      </c>
      <c r="CL26" s="566">
        <v>1</v>
      </c>
      <c r="CM26" s="566">
        <v>1</v>
      </c>
      <c r="CN26" s="566">
        <v>0.99999999999999101</v>
      </c>
      <c r="CO26" s="566">
        <v>1</v>
      </c>
      <c r="CP26" s="566">
        <v>1</v>
      </c>
      <c r="CQ26" s="566">
        <v>1</v>
      </c>
      <c r="CR26" s="566">
        <v>0.114111059439613</v>
      </c>
      <c r="CS26" s="566">
        <v>1</v>
      </c>
      <c r="CT26" s="566">
        <v>1</v>
      </c>
      <c r="CU26" s="566">
        <v>1</v>
      </c>
      <c r="CV26" s="566">
        <v>1</v>
      </c>
      <c r="CW26" s="566">
        <v>1</v>
      </c>
      <c r="CX26" s="566">
        <v>1</v>
      </c>
      <c r="CY26" s="566">
        <v>0.114111366395414</v>
      </c>
      <c r="CZ26" s="566">
        <v>1</v>
      </c>
      <c r="DA26" s="566">
        <v>1</v>
      </c>
      <c r="DB26" s="566">
        <v>1.00000000000005</v>
      </c>
      <c r="DC26" s="566">
        <v>0.11411027868160301</v>
      </c>
      <c r="DD26" s="566">
        <v>1</v>
      </c>
      <c r="DE26" s="566">
        <v>1</v>
      </c>
      <c r="DF26" s="566">
        <v>1.00000000000005</v>
      </c>
      <c r="DG26" s="566">
        <v>0.114110129000498</v>
      </c>
      <c r="DH26" s="566">
        <v>1</v>
      </c>
      <c r="DI26" s="566">
        <v>1</v>
      </c>
      <c r="DJ26" s="566">
        <v>1.00000000000005</v>
      </c>
      <c r="DK26" s="566">
        <v>0.99999999999963296</v>
      </c>
      <c r="DL26" s="566">
        <v>1</v>
      </c>
      <c r="DM26" s="566">
        <v>1</v>
      </c>
      <c r="DN26" s="566">
        <v>1</v>
      </c>
      <c r="DO26" s="566">
        <v>0.114111058696531</v>
      </c>
      <c r="DP26" s="566">
        <v>1</v>
      </c>
      <c r="DQ26" s="566">
        <v>1</v>
      </c>
      <c r="DR26" s="566">
        <v>1</v>
      </c>
      <c r="DS26" s="566">
        <v>1</v>
      </c>
      <c r="DT26" s="566">
        <v>1</v>
      </c>
      <c r="DU26" s="566">
        <v>1</v>
      </c>
      <c r="DV26" s="566">
        <v>0.11410890083484999</v>
      </c>
      <c r="DW26" s="566">
        <v>1</v>
      </c>
      <c r="DX26" s="566">
        <v>1</v>
      </c>
      <c r="DY26" s="566">
        <v>1.00000000000004</v>
      </c>
      <c r="DZ26" s="566">
        <v>0.11410829078521501</v>
      </c>
      <c r="EA26" s="566">
        <v>1</v>
      </c>
      <c r="EB26" s="566">
        <v>1</v>
      </c>
      <c r="EC26" s="566">
        <v>1.00000000000004</v>
      </c>
      <c r="ED26" s="566">
        <v>0.114108140964278</v>
      </c>
      <c r="EE26" s="566">
        <v>1</v>
      </c>
      <c r="EF26" s="566">
        <v>1</v>
      </c>
      <c r="EG26" s="566">
        <v>1.00000000000004</v>
      </c>
      <c r="EH26" s="566">
        <v>0.99999999999989397</v>
      </c>
      <c r="EI26" s="566">
        <v>1</v>
      </c>
      <c r="EJ26" s="566">
        <v>1</v>
      </c>
      <c r="EK26" s="566">
        <v>1</v>
      </c>
      <c r="EL26" s="566">
        <v>0.114107511517107</v>
      </c>
      <c r="EM26" s="566">
        <v>1</v>
      </c>
      <c r="EN26" s="566">
        <v>1</v>
      </c>
      <c r="EO26" s="566">
        <v>1</v>
      </c>
      <c r="EP26" s="566">
        <v>1</v>
      </c>
      <c r="EQ26" s="566">
        <v>1</v>
      </c>
      <c r="ER26" s="566">
        <v>1</v>
      </c>
      <c r="ES26" s="566">
        <v>0.11409800859458299</v>
      </c>
      <c r="ET26" s="566">
        <v>1</v>
      </c>
      <c r="EU26" s="566">
        <v>1</v>
      </c>
      <c r="EV26" s="566">
        <v>1</v>
      </c>
      <c r="EW26" s="566">
        <v>0.114097966466617</v>
      </c>
      <c r="EX26" s="566">
        <v>1</v>
      </c>
      <c r="EY26" s="566">
        <v>1</v>
      </c>
      <c r="EZ26" s="566">
        <v>1</v>
      </c>
      <c r="FA26" s="566">
        <v>0.114097816610781</v>
      </c>
      <c r="FB26" s="566">
        <v>1</v>
      </c>
      <c r="FC26" s="566">
        <v>1</v>
      </c>
      <c r="FD26" s="566">
        <v>1</v>
      </c>
      <c r="FE26" s="566">
        <v>0.99999999997612099</v>
      </c>
      <c r="FF26" s="566">
        <v>1</v>
      </c>
      <c r="FG26" s="566">
        <v>1</v>
      </c>
      <c r="FH26" s="566">
        <v>1</v>
      </c>
    </row>
    <row r="27" spans="1:164" ht="12.75" customHeight="1" x14ac:dyDescent="0.3">
      <c r="A27" s="422"/>
      <c r="B27" s="422"/>
      <c r="C27" s="422"/>
      <c r="D27" s="422"/>
      <c r="E27" s="422"/>
      <c r="F27" s="568"/>
      <c r="G27" s="569"/>
      <c r="H27" s="439"/>
      <c r="I27" s="574">
        <v>586312.34636990598</v>
      </c>
      <c r="J27" s="566">
        <v>0.16201003884071699</v>
      </c>
      <c r="K27" s="566">
        <v>1</v>
      </c>
      <c r="L27" s="566">
        <v>1</v>
      </c>
      <c r="M27" s="566">
        <v>1</v>
      </c>
      <c r="N27" s="566">
        <v>1</v>
      </c>
      <c r="O27" s="566">
        <v>1</v>
      </c>
      <c r="P27" s="566">
        <v>1</v>
      </c>
      <c r="Q27" s="566">
        <v>1</v>
      </c>
      <c r="R27" s="566">
        <v>1</v>
      </c>
      <c r="S27" s="566">
        <v>1</v>
      </c>
      <c r="T27" s="566">
        <v>1</v>
      </c>
      <c r="U27" s="566">
        <v>1</v>
      </c>
      <c r="V27" s="566">
        <v>1</v>
      </c>
      <c r="W27" s="566">
        <v>1</v>
      </c>
      <c r="X27" s="566">
        <v>1</v>
      </c>
      <c r="Y27" s="566">
        <v>0.28171203432412001</v>
      </c>
      <c r="Z27" s="566">
        <v>1</v>
      </c>
      <c r="AA27" s="566">
        <v>1</v>
      </c>
      <c r="AB27" s="566">
        <v>1</v>
      </c>
      <c r="AC27" s="566">
        <v>1</v>
      </c>
      <c r="AD27" s="566">
        <v>1</v>
      </c>
      <c r="AE27" s="566">
        <v>1</v>
      </c>
      <c r="AF27" s="566">
        <v>1</v>
      </c>
      <c r="AG27" s="566">
        <v>1</v>
      </c>
      <c r="AH27" s="566">
        <v>1</v>
      </c>
      <c r="AI27" s="566">
        <v>1</v>
      </c>
      <c r="AJ27" s="566">
        <v>1</v>
      </c>
      <c r="AK27" s="566">
        <v>0.28423914953837398</v>
      </c>
      <c r="AL27" s="566">
        <v>1</v>
      </c>
      <c r="AM27" s="566">
        <v>1</v>
      </c>
      <c r="AN27" s="566">
        <v>1</v>
      </c>
      <c r="AO27" s="566">
        <v>0.999999999999999</v>
      </c>
      <c r="AP27" s="566">
        <v>1</v>
      </c>
      <c r="AQ27" s="566">
        <v>1</v>
      </c>
      <c r="AR27" s="566">
        <v>1</v>
      </c>
      <c r="AS27" s="566">
        <v>1</v>
      </c>
      <c r="AT27" s="566">
        <v>1</v>
      </c>
      <c r="AU27" s="566">
        <v>1</v>
      </c>
      <c r="AV27" s="566">
        <v>1</v>
      </c>
      <c r="AW27" s="566">
        <v>0.999999999999999</v>
      </c>
      <c r="AX27" s="566">
        <v>1</v>
      </c>
      <c r="AY27" s="566">
        <v>1</v>
      </c>
      <c r="AZ27" s="566">
        <v>1</v>
      </c>
      <c r="BA27" s="566">
        <v>0.132488228250282</v>
      </c>
      <c r="BB27" s="566">
        <v>1</v>
      </c>
      <c r="BC27" s="566">
        <v>1</v>
      </c>
      <c r="BD27" s="566">
        <v>1</v>
      </c>
      <c r="BE27" s="566">
        <v>1</v>
      </c>
      <c r="BF27" s="566">
        <v>1</v>
      </c>
      <c r="BG27" s="566">
        <v>1</v>
      </c>
      <c r="BH27" s="566">
        <v>0.999999999999996</v>
      </c>
      <c r="BI27" s="566">
        <v>1</v>
      </c>
      <c r="BJ27" s="566">
        <v>0.999999999999999</v>
      </c>
      <c r="BK27" s="566">
        <v>1</v>
      </c>
      <c r="BL27" s="566">
        <v>0.99999999999999301</v>
      </c>
      <c r="BM27" s="566">
        <v>1</v>
      </c>
      <c r="BN27" s="566">
        <v>1</v>
      </c>
      <c r="BO27" s="566">
        <v>1</v>
      </c>
      <c r="BP27" s="566">
        <v>0.13193880065571201</v>
      </c>
      <c r="BQ27" s="566">
        <v>1</v>
      </c>
      <c r="BR27" s="566">
        <v>1</v>
      </c>
      <c r="BS27" s="566">
        <v>1.0000000000000799</v>
      </c>
      <c r="BT27" s="566">
        <v>0.999999999999997</v>
      </c>
      <c r="BU27" s="566">
        <v>1</v>
      </c>
      <c r="BV27" s="566">
        <v>1</v>
      </c>
      <c r="BW27" s="566">
        <v>1</v>
      </c>
      <c r="BX27" s="566">
        <v>0.99999999999999301</v>
      </c>
      <c r="BY27" s="566">
        <v>1</v>
      </c>
      <c r="BZ27" s="566">
        <v>1</v>
      </c>
      <c r="CA27" s="566">
        <v>1</v>
      </c>
      <c r="CB27" s="566">
        <v>0.13193891662070101</v>
      </c>
      <c r="CC27" s="566">
        <v>1</v>
      </c>
      <c r="CD27" s="566">
        <v>1</v>
      </c>
      <c r="CE27" s="566">
        <v>1.00000000000005</v>
      </c>
      <c r="CF27" s="566">
        <v>0.99999999999999101</v>
      </c>
      <c r="CG27" s="566">
        <v>1</v>
      </c>
      <c r="CH27" s="566">
        <v>0.999999999999999</v>
      </c>
      <c r="CI27" s="566">
        <v>1</v>
      </c>
      <c r="CJ27" s="566">
        <v>0.99999999999999201</v>
      </c>
      <c r="CK27" s="566">
        <v>1</v>
      </c>
      <c r="CL27" s="566">
        <v>1</v>
      </c>
      <c r="CM27" s="566">
        <v>1</v>
      </c>
      <c r="CN27" s="566">
        <v>0.99999999999999101</v>
      </c>
      <c r="CO27" s="566">
        <v>1</v>
      </c>
      <c r="CP27" s="566">
        <v>0.999999999999999</v>
      </c>
      <c r="CQ27" s="566">
        <v>1</v>
      </c>
      <c r="CR27" s="566">
        <v>0.13182009781051601</v>
      </c>
      <c r="CS27" s="566">
        <v>1</v>
      </c>
      <c r="CT27" s="566">
        <v>1</v>
      </c>
      <c r="CU27" s="566">
        <v>1</v>
      </c>
      <c r="CV27" s="566">
        <v>1</v>
      </c>
      <c r="CW27" s="566">
        <v>1</v>
      </c>
      <c r="CX27" s="566">
        <v>1</v>
      </c>
      <c r="CY27" s="566">
        <v>0.13182039863023001</v>
      </c>
      <c r="CZ27" s="566">
        <v>1</v>
      </c>
      <c r="DA27" s="566">
        <v>1</v>
      </c>
      <c r="DB27" s="566">
        <v>1.00000000000002</v>
      </c>
      <c r="DC27" s="566">
        <v>0.13181933265996401</v>
      </c>
      <c r="DD27" s="566">
        <v>1</v>
      </c>
      <c r="DE27" s="566">
        <v>1</v>
      </c>
      <c r="DF27" s="566">
        <v>1.00000000000002</v>
      </c>
      <c r="DG27" s="566">
        <v>0.131819185971004</v>
      </c>
      <c r="DH27" s="566">
        <v>1</v>
      </c>
      <c r="DI27" s="566">
        <v>1</v>
      </c>
      <c r="DJ27" s="566">
        <v>1.00000000000002</v>
      </c>
      <c r="DK27" s="566">
        <v>0.99999999999963995</v>
      </c>
      <c r="DL27" s="566">
        <v>1</v>
      </c>
      <c r="DM27" s="566">
        <v>1</v>
      </c>
      <c r="DN27" s="566">
        <v>1</v>
      </c>
      <c r="DO27" s="566">
        <v>0.13182009708228801</v>
      </c>
      <c r="DP27" s="566">
        <v>1</v>
      </c>
      <c r="DQ27" s="566">
        <v>1</v>
      </c>
      <c r="DR27" s="566">
        <v>1</v>
      </c>
      <c r="DS27" s="566">
        <v>1</v>
      </c>
      <c r="DT27" s="566">
        <v>1</v>
      </c>
      <c r="DU27" s="566">
        <v>1</v>
      </c>
      <c r="DV27" s="566">
        <v>0.13181798235655201</v>
      </c>
      <c r="DW27" s="566">
        <v>1</v>
      </c>
      <c r="DX27" s="566">
        <v>1</v>
      </c>
      <c r="DY27" s="566">
        <v>1.00000000000001</v>
      </c>
      <c r="DZ27" s="566">
        <v>0.13181738450189101</v>
      </c>
      <c r="EA27" s="566">
        <v>1</v>
      </c>
      <c r="EB27" s="566">
        <v>1</v>
      </c>
      <c r="EC27" s="566">
        <v>1.00000000000002</v>
      </c>
      <c r="ED27" s="566">
        <v>0.13181723767589401</v>
      </c>
      <c r="EE27" s="566">
        <v>1</v>
      </c>
      <c r="EF27" s="566">
        <v>1</v>
      </c>
      <c r="EG27" s="566">
        <v>1.00000000000002</v>
      </c>
      <c r="EH27" s="566">
        <v>0.99999999999989597</v>
      </c>
      <c r="EI27" s="566">
        <v>1</v>
      </c>
      <c r="EJ27" s="566">
        <v>1</v>
      </c>
      <c r="EK27" s="566">
        <v>1</v>
      </c>
      <c r="EL27" s="566">
        <v>0.13181662081145401</v>
      </c>
      <c r="EM27" s="566">
        <v>1</v>
      </c>
      <c r="EN27" s="566">
        <v>1</v>
      </c>
      <c r="EO27" s="566">
        <v>1</v>
      </c>
      <c r="EP27" s="566">
        <v>1</v>
      </c>
      <c r="EQ27" s="566">
        <v>0.999999999999999</v>
      </c>
      <c r="ER27" s="566">
        <v>1</v>
      </c>
      <c r="ES27" s="566">
        <v>0.13180730785362199</v>
      </c>
      <c r="ET27" s="566">
        <v>0.999999999999999</v>
      </c>
      <c r="EU27" s="566">
        <v>0.999999999999999</v>
      </c>
      <c r="EV27" s="566">
        <v>1</v>
      </c>
      <c r="EW27" s="566">
        <v>0.13180726656780001</v>
      </c>
      <c r="EX27" s="566">
        <v>1</v>
      </c>
      <c r="EY27" s="566">
        <v>0.999999999999999</v>
      </c>
      <c r="EZ27" s="566">
        <v>1</v>
      </c>
      <c r="FA27" s="566">
        <v>0.131807119707603</v>
      </c>
      <c r="FB27" s="566">
        <v>1</v>
      </c>
      <c r="FC27" s="566">
        <v>0.999999999999999</v>
      </c>
      <c r="FD27" s="566">
        <v>1</v>
      </c>
      <c r="FE27" s="566">
        <v>0.99999999997659805</v>
      </c>
      <c r="FF27" s="566">
        <v>1</v>
      </c>
      <c r="FG27" s="566">
        <v>0.999999999999999</v>
      </c>
      <c r="FH27" s="566">
        <v>1</v>
      </c>
    </row>
    <row r="28" spans="1:164" ht="12.75" customHeight="1" x14ac:dyDescent="0.3">
      <c r="A28" s="422"/>
      <c r="B28" s="422"/>
      <c r="C28" s="422"/>
      <c r="D28" s="422"/>
      <c r="E28" s="422"/>
      <c r="F28" s="568"/>
      <c r="G28" s="569"/>
      <c r="H28" s="439"/>
      <c r="I28" s="574">
        <v>670071.25299417798</v>
      </c>
      <c r="J28" s="566">
        <v>0.178761569751232</v>
      </c>
      <c r="K28" s="566">
        <v>1</v>
      </c>
      <c r="L28" s="566">
        <v>1</v>
      </c>
      <c r="M28" s="566">
        <v>1</v>
      </c>
      <c r="N28" s="566">
        <v>1</v>
      </c>
      <c r="O28" s="566">
        <v>1</v>
      </c>
      <c r="P28" s="566">
        <v>1</v>
      </c>
      <c r="Q28" s="566">
        <v>1</v>
      </c>
      <c r="R28" s="566">
        <v>1</v>
      </c>
      <c r="S28" s="566">
        <v>1</v>
      </c>
      <c r="T28" s="566">
        <v>1</v>
      </c>
      <c r="U28" s="566">
        <v>1</v>
      </c>
      <c r="V28" s="566">
        <v>1</v>
      </c>
      <c r="W28" s="566">
        <v>1</v>
      </c>
      <c r="X28" s="566">
        <v>1</v>
      </c>
      <c r="Y28" s="566">
        <v>0.29607070640537497</v>
      </c>
      <c r="Z28" s="566">
        <v>1</v>
      </c>
      <c r="AA28" s="566">
        <v>1</v>
      </c>
      <c r="AB28" s="566">
        <v>1</v>
      </c>
      <c r="AC28" s="566">
        <v>1</v>
      </c>
      <c r="AD28" s="566">
        <v>1</v>
      </c>
      <c r="AE28" s="566">
        <v>1</v>
      </c>
      <c r="AF28" s="566">
        <v>1</v>
      </c>
      <c r="AG28" s="566">
        <v>1</v>
      </c>
      <c r="AH28" s="566">
        <v>1</v>
      </c>
      <c r="AI28" s="566">
        <v>1</v>
      </c>
      <c r="AJ28" s="566">
        <v>1</v>
      </c>
      <c r="AK28" s="566">
        <v>0.29854730424998499</v>
      </c>
      <c r="AL28" s="566">
        <v>1</v>
      </c>
      <c r="AM28" s="566">
        <v>1</v>
      </c>
      <c r="AN28" s="566">
        <v>1</v>
      </c>
      <c r="AO28" s="566">
        <v>1</v>
      </c>
      <c r="AP28" s="566">
        <v>1</v>
      </c>
      <c r="AQ28" s="566">
        <v>1</v>
      </c>
      <c r="AR28" s="566">
        <v>1</v>
      </c>
      <c r="AS28" s="566">
        <v>1</v>
      </c>
      <c r="AT28" s="566">
        <v>1</v>
      </c>
      <c r="AU28" s="566">
        <v>1</v>
      </c>
      <c r="AV28" s="566">
        <v>1</v>
      </c>
      <c r="AW28" s="566">
        <v>1</v>
      </c>
      <c r="AX28" s="566">
        <v>1</v>
      </c>
      <c r="AY28" s="566">
        <v>1</v>
      </c>
      <c r="AZ28" s="566">
        <v>1</v>
      </c>
      <c r="BA28" s="566">
        <v>0.14982990408563099</v>
      </c>
      <c r="BB28" s="566">
        <v>1</v>
      </c>
      <c r="BC28" s="566">
        <v>1</v>
      </c>
      <c r="BD28" s="566">
        <v>1</v>
      </c>
      <c r="BE28" s="566">
        <v>1</v>
      </c>
      <c r="BF28" s="566">
        <v>1</v>
      </c>
      <c r="BG28" s="566">
        <v>1</v>
      </c>
      <c r="BH28" s="566">
        <v>0.999999999999997</v>
      </c>
      <c r="BI28" s="566">
        <v>1</v>
      </c>
      <c r="BJ28" s="566">
        <v>1</v>
      </c>
      <c r="BK28" s="566">
        <v>1</v>
      </c>
      <c r="BL28" s="566">
        <v>0.99999999999999301</v>
      </c>
      <c r="BM28" s="566">
        <v>1</v>
      </c>
      <c r="BN28" s="566">
        <v>1</v>
      </c>
      <c r="BO28" s="566">
        <v>1</v>
      </c>
      <c r="BP28" s="566">
        <v>0.14929145962183801</v>
      </c>
      <c r="BQ28" s="566">
        <v>1</v>
      </c>
      <c r="BR28" s="566">
        <v>1</v>
      </c>
      <c r="BS28" s="566">
        <v>0.99999999999996403</v>
      </c>
      <c r="BT28" s="566">
        <v>0.999999999999998</v>
      </c>
      <c r="BU28" s="566">
        <v>1</v>
      </c>
      <c r="BV28" s="566">
        <v>1</v>
      </c>
      <c r="BW28" s="566">
        <v>1</v>
      </c>
      <c r="BX28" s="566">
        <v>0.99999999999999301</v>
      </c>
      <c r="BY28" s="566">
        <v>1</v>
      </c>
      <c r="BZ28" s="566">
        <v>1</v>
      </c>
      <c r="CA28" s="566">
        <v>1</v>
      </c>
      <c r="CB28" s="566">
        <v>0.14929157326867101</v>
      </c>
      <c r="CC28" s="566">
        <v>1</v>
      </c>
      <c r="CD28" s="566">
        <v>1</v>
      </c>
      <c r="CE28" s="566">
        <v>0.99999999999997702</v>
      </c>
      <c r="CF28" s="566">
        <v>0.99999999999999201</v>
      </c>
      <c r="CG28" s="566">
        <v>1</v>
      </c>
      <c r="CH28" s="566">
        <v>1</v>
      </c>
      <c r="CI28" s="566">
        <v>1</v>
      </c>
      <c r="CJ28" s="566">
        <v>0.99999999999999301</v>
      </c>
      <c r="CK28" s="566">
        <v>1</v>
      </c>
      <c r="CL28" s="566">
        <v>1</v>
      </c>
      <c r="CM28" s="566">
        <v>1</v>
      </c>
      <c r="CN28" s="566">
        <v>0.99999999999999201</v>
      </c>
      <c r="CO28" s="566">
        <v>1</v>
      </c>
      <c r="CP28" s="566">
        <v>1</v>
      </c>
      <c r="CQ28" s="566">
        <v>1</v>
      </c>
      <c r="CR28" s="566">
        <v>0.14917512966232299</v>
      </c>
      <c r="CS28" s="566">
        <v>1</v>
      </c>
      <c r="CT28" s="566">
        <v>1</v>
      </c>
      <c r="CU28" s="566">
        <v>1</v>
      </c>
      <c r="CV28" s="566">
        <v>1</v>
      </c>
      <c r="CW28" s="566">
        <v>1</v>
      </c>
      <c r="CX28" s="566">
        <v>1</v>
      </c>
      <c r="CY28" s="566">
        <v>0.14917542446861201</v>
      </c>
      <c r="CZ28" s="566">
        <v>1</v>
      </c>
      <c r="DA28" s="566">
        <v>1</v>
      </c>
      <c r="DB28" s="566">
        <v>1</v>
      </c>
      <c r="DC28" s="566">
        <v>0.149174379807233</v>
      </c>
      <c r="DD28" s="566">
        <v>1</v>
      </c>
      <c r="DE28" s="566">
        <v>1</v>
      </c>
      <c r="DF28" s="566">
        <v>1</v>
      </c>
      <c r="DG28" s="566">
        <v>0.14917423605060501</v>
      </c>
      <c r="DH28" s="566">
        <v>1</v>
      </c>
      <c r="DI28" s="566">
        <v>1</v>
      </c>
      <c r="DJ28" s="566">
        <v>1</v>
      </c>
      <c r="DK28" s="566">
        <v>0.99999999999964695</v>
      </c>
      <c r="DL28" s="566">
        <v>1</v>
      </c>
      <c r="DM28" s="566">
        <v>1</v>
      </c>
      <c r="DN28" s="566">
        <v>1</v>
      </c>
      <c r="DO28" s="566">
        <v>0.14917512894865301</v>
      </c>
      <c r="DP28" s="566">
        <v>1</v>
      </c>
      <c r="DQ28" s="566">
        <v>1</v>
      </c>
      <c r="DR28" s="566">
        <v>1</v>
      </c>
      <c r="DS28" s="566">
        <v>1</v>
      </c>
      <c r="DT28" s="566">
        <v>1</v>
      </c>
      <c r="DU28" s="566">
        <v>1</v>
      </c>
      <c r="DV28" s="566">
        <v>0.14917305649656601</v>
      </c>
      <c r="DW28" s="566">
        <v>1</v>
      </c>
      <c r="DX28" s="566">
        <v>1</v>
      </c>
      <c r="DY28" s="566">
        <v>1</v>
      </c>
      <c r="DZ28" s="566">
        <v>0.14917247059309999</v>
      </c>
      <c r="EA28" s="566">
        <v>1</v>
      </c>
      <c r="EB28" s="566">
        <v>1</v>
      </c>
      <c r="EC28" s="566">
        <v>1</v>
      </c>
      <c r="ED28" s="566">
        <v>0.14917232670217401</v>
      </c>
      <c r="EE28" s="566">
        <v>1</v>
      </c>
      <c r="EF28" s="566">
        <v>1</v>
      </c>
      <c r="EG28" s="566">
        <v>1</v>
      </c>
      <c r="EH28" s="566">
        <v>0.99999999999989897</v>
      </c>
      <c r="EI28" s="566">
        <v>1</v>
      </c>
      <c r="EJ28" s="566">
        <v>1</v>
      </c>
      <c r="EK28" s="566">
        <v>1</v>
      </c>
      <c r="EL28" s="566">
        <v>0.14917172216893601</v>
      </c>
      <c r="EM28" s="566">
        <v>1</v>
      </c>
      <c r="EN28" s="566">
        <v>1</v>
      </c>
      <c r="EO28" s="566">
        <v>1</v>
      </c>
      <c r="EP28" s="566">
        <v>1</v>
      </c>
      <c r="EQ28" s="566">
        <v>1</v>
      </c>
      <c r="ER28" s="566">
        <v>1</v>
      </c>
      <c r="ES28" s="566">
        <v>0.14916259537837101</v>
      </c>
      <c r="ET28" s="566">
        <v>1</v>
      </c>
      <c r="EU28" s="566">
        <v>1</v>
      </c>
      <c r="EV28" s="566">
        <v>1</v>
      </c>
      <c r="EW28" s="566">
        <v>0.14916255491785799</v>
      </c>
      <c r="EX28" s="566">
        <v>1</v>
      </c>
      <c r="EY28" s="566">
        <v>1</v>
      </c>
      <c r="EZ28" s="566">
        <v>1</v>
      </c>
      <c r="FA28" s="566">
        <v>0.14916241099341601</v>
      </c>
      <c r="FB28" s="566">
        <v>1</v>
      </c>
      <c r="FC28" s="566">
        <v>1</v>
      </c>
      <c r="FD28" s="566">
        <v>1</v>
      </c>
      <c r="FE28" s="566">
        <v>0.99999999997706701</v>
      </c>
      <c r="FF28" s="566">
        <v>1</v>
      </c>
      <c r="FG28" s="566">
        <v>1</v>
      </c>
      <c r="FH28" s="566">
        <v>1</v>
      </c>
    </row>
    <row r="29" spans="1:164" ht="12.75" customHeight="1" x14ac:dyDescent="0.3">
      <c r="A29" s="422"/>
      <c r="B29" s="422"/>
      <c r="C29" s="422"/>
      <c r="D29" s="422"/>
      <c r="E29" s="422"/>
      <c r="F29" s="568"/>
      <c r="G29" s="569"/>
      <c r="H29" s="439"/>
      <c r="I29" s="574">
        <v>753830.15961844998</v>
      </c>
      <c r="J29" s="566">
        <v>0.19517823548933</v>
      </c>
      <c r="K29" s="566">
        <v>1</v>
      </c>
      <c r="L29" s="566">
        <v>1</v>
      </c>
      <c r="M29" s="566">
        <v>1</v>
      </c>
      <c r="N29" s="566">
        <v>1</v>
      </c>
      <c r="O29" s="566">
        <v>1</v>
      </c>
      <c r="P29" s="566">
        <v>1</v>
      </c>
      <c r="Q29" s="566">
        <v>1</v>
      </c>
      <c r="R29" s="566">
        <v>1</v>
      </c>
      <c r="S29" s="566">
        <v>1</v>
      </c>
      <c r="T29" s="566">
        <v>1</v>
      </c>
      <c r="U29" s="566">
        <v>1</v>
      </c>
      <c r="V29" s="566">
        <v>1</v>
      </c>
      <c r="W29" s="566">
        <v>1</v>
      </c>
      <c r="X29" s="566">
        <v>1</v>
      </c>
      <c r="Y29" s="566">
        <v>0.31014234685782999</v>
      </c>
      <c r="Z29" s="566">
        <v>1</v>
      </c>
      <c r="AA29" s="566">
        <v>1</v>
      </c>
      <c r="AB29" s="566">
        <v>1</v>
      </c>
      <c r="AC29" s="566">
        <v>1</v>
      </c>
      <c r="AD29" s="566">
        <v>1</v>
      </c>
      <c r="AE29" s="566">
        <v>1</v>
      </c>
      <c r="AF29" s="566">
        <v>1</v>
      </c>
      <c r="AG29" s="566">
        <v>1</v>
      </c>
      <c r="AH29" s="566">
        <v>1</v>
      </c>
      <c r="AI29" s="566">
        <v>1</v>
      </c>
      <c r="AJ29" s="566">
        <v>1</v>
      </c>
      <c r="AK29" s="566">
        <v>0.31256943718125602</v>
      </c>
      <c r="AL29" s="566">
        <v>1</v>
      </c>
      <c r="AM29" s="566">
        <v>1</v>
      </c>
      <c r="AN29" s="566">
        <v>1</v>
      </c>
      <c r="AO29" s="566">
        <v>1</v>
      </c>
      <c r="AP29" s="566">
        <v>1</v>
      </c>
      <c r="AQ29" s="566">
        <v>1</v>
      </c>
      <c r="AR29" s="566">
        <v>1</v>
      </c>
      <c r="AS29" s="566">
        <v>1</v>
      </c>
      <c r="AT29" s="566">
        <v>1</v>
      </c>
      <c r="AU29" s="566">
        <v>1</v>
      </c>
      <c r="AV29" s="566">
        <v>1</v>
      </c>
      <c r="AW29" s="566">
        <v>1</v>
      </c>
      <c r="AX29" s="566">
        <v>1</v>
      </c>
      <c r="AY29" s="566">
        <v>1</v>
      </c>
      <c r="AZ29" s="566">
        <v>1</v>
      </c>
      <c r="BA29" s="566">
        <v>0.16682491767860799</v>
      </c>
      <c r="BB29" s="566">
        <v>1</v>
      </c>
      <c r="BC29" s="566">
        <v>1</v>
      </c>
      <c r="BD29" s="566">
        <v>1</v>
      </c>
      <c r="BE29" s="566">
        <v>1</v>
      </c>
      <c r="BF29" s="566">
        <v>1</v>
      </c>
      <c r="BG29" s="566">
        <v>1</v>
      </c>
      <c r="BH29" s="566">
        <v>0.999999999999997</v>
      </c>
      <c r="BI29" s="566">
        <v>1</v>
      </c>
      <c r="BJ29" s="566">
        <v>1</v>
      </c>
      <c r="BK29" s="566">
        <v>1</v>
      </c>
      <c r="BL29" s="566">
        <v>0.99999999999999301</v>
      </c>
      <c r="BM29" s="566">
        <v>1</v>
      </c>
      <c r="BN29" s="566">
        <v>1</v>
      </c>
      <c r="BO29" s="566">
        <v>1</v>
      </c>
      <c r="BP29" s="566">
        <v>0.166297236791452</v>
      </c>
      <c r="BQ29" s="566">
        <v>1</v>
      </c>
      <c r="BR29" s="566">
        <v>1</v>
      </c>
      <c r="BS29" s="566">
        <v>1.00000000000002</v>
      </c>
      <c r="BT29" s="566">
        <v>0.999999999999997</v>
      </c>
      <c r="BU29" s="566">
        <v>1</v>
      </c>
      <c r="BV29" s="566">
        <v>1</v>
      </c>
      <c r="BW29" s="566">
        <v>1</v>
      </c>
      <c r="BX29" s="566">
        <v>0.99999999999999301</v>
      </c>
      <c r="BY29" s="566">
        <v>1</v>
      </c>
      <c r="BZ29" s="566">
        <v>1</v>
      </c>
      <c r="CA29" s="566">
        <v>1</v>
      </c>
      <c r="CB29" s="566">
        <v>0.16629734816646999</v>
      </c>
      <c r="CC29" s="566">
        <v>1</v>
      </c>
      <c r="CD29" s="566">
        <v>1</v>
      </c>
      <c r="CE29" s="566">
        <v>1.00000000000001</v>
      </c>
      <c r="CF29" s="566">
        <v>0.99999999999999101</v>
      </c>
      <c r="CG29" s="566">
        <v>1</v>
      </c>
      <c r="CH29" s="566">
        <v>1</v>
      </c>
      <c r="CI29" s="566">
        <v>1</v>
      </c>
      <c r="CJ29" s="566">
        <v>0.99999999999999201</v>
      </c>
      <c r="CK29" s="566">
        <v>1</v>
      </c>
      <c r="CL29" s="566">
        <v>1</v>
      </c>
      <c r="CM29" s="566">
        <v>1</v>
      </c>
      <c r="CN29" s="566">
        <v>0.99999999999999201</v>
      </c>
      <c r="CO29" s="566">
        <v>1</v>
      </c>
      <c r="CP29" s="566">
        <v>1</v>
      </c>
      <c r="CQ29" s="566">
        <v>1</v>
      </c>
      <c r="CR29" s="566">
        <v>0.166183232283341</v>
      </c>
      <c r="CS29" s="566">
        <v>1</v>
      </c>
      <c r="CT29" s="566">
        <v>1</v>
      </c>
      <c r="CU29" s="566">
        <v>1</v>
      </c>
      <c r="CV29" s="566">
        <v>1</v>
      </c>
      <c r="CW29" s="566">
        <v>1</v>
      </c>
      <c r="CX29" s="566">
        <v>1</v>
      </c>
      <c r="CY29" s="566">
        <v>0.166183521196413</v>
      </c>
      <c r="CZ29" s="566">
        <v>1</v>
      </c>
      <c r="DA29" s="566">
        <v>1</v>
      </c>
      <c r="DB29" s="566">
        <v>1.00000000000001</v>
      </c>
      <c r="DC29" s="566">
        <v>0.16618249741795399</v>
      </c>
      <c r="DD29" s="566">
        <v>1</v>
      </c>
      <c r="DE29" s="566">
        <v>1</v>
      </c>
      <c r="DF29" s="566">
        <v>1.00000000000001</v>
      </c>
      <c r="DG29" s="566">
        <v>0.16618235653504099</v>
      </c>
      <c r="DH29" s="566">
        <v>1</v>
      </c>
      <c r="DI29" s="566">
        <v>1</v>
      </c>
      <c r="DJ29" s="566">
        <v>1.00000000000001</v>
      </c>
      <c r="DK29" s="566">
        <v>0.99999999999965405</v>
      </c>
      <c r="DL29" s="566">
        <v>1</v>
      </c>
      <c r="DM29" s="566">
        <v>1</v>
      </c>
      <c r="DN29" s="566">
        <v>1</v>
      </c>
      <c r="DO29" s="566">
        <v>0.166183231583937</v>
      </c>
      <c r="DP29" s="566">
        <v>1</v>
      </c>
      <c r="DQ29" s="566">
        <v>1</v>
      </c>
      <c r="DR29" s="566">
        <v>1</v>
      </c>
      <c r="DS29" s="566">
        <v>1</v>
      </c>
      <c r="DT29" s="566">
        <v>1</v>
      </c>
      <c r="DU29" s="566">
        <v>1</v>
      </c>
      <c r="DV29" s="566">
        <v>0.166181200560445</v>
      </c>
      <c r="DW29" s="566">
        <v>1</v>
      </c>
      <c r="DX29" s="566">
        <v>1</v>
      </c>
      <c r="DY29" s="566">
        <v>1</v>
      </c>
      <c r="DZ29" s="566">
        <v>0.166180626369266</v>
      </c>
      <c r="EA29" s="566">
        <v>1</v>
      </c>
      <c r="EB29" s="566">
        <v>1</v>
      </c>
      <c r="EC29" s="566">
        <v>1</v>
      </c>
      <c r="ED29" s="566">
        <v>0.16618048535474</v>
      </c>
      <c r="EE29" s="566">
        <v>1</v>
      </c>
      <c r="EF29" s="566">
        <v>1</v>
      </c>
      <c r="EG29" s="566">
        <v>1</v>
      </c>
      <c r="EH29" s="566">
        <v>0.99999999999989997</v>
      </c>
      <c r="EI29" s="566">
        <v>1</v>
      </c>
      <c r="EJ29" s="566">
        <v>1</v>
      </c>
      <c r="EK29" s="566">
        <v>1</v>
      </c>
      <c r="EL29" s="566">
        <v>0.166179892906201</v>
      </c>
      <c r="EM29" s="566">
        <v>1</v>
      </c>
      <c r="EN29" s="566">
        <v>1</v>
      </c>
      <c r="EO29" s="566">
        <v>1</v>
      </c>
      <c r="EP29" s="566">
        <v>1</v>
      </c>
      <c r="EQ29" s="566">
        <v>0.999999999999999</v>
      </c>
      <c r="ER29" s="566">
        <v>1</v>
      </c>
      <c r="ES29" s="566">
        <v>0.166170948561397</v>
      </c>
      <c r="ET29" s="566">
        <v>1</v>
      </c>
      <c r="EU29" s="566">
        <v>0.999999999999999</v>
      </c>
      <c r="EV29" s="566">
        <v>1</v>
      </c>
      <c r="EW29" s="566">
        <v>0.16617090890969499</v>
      </c>
      <c r="EX29" s="566">
        <v>1</v>
      </c>
      <c r="EY29" s="566">
        <v>0.999999999999999</v>
      </c>
      <c r="EZ29" s="566">
        <v>1</v>
      </c>
      <c r="FA29" s="566">
        <v>0.16617076786232099</v>
      </c>
      <c r="FB29" s="566">
        <v>1</v>
      </c>
      <c r="FC29" s="566">
        <v>0.999999999999999</v>
      </c>
      <c r="FD29" s="566">
        <v>1</v>
      </c>
      <c r="FE29" s="566">
        <v>0.99999999997752398</v>
      </c>
      <c r="FF29" s="566">
        <v>1</v>
      </c>
      <c r="FG29" s="566">
        <v>0.999999999999999</v>
      </c>
      <c r="FH29" s="566">
        <v>1</v>
      </c>
    </row>
    <row r="30" spans="1:164" ht="12.75" customHeight="1" x14ac:dyDescent="0.3">
      <c r="A30" s="422"/>
      <c r="B30" s="422"/>
      <c r="C30" s="422"/>
      <c r="D30" s="422"/>
      <c r="E30" s="422"/>
      <c r="F30" s="568"/>
      <c r="G30" s="569"/>
      <c r="H30" s="439"/>
      <c r="I30" s="574">
        <v>837589.06624272198</v>
      </c>
      <c r="J30" s="566">
        <v>0.21126673010891101</v>
      </c>
      <c r="K30" s="566">
        <v>1</v>
      </c>
      <c r="L30" s="566">
        <v>1</v>
      </c>
      <c r="M30" s="566">
        <v>1</v>
      </c>
      <c r="N30" s="566">
        <v>1</v>
      </c>
      <c r="O30" s="566">
        <v>1</v>
      </c>
      <c r="P30" s="566">
        <v>1</v>
      </c>
      <c r="Q30" s="566">
        <v>1</v>
      </c>
      <c r="R30" s="566">
        <v>1</v>
      </c>
      <c r="S30" s="566">
        <v>1</v>
      </c>
      <c r="T30" s="566">
        <v>1</v>
      </c>
      <c r="U30" s="566">
        <v>1</v>
      </c>
      <c r="V30" s="566">
        <v>1</v>
      </c>
      <c r="W30" s="566">
        <v>1</v>
      </c>
      <c r="X30" s="566">
        <v>1</v>
      </c>
      <c r="Y30" s="566">
        <v>0.32393269352868798</v>
      </c>
      <c r="Z30" s="566">
        <v>1</v>
      </c>
      <c r="AA30" s="566">
        <v>1</v>
      </c>
      <c r="AB30" s="566">
        <v>1</v>
      </c>
      <c r="AC30" s="566">
        <v>1</v>
      </c>
      <c r="AD30" s="566">
        <v>1</v>
      </c>
      <c r="AE30" s="566">
        <v>1</v>
      </c>
      <c r="AF30" s="566">
        <v>1</v>
      </c>
      <c r="AG30" s="566">
        <v>1</v>
      </c>
      <c r="AH30" s="566">
        <v>1</v>
      </c>
      <c r="AI30" s="566">
        <v>1</v>
      </c>
      <c r="AJ30" s="566">
        <v>1</v>
      </c>
      <c r="AK30" s="566">
        <v>0.32631126599222099</v>
      </c>
      <c r="AL30" s="566">
        <v>1</v>
      </c>
      <c r="AM30" s="566">
        <v>1</v>
      </c>
      <c r="AN30" s="566">
        <v>1</v>
      </c>
      <c r="AO30" s="566">
        <v>1</v>
      </c>
      <c r="AP30" s="566">
        <v>1</v>
      </c>
      <c r="AQ30" s="566">
        <v>1</v>
      </c>
      <c r="AR30" s="566">
        <v>1</v>
      </c>
      <c r="AS30" s="566">
        <v>1</v>
      </c>
      <c r="AT30" s="566">
        <v>1</v>
      </c>
      <c r="AU30" s="566">
        <v>1</v>
      </c>
      <c r="AV30" s="566">
        <v>1</v>
      </c>
      <c r="AW30" s="566">
        <v>1</v>
      </c>
      <c r="AX30" s="566">
        <v>1</v>
      </c>
      <c r="AY30" s="566">
        <v>1</v>
      </c>
      <c r="AZ30" s="566">
        <v>1</v>
      </c>
      <c r="BA30" s="566">
        <v>0.18348019891003201</v>
      </c>
      <c r="BB30" s="566">
        <v>1</v>
      </c>
      <c r="BC30" s="566">
        <v>1</v>
      </c>
      <c r="BD30" s="566">
        <v>1</v>
      </c>
      <c r="BE30" s="566">
        <v>1</v>
      </c>
      <c r="BF30" s="566">
        <v>1</v>
      </c>
      <c r="BG30" s="566">
        <v>1</v>
      </c>
      <c r="BH30" s="566">
        <v>0.999999999999997</v>
      </c>
      <c r="BI30" s="566">
        <v>1</v>
      </c>
      <c r="BJ30" s="566">
        <v>1</v>
      </c>
      <c r="BK30" s="566">
        <v>1</v>
      </c>
      <c r="BL30" s="566">
        <v>0.99999999999999301</v>
      </c>
      <c r="BM30" s="566">
        <v>1</v>
      </c>
      <c r="BN30" s="566">
        <v>1</v>
      </c>
      <c r="BO30" s="566">
        <v>1</v>
      </c>
      <c r="BP30" s="566">
        <v>0.182963066434323</v>
      </c>
      <c r="BQ30" s="566">
        <v>1</v>
      </c>
      <c r="BR30" s="566">
        <v>1</v>
      </c>
      <c r="BS30" s="566">
        <v>0.999999999999999</v>
      </c>
      <c r="BT30" s="566">
        <v>0.999999999999997</v>
      </c>
      <c r="BU30" s="566">
        <v>1</v>
      </c>
      <c r="BV30" s="566">
        <v>1</v>
      </c>
      <c r="BW30" s="566">
        <v>1</v>
      </c>
      <c r="BX30" s="566">
        <v>0.99999999999999301</v>
      </c>
      <c r="BY30" s="566">
        <v>1</v>
      </c>
      <c r="BZ30" s="566">
        <v>1</v>
      </c>
      <c r="CA30" s="566">
        <v>1</v>
      </c>
      <c r="CB30" s="566">
        <v>0.18296317558294001</v>
      </c>
      <c r="CC30" s="566">
        <v>1</v>
      </c>
      <c r="CD30" s="566">
        <v>1</v>
      </c>
      <c r="CE30" s="566">
        <v>1.00000000000001</v>
      </c>
      <c r="CF30" s="566">
        <v>0.99999999999999201</v>
      </c>
      <c r="CG30" s="566">
        <v>1</v>
      </c>
      <c r="CH30" s="566">
        <v>1</v>
      </c>
      <c r="CI30" s="566">
        <v>1</v>
      </c>
      <c r="CJ30" s="566">
        <v>0.99999999999999301</v>
      </c>
      <c r="CK30" s="566">
        <v>1</v>
      </c>
      <c r="CL30" s="566">
        <v>1</v>
      </c>
      <c r="CM30" s="566">
        <v>1</v>
      </c>
      <c r="CN30" s="566">
        <v>0.99999999999999201</v>
      </c>
      <c r="CO30" s="566">
        <v>1</v>
      </c>
      <c r="CP30" s="566">
        <v>1</v>
      </c>
      <c r="CQ30" s="566">
        <v>1</v>
      </c>
      <c r="CR30" s="566">
        <v>0.18285134089156399</v>
      </c>
      <c r="CS30" s="566">
        <v>1</v>
      </c>
      <c r="CT30" s="566">
        <v>1</v>
      </c>
      <c r="CU30" s="566">
        <v>1</v>
      </c>
      <c r="CV30" s="566">
        <v>1</v>
      </c>
      <c r="CW30" s="566">
        <v>1</v>
      </c>
      <c r="CX30" s="566">
        <v>1</v>
      </c>
      <c r="CY30" s="566">
        <v>0.182851624029225</v>
      </c>
      <c r="CZ30" s="566">
        <v>1</v>
      </c>
      <c r="DA30" s="566">
        <v>1</v>
      </c>
      <c r="DB30" s="566">
        <v>1.00000000000001</v>
      </c>
      <c r="DC30" s="566">
        <v>0.18285062071623401</v>
      </c>
      <c r="DD30" s="566">
        <v>1</v>
      </c>
      <c r="DE30" s="566">
        <v>1</v>
      </c>
      <c r="DF30" s="566">
        <v>1.00000000000001</v>
      </c>
      <c r="DG30" s="566">
        <v>0.182850482649589</v>
      </c>
      <c r="DH30" s="566">
        <v>1</v>
      </c>
      <c r="DI30" s="566">
        <v>1</v>
      </c>
      <c r="DJ30" s="566">
        <v>1.00000000000001</v>
      </c>
      <c r="DK30" s="566">
        <v>0.99999999999966105</v>
      </c>
      <c r="DL30" s="566">
        <v>1</v>
      </c>
      <c r="DM30" s="566">
        <v>1</v>
      </c>
      <c r="DN30" s="566">
        <v>1</v>
      </c>
      <c r="DO30" s="566">
        <v>0.18285134020614099</v>
      </c>
      <c r="DP30" s="566">
        <v>1</v>
      </c>
      <c r="DQ30" s="566">
        <v>1</v>
      </c>
      <c r="DR30" s="566">
        <v>1</v>
      </c>
      <c r="DS30" s="566">
        <v>1</v>
      </c>
      <c r="DT30" s="566">
        <v>1</v>
      </c>
      <c r="DU30" s="566">
        <v>1</v>
      </c>
      <c r="DV30" s="566">
        <v>0.18284934978308001</v>
      </c>
      <c r="DW30" s="566">
        <v>1</v>
      </c>
      <c r="DX30" s="566">
        <v>1</v>
      </c>
      <c r="DY30" s="566">
        <v>1.00000000000001</v>
      </c>
      <c r="DZ30" s="566">
        <v>0.18284878707006</v>
      </c>
      <c r="EA30" s="566">
        <v>1</v>
      </c>
      <c r="EB30" s="566">
        <v>1</v>
      </c>
      <c r="EC30" s="566">
        <v>1.00000000000001</v>
      </c>
      <c r="ED30" s="566">
        <v>0.182848648874432</v>
      </c>
      <c r="EE30" s="566">
        <v>1</v>
      </c>
      <c r="EF30" s="566">
        <v>1</v>
      </c>
      <c r="EG30" s="566">
        <v>1.00000000000001</v>
      </c>
      <c r="EH30" s="566">
        <v>0.99999999999990197</v>
      </c>
      <c r="EI30" s="566">
        <v>1</v>
      </c>
      <c r="EJ30" s="566">
        <v>1</v>
      </c>
      <c r="EK30" s="566">
        <v>1</v>
      </c>
      <c r="EL30" s="566">
        <v>0.182848068269019</v>
      </c>
      <c r="EM30" s="566">
        <v>1</v>
      </c>
      <c r="EN30" s="566">
        <v>1</v>
      </c>
      <c r="EO30" s="566">
        <v>1</v>
      </c>
      <c r="EP30" s="566">
        <v>1</v>
      </c>
      <c r="EQ30" s="566">
        <v>1</v>
      </c>
      <c r="ER30" s="566">
        <v>1</v>
      </c>
      <c r="ES30" s="566">
        <v>0.182839302722863</v>
      </c>
      <c r="ET30" s="566">
        <v>0.999999999999999</v>
      </c>
      <c r="EU30" s="566">
        <v>1</v>
      </c>
      <c r="EV30" s="566">
        <v>0.999999999999999</v>
      </c>
      <c r="EW30" s="566">
        <v>0.182839263863804</v>
      </c>
      <c r="EX30" s="566">
        <v>1</v>
      </c>
      <c r="EY30" s="566">
        <v>1</v>
      </c>
      <c r="EZ30" s="566">
        <v>1</v>
      </c>
      <c r="FA30" s="566">
        <v>0.18283912563598601</v>
      </c>
      <c r="FB30" s="566">
        <v>1</v>
      </c>
      <c r="FC30" s="566">
        <v>1</v>
      </c>
      <c r="FD30" s="566">
        <v>1</v>
      </c>
      <c r="FE30" s="566">
        <v>0.99999999997797395</v>
      </c>
      <c r="FF30" s="566">
        <v>1</v>
      </c>
      <c r="FG30" s="566">
        <v>1</v>
      </c>
      <c r="FH30" s="566">
        <v>0.999999999999999</v>
      </c>
    </row>
    <row r="31" spans="1:164" ht="12.75" customHeight="1" x14ac:dyDescent="0.3">
      <c r="A31" s="422"/>
      <c r="B31" s="422"/>
      <c r="C31" s="422"/>
      <c r="D31" s="422"/>
      <c r="E31" s="422"/>
      <c r="F31" s="568"/>
      <c r="G31" s="569"/>
      <c r="H31" s="439"/>
      <c r="I31" s="574">
        <v>921347.97286699503</v>
      </c>
      <c r="J31" s="566">
        <v>0.22703361362927199</v>
      </c>
      <c r="K31" s="566">
        <v>1</v>
      </c>
      <c r="L31" s="566">
        <v>1</v>
      </c>
      <c r="M31" s="566">
        <v>1</v>
      </c>
      <c r="N31" s="566">
        <v>1</v>
      </c>
      <c r="O31" s="566">
        <v>1</v>
      </c>
      <c r="P31" s="566">
        <v>1</v>
      </c>
      <c r="Q31" s="566">
        <v>1</v>
      </c>
      <c r="R31" s="566">
        <v>1</v>
      </c>
      <c r="S31" s="566">
        <v>1</v>
      </c>
      <c r="T31" s="566">
        <v>1</v>
      </c>
      <c r="U31" s="566">
        <v>1</v>
      </c>
      <c r="V31" s="566">
        <v>1</v>
      </c>
      <c r="W31" s="566">
        <v>1</v>
      </c>
      <c r="X31" s="566">
        <v>1</v>
      </c>
      <c r="Y31" s="566">
        <v>0.33744736937662101</v>
      </c>
      <c r="Z31" s="566">
        <v>1</v>
      </c>
      <c r="AA31" s="566">
        <v>1</v>
      </c>
      <c r="AB31" s="566">
        <v>1</v>
      </c>
      <c r="AC31" s="566">
        <v>1</v>
      </c>
      <c r="AD31" s="566">
        <v>1</v>
      </c>
      <c r="AE31" s="566">
        <v>1</v>
      </c>
      <c r="AF31" s="566">
        <v>1</v>
      </c>
      <c r="AG31" s="566">
        <v>1</v>
      </c>
      <c r="AH31" s="566">
        <v>1</v>
      </c>
      <c r="AI31" s="566">
        <v>1</v>
      </c>
      <c r="AJ31" s="566">
        <v>1</v>
      </c>
      <c r="AK31" s="566">
        <v>0.33977839385858799</v>
      </c>
      <c r="AL31" s="566">
        <v>1</v>
      </c>
      <c r="AM31" s="566">
        <v>1</v>
      </c>
      <c r="AN31" s="566">
        <v>1</v>
      </c>
      <c r="AO31" s="566">
        <v>1</v>
      </c>
      <c r="AP31" s="566">
        <v>1</v>
      </c>
      <c r="AQ31" s="566">
        <v>1</v>
      </c>
      <c r="AR31" s="566">
        <v>1</v>
      </c>
      <c r="AS31" s="566">
        <v>1</v>
      </c>
      <c r="AT31" s="566">
        <v>1</v>
      </c>
      <c r="AU31" s="566">
        <v>1</v>
      </c>
      <c r="AV31" s="566">
        <v>1</v>
      </c>
      <c r="AW31" s="566">
        <v>1</v>
      </c>
      <c r="AX31" s="566">
        <v>1</v>
      </c>
      <c r="AY31" s="566">
        <v>1</v>
      </c>
      <c r="AZ31" s="566">
        <v>1</v>
      </c>
      <c r="BA31" s="566">
        <v>0.19980253890417499</v>
      </c>
      <c r="BB31" s="566">
        <v>1</v>
      </c>
      <c r="BC31" s="566">
        <v>1</v>
      </c>
      <c r="BD31" s="566">
        <v>1</v>
      </c>
      <c r="BE31" s="566">
        <v>1</v>
      </c>
      <c r="BF31" s="566">
        <v>1</v>
      </c>
      <c r="BG31" s="566">
        <v>1</v>
      </c>
      <c r="BH31" s="566">
        <v>0.999999999999997</v>
      </c>
      <c r="BI31" s="566">
        <v>1</v>
      </c>
      <c r="BJ31" s="566">
        <v>1</v>
      </c>
      <c r="BK31" s="566">
        <v>1</v>
      </c>
      <c r="BL31" s="566">
        <v>0.99999999999999301</v>
      </c>
      <c r="BM31" s="566">
        <v>1</v>
      </c>
      <c r="BN31" s="566">
        <v>1</v>
      </c>
      <c r="BO31" s="566">
        <v>1</v>
      </c>
      <c r="BP31" s="566">
        <v>0.199295743975798</v>
      </c>
      <c r="BQ31" s="566">
        <v>1</v>
      </c>
      <c r="BR31" s="566">
        <v>1</v>
      </c>
      <c r="BS31" s="566">
        <v>0.99999999999999001</v>
      </c>
      <c r="BT31" s="566">
        <v>0.999999999999997</v>
      </c>
      <c r="BU31" s="566">
        <v>1</v>
      </c>
      <c r="BV31" s="566">
        <v>1</v>
      </c>
      <c r="BW31" s="566">
        <v>1</v>
      </c>
      <c r="BX31" s="566">
        <v>0.99999999999999301</v>
      </c>
      <c r="BY31" s="566">
        <v>1</v>
      </c>
      <c r="BZ31" s="566">
        <v>1</v>
      </c>
      <c r="CA31" s="566">
        <v>1</v>
      </c>
      <c r="CB31" s="566">
        <v>0.199295850942519</v>
      </c>
      <c r="CC31" s="566">
        <v>1</v>
      </c>
      <c r="CD31" s="566">
        <v>1</v>
      </c>
      <c r="CE31" s="566">
        <v>0.99999999999998701</v>
      </c>
      <c r="CF31" s="566">
        <v>0.99999999999999201</v>
      </c>
      <c r="CG31" s="566">
        <v>1</v>
      </c>
      <c r="CH31" s="566">
        <v>1</v>
      </c>
      <c r="CI31" s="566">
        <v>1</v>
      </c>
      <c r="CJ31" s="566">
        <v>0.99999999999999301</v>
      </c>
      <c r="CK31" s="566">
        <v>1</v>
      </c>
      <c r="CL31" s="566">
        <v>1</v>
      </c>
      <c r="CM31" s="566">
        <v>1</v>
      </c>
      <c r="CN31" s="566">
        <v>0.99999999999999201</v>
      </c>
      <c r="CO31" s="566">
        <v>1</v>
      </c>
      <c r="CP31" s="566">
        <v>1</v>
      </c>
      <c r="CQ31" s="566">
        <v>1</v>
      </c>
      <c r="CR31" s="566">
        <v>0.19918625184157601</v>
      </c>
      <c r="CS31" s="566">
        <v>1</v>
      </c>
      <c r="CT31" s="566">
        <v>1</v>
      </c>
      <c r="CU31" s="566">
        <v>1</v>
      </c>
      <c r="CV31" s="566">
        <v>1</v>
      </c>
      <c r="CW31" s="566">
        <v>1</v>
      </c>
      <c r="CX31" s="566">
        <v>1</v>
      </c>
      <c r="CY31" s="566">
        <v>0.19918652931927699</v>
      </c>
      <c r="CZ31" s="566">
        <v>1</v>
      </c>
      <c r="DA31" s="566">
        <v>1</v>
      </c>
      <c r="DB31" s="566">
        <v>1.00000000000001</v>
      </c>
      <c r="DC31" s="566">
        <v>0.19918554606264699</v>
      </c>
      <c r="DD31" s="566">
        <v>1</v>
      </c>
      <c r="DE31" s="566">
        <v>1</v>
      </c>
      <c r="DF31" s="566">
        <v>1.00000000000001</v>
      </c>
      <c r="DG31" s="566">
        <v>0.19918541075597199</v>
      </c>
      <c r="DH31" s="566">
        <v>1</v>
      </c>
      <c r="DI31" s="566">
        <v>1</v>
      </c>
      <c r="DJ31" s="566">
        <v>1.00000000000001</v>
      </c>
      <c r="DK31" s="566">
        <v>0.99999999999966804</v>
      </c>
      <c r="DL31" s="566">
        <v>1</v>
      </c>
      <c r="DM31" s="566">
        <v>1</v>
      </c>
      <c r="DN31" s="566">
        <v>1</v>
      </c>
      <c r="DO31" s="566">
        <v>0.199186251169855</v>
      </c>
      <c r="DP31" s="566">
        <v>1</v>
      </c>
      <c r="DQ31" s="566">
        <v>1</v>
      </c>
      <c r="DR31" s="566">
        <v>1</v>
      </c>
      <c r="DS31" s="566">
        <v>1</v>
      </c>
      <c r="DT31" s="566">
        <v>1</v>
      </c>
      <c r="DU31" s="566">
        <v>1</v>
      </c>
      <c r="DV31" s="566">
        <v>0.199184300535616</v>
      </c>
      <c r="DW31" s="566">
        <v>1</v>
      </c>
      <c r="DX31" s="566">
        <v>1</v>
      </c>
      <c r="DY31" s="566">
        <v>1.00000000000001</v>
      </c>
      <c r="DZ31" s="566">
        <v>0.19918374907130501</v>
      </c>
      <c r="EA31" s="566">
        <v>1</v>
      </c>
      <c r="EB31" s="566">
        <v>1</v>
      </c>
      <c r="EC31" s="566">
        <v>1.00000000000001</v>
      </c>
      <c r="ED31" s="566">
        <v>0.19918361363822601</v>
      </c>
      <c r="EE31" s="566">
        <v>1</v>
      </c>
      <c r="EF31" s="566">
        <v>1</v>
      </c>
      <c r="EG31" s="566">
        <v>1.00000000000001</v>
      </c>
      <c r="EH31" s="566">
        <v>0.99999999999990297</v>
      </c>
      <c r="EI31" s="566">
        <v>1</v>
      </c>
      <c r="EJ31" s="566">
        <v>1</v>
      </c>
      <c r="EK31" s="566">
        <v>1</v>
      </c>
      <c r="EL31" s="566">
        <v>0.19918304463919301</v>
      </c>
      <c r="EM31" s="566">
        <v>1</v>
      </c>
      <c r="EN31" s="566">
        <v>1</v>
      </c>
      <c r="EO31" s="566">
        <v>1</v>
      </c>
      <c r="EP31" s="566">
        <v>1</v>
      </c>
      <c r="EQ31" s="566">
        <v>1</v>
      </c>
      <c r="ER31" s="566">
        <v>1</v>
      </c>
      <c r="ES31" s="566">
        <v>0.19917445431747699</v>
      </c>
      <c r="ET31" s="566">
        <v>1</v>
      </c>
      <c r="EU31" s="566">
        <v>0.999999999999999</v>
      </c>
      <c r="EV31" s="566">
        <v>1</v>
      </c>
      <c r="EW31" s="566">
        <v>0.19917441623521501</v>
      </c>
      <c r="EX31" s="566">
        <v>1</v>
      </c>
      <c r="EY31" s="566">
        <v>0.999999999999999</v>
      </c>
      <c r="EZ31" s="566">
        <v>1</v>
      </c>
      <c r="FA31" s="566">
        <v>0.19917428077058999</v>
      </c>
      <c r="FB31" s="566">
        <v>1</v>
      </c>
      <c r="FC31" s="566">
        <v>1</v>
      </c>
      <c r="FD31" s="566">
        <v>1</v>
      </c>
      <c r="FE31" s="566">
        <v>0.99999999997841404</v>
      </c>
      <c r="FF31" s="566">
        <v>1</v>
      </c>
      <c r="FG31" s="566">
        <v>1</v>
      </c>
      <c r="FH31" s="566">
        <v>1</v>
      </c>
    </row>
    <row r="32" spans="1:164" ht="12.75" customHeight="1" x14ac:dyDescent="0.3">
      <c r="A32" s="422"/>
      <c r="B32" s="422"/>
      <c r="C32" s="422"/>
      <c r="D32" s="422"/>
      <c r="E32" s="422"/>
      <c r="F32" s="568"/>
      <c r="G32" s="569"/>
      <c r="H32" s="439"/>
      <c r="I32" s="574">
        <v>1005106.8794912701</v>
      </c>
      <c r="J32" s="566">
        <v>0.24248531492877701</v>
      </c>
      <c r="K32" s="566">
        <v>1</v>
      </c>
      <c r="L32" s="566">
        <v>1</v>
      </c>
      <c r="M32" s="566">
        <v>1</v>
      </c>
      <c r="N32" s="566">
        <v>1</v>
      </c>
      <c r="O32" s="566">
        <v>1</v>
      </c>
      <c r="P32" s="566">
        <v>1</v>
      </c>
      <c r="Q32" s="566">
        <v>1</v>
      </c>
      <c r="R32" s="566">
        <v>1</v>
      </c>
      <c r="S32" s="566">
        <v>1</v>
      </c>
      <c r="T32" s="566">
        <v>1</v>
      </c>
      <c r="U32" s="566">
        <v>0.999999999999999</v>
      </c>
      <c r="V32" s="566">
        <v>1</v>
      </c>
      <c r="W32" s="566">
        <v>1</v>
      </c>
      <c r="X32" s="566">
        <v>1</v>
      </c>
      <c r="Y32" s="566">
        <v>0.35069188495207998</v>
      </c>
      <c r="Z32" s="566">
        <v>1</v>
      </c>
      <c r="AA32" s="566">
        <v>1</v>
      </c>
      <c r="AB32" s="566">
        <v>1</v>
      </c>
      <c r="AC32" s="566">
        <v>1</v>
      </c>
      <c r="AD32" s="566">
        <v>1</v>
      </c>
      <c r="AE32" s="566">
        <v>1</v>
      </c>
      <c r="AF32" s="566">
        <v>1</v>
      </c>
      <c r="AG32" s="566">
        <v>0.999999999999999</v>
      </c>
      <c r="AH32" s="566">
        <v>1</v>
      </c>
      <c r="AI32" s="566">
        <v>1</v>
      </c>
      <c r="AJ32" s="566">
        <v>1</v>
      </c>
      <c r="AK32" s="566">
        <v>0.35297631194332502</v>
      </c>
      <c r="AL32" s="566">
        <v>1</v>
      </c>
      <c r="AM32" s="566">
        <v>1</v>
      </c>
      <c r="AN32" s="566">
        <v>1</v>
      </c>
      <c r="AO32" s="566">
        <v>1</v>
      </c>
      <c r="AP32" s="566">
        <v>1</v>
      </c>
      <c r="AQ32" s="566">
        <v>1</v>
      </c>
      <c r="AR32" s="566">
        <v>1</v>
      </c>
      <c r="AS32" s="566">
        <v>1</v>
      </c>
      <c r="AT32" s="566">
        <v>1</v>
      </c>
      <c r="AU32" s="566">
        <v>1</v>
      </c>
      <c r="AV32" s="566">
        <v>1</v>
      </c>
      <c r="AW32" s="566">
        <v>1</v>
      </c>
      <c r="AX32" s="566">
        <v>1</v>
      </c>
      <c r="AY32" s="566">
        <v>1</v>
      </c>
      <c r="AZ32" s="566">
        <v>1</v>
      </c>
      <c r="BA32" s="566">
        <v>0.21579859302436599</v>
      </c>
      <c r="BB32" s="566">
        <v>1</v>
      </c>
      <c r="BC32" s="566">
        <v>1</v>
      </c>
      <c r="BD32" s="566">
        <v>1</v>
      </c>
      <c r="BE32" s="566">
        <v>1</v>
      </c>
      <c r="BF32" s="566">
        <v>1</v>
      </c>
      <c r="BG32" s="566">
        <v>1</v>
      </c>
      <c r="BH32" s="566">
        <v>0.999999999999997</v>
      </c>
      <c r="BI32" s="566">
        <v>1</v>
      </c>
      <c r="BJ32" s="566">
        <v>1</v>
      </c>
      <c r="BK32" s="566">
        <v>1</v>
      </c>
      <c r="BL32" s="566">
        <v>0.999999999999994</v>
      </c>
      <c r="BM32" s="566">
        <v>1</v>
      </c>
      <c r="BN32" s="566">
        <v>1</v>
      </c>
      <c r="BO32" s="566">
        <v>1</v>
      </c>
      <c r="BP32" s="566">
        <v>0.21530192899429301</v>
      </c>
      <c r="BQ32" s="566">
        <v>1</v>
      </c>
      <c r="BR32" s="566">
        <v>1</v>
      </c>
      <c r="BS32" s="566">
        <v>1.00000000000002</v>
      </c>
      <c r="BT32" s="566">
        <v>0.999999999999997</v>
      </c>
      <c r="BU32" s="566">
        <v>1</v>
      </c>
      <c r="BV32" s="566">
        <v>1</v>
      </c>
      <c r="BW32" s="566">
        <v>1</v>
      </c>
      <c r="BX32" s="566">
        <v>0.99999999999999301</v>
      </c>
      <c r="BY32" s="566">
        <v>1</v>
      </c>
      <c r="BZ32" s="566">
        <v>1</v>
      </c>
      <c r="CA32" s="566">
        <v>1</v>
      </c>
      <c r="CB32" s="566">
        <v>0.21530203382273599</v>
      </c>
      <c r="CC32" s="566">
        <v>1</v>
      </c>
      <c r="CD32" s="566">
        <v>1</v>
      </c>
      <c r="CE32" s="566">
        <v>1.00000000000001</v>
      </c>
      <c r="CF32" s="566">
        <v>0.99999999999999201</v>
      </c>
      <c r="CG32" s="566">
        <v>1</v>
      </c>
      <c r="CH32" s="566">
        <v>1</v>
      </c>
      <c r="CI32" s="566">
        <v>1</v>
      </c>
      <c r="CJ32" s="566">
        <v>0.99999999999999301</v>
      </c>
      <c r="CK32" s="566">
        <v>1</v>
      </c>
      <c r="CL32" s="566">
        <v>1</v>
      </c>
      <c r="CM32" s="566">
        <v>1</v>
      </c>
      <c r="CN32" s="566">
        <v>0.99999999999999201</v>
      </c>
      <c r="CO32" s="566">
        <v>1</v>
      </c>
      <c r="CP32" s="566">
        <v>1</v>
      </c>
      <c r="CQ32" s="566">
        <v>1</v>
      </c>
      <c r="CR32" s="566">
        <v>0.215194625622459</v>
      </c>
      <c r="CS32" s="566">
        <v>1</v>
      </c>
      <c r="CT32" s="566">
        <v>1</v>
      </c>
      <c r="CU32" s="566">
        <v>1</v>
      </c>
      <c r="CV32" s="566">
        <v>1</v>
      </c>
      <c r="CW32" s="566">
        <v>1</v>
      </c>
      <c r="CX32" s="566">
        <v>1</v>
      </c>
      <c r="CY32" s="566">
        <v>0.21519489755334301</v>
      </c>
      <c r="CZ32" s="566">
        <v>1</v>
      </c>
      <c r="DA32" s="566">
        <v>1</v>
      </c>
      <c r="DB32" s="566">
        <v>1.00000000000001</v>
      </c>
      <c r="DC32" s="566">
        <v>0.21519393395214501</v>
      </c>
      <c r="DD32" s="566">
        <v>1</v>
      </c>
      <c r="DE32" s="566">
        <v>1</v>
      </c>
      <c r="DF32" s="566">
        <v>1.00000000000001</v>
      </c>
      <c r="DG32" s="566">
        <v>0.215193801350269</v>
      </c>
      <c r="DH32" s="566">
        <v>1</v>
      </c>
      <c r="DI32" s="566">
        <v>1</v>
      </c>
      <c r="DJ32" s="566">
        <v>1.00000000000001</v>
      </c>
      <c r="DK32" s="566">
        <v>0.99999999999967504</v>
      </c>
      <c r="DL32" s="566">
        <v>1</v>
      </c>
      <c r="DM32" s="566">
        <v>1</v>
      </c>
      <c r="DN32" s="566">
        <v>1</v>
      </c>
      <c r="DO32" s="566">
        <v>0.215194624964165</v>
      </c>
      <c r="DP32" s="566">
        <v>1</v>
      </c>
      <c r="DQ32" s="566">
        <v>1</v>
      </c>
      <c r="DR32" s="566">
        <v>1</v>
      </c>
      <c r="DS32" s="566">
        <v>1</v>
      </c>
      <c r="DT32" s="566">
        <v>1</v>
      </c>
      <c r="DU32" s="566">
        <v>1</v>
      </c>
      <c r="DV32" s="566">
        <v>0.21519271332336501</v>
      </c>
      <c r="DW32" s="566">
        <v>1</v>
      </c>
      <c r="DX32" s="566">
        <v>1</v>
      </c>
      <c r="DY32" s="566">
        <v>1.00000000000001</v>
      </c>
      <c r="DZ32" s="566">
        <v>0.21519217288289899</v>
      </c>
      <c r="EA32" s="566">
        <v>1</v>
      </c>
      <c r="EB32" s="566">
        <v>1</v>
      </c>
      <c r="EC32" s="566">
        <v>1.00000000000001</v>
      </c>
      <c r="ED32" s="566">
        <v>0.21519204015714599</v>
      </c>
      <c r="EE32" s="566">
        <v>1</v>
      </c>
      <c r="EF32" s="566">
        <v>1</v>
      </c>
      <c r="EG32" s="566">
        <v>1.00000000000001</v>
      </c>
      <c r="EH32" s="566">
        <v>0.99999999999990696</v>
      </c>
      <c r="EI32" s="566">
        <v>1</v>
      </c>
      <c r="EJ32" s="566">
        <v>1</v>
      </c>
      <c r="EK32" s="566">
        <v>1</v>
      </c>
      <c r="EL32" s="566">
        <v>0.21519148253247999</v>
      </c>
      <c r="EM32" s="566">
        <v>1</v>
      </c>
      <c r="EN32" s="566">
        <v>1</v>
      </c>
      <c r="EO32" s="566">
        <v>1</v>
      </c>
      <c r="EP32" s="566">
        <v>1</v>
      </c>
      <c r="EQ32" s="566">
        <v>1</v>
      </c>
      <c r="ER32" s="566">
        <v>1</v>
      </c>
      <c r="ES32" s="566">
        <v>0.21518306393244199</v>
      </c>
      <c r="ET32" s="566">
        <v>1</v>
      </c>
      <c r="EU32" s="566">
        <v>1</v>
      </c>
      <c r="EV32" s="566">
        <v>1</v>
      </c>
      <c r="EW32" s="566">
        <v>0.21518302661145</v>
      </c>
      <c r="EX32" s="566">
        <v>1</v>
      </c>
      <c r="EY32" s="566">
        <v>1</v>
      </c>
      <c r="EZ32" s="566">
        <v>1</v>
      </c>
      <c r="FA32" s="566">
        <v>0.21518289385478001</v>
      </c>
      <c r="FB32" s="566">
        <v>1</v>
      </c>
      <c r="FC32" s="566">
        <v>1</v>
      </c>
      <c r="FD32" s="566">
        <v>1</v>
      </c>
      <c r="FE32" s="566">
        <v>0.99999999997884603</v>
      </c>
      <c r="FF32" s="566">
        <v>1</v>
      </c>
      <c r="FG32" s="566">
        <v>1</v>
      </c>
      <c r="FH32" s="566">
        <v>1</v>
      </c>
    </row>
    <row r="33" spans="1:164" ht="12.75" customHeight="1" x14ac:dyDescent="0.3">
      <c r="A33" s="422"/>
      <c r="B33" s="422"/>
      <c r="C33" s="422"/>
      <c r="D33" s="422"/>
      <c r="E33" s="422"/>
      <c r="F33" s="568"/>
      <c r="G33" s="569"/>
      <c r="H33" s="439"/>
      <c r="I33" s="574">
        <v>1088865.78611554</v>
      </c>
      <c r="J33" s="566">
        <v>0.25762813426126402</v>
      </c>
      <c r="K33" s="566">
        <v>1</v>
      </c>
      <c r="L33" s="566">
        <v>1</v>
      </c>
      <c r="M33" s="566">
        <v>1</v>
      </c>
      <c r="N33" s="566">
        <v>1</v>
      </c>
      <c r="O33" s="566">
        <v>1</v>
      </c>
      <c r="P33" s="566">
        <v>1</v>
      </c>
      <c r="Q33" s="566">
        <v>1</v>
      </c>
      <c r="R33" s="566">
        <v>1</v>
      </c>
      <c r="S33" s="566">
        <v>1</v>
      </c>
      <c r="T33" s="566">
        <v>1</v>
      </c>
      <c r="U33" s="566">
        <v>0.999999999999999</v>
      </c>
      <c r="V33" s="566">
        <v>1</v>
      </c>
      <c r="W33" s="566">
        <v>1</v>
      </c>
      <c r="X33" s="566">
        <v>1</v>
      </c>
      <c r="Y33" s="566">
        <v>0.36367164055426199</v>
      </c>
      <c r="Z33" s="566">
        <v>1</v>
      </c>
      <c r="AA33" s="566">
        <v>1</v>
      </c>
      <c r="AB33" s="566">
        <v>1</v>
      </c>
      <c r="AC33" s="566">
        <v>1</v>
      </c>
      <c r="AD33" s="566">
        <v>1</v>
      </c>
      <c r="AE33" s="566">
        <v>1</v>
      </c>
      <c r="AF33" s="566">
        <v>1</v>
      </c>
      <c r="AG33" s="566">
        <v>1</v>
      </c>
      <c r="AH33" s="566">
        <v>1</v>
      </c>
      <c r="AI33" s="566">
        <v>0.999999999999999</v>
      </c>
      <c r="AJ33" s="566">
        <v>1</v>
      </c>
      <c r="AK33" s="566">
        <v>0.36591040154603799</v>
      </c>
      <c r="AL33" s="566">
        <v>1</v>
      </c>
      <c r="AM33" s="566">
        <v>0.999999999999999</v>
      </c>
      <c r="AN33" s="566">
        <v>1</v>
      </c>
      <c r="AO33" s="566">
        <v>1</v>
      </c>
      <c r="AP33" s="566">
        <v>1</v>
      </c>
      <c r="AQ33" s="566">
        <v>1</v>
      </c>
      <c r="AR33" s="566">
        <v>1</v>
      </c>
      <c r="AS33" s="566">
        <v>1</v>
      </c>
      <c r="AT33" s="566">
        <v>1</v>
      </c>
      <c r="AU33" s="566">
        <v>1</v>
      </c>
      <c r="AV33" s="566">
        <v>1</v>
      </c>
      <c r="AW33" s="566">
        <v>1</v>
      </c>
      <c r="AX33" s="566">
        <v>1</v>
      </c>
      <c r="AY33" s="566">
        <v>1</v>
      </c>
      <c r="AZ33" s="566">
        <v>1</v>
      </c>
      <c r="BA33" s="566">
        <v>0.231474883478059</v>
      </c>
      <c r="BB33" s="566">
        <v>1</v>
      </c>
      <c r="BC33" s="566">
        <v>1</v>
      </c>
      <c r="BD33" s="566">
        <v>1</v>
      </c>
      <c r="BE33" s="566">
        <v>1</v>
      </c>
      <c r="BF33" s="566">
        <v>1</v>
      </c>
      <c r="BG33" s="566">
        <v>1</v>
      </c>
      <c r="BH33" s="566">
        <v>0.999999999999997</v>
      </c>
      <c r="BI33" s="566">
        <v>1</v>
      </c>
      <c r="BJ33" s="566">
        <v>1</v>
      </c>
      <c r="BK33" s="566">
        <v>1</v>
      </c>
      <c r="BL33" s="566">
        <v>0.99999999999999301</v>
      </c>
      <c r="BM33" s="566">
        <v>1</v>
      </c>
      <c r="BN33" s="566">
        <v>1</v>
      </c>
      <c r="BO33" s="566">
        <v>1</v>
      </c>
      <c r="BP33" s="566">
        <v>0.23098814782802299</v>
      </c>
      <c r="BQ33" s="566">
        <v>1</v>
      </c>
      <c r="BR33" s="566">
        <v>1</v>
      </c>
      <c r="BS33" s="566">
        <v>0.999999999999994</v>
      </c>
      <c r="BT33" s="566">
        <v>0.999999999999997</v>
      </c>
      <c r="BU33" s="566">
        <v>1</v>
      </c>
      <c r="BV33" s="566">
        <v>1</v>
      </c>
      <c r="BW33" s="566">
        <v>1</v>
      </c>
      <c r="BX33" s="566">
        <v>0.999999999999994</v>
      </c>
      <c r="BY33" s="566">
        <v>1</v>
      </c>
      <c r="BZ33" s="566">
        <v>1</v>
      </c>
      <c r="CA33" s="566">
        <v>1</v>
      </c>
      <c r="CB33" s="566">
        <v>0.23098825056093</v>
      </c>
      <c r="CC33" s="566">
        <v>1</v>
      </c>
      <c r="CD33" s="566">
        <v>1</v>
      </c>
      <c r="CE33" s="566">
        <v>1.00000000000002</v>
      </c>
      <c r="CF33" s="566">
        <v>0.99999999999999201</v>
      </c>
      <c r="CG33" s="566">
        <v>1</v>
      </c>
      <c r="CH33" s="566">
        <v>1</v>
      </c>
      <c r="CI33" s="566">
        <v>1</v>
      </c>
      <c r="CJ33" s="566">
        <v>0.99999999999999301</v>
      </c>
      <c r="CK33" s="566">
        <v>1</v>
      </c>
      <c r="CL33" s="566">
        <v>1</v>
      </c>
      <c r="CM33" s="566">
        <v>1</v>
      </c>
      <c r="CN33" s="566">
        <v>0.99999999999999201</v>
      </c>
      <c r="CO33" s="566">
        <v>1</v>
      </c>
      <c r="CP33" s="566">
        <v>1</v>
      </c>
      <c r="CQ33" s="566">
        <v>1</v>
      </c>
      <c r="CR33" s="566">
        <v>0.23088298946486599</v>
      </c>
      <c r="CS33" s="566">
        <v>1</v>
      </c>
      <c r="CT33" s="566">
        <v>1</v>
      </c>
      <c r="CU33" s="566">
        <v>1</v>
      </c>
      <c r="CV33" s="566">
        <v>1</v>
      </c>
      <c r="CW33" s="566">
        <v>1</v>
      </c>
      <c r="CX33" s="566">
        <v>1</v>
      </c>
      <c r="CY33" s="566">
        <v>0.23088325595981599</v>
      </c>
      <c r="CZ33" s="566">
        <v>1</v>
      </c>
      <c r="DA33" s="566">
        <v>1</v>
      </c>
      <c r="DB33" s="566">
        <v>1.00000000000001</v>
      </c>
      <c r="DC33" s="566">
        <v>0.23088231162113401</v>
      </c>
      <c r="DD33" s="566">
        <v>1</v>
      </c>
      <c r="DE33" s="566">
        <v>0.999999999999999</v>
      </c>
      <c r="DF33" s="566">
        <v>1.00000000000001</v>
      </c>
      <c r="DG33" s="566">
        <v>0.230882181669987</v>
      </c>
      <c r="DH33" s="566">
        <v>1</v>
      </c>
      <c r="DI33" s="566">
        <v>0.999999999999999</v>
      </c>
      <c r="DJ33" s="566">
        <v>1.00000000000001</v>
      </c>
      <c r="DK33" s="566">
        <v>0.99999999999968103</v>
      </c>
      <c r="DL33" s="566">
        <v>1</v>
      </c>
      <c r="DM33" s="566">
        <v>1</v>
      </c>
      <c r="DN33" s="566">
        <v>1</v>
      </c>
      <c r="DO33" s="566">
        <v>0.23088298881973199</v>
      </c>
      <c r="DP33" s="566">
        <v>1</v>
      </c>
      <c r="DQ33" s="566">
        <v>1</v>
      </c>
      <c r="DR33" s="566">
        <v>1</v>
      </c>
      <c r="DS33" s="566">
        <v>1</v>
      </c>
      <c r="DT33" s="566">
        <v>1</v>
      </c>
      <c r="DU33" s="566">
        <v>1</v>
      </c>
      <c r="DV33" s="566">
        <v>0.230881115392886</v>
      </c>
      <c r="DW33" s="566">
        <v>1</v>
      </c>
      <c r="DX33" s="566">
        <v>1</v>
      </c>
      <c r="DY33" s="566">
        <v>1.00000000000001</v>
      </c>
      <c r="DZ33" s="566">
        <v>0.23088058575589701</v>
      </c>
      <c r="EA33" s="566">
        <v>1</v>
      </c>
      <c r="EB33" s="566">
        <v>1</v>
      </c>
      <c r="EC33" s="566">
        <v>1.00000000000001</v>
      </c>
      <c r="ED33" s="566">
        <v>0.230880455683349</v>
      </c>
      <c r="EE33" s="566">
        <v>1</v>
      </c>
      <c r="EF33" s="566">
        <v>1</v>
      </c>
      <c r="EG33" s="566">
        <v>1.00000000000001</v>
      </c>
      <c r="EH33" s="566">
        <v>0.99999999999990796</v>
      </c>
      <c r="EI33" s="566">
        <v>1</v>
      </c>
      <c r="EJ33" s="566">
        <v>1</v>
      </c>
      <c r="EK33" s="566">
        <v>1</v>
      </c>
      <c r="EL33" s="566">
        <v>0.230879909205674</v>
      </c>
      <c r="EM33" s="566">
        <v>1</v>
      </c>
      <c r="EN33" s="566">
        <v>1</v>
      </c>
      <c r="EO33" s="566">
        <v>1</v>
      </c>
      <c r="EP33" s="566">
        <v>1</v>
      </c>
      <c r="EQ33" s="566">
        <v>1</v>
      </c>
      <c r="ER33" s="566">
        <v>1</v>
      </c>
      <c r="ES33" s="566">
        <v>0.23087165889457101</v>
      </c>
      <c r="ET33" s="566">
        <v>1</v>
      </c>
      <c r="EU33" s="566">
        <v>1</v>
      </c>
      <c r="EV33" s="566">
        <v>0.999999999999999</v>
      </c>
      <c r="EW33" s="566">
        <v>0.23087162231962999</v>
      </c>
      <c r="EX33" s="566">
        <v>1</v>
      </c>
      <c r="EY33" s="566">
        <v>1</v>
      </c>
      <c r="EZ33" s="566">
        <v>1</v>
      </c>
      <c r="FA33" s="566">
        <v>0.23087149221678499</v>
      </c>
      <c r="FB33" s="566">
        <v>1</v>
      </c>
      <c r="FC33" s="566">
        <v>1</v>
      </c>
      <c r="FD33" s="566">
        <v>1</v>
      </c>
      <c r="FE33" s="566">
        <v>0.99999999997926803</v>
      </c>
      <c r="FF33" s="566">
        <v>1</v>
      </c>
      <c r="FG33" s="566">
        <v>1</v>
      </c>
      <c r="FH33" s="566">
        <v>0.999999999999999</v>
      </c>
    </row>
    <row r="34" spans="1:164" ht="12.75" customHeight="1" x14ac:dyDescent="0.3">
      <c r="A34" s="422"/>
      <c r="B34" s="422"/>
      <c r="C34" s="422"/>
      <c r="D34" s="422"/>
      <c r="E34" s="422"/>
      <c r="F34" s="568"/>
      <c r="G34" s="569"/>
      <c r="H34" s="439"/>
      <c r="I34" s="574">
        <v>1172624.6927398101</v>
      </c>
      <c r="J34" s="566">
        <v>0.27246824627650801</v>
      </c>
      <c r="K34" s="566">
        <v>1</v>
      </c>
      <c r="L34" s="566">
        <v>1</v>
      </c>
      <c r="M34" s="566">
        <v>1</v>
      </c>
      <c r="N34" s="566">
        <v>1</v>
      </c>
      <c r="O34" s="566">
        <v>0.999999999999999</v>
      </c>
      <c r="P34" s="566">
        <v>1</v>
      </c>
      <c r="Q34" s="566">
        <v>1</v>
      </c>
      <c r="R34" s="566">
        <v>1</v>
      </c>
      <c r="S34" s="566">
        <v>1</v>
      </c>
      <c r="T34" s="566">
        <v>1</v>
      </c>
      <c r="U34" s="566">
        <v>1</v>
      </c>
      <c r="V34" s="566">
        <v>1</v>
      </c>
      <c r="W34" s="566">
        <v>1</v>
      </c>
      <c r="X34" s="566">
        <v>1</v>
      </c>
      <c r="Y34" s="566">
        <v>0.37639192882010902</v>
      </c>
      <c r="Z34" s="566">
        <v>1</v>
      </c>
      <c r="AA34" s="566">
        <v>1</v>
      </c>
      <c r="AB34" s="566">
        <v>1</v>
      </c>
      <c r="AC34" s="566">
        <v>1</v>
      </c>
      <c r="AD34" s="566">
        <v>1</v>
      </c>
      <c r="AE34" s="566">
        <v>1</v>
      </c>
      <c r="AF34" s="566">
        <v>1</v>
      </c>
      <c r="AG34" s="566">
        <v>1</v>
      </c>
      <c r="AH34" s="566">
        <v>1</v>
      </c>
      <c r="AI34" s="566">
        <v>1</v>
      </c>
      <c r="AJ34" s="566">
        <v>1</v>
      </c>
      <c r="AK34" s="566">
        <v>0.378585936682859</v>
      </c>
      <c r="AL34" s="566">
        <v>1</v>
      </c>
      <c r="AM34" s="566">
        <v>1</v>
      </c>
      <c r="AN34" s="566">
        <v>1</v>
      </c>
      <c r="AO34" s="566">
        <v>0.999999999999999</v>
      </c>
      <c r="AP34" s="566">
        <v>1</v>
      </c>
      <c r="AQ34" s="566">
        <v>1</v>
      </c>
      <c r="AR34" s="566">
        <v>1</v>
      </c>
      <c r="AS34" s="566">
        <v>1</v>
      </c>
      <c r="AT34" s="566">
        <v>1</v>
      </c>
      <c r="AU34" s="566">
        <v>1</v>
      </c>
      <c r="AV34" s="566">
        <v>1</v>
      </c>
      <c r="AW34" s="566">
        <v>0.999999999999999</v>
      </c>
      <c r="AX34" s="566">
        <v>1</v>
      </c>
      <c r="AY34" s="566">
        <v>1</v>
      </c>
      <c r="AZ34" s="566">
        <v>1</v>
      </c>
      <c r="BA34" s="566">
        <v>0.24683780244369799</v>
      </c>
      <c r="BB34" s="566">
        <v>1</v>
      </c>
      <c r="BC34" s="566">
        <v>1</v>
      </c>
      <c r="BD34" s="566">
        <v>1</v>
      </c>
      <c r="BE34" s="566">
        <v>1</v>
      </c>
      <c r="BF34" s="566">
        <v>1</v>
      </c>
      <c r="BG34" s="566">
        <v>1</v>
      </c>
      <c r="BH34" s="566">
        <v>0.999999999999997</v>
      </c>
      <c r="BI34" s="566">
        <v>1</v>
      </c>
      <c r="BJ34" s="566">
        <v>1</v>
      </c>
      <c r="BK34" s="566">
        <v>1</v>
      </c>
      <c r="BL34" s="566">
        <v>0.99999999999999301</v>
      </c>
      <c r="BM34" s="566">
        <v>1</v>
      </c>
      <c r="BN34" s="566">
        <v>1</v>
      </c>
      <c r="BO34" s="566">
        <v>1</v>
      </c>
      <c r="BP34" s="566">
        <v>0.24636079670383501</v>
      </c>
      <c r="BQ34" s="566">
        <v>1</v>
      </c>
      <c r="BR34" s="566">
        <v>1</v>
      </c>
      <c r="BS34" s="566">
        <v>0.99999999999996503</v>
      </c>
      <c r="BT34" s="566">
        <v>0.999999999999997</v>
      </c>
      <c r="BU34" s="566">
        <v>0.999999999999999</v>
      </c>
      <c r="BV34" s="566">
        <v>1</v>
      </c>
      <c r="BW34" s="566">
        <v>1</v>
      </c>
      <c r="BX34" s="566">
        <v>0.999999999999994</v>
      </c>
      <c r="BY34" s="566">
        <v>1</v>
      </c>
      <c r="BZ34" s="566">
        <v>1</v>
      </c>
      <c r="CA34" s="566">
        <v>1</v>
      </c>
      <c r="CB34" s="566">
        <v>0.24636089738309799</v>
      </c>
      <c r="CC34" s="566">
        <v>1</v>
      </c>
      <c r="CD34" s="566">
        <v>1</v>
      </c>
      <c r="CE34" s="566">
        <v>0.99999999999997102</v>
      </c>
      <c r="CF34" s="566">
        <v>0.99999999999999201</v>
      </c>
      <c r="CG34" s="566">
        <v>1</v>
      </c>
      <c r="CH34" s="566">
        <v>1</v>
      </c>
      <c r="CI34" s="566">
        <v>1</v>
      </c>
      <c r="CJ34" s="566">
        <v>0.99999999999999301</v>
      </c>
      <c r="CK34" s="566">
        <v>1</v>
      </c>
      <c r="CL34" s="566">
        <v>1</v>
      </c>
      <c r="CM34" s="566">
        <v>1</v>
      </c>
      <c r="CN34" s="566">
        <v>0.99999999999999201</v>
      </c>
      <c r="CO34" s="566">
        <v>1</v>
      </c>
      <c r="CP34" s="566">
        <v>1</v>
      </c>
      <c r="CQ34" s="566">
        <v>1</v>
      </c>
      <c r="CR34" s="566">
        <v>0.246257740470298</v>
      </c>
      <c r="CS34" s="566">
        <v>1</v>
      </c>
      <c r="CT34" s="566">
        <v>0.999999999999999</v>
      </c>
      <c r="CU34" s="566">
        <v>1</v>
      </c>
      <c r="CV34" s="566">
        <v>1</v>
      </c>
      <c r="CW34" s="566">
        <v>1</v>
      </c>
      <c r="CX34" s="566">
        <v>1</v>
      </c>
      <c r="CY34" s="566">
        <v>0.24625800163798001</v>
      </c>
      <c r="CZ34" s="566">
        <v>1</v>
      </c>
      <c r="DA34" s="566">
        <v>1</v>
      </c>
      <c r="DB34" s="566">
        <v>0.999999999999996</v>
      </c>
      <c r="DC34" s="566">
        <v>0.24625707617675299</v>
      </c>
      <c r="DD34" s="566">
        <v>1</v>
      </c>
      <c r="DE34" s="566">
        <v>0.999999999999999</v>
      </c>
      <c r="DF34" s="566">
        <v>0.999999999999996</v>
      </c>
      <c r="DG34" s="566">
        <v>0.24625694882334601</v>
      </c>
      <c r="DH34" s="566">
        <v>1</v>
      </c>
      <c r="DI34" s="566">
        <v>1</v>
      </c>
      <c r="DJ34" s="566">
        <v>0.999999999999996</v>
      </c>
      <c r="DK34" s="566">
        <v>0.99999999999968803</v>
      </c>
      <c r="DL34" s="566">
        <v>1</v>
      </c>
      <c r="DM34" s="566">
        <v>1</v>
      </c>
      <c r="DN34" s="566">
        <v>1</v>
      </c>
      <c r="DO34" s="566">
        <v>0.24625773983806001</v>
      </c>
      <c r="DP34" s="566">
        <v>1</v>
      </c>
      <c r="DQ34" s="566">
        <v>0.999999999999999</v>
      </c>
      <c r="DR34" s="566">
        <v>1</v>
      </c>
      <c r="DS34" s="566">
        <v>1</v>
      </c>
      <c r="DT34" s="566">
        <v>0.999999999999999</v>
      </c>
      <c r="DU34" s="566">
        <v>1</v>
      </c>
      <c r="DV34" s="566">
        <v>0.246255903861266</v>
      </c>
      <c r="DW34" s="566">
        <v>1</v>
      </c>
      <c r="DX34" s="566">
        <v>0.999999999999999</v>
      </c>
      <c r="DY34" s="566">
        <v>0.999999999999997</v>
      </c>
      <c r="DZ34" s="566">
        <v>0.24625538481179099</v>
      </c>
      <c r="EA34" s="566">
        <v>1</v>
      </c>
      <c r="EB34" s="566">
        <v>0.999999999999999</v>
      </c>
      <c r="EC34" s="566">
        <v>0.999999999999997</v>
      </c>
      <c r="ED34" s="566">
        <v>0.24625525733941001</v>
      </c>
      <c r="EE34" s="566">
        <v>1</v>
      </c>
      <c r="EF34" s="566">
        <v>0.999999999999999</v>
      </c>
      <c r="EG34" s="566">
        <v>0.999999999999996</v>
      </c>
      <c r="EH34" s="566">
        <v>0.99999999999990796</v>
      </c>
      <c r="EI34" s="566">
        <v>1</v>
      </c>
      <c r="EJ34" s="566">
        <v>0.999999999999999</v>
      </c>
      <c r="EK34" s="566">
        <v>1</v>
      </c>
      <c r="EL34" s="566">
        <v>0.246254721785896</v>
      </c>
      <c r="EM34" s="566">
        <v>1</v>
      </c>
      <c r="EN34" s="566">
        <v>0.999999999999999</v>
      </c>
      <c r="EO34" s="566">
        <v>1</v>
      </c>
      <c r="EP34" s="566">
        <v>1</v>
      </c>
      <c r="EQ34" s="566">
        <v>0.999999999999999</v>
      </c>
      <c r="ER34" s="566">
        <v>1</v>
      </c>
      <c r="ES34" s="566">
        <v>0.24624663639960501</v>
      </c>
      <c r="ET34" s="566">
        <v>1</v>
      </c>
      <c r="EU34" s="566">
        <v>0.999999999999999</v>
      </c>
      <c r="EV34" s="566">
        <v>1</v>
      </c>
      <c r="EW34" s="566">
        <v>0.246246600555803</v>
      </c>
      <c r="EX34" s="566">
        <v>1</v>
      </c>
      <c r="EY34" s="566">
        <v>0.999999999999999</v>
      </c>
      <c r="EZ34" s="566">
        <v>0.999999999999999</v>
      </c>
      <c r="FA34" s="566">
        <v>0.24624647305372999</v>
      </c>
      <c r="FB34" s="566">
        <v>1</v>
      </c>
      <c r="FC34" s="566">
        <v>0.999999999999999</v>
      </c>
      <c r="FD34" s="566">
        <v>0.999999999999999</v>
      </c>
      <c r="FE34" s="566">
        <v>0.99999999997968303</v>
      </c>
      <c r="FF34" s="566">
        <v>1</v>
      </c>
      <c r="FG34" s="566">
        <v>0.999999999999999</v>
      </c>
      <c r="FH34" s="566">
        <v>1</v>
      </c>
    </row>
    <row r="35" spans="1:164" ht="12.75" customHeight="1" x14ac:dyDescent="0.3">
      <c r="A35" s="422"/>
      <c r="B35" s="422"/>
      <c r="C35" s="422"/>
      <c r="D35" s="422"/>
      <c r="E35" s="422"/>
      <c r="F35" s="568"/>
      <c r="G35" s="569"/>
      <c r="H35" s="439"/>
      <c r="I35" s="574">
        <v>1256383.59936408</v>
      </c>
      <c r="J35" s="566">
        <v>0.28701170248436603</v>
      </c>
      <c r="K35" s="566">
        <v>1</v>
      </c>
      <c r="L35" s="566">
        <v>1</v>
      </c>
      <c r="M35" s="566">
        <v>1</v>
      </c>
      <c r="N35" s="566">
        <v>1</v>
      </c>
      <c r="O35" s="566">
        <v>1</v>
      </c>
      <c r="P35" s="566">
        <v>1</v>
      </c>
      <c r="Q35" s="566">
        <v>1</v>
      </c>
      <c r="R35" s="566">
        <v>1</v>
      </c>
      <c r="S35" s="566">
        <v>1</v>
      </c>
      <c r="T35" s="566">
        <v>1</v>
      </c>
      <c r="U35" s="566">
        <v>0.999999999999999</v>
      </c>
      <c r="V35" s="566">
        <v>1</v>
      </c>
      <c r="W35" s="566">
        <v>1</v>
      </c>
      <c r="X35" s="566">
        <v>1</v>
      </c>
      <c r="Y35" s="566">
        <v>0.38885793683646602</v>
      </c>
      <c r="Z35" s="566">
        <v>1</v>
      </c>
      <c r="AA35" s="566">
        <v>1</v>
      </c>
      <c r="AB35" s="566">
        <v>1</v>
      </c>
      <c r="AC35" s="566">
        <v>1</v>
      </c>
      <c r="AD35" s="566">
        <v>1</v>
      </c>
      <c r="AE35" s="566">
        <v>1</v>
      </c>
      <c r="AF35" s="566">
        <v>1</v>
      </c>
      <c r="AG35" s="566">
        <v>0.999999999999999</v>
      </c>
      <c r="AH35" s="566">
        <v>1</v>
      </c>
      <c r="AI35" s="566">
        <v>1</v>
      </c>
      <c r="AJ35" s="566">
        <v>1</v>
      </c>
      <c r="AK35" s="566">
        <v>0.391008086191173</v>
      </c>
      <c r="AL35" s="566">
        <v>1</v>
      </c>
      <c r="AM35" s="566">
        <v>1</v>
      </c>
      <c r="AN35" s="566">
        <v>1</v>
      </c>
      <c r="AO35" s="566">
        <v>1</v>
      </c>
      <c r="AP35" s="566">
        <v>1</v>
      </c>
      <c r="AQ35" s="566">
        <v>1</v>
      </c>
      <c r="AR35" s="566">
        <v>1</v>
      </c>
      <c r="AS35" s="566">
        <v>1</v>
      </c>
      <c r="AT35" s="566">
        <v>1</v>
      </c>
      <c r="AU35" s="566">
        <v>1</v>
      </c>
      <c r="AV35" s="566">
        <v>1</v>
      </c>
      <c r="AW35" s="566">
        <v>1</v>
      </c>
      <c r="AX35" s="566">
        <v>1</v>
      </c>
      <c r="AY35" s="566">
        <v>1</v>
      </c>
      <c r="AZ35" s="566">
        <v>1</v>
      </c>
      <c r="BA35" s="566">
        <v>0.26189361462167299</v>
      </c>
      <c r="BB35" s="566">
        <v>1</v>
      </c>
      <c r="BC35" s="566">
        <v>1</v>
      </c>
      <c r="BD35" s="566">
        <v>1</v>
      </c>
      <c r="BE35" s="566">
        <v>1</v>
      </c>
      <c r="BF35" s="566">
        <v>1</v>
      </c>
      <c r="BG35" s="566">
        <v>1</v>
      </c>
      <c r="BH35" s="566">
        <v>0.999999999999997</v>
      </c>
      <c r="BI35" s="566">
        <v>1</v>
      </c>
      <c r="BJ35" s="566">
        <v>1</v>
      </c>
      <c r="BK35" s="566">
        <v>1</v>
      </c>
      <c r="BL35" s="566">
        <v>0.999999999999994</v>
      </c>
      <c r="BM35" s="566">
        <v>1</v>
      </c>
      <c r="BN35" s="566">
        <v>1</v>
      </c>
      <c r="BO35" s="566">
        <v>1</v>
      </c>
      <c r="BP35" s="566">
        <v>0.261426144289788</v>
      </c>
      <c r="BQ35" s="566">
        <v>1</v>
      </c>
      <c r="BR35" s="566">
        <v>1</v>
      </c>
      <c r="BS35" s="566">
        <v>1</v>
      </c>
      <c r="BT35" s="566">
        <v>0.999999999999998</v>
      </c>
      <c r="BU35" s="566">
        <v>1</v>
      </c>
      <c r="BV35" s="566">
        <v>1</v>
      </c>
      <c r="BW35" s="566">
        <v>1</v>
      </c>
      <c r="BX35" s="566">
        <v>0.999999999999994</v>
      </c>
      <c r="BY35" s="566">
        <v>1</v>
      </c>
      <c r="BZ35" s="566">
        <v>1</v>
      </c>
      <c r="CA35" s="566">
        <v>1</v>
      </c>
      <c r="CB35" s="566">
        <v>0.261426242956459</v>
      </c>
      <c r="CC35" s="566">
        <v>1</v>
      </c>
      <c r="CD35" s="566">
        <v>1</v>
      </c>
      <c r="CE35" s="566">
        <v>0.99999999999996902</v>
      </c>
      <c r="CF35" s="566">
        <v>0.99999999999999201</v>
      </c>
      <c r="CG35" s="566">
        <v>1</v>
      </c>
      <c r="CH35" s="566">
        <v>1</v>
      </c>
      <c r="CI35" s="566">
        <v>1</v>
      </c>
      <c r="CJ35" s="566">
        <v>0.999999999999994</v>
      </c>
      <c r="CK35" s="566">
        <v>1</v>
      </c>
      <c r="CL35" s="566">
        <v>1</v>
      </c>
      <c r="CM35" s="566">
        <v>1</v>
      </c>
      <c r="CN35" s="566">
        <v>0.99999999999999301</v>
      </c>
      <c r="CO35" s="566">
        <v>1</v>
      </c>
      <c r="CP35" s="566">
        <v>1</v>
      </c>
      <c r="CQ35" s="566">
        <v>1</v>
      </c>
      <c r="CR35" s="566">
        <v>0.26132514816402203</v>
      </c>
      <c r="CS35" s="566">
        <v>1</v>
      </c>
      <c r="CT35" s="566">
        <v>1</v>
      </c>
      <c r="CU35" s="566">
        <v>1</v>
      </c>
      <c r="CV35" s="566">
        <v>1</v>
      </c>
      <c r="CW35" s="566">
        <v>1</v>
      </c>
      <c r="CX35" s="566">
        <v>1</v>
      </c>
      <c r="CY35" s="566">
        <v>0.26132540411092697</v>
      </c>
      <c r="CZ35" s="566">
        <v>1</v>
      </c>
      <c r="DA35" s="566">
        <v>1</v>
      </c>
      <c r="DB35" s="566">
        <v>0.99999999999999001</v>
      </c>
      <c r="DC35" s="566">
        <v>0.261324497149793</v>
      </c>
      <c r="DD35" s="566">
        <v>1</v>
      </c>
      <c r="DE35" s="566">
        <v>1</v>
      </c>
      <c r="DF35" s="566">
        <v>0.99999999999998901</v>
      </c>
      <c r="DG35" s="566">
        <v>0.26132437234219802</v>
      </c>
      <c r="DH35" s="566">
        <v>1</v>
      </c>
      <c r="DI35" s="566">
        <v>1</v>
      </c>
      <c r="DJ35" s="566">
        <v>0.99999999999998901</v>
      </c>
      <c r="DK35" s="566">
        <v>0.99999999999969402</v>
      </c>
      <c r="DL35" s="566">
        <v>1</v>
      </c>
      <c r="DM35" s="566">
        <v>1</v>
      </c>
      <c r="DN35" s="566">
        <v>1</v>
      </c>
      <c r="DO35" s="566">
        <v>0.26132514754442199</v>
      </c>
      <c r="DP35" s="566">
        <v>1</v>
      </c>
      <c r="DQ35" s="566">
        <v>1</v>
      </c>
      <c r="DR35" s="566">
        <v>1</v>
      </c>
      <c r="DS35" s="566">
        <v>1</v>
      </c>
      <c r="DT35" s="566">
        <v>1</v>
      </c>
      <c r="DU35" s="566">
        <v>1</v>
      </c>
      <c r="DV35" s="566">
        <v>0.26132334826904902</v>
      </c>
      <c r="DW35" s="566">
        <v>1</v>
      </c>
      <c r="DX35" s="566">
        <v>1</v>
      </c>
      <c r="DY35" s="566">
        <v>0.99999999999999101</v>
      </c>
      <c r="DZ35" s="566">
        <v>0.261322839595441</v>
      </c>
      <c r="EA35" s="566">
        <v>1</v>
      </c>
      <c r="EB35" s="566">
        <v>1</v>
      </c>
      <c r="EC35" s="566">
        <v>0.99999999999999101</v>
      </c>
      <c r="ED35" s="566">
        <v>0.26132271467125001</v>
      </c>
      <c r="EE35" s="566">
        <v>1</v>
      </c>
      <c r="EF35" s="566">
        <v>1</v>
      </c>
      <c r="EG35" s="566">
        <v>0.99999999999999201</v>
      </c>
      <c r="EH35" s="566">
        <v>0.99999999999991296</v>
      </c>
      <c r="EI35" s="566">
        <v>1</v>
      </c>
      <c r="EJ35" s="566">
        <v>1</v>
      </c>
      <c r="EK35" s="566">
        <v>1</v>
      </c>
      <c r="EL35" s="566">
        <v>0.26132218982352101</v>
      </c>
      <c r="EM35" s="566">
        <v>1</v>
      </c>
      <c r="EN35" s="566">
        <v>1</v>
      </c>
      <c r="EO35" s="566">
        <v>1</v>
      </c>
      <c r="EP35" s="566">
        <v>1</v>
      </c>
      <c r="EQ35" s="566">
        <v>1</v>
      </c>
      <c r="ER35" s="566">
        <v>1</v>
      </c>
      <c r="ES35" s="566">
        <v>0.26131426606517399</v>
      </c>
      <c r="ET35" s="566">
        <v>1</v>
      </c>
      <c r="EU35" s="566">
        <v>1</v>
      </c>
      <c r="EV35" s="566">
        <v>1</v>
      </c>
      <c r="EW35" s="566">
        <v>0.26131423093789402</v>
      </c>
      <c r="EX35" s="566">
        <v>1</v>
      </c>
      <c r="EY35" s="566">
        <v>1</v>
      </c>
      <c r="EZ35" s="566">
        <v>0.999999999999999</v>
      </c>
      <c r="FA35" s="566">
        <v>0.26131410598460397</v>
      </c>
      <c r="FB35" s="566">
        <v>1</v>
      </c>
      <c r="FC35" s="566">
        <v>1</v>
      </c>
      <c r="FD35" s="566">
        <v>0.999999999999999</v>
      </c>
      <c r="FE35" s="566">
        <v>0.99999999998009004</v>
      </c>
      <c r="FF35" s="566">
        <v>1</v>
      </c>
      <c r="FG35" s="566">
        <v>1</v>
      </c>
      <c r="FH35" s="566">
        <v>1</v>
      </c>
    </row>
    <row r="36" spans="1:164" ht="12.75" customHeight="1" x14ac:dyDescent="0.3">
      <c r="A36" s="422"/>
      <c r="B36" s="422"/>
      <c r="C36" s="422"/>
      <c r="D36" s="422"/>
      <c r="E36" s="422"/>
      <c r="F36" s="568"/>
      <c r="G36" s="569"/>
      <c r="H36" s="439"/>
      <c r="I36" s="574">
        <v>1340142.5059883599</v>
      </c>
      <c r="J36" s="566">
        <v>0.30126443327661001</v>
      </c>
      <c r="K36" s="566">
        <v>1</v>
      </c>
      <c r="L36" s="566">
        <v>1</v>
      </c>
      <c r="M36" s="566">
        <v>0.999999999999999</v>
      </c>
      <c r="N36" s="566">
        <v>1</v>
      </c>
      <c r="O36" s="566">
        <v>1</v>
      </c>
      <c r="P36" s="566">
        <v>1</v>
      </c>
      <c r="Q36" s="566">
        <v>1</v>
      </c>
      <c r="R36" s="566">
        <v>1</v>
      </c>
      <c r="S36" s="566">
        <v>1</v>
      </c>
      <c r="T36" s="566">
        <v>1</v>
      </c>
      <c r="U36" s="566">
        <v>0.999999999999998</v>
      </c>
      <c r="V36" s="566">
        <v>1</v>
      </c>
      <c r="W36" s="566">
        <v>1</v>
      </c>
      <c r="X36" s="566">
        <v>1</v>
      </c>
      <c r="Y36" s="566">
        <v>0.40107474787310898</v>
      </c>
      <c r="Z36" s="566">
        <v>1</v>
      </c>
      <c r="AA36" s="566">
        <v>1</v>
      </c>
      <c r="AB36" s="566">
        <v>1</v>
      </c>
      <c r="AC36" s="566">
        <v>1</v>
      </c>
      <c r="AD36" s="566">
        <v>1</v>
      </c>
      <c r="AE36" s="566">
        <v>1</v>
      </c>
      <c r="AF36" s="566">
        <v>1</v>
      </c>
      <c r="AG36" s="566">
        <v>0.999999999999999</v>
      </c>
      <c r="AH36" s="566">
        <v>1</v>
      </c>
      <c r="AI36" s="566">
        <v>0.999999999999999</v>
      </c>
      <c r="AJ36" s="566">
        <v>1</v>
      </c>
      <c r="AK36" s="566">
        <v>0.40318191545655502</v>
      </c>
      <c r="AL36" s="566">
        <v>1</v>
      </c>
      <c r="AM36" s="566">
        <v>0.999999999999999</v>
      </c>
      <c r="AN36" s="566">
        <v>1</v>
      </c>
      <c r="AO36" s="566">
        <v>1</v>
      </c>
      <c r="AP36" s="566">
        <v>1</v>
      </c>
      <c r="AQ36" s="566">
        <v>1</v>
      </c>
      <c r="AR36" s="566">
        <v>1</v>
      </c>
      <c r="AS36" s="566">
        <v>0.999999999999999</v>
      </c>
      <c r="AT36" s="566">
        <v>1</v>
      </c>
      <c r="AU36" s="566">
        <v>1</v>
      </c>
      <c r="AV36" s="566">
        <v>1</v>
      </c>
      <c r="AW36" s="566">
        <v>0.999999999999999</v>
      </c>
      <c r="AX36" s="566">
        <v>1</v>
      </c>
      <c r="AY36" s="566">
        <v>1</v>
      </c>
      <c r="AZ36" s="566">
        <v>1</v>
      </c>
      <c r="BA36" s="566">
        <v>0.27664845932738602</v>
      </c>
      <c r="BB36" s="566">
        <v>0.999999999999999</v>
      </c>
      <c r="BC36" s="566">
        <v>1</v>
      </c>
      <c r="BD36" s="566">
        <v>1</v>
      </c>
      <c r="BE36" s="566">
        <v>1</v>
      </c>
      <c r="BF36" s="566">
        <v>1</v>
      </c>
      <c r="BG36" s="566">
        <v>0.999999999999999</v>
      </c>
      <c r="BH36" s="566">
        <v>0.999999999999997</v>
      </c>
      <c r="BI36" s="566">
        <v>1</v>
      </c>
      <c r="BJ36" s="566">
        <v>1</v>
      </c>
      <c r="BK36" s="566">
        <v>0.999999999999999</v>
      </c>
      <c r="BL36" s="566">
        <v>0.999999999999994</v>
      </c>
      <c r="BM36" s="566">
        <v>0.999999999999999</v>
      </c>
      <c r="BN36" s="566">
        <v>1</v>
      </c>
      <c r="BO36" s="566">
        <v>0.999999999999999</v>
      </c>
      <c r="BP36" s="566">
        <v>0.276190333789541</v>
      </c>
      <c r="BQ36" s="566">
        <v>1</v>
      </c>
      <c r="BR36" s="566">
        <v>1</v>
      </c>
      <c r="BS36" s="566">
        <v>1.00000000000002</v>
      </c>
      <c r="BT36" s="566">
        <v>0.999999999999998</v>
      </c>
      <c r="BU36" s="566">
        <v>1</v>
      </c>
      <c r="BV36" s="566">
        <v>1</v>
      </c>
      <c r="BW36" s="566">
        <v>1</v>
      </c>
      <c r="BX36" s="566">
        <v>0.999999999999994</v>
      </c>
      <c r="BY36" s="566">
        <v>0.999999999999999</v>
      </c>
      <c r="BZ36" s="566">
        <v>1</v>
      </c>
      <c r="CA36" s="566">
        <v>1</v>
      </c>
      <c r="CB36" s="566">
        <v>0.276190430483853</v>
      </c>
      <c r="CC36" s="566">
        <v>1</v>
      </c>
      <c r="CD36" s="566">
        <v>1</v>
      </c>
      <c r="CE36" s="566">
        <v>1.00000000000005</v>
      </c>
      <c r="CF36" s="566">
        <v>0.99999999999999301</v>
      </c>
      <c r="CG36" s="566">
        <v>0.999999999999999</v>
      </c>
      <c r="CH36" s="566">
        <v>1</v>
      </c>
      <c r="CI36" s="566">
        <v>1</v>
      </c>
      <c r="CJ36" s="566">
        <v>0.99999999999999301</v>
      </c>
      <c r="CK36" s="566">
        <v>0.999999999999999</v>
      </c>
      <c r="CL36" s="566">
        <v>1</v>
      </c>
      <c r="CM36" s="566">
        <v>1</v>
      </c>
      <c r="CN36" s="566">
        <v>0.99999999999999201</v>
      </c>
      <c r="CO36" s="566">
        <v>1</v>
      </c>
      <c r="CP36" s="566">
        <v>1</v>
      </c>
      <c r="CQ36" s="566">
        <v>1</v>
      </c>
      <c r="CR36" s="566">
        <v>0.27609135658974798</v>
      </c>
      <c r="CS36" s="566">
        <v>1</v>
      </c>
      <c r="CT36" s="566">
        <v>1</v>
      </c>
      <c r="CU36" s="566">
        <v>1</v>
      </c>
      <c r="CV36" s="566">
        <v>1</v>
      </c>
      <c r="CW36" s="566">
        <v>1</v>
      </c>
      <c r="CX36" s="566">
        <v>0.999999999999999</v>
      </c>
      <c r="CY36" s="566">
        <v>0.27609160742024003</v>
      </c>
      <c r="CZ36" s="566">
        <v>1</v>
      </c>
      <c r="DA36" s="566">
        <v>1</v>
      </c>
      <c r="DB36" s="566">
        <v>1</v>
      </c>
      <c r="DC36" s="566">
        <v>0.276090718589379</v>
      </c>
      <c r="DD36" s="566">
        <v>0.999999999999999</v>
      </c>
      <c r="DE36" s="566">
        <v>1</v>
      </c>
      <c r="DF36" s="566">
        <v>1</v>
      </c>
      <c r="DG36" s="566">
        <v>0.27609059627670501</v>
      </c>
      <c r="DH36" s="566">
        <v>1</v>
      </c>
      <c r="DI36" s="566">
        <v>1</v>
      </c>
      <c r="DJ36" s="566">
        <v>1</v>
      </c>
      <c r="DK36" s="566">
        <v>0.99999999999969902</v>
      </c>
      <c r="DL36" s="566">
        <v>1</v>
      </c>
      <c r="DM36" s="566">
        <v>1</v>
      </c>
      <c r="DN36" s="566">
        <v>0.999999999999999</v>
      </c>
      <c r="DO36" s="566">
        <v>0.27609135598253498</v>
      </c>
      <c r="DP36" s="566">
        <v>1</v>
      </c>
      <c r="DQ36" s="566">
        <v>1</v>
      </c>
      <c r="DR36" s="566">
        <v>1</v>
      </c>
      <c r="DS36" s="566">
        <v>0.999999999999999</v>
      </c>
      <c r="DT36" s="566">
        <v>1</v>
      </c>
      <c r="DU36" s="566">
        <v>1</v>
      </c>
      <c r="DV36" s="566">
        <v>0.27608959267491401</v>
      </c>
      <c r="DW36" s="566">
        <v>1</v>
      </c>
      <c r="DX36" s="566">
        <v>1</v>
      </c>
      <c r="DY36" s="566">
        <v>1</v>
      </c>
      <c r="DZ36" s="566">
        <v>0.27608909416975902</v>
      </c>
      <c r="EA36" s="566">
        <v>1</v>
      </c>
      <c r="EB36" s="566">
        <v>1</v>
      </c>
      <c r="EC36" s="566">
        <v>1</v>
      </c>
      <c r="ED36" s="566">
        <v>0.27608897174281899</v>
      </c>
      <c r="EE36" s="566">
        <v>0.999999999999999</v>
      </c>
      <c r="EF36" s="566">
        <v>1</v>
      </c>
      <c r="EG36" s="566">
        <v>1</v>
      </c>
      <c r="EH36" s="566">
        <v>0.99999999999991496</v>
      </c>
      <c r="EI36" s="566">
        <v>1</v>
      </c>
      <c r="EJ36" s="566">
        <v>1</v>
      </c>
      <c r="EK36" s="566">
        <v>0.999999999999999</v>
      </c>
      <c r="EL36" s="566">
        <v>0.27608845738686699</v>
      </c>
      <c r="EM36" s="566">
        <v>1</v>
      </c>
      <c r="EN36" s="566">
        <v>1</v>
      </c>
      <c r="EO36" s="566">
        <v>1</v>
      </c>
      <c r="EP36" s="566">
        <v>1</v>
      </c>
      <c r="EQ36" s="566">
        <v>1</v>
      </c>
      <c r="ER36" s="566">
        <v>1</v>
      </c>
      <c r="ES36" s="566">
        <v>0.27608069202550201</v>
      </c>
      <c r="ET36" s="566">
        <v>0.999999999999999</v>
      </c>
      <c r="EU36" s="566">
        <v>1</v>
      </c>
      <c r="EV36" s="566">
        <v>0.999999999999999</v>
      </c>
      <c r="EW36" s="566">
        <v>0.276080657600421</v>
      </c>
      <c r="EX36" s="566">
        <v>1</v>
      </c>
      <c r="EY36" s="566">
        <v>1</v>
      </c>
      <c r="EZ36" s="566">
        <v>0.999999999999999</v>
      </c>
      <c r="FA36" s="566">
        <v>0.276080535144965</v>
      </c>
      <c r="FB36" s="566">
        <v>0.999999999999999</v>
      </c>
      <c r="FC36" s="566">
        <v>1</v>
      </c>
      <c r="FD36" s="566">
        <v>0.999999999999999</v>
      </c>
      <c r="FE36" s="566">
        <v>0.99999999998048705</v>
      </c>
      <c r="FF36" s="566">
        <v>0.999999999999999</v>
      </c>
      <c r="FG36" s="566">
        <v>1</v>
      </c>
      <c r="FH36" s="566">
        <v>0.999999999999999</v>
      </c>
    </row>
    <row r="37" spans="1:164" ht="12.75" customHeight="1" x14ac:dyDescent="0.3">
      <c r="A37" s="422"/>
      <c r="B37" s="422"/>
      <c r="C37" s="422"/>
      <c r="D37" s="422"/>
      <c r="E37" s="422"/>
      <c r="F37" s="568"/>
      <c r="G37" s="569"/>
      <c r="H37" s="439"/>
      <c r="I37" s="574">
        <v>1423901.4126126301</v>
      </c>
      <c r="J37" s="566">
        <v>0.31523225020213402</v>
      </c>
      <c r="K37" s="566">
        <v>1</v>
      </c>
      <c r="L37" s="566">
        <v>0.999999999999999</v>
      </c>
      <c r="M37" s="566">
        <v>1</v>
      </c>
      <c r="N37" s="566">
        <v>1</v>
      </c>
      <c r="O37" s="566">
        <v>0.999999999999999</v>
      </c>
      <c r="P37" s="566">
        <v>1</v>
      </c>
      <c r="Q37" s="566">
        <v>1</v>
      </c>
      <c r="R37" s="566">
        <v>1</v>
      </c>
      <c r="S37" s="566">
        <v>0.999999999999999</v>
      </c>
      <c r="T37" s="566">
        <v>0.999999999999999</v>
      </c>
      <c r="U37" s="566">
        <v>1</v>
      </c>
      <c r="V37" s="566">
        <v>1</v>
      </c>
      <c r="W37" s="566">
        <v>1</v>
      </c>
      <c r="X37" s="566">
        <v>1</v>
      </c>
      <c r="Y37" s="566">
        <v>0.41304734333295001</v>
      </c>
      <c r="Z37" s="566">
        <v>1</v>
      </c>
      <c r="AA37" s="566">
        <v>0.999999999999999</v>
      </c>
      <c r="AB37" s="566">
        <v>1</v>
      </c>
      <c r="AC37" s="566">
        <v>1</v>
      </c>
      <c r="AD37" s="566">
        <v>1</v>
      </c>
      <c r="AE37" s="566">
        <v>1</v>
      </c>
      <c r="AF37" s="566">
        <v>0.999999999999998</v>
      </c>
      <c r="AG37" s="566">
        <v>1</v>
      </c>
      <c r="AH37" s="566">
        <v>1</v>
      </c>
      <c r="AI37" s="566">
        <v>1</v>
      </c>
      <c r="AJ37" s="566">
        <v>1</v>
      </c>
      <c r="AK37" s="566">
        <v>0.41511238835610398</v>
      </c>
      <c r="AL37" s="566">
        <v>1</v>
      </c>
      <c r="AM37" s="566">
        <v>1</v>
      </c>
      <c r="AN37" s="566">
        <v>1</v>
      </c>
      <c r="AO37" s="566">
        <v>0.999999999999999</v>
      </c>
      <c r="AP37" s="566">
        <v>1</v>
      </c>
      <c r="AQ37" s="566">
        <v>0.999999999999999</v>
      </c>
      <c r="AR37" s="566">
        <v>0.999999999999999</v>
      </c>
      <c r="AS37" s="566">
        <v>1</v>
      </c>
      <c r="AT37" s="566">
        <v>1</v>
      </c>
      <c r="AU37" s="566">
        <v>1</v>
      </c>
      <c r="AV37" s="566">
        <v>1</v>
      </c>
      <c r="AW37" s="566">
        <v>0.999999999999999</v>
      </c>
      <c r="AX37" s="566">
        <v>1</v>
      </c>
      <c r="AY37" s="566">
        <v>1</v>
      </c>
      <c r="AZ37" s="566">
        <v>1</v>
      </c>
      <c r="BA37" s="566">
        <v>0.29110835284660402</v>
      </c>
      <c r="BB37" s="566">
        <v>1</v>
      </c>
      <c r="BC37" s="566">
        <v>0.999999999999999</v>
      </c>
      <c r="BD37" s="566">
        <v>1</v>
      </c>
      <c r="BE37" s="566">
        <v>1</v>
      </c>
      <c r="BF37" s="566">
        <v>0.999999999999999</v>
      </c>
      <c r="BG37" s="566">
        <v>0.999999999999999</v>
      </c>
      <c r="BH37" s="566">
        <v>0.999999999999997</v>
      </c>
      <c r="BI37" s="566">
        <v>0.999999999999999</v>
      </c>
      <c r="BJ37" s="566">
        <v>1</v>
      </c>
      <c r="BK37" s="566">
        <v>0.999999999999999</v>
      </c>
      <c r="BL37" s="566">
        <v>0.99999999999999301</v>
      </c>
      <c r="BM37" s="566">
        <v>1</v>
      </c>
      <c r="BN37" s="566">
        <v>1</v>
      </c>
      <c r="BO37" s="566">
        <v>1</v>
      </c>
      <c r="BP37" s="566">
        <v>0.29065938529920099</v>
      </c>
      <c r="BQ37" s="566">
        <v>1</v>
      </c>
      <c r="BR37" s="566">
        <v>0.999999999999999</v>
      </c>
      <c r="BS37" s="566">
        <v>0.99999999999995803</v>
      </c>
      <c r="BT37" s="566">
        <v>0.999999999999997</v>
      </c>
      <c r="BU37" s="566">
        <v>0.999999999999999</v>
      </c>
      <c r="BV37" s="566">
        <v>0.999999999999999</v>
      </c>
      <c r="BW37" s="566">
        <v>0.999999999999999</v>
      </c>
      <c r="BX37" s="566">
        <v>0.999999999999994</v>
      </c>
      <c r="BY37" s="566">
        <v>1</v>
      </c>
      <c r="BZ37" s="566">
        <v>1</v>
      </c>
      <c r="CA37" s="566">
        <v>0.999999999999999</v>
      </c>
      <c r="CB37" s="566">
        <v>0.29065948006058001</v>
      </c>
      <c r="CC37" s="566">
        <v>1</v>
      </c>
      <c r="CD37" s="566">
        <v>0.999999999999999</v>
      </c>
      <c r="CE37" s="566">
        <v>0.99999999999998901</v>
      </c>
      <c r="CF37" s="566">
        <v>0.99999999999999301</v>
      </c>
      <c r="CG37" s="566">
        <v>1</v>
      </c>
      <c r="CH37" s="566">
        <v>1</v>
      </c>
      <c r="CI37" s="566">
        <v>0.999999999999999</v>
      </c>
      <c r="CJ37" s="566">
        <v>0.99999999999999201</v>
      </c>
      <c r="CK37" s="566">
        <v>1</v>
      </c>
      <c r="CL37" s="566">
        <v>1</v>
      </c>
      <c r="CM37" s="566">
        <v>1</v>
      </c>
      <c r="CN37" s="566">
        <v>0.99999999999999201</v>
      </c>
      <c r="CO37" s="566">
        <v>1</v>
      </c>
      <c r="CP37" s="566">
        <v>0.999999999999999</v>
      </c>
      <c r="CQ37" s="566">
        <v>1</v>
      </c>
      <c r="CR37" s="566">
        <v>0.29056238666679701</v>
      </c>
      <c r="CS37" s="566">
        <v>0.999999999999999</v>
      </c>
      <c r="CT37" s="566">
        <v>0.999999999999998</v>
      </c>
      <c r="CU37" s="566">
        <v>1</v>
      </c>
      <c r="CV37" s="566">
        <v>1</v>
      </c>
      <c r="CW37" s="566">
        <v>0.999999999999999</v>
      </c>
      <c r="CX37" s="566">
        <v>1</v>
      </c>
      <c r="CY37" s="566">
        <v>0.290562632483154</v>
      </c>
      <c r="CZ37" s="566">
        <v>1</v>
      </c>
      <c r="DA37" s="566">
        <v>0.999999999999999</v>
      </c>
      <c r="DB37" s="566">
        <v>1</v>
      </c>
      <c r="DC37" s="566">
        <v>0.29056176142014101</v>
      </c>
      <c r="DD37" s="566">
        <v>1</v>
      </c>
      <c r="DE37" s="566">
        <v>0.999999999999999</v>
      </c>
      <c r="DF37" s="566">
        <v>1</v>
      </c>
      <c r="DG37" s="566">
        <v>0.29056164155251302</v>
      </c>
      <c r="DH37" s="566">
        <v>1</v>
      </c>
      <c r="DI37" s="566">
        <v>0.999999999999999</v>
      </c>
      <c r="DJ37" s="566">
        <v>1</v>
      </c>
      <c r="DK37" s="566">
        <v>0.99999999999970601</v>
      </c>
      <c r="DL37" s="566">
        <v>0.999999999999999</v>
      </c>
      <c r="DM37" s="566">
        <v>0.999999999999999</v>
      </c>
      <c r="DN37" s="566">
        <v>1</v>
      </c>
      <c r="DO37" s="566">
        <v>0.29056238607172202</v>
      </c>
      <c r="DP37" s="566">
        <v>1</v>
      </c>
      <c r="DQ37" s="566">
        <v>0.999999999999998</v>
      </c>
      <c r="DR37" s="566">
        <v>1</v>
      </c>
      <c r="DS37" s="566">
        <v>1</v>
      </c>
      <c r="DT37" s="566">
        <v>0.999999999999998</v>
      </c>
      <c r="DU37" s="566">
        <v>0.999999999999999</v>
      </c>
      <c r="DV37" s="566">
        <v>0.29056065801285502</v>
      </c>
      <c r="DW37" s="566">
        <v>1</v>
      </c>
      <c r="DX37" s="566">
        <v>0.999999999999998</v>
      </c>
      <c r="DY37" s="566">
        <v>1</v>
      </c>
      <c r="DZ37" s="566">
        <v>0.29056016947288499</v>
      </c>
      <c r="EA37" s="566">
        <v>1</v>
      </c>
      <c r="EB37" s="566">
        <v>0.999999999999998</v>
      </c>
      <c r="EC37" s="566">
        <v>1</v>
      </c>
      <c r="ED37" s="566">
        <v>0.29056004949327602</v>
      </c>
      <c r="EE37" s="566">
        <v>1</v>
      </c>
      <c r="EF37" s="566">
        <v>0.999999999999998</v>
      </c>
      <c r="EG37" s="566">
        <v>1</v>
      </c>
      <c r="EH37" s="566">
        <v>0.99999999999991196</v>
      </c>
      <c r="EI37" s="566">
        <v>1</v>
      </c>
      <c r="EJ37" s="566">
        <v>0.999999999999998</v>
      </c>
      <c r="EK37" s="566">
        <v>1</v>
      </c>
      <c r="EL37" s="566">
        <v>0.29055954541936702</v>
      </c>
      <c r="EM37" s="566">
        <v>0.999999999999999</v>
      </c>
      <c r="EN37" s="566">
        <v>0.999999999999999</v>
      </c>
      <c r="EO37" s="566">
        <v>0.999999999999999</v>
      </c>
      <c r="EP37" s="566">
        <v>1</v>
      </c>
      <c r="EQ37" s="566">
        <v>0.999999999999999</v>
      </c>
      <c r="ER37" s="566">
        <v>1</v>
      </c>
      <c r="ES37" s="566">
        <v>0.29055193528860901</v>
      </c>
      <c r="ET37" s="566">
        <v>0.999999999999999</v>
      </c>
      <c r="EU37" s="566">
        <v>0.999999999999998</v>
      </c>
      <c r="EV37" s="566">
        <v>1</v>
      </c>
      <c r="EW37" s="566">
        <v>0.29055190155168997</v>
      </c>
      <c r="EX37" s="566">
        <v>0.999999999999999</v>
      </c>
      <c r="EY37" s="566">
        <v>0.999999999999998</v>
      </c>
      <c r="EZ37" s="566">
        <v>0.999999999999999</v>
      </c>
      <c r="FA37" s="566">
        <v>0.29055178154413402</v>
      </c>
      <c r="FB37" s="566">
        <v>1</v>
      </c>
      <c r="FC37" s="566">
        <v>0.999999999999999</v>
      </c>
      <c r="FD37" s="566">
        <v>1</v>
      </c>
      <c r="FE37" s="566">
        <v>0.99999999998087596</v>
      </c>
      <c r="FF37" s="566">
        <v>0.999999999999999</v>
      </c>
      <c r="FG37" s="566">
        <v>0.999999999999998</v>
      </c>
      <c r="FH37" s="566">
        <v>0.999999999999999</v>
      </c>
    </row>
    <row r="38" spans="1:164" ht="12.75" customHeight="1" x14ac:dyDescent="0.3">
      <c r="A38" s="422"/>
      <c r="B38" s="422"/>
      <c r="C38" s="422"/>
      <c r="D38" s="422"/>
      <c r="E38" s="422"/>
      <c r="F38" s="568"/>
      <c r="G38" s="569"/>
      <c r="H38" s="439"/>
      <c r="I38" s="574">
        <v>1507660.3192369</v>
      </c>
      <c r="J38" s="566">
        <v>0.32892084857426002</v>
      </c>
      <c r="K38" s="566">
        <v>1</v>
      </c>
      <c r="L38" s="566">
        <v>1</v>
      </c>
      <c r="M38" s="566">
        <v>1</v>
      </c>
      <c r="N38" s="566">
        <v>1</v>
      </c>
      <c r="O38" s="566">
        <v>1</v>
      </c>
      <c r="P38" s="566">
        <v>1</v>
      </c>
      <c r="Q38" s="566">
        <v>1</v>
      </c>
      <c r="R38" s="566">
        <v>1</v>
      </c>
      <c r="S38" s="566">
        <v>1</v>
      </c>
      <c r="T38" s="566">
        <v>1</v>
      </c>
      <c r="U38" s="566">
        <v>1</v>
      </c>
      <c r="V38" s="566">
        <v>1</v>
      </c>
      <c r="W38" s="566">
        <v>1</v>
      </c>
      <c r="X38" s="566">
        <v>1</v>
      </c>
      <c r="Y38" s="566">
        <v>0.42478060498690501</v>
      </c>
      <c r="Z38" s="566">
        <v>1</v>
      </c>
      <c r="AA38" s="566">
        <v>1</v>
      </c>
      <c r="AB38" s="566">
        <v>1</v>
      </c>
      <c r="AC38" s="566">
        <v>1</v>
      </c>
      <c r="AD38" s="566">
        <v>1</v>
      </c>
      <c r="AE38" s="566">
        <v>1</v>
      </c>
      <c r="AF38" s="566">
        <v>1</v>
      </c>
      <c r="AG38" s="566">
        <v>1</v>
      </c>
      <c r="AH38" s="566">
        <v>1</v>
      </c>
      <c r="AI38" s="566">
        <v>1</v>
      </c>
      <c r="AJ38" s="566">
        <v>1</v>
      </c>
      <c r="AK38" s="566">
        <v>0.42680436948545702</v>
      </c>
      <c r="AL38" s="566">
        <v>1</v>
      </c>
      <c r="AM38" s="566">
        <v>1</v>
      </c>
      <c r="AN38" s="566">
        <v>1</v>
      </c>
      <c r="AO38" s="566">
        <v>1</v>
      </c>
      <c r="AP38" s="566">
        <v>1</v>
      </c>
      <c r="AQ38" s="566">
        <v>1</v>
      </c>
      <c r="AR38" s="566">
        <v>1</v>
      </c>
      <c r="AS38" s="566">
        <v>1</v>
      </c>
      <c r="AT38" s="566">
        <v>1</v>
      </c>
      <c r="AU38" s="566">
        <v>1</v>
      </c>
      <c r="AV38" s="566">
        <v>1</v>
      </c>
      <c r="AW38" s="566">
        <v>1</v>
      </c>
      <c r="AX38" s="566">
        <v>1</v>
      </c>
      <c r="AY38" s="566">
        <v>1</v>
      </c>
      <c r="AZ38" s="566">
        <v>1</v>
      </c>
      <c r="BA38" s="566">
        <v>0.30527919113462498</v>
      </c>
      <c r="BB38" s="566">
        <v>1</v>
      </c>
      <c r="BC38" s="566">
        <v>1</v>
      </c>
      <c r="BD38" s="566">
        <v>1</v>
      </c>
      <c r="BE38" s="566">
        <v>1</v>
      </c>
      <c r="BF38" s="566">
        <v>1</v>
      </c>
      <c r="BG38" s="566">
        <v>1</v>
      </c>
      <c r="BH38" s="566">
        <v>0.999999999999997</v>
      </c>
      <c r="BI38" s="566">
        <v>1</v>
      </c>
      <c r="BJ38" s="566">
        <v>1</v>
      </c>
      <c r="BK38" s="566">
        <v>1</v>
      </c>
      <c r="BL38" s="566">
        <v>0.999999999999995</v>
      </c>
      <c r="BM38" s="566">
        <v>1</v>
      </c>
      <c r="BN38" s="566">
        <v>1</v>
      </c>
      <c r="BO38" s="566">
        <v>1</v>
      </c>
      <c r="BP38" s="566">
        <v>0.30483919850819502</v>
      </c>
      <c r="BQ38" s="566">
        <v>1</v>
      </c>
      <c r="BR38" s="566">
        <v>1</v>
      </c>
      <c r="BS38" s="566">
        <v>1.00000000000001</v>
      </c>
      <c r="BT38" s="566">
        <v>0.999999999999998</v>
      </c>
      <c r="BU38" s="566">
        <v>1</v>
      </c>
      <c r="BV38" s="566">
        <v>1</v>
      </c>
      <c r="BW38" s="566">
        <v>1</v>
      </c>
      <c r="BX38" s="566">
        <v>0.999999999999994</v>
      </c>
      <c r="BY38" s="566">
        <v>1</v>
      </c>
      <c r="BZ38" s="566">
        <v>1</v>
      </c>
      <c r="CA38" s="566">
        <v>1</v>
      </c>
      <c r="CB38" s="566">
        <v>0.30483929137528099</v>
      </c>
      <c r="CC38" s="566">
        <v>1</v>
      </c>
      <c r="CD38" s="566">
        <v>1</v>
      </c>
      <c r="CE38" s="566">
        <v>0.99999999999991895</v>
      </c>
      <c r="CF38" s="566">
        <v>0.99999999999999301</v>
      </c>
      <c r="CG38" s="566">
        <v>1</v>
      </c>
      <c r="CH38" s="566">
        <v>1</v>
      </c>
      <c r="CI38" s="566">
        <v>1</v>
      </c>
      <c r="CJ38" s="566">
        <v>0.999999999999994</v>
      </c>
      <c r="CK38" s="566">
        <v>1</v>
      </c>
      <c r="CL38" s="566">
        <v>1</v>
      </c>
      <c r="CM38" s="566">
        <v>1</v>
      </c>
      <c r="CN38" s="566">
        <v>0.999999999999994</v>
      </c>
      <c r="CO38" s="566">
        <v>1</v>
      </c>
      <c r="CP38" s="566">
        <v>1</v>
      </c>
      <c r="CQ38" s="566">
        <v>0.999999999999999</v>
      </c>
      <c r="CR38" s="566">
        <v>0.30474413889134999</v>
      </c>
      <c r="CS38" s="566">
        <v>1</v>
      </c>
      <c r="CT38" s="566">
        <v>1</v>
      </c>
      <c r="CU38" s="566">
        <v>1</v>
      </c>
      <c r="CV38" s="566">
        <v>1</v>
      </c>
      <c r="CW38" s="566">
        <v>1</v>
      </c>
      <c r="CX38" s="566">
        <v>1</v>
      </c>
      <c r="CY38" s="566">
        <v>0.30474437979380598</v>
      </c>
      <c r="CZ38" s="566">
        <v>1</v>
      </c>
      <c r="DA38" s="566">
        <v>1</v>
      </c>
      <c r="DB38" s="566">
        <v>0.99999999999998901</v>
      </c>
      <c r="DC38" s="566">
        <v>0.30474352614345901</v>
      </c>
      <c r="DD38" s="566">
        <v>1</v>
      </c>
      <c r="DE38" s="566">
        <v>1</v>
      </c>
      <c r="DF38" s="566">
        <v>0.99999999999998801</v>
      </c>
      <c r="DG38" s="566">
        <v>0.304743408672</v>
      </c>
      <c r="DH38" s="566">
        <v>1</v>
      </c>
      <c r="DI38" s="566">
        <v>1</v>
      </c>
      <c r="DJ38" s="566">
        <v>0.99999999999998801</v>
      </c>
      <c r="DK38" s="566">
        <v>0.99999999999971301</v>
      </c>
      <c r="DL38" s="566">
        <v>1</v>
      </c>
      <c r="DM38" s="566">
        <v>1</v>
      </c>
      <c r="DN38" s="566">
        <v>1</v>
      </c>
      <c r="DO38" s="566">
        <v>0.30474413830816999</v>
      </c>
      <c r="DP38" s="566">
        <v>1</v>
      </c>
      <c r="DQ38" s="566">
        <v>1</v>
      </c>
      <c r="DR38" s="566">
        <v>1</v>
      </c>
      <c r="DS38" s="566">
        <v>1</v>
      </c>
      <c r="DT38" s="566">
        <v>1</v>
      </c>
      <c r="DU38" s="566">
        <v>1</v>
      </c>
      <c r="DV38" s="566">
        <v>0.30474244479343199</v>
      </c>
      <c r="DW38" s="566">
        <v>1</v>
      </c>
      <c r="DX38" s="566">
        <v>1</v>
      </c>
      <c r="DY38" s="566">
        <v>0.99999999999999101</v>
      </c>
      <c r="DZ38" s="566">
        <v>0.30474196601943998</v>
      </c>
      <c r="EA38" s="566">
        <v>1</v>
      </c>
      <c r="EB38" s="566">
        <v>1</v>
      </c>
      <c r="EC38" s="566">
        <v>0.99999999999999101</v>
      </c>
      <c r="ED38" s="566">
        <v>0.30474184843823998</v>
      </c>
      <c r="EE38" s="566">
        <v>1</v>
      </c>
      <c r="EF38" s="566">
        <v>1</v>
      </c>
      <c r="EG38" s="566">
        <v>0.99999999999999101</v>
      </c>
      <c r="EH38" s="566">
        <v>0.99999999999991596</v>
      </c>
      <c r="EI38" s="566">
        <v>1</v>
      </c>
      <c r="EJ38" s="566">
        <v>1</v>
      </c>
      <c r="EK38" s="566">
        <v>1</v>
      </c>
      <c r="EL38" s="566">
        <v>0.304741354440834</v>
      </c>
      <c r="EM38" s="566">
        <v>1</v>
      </c>
      <c r="EN38" s="566">
        <v>1</v>
      </c>
      <c r="EO38" s="566">
        <v>1</v>
      </c>
      <c r="EP38" s="566">
        <v>1</v>
      </c>
      <c r="EQ38" s="566">
        <v>1</v>
      </c>
      <c r="ER38" s="566">
        <v>1</v>
      </c>
      <c r="ES38" s="566">
        <v>0.30473389643760201</v>
      </c>
      <c r="ET38" s="566">
        <v>1</v>
      </c>
      <c r="EU38" s="566">
        <v>1</v>
      </c>
      <c r="EV38" s="566">
        <v>1</v>
      </c>
      <c r="EW38" s="566">
        <v>0.30473386337508801</v>
      </c>
      <c r="EX38" s="566">
        <v>1</v>
      </c>
      <c r="EY38" s="566">
        <v>1</v>
      </c>
      <c r="EZ38" s="566">
        <v>1</v>
      </c>
      <c r="FA38" s="566">
        <v>0.30473374576649898</v>
      </c>
      <c r="FB38" s="566">
        <v>1</v>
      </c>
      <c r="FC38" s="566">
        <v>1</v>
      </c>
      <c r="FD38" s="566">
        <v>1</v>
      </c>
      <c r="FE38" s="566">
        <v>0.99999999998126099</v>
      </c>
      <c r="FF38" s="566">
        <v>1</v>
      </c>
      <c r="FG38" s="566">
        <v>1</v>
      </c>
      <c r="FH38" s="566">
        <v>1</v>
      </c>
    </row>
    <row r="39" spans="1:164" ht="12.75" customHeight="1" x14ac:dyDescent="0.3">
      <c r="A39" s="422"/>
      <c r="B39" s="422"/>
      <c r="C39" s="422"/>
      <c r="D39" s="422"/>
      <c r="E39" s="422"/>
      <c r="F39" s="568"/>
      <c r="G39" s="569"/>
      <c r="H39" s="439"/>
      <c r="I39" s="574">
        <v>1591419.2258611701</v>
      </c>
      <c r="J39" s="566">
        <v>0.34233580998123903</v>
      </c>
      <c r="K39" s="566">
        <v>1</v>
      </c>
      <c r="L39" s="566">
        <v>1</v>
      </c>
      <c r="M39" s="566">
        <v>1</v>
      </c>
      <c r="N39" s="566">
        <v>1</v>
      </c>
      <c r="O39" s="566">
        <v>1</v>
      </c>
      <c r="P39" s="566">
        <v>1</v>
      </c>
      <c r="Q39" s="566">
        <v>1</v>
      </c>
      <c r="R39" s="566">
        <v>1</v>
      </c>
      <c r="S39" s="566">
        <v>1</v>
      </c>
      <c r="T39" s="566">
        <v>1</v>
      </c>
      <c r="U39" s="566">
        <v>0.999999999999996</v>
      </c>
      <c r="V39" s="566">
        <v>1</v>
      </c>
      <c r="W39" s="566">
        <v>0.999999999999999</v>
      </c>
      <c r="X39" s="566">
        <v>1</v>
      </c>
      <c r="Y39" s="566">
        <v>0.436279317125781</v>
      </c>
      <c r="Z39" s="566">
        <v>0.999999999999999</v>
      </c>
      <c r="AA39" s="566">
        <v>1</v>
      </c>
      <c r="AB39" s="566">
        <v>0.999999999999999</v>
      </c>
      <c r="AC39" s="566">
        <v>1</v>
      </c>
      <c r="AD39" s="566">
        <v>1</v>
      </c>
      <c r="AE39" s="566">
        <v>1</v>
      </c>
      <c r="AF39" s="566">
        <v>1</v>
      </c>
      <c r="AG39" s="566">
        <v>0.999999999999996</v>
      </c>
      <c r="AH39" s="566">
        <v>1</v>
      </c>
      <c r="AI39" s="566">
        <v>0.999999999999999</v>
      </c>
      <c r="AJ39" s="566">
        <v>0.999999999999999</v>
      </c>
      <c r="AK39" s="566">
        <v>0.43826262630309798</v>
      </c>
      <c r="AL39" s="566">
        <v>0.999999999999999</v>
      </c>
      <c r="AM39" s="566">
        <v>0.999999999999998</v>
      </c>
      <c r="AN39" s="566">
        <v>1</v>
      </c>
      <c r="AO39" s="566">
        <v>1</v>
      </c>
      <c r="AP39" s="566">
        <v>1</v>
      </c>
      <c r="AQ39" s="566">
        <v>1</v>
      </c>
      <c r="AR39" s="566">
        <v>1</v>
      </c>
      <c r="AS39" s="566">
        <v>0.999999999999999</v>
      </c>
      <c r="AT39" s="566">
        <v>1</v>
      </c>
      <c r="AU39" s="566">
        <v>1</v>
      </c>
      <c r="AV39" s="566">
        <v>1</v>
      </c>
      <c r="AW39" s="566">
        <v>1</v>
      </c>
      <c r="AX39" s="566">
        <v>1</v>
      </c>
      <c r="AY39" s="566">
        <v>1</v>
      </c>
      <c r="AZ39" s="566">
        <v>1</v>
      </c>
      <c r="BA39" s="566">
        <v>0.31916675241522002</v>
      </c>
      <c r="BB39" s="566">
        <v>0.999999999999999</v>
      </c>
      <c r="BC39" s="566">
        <v>1</v>
      </c>
      <c r="BD39" s="566">
        <v>1</v>
      </c>
      <c r="BE39" s="566">
        <v>0.999999999999999</v>
      </c>
      <c r="BF39" s="566">
        <v>1</v>
      </c>
      <c r="BG39" s="566">
        <v>1</v>
      </c>
      <c r="BH39" s="566">
        <v>0.999999999999998</v>
      </c>
      <c r="BI39" s="566">
        <v>1</v>
      </c>
      <c r="BJ39" s="566">
        <v>1</v>
      </c>
      <c r="BK39" s="566">
        <v>1</v>
      </c>
      <c r="BL39" s="566">
        <v>0.999999999999995</v>
      </c>
      <c r="BM39" s="566">
        <v>0.999999999999999</v>
      </c>
      <c r="BN39" s="566">
        <v>1</v>
      </c>
      <c r="BO39" s="566">
        <v>0.999999999999999</v>
      </c>
      <c r="BP39" s="566">
        <v>0.31873555529985498</v>
      </c>
      <c r="BQ39" s="566">
        <v>1</v>
      </c>
      <c r="BR39" s="566">
        <v>1</v>
      </c>
      <c r="BS39" s="566">
        <v>1.00000000000006</v>
      </c>
      <c r="BT39" s="566">
        <v>0.999999999999998</v>
      </c>
      <c r="BU39" s="566">
        <v>1</v>
      </c>
      <c r="BV39" s="566">
        <v>1</v>
      </c>
      <c r="BW39" s="566">
        <v>1</v>
      </c>
      <c r="BX39" s="566">
        <v>0.999999999999995</v>
      </c>
      <c r="BY39" s="566">
        <v>0.999999999999999</v>
      </c>
      <c r="BZ39" s="566">
        <v>1</v>
      </c>
      <c r="CA39" s="566">
        <v>1</v>
      </c>
      <c r="CB39" s="566">
        <v>0.31873564631051698</v>
      </c>
      <c r="CC39" s="566">
        <v>1</v>
      </c>
      <c r="CD39" s="566">
        <v>1</v>
      </c>
      <c r="CE39" s="566">
        <v>1.0000000000000899</v>
      </c>
      <c r="CF39" s="566">
        <v>0.99999999999999301</v>
      </c>
      <c r="CG39" s="566">
        <v>0.999999999999999</v>
      </c>
      <c r="CH39" s="566">
        <v>1</v>
      </c>
      <c r="CI39" s="566">
        <v>1</v>
      </c>
      <c r="CJ39" s="566">
        <v>0.999999999999995</v>
      </c>
      <c r="CK39" s="566">
        <v>0.999999999999999</v>
      </c>
      <c r="CL39" s="566">
        <v>1</v>
      </c>
      <c r="CM39" s="566">
        <v>1</v>
      </c>
      <c r="CN39" s="566">
        <v>0.99999999999999301</v>
      </c>
      <c r="CO39" s="566">
        <v>0.999999999999999</v>
      </c>
      <c r="CP39" s="566">
        <v>1</v>
      </c>
      <c r="CQ39" s="566">
        <v>1</v>
      </c>
      <c r="CR39" s="566">
        <v>0.31864239593738303</v>
      </c>
      <c r="CS39" s="566">
        <v>1</v>
      </c>
      <c r="CT39" s="566">
        <v>1</v>
      </c>
      <c r="CU39" s="566">
        <v>1</v>
      </c>
      <c r="CV39" s="566">
        <v>0.999999999999999</v>
      </c>
      <c r="CW39" s="566">
        <v>1</v>
      </c>
      <c r="CX39" s="566">
        <v>0.999999999999999</v>
      </c>
      <c r="CY39" s="566">
        <v>0.31864263202416598</v>
      </c>
      <c r="CZ39" s="566">
        <v>0.999999999999999</v>
      </c>
      <c r="DA39" s="566">
        <v>1</v>
      </c>
      <c r="DB39" s="566">
        <v>1.00000000000001</v>
      </c>
      <c r="DC39" s="566">
        <v>0.31864179543840199</v>
      </c>
      <c r="DD39" s="566">
        <v>0.999999999999999</v>
      </c>
      <c r="DE39" s="566">
        <v>1</v>
      </c>
      <c r="DF39" s="566">
        <v>1.00000000000001</v>
      </c>
      <c r="DG39" s="566">
        <v>0.318641680315214</v>
      </c>
      <c r="DH39" s="566">
        <v>1</v>
      </c>
      <c r="DI39" s="566">
        <v>1</v>
      </c>
      <c r="DJ39" s="566">
        <v>1.00000000000001</v>
      </c>
      <c r="DK39" s="566">
        <v>0.999999999999716</v>
      </c>
      <c r="DL39" s="566">
        <v>1</v>
      </c>
      <c r="DM39" s="566">
        <v>1</v>
      </c>
      <c r="DN39" s="566">
        <v>0.999999999999999</v>
      </c>
      <c r="DO39" s="566">
        <v>0.31864239536586098</v>
      </c>
      <c r="DP39" s="566">
        <v>1</v>
      </c>
      <c r="DQ39" s="566">
        <v>1</v>
      </c>
      <c r="DR39" s="566">
        <v>1</v>
      </c>
      <c r="DS39" s="566">
        <v>0.999999999999999</v>
      </c>
      <c r="DT39" s="566">
        <v>1</v>
      </c>
      <c r="DU39" s="566">
        <v>1</v>
      </c>
      <c r="DV39" s="566">
        <v>0.31864073570470602</v>
      </c>
      <c r="DW39" s="566">
        <v>1</v>
      </c>
      <c r="DX39" s="566">
        <v>1</v>
      </c>
      <c r="DY39" s="566">
        <v>1</v>
      </c>
      <c r="DZ39" s="566">
        <v>0.31864026650146998</v>
      </c>
      <c r="EA39" s="566">
        <v>1</v>
      </c>
      <c r="EB39" s="566">
        <v>1</v>
      </c>
      <c r="EC39" s="566">
        <v>1.00000000000001</v>
      </c>
      <c r="ED39" s="566">
        <v>0.31864015127073397</v>
      </c>
      <c r="EE39" s="566">
        <v>0.999999999999999</v>
      </c>
      <c r="EF39" s="566">
        <v>1</v>
      </c>
      <c r="EG39" s="566">
        <v>1.00000000000001</v>
      </c>
      <c r="EH39" s="566">
        <v>0.99999999999992395</v>
      </c>
      <c r="EI39" s="566">
        <v>0.999999999999999</v>
      </c>
      <c r="EJ39" s="566">
        <v>1</v>
      </c>
      <c r="EK39" s="566">
        <v>0.999999999999998</v>
      </c>
      <c r="EL39" s="566">
        <v>0.31863966714840303</v>
      </c>
      <c r="EM39" s="566">
        <v>1</v>
      </c>
      <c r="EN39" s="566">
        <v>1</v>
      </c>
      <c r="EO39" s="566">
        <v>1</v>
      </c>
      <c r="EP39" s="566">
        <v>0.999999999999999</v>
      </c>
      <c r="EQ39" s="566">
        <v>1</v>
      </c>
      <c r="ER39" s="566">
        <v>0.999999999999999</v>
      </c>
      <c r="ES39" s="566">
        <v>0.31863235823164698</v>
      </c>
      <c r="ET39" s="566">
        <v>0.999999999999999</v>
      </c>
      <c r="EU39" s="566">
        <v>1</v>
      </c>
      <c r="EV39" s="566">
        <v>0.999999999999998</v>
      </c>
      <c r="EW39" s="566">
        <v>0.31863232583005702</v>
      </c>
      <c r="EX39" s="566">
        <v>1</v>
      </c>
      <c r="EY39" s="566">
        <v>1</v>
      </c>
      <c r="EZ39" s="566">
        <v>1</v>
      </c>
      <c r="FA39" s="566">
        <v>0.31863221057247998</v>
      </c>
      <c r="FB39" s="566">
        <v>0.999999999999999</v>
      </c>
      <c r="FC39" s="566">
        <v>1</v>
      </c>
      <c r="FD39" s="566">
        <v>0.999999999999999</v>
      </c>
      <c r="FE39" s="566">
        <v>0.99999999998163502</v>
      </c>
      <c r="FF39" s="566">
        <v>0.999999999999999</v>
      </c>
      <c r="FG39" s="566">
        <v>1</v>
      </c>
      <c r="FH39" s="566">
        <v>1</v>
      </c>
    </row>
    <row r="40" spans="1:164" ht="12.75" customHeight="1" x14ac:dyDescent="0.3">
      <c r="A40" s="422"/>
      <c r="B40" s="422"/>
      <c r="C40" s="422"/>
      <c r="D40" s="422"/>
      <c r="E40" s="422"/>
      <c r="F40" s="568"/>
      <c r="G40" s="569"/>
      <c r="H40" s="439"/>
      <c r="I40" s="574">
        <v>1675178.13248544</v>
      </c>
      <c r="J40" s="566">
        <v>0.35548260452247699</v>
      </c>
      <c r="K40" s="566">
        <v>0.999999999999999</v>
      </c>
      <c r="L40" s="566">
        <v>0.999999999999999</v>
      </c>
      <c r="M40" s="566">
        <v>0.999999999999999</v>
      </c>
      <c r="N40" s="566">
        <v>1</v>
      </c>
      <c r="O40" s="566">
        <v>0.999999999999998</v>
      </c>
      <c r="P40" s="566">
        <v>0.999999999999999</v>
      </c>
      <c r="Q40" s="566">
        <v>0.999999999999999</v>
      </c>
      <c r="R40" s="566">
        <v>0.999999999999999</v>
      </c>
      <c r="S40" s="566">
        <v>0.999999999999998</v>
      </c>
      <c r="T40" s="566">
        <v>0.999999999999999</v>
      </c>
      <c r="U40" s="566">
        <v>1</v>
      </c>
      <c r="V40" s="566">
        <v>0.999999999999999</v>
      </c>
      <c r="W40" s="566">
        <v>1</v>
      </c>
      <c r="X40" s="566">
        <v>1</v>
      </c>
      <c r="Y40" s="566">
        <v>0.44754816847707901</v>
      </c>
      <c r="Z40" s="566">
        <v>1</v>
      </c>
      <c r="AA40" s="566">
        <v>0.999999999999998</v>
      </c>
      <c r="AB40" s="566">
        <v>1</v>
      </c>
      <c r="AC40" s="566">
        <v>0.999999999999999</v>
      </c>
      <c r="AD40" s="566">
        <v>0.999999999999999</v>
      </c>
      <c r="AE40" s="566">
        <v>1</v>
      </c>
      <c r="AF40" s="566">
        <v>0.999999999999997</v>
      </c>
      <c r="AG40" s="566">
        <v>1</v>
      </c>
      <c r="AH40" s="566">
        <v>1</v>
      </c>
      <c r="AI40" s="566">
        <v>1</v>
      </c>
      <c r="AJ40" s="566">
        <v>1</v>
      </c>
      <c r="AK40" s="566">
        <v>0.44949183104042301</v>
      </c>
      <c r="AL40" s="566">
        <v>1</v>
      </c>
      <c r="AM40" s="566">
        <v>0.999999999999999</v>
      </c>
      <c r="AN40" s="566">
        <v>1</v>
      </c>
      <c r="AO40" s="566">
        <v>0.999999999999998</v>
      </c>
      <c r="AP40" s="566">
        <v>0.999999999999999</v>
      </c>
      <c r="AQ40" s="566">
        <v>0.999999999999998</v>
      </c>
      <c r="AR40" s="566">
        <v>0.999999999999998</v>
      </c>
      <c r="AS40" s="566">
        <v>1</v>
      </c>
      <c r="AT40" s="566">
        <v>1</v>
      </c>
      <c r="AU40" s="566">
        <v>1</v>
      </c>
      <c r="AV40" s="566">
        <v>1</v>
      </c>
      <c r="AW40" s="566">
        <v>0.999999999999998</v>
      </c>
      <c r="AX40" s="566">
        <v>1</v>
      </c>
      <c r="AY40" s="566">
        <v>1</v>
      </c>
      <c r="AZ40" s="566">
        <v>1</v>
      </c>
      <c r="BA40" s="566">
        <v>0.33277669949563699</v>
      </c>
      <c r="BB40" s="566">
        <v>1</v>
      </c>
      <c r="BC40" s="566">
        <v>0.999999999999998</v>
      </c>
      <c r="BD40" s="566">
        <v>1</v>
      </c>
      <c r="BE40" s="566">
        <v>1</v>
      </c>
      <c r="BF40" s="566">
        <v>0.999999999999998</v>
      </c>
      <c r="BG40" s="566">
        <v>0.999999999999998</v>
      </c>
      <c r="BH40" s="566">
        <v>0.999999999999997</v>
      </c>
      <c r="BI40" s="566">
        <v>0.999999999999998</v>
      </c>
      <c r="BJ40" s="566">
        <v>0.999999999999999</v>
      </c>
      <c r="BK40" s="566">
        <v>0.999999999999998</v>
      </c>
      <c r="BL40" s="566">
        <v>0.99999999999999201</v>
      </c>
      <c r="BM40" s="566">
        <v>1</v>
      </c>
      <c r="BN40" s="566">
        <v>0.999999999999999</v>
      </c>
      <c r="BO40" s="566">
        <v>0.999999999999999</v>
      </c>
      <c r="BP40" s="566">
        <v>0.33235412206789999</v>
      </c>
      <c r="BQ40" s="566">
        <v>0.999999999999999</v>
      </c>
      <c r="BR40" s="566">
        <v>0.999999999999999</v>
      </c>
      <c r="BS40" s="566">
        <v>0.99999999999993205</v>
      </c>
      <c r="BT40" s="566">
        <v>0.999999999999997</v>
      </c>
      <c r="BU40" s="566">
        <v>0.999999999999998</v>
      </c>
      <c r="BV40" s="566">
        <v>0.999999999999998</v>
      </c>
      <c r="BW40" s="566">
        <v>0.999999999999998</v>
      </c>
      <c r="BX40" s="566">
        <v>0.999999999999994</v>
      </c>
      <c r="BY40" s="566">
        <v>1</v>
      </c>
      <c r="BZ40" s="566">
        <v>0.999999999999999</v>
      </c>
      <c r="CA40" s="566">
        <v>0.999999999999998</v>
      </c>
      <c r="CB40" s="566">
        <v>0.33235421125924602</v>
      </c>
      <c r="CC40" s="566">
        <v>1</v>
      </c>
      <c r="CD40" s="566">
        <v>0.999999999999998</v>
      </c>
      <c r="CE40" s="566">
        <v>1.00000000000005</v>
      </c>
      <c r="CF40" s="566">
        <v>0.999999999999994</v>
      </c>
      <c r="CG40" s="566">
        <v>1</v>
      </c>
      <c r="CH40" s="566">
        <v>1</v>
      </c>
      <c r="CI40" s="566">
        <v>0.999999999999999</v>
      </c>
      <c r="CJ40" s="566">
        <v>0.99999999999999101</v>
      </c>
      <c r="CK40" s="566">
        <v>0.999999999999999</v>
      </c>
      <c r="CL40" s="566">
        <v>0.999999999999998</v>
      </c>
      <c r="CM40" s="566">
        <v>1</v>
      </c>
      <c r="CN40" s="566">
        <v>0.99999999999999201</v>
      </c>
      <c r="CO40" s="566">
        <v>1</v>
      </c>
      <c r="CP40" s="566">
        <v>0.999999999999998</v>
      </c>
      <c r="CQ40" s="566">
        <v>1</v>
      </c>
      <c r="CR40" s="566">
        <v>0.33226282497346299</v>
      </c>
      <c r="CS40" s="566">
        <v>0.999999999999998</v>
      </c>
      <c r="CT40" s="566">
        <v>0.999999999999997</v>
      </c>
      <c r="CU40" s="566">
        <v>0.999999999999999</v>
      </c>
      <c r="CV40" s="566">
        <v>0.999999999999999</v>
      </c>
      <c r="CW40" s="566">
        <v>0.999999999999998</v>
      </c>
      <c r="CX40" s="566">
        <v>1</v>
      </c>
      <c r="CY40" s="566">
        <v>0.33226305634083902</v>
      </c>
      <c r="CZ40" s="566">
        <v>1</v>
      </c>
      <c r="DA40" s="566">
        <v>0.999999999999998</v>
      </c>
      <c r="DB40" s="566">
        <v>1.00000000000001</v>
      </c>
      <c r="DC40" s="566">
        <v>0.33226223647853498</v>
      </c>
      <c r="DD40" s="566">
        <v>1</v>
      </c>
      <c r="DE40" s="566">
        <v>0.999999999999997</v>
      </c>
      <c r="DF40" s="566">
        <v>1.00000000000001</v>
      </c>
      <c r="DG40" s="566">
        <v>0.33226212365667501</v>
      </c>
      <c r="DH40" s="566">
        <v>0.999999999999999</v>
      </c>
      <c r="DI40" s="566">
        <v>0.999999999999997</v>
      </c>
      <c r="DJ40" s="566">
        <v>1.00000000000001</v>
      </c>
      <c r="DK40" s="566">
        <v>0.999999999999722</v>
      </c>
      <c r="DL40" s="566">
        <v>0.999999999999999</v>
      </c>
      <c r="DM40" s="566">
        <v>0.999999999999999</v>
      </c>
      <c r="DN40" s="566">
        <v>0.999999999999999</v>
      </c>
      <c r="DO40" s="566">
        <v>0.33226282441336702</v>
      </c>
      <c r="DP40" s="566">
        <v>0.999999999999999</v>
      </c>
      <c r="DQ40" s="566">
        <v>0.999999999999997</v>
      </c>
      <c r="DR40" s="566">
        <v>0.999999999999999</v>
      </c>
      <c r="DS40" s="566">
        <v>0.999999999999999</v>
      </c>
      <c r="DT40" s="566">
        <v>0.999999999999997</v>
      </c>
      <c r="DU40" s="566">
        <v>0.999999999999999</v>
      </c>
      <c r="DV40" s="566">
        <v>0.33226119792905601</v>
      </c>
      <c r="DW40" s="566">
        <v>1</v>
      </c>
      <c r="DX40" s="566">
        <v>0.999999999999997</v>
      </c>
      <c r="DY40" s="566">
        <v>1.00000000000001</v>
      </c>
      <c r="DZ40" s="566">
        <v>0.33226073810525503</v>
      </c>
      <c r="EA40" s="566">
        <v>0.999999999999999</v>
      </c>
      <c r="EB40" s="566">
        <v>0.999999999999997</v>
      </c>
      <c r="EC40" s="566">
        <v>1.00000000000001</v>
      </c>
      <c r="ED40" s="566">
        <v>0.33226062517799698</v>
      </c>
      <c r="EE40" s="566">
        <v>1</v>
      </c>
      <c r="EF40" s="566">
        <v>0.999999999999997</v>
      </c>
      <c r="EG40" s="566">
        <v>1.00000000000001</v>
      </c>
      <c r="EH40" s="566">
        <v>0.99999999999991496</v>
      </c>
      <c r="EI40" s="566">
        <v>0.999999999999999</v>
      </c>
      <c r="EJ40" s="566">
        <v>0.999999999999996</v>
      </c>
      <c r="EK40" s="566">
        <v>1</v>
      </c>
      <c r="EL40" s="566">
        <v>0.33226015073333698</v>
      </c>
      <c r="EM40" s="566">
        <v>0.999999999999999</v>
      </c>
      <c r="EN40" s="566">
        <v>0.999999999999997</v>
      </c>
      <c r="EO40" s="566">
        <v>0.999999999999998</v>
      </c>
      <c r="EP40" s="566">
        <v>1</v>
      </c>
      <c r="EQ40" s="566">
        <v>0.999999999999997</v>
      </c>
      <c r="ER40" s="566">
        <v>0.999999999999999</v>
      </c>
      <c r="ES40" s="566">
        <v>0.332252987922798</v>
      </c>
      <c r="ET40" s="566">
        <v>0.999999999999998</v>
      </c>
      <c r="EU40" s="566">
        <v>0.999999999999997</v>
      </c>
      <c r="EV40" s="566">
        <v>0.999999999999999</v>
      </c>
      <c r="EW40" s="566">
        <v>0.33225295616891998</v>
      </c>
      <c r="EX40" s="566">
        <v>0.999999999999998</v>
      </c>
      <c r="EY40" s="566">
        <v>0.999999999999997</v>
      </c>
      <c r="EZ40" s="566">
        <v>0.999999999999999</v>
      </c>
      <c r="FA40" s="566">
        <v>0.33225284321535697</v>
      </c>
      <c r="FB40" s="566">
        <v>1</v>
      </c>
      <c r="FC40" s="566">
        <v>0.999999999999997</v>
      </c>
      <c r="FD40" s="566">
        <v>0.999999999999999</v>
      </c>
      <c r="FE40" s="566">
        <v>0.99999999998199895</v>
      </c>
      <c r="FF40" s="566">
        <v>0.999999999999998</v>
      </c>
      <c r="FG40" s="566">
        <v>0.999999999999997</v>
      </c>
      <c r="FH40" s="566">
        <v>0.999999999999997</v>
      </c>
    </row>
    <row r="41" spans="1:164" ht="12.75" customHeight="1" x14ac:dyDescent="0.3">
      <c r="A41" s="422"/>
      <c r="B41" s="422"/>
      <c r="C41" s="422"/>
      <c r="D41" s="422"/>
      <c r="E41" s="422"/>
      <c r="F41" s="568"/>
      <c r="G41" s="569"/>
      <c r="H41" s="439"/>
      <c r="I41" s="574">
        <v>1758937.0391097199</v>
      </c>
      <c r="J41" s="566">
        <v>0.36836659292593299</v>
      </c>
      <c r="K41" s="566">
        <v>1</v>
      </c>
      <c r="L41" s="566">
        <v>1</v>
      </c>
      <c r="M41" s="566">
        <v>1</v>
      </c>
      <c r="N41" s="566">
        <v>1</v>
      </c>
      <c r="O41" s="566">
        <v>0.999999999999999</v>
      </c>
      <c r="P41" s="566">
        <v>1</v>
      </c>
      <c r="Q41" s="566">
        <v>1</v>
      </c>
      <c r="R41" s="566">
        <v>1</v>
      </c>
      <c r="S41" s="566">
        <v>1</v>
      </c>
      <c r="T41" s="566">
        <v>1</v>
      </c>
      <c r="U41" s="566">
        <v>1</v>
      </c>
      <c r="V41" s="566">
        <v>1</v>
      </c>
      <c r="W41" s="566">
        <v>1</v>
      </c>
      <c r="X41" s="566">
        <v>1</v>
      </c>
      <c r="Y41" s="566">
        <v>0.45859175401992902</v>
      </c>
      <c r="Z41" s="566">
        <v>1</v>
      </c>
      <c r="AA41" s="566">
        <v>1</v>
      </c>
      <c r="AB41" s="566">
        <v>1</v>
      </c>
      <c r="AC41" s="566">
        <v>1</v>
      </c>
      <c r="AD41" s="566">
        <v>1</v>
      </c>
      <c r="AE41" s="566">
        <v>1</v>
      </c>
      <c r="AF41" s="566">
        <v>1</v>
      </c>
      <c r="AG41" s="566">
        <v>1</v>
      </c>
      <c r="AH41" s="566">
        <v>1</v>
      </c>
      <c r="AI41" s="566">
        <v>1</v>
      </c>
      <c r="AJ41" s="566">
        <v>1</v>
      </c>
      <c r="AK41" s="566">
        <v>0.46049656251028498</v>
      </c>
      <c r="AL41" s="566">
        <v>1</v>
      </c>
      <c r="AM41" s="566">
        <v>1</v>
      </c>
      <c r="AN41" s="566">
        <v>0.999999999999998</v>
      </c>
      <c r="AO41" s="566">
        <v>1</v>
      </c>
      <c r="AP41" s="566">
        <v>1</v>
      </c>
      <c r="AQ41" s="566">
        <v>1</v>
      </c>
      <c r="AR41" s="566">
        <v>1</v>
      </c>
      <c r="AS41" s="566">
        <v>1</v>
      </c>
      <c r="AT41" s="566">
        <v>0.999999999999999</v>
      </c>
      <c r="AU41" s="566">
        <v>1</v>
      </c>
      <c r="AV41" s="566">
        <v>0.999999999999999</v>
      </c>
      <c r="AW41" s="566">
        <v>1</v>
      </c>
      <c r="AX41" s="566">
        <v>1</v>
      </c>
      <c r="AY41" s="566">
        <v>1</v>
      </c>
      <c r="AZ41" s="566">
        <v>0.999999999999999</v>
      </c>
      <c r="BA41" s="566">
        <v>0.34611458195859901</v>
      </c>
      <c r="BB41" s="566">
        <v>1</v>
      </c>
      <c r="BC41" s="566">
        <v>1</v>
      </c>
      <c r="BD41" s="566">
        <v>1</v>
      </c>
      <c r="BE41" s="566">
        <v>1</v>
      </c>
      <c r="BF41" s="566">
        <v>0.999999999999999</v>
      </c>
      <c r="BG41" s="566">
        <v>1</v>
      </c>
      <c r="BH41" s="566">
        <v>0.999999999999997</v>
      </c>
      <c r="BI41" s="566">
        <v>0.999999999999999</v>
      </c>
      <c r="BJ41" s="566">
        <v>1</v>
      </c>
      <c r="BK41" s="566">
        <v>1</v>
      </c>
      <c r="BL41" s="566">
        <v>0.999999999999994</v>
      </c>
      <c r="BM41" s="566">
        <v>1</v>
      </c>
      <c r="BN41" s="566">
        <v>1</v>
      </c>
      <c r="BO41" s="566">
        <v>1</v>
      </c>
      <c r="BP41" s="566">
        <v>0.34570045190981302</v>
      </c>
      <c r="BQ41" s="566">
        <v>1</v>
      </c>
      <c r="BR41" s="566">
        <v>1</v>
      </c>
      <c r="BS41" s="566">
        <v>0.99999999999995903</v>
      </c>
      <c r="BT41" s="566">
        <v>0.999999999999998</v>
      </c>
      <c r="BU41" s="566">
        <v>0.999999999999999</v>
      </c>
      <c r="BV41" s="566">
        <v>1</v>
      </c>
      <c r="BW41" s="566">
        <v>1</v>
      </c>
      <c r="BX41" s="566">
        <v>0.999999999999994</v>
      </c>
      <c r="BY41" s="566">
        <v>1</v>
      </c>
      <c r="BZ41" s="566">
        <v>1</v>
      </c>
      <c r="CA41" s="566">
        <v>1</v>
      </c>
      <c r="CB41" s="566">
        <v>0.34570053931821199</v>
      </c>
      <c r="CC41" s="566">
        <v>1</v>
      </c>
      <c r="CD41" s="566">
        <v>1</v>
      </c>
      <c r="CE41" s="566">
        <v>0.99999999999980904</v>
      </c>
      <c r="CF41" s="566">
        <v>0.999999999999994</v>
      </c>
      <c r="CG41" s="566">
        <v>1</v>
      </c>
      <c r="CH41" s="566">
        <v>1</v>
      </c>
      <c r="CI41" s="566">
        <v>0.999999999999999</v>
      </c>
      <c r="CJ41" s="566">
        <v>0.999999999999994</v>
      </c>
      <c r="CK41" s="566">
        <v>1</v>
      </c>
      <c r="CL41" s="566">
        <v>1</v>
      </c>
      <c r="CM41" s="566">
        <v>1</v>
      </c>
      <c r="CN41" s="566">
        <v>0.999999999999995</v>
      </c>
      <c r="CO41" s="566">
        <v>1</v>
      </c>
      <c r="CP41" s="566">
        <v>1</v>
      </c>
      <c r="CQ41" s="566">
        <v>0.999999999999999</v>
      </c>
      <c r="CR41" s="566">
        <v>0.34561097985642603</v>
      </c>
      <c r="CS41" s="566">
        <v>1</v>
      </c>
      <c r="CT41" s="566">
        <v>0.999999999999999</v>
      </c>
      <c r="CU41" s="566">
        <v>1</v>
      </c>
      <c r="CV41" s="566">
        <v>1</v>
      </c>
      <c r="CW41" s="566">
        <v>1</v>
      </c>
      <c r="CX41" s="566">
        <v>1</v>
      </c>
      <c r="CY41" s="566">
        <v>0.34561120659874001</v>
      </c>
      <c r="CZ41" s="566">
        <v>1</v>
      </c>
      <c r="DA41" s="566">
        <v>1</v>
      </c>
      <c r="DB41" s="566">
        <v>0.99999999999997602</v>
      </c>
      <c r="DC41" s="566">
        <v>0.34561040312559299</v>
      </c>
      <c r="DD41" s="566">
        <v>1</v>
      </c>
      <c r="DE41" s="566">
        <v>1</v>
      </c>
      <c r="DF41" s="566">
        <v>0.99999999999997602</v>
      </c>
      <c r="DG41" s="566">
        <v>0.34561029255905701</v>
      </c>
      <c r="DH41" s="566">
        <v>1</v>
      </c>
      <c r="DI41" s="566">
        <v>1</v>
      </c>
      <c r="DJ41" s="566">
        <v>0.99999999999997502</v>
      </c>
      <c r="DK41" s="566">
        <v>0.99999999999973099</v>
      </c>
      <c r="DL41" s="566">
        <v>1</v>
      </c>
      <c r="DM41" s="566">
        <v>1</v>
      </c>
      <c r="DN41" s="566">
        <v>1</v>
      </c>
      <c r="DO41" s="566">
        <v>0.34561097930752599</v>
      </c>
      <c r="DP41" s="566">
        <v>1</v>
      </c>
      <c r="DQ41" s="566">
        <v>0.999999999999998</v>
      </c>
      <c r="DR41" s="566">
        <v>1</v>
      </c>
      <c r="DS41" s="566">
        <v>1</v>
      </c>
      <c r="DT41" s="566">
        <v>0.999999999999997</v>
      </c>
      <c r="DU41" s="566">
        <v>1</v>
      </c>
      <c r="DV41" s="566">
        <v>0.34560938533685698</v>
      </c>
      <c r="DW41" s="566">
        <v>1</v>
      </c>
      <c r="DX41" s="566">
        <v>0.999999999999998</v>
      </c>
      <c r="DY41" s="566">
        <v>0.99999999999998102</v>
      </c>
      <c r="DZ41" s="566">
        <v>0.34560893470499499</v>
      </c>
      <c r="EA41" s="566">
        <v>1</v>
      </c>
      <c r="EB41" s="566">
        <v>0.999999999999997</v>
      </c>
      <c r="EC41" s="566">
        <v>0.99999999999998201</v>
      </c>
      <c r="ED41" s="566">
        <v>0.34560882403516702</v>
      </c>
      <c r="EE41" s="566">
        <v>1</v>
      </c>
      <c r="EF41" s="566">
        <v>0.999999999999999</v>
      </c>
      <c r="EG41" s="566">
        <v>0.99999999999998002</v>
      </c>
      <c r="EH41" s="566">
        <v>0.99999999999991596</v>
      </c>
      <c r="EI41" s="566">
        <v>1</v>
      </c>
      <c r="EJ41" s="566">
        <v>0.999999999999997</v>
      </c>
      <c r="EK41" s="566">
        <v>1</v>
      </c>
      <c r="EL41" s="566">
        <v>0.34560835907471499</v>
      </c>
      <c r="EM41" s="566">
        <v>1</v>
      </c>
      <c r="EN41" s="566">
        <v>1</v>
      </c>
      <c r="EO41" s="566">
        <v>1</v>
      </c>
      <c r="EP41" s="566">
        <v>1</v>
      </c>
      <c r="EQ41" s="566">
        <v>1</v>
      </c>
      <c r="ER41" s="566">
        <v>1</v>
      </c>
      <c r="ES41" s="566">
        <v>0.345601339449711</v>
      </c>
      <c r="ET41" s="566">
        <v>1</v>
      </c>
      <c r="EU41" s="566">
        <v>1</v>
      </c>
      <c r="EV41" s="566">
        <v>1</v>
      </c>
      <c r="EW41" s="566">
        <v>0.34560130833059699</v>
      </c>
      <c r="EX41" s="566">
        <v>1</v>
      </c>
      <c r="EY41" s="566">
        <v>0.999999999999998</v>
      </c>
      <c r="EZ41" s="566">
        <v>1</v>
      </c>
      <c r="FA41" s="566">
        <v>0.34560119763499098</v>
      </c>
      <c r="FB41" s="566">
        <v>1</v>
      </c>
      <c r="FC41" s="566">
        <v>0.999999999999999</v>
      </c>
      <c r="FD41" s="566">
        <v>1</v>
      </c>
      <c r="FE41" s="566">
        <v>0.999999999982362</v>
      </c>
      <c r="FF41" s="566">
        <v>1</v>
      </c>
      <c r="FG41" s="566">
        <v>0.999999999999999</v>
      </c>
      <c r="FH41" s="566">
        <v>1</v>
      </c>
    </row>
    <row r="42" spans="1:164" ht="12.75" customHeight="1" x14ac:dyDescent="0.3">
      <c r="A42" s="422"/>
      <c r="B42" s="422"/>
      <c r="C42" s="422"/>
      <c r="D42" s="422"/>
      <c r="E42" s="422"/>
      <c r="F42" s="568"/>
      <c r="G42" s="569"/>
      <c r="H42" s="439"/>
      <c r="I42" s="574">
        <v>1842695.9457339901</v>
      </c>
      <c r="J42" s="566">
        <v>0.38099302870412599</v>
      </c>
      <c r="K42" s="566">
        <v>1</v>
      </c>
      <c r="L42" s="566">
        <v>1</v>
      </c>
      <c r="M42" s="566">
        <v>1</v>
      </c>
      <c r="N42" s="566">
        <v>0.999999999999999</v>
      </c>
      <c r="O42" s="566">
        <v>1</v>
      </c>
      <c r="P42" s="566">
        <v>1</v>
      </c>
      <c r="Q42" s="566">
        <v>1</v>
      </c>
      <c r="R42" s="566">
        <v>1</v>
      </c>
      <c r="S42" s="566">
        <v>1</v>
      </c>
      <c r="T42" s="566">
        <v>1</v>
      </c>
      <c r="U42" s="566">
        <v>0.99999999999999301</v>
      </c>
      <c r="V42" s="566">
        <v>1</v>
      </c>
      <c r="W42" s="566">
        <v>0.999999999999998</v>
      </c>
      <c r="X42" s="566">
        <v>1</v>
      </c>
      <c r="Y42" s="566">
        <v>0.46941457683311399</v>
      </c>
      <c r="Z42" s="566">
        <v>0.999999999999999</v>
      </c>
      <c r="AA42" s="566">
        <v>1</v>
      </c>
      <c r="AB42" s="566">
        <v>0.999999999999999</v>
      </c>
      <c r="AC42" s="566">
        <v>1</v>
      </c>
      <c r="AD42" s="566">
        <v>1</v>
      </c>
      <c r="AE42" s="566">
        <v>1</v>
      </c>
      <c r="AF42" s="566">
        <v>1.00000000000001</v>
      </c>
      <c r="AG42" s="566">
        <v>0.99999999999999201</v>
      </c>
      <c r="AH42" s="566">
        <v>1</v>
      </c>
      <c r="AI42" s="566">
        <v>0.999999999999999</v>
      </c>
      <c r="AJ42" s="566">
        <v>0.999999999999999</v>
      </c>
      <c r="AK42" s="566">
        <v>0.47128130794851603</v>
      </c>
      <c r="AL42" s="566">
        <v>0.999999999999999</v>
      </c>
      <c r="AM42" s="566">
        <v>0.999999999999999</v>
      </c>
      <c r="AN42" s="566">
        <v>1</v>
      </c>
      <c r="AO42" s="566">
        <v>1</v>
      </c>
      <c r="AP42" s="566">
        <v>1</v>
      </c>
      <c r="AQ42" s="566">
        <v>1</v>
      </c>
      <c r="AR42" s="566">
        <v>1</v>
      </c>
      <c r="AS42" s="566">
        <v>0.999999999999998</v>
      </c>
      <c r="AT42" s="566">
        <v>1</v>
      </c>
      <c r="AU42" s="566">
        <v>0.999999999999999</v>
      </c>
      <c r="AV42" s="566">
        <v>1</v>
      </c>
      <c r="AW42" s="566">
        <v>1</v>
      </c>
      <c r="AX42" s="566">
        <v>1</v>
      </c>
      <c r="AY42" s="566">
        <v>1</v>
      </c>
      <c r="AZ42" s="566">
        <v>1</v>
      </c>
      <c r="BA42" s="566">
        <v>0.35918583839426199</v>
      </c>
      <c r="BB42" s="566">
        <v>0.999999999999999</v>
      </c>
      <c r="BC42" s="566">
        <v>1</v>
      </c>
      <c r="BD42" s="566">
        <v>1</v>
      </c>
      <c r="BE42" s="566">
        <v>0.999999999999999</v>
      </c>
      <c r="BF42" s="566">
        <v>1</v>
      </c>
      <c r="BG42" s="566">
        <v>1</v>
      </c>
      <c r="BH42" s="566">
        <v>0.999999999999999</v>
      </c>
      <c r="BI42" s="566">
        <v>1</v>
      </c>
      <c r="BJ42" s="566">
        <v>1</v>
      </c>
      <c r="BK42" s="566">
        <v>1</v>
      </c>
      <c r="BL42" s="566">
        <v>0.999999999999998</v>
      </c>
      <c r="BM42" s="566">
        <v>0.999999999999999</v>
      </c>
      <c r="BN42" s="566">
        <v>1</v>
      </c>
      <c r="BO42" s="566">
        <v>0.999999999999999</v>
      </c>
      <c r="BP42" s="566">
        <v>0.35877998686020701</v>
      </c>
      <c r="BQ42" s="566">
        <v>1</v>
      </c>
      <c r="BR42" s="566">
        <v>1</v>
      </c>
      <c r="BS42" s="566">
        <v>1.0000000000001401</v>
      </c>
      <c r="BT42" s="566">
        <v>1</v>
      </c>
      <c r="BU42" s="566">
        <v>1</v>
      </c>
      <c r="BV42" s="566">
        <v>1</v>
      </c>
      <c r="BW42" s="566">
        <v>1</v>
      </c>
      <c r="BX42" s="566">
        <v>0.999999999999996</v>
      </c>
      <c r="BY42" s="566">
        <v>0.999999999999998</v>
      </c>
      <c r="BZ42" s="566">
        <v>1</v>
      </c>
      <c r="CA42" s="566">
        <v>1</v>
      </c>
      <c r="CB42" s="566">
        <v>0.35878007252130101</v>
      </c>
      <c r="CC42" s="566">
        <v>1</v>
      </c>
      <c r="CD42" s="566">
        <v>1</v>
      </c>
      <c r="CE42" s="566">
        <v>1.0000000000000699</v>
      </c>
      <c r="CF42" s="566">
        <v>0.99999999999999301</v>
      </c>
      <c r="CG42" s="566">
        <v>0.999999999999998</v>
      </c>
      <c r="CH42" s="566">
        <v>1</v>
      </c>
      <c r="CI42" s="566">
        <v>1</v>
      </c>
      <c r="CJ42" s="566">
        <v>0.999999999999998</v>
      </c>
      <c r="CK42" s="566">
        <v>1</v>
      </c>
      <c r="CL42" s="566">
        <v>1</v>
      </c>
      <c r="CM42" s="566">
        <v>1</v>
      </c>
      <c r="CN42" s="566">
        <v>0.999999999999995</v>
      </c>
      <c r="CO42" s="566">
        <v>0.999999999999998</v>
      </c>
      <c r="CP42" s="566">
        <v>1</v>
      </c>
      <c r="CQ42" s="566">
        <v>0.999999999999999</v>
      </c>
      <c r="CR42" s="566">
        <v>0.35869230336506203</v>
      </c>
      <c r="CS42" s="566">
        <v>1</v>
      </c>
      <c r="CT42" s="566">
        <v>1</v>
      </c>
      <c r="CU42" s="566">
        <v>1</v>
      </c>
      <c r="CV42" s="566">
        <v>1</v>
      </c>
      <c r="CW42" s="566">
        <v>1</v>
      </c>
      <c r="CX42" s="566">
        <v>0.999999999999999</v>
      </c>
      <c r="CY42" s="566">
        <v>0.358692525574767</v>
      </c>
      <c r="CZ42" s="566">
        <v>1</v>
      </c>
      <c r="DA42" s="566">
        <v>1</v>
      </c>
      <c r="DB42" s="566">
        <v>0.999999999999998</v>
      </c>
      <c r="DC42" s="566">
        <v>0.35869173816315503</v>
      </c>
      <c r="DD42" s="566">
        <v>0.999999999999999</v>
      </c>
      <c r="DE42" s="566">
        <v>1</v>
      </c>
      <c r="DF42" s="566">
        <v>0.999999999999996</v>
      </c>
      <c r="DG42" s="566">
        <v>0.35869162980685898</v>
      </c>
      <c r="DH42" s="566">
        <v>1</v>
      </c>
      <c r="DI42" s="566">
        <v>1</v>
      </c>
      <c r="DJ42" s="566">
        <v>0.999999999999995</v>
      </c>
      <c r="DK42" s="566">
        <v>0.99999999999973399</v>
      </c>
      <c r="DL42" s="566">
        <v>1</v>
      </c>
      <c r="DM42" s="566">
        <v>1</v>
      </c>
      <c r="DN42" s="566">
        <v>1</v>
      </c>
      <c r="DO42" s="566">
        <v>0.35869230282713299</v>
      </c>
      <c r="DP42" s="566">
        <v>1</v>
      </c>
      <c r="DQ42" s="566">
        <v>1.00000000000001</v>
      </c>
      <c r="DR42" s="566">
        <v>1</v>
      </c>
      <c r="DS42" s="566">
        <v>1</v>
      </c>
      <c r="DT42" s="566">
        <v>1.00000000000001</v>
      </c>
      <c r="DU42" s="566">
        <v>1</v>
      </c>
      <c r="DV42" s="566">
        <v>0.35869074072015</v>
      </c>
      <c r="DW42" s="566">
        <v>1</v>
      </c>
      <c r="DX42" s="566">
        <v>1.00000000000001</v>
      </c>
      <c r="DY42" s="566">
        <v>0.999999999999995</v>
      </c>
      <c r="DZ42" s="566">
        <v>0.35869029909647898</v>
      </c>
      <c r="EA42" s="566">
        <v>1</v>
      </c>
      <c r="EB42" s="566">
        <v>1.00000000000001</v>
      </c>
      <c r="EC42" s="566">
        <v>0.999999999999995</v>
      </c>
      <c r="ED42" s="566">
        <v>0.35869019063895602</v>
      </c>
      <c r="EE42" s="566">
        <v>0.999999999999998</v>
      </c>
      <c r="EF42" s="566">
        <v>1.00000000000001</v>
      </c>
      <c r="EG42" s="566">
        <v>1</v>
      </c>
      <c r="EH42" s="566">
        <v>0.99999999999993505</v>
      </c>
      <c r="EI42" s="566">
        <v>1</v>
      </c>
      <c r="EJ42" s="566">
        <v>1.00000000000001</v>
      </c>
      <c r="EK42" s="566">
        <v>0.999999999999997</v>
      </c>
      <c r="EL42" s="566">
        <v>0.35868973497312601</v>
      </c>
      <c r="EM42" s="566">
        <v>1</v>
      </c>
      <c r="EN42" s="566">
        <v>1</v>
      </c>
      <c r="EO42" s="566">
        <v>1</v>
      </c>
      <c r="EP42" s="566">
        <v>0.999999999999999</v>
      </c>
      <c r="EQ42" s="566">
        <v>1</v>
      </c>
      <c r="ER42" s="566">
        <v>1</v>
      </c>
      <c r="ES42" s="566">
        <v>0.35868285567135799</v>
      </c>
      <c r="ET42" s="566">
        <v>1</v>
      </c>
      <c r="EU42" s="566">
        <v>1</v>
      </c>
      <c r="EV42" s="566">
        <v>0.999999999999998</v>
      </c>
      <c r="EW42" s="566">
        <v>0.35868282517431999</v>
      </c>
      <c r="EX42" s="566">
        <v>1</v>
      </c>
      <c r="EY42" s="566">
        <v>1.00000000000001</v>
      </c>
      <c r="EZ42" s="566">
        <v>1</v>
      </c>
      <c r="FA42" s="566">
        <v>0.35868271669153401</v>
      </c>
      <c r="FB42" s="566">
        <v>0.999999999999998</v>
      </c>
      <c r="FC42" s="566">
        <v>1.00000000000001</v>
      </c>
      <c r="FD42" s="566">
        <v>1</v>
      </c>
      <c r="FE42" s="566">
        <v>0.99999999998271805</v>
      </c>
      <c r="FF42" s="566">
        <v>1</v>
      </c>
      <c r="FG42" s="566">
        <v>1</v>
      </c>
      <c r="FH42" s="566">
        <v>1</v>
      </c>
    </row>
    <row r="43" spans="1:164" ht="12.75" customHeight="1" x14ac:dyDescent="0.3">
      <c r="A43" s="422"/>
      <c r="B43" s="422"/>
      <c r="C43" s="422"/>
      <c r="D43" s="422"/>
      <c r="E43" s="422"/>
      <c r="F43" s="568"/>
      <c r="G43" s="569"/>
      <c r="H43" s="439"/>
      <c r="I43" s="574">
        <v>1926454.85235826</v>
      </c>
      <c r="J43" s="566">
        <v>0.39336706034283397</v>
      </c>
      <c r="K43" s="566">
        <v>1</v>
      </c>
      <c r="L43" s="566">
        <v>0.999999999999999</v>
      </c>
      <c r="M43" s="566">
        <v>1</v>
      </c>
      <c r="N43" s="566">
        <v>1</v>
      </c>
      <c r="O43" s="566">
        <v>0.999999999999998</v>
      </c>
      <c r="P43" s="566">
        <v>0.999999999999999</v>
      </c>
      <c r="Q43" s="566">
        <v>0.999999999999999</v>
      </c>
      <c r="R43" s="566">
        <v>0.999999999999999</v>
      </c>
      <c r="S43" s="566">
        <v>0.999999999999999</v>
      </c>
      <c r="T43" s="566">
        <v>0.999999999999999</v>
      </c>
      <c r="U43" s="566">
        <v>1</v>
      </c>
      <c r="V43" s="566">
        <v>0.999999999999999</v>
      </c>
      <c r="W43" s="566">
        <v>1</v>
      </c>
      <c r="X43" s="566">
        <v>1</v>
      </c>
      <c r="Y43" s="566">
        <v>0.48002104997114498</v>
      </c>
      <c r="Z43" s="566">
        <v>1</v>
      </c>
      <c r="AA43" s="566">
        <v>0.999999999999999</v>
      </c>
      <c r="AB43" s="566">
        <v>1</v>
      </c>
      <c r="AC43" s="566">
        <v>1</v>
      </c>
      <c r="AD43" s="566">
        <v>1</v>
      </c>
      <c r="AE43" s="566">
        <v>1</v>
      </c>
      <c r="AF43" s="566">
        <v>0.999999999999997</v>
      </c>
      <c r="AG43" s="566">
        <v>1</v>
      </c>
      <c r="AH43" s="566">
        <v>1</v>
      </c>
      <c r="AI43" s="566">
        <v>1</v>
      </c>
      <c r="AJ43" s="566">
        <v>1</v>
      </c>
      <c r="AK43" s="566">
        <v>0.48185046488341399</v>
      </c>
      <c r="AL43" s="566">
        <v>1</v>
      </c>
      <c r="AM43" s="566">
        <v>1</v>
      </c>
      <c r="AN43" s="566">
        <v>0.999999999999999</v>
      </c>
      <c r="AO43" s="566">
        <v>0.999999999999998</v>
      </c>
      <c r="AP43" s="566">
        <v>0.999999999999999</v>
      </c>
      <c r="AQ43" s="566">
        <v>0.999999999999998</v>
      </c>
      <c r="AR43" s="566">
        <v>0.999999999999999</v>
      </c>
      <c r="AS43" s="566">
        <v>1</v>
      </c>
      <c r="AT43" s="566">
        <v>1</v>
      </c>
      <c r="AU43" s="566">
        <v>1</v>
      </c>
      <c r="AV43" s="566">
        <v>1</v>
      </c>
      <c r="AW43" s="566">
        <v>0.999999999999999</v>
      </c>
      <c r="AX43" s="566">
        <v>1</v>
      </c>
      <c r="AY43" s="566">
        <v>1</v>
      </c>
      <c r="AZ43" s="566">
        <v>0.999999999999999</v>
      </c>
      <c r="BA43" s="566">
        <v>0.371995798666021</v>
      </c>
      <c r="BB43" s="566">
        <v>1</v>
      </c>
      <c r="BC43" s="566">
        <v>0.999999999999998</v>
      </c>
      <c r="BD43" s="566">
        <v>1</v>
      </c>
      <c r="BE43" s="566">
        <v>1</v>
      </c>
      <c r="BF43" s="566">
        <v>0.999999999999998</v>
      </c>
      <c r="BG43" s="566">
        <v>0.999999999999999</v>
      </c>
      <c r="BH43" s="566">
        <v>0.999999999999997</v>
      </c>
      <c r="BI43" s="566">
        <v>0.999999999999998</v>
      </c>
      <c r="BJ43" s="566">
        <v>0.999999999999999</v>
      </c>
      <c r="BK43" s="566">
        <v>0.999999999999999</v>
      </c>
      <c r="BL43" s="566">
        <v>0.99999999999999301</v>
      </c>
      <c r="BM43" s="566">
        <v>1</v>
      </c>
      <c r="BN43" s="566">
        <v>1</v>
      </c>
      <c r="BO43" s="566">
        <v>1</v>
      </c>
      <c r="BP43" s="566">
        <v>0.371598060158078</v>
      </c>
      <c r="BQ43" s="566">
        <v>0.999999999999999</v>
      </c>
      <c r="BR43" s="566">
        <v>0.999999999999999</v>
      </c>
      <c r="BS43" s="566">
        <v>0.99999999999992695</v>
      </c>
      <c r="BT43" s="566">
        <v>0.999999999999997</v>
      </c>
      <c r="BU43" s="566">
        <v>0.999999999999997</v>
      </c>
      <c r="BV43" s="566">
        <v>0.999999999999998</v>
      </c>
      <c r="BW43" s="566">
        <v>0.999999999999998</v>
      </c>
      <c r="BX43" s="566">
        <v>0.999999999999995</v>
      </c>
      <c r="BY43" s="566">
        <v>1</v>
      </c>
      <c r="BZ43" s="566">
        <v>0.999999999999999</v>
      </c>
      <c r="CA43" s="566">
        <v>0.999999999999998</v>
      </c>
      <c r="CB43" s="566">
        <v>0.37159814410679398</v>
      </c>
      <c r="CC43" s="566">
        <v>1</v>
      </c>
      <c r="CD43" s="566">
        <v>0.999999999999999</v>
      </c>
      <c r="CE43" s="566">
        <v>0.99999999999996103</v>
      </c>
      <c r="CF43" s="566">
        <v>0.999999999999994</v>
      </c>
      <c r="CG43" s="566">
        <v>1</v>
      </c>
      <c r="CH43" s="566">
        <v>1</v>
      </c>
      <c r="CI43" s="566">
        <v>0.999999999999999</v>
      </c>
      <c r="CJ43" s="566">
        <v>0.99999999999999201</v>
      </c>
      <c r="CK43" s="566">
        <v>1</v>
      </c>
      <c r="CL43" s="566">
        <v>0.999999999999999</v>
      </c>
      <c r="CM43" s="566">
        <v>1</v>
      </c>
      <c r="CN43" s="566">
        <v>0.99999999999999301</v>
      </c>
      <c r="CO43" s="566">
        <v>1</v>
      </c>
      <c r="CP43" s="566">
        <v>0.999999999999998</v>
      </c>
      <c r="CQ43" s="566">
        <v>1</v>
      </c>
      <c r="CR43" s="566">
        <v>0.37151212946765799</v>
      </c>
      <c r="CS43" s="566">
        <v>0.999999999999998</v>
      </c>
      <c r="CT43" s="566">
        <v>0.999999999999997</v>
      </c>
      <c r="CU43" s="566">
        <v>0.999999999999999</v>
      </c>
      <c r="CV43" s="566">
        <v>1</v>
      </c>
      <c r="CW43" s="566">
        <v>0.999999999999998</v>
      </c>
      <c r="CX43" s="566">
        <v>1</v>
      </c>
      <c r="CY43" s="566">
        <v>0.37151234723535997</v>
      </c>
      <c r="CZ43" s="566">
        <v>1</v>
      </c>
      <c r="DA43" s="566">
        <v>0.999999999999999</v>
      </c>
      <c r="DB43" s="566">
        <v>1</v>
      </c>
      <c r="DC43" s="566">
        <v>0.37151157556420999</v>
      </c>
      <c r="DD43" s="566">
        <v>1</v>
      </c>
      <c r="DE43" s="566">
        <v>0.999999999999998</v>
      </c>
      <c r="DF43" s="566">
        <v>1</v>
      </c>
      <c r="DG43" s="566">
        <v>0.37151146937397</v>
      </c>
      <c r="DH43" s="566">
        <v>0.999999999999999</v>
      </c>
      <c r="DI43" s="566">
        <v>0.999999999999998</v>
      </c>
      <c r="DJ43" s="566">
        <v>1</v>
      </c>
      <c r="DK43" s="566">
        <v>0.99999999999973899</v>
      </c>
      <c r="DL43" s="566">
        <v>0.999999999999999</v>
      </c>
      <c r="DM43" s="566">
        <v>0.999999999999999</v>
      </c>
      <c r="DN43" s="566">
        <v>1</v>
      </c>
      <c r="DO43" s="566">
        <v>0.37151212894048302</v>
      </c>
      <c r="DP43" s="566">
        <v>1</v>
      </c>
      <c r="DQ43" s="566">
        <v>0.999999999999996</v>
      </c>
      <c r="DR43" s="566">
        <v>1</v>
      </c>
      <c r="DS43" s="566">
        <v>1</v>
      </c>
      <c r="DT43" s="566">
        <v>0.999999999999996</v>
      </c>
      <c r="DU43" s="566">
        <v>0.999999999999999</v>
      </c>
      <c r="DV43" s="566">
        <v>0.37151059806022402</v>
      </c>
      <c r="DW43" s="566">
        <v>1</v>
      </c>
      <c r="DX43" s="566">
        <v>0.999999999999996</v>
      </c>
      <c r="DY43" s="566">
        <v>1</v>
      </c>
      <c r="DZ43" s="566">
        <v>0.37151016526466901</v>
      </c>
      <c r="EA43" s="566">
        <v>1</v>
      </c>
      <c r="EB43" s="566">
        <v>0.999999999999996</v>
      </c>
      <c r="EC43" s="566">
        <v>1</v>
      </c>
      <c r="ED43" s="566">
        <v>0.37151005897522599</v>
      </c>
      <c r="EE43" s="566">
        <v>1</v>
      </c>
      <c r="EF43" s="566">
        <v>0.999999999999997</v>
      </c>
      <c r="EG43" s="566">
        <v>1</v>
      </c>
      <c r="EH43" s="566">
        <v>0.99999999999991795</v>
      </c>
      <c r="EI43" s="566">
        <v>1</v>
      </c>
      <c r="EJ43" s="566">
        <v>0.999999999999995</v>
      </c>
      <c r="EK43" s="566">
        <v>1</v>
      </c>
      <c r="EL43" s="566">
        <v>0.371509612418218</v>
      </c>
      <c r="EM43" s="566">
        <v>0.999999999999999</v>
      </c>
      <c r="EN43" s="566">
        <v>0.999999999999998</v>
      </c>
      <c r="EO43" s="566">
        <v>0.999999999999999</v>
      </c>
      <c r="EP43" s="566">
        <v>1</v>
      </c>
      <c r="EQ43" s="566">
        <v>0.999999999999997</v>
      </c>
      <c r="ER43" s="566">
        <v>1</v>
      </c>
      <c r="ES43" s="566">
        <v>0.37150287063460702</v>
      </c>
      <c r="ET43" s="566">
        <v>0.999999999999999</v>
      </c>
      <c r="EU43" s="566">
        <v>0.999999999999997</v>
      </c>
      <c r="EV43" s="566">
        <v>1</v>
      </c>
      <c r="EW43" s="566">
        <v>0.37150284074720902</v>
      </c>
      <c r="EX43" s="566">
        <v>0.999999999999999</v>
      </c>
      <c r="EY43" s="566">
        <v>0.999999999999996</v>
      </c>
      <c r="EZ43" s="566">
        <v>0.999999999999999</v>
      </c>
      <c r="FA43" s="566">
        <v>0.37150273443300802</v>
      </c>
      <c r="FB43" s="566">
        <v>1</v>
      </c>
      <c r="FC43" s="566">
        <v>0.999999999999997</v>
      </c>
      <c r="FD43" s="566">
        <v>0.999999999999999</v>
      </c>
      <c r="FE43" s="566">
        <v>0.999999999983057</v>
      </c>
      <c r="FF43" s="566">
        <v>0.999999999999999</v>
      </c>
      <c r="FG43" s="566">
        <v>0.999999999999997</v>
      </c>
      <c r="FH43" s="566">
        <v>0.999999999999998</v>
      </c>
    </row>
    <row r="44" spans="1:164" ht="12.75" customHeight="1" x14ac:dyDescent="0.3">
      <c r="A44" s="422"/>
      <c r="B44" s="422"/>
      <c r="C44" s="422"/>
      <c r="D44" s="422"/>
      <c r="E44" s="422"/>
      <c r="F44" s="568"/>
      <c r="G44" s="569"/>
      <c r="H44" s="439"/>
      <c r="I44" s="574">
        <v>2010213.7589825301</v>
      </c>
      <c r="J44" s="566">
        <v>0.40549373343251699</v>
      </c>
      <c r="K44" s="566">
        <v>1</v>
      </c>
      <c r="L44" s="566">
        <v>1</v>
      </c>
      <c r="M44" s="566">
        <v>1</v>
      </c>
      <c r="N44" s="566">
        <v>0.999999999999999</v>
      </c>
      <c r="O44" s="566">
        <v>1</v>
      </c>
      <c r="P44" s="566">
        <v>1</v>
      </c>
      <c r="Q44" s="566">
        <v>1</v>
      </c>
      <c r="R44" s="566">
        <v>1</v>
      </c>
      <c r="S44" s="566">
        <v>1</v>
      </c>
      <c r="T44" s="566">
        <v>1</v>
      </c>
      <c r="U44" s="566">
        <v>0.999999999999998</v>
      </c>
      <c r="V44" s="566">
        <v>1</v>
      </c>
      <c r="W44" s="566">
        <v>1</v>
      </c>
      <c r="X44" s="566">
        <v>1</v>
      </c>
      <c r="Y44" s="566">
        <v>0.490415498291213</v>
      </c>
      <c r="Z44" s="566">
        <v>1</v>
      </c>
      <c r="AA44" s="566">
        <v>1</v>
      </c>
      <c r="AB44" s="566">
        <v>1</v>
      </c>
      <c r="AC44" s="566">
        <v>1</v>
      </c>
      <c r="AD44" s="566">
        <v>1</v>
      </c>
      <c r="AE44" s="566">
        <v>1</v>
      </c>
      <c r="AF44" s="566">
        <v>1</v>
      </c>
      <c r="AG44" s="566">
        <v>0.999999999999998</v>
      </c>
      <c r="AH44" s="566">
        <v>1</v>
      </c>
      <c r="AI44" s="566">
        <v>1</v>
      </c>
      <c r="AJ44" s="566">
        <v>1</v>
      </c>
      <c r="AK44" s="566">
        <v>0.492208342956242</v>
      </c>
      <c r="AL44" s="566">
        <v>1</v>
      </c>
      <c r="AM44" s="566">
        <v>1</v>
      </c>
      <c r="AN44" s="566">
        <v>1</v>
      </c>
      <c r="AO44" s="566">
        <v>1</v>
      </c>
      <c r="AP44" s="566">
        <v>1</v>
      </c>
      <c r="AQ44" s="566">
        <v>1</v>
      </c>
      <c r="AR44" s="566">
        <v>1</v>
      </c>
      <c r="AS44" s="566">
        <v>0.999999999999999</v>
      </c>
      <c r="AT44" s="566">
        <v>1</v>
      </c>
      <c r="AU44" s="566">
        <v>0.999999999999999</v>
      </c>
      <c r="AV44" s="566">
        <v>1</v>
      </c>
      <c r="AW44" s="566">
        <v>1</v>
      </c>
      <c r="AX44" s="566">
        <v>1</v>
      </c>
      <c r="AY44" s="566">
        <v>1</v>
      </c>
      <c r="AZ44" s="566">
        <v>1</v>
      </c>
      <c r="BA44" s="566">
        <v>0.38454968611702001</v>
      </c>
      <c r="BB44" s="566">
        <v>1</v>
      </c>
      <c r="BC44" s="566">
        <v>1</v>
      </c>
      <c r="BD44" s="566">
        <v>1</v>
      </c>
      <c r="BE44" s="566">
        <v>0.999999999999999</v>
      </c>
      <c r="BF44" s="566">
        <v>1</v>
      </c>
      <c r="BG44" s="566">
        <v>1</v>
      </c>
      <c r="BH44" s="566">
        <v>0.999999999999998</v>
      </c>
      <c r="BI44" s="566">
        <v>1</v>
      </c>
      <c r="BJ44" s="566">
        <v>1</v>
      </c>
      <c r="BK44" s="566">
        <v>1</v>
      </c>
      <c r="BL44" s="566">
        <v>0.999999999999996</v>
      </c>
      <c r="BM44" s="566">
        <v>1</v>
      </c>
      <c r="BN44" s="566">
        <v>1</v>
      </c>
      <c r="BO44" s="566">
        <v>0.999999999999999</v>
      </c>
      <c r="BP44" s="566">
        <v>0.38415989845471399</v>
      </c>
      <c r="BQ44" s="566">
        <v>1</v>
      </c>
      <c r="BR44" s="566">
        <v>1</v>
      </c>
      <c r="BS44" s="566">
        <v>1.00000000000004</v>
      </c>
      <c r="BT44" s="566">
        <v>0.999999999999999</v>
      </c>
      <c r="BU44" s="566">
        <v>1</v>
      </c>
      <c r="BV44" s="566">
        <v>1</v>
      </c>
      <c r="BW44" s="566">
        <v>1</v>
      </c>
      <c r="BX44" s="566">
        <v>0.999999999999996</v>
      </c>
      <c r="BY44" s="566">
        <v>0.999999999999999</v>
      </c>
      <c r="BZ44" s="566">
        <v>1</v>
      </c>
      <c r="CA44" s="566">
        <v>1</v>
      </c>
      <c r="CB44" s="566">
        <v>0.38415998072528501</v>
      </c>
      <c r="CC44" s="566">
        <v>1</v>
      </c>
      <c r="CD44" s="566">
        <v>1</v>
      </c>
      <c r="CE44" s="566">
        <v>1.00000000000001</v>
      </c>
      <c r="CF44" s="566">
        <v>0.999999999999994</v>
      </c>
      <c r="CG44" s="566">
        <v>0.999999999999999</v>
      </c>
      <c r="CH44" s="566">
        <v>1</v>
      </c>
      <c r="CI44" s="566">
        <v>1</v>
      </c>
      <c r="CJ44" s="566">
        <v>0.999999999999995</v>
      </c>
      <c r="CK44" s="566">
        <v>1</v>
      </c>
      <c r="CL44" s="566">
        <v>1</v>
      </c>
      <c r="CM44" s="566">
        <v>1</v>
      </c>
      <c r="CN44" s="566">
        <v>0.999999999999994</v>
      </c>
      <c r="CO44" s="566">
        <v>0.999999999999999</v>
      </c>
      <c r="CP44" s="566">
        <v>1</v>
      </c>
      <c r="CQ44" s="566">
        <v>0.999999999999999</v>
      </c>
      <c r="CR44" s="566">
        <v>0.38407568553021498</v>
      </c>
      <c r="CS44" s="566">
        <v>1</v>
      </c>
      <c r="CT44" s="566">
        <v>1</v>
      </c>
      <c r="CU44" s="566">
        <v>1</v>
      </c>
      <c r="CV44" s="566">
        <v>1</v>
      </c>
      <c r="CW44" s="566">
        <v>1</v>
      </c>
      <c r="CX44" s="566">
        <v>0.999999999999999</v>
      </c>
      <c r="CY44" s="566">
        <v>0.384075898944713</v>
      </c>
      <c r="CZ44" s="566">
        <v>1</v>
      </c>
      <c r="DA44" s="566">
        <v>1</v>
      </c>
      <c r="DB44" s="566">
        <v>0.999999999999998</v>
      </c>
      <c r="DC44" s="566">
        <v>0.38407514269937199</v>
      </c>
      <c r="DD44" s="566">
        <v>1</v>
      </c>
      <c r="DE44" s="566">
        <v>1</v>
      </c>
      <c r="DF44" s="566">
        <v>0.999999999999997</v>
      </c>
      <c r="DG44" s="566">
        <v>0.38407503863189002</v>
      </c>
      <c r="DH44" s="566">
        <v>1</v>
      </c>
      <c r="DI44" s="566">
        <v>1</v>
      </c>
      <c r="DJ44" s="566">
        <v>0.999999999999997</v>
      </c>
      <c r="DK44" s="566">
        <v>0.99999999999974498</v>
      </c>
      <c r="DL44" s="566">
        <v>1</v>
      </c>
      <c r="DM44" s="566">
        <v>1</v>
      </c>
      <c r="DN44" s="566">
        <v>1</v>
      </c>
      <c r="DO44" s="566">
        <v>0.38407568501357903</v>
      </c>
      <c r="DP44" s="566">
        <v>1</v>
      </c>
      <c r="DQ44" s="566">
        <v>1</v>
      </c>
      <c r="DR44" s="566">
        <v>1</v>
      </c>
      <c r="DS44" s="566">
        <v>1</v>
      </c>
      <c r="DT44" s="566">
        <v>1</v>
      </c>
      <c r="DU44" s="566">
        <v>1</v>
      </c>
      <c r="DV44" s="566">
        <v>0.38407418473582</v>
      </c>
      <c r="DW44" s="566">
        <v>1</v>
      </c>
      <c r="DX44" s="566">
        <v>1</v>
      </c>
      <c r="DY44" s="566">
        <v>0.999999999999998</v>
      </c>
      <c r="DZ44" s="566">
        <v>0.38407376059190601</v>
      </c>
      <c r="EA44" s="566">
        <v>1</v>
      </c>
      <c r="EB44" s="566">
        <v>1</v>
      </c>
      <c r="EC44" s="566">
        <v>0.999999999999998</v>
      </c>
      <c r="ED44" s="566">
        <v>0.38407365642720298</v>
      </c>
      <c r="EE44" s="566">
        <v>1</v>
      </c>
      <c r="EF44" s="566">
        <v>1</v>
      </c>
      <c r="EG44" s="566">
        <v>0.999999999999999</v>
      </c>
      <c r="EH44" s="566">
        <v>0.99999999999992994</v>
      </c>
      <c r="EI44" s="566">
        <v>1</v>
      </c>
      <c r="EJ44" s="566">
        <v>1</v>
      </c>
      <c r="EK44" s="566">
        <v>0.999999999999999</v>
      </c>
      <c r="EL44" s="566">
        <v>0.38407321879692902</v>
      </c>
      <c r="EM44" s="566">
        <v>1</v>
      </c>
      <c r="EN44" s="566">
        <v>1</v>
      </c>
      <c r="EO44" s="566">
        <v>1</v>
      </c>
      <c r="EP44" s="566">
        <v>1</v>
      </c>
      <c r="EQ44" s="566">
        <v>1</v>
      </c>
      <c r="ER44" s="566">
        <v>1</v>
      </c>
      <c r="ES44" s="566">
        <v>0.38406661178246798</v>
      </c>
      <c r="ET44" s="566">
        <v>1</v>
      </c>
      <c r="EU44" s="566">
        <v>1</v>
      </c>
      <c r="EV44" s="566">
        <v>0.999999999999999</v>
      </c>
      <c r="EW44" s="566">
        <v>0.38406658249252301</v>
      </c>
      <c r="EX44" s="566">
        <v>1</v>
      </c>
      <c r="EY44" s="566">
        <v>1</v>
      </c>
      <c r="EZ44" s="566">
        <v>1</v>
      </c>
      <c r="FA44" s="566">
        <v>0.384066478303557</v>
      </c>
      <c r="FB44" s="566">
        <v>1</v>
      </c>
      <c r="FC44" s="566">
        <v>1</v>
      </c>
      <c r="FD44" s="566">
        <v>1</v>
      </c>
      <c r="FE44" s="566">
        <v>0.99999999998339895</v>
      </c>
      <c r="FF44" s="566">
        <v>1</v>
      </c>
      <c r="FG44" s="566">
        <v>1</v>
      </c>
      <c r="FH44" s="566">
        <v>1</v>
      </c>
    </row>
    <row r="45" spans="1:164" ht="12.75" customHeight="1" x14ac:dyDescent="0.3">
      <c r="A45" s="422"/>
      <c r="B45" s="422"/>
      <c r="C45" s="422"/>
      <c r="D45" s="422"/>
      <c r="E45" s="422"/>
      <c r="F45" s="568"/>
      <c r="G45" s="569"/>
      <c r="H45" s="439"/>
      <c r="I45" s="574">
        <v>2093972.66560681</v>
      </c>
      <c r="J45" s="566">
        <v>0.41737799271550702</v>
      </c>
      <c r="K45" s="566">
        <v>1</v>
      </c>
      <c r="L45" s="566">
        <v>1</v>
      </c>
      <c r="M45" s="566">
        <v>1</v>
      </c>
      <c r="N45" s="566">
        <v>1</v>
      </c>
      <c r="O45" s="566">
        <v>1</v>
      </c>
      <c r="P45" s="566">
        <v>1</v>
      </c>
      <c r="Q45" s="566">
        <v>1</v>
      </c>
      <c r="R45" s="566">
        <v>1</v>
      </c>
      <c r="S45" s="566">
        <v>1</v>
      </c>
      <c r="T45" s="566">
        <v>1</v>
      </c>
      <c r="U45" s="566">
        <v>1</v>
      </c>
      <c r="V45" s="566">
        <v>1</v>
      </c>
      <c r="W45" s="566">
        <v>1</v>
      </c>
      <c r="X45" s="566">
        <v>1</v>
      </c>
      <c r="Y45" s="566">
        <v>0.50060216020794301</v>
      </c>
      <c r="Z45" s="566">
        <v>1</v>
      </c>
      <c r="AA45" s="566">
        <v>1</v>
      </c>
      <c r="AB45" s="566">
        <v>1</v>
      </c>
      <c r="AC45" s="566">
        <v>1</v>
      </c>
      <c r="AD45" s="566">
        <v>1</v>
      </c>
      <c r="AE45" s="566">
        <v>1</v>
      </c>
      <c r="AF45" s="566">
        <v>1</v>
      </c>
      <c r="AG45" s="566">
        <v>1</v>
      </c>
      <c r="AH45" s="566">
        <v>1</v>
      </c>
      <c r="AI45" s="566">
        <v>1</v>
      </c>
      <c r="AJ45" s="566">
        <v>1</v>
      </c>
      <c r="AK45" s="566">
        <v>0.50235916566983596</v>
      </c>
      <c r="AL45" s="566">
        <v>1</v>
      </c>
      <c r="AM45" s="566">
        <v>0.999999999999999</v>
      </c>
      <c r="AN45" s="566">
        <v>1</v>
      </c>
      <c r="AO45" s="566">
        <v>1</v>
      </c>
      <c r="AP45" s="566">
        <v>1</v>
      </c>
      <c r="AQ45" s="566">
        <v>1</v>
      </c>
      <c r="AR45" s="566">
        <v>1</v>
      </c>
      <c r="AS45" s="566">
        <v>1</v>
      </c>
      <c r="AT45" s="566">
        <v>1</v>
      </c>
      <c r="AU45" s="566">
        <v>1</v>
      </c>
      <c r="AV45" s="566">
        <v>1</v>
      </c>
      <c r="AW45" s="566">
        <v>0.999999999999999</v>
      </c>
      <c r="AX45" s="566">
        <v>1</v>
      </c>
      <c r="AY45" s="566">
        <v>1</v>
      </c>
      <c r="AZ45" s="566">
        <v>1</v>
      </c>
      <c r="BA45" s="566">
        <v>0.396852619689466</v>
      </c>
      <c r="BB45" s="566">
        <v>1</v>
      </c>
      <c r="BC45" s="566">
        <v>0.999999999999999</v>
      </c>
      <c r="BD45" s="566">
        <v>1</v>
      </c>
      <c r="BE45" s="566">
        <v>1</v>
      </c>
      <c r="BF45" s="566">
        <v>0.999999999999999</v>
      </c>
      <c r="BG45" s="566">
        <v>1</v>
      </c>
      <c r="BH45" s="566">
        <v>0.999999999999997</v>
      </c>
      <c r="BI45" s="566">
        <v>1</v>
      </c>
      <c r="BJ45" s="566">
        <v>0.999999999999999</v>
      </c>
      <c r="BK45" s="566">
        <v>1</v>
      </c>
      <c r="BL45" s="566">
        <v>0.999999999999995</v>
      </c>
      <c r="BM45" s="566">
        <v>1</v>
      </c>
      <c r="BN45" s="566">
        <v>1</v>
      </c>
      <c r="BO45" s="566">
        <v>1</v>
      </c>
      <c r="BP45" s="566">
        <v>0.39647062393433502</v>
      </c>
      <c r="BQ45" s="566">
        <v>1</v>
      </c>
      <c r="BR45" s="566">
        <v>1</v>
      </c>
      <c r="BS45" s="566">
        <v>0.99999999999998801</v>
      </c>
      <c r="BT45" s="566">
        <v>0.999999999999997</v>
      </c>
      <c r="BU45" s="566">
        <v>1</v>
      </c>
      <c r="BV45" s="566">
        <v>0.999999999999999</v>
      </c>
      <c r="BW45" s="566">
        <v>0.999999999999999</v>
      </c>
      <c r="BX45" s="566">
        <v>0.999999999999995</v>
      </c>
      <c r="BY45" s="566">
        <v>1</v>
      </c>
      <c r="BZ45" s="566">
        <v>1</v>
      </c>
      <c r="CA45" s="566">
        <v>1</v>
      </c>
      <c r="CB45" s="566">
        <v>0.39647070456030697</v>
      </c>
      <c r="CC45" s="566">
        <v>1</v>
      </c>
      <c r="CD45" s="566">
        <v>1</v>
      </c>
      <c r="CE45" s="566">
        <v>0.999999999999999</v>
      </c>
      <c r="CF45" s="566">
        <v>0.999999999999994</v>
      </c>
      <c r="CG45" s="566">
        <v>1</v>
      </c>
      <c r="CH45" s="566">
        <v>1</v>
      </c>
      <c r="CI45" s="566">
        <v>1</v>
      </c>
      <c r="CJ45" s="566">
        <v>0.999999999999994</v>
      </c>
      <c r="CK45" s="566">
        <v>1</v>
      </c>
      <c r="CL45" s="566">
        <v>1</v>
      </c>
      <c r="CM45" s="566">
        <v>1</v>
      </c>
      <c r="CN45" s="566">
        <v>0.99999999999999301</v>
      </c>
      <c r="CO45" s="566">
        <v>1</v>
      </c>
      <c r="CP45" s="566">
        <v>0.999999999999999</v>
      </c>
      <c r="CQ45" s="566">
        <v>1</v>
      </c>
      <c r="CR45" s="566">
        <v>0.39638809443738998</v>
      </c>
      <c r="CS45" s="566">
        <v>1</v>
      </c>
      <c r="CT45" s="566">
        <v>0.999999999999999</v>
      </c>
      <c r="CU45" s="566">
        <v>1</v>
      </c>
      <c r="CV45" s="566">
        <v>1</v>
      </c>
      <c r="CW45" s="566">
        <v>1</v>
      </c>
      <c r="CX45" s="566">
        <v>1</v>
      </c>
      <c r="CY45" s="566">
        <v>0.39638830358570298</v>
      </c>
      <c r="CZ45" s="566">
        <v>1</v>
      </c>
      <c r="DA45" s="566">
        <v>1</v>
      </c>
      <c r="DB45" s="566">
        <v>1</v>
      </c>
      <c r="DC45" s="566">
        <v>0.39638756245780798</v>
      </c>
      <c r="DD45" s="566">
        <v>1</v>
      </c>
      <c r="DE45" s="566">
        <v>0.999999999999999</v>
      </c>
      <c r="DF45" s="566">
        <v>1</v>
      </c>
      <c r="DG45" s="566">
        <v>0.39638746047064799</v>
      </c>
      <c r="DH45" s="566">
        <v>1</v>
      </c>
      <c r="DI45" s="566">
        <v>1</v>
      </c>
      <c r="DJ45" s="566">
        <v>1</v>
      </c>
      <c r="DK45" s="566">
        <v>0.99999999999974898</v>
      </c>
      <c r="DL45" s="566">
        <v>1</v>
      </c>
      <c r="DM45" s="566">
        <v>0.999999999999999</v>
      </c>
      <c r="DN45" s="566">
        <v>1</v>
      </c>
      <c r="DO45" s="566">
        <v>0.39638809393108099</v>
      </c>
      <c r="DP45" s="566">
        <v>1</v>
      </c>
      <c r="DQ45" s="566">
        <v>0.999999999999999</v>
      </c>
      <c r="DR45" s="566">
        <v>1</v>
      </c>
      <c r="DS45" s="566">
        <v>1</v>
      </c>
      <c r="DT45" s="566">
        <v>0.999999999999999</v>
      </c>
      <c r="DU45" s="566">
        <v>1</v>
      </c>
      <c r="DV45" s="566">
        <v>0.39638662364407501</v>
      </c>
      <c r="DW45" s="566">
        <v>1</v>
      </c>
      <c r="DX45" s="566">
        <v>0.999999999999999</v>
      </c>
      <c r="DY45" s="566">
        <v>1</v>
      </c>
      <c r="DZ45" s="566">
        <v>0.39638620797885299</v>
      </c>
      <c r="EA45" s="566">
        <v>1</v>
      </c>
      <c r="EB45" s="566">
        <v>0.999999999999999</v>
      </c>
      <c r="EC45" s="566">
        <v>1</v>
      </c>
      <c r="ED45" s="566">
        <v>0.39638610589641698</v>
      </c>
      <c r="EE45" s="566">
        <v>1</v>
      </c>
      <c r="EF45" s="566">
        <v>0.999999999999999</v>
      </c>
      <c r="EG45" s="566">
        <v>1</v>
      </c>
      <c r="EH45" s="566">
        <v>0.99999999999992595</v>
      </c>
      <c r="EI45" s="566">
        <v>1</v>
      </c>
      <c r="EJ45" s="566">
        <v>0.999999999999999</v>
      </c>
      <c r="EK45" s="566">
        <v>1</v>
      </c>
      <c r="EL45" s="566">
        <v>0.39638567701442901</v>
      </c>
      <c r="EM45" s="566">
        <v>1</v>
      </c>
      <c r="EN45" s="566">
        <v>0.999999999999999</v>
      </c>
      <c r="EO45" s="566">
        <v>1</v>
      </c>
      <c r="EP45" s="566">
        <v>1</v>
      </c>
      <c r="EQ45" s="566">
        <v>0.999999999999999</v>
      </c>
      <c r="ER45" s="566">
        <v>1</v>
      </c>
      <c r="ES45" s="566">
        <v>0.396379202075066</v>
      </c>
      <c r="ET45" s="566">
        <v>1</v>
      </c>
      <c r="EU45" s="566">
        <v>0.999999999999999</v>
      </c>
      <c r="EV45" s="566">
        <v>1</v>
      </c>
      <c r="EW45" s="566">
        <v>0.396379173370631</v>
      </c>
      <c r="EX45" s="566">
        <v>0.999999999999999</v>
      </c>
      <c r="EY45" s="566">
        <v>0.999999999999999</v>
      </c>
      <c r="EZ45" s="566">
        <v>1</v>
      </c>
      <c r="FA45" s="566">
        <v>0.39637907126441602</v>
      </c>
      <c r="FB45" s="566">
        <v>1</v>
      </c>
      <c r="FC45" s="566">
        <v>0.999999999999999</v>
      </c>
      <c r="FD45" s="566">
        <v>0.999999999999999</v>
      </c>
      <c r="FE45" s="566">
        <v>0.99999999998372902</v>
      </c>
      <c r="FF45" s="566">
        <v>0.999999999999999</v>
      </c>
      <c r="FG45" s="566">
        <v>0.999999999999999</v>
      </c>
      <c r="FH45" s="566">
        <v>0.999999999999999</v>
      </c>
    </row>
    <row r="46" spans="1:164" ht="12.75" customHeight="1" x14ac:dyDescent="0.3">
      <c r="A46" s="422"/>
      <c r="B46" s="422"/>
      <c r="C46" s="422"/>
      <c r="D46" s="422"/>
      <c r="E46" s="422"/>
      <c r="F46" s="568"/>
      <c r="G46" s="569"/>
      <c r="H46" s="439"/>
      <c r="I46" s="574">
        <v>2177731.5722310799</v>
      </c>
      <c r="J46" s="566">
        <v>0.42902468408153899</v>
      </c>
      <c r="K46" s="566">
        <v>1</v>
      </c>
      <c r="L46" s="566">
        <v>1</v>
      </c>
      <c r="M46" s="566">
        <v>1</v>
      </c>
      <c r="N46" s="566">
        <v>1</v>
      </c>
      <c r="O46" s="566">
        <v>1</v>
      </c>
      <c r="P46" s="566">
        <v>1</v>
      </c>
      <c r="Q46" s="566">
        <v>1</v>
      </c>
      <c r="R46" s="566">
        <v>1</v>
      </c>
      <c r="S46" s="566">
        <v>1</v>
      </c>
      <c r="T46" s="566">
        <v>1</v>
      </c>
      <c r="U46" s="566">
        <v>1</v>
      </c>
      <c r="V46" s="566">
        <v>1</v>
      </c>
      <c r="W46" s="566">
        <v>1</v>
      </c>
      <c r="X46" s="566">
        <v>1</v>
      </c>
      <c r="Y46" s="566">
        <v>0.51058518940388897</v>
      </c>
      <c r="Z46" s="566">
        <v>1</v>
      </c>
      <c r="AA46" s="566">
        <v>1</v>
      </c>
      <c r="AB46" s="566">
        <v>1</v>
      </c>
      <c r="AC46" s="566">
        <v>1</v>
      </c>
      <c r="AD46" s="566">
        <v>1</v>
      </c>
      <c r="AE46" s="566">
        <v>1</v>
      </c>
      <c r="AF46" s="566">
        <v>1</v>
      </c>
      <c r="AG46" s="566">
        <v>1</v>
      </c>
      <c r="AH46" s="566">
        <v>1</v>
      </c>
      <c r="AI46" s="566">
        <v>1</v>
      </c>
      <c r="AJ46" s="566">
        <v>1</v>
      </c>
      <c r="AK46" s="566">
        <v>0.51230707209306203</v>
      </c>
      <c r="AL46" s="566">
        <v>1</v>
      </c>
      <c r="AM46" s="566">
        <v>1</v>
      </c>
      <c r="AN46" s="566">
        <v>1</v>
      </c>
      <c r="AO46" s="566">
        <v>1</v>
      </c>
      <c r="AP46" s="566">
        <v>1</v>
      </c>
      <c r="AQ46" s="566">
        <v>1</v>
      </c>
      <c r="AR46" s="566">
        <v>1</v>
      </c>
      <c r="AS46" s="566">
        <v>1</v>
      </c>
      <c r="AT46" s="566">
        <v>1</v>
      </c>
      <c r="AU46" s="566">
        <v>1</v>
      </c>
      <c r="AV46" s="566">
        <v>1</v>
      </c>
      <c r="AW46" s="566">
        <v>1</v>
      </c>
      <c r="AX46" s="566">
        <v>1</v>
      </c>
      <c r="AY46" s="566">
        <v>1</v>
      </c>
      <c r="AZ46" s="566">
        <v>1</v>
      </c>
      <c r="BA46" s="566">
        <v>0.40890961599046199</v>
      </c>
      <c r="BB46" s="566">
        <v>1</v>
      </c>
      <c r="BC46" s="566">
        <v>1</v>
      </c>
      <c r="BD46" s="566">
        <v>1</v>
      </c>
      <c r="BE46" s="566">
        <v>1</v>
      </c>
      <c r="BF46" s="566">
        <v>1</v>
      </c>
      <c r="BG46" s="566">
        <v>1</v>
      </c>
      <c r="BH46" s="566">
        <v>0.999999999999998</v>
      </c>
      <c r="BI46" s="566">
        <v>1</v>
      </c>
      <c r="BJ46" s="566">
        <v>1</v>
      </c>
      <c r="BK46" s="566">
        <v>1</v>
      </c>
      <c r="BL46" s="566">
        <v>0.999999999999995</v>
      </c>
      <c r="BM46" s="566">
        <v>1</v>
      </c>
      <c r="BN46" s="566">
        <v>1</v>
      </c>
      <c r="BO46" s="566">
        <v>1</v>
      </c>
      <c r="BP46" s="566">
        <v>0.40853525638124999</v>
      </c>
      <c r="BQ46" s="566">
        <v>1</v>
      </c>
      <c r="BR46" s="566">
        <v>1</v>
      </c>
      <c r="BS46" s="566">
        <v>1</v>
      </c>
      <c r="BT46" s="566">
        <v>0.999999999999998</v>
      </c>
      <c r="BU46" s="566">
        <v>0.999999999999999</v>
      </c>
      <c r="BV46" s="566">
        <v>1</v>
      </c>
      <c r="BW46" s="566">
        <v>1</v>
      </c>
      <c r="BX46" s="566">
        <v>0.999999999999995</v>
      </c>
      <c r="BY46" s="566">
        <v>1</v>
      </c>
      <c r="BZ46" s="566">
        <v>1</v>
      </c>
      <c r="CA46" s="566">
        <v>1</v>
      </c>
      <c r="CB46" s="566">
        <v>0.40853533539549802</v>
      </c>
      <c r="CC46" s="566">
        <v>1</v>
      </c>
      <c r="CD46" s="566">
        <v>1</v>
      </c>
      <c r="CE46" s="566">
        <v>1</v>
      </c>
      <c r="CF46" s="566">
        <v>0.999999999999994</v>
      </c>
      <c r="CG46" s="566">
        <v>1</v>
      </c>
      <c r="CH46" s="566">
        <v>1</v>
      </c>
      <c r="CI46" s="566">
        <v>1</v>
      </c>
      <c r="CJ46" s="566">
        <v>0.999999999999995</v>
      </c>
      <c r="CK46" s="566">
        <v>1</v>
      </c>
      <c r="CL46" s="566">
        <v>1</v>
      </c>
      <c r="CM46" s="566">
        <v>1</v>
      </c>
      <c r="CN46" s="566">
        <v>0.999999999999994</v>
      </c>
      <c r="CO46" s="566">
        <v>1</v>
      </c>
      <c r="CP46" s="566">
        <v>1</v>
      </c>
      <c r="CQ46" s="566">
        <v>1</v>
      </c>
      <c r="CR46" s="566">
        <v>0.40845437665991802</v>
      </c>
      <c r="CS46" s="566">
        <v>1</v>
      </c>
      <c r="CT46" s="566">
        <v>1</v>
      </c>
      <c r="CU46" s="566">
        <v>1</v>
      </c>
      <c r="CV46" s="566">
        <v>1</v>
      </c>
      <c r="CW46" s="566">
        <v>1</v>
      </c>
      <c r="CX46" s="566">
        <v>1</v>
      </c>
      <c r="CY46" s="566">
        <v>0.40845458162732901</v>
      </c>
      <c r="CZ46" s="566">
        <v>1</v>
      </c>
      <c r="DA46" s="566">
        <v>1</v>
      </c>
      <c r="DB46" s="566">
        <v>1</v>
      </c>
      <c r="DC46" s="566">
        <v>0.40845385531467898</v>
      </c>
      <c r="DD46" s="566">
        <v>1</v>
      </c>
      <c r="DE46" s="566">
        <v>1</v>
      </c>
      <c r="DF46" s="566">
        <v>1</v>
      </c>
      <c r="DG46" s="566">
        <v>0.408453755366256</v>
      </c>
      <c r="DH46" s="566">
        <v>1</v>
      </c>
      <c r="DI46" s="566">
        <v>1</v>
      </c>
      <c r="DJ46" s="566">
        <v>1</v>
      </c>
      <c r="DK46" s="566">
        <v>0.99999999999975497</v>
      </c>
      <c r="DL46" s="566">
        <v>1</v>
      </c>
      <c r="DM46" s="566">
        <v>1</v>
      </c>
      <c r="DN46" s="566">
        <v>1</v>
      </c>
      <c r="DO46" s="566">
        <v>0.40845437616373098</v>
      </c>
      <c r="DP46" s="566">
        <v>1</v>
      </c>
      <c r="DQ46" s="566">
        <v>1</v>
      </c>
      <c r="DR46" s="566">
        <v>1</v>
      </c>
      <c r="DS46" s="566">
        <v>1</v>
      </c>
      <c r="DT46" s="566">
        <v>1</v>
      </c>
      <c r="DU46" s="566">
        <v>1</v>
      </c>
      <c r="DV46" s="566">
        <v>0.40845293526795701</v>
      </c>
      <c r="DW46" s="566">
        <v>1</v>
      </c>
      <c r="DX46" s="566">
        <v>1</v>
      </c>
      <c r="DY46" s="566">
        <v>1</v>
      </c>
      <c r="DZ46" s="566">
        <v>0.40845252791193898</v>
      </c>
      <c r="EA46" s="566">
        <v>1</v>
      </c>
      <c r="EB46" s="566">
        <v>1</v>
      </c>
      <c r="EC46" s="566">
        <v>1</v>
      </c>
      <c r="ED46" s="566">
        <v>0.40845242787014402</v>
      </c>
      <c r="EE46" s="566">
        <v>1</v>
      </c>
      <c r="EF46" s="566">
        <v>1</v>
      </c>
      <c r="EG46" s="566">
        <v>1</v>
      </c>
      <c r="EH46" s="566">
        <v>0.99999999999992895</v>
      </c>
      <c r="EI46" s="566">
        <v>1</v>
      </c>
      <c r="EJ46" s="566">
        <v>1</v>
      </c>
      <c r="EK46" s="566">
        <v>1</v>
      </c>
      <c r="EL46" s="566">
        <v>0.40845200756156402</v>
      </c>
      <c r="EM46" s="566">
        <v>1</v>
      </c>
      <c r="EN46" s="566">
        <v>1</v>
      </c>
      <c r="EO46" s="566">
        <v>1</v>
      </c>
      <c r="EP46" s="566">
        <v>1</v>
      </c>
      <c r="EQ46" s="566">
        <v>1</v>
      </c>
      <c r="ER46" s="566">
        <v>1</v>
      </c>
      <c r="ES46" s="566">
        <v>0.40844566205709898</v>
      </c>
      <c r="ET46" s="566">
        <v>1</v>
      </c>
      <c r="EU46" s="566">
        <v>1</v>
      </c>
      <c r="EV46" s="566">
        <v>1</v>
      </c>
      <c r="EW46" s="566">
        <v>0.40844563392646899</v>
      </c>
      <c r="EX46" s="566">
        <v>1</v>
      </c>
      <c r="EY46" s="566">
        <v>1</v>
      </c>
      <c r="EZ46" s="566">
        <v>1</v>
      </c>
      <c r="FA46" s="566">
        <v>0.408445533861371</v>
      </c>
      <c r="FB46" s="566">
        <v>1</v>
      </c>
      <c r="FC46" s="566">
        <v>1</v>
      </c>
      <c r="FD46" s="566">
        <v>1</v>
      </c>
      <c r="FE46" s="566">
        <v>0.99999999998405498</v>
      </c>
      <c r="FF46" s="566">
        <v>1</v>
      </c>
      <c r="FG46" s="566">
        <v>1</v>
      </c>
      <c r="FH46" s="566">
        <v>1</v>
      </c>
    </row>
    <row r="47" spans="1:164" ht="12.75" customHeight="1" x14ac:dyDescent="0.3">
      <c r="A47" s="422"/>
      <c r="B47" s="422"/>
      <c r="C47" s="422"/>
      <c r="D47" s="422"/>
      <c r="E47" s="422"/>
      <c r="F47" s="568"/>
      <c r="G47" s="569"/>
      <c r="H47" s="439"/>
      <c r="I47" s="574">
        <v>2261490.4788553501</v>
      </c>
      <c r="J47" s="566">
        <v>0.440438556541487</v>
      </c>
      <c r="K47" s="566">
        <v>1</v>
      </c>
      <c r="L47" s="566">
        <v>1</v>
      </c>
      <c r="M47" s="566">
        <v>1</v>
      </c>
      <c r="N47" s="566">
        <v>1</v>
      </c>
      <c r="O47" s="566">
        <v>1</v>
      </c>
      <c r="P47" s="566">
        <v>1</v>
      </c>
      <c r="Q47" s="566">
        <v>1</v>
      </c>
      <c r="R47" s="566">
        <v>1</v>
      </c>
      <c r="S47" s="566">
        <v>1</v>
      </c>
      <c r="T47" s="566">
        <v>1</v>
      </c>
      <c r="U47" s="566">
        <v>1</v>
      </c>
      <c r="V47" s="566">
        <v>1</v>
      </c>
      <c r="W47" s="566">
        <v>1</v>
      </c>
      <c r="X47" s="566">
        <v>1</v>
      </c>
      <c r="Y47" s="566">
        <v>0.52036865652131903</v>
      </c>
      <c r="Z47" s="566">
        <v>1</v>
      </c>
      <c r="AA47" s="566">
        <v>1</v>
      </c>
      <c r="AB47" s="566">
        <v>1</v>
      </c>
      <c r="AC47" s="566">
        <v>1</v>
      </c>
      <c r="AD47" s="566">
        <v>1</v>
      </c>
      <c r="AE47" s="566">
        <v>1</v>
      </c>
      <c r="AF47" s="566">
        <v>1</v>
      </c>
      <c r="AG47" s="566">
        <v>1</v>
      </c>
      <c r="AH47" s="566">
        <v>1</v>
      </c>
      <c r="AI47" s="566">
        <v>1</v>
      </c>
      <c r="AJ47" s="566">
        <v>1</v>
      </c>
      <c r="AK47" s="566">
        <v>0.52205611854666201</v>
      </c>
      <c r="AL47" s="566">
        <v>1</v>
      </c>
      <c r="AM47" s="566">
        <v>0.999999999999999</v>
      </c>
      <c r="AN47" s="566">
        <v>1</v>
      </c>
      <c r="AO47" s="566">
        <v>1</v>
      </c>
      <c r="AP47" s="566">
        <v>1</v>
      </c>
      <c r="AQ47" s="566">
        <v>1</v>
      </c>
      <c r="AR47" s="566">
        <v>1</v>
      </c>
      <c r="AS47" s="566">
        <v>1</v>
      </c>
      <c r="AT47" s="566">
        <v>1</v>
      </c>
      <c r="AU47" s="566">
        <v>1</v>
      </c>
      <c r="AV47" s="566">
        <v>1</v>
      </c>
      <c r="AW47" s="566">
        <v>1</v>
      </c>
      <c r="AX47" s="566">
        <v>1</v>
      </c>
      <c r="AY47" s="566">
        <v>1</v>
      </c>
      <c r="AZ47" s="566">
        <v>1</v>
      </c>
      <c r="BA47" s="566">
        <v>0.42072559133526899</v>
      </c>
      <c r="BB47" s="566">
        <v>1</v>
      </c>
      <c r="BC47" s="566">
        <v>1</v>
      </c>
      <c r="BD47" s="566">
        <v>1</v>
      </c>
      <c r="BE47" s="566">
        <v>1</v>
      </c>
      <c r="BF47" s="566">
        <v>1</v>
      </c>
      <c r="BG47" s="566">
        <v>1</v>
      </c>
      <c r="BH47" s="566">
        <v>0.999999999999997</v>
      </c>
      <c r="BI47" s="566">
        <v>1</v>
      </c>
      <c r="BJ47" s="566">
        <v>1</v>
      </c>
      <c r="BK47" s="566">
        <v>1</v>
      </c>
      <c r="BL47" s="566">
        <v>0.999999999999995</v>
      </c>
      <c r="BM47" s="566">
        <v>1</v>
      </c>
      <c r="BN47" s="566">
        <v>1</v>
      </c>
      <c r="BO47" s="566">
        <v>1</v>
      </c>
      <c r="BP47" s="566">
        <v>0.42035871522440499</v>
      </c>
      <c r="BQ47" s="566">
        <v>1</v>
      </c>
      <c r="BR47" s="566">
        <v>1</v>
      </c>
      <c r="BS47" s="566">
        <v>1</v>
      </c>
      <c r="BT47" s="566">
        <v>0.999999999999998</v>
      </c>
      <c r="BU47" s="566">
        <v>1</v>
      </c>
      <c r="BV47" s="566">
        <v>1</v>
      </c>
      <c r="BW47" s="566">
        <v>1</v>
      </c>
      <c r="BX47" s="566">
        <v>0.999999999999996</v>
      </c>
      <c r="BY47" s="566">
        <v>1</v>
      </c>
      <c r="BZ47" s="566">
        <v>1</v>
      </c>
      <c r="CA47" s="566">
        <v>1</v>
      </c>
      <c r="CB47" s="566">
        <v>0.420358792659148</v>
      </c>
      <c r="CC47" s="566">
        <v>1</v>
      </c>
      <c r="CD47" s="566">
        <v>1</v>
      </c>
      <c r="CE47" s="566">
        <v>0.999999999999999</v>
      </c>
      <c r="CF47" s="566">
        <v>0.999999999999994</v>
      </c>
      <c r="CG47" s="566">
        <v>1</v>
      </c>
      <c r="CH47" s="566">
        <v>1</v>
      </c>
      <c r="CI47" s="566">
        <v>1</v>
      </c>
      <c r="CJ47" s="566">
        <v>0.999999999999995</v>
      </c>
      <c r="CK47" s="566">
        <v>1</v>
      </c>
      <c r="CL47" s="566">
        <v>1</v>
      </c>
      <c r="CM47" s="566">
        <v>1</v>
      </c>
      <c r="CN47" s="566">
        <v>0.999999999999994</v>
      </c>
      <c r="CO47" s="566">
        <v>1</v>
      </c>
      <c r="CP47" s="566">
        <v>1</v>
      </c>
      <c r="CQ47" s="566">
        <v>1</v>
      </c>
      <c r="CR47" s="566">
        <v>0.42027945229945401</v>
      </c>
      <c r="CS47" s="566">
        <v>1</v>
      </c>
      <c r="CT47" s="566">
        <v>1</v>
      </c>
      <c r="CU47" s="566">
        <v>1</v>
      </c>
      <c r="CV47" s="566">
        <v>1</v>
      </c>
      <c r="CW47" s="566">
        <v>1</v>
      </c>
      <c r="CX47" s="566">
        <v>1</v>
      </c>
      <c r="CY47" s="566">
        <v>0.42027965316953902</v>
      </c>
      <c r="CZ47" s="566">
        <v>1</v>
      </c>
      <c r="DA47" s="566">
        <v>1</v>
      </c>
      <c r="DB47" s="566">
        <v>1</v>
      </c>
      <c r="DC47" s="566">
        <v>0.42027894137597399</v>
      </c>
      <c r="DD47" s="566">
        <v>1</v>
      </c>
      <c r="DE47" s="566">
        <v>1</v>
      </c>
      <c r="DF47" s="566">
        <v>1</v>
      </c>
      <c r="DG47" s="566">
        <v>0.42027884342553401</v>
      </c>
      <c r="DH47" s="566">
        <v>1</v>
      </c>
      <c r="DI47" s="566">
        <v>1</v>
      </c>
      <c r="DJ47" s="566">
        <v>1</v>
      </c>
      <c r="DK47" s="566">
        <v>0.99999999999975997</v>
      </c>
      <c r="DL47" s="566">
        <v>1</v>
      </c>
      <c r="DM47" s="566">
        <v>1</v>
      </c>
      <c r="DN47" s="566">
        <v>1</v>
      </c>
      <c r="DO47" s="566">
        <v>0.42027945181318499</v>
      </c>
      <c r="DP47" s="566">
        <v>1</v>
      </c>
      <c r="DQ47" s="566">
        <v>1</v>
      </c>
      <c r="DR47" s="566">
        <v>1</v>
      </c>
      <c r="DS47" s="566">
        <v>1</v>
      </c>
      <c r="DT47" s="566">
        <v>1</v>
      </c>
      <c r="DU47" s="566">
        <v>1</v>
      </c>
      <c r="DV47" s="566">
        <v>0.420278039721109</v>
      </c>
      <c r="DW47" s="566">
        <v>1</v>
      </c>
      <c r="DX47" s="566">
        <v>1</v>
      </c>
      <c r="DY47" s="566">
        <v>1</v>
      </c>
      <c r="DZ47" s="566">
        <v>0.420277640508192</v>
      </c>
      <c r="EA47" s="566">
        <v>1</v>
      </c>
      <c r="EB47" s="566">
        <v>1</v>
      </c>
      <c r="EC47" s="566">
        <v>1</v>
      </c>
      <c r="ED47" s="566">
        <v>0.42027754246624599</v>
      </c>
      <c r="EE47" s="566">
        <v>1</v>
      </c>
      <c r="EF47" s="566">
        <v>1</v>
      </c>
      <c r="EG47" s="566">
        <v>1</v>
      </c>
      <c r="EH47" s="566">
        <v>0.99999999999993106</v>
      </c>
      <c r="EI47" s="566">
        <v>1</v>
      </c>
      <c r="EJ47" s="566">
        <v>1</v>
      </c>
      <c r="EK47" s="566">
        <v>1</v>
      </c>
      <c r="EL47" s="566">
        <v>0.42027713055969101</v>
      </c>
      <c r="EM47" s="566">
        <v>1</v>
      </c>
      <c r="EN47" s="566">
        <v>1</v>
      </c>
      <c r="EO47" s="566">
        <v>1</v>
      </c>
      <c r="EP47" s="566">
        <v>1</v>
      </c>
      <c r="EQ47" s="566">
        <v>1</v>
      </c>
      <c r="ER47" s="566">
        <v>1</v>
      </c>
      <c r="ES47" s="566">
        <v>0.42027091190270399</v>
      </c>
      <c r="ET47" s="566">
        <v>1</v>
      </c>
      <c r="EU47" s="566">
        <v>1</v>
      </c>
      <c r="EV47" s="566">
        <v>1</v>
      </c>
      <c r="EW47" s="566">
        <v>0.42027088433440901</v>
      </c>
      <c r="EX47" s="566">
        <v>0.999999999999999</v>
      </c>
      <c r="EY47" s="566">
        <v>1</v>
      </c>
      <c r="EZ47" s="566">
        <v>1</v>
      </c>
      <c r="FA47" s="566">
        <v>0.420270786269625</v>
      </c>
      <c r="FB47" s="566">
        <v>1</v>
      </c>
      <c r="FC47" s="566">
        <v>1</v>
      </c>
      <c r="FD47" s="566">
        <v>0.999999999999999</v>
      </c>
      <c r="FE47" s="566">
        <v>0.99999999998437406</v>
      </c>
      <c r="FF47" s="566">
        <v>0.999999999999999</v>
      </c>
      <c r="FG47" s="566">
        <v>1</v>
      </c>
      <c r="FH47" s="566">
        <v>1</v>
      </c>
    </row>
    <row r="48" spans="1:164" ht="12.75" customHeight="1" x14ac:dyDescent="0.3">
      <c r="A48" s="422"/>
      <c r="B48" s="422"/>
      <c r="C48" s="422"/>
      <c r="D48" s="422"/>
      <c r="E48" s="422"/>
      <c r="F48" s="568"/>
      <c r="G48" s="569"/>
      <c r="H48" s="439"/>
      <c r="I48" s="574">
        <v>2345249.3854796202</v>
      </c>
      <c r="J48" s="566">
        <v>0.45162426417243801</v>
      </c>
      <c r="K48" s="566">
        <v>1</v>
      </c>
      <c r="L48" s="566">
        <v>1</v>
      </c>
      <c r="M48" s="566">
        <v>1</v>
      </c>
      <c r="N48" s="566">
        <v>1</v>
      </c>
      <c r="O48" s="566">
        <v>1</v>
      </c>
      <c r="P48" s="566">
        <v>1</v>
      </c>
      <c r="Q48" s="566">
        <v>1</v>
      </c>
      <c r="R48" s="566">
        <v>1</v>
      </c>
      <c r="S48" s="566">
        <v>1</v>
      </c>
      <c r="T48" s="566">
        <v>1</v>
      </c>
      <c r="U48" s="566">
        <v>1</v>
      </c>
      <c r="V48" s="566">
        <v>1</v>
      </c>
      <c r="W48" s="566">
        <v>1</v>
      </c>
      <c r="X48" s="566">
        <v>1</v>
      </c>
      <c r="Y48" s="566">
        <v>0.52995655082946402</v>
      </c>
      <c r="Z48" s="566">
        <v>1</v>
      </c>
      <c r="AA48" s="566">
        <v>1</v>
      </c>
      <c r="AB48" s="566">
        <v>1</v>
      </c>
      <c r="AC48" s="566">
        <v>1</v>
      </c>
      <c r="AD48" s="566">
        <v>1</v>
      </c>
      <c r="AE48" s="566">
        <v>1</v>
      </c>
      <c r="AF48" s="566">
        <v>1</v>
      </c>
      <c r="AG48" s="566">
        <v>1</v>
      </c>
      <c r="AH48" s="566">
        <v>1</v>
      </c>
      <c r="AI48" s="566">
        <v>1</v>
      </c>
      <c r="AJ48" s="566">
        <v>1</v>
      </c>
      <c r="AK48" s="566">
        <v>0.53161028026462498</v>
      </c>
      <c r="AL48" s="566">
        <v>1</v>
      </c>
      <c r="AM48" s="566">
        <v>1</v>
      </c>
      <c r="AN48" s="566">
        <v>1</v>
      </c>
      <c r="AO48" s="566">
        <v>1</v>
      </c>
      <c r="AP48" s="566">
        <v>1</v>
      </c>
      <c r="AQ48" s="566">
        <v>1</v>
      </c>
      <c r="AR48" s="566">
        <v>1</v>
      </c>
      <c r="AS48" s="566">
        <v>1</v>
      </c>
      <c r="AT48" s="566">
        <v>1</v>
      </c>
      <c r="AU48" s="566">
        <v>1</v>
      </c>
      <c r="AV48" s="566">
        <v>1</v>
      </c>
      <c r="AW48" s="566">
        <v>1</v>
      </c>
      <c r="AX48" s="566">
        <v>1</v>
      </c>
      <c r="AY48" s="566">
        <v>1</v>
      </c>
      <c r="AZ48" s="566">
        <v>1</v>
      </c>
      <c r="BA48" s="566">
        <v>0.43230536376091599</v>
      </c>
      <c r="BB48" s="566">
        <v>1</v>
      </c>
      <c r="BC48" s="566">
        <v>1</v>
      </c>
      <c r="BD48" s="566">
        <v>1</v>
      </c>
      <c r="BE48" s="566">
        <v>1</v>
      </c>
      <c r="BF48" s="566">
        <v>1</v>
      </c>
      <c r="BG48" s="566">
        <v>1</v>
      </c>
      <c r="BH48" s="566">
        <v>0.999999999999998</v>
      </c>
      <c r="BI48" s="566">
        <v>1</v>
      </c>
      <c r="BJ48" s="566">
        <v>1</v>
      </c>
      <c r="BK48" s="566">
        <v>1</v>
      </c>
      <c r="BL48" s="566">
        <v>0.999999999999995</v>
      </c>
      <c r="BM48" s="566">
        <v>1</v>
      </c>
      <c r="BN48" s="566">
        <v>1</v>
      </c>
      <c r="BO48" s="566">
        <v>1</v>
      </c>
      <c r="BP48" s="566">
        <v>0.43194582155227301</v>
      </c>
      <c r="BQ48" s="566">
        <v>1</v>
      </c>
      <c r="BR48" s="566">
        <v>1</v>
      </c>
      <c r="BS48" s="566">
        <v>1</v>
      </c>
      <c r="BT48" s="566">
        <v>0.999999999999999</v>
      </c>
      <c r="BU48" s="566">
        <v>1</v>
      </c>
      <c r="BV48" s="566">
        <v>1</v>
      </c>
      <c r="BW48" s="566">
        <v>1</v>
      </c>
      <c r="BX48" s="566">
        <v>0.999999999999995</v>
      </c>
      <c r="BY48" s="566">
        <v>1</v>
      </c>
      <c r="BZ48" s="566">
        <v>1</v>
      </c>
      <c r="CA48" s="566">
        <v>1</v>
      </c>
      <c r="CB48" s="566">
        <v>0.43194589743908501</v>
      </c>
      <c r="CC48" s="566">
        <v>1</v>
      </c>
      <c r="CD48" s="566">
        <v>1</v>
      </c>
      <c r="CE48" s="566">
        <v>1</v>
      </c>
      <c r="CF48" s="566">
        <v>0.999999999999995</v>
      </c>
      <c r="CG48" s="566">
        <v>1</v>
      </c>
      <c r="CH48" s="566">
        <v>1</v>
      </c>
      <c r="CI48" s="566">
        <v>1</v>
      </c>
      <c r="CJ48" s="566">
        <v>0.999999999999995</v>
      </c>
      <c r="CK48" s="566">
        <v>1</v>
      </c>
      <c r="CL48" s="566">
        <v>1</v>
      </c>
      <c r="CM48" s="566">
        <v>1</v>
      </c>
      <c r="CN48" s="566">
        <v>0.999999999999995</v>
      </c>
      <c r="CO48" s="566">
        <v>1</v>
      </c>
      <c r="CP48" s="566">
        <v>1</v>
      </c>
      <c r="CQ48" s="566">
        <v>1</v>
      </c>
      <c r="CR48" s="566">
        <v>0.43186814310372701</v>
      </c>
      <c r="CS48" s="566">
        <v>1</v>
      </c>
      <c r="CT48" s="566">
        <v>1</v>
      </c>
      <c r="CU48" s="566">
        <v>1</v>
      </c>
      <c r="CV48" s="566">
        <v>1</v>
      </c>
      <c r="CW48" s="566">
        <v>1</v>
      </c>
      <c r="CX48" s="566">
        <v>1</v>
      </c>
      <c r="CY48" s="566">
        <v>0.43186833995839202</v>
      </c>
      <c r="CZ48" s="566">
        <v>1</v>
      </c>
      <c r="DA48" s="566">
        <v>1</v>
      </c>
      <c r="DB48" s="566">
        <v>1</v>
      </c>
      <c r="DC48" s="566">
        <v>0.43186764239367598</v>
      </c>
      <c r="DD48" s="566">
        <v>1</v>
      </c>
      <c r="DE48" s="566">
        <v>1</v>
      </c>
      <c r="DF48" s="566">
        <v>1</v>
      </c>
      <c r="DG48" s="566">
        <v>0.431867546401278</v>
      </c>
      <c r="DH48" s="566">
        <v>1</v>
      </c>
      <c r="DI48" s="566">
        <v>1</v>
      </c>
      <c r="DJ48" s="566">
        <v>1</v>
      </c>
      <c r="DK48" s="566">
        <v>0.99999999999976497</v>
      </c>
      <c r="DL48" s="566">
        <v>1</v>
      </c>
      <c r="DM48" s="566">
        <v>1</v>
      </c>
      <c r="DN48" s="566">
        <v>1</v>
      </c>
      <c r="DO48" s="566">
        <v>0.43186814262717899</v>
      </c>
      <c r="DP48" s="566">
        <v>1</v>
      </c>
      <c r="DQ48" s="566">
        <v>1</v>
      </c>
      <c r="DR48" s="566">
        <v>1</v>
      </c>
      <c r="DS48" s="566">
        <v>1</v>
      </c>
      <c r="DT48" s="566">
        <v>1</v>
      </c>
      <c r="DU48" s="566">
        <v>1</v>
      </c>
      <c r="DV48" s="566">
        <v>0.431866758763012</v>
      </c>
      <c r="DW48" s="566">
        <v>1</v>
      </c>
      <c r="DX48" s="566">
        <v>1</v>
      </c>
      <c r="DY48" s="566">
        <v>1</v>
      </c>
      <c r="DZ48" s="566">
        <v>0.43186636753041402</v>
      </c>
      <c r="EA48" s="566">
        <v>1</v>
      </c>
      <c r="EB48" s="566">
        <v>1</v>
      </c>
      <c r="EC48" s="566">
        <v>1</v>
      </c>
      <c r="ED48" s="566">
        <v>0.431866271448339</v>
      </c>
      <c r="EE48" s="566">
        <v>1</v>
      </c>
      <c r="EF48" s="566">
        <v>1</v>
      </c>
      <c r="EG48" s="566">
        <v>1</v>
      </c>
      <c r="EH48" s="566">
        <v>0.99999999999993205</v>
      </c>
      <c r="EI48" s="566">
        <v>1</v>
      </c>
      <c r="EJ48" s="566">
        <v>1</v>
      </c>
      <c r="EK48" s="566">
        <v>1</v>
      </c>
      <c r="EL48" s="566">
        <v>0.43186586777585001</v>
      </c>
      <c r="EM48" s="566">
        <v>1</v>
      </c>
      <c r="EN48" s="566">
        <v>1</v>
      </c>
      <c r="EO48" s="566">
        <v>1</v>
      </c>
      <c r="EP48" s="566">
        <v>1</v>
      </c>
      <c r="EQ48" s="566">
        <v>1</v>
      </c>
      <c r="ER48" s="566">
        <v>1</v>
      </c>
      <c r="ES48" s="566">
        <v>0.43185977343064302</v>
      </c>
      <c r="ET48" s="566">
        <v>1</v>
      </c>
      <c r="EU48" s="566">
        <v>1</v>
      </c>
      <c r="EV48" s="566">
        <v>1</v>
      </c>
      <c r="EW48" s="566">
        <v>0.43185974641344199</v>
      </c>
      <c r="EX48" s="566">
        <v>1</v>
      </c>
      <c r="EY48" s="566">
        <v>1</v>
      </c>
      <c r="EZ48" s="566">
        <v>1</v>
      </c>
      <c r="FA48" s="566">
        <v>0.43185965030898599</v>
      </c>
      <c r="FB48" s="566">
        <v>1</v>
      </c>
      <c r="FC48" s="566">
        <v>1</v>
      </c>
      <c r="FD48" s="566">
        <v>0.999999999999999</v>
      </c>
      <c r="FE48" s="566">
        <v>0.99999999998468603</v>
      </c>
      <c r="FF48" s="566">
        <v>1</v>
      </c>
      <c r="FG48" s="566">
        <v>1</v>
      </c>
      <c r="FH48" s="566">
        <v>1</v>
      </c>
    </row>
    <row r="49" spans="1:164" ht="12.75" customHeight="1" x14ac:dyDescent="0.3">
      <c r="A49" s="422"/>
      <c r="B49" s="422"/>
      <c r="C49" s="422"/>
      <c r="D49" s="422"/>
      <c r="E49" s="422"/>
      <c r="F49" s="568"/>
      <c r="G49" s="569"/>
      <c r="H49" s="439"/>
      <c r="I49" s="574">
        <v>2429008.2921038899</v>
      </c>
      <c r="J49" s="566">
        <v>0.46258636801875103</v>
      </c>
      <c r="K49" s="566">
        <v>1</v>
      </c>
      <c r="L49" s="566">
        <v>1</v>
      </c>
      <c r="M49" s="566">
        <v>1</v>
      </c>
      <c r="N49" s="566">
        <v>1</v>
      </c>
      <c r="O49" s="566">
        <v>1</v>
      </c>
      <c r="P49" s="566">
        <v>1</v>
      </c>
      <c r="Q49" s="566">
        <v>1</v>
      </c>
      <c r="R49" s="566">
        <v>1</v>
      </c>
      <c r="S49" s="566">
        <v>1</v>
      </c>
      <c r="T49" s="566">
        <v>1</v>
      </c>
      <c r="U49" s="566">
        <v>1</v>
      </c>
      <c r="V49" s="566">
        <v>1</v>
      </c>
      <c r="W49" s="566">
        <v>1</v>
      </c>
      <c r="X49" s="566">
        <v>1</v>
      </c>
      <c r="Y49" s="566">
        <v>0.53935278185400204</v>
      </c>
      <c r="Z49" s="566">
        <v>1</v>
      </c>
      <c r="AA49" s="566">
        <v>1</v>
      </c>
      <c r="AB49" s="566">
        <v>1</v>
      </c>
      <c r="AC49" s="566">
        <v>1</v>
      </c>
      <c r="AD49" s="566">
        <v>1</v>
      </c>
      <c r="AE49" s="566">
        <v>1</v>
      </c>
      <c r="AF49" s="566">
        <v>1</v>
      </c>
      <c r="AG49" s="566">
        <v>1</v>
      </c>
      <c r="AH49" s="566">
        <v>1</v>
      </c>
      <c r="AI49" s="566">
        <v>1</v>
      </c>
      <c r="AJ49" s="566">
        <v>1</v>
      </c>
      <c r="AK49" s="566">
        <v>0.54097345301794897</v>
      </c>
      <c r="AL49" s="566">
        <v>1</v>
      </c>
      <c r="AM49" s="566">
        <v>1</v>
      </c>
      <c r="AN49" s="566">
        <v>1</v>
      </c>
      <c r="AO49" s="566">
        <v>1</v>
      </c>
      <c r="AP49" s="566">
        <v>1</v>
      </c>
      <c r="AQ49" s="566">
        <v>1</v>
      </c>
      <c r="AR49" s="566">
        <v>1</v>
      </c>
      <c r="AS49" s="566">
        <v>1</v>
      </c>
      <c r="AT49" s="566">
        <v>1</v>
      </c>
      <c r="AU49" s="566">
        <v>1</v>
      </c>
      <c r="AV49" s="566">
        <v>1</v>
      </c>
      <c r="AW49" s="566">
        <v>1</v>
      </c>
      <c r="AX49" s="566">
        <v>1</v>
      </c>
      <c r="AY49" s="566">
        <v>1</v>
      </c>
      <c r="AZ49" s="566">
        <v>1</v>
      </c>
      <c r="BA49" s="566">
        <v>0.44365365499421799</v>
      </c>
      <c r="BB49" s="566">
        <v>1</v>
      </c>
      <c r="BC49" s="566">
        <v>1</v>
      </c>
      <c r="BD49" s="566">
        <v>1</v>
      </c>
      <c r="BE49" s="566">
        <v>1</v>
      </c>
      <c r="BF49" s="566">
        <v>1</v>
      </c>
      <c r="BG49" s="566">
        <v>1</v>
      </c>
      <c r="BH49" s="566">
        <v>0.999999999999998</v>
      </c>
      <c r="BI49" s="566">
        <v>1</v>
      </c>
      <c r="BJ49" s="566">
        <v>1</v>
      </c>
      <c r="BK49" s="566">
        <v>1</v>
      </c>
      <c r="BL49" s="566">
        <v>0.999999999999995</v>
      </c>
      <c r="BM49" s="566">
        <v>1</v>
      </c>
      <c r="BN49" s="566">
        <v>1</v>
      </c>
      <c r="BO49" s="566">
        <v>1</v>
      </c>
      <c r="BP49" s="566">
        <v>0.44330130008211499</v>
      </c>
      <c r="BQ49" s="566">
        <v>1</v>
      </c>
      <c r="BR49" s="566">
        <v>1</v>
      </c>
      <c r="BS49" s="566">
        <v>1</v>
      </c>
      <c r="BT49" s="566">
        <v>0.999999999999998</v>
      </c>
      <c r="BU49" s="566">
        <v>1</v>
      </c>
      <c r="BV49" s="566">
        <v>1</v>
      </c>
      <c r="BW49" s="566">
        <v>1</v>
      </c>
      <c r="BX49" s="566">
        <v>0.999999999999995</v>
      </c>
      <c r="BY49" s="566">
        <v>0.999999999999999</v>
      </c>
      <c r="BZ49" s="566">
        <v>1</v>
      </c>
      <c r="CA49" s="566">
        <v>1</v>
      </c>
      <c r="CB49" s="566">
        <v>0.44330137445193901</v>
      </c>
      <c r="CC49" s="566">
        <v>1</v>
      </c>
      <c r="CD49" s="566">
        <v>1</v>
      </c>
      <c r="CE49" s="566">
        <v>1</v>
      </c>
      <c r="CF49" s="566">
        <v>0.999999999999994</v>
      </c>
      <c r="CG49" s="566">
        <v>1</v>
      </c>
      <c r="CH49" s="566">
        <v>1</v>
      </c>
      <c r="CI49" s="566">
        <v>1</v>
      </c>
      <c r="CJ49" s="566">
        <v>0.999999999999994</v>
      </c>
      <c r="CK49" s="566">
        <v>1</v>
      </c>
      <c r="CL49" s="566">
        <v>1</v>
      </c>
      <c r="CM49" s="566">
        <v>1</v>
      </c>
      <c r="CN49" s="566">
        <v>0.999999999999994</v>
      </c>
      <c r="CO49" s="566">
        <v>1</v>
      </c>
      <c r="CP49" s="566">
        <v>1</v>
      </c>
      <c r="CQ49" s="566">
        <v>1</v>
      </c>
      <c r="CR49" s="566">
        <v>0.44322517443607901</v>
      </c>
      <c r="CS49" s="566">
        <v>1</v>
      </c>
      <c r="CT49" s="566">
        <v>1</v>
      </c>
      <c r="CU49" s="566">
        <v>1</v>
      </c>
      <c r="CV49" s="566">
        <v>1</v>
      </c>
      <c r="CW49" s="566">
        <v>1</v>
      </c>
      <c r="CX49" s="566">
        <v>1</v>
      </c>
      <c r="CY49" s="566">
        <v>0.44322536735559398</v>
      </c>
      <c r="CZ49" s="566">
        <v>1</v>
      </c>
      <c r="DA49" s="566">
        <v>1</v>
      </c>
      <c r="DB49" s="566">
        <v>1</v>
      </c>
      <c r="DC49" s="566">
        <v>0.443224683735289</v>
      </c>
      <c r="DD49" s="566">
        <v>1</v>
      </c>
      <c r="DE49" s="566">
        <v>1</v>
      </c>
      <c r="DF49" s="566">
        <v>1</v>
      </c>
      <c r="DG49" s="566">
        <v>0.44322458966179201</v>
      </c>
      <c r="DH49" s="566">
        <v>1</v>
      </c>
      <c r="DI49" s="566">
        <v>1</v>
      </c>
      <c r="DJ49" s="566">
        <v>1</v>
      </c>
      <c r="DK49" s="566">
        <v>0.99999999999976896</v>
      </c>
      <c r="DL49" s="566">
        <v>1</v>
      </c>
      <c r="DM49" s="566">
        <v>1</v>
      </c>
      <c r="DN49" s="566">
        <v>1</v>
      </c>
      <c r="DO49" s="566">
        <v>0.44322517396905797</v>
      </c>
      <c r="DP49" s="566">
        <v>1</v>
      </c>
      <c r="DQ49" s="566">
        <v>1</v>
      </c>
      <c r="DR49" s="566">
        <v>1</v>
      </c>
      <c r="DS49" s="566">
        <v>1</v>
      </c>
      <c r="DT49" s="566">
        <v>1</v>
      </c>
      <c r="DU49" s="566">
        <v>1</v>
      </c>
      <c r="DV49" s="566">
        <v>0.44322381776851899</v>
      </c>
      <c r="DW49" s="566">
        <v>1</v>
      </c>
      <c r="DX49" s="566">
        <v>1</v>
      </c>
      <c r="DY49" s="566">
        <v>1</v>
      </c>
      <c r="DZ49" s="566">
        <v>0.44322343435671202</v>
      </c>
      <c r="EA49" s="566">
        <v>1</v>
      </c>
      <c r="EB49" s="566">
        <v>1</v>
      </c>
      <c r="EC49" s="566">
        <v>1</v>
      </c>
      <c r="ED49" s="566">
        <v>0.44322334019533099</v>
      </c>
      <c r="EE49" s="566">
        <v>1</v>
      </c>
      <c r="EF49" s="566">
        <v>1</v>
      </c>
      <c r="EG49" s="566">
        <v>1</v>
      </c>
      <c r="EH49" s="566">
        <v>0.99999999999993405</v>
      </c>
      <c r="EI49" s="566">
        <v>1</v>
      </c>
      <c r="EJ49" s="566">
        <v>1</v>
      </c>
      <c r="EK49" s="566">
        <v>1</v>
      </c>
      <c r="EL49" s="566">
        <v>0.44322294459230899</v>
      </c>
      <c r="EM49" s="566">
        <v>1</v>
      </c>
      <c r="EN49" s="566">
        <v>1</v>
      </c>
      <c r="EO49" s="566">
        <v>1</v>
      </c>
      <c r="EP49" s="566">
        <v>1</v>
      </c>
      <c r="EQ49" s="566">
        <v>1</v>
      </c>
      <c r="ER49" s="566">
        <v>1</v>
      </c>
      <c r="ES49" s="566">
        <v>0.44321697207387301</v>
      </c>
      <c r="ET49" s="566">
        <v>1</v>
      </c>
      <c r="EU49" s="566">
        <v>1</v>
      </c>
      <c r="EV49" s="566">
        <v>1</v>
      </c>
      <c r="EW49" s="566">
        <v>0.44321694559674901</v>
      </c>
      <c r="EX49" s="566">
        <v>1</v>
      </c>
      <c r="EY49" s="566">
        <v>1</v>
      </c>
      <c r="EZ49" s="566">
        <v>1</v>
      </c>
      <c r="FA49" s="566">
        <v>0.44321685141343498</v>
      </c>
      <c r="FB49" s="566">
        <v>1</v>
      </c>
      <c r="FC49" s="566">
        <v>1</v>
      </c>
      <c r="FD49" s="566">
        <v>1</v>
      </c>
      <c r="FE49" s="566">
        <v>0.99999999998499201</v>
      </c>
      <c r="FF49" s="566">
        <v>0.999999999999999</v>
      </c>
      <c r="FG49" s="566">
        <v>1</v>
      </c>
      <c r="FH49" s="566">
        <v>0.999999999999999</v>
      </c>
    </row>
    <row r="50" spans="1:164" ht="12.75" customHeight="1" x14ac:dyDescent="0.3">
      <c r="A50" s="422"/>
      <c r="B50" s="422"/>
      <c r="C50" s="422"/>
      <c r="D50" s="422"/>
      <c r="E50" s="422"/>
      <c r="F50" s="568"/>
      <c r="G50" s="569"/>
      <c r="H50" s="439"/>
      <c r="I50" s="574">
        <v>2512767.1987281698</v>
      </c>
      <c r="J50" s="566">
        <v>0.473329337952342</v>
      </c>
      <c r="K50" s="566">
        <v>1</v>
      </c>
      <c r="L50" s="566">
        <v>1</v>
      </c>
      <c r="M50" s="566">
        <v>1</v>
      </c>
      <c r="N50" s="566">
        <v>1</v>
      </c>
      <c r="O50" s="566">
        <v>1</v>
      </c>
      <c r="P50" s="566">
        <v>1</v>
      </c>
      <c r="Q50" s="566">
        <v>1</v>
      </c>
      <c r="R50" s="566">
        <v>1</v>
      </c>
      <c r="S50" s="566">
        <v>1</v>
      </c>
      <c r="T50" s="566">
        <v>1</v>
      </c>
      <c r="U50" s="566">
        <v>1</v>
      </c>
      <c r="V50" s="566">
        <v>1</v>
      </c>
      <c r="W50" s="566">
        <v>1</v>
      </c>
      <c r="X50" s="566">
        <v>1</v>
      </c>
      <c r="Y50" s="566">
        <v>0.54856118097162498</v>
      </c>
      <c r="Z50" s="566">
        <v>1</v>
      </c>
      <c r="AA50" s="566">
        <v>1</v>
      </c>
      <c r="AB50" s="566">
        <v>1</v>
      </c>
      <c r="AC50" s="566">
        <v>1</v>
      </c>
      <c r="AD50" s="566">
        <v>1</v>
      </c>
      <c r="AE50" s="566">
        <v>1</v>
      </c>
      <c r="AF50" s="566">
        <v>1</v>
      </c>
      <c r="AG50" s="566">
        <v>1</v>
      </c>
      <c r="AH50" s="566">
        <v>1</v>
      </c>
      <c r="AI50" s="566">
        <v>1</v>
      </c>
      <c r="AJ50" s="566">
        <v>1</v>
      </c>
      <c r="AK50" s="566">
        <v>0.550149454703593</v>
      </c>
      <c r="AL50" s="566">
        <v>1</v>
      </c>
      <c r="AM50" s="566">
        <v>1</v>
      </c>
      <c r="AN50" s="566">
        <v>1</v>
      </c>
      <c r="AO50" s="566">
        <v>1</v>
      </c>
      <c r="AP50" s="566">
        <v>1</v>
      </c>
      <c r="AQ50" s="566">
        <v>1</v>
      </c>
      <c r="AR50" s="566">
        <v>1</v>
      </c>
      <c r="AS50" s="566">
        <v>1</v>
      </c>
      <c r="AT50" s="566">
        <v>1</v>
      </c>
      <c r="AU50" s="566">
        <v>1</v>
      </c>
      <c r="AV50" s="566">
        <v>1</v>
      </c>
      <c r="AW50" s="566">
        <v>1</v>
      </c>
      <c r="AX50" s="566">
        <v>1</v>
      </c>
      <c r="AY50" s="566">
        <v>1</v>
      </c>
      <c r="AZ50" s="566">
        <v>1</v>
      </c>
      <c r="BA50" s="566">
        <v>0.45477509237760899</v>
      </c>
      <c r="BB50" s="566">
        <v>1</v>
      </c>
      <c r="BC50" s="566">
        <v>1</v>
      </c>
      <c r="BD50" s="566">
        <v>1</v>
      </c>
      <c r="BE50" s="566">
        <v>1</v>
      </c>
      <c r="BF50" s="566">
        <v>1</v>
      </c>
      <c r="BG50" s="566">
        <v>1</v>
      </c>
      <c r="BH50" s="566">
        <v>0.999999999999998</v>
      </c>
      <c r="BI50" s="566">
        <v>1</v>
      </c>
      <c r="BJ50" s="566">
        <v>1</v>
      </c>
      <c r="BK50" s="566">
        <v>1</v>
      </c>
      <c r="BL50" s="566">
        <v>0.999999999999995</v>
      </c>
      <c r="BM50" s="566">
        <v>1</v>
      </c>
      <c r="BN50" s="566">
        <v>1</v>
      </c>
      <c r="BO50" s="566">
        <v>1</v>
      </c>
      <c r="BP50" s="566">
        <v>0.45442978108703203</v>
      </c>
      <c r="BQ50" s="566">
        <v>1</v>
      </c>
      <c r="BR50" s="566">
        <v>1</v>
      </c>
      <c r="BS50" s="566">
        <v>1</v>
      </c>
      <c r="BT50" s="566">
        <v>0.999999999999999</v>
      </c>
      <c r="BU50" s="566">
        <v>1</v>
      </c>
      <c r="BV50" s="566">
        <v>1</v>
      </c>
      <c r="BW50" s="566">
        <v>1</v>
      </c>
      <c r="BX50" s="566">
        <v>0.999999999999995</v>
      </c>
      <c r="BY50" s="566">
        <v>1</v>
      </c>
      <c r="BZ50" s="566">
        <v>1</v>
      </c>
      <c r="CA50" s="566">
        <v>1</v>
      </c>
      <c r="CB50" s="566">
        <v>0.45442985397019298</v>
      </c>
      <c r="CC50" s="566">
        <v>1</v>
      </c>
      <c r="CD50" s="566">
        <v>1</v>
      </c>
      <c r="CE50" s="566">
        <v>1</v>
      </c>
      <c r="CF50" s="566">
        <v>0.999999999999995</v>
      </c>
      <c r="CG50" s="566">
        <v>1</v>
      </c>
      <c r="CH50" s="566">
        <v>1</v>
      </c>
      <c r="CI50" s="566">
        <v>1</v>
      </c>
      <c r="CJ50" s="566">
        <v>0.999999999999995</v>
      </c>
      <c r="CK50" s="566">
        <v>1</v>
      </c>
      <c r="CL50" s="566">
        <v>1</v>
      </c>
      <c r="CM50" s="566">
        <v>1</v>
      </c>
      <c r="CN50" s="566">
        <v>0.999999999999995</v>
      </c>
      <c r="CO50" s="566">
        <v>1</v>
      </c>
      <c r="CP50" s="566">
        <v>1</v>
      </c>
      <c r="CQ50" s="566">
        <v>1</v>
      </c>
      <c r="CR50" s="566">
        <v>0.45435517720277901</v>
      </c>
      <c r="CS50" s="566">
        <v>1</v>
      </c>
      <c r="CT50" s="566">
        <v>1</v>
      </c>
      <c r="CU50" s="566">
        <v>1</v>
      </c>
      <c r="CV50" s="566">
        <v>1</v>
      </c>
      <c r="CW50" s="566">
        <v>1</v>
      </c>
      <c r="CX50" s="566">
        <v>1</v>
      </c>
      <c r="CY50" s="566">
        <v>0.45435536626580603</v>
      </c>
      <c r="CZ50" s="566">
        <v>1</v>
      </c>
      <c r="DA50" s="566">
        <v>1</v>
      </c>
      <c r="DB50" s="566">
        <v>1</v>
      </c>
      <c r="DC50" s="566">
        <v>0.45435469631116199</v>
      </c>
      <c r="DD50" s="566">
        <v>1</v>
      </c>
      <c r="DE50" s="566">
        <v>1</v>
      </c>
      <c r="DF50" s="566">
        <v>1</v>
      </c>
      <c r="DG50" s="566">
        <v>0.454354604118206</v>
      </c>
      <c r="DH50" s="566">
        <v>1</v>
      </c>
      <c r="DI50" s="566">
        <v>1</v>
      </c>
      <c r="DJ50" s="566">
        <v>1</v>
      </c>
      <c r="DK50" s="566">
        <v>0.99999999999977396</v>
      </c>
      <c r="DL50" s="566">
        <v>1</v>
      </c>
      <c r="DM50" s="566">
        <v>1</v>
      </c>
      <c r="DN50" s="566">
        <v>1</v>
      </c>
      <c r="DO50" s="566">
        <v>0.45435517674509301</v>
      </c>
      <c r="DP50" s="566">
        <v>1</v>
      </c>
      <c r="DQ50" s="566">
        <v>1</v>
      </c>
      <c r="DR50" s="566">
        <v>1</v>
      </c>
      <c r="DS50" s="566">
        <v>1</v>
      </c>
      <c r="DT50" s="566">
        <v>1</v>
      </c>
      <c r="DU50" s="566">
        <v>1</v>
      </c>
      <c r="DV50" s="566">
        <v>0.454353847655183</v>
      </c>
      <c r="DW50" s="566">
        <v>1</v>
      </c>
      <c r="DX50" s="566">
        <v>1</v>
      </c>
      <c r="DY50" s="566">
        <v>1</v>
      </c>
      <c r="DZ50" s="566">
        <v>0.45435347190782899</v>
      </c>
      <c r="EA50" s="566">
        <v>1</v>
      </c>
      <c r="EB50" s="566">
        <v>1</v>
      </c>
      <c r="EC50" s="566">
        <v>1</v>
      </c>
      <c r="ED50" s="566">
        <v>0.454353379628747</v>
      </c>
      <c r="EE50" s="566">
        <v>1</v>
      </c>
      <c r="EF50" s="566">
        <v>1</v>
      </c>
      <c r="EG50" s="566">
        <v>1</v>
      </c>
      <c r="EH50" s="566">
        <v>0.99999999999993505</v>
      </c>
      <c r="EI50" s="566">
        <v>1</v>
      </c>
      <c r="EJ50" s="566">
        <v>1</v>
      </c>
      <c r="EK50" s="566">
        <v>1</v>
      </c>
      <c r="EL50" s="566">
        <v>0.45435299193388201</v>
      </c>
      <c r="EM50" s="566">
        <v>1</v>
      </c>
      <c r="EN50" s="566">
        <v>1</v>
      </c>
      <c r="EO50" s="566">
        <v>1</v>
      </c>
      <c r="EP50" s="566">
        <v>1</v>
      </c>
      <c r="EQ50" s="566">
        <v>1</v>
      </c>
      <c r="ER50" s="566">
        <v>1</v>
      </c>
      <c r="ES50" s="566">
        <v>0.45434713880688299</v>
      </c>
      <c r="ET50" s="566">
        <v>1</v>
      </c>
      <c r="EU50" s="566">
        <v>1</v>
      </c>
      <c r="EV50" s="566">
        <v>1</v>
      </c>
      <c r="EW50" s="566">
        <v>0.45434711285904</v>
      </c>
      <c r="EX50" s="566">
        <v>1</v>
      </c>
      <c r="EY50" s="566">
        <v>1</v>
      </c>
      <c r="EZ50" s="566">
        <v>1</v>
      </c>
      <c r="FA50" s="566">
        <v>0.45434702055846299</v>
      </c>
      <c r="FB50" s="566">
        <v>1</v>
      </c>
      <c r="FC50" s="566">
        <v>1</v>
      </c>
      <c r="FD50" s="566">
        <v>1</v>
      </c>
      <c r="FE50" s="566">
        <v>0.99999999998529199</v>
      </c>
      <c r="FF50" s="566">
        <v>1</v>
      </c>
      <c r="FG50" s="566">
        <v>1</v>
      </c>
      <c r="FH50" s="566">
        <v>1</v>
      </c>
    </row>
    <row r="51" spans="1:164" ht="12.75" customHeight="1" x14ac:dyDescent="0.3">
      <c r="A51" s="422"/>
      <c r="B51" s="422"/>
      <c r="C51" s="422"/>
      <c r="D51" s="422"/>
      <c r="E51" s="422"/>
      <c r="F51" s="568"/>
      <c r="G51" s="569"/>
      <c r="H51" s="439"/>
      <c r="I51" s="574">
        <v>2596526.1053524399</v>
      </c>
      <c r="J51" s="566">
        <v>0.48385755449060802</v>
      </c>
      <c r="K51" s="566">
        <v>1</v>
      </c>
      <c r="L51" s="566">
        <v>1</v>
      </c>
      <c r="M51" s="566">
        <v>1</v>
      </c>
      <c r="N51" s="566">
        <v>1</v>
      </c>
      <c r="O51" s="566">
        <v>1</v>
      </c>
      <c r="P51" s="566">
        <v>1</v>
      </c>
      <c r="Q51" s="566">
        <v>1</v>
      </c>
      <c r="R51" s="566">
        <v>1</v>
      </c>
      <c r="S51" s="566">
        <v>1</v>
      </c>
      <c r="T51" s="566">
        <v>1</v>
      </c>
      <c r="U51" s="566">
        <v>1</v>
      </c>
      <c r="V51" s="566">
        <v>1</v>
      </c>
      <c r="W51" s="566">
        <v>1</v>
      </c>
      <c r="X51" s="566">
        <v>1</v>
      </c>
      <c r="Y51" s="566">
        <v>0.55758550296828102</v>
      </c>
      <c r="Z51" s="566">
        <v>1</v>
      </c>
      <c r="AA51" s="566">
        <v>1</v>
      </c>
      <c r="AB51" s="566">
        <v>1</v>
      </c>
      <c r="AC51" s="566">
        <v>1</v>
      </c>
      <c r="AD51" s="566">
        <v>1</v>
      </c>
      <c r="AE51" s="566">
        <v>1</v>
      </c>
      <c r="AF51" s="566">
        <v>1</v>
      </c>
      <c r="AG51" s="566">
        <v>1</v>
      </c>
      <c r="AH51" s="566">
        <v>1</v>
      </c>
      <c r="AI51" s="566">
        <v>1</v>
      </c>
      <c r="AJ51" s="566">
        <v>1</v>
      </c>
      <c r="AK51" s="566">
        <v>0.55914202689723702</v>
      </c>
      <c r="AL51" s="566">
        <v>1</v>
      </c>
      <c r="AM51" s="566">
        <v>1</v>
      </c>
      <c r="AN51" s="566">
        <v>1</v>
      </c>
      <c r="AO51" s="566">
        <v>1</v>
      </c>
      <c r="AP51" s="566">
        <v>1</v>
      </c>
      <c r="AQ51" s="566">
        <v>1</v>
      </c>
      <c r="AR51" s="566">
        <v>1</v>
      </c>
      <c r="AS51" s="566">
        <v>1</v>
      </c>
      <c r="AT51" s="566">
        <v>1</v>
      </c>
      <c r="AU51" s="566">
        <v>1</v>
      </c>
      <c r="AV51" s="566">
        <v>1</v>
      </c>
      <c r="AW51" s="566">
        <v>1</v>
      </c>
      <c r="AX51" s="566">
        <v>1</v>
      </c>
      <c r="AY51" s="566">
        <v>1</v>
      </c>
      <c r="AZ51" s="566">
        <v>1</v>
      </c>
      <c r="BA51" s="566">
        <v>0.46567421075110499</v>
      </c>
      <c r="BB51" s="566">
        <v>1</v>
      </c>
      <c r="BC51" s="566">
        <v>1</v>
      </c>
      <c r="BD51" s="566">
        <v>1</v>
      </c>
      <c r="BE51" s="566">
        <v>1</v>
      </c>
      <c r="BF51" s="566">
        <v>1</v>
      </c>
      <c r="BG51" s="566">
        <v>1</v>
      </c>
      <c r="BH51" s="566">
        <v>0.999999999999998</v>
      </c>
      <c r="BI51" s="566">
        <v>1</v>
      </c>
      <c r="BJ51" s="566">
        <v>1</v>
      </c>
      <c r="BK51" s="566">
        <v>1</v>
      </c>
      <c r="BL51" s="566">
        <v>0.999999999999996</v>
      </c>
      <c r="BM51" s="566">
        <v>1</v>
      </c>
      <c r="BN51" s="566">
        <v>1</v>
      </c>
      <c r="BO51" s="566">
        <v>1</v>
      </c>
      <c r="BP51" s="566">
        <v>0.46533580227912402</v>
      </c>
      <c r="BQ51" s="566">
        <v>1</v>
      </c>
      <c r="BR51" s="566">
        <v>1</v>
      </c>
      <c r="BS51" s="566">
        <v>1</v>
      </c>
      <c r="BT51" s="566">
        <v>0.999999999999998</v>
      </c>
      <c r="BU51" s="566">
        <v>1</v>
      </c>
      <c r="BV51" s="566">
        <v>1</v>
      </c>
      <c r="BW51" s="566">
        <v>1</v>
      </c>
      <c r="BX51" s="566">
        <v>0.999999999999996</v>
      </c>
      <c r="BY51" s="566">
        <v>1</v>
      </c>
      <c r="BZ51" s="566">
        <v>1</v>
      </c>
      <c r="CA51" s="566">
        <v>1</v>
      </c>
      <c r="CB51" s="566">
        <v>0.46533587370534202</v>
      </c>
      <c r="CC51" s="566">
        <v>1</v>
      </c>
      <c r="CD51" s="566">
        <v>1</v>
      </c>
      <c r="CE51" s="566">
        <v>0.999999999999999</v>
      </c>
      <c r="CF51" s="566">
        <v>0.999999999999995</v>
      </c>
      <c r="CG51" s="566">
        <v>1</v>
      </c>
      <c r="CH51" s="566">
        <v>1</v>
      </c>
      <c r="CI51" s="566">
        <v>1</v>
      </c>
      <c r="CJ51" s="566">
        <v>0.999999999999995</v>
      </c>
      <c r="CK51" s="566">
        <v>1</v>
      </c>
      <c r="CL51" s="566">
        <v>1</v>
      </c>
      <c r="CM51" s="566">
        <v>1</v>
      </c>
      <c r="CN51" s="566">
        <v>0.999999999999994</v>
      </c>
      <c r="CO51" s="566">
        <v>1</v>
      </c>
      <c r="CP51" s="566">
        <v>1</v>
      </c>
      <c r="CQ51" s="566">
        <v>1</v>
      </c>
      <c r="CR51" s="566">
        <v>0.46526268973643398</v>
      </c>
      <c r="CS51" s="566">
        <v>1</v>
      </c>
      <c r="CT51" s="566">
        <v>1</v>
      </c>
      <c r="CU51" s="566">
        <v>1</v>
      </c>
      <c r="CV51" s="566">
        <v>1</v>
      </c>
      <c r="CW51" s="566">
        <v>1</v>
      </c>
      <c r="CX51" s="566">
        <v>1</v>
      </c>
      <c r="CY51" s="566">
        <v>0.46526287502006602</v>
      </c>
      <c r="CZ51" s="566">
        <v>1</v>
      </c>
      <c r="DA51" s="566">
        <v>1</v>
      </c>
      <c r="DB51" s="566">
        <v>1</v>
      </c>
      <c r="DC51" s="566">
        <v>0.465262218457905</v>
      </c>
      <c r="DD51" s="566">
        <v>1</v>
      </c>
      <c r="DE51" s="566">
        <v>1</v>
      </c>
      <c r="DF51" s="566">
        <v>1</v>
      </c>
      <c r="DG51" s="566">
        <v>0.46526212810789902</v>
      </c>
      <c r="DH51" s="566">
        <v>1</v>
      </c>
      <c r="DI51" s="566">
        <v>1</v>
      </c>
      <c r="DJ51" s="566">
        <v>1</v>
      </c>
      <c r="DK51" s="566">
        <v>0.99999999999977895</v>
      </c>
      <c r="DL51" s="566">
        <v>1</v>
      </c>
      <c r="DM51" s="566">
        <v>1</v>
      </c>
      <c r="DN51" s="566">
        <v>1</v>
      </c>
      <c r="DO51" s="566">
        <v>0.46526268928789699</v>
      </c>
      <c r="DP51" s="566">
        <v>1</v>
      </c>
      <c r="DQ51" s="566">
        <v>1</v>
      </c>
      <c r="DR51" s="566">
        <v>1</v>
      </c>
      <c r="DS51" s="566">
        <v>1</v>
      </c>
      <c r="DT51" s="566">
        <v>1</v>
      </c>
      <c r="DU51" s="566">
        <v>1</v>
      </c>
      <c r="DV51" s="566">
        <v>0.465261386766672</v>
      </c>
      <c r="DW51" s="566">
        <v>1</v>
      </c>
      <c r="DX51" s="566">
        <v>1</v>
      </c>
      <c r="DY51" s="566">
        <v>1</v>
      </c>
      <c r="DZ51" s="566">
        <v>0.46526101853055801</v>
      </c>
      <c r="EA51" s="566">
        <v>1</v>
      </c>
      <c r="EB51" s="566">
        <v>1</v>
      </c>
      <c r="EC51" s="566">
        <v>1</v>
      </c>
      <c r="ED51" s="566">
        <v>0.465260928096147</v>
      </c>
      <c r="EE51" s="566">
        <v>1</v>
      </c>
      <c r="EF51" s="566">
        <v>1</v>
      </c>
      <c r="EG51" s="566">
        <v>1</v>
      </c>
      <c r="EH51" s="566">
        <v>0.99999999999993605</v>
      </c>
      <c r="EI51" s="566">
        <v>1</v>
      </c>
      <c r="EJ51" s="566">
        <v>1</v>
      </c>
      <c r="EK51" s="566">
        <v>1</v>
      </c>
      <c r="EL51" s="566">
        <v>0.46526054815135298</v>
      </c>
      <c r="EM51" s="566">
        <v>1</v>
      </c>
      <c r="EN51" s="566">
        <v>1</v>
      </c>
      <c r="EO51" s="566">
        <v>1</v>
      </c>
      <c r="EP51" s="566">
        <v>1</v>
      </c>
      <c r="EQ51" s="566">
        <v>1</v>
      </c>
      <c r="ER51" s="566">
        <v>1</v>
      </c>
      <c r="ES51" s="566">
        <v>0.46525481202913999</v>
      </c>
      <c r="ET51" s="566">
        <v>1</v>
      </c>
      <c r="EU51" s="566">
        <v>1</v>
      </c>
      <c r="EV51" s="566">
        <v>1</v>
      </c>
      <c r="EW51" s="566">
        <v>0.46525478659999903</v>
      </c>
      <c r="EX51" s="566">
        <v>1</v>
      </c>
      <c r="EY51" s="566">
        <v>1</v>
      </c>
      <c r="EZ51" s="566">
        <v>1</v>
      </c>
      <c r="FA51" s="566">
        <v>0.46525469614452197</v>
      </c>
      <c r="FB51" s="566">
        <v>1</v>
      </c>
      <c r="FC51" s="566">
        <v>1</v>
      </c>
      <c r="FD51" s="566">
        <v>1</v>
      </c>
      <c r="FE51" s="566">
        <v>0.99999999998558597</v>
      </c>
      <c r="FF51" s="566">
        <v>1</v>
      </c>
      <c r="FG51" s="566">
        <v>1</v>
      </c>
      <c r="FH51" s="566">
        <v>1</v>
      </c>
    </row>
    <row r="52" spans="1:164" ht="12.75" customHeight="1" x14ac:dyDescent="0.3">
      <c r="A52" s="422"/>
      <c r="B52" s="422"/>
      <c r="C52" s="422"/>
      <c r="D52" s="422"/>
      <c r="E52" s="422"/>
      <c r="F52" s="568"/>
      <c r="G52" s="569"/>
      <c r="H52" s="439"/>
      <c r="I52" s="574">
        <v>2680285.0119767101</v>
      </c>
      <c r="J52" s="566">
        <v>0.49417531058135999</v>
      </c>
      <c r="K52" s="566">
        <v>1</v>
      </c>
      <c r="L52" s="566">
        <v>1</v>
      </c>
      <c r="M52" s="566">
        <v>1</v>
      </c>
      <c r="N52" s="566">
        <v>1</v>
      </c>
      <c r="O52" s="566">
        <v>1</v>
      </c>
      <c r="P52" s="566">
        <v>1</v>
      </c>
      <c r="Q52" s="566">
        <v>1</v>
      </c>
      <c r="R52" s="566">
        <v>1</v>
      </c>
      <c r="S52" s="566">
        <v>1</v>
      </c>
      <c r="T52" s="566">
        <v>1</v>
      </c>
      <c r="U52" s="566">
        <v>1</v>
      </c>
      <c r="V52" s="566">
        <v>1</v>
      </c>
      <c r="W52" s="566">
        <v>1</v>
      </c>
      <c r="X52" s="566">
        <v>1</v>
      </c>
      <c r="Y52" s="566">
        <v>0.56642942756913495</v>
      </c>
      <c r="Z52" s="566">
        <v>1</v>
      </c>
      <c r="AA52" s="566">
        <v>1</v>
      </c>
      <c r="AB52" s="566">
        <v>1</v>
      </c>
      <c r="AC52" s="566">
        <v>1</v>
      </c>
      <c r="AD52" s="566">
        <v>1</v>
      </c>
      <c r="AE52" s="566">
        <v>1</v>
      </c>
      <c r="AF52" s="566">
        <v>1</v>
      </c>
      <c r="AG52" s="566">
        <v>1</v>
      </c>
      <c r="AH52" s="566">
        <v>1</v>
      </c>
      <c r="AI52" s="566">
        <v>1</v>
      </c>
      <c r="AJ52" s="566">
        <v>1</v>
      </c>
      <c r="AK52" s="566">
        <v>0.56795483637786004</v>
      </c>
      <c r="AL52" s="566">
        <v>1</v>
      </c>
      <c r="AM52" s="566">
        <v>1</v>
      </c>
      <c r="AN52" s="566">
        <v>1</v>
      </c>
      <c r="AO52" s="566">
        <v>1</v>
      </c>
      <c r="AP52" s="566">
        <v>1</v>
      </c>
      <c r="AQ52" s="566">
        <v>1</v>
      </c>
      <c r="AR52" s="566">
        <v>1</v>
      </c>
      <c r="AS52" s="566">
        <v>1</v>
      </c>
      <c r="AT52" s="566">
        <v>1</v>
      </c>
      <c r="AU52" s="566">
        <v>1</v>
      </c>
      <c r="AV52" s="566">
        <v>1</v>
      </c>
      <c r="AW52" s="566">
        <v>1</v>
      </c>
      <c r="AX52" s="566">
        <v>1</v>
      </c>
      <c r="AY52" s="566">
        <v>1</v>
      </c>
      <c r="AZ52" s="566">
        <v>1</v>
      </c>
      <c r="BA52" s="566">
        <v>0.476355454300117</v>
      </c>
      <c r="BB52" s="566">
        <v>1</v>
      </c>
      <c r="BC52" s="566">
        <v>1</v>
      </c>
      <c r="BD52" s="566">
        <v>1</v>
      </c>
      <c r="BE52" s="566">
        <v>1</v>
      </c>
      <c r="BF52" s="566">
        <v>1</v>
      </c>
      <c r="BG52" s="566">
        <v>1</v>
      </c>
      <c r="BH52" s="566">
        <v>0.999999999999998</v>
      </c>
      <c r="BI52" s="566">
        <v>1</v>
      </c>
      <c r="BJ52" s="566">
        <v>1</v>
      </c>
      <c r="BK52" s="566">
        <v>1</v>
      </c>
      <c r="BL52" s="566">
        <v>0.999999999999996</v>
      </c>
      <c r="BM52" s="566">
        <v>1</v>
      </c>
      <c r="BN52" s="566">
        <v>1</v>
      </c>
      <c r="BO52" s="566">
        <v>1</v>
      </c>
      <c r="BP52" s="566">
        <v>0.47602381065847199</v>
      </c>
      <c r="BQ52" s="566">
        <v>1</v>
      </c>
      <c r="BR52" s="566">
        <v>1</v>
      </c>
      <c r="BS52" s="566">
        <v>1</v>
      </c>
      <c r="BT52" s="566">
        <v>0.999999999999998</v>
      </c>
      <c r="BU52" s="566">
        <v>1</v>
      </c>
      <c r="BV52" s="566">
        <v>1</v>
      </c>
      <c r="BW52" s="566">
        <v>1</v>
      </c>
      <c r="BX52" s="566">
        <v>0.999999999999996</v>
      </c>
      <c r="BY52" s="566">
        <v>1</v>
      </c>
      <c r="BZ52" s="566">
        <v>1</v>
      </c>
      <c r="CA52" s="566">
        <v>1</v>
      </c>
      <c r="CB52" s="566">
        <v>0.47602388065687001</v>
      </c>
      <c r="CC52" s="566">
        <v>1</v>
      </c>
      <c r="CD52" s="566">
        <v>1</v>
      </c>
      <c r="CE52" s="566">
        <v>1</v>
      </c>
      <c r="CF52" s="566">
        <v>0.999999999999995</v>
      </c>
      <c r="CG52" s="566">
        <v>1</v>
      </c>
      <c r="CH52" s="566">
        <v>1</v>
      </c>
      <c r="CI52" s="566">
        <v>1</v>
      </c>
      <c r="CJ52" s="566">
        <v>0.999999999999995</v>
      </c>
      <c r="CK52" s="566">
        <v>1</v>
      </c>
      <c r="CL52" s="566">
        <v>1</v>
      </c>
      <c r="CM52" s="566">
        <v>1</v>
      </c>
      <c r="CN52" s="566">
        <v>0.999999999999995</v>
      </c>
      <c r="CO52" s="566">
        <v>1</v>
      </c>
      <c r="CP52" s="566">
        <v>1</v>
      </c>
      <c r="CQ52" s="566">
        <v>1</v>
      </c>
      <c r="CR52" s="566">
        <v>0.47595215964522802</v>
      </c>
      <c r="CS52" s="566">
        <v>1</v>
      </c>
      <c r="CT52" s="566">
        <v>1</v>
      </c>
      <c r="CU52" s="566">
        <v>1</v>
      </c>
      <c r="CV52" s="566">
        <v>1</v>
      </c>
      <c r="CW52" s="566">
        <v>1</v>
      </c>
      <c r="CX52" s="566">
        <v>1</v>
      </c>
      <c r="CY52" s="566">
        <v>0.47595234122501601</v>
      </c>
      <c r="CZ52" s="566">
        <v>1</v>
      </c>
      <c r="DA52" s="566">
        <v>1</v>
      </c>
      <c r="DB52" s="566">
        <v>1</v>
      </c>
      <c r="DC52" s="566">
        <v>0.47595169778761998</v>
      </c>
      <c r="DD52" s="566">
        <v>1</v>
      </c>
      <c r="DE52" s="566">
        <v>1</v>
      </c>
      <c r="DF52" s="566">
        <v>1</v>
      </c>
      <c r="DG52" s="566">
        <v>0.47595160924372198</v>
      </c>
      <c r="DH52" s="566">
        <v>1</v>
      </c>
      <c r="DI52" s="566">
        <v>1</v>
      </c>
      <c r="DJ52" s="566">
        <v>1</v>
      </c>
      <c r="DK52" s="566">
        <v>0.99999999999978295</v>
      </c>
      <c r="DL52" s="566">
        <v>1</v>
      </c>
      <c r="DM52" s="566">
        <v>1</v>
      </c>
      <c r="DN52" s="566">
        <v>1</v>
      </c>
      <c r="DO52" s="566">
        <v>0.47595215920565698</v>
      </c>
      <c r="DP52" s="566">
        <v>1</v>
      </c>
      <c r="DQ52" s="566">
        <v>1</v>
      </c>
      <c r="DR52" s="566">
        <v>1</v>
      </c>
      <c r="DS52" s="566">
        <v>1</v>
      </c>
      <c r="DT52" s="566">
        <v>1</v>
      </c>
      <c r="DU52" s="566">
        <v>1</v>
      </c>
      <c r="DV52" s="566">
        <v>0.47595088272200398</v>
      </c>
      <c r="DW52" s="566">
        <v>1</v>
      </c>
      <c r="DX52" s="566">
        <v>1</v>
      </c>
      <c r="DY52" s="566">
        <v>1</v>
      </c>
      <c r="DZ52" s="566">
        <v>0.475950521846979</v>
      </c>
      <c r="EA52" s="566">
        <v>1</v>
      </c>
      <c r="EB52" s="566">
        <v>1</v>
      </c>
      <c r="EC52" s="566">
        <v>1</v>
      </c>
      <c r="ED52" s="566">
        <v>0.47595043322036401</v>
      </c>
      <c r="EE52" s="566">
        <v>1</v>
      </c>
      <c r="EF52" s="566">
        <v>1</v>
      </c>
      <c r="EG52" s="566">
        <v>1</v>
      </c>
      <c r="EH52" s="566">
        <v>0.99999999999993705</v>
      </c>
      <c r="EI52" s="566">
        <v>1</v>
      </c>
      <c r="EJ52" s="566">
        <v>1</v>
      </c>
      <c r="EK52" s="566">
        <v>1</v>
      </c>
      <c r="EL52" s="566">
        <v>0.47595006087071801</v>
      </c>
      <c r="EM52" s="566">
        <v>1</v>
      </c>
      <c r="EN52" s="566">
        <v>1</v>
      </c>
      <c r="EO52" s="566">
        <v>1</v>
      </c>
      <c r="EP52" s="566">
        <v>1</v>
      </c>
      <c r="EQ52" s="566">
        <v>1</v>
      </c>
      <c r="ER52" s="566">
        <v>1</v>
      </c>
      <c r="ES52" s="566">
        <v>0.47594443941435</v>
      </c>
      <c r="ET52" s="566">
        <v>1</v>
      </c>
      <c r="EU52" s="566">
        <v>1</v>
      </c>
      <c r="EV52" s="566">
        <v>1</v>
      </c>
      <c r="EW52" s="566">
        <v>0.47594441449354102</v>
      </c>
      <c r="EX52" s="566">
        <v>1</v>
      </c>
      <c r="EY52" s="566">
        <v>1</v>
      </c>
      <c r="EZ52" s="566">
        <v>1</v>
      </c>
      <c r="FA52" s="566">
        <v>0.47594432584628099</v>
      </c>
      <c r="FB52" s="566">
        <v>1</v>
      </c>
      <c r="FC52" s="566">
        <v>1</v>
      </c>
      <c r="FD52" s="566">
        <v>1</v>
      </c>
      <c r="FE52" s="566">
        <v>0.99999999998587497</v>
      </c>
      <c r="FF52" s="566">
        <v>1</v>
      </c>
      <c r="FG52" s="566">
        <v>1</v>
      </c>
      <c r="FH52" s="566">
        <v>1</v>
      </c>
    </row>
    <row r="53" spans="1:164" ht="12.75" customHeight="1" x14ac:dyDescent="0.3">
      <c r="A53" s="422"/>
      <c r="B53" s="422"/>
      <c r="C53" s="422"/>
      <c r="D53" s="422"/>
      <c r="E53" s="422"/>
      <c r="F53" s="568"/>
      <c r="G53" s="569"/>
      <c r="H53" s="439"/>
      <c r="I53" s="574">
        <v>2764043.9186009802</v>
      </c>
      <c r="J53" s="566">
        <v>0.50428681335540204</v>
      </c>
      <c r="K53" s="566">
        <v>1</v>
      </c>
      <c r="L53" s="566">
        <v>1</v>
      </c>
      <c r="M53" s="566">
        <v>1</v>
      </c>
      <c r="N53" s="566">
        <v>1</v>
      </c>
      <c r="O53" s="566">
        <v>1</v>
      </c>
      <c r="P53" s="566">
        <v>1</v>
      </c>
      <c r="Q53" s="566">
        <v>1</v>
      </c>
      <c r="R53" s="566">
        <v>1</v>
      </c>
      <c r="S53" s="566">
        <v>1</v>
      </c>
      <c r="T53" s="566">
        <v>1</v>
      </c>
      <c r="U53" s="566">
        <v>1</v>
      </c>
      <c r="V53" s="566">
        <v>1</v>
      </c>
      <c r="W53" s="566">
        <v>1</v>
      </c>
      <c r="X53" s="566">
        <v>1</v>
      </c>
      <c r="Y53" s="566">
        <v>0.57509656094081096</v>
      </c>
      <c r="Z53" s="566">
        <v>1</v>
      </c>
      <c r="AA53" s="566">
        <v>1</v>
      </c>
      <c r="AB53" s="566">
        <v>1</v>
      </c>
      <c r="AC53" s="566">
        <v>1</v>
      </c>
      <c r="AD53" s="566">
        <v>1</v>
      </c>
      <c r="AE53" s="566">
        <v>1</v>
      </c>
      <c r="AF53" s="566">
        <v>1</v>
      </c>
      <c r="AG53" s="566">
        <v>1</v>
      </c>
      <c r="AH53" s="566">
        <v>1</v>
      </c>
      <c r="AI53" s="566">
        <v>1</v>
      </c>
      <c r="AJ53" s="566">
        <v>1</v>
      </c>
      <c r="AK53" s="566">
        <v>0.57659147662469701</v>
      </c>
      <c r="AL53" s="566">
        <v>1</v>
      </c>
      <c r="AM53" s="566">
        <v>1</v>
      </c>
      <c r="AN53" s="566">
        <v>1</v>
      </c>
      <c r="AO53" s="566">
        <v>1</v>
      </c>
      <c r="AP53" s="566">
        <v>1</v>
      </c>
      <c r="AQ53" s="566">
        <v>1</v>
      </c>
      <c r="AR53" s="566">
        <v>1</v>
      </c>
      <c r="AS53" s="566">
        <v>1</v>
      </c>
      <c r="AT53" s="566">
        <v>1</v>
      </c>
      <c r="AU53" s="566">
        <v>1</v>
      </c>
      <c r="AV53" s="566">
        <v>1</v>
      </c>
      <c r="AW53" s="566">
        <v>1</v>
      </c>
      <c r="AX53" s="566">
        <v>1</v>
      </c>
      <c r="AY53" s="566">
        <v>1</v>
      </c>
      <c r="AZ53" s="566">
        <v>1</v>
      </c>
      <c r="BA53" s="566">
        <v>0.48682317836977801</v>
      </c>
      <c r="BB53" s="566">
        <v>1</v>
      </c>
      <c r="BC53" s="566">
        <v>1</v>
      </c>
      <c r="BD53" s="566">
        <v>1</v>
      </c>
      <c r="BE53" s="566">
        <v>1</v>
      </c>
      <c r="BF53" s="566">
        <v>1</v>
      </c>
      <c r="BG53" s="566">
        <v>1</v>
      </c>
      <c r="BH53" s="566">
        <v>0.999999999999998</v>
      </c>
      <c r="BI53" s="566">
        <v>1</v>
      </c>
      <c r="BJ53" s="566">
        <v>1</v>
      </c>
      <c r="BK53" s="566">
        <v>1</v>
      </c>
      <c r="BL53" s="566">
        <v>0.999999999999996</v>
      </c>
      <c r="BM53" s="566">
        <v>1</v>
      </c>
      <c r="BN53" s="566">
        <v>1</v>
      </c>
      <c r="BO53" s="566">
        <v>1</v>
      </c>
      <c r="BP53" s="566">
        <v>0.48649816432861098</v>
      </c>
      <c r="BQ53" s="566">
        <v>1</v>
      </c>
      <c r="BR53" s="566">
        <v>1</v>
      </c>
      <c r="BS53" s="566">
        <v>1</v>
      </c>
      <c r="BT53" s="566">
        <v>0.999999999999998</v>
      </c>
      <c r="BU53" s="566">
        <v>1</v>
      </c>
      <c r="BV53" s="566">
        <v>1</v>
      </c>
      <c r="BW53" s="566">
        <v>1</v>
      </c>
      <c r="BX53" s="566">
        <v>0.999999999999996</v>
      </c>
      <c r="BY53" s="566">
        <v>1</v>
      </c>
      <c r="BZ53" s="566">
        <v>1</v>
      </c>
      <c r="CA53" s="566">
        <v>1</v>
      </c>
      <c r="CB53" s="566">
        <v>0.48649823292773098</v>
      </c>
      <c r="CC53" s="566">
        <v>1</v>
      </c>
      <c r="CD53" s="566">
        <v>1</v>
      </c>
      <c r="CE53" s="566">
        <v>1</v>
      </c>
      <c r="CF53" s="566">
        <v>0.999999999999994</v>
      </c>
      <c r="CG53" s="566">
        <v>1</v>
      </c>
      <c r="CH53" s="566">
        <v>1</v>
      </c>
      <c r="CI53" s="566">
        <v>1</v>
      </c>
      <c r="CJ53" s="566">
        <v>0.999999999999995</v>
      </c>
      <c r="CK53" s="566">
        <v>1</v>
      </c>
      <c r="CL53" s="566">
        <v>1</v>
      </c>
      <c r="CM53" s="566">
        <v>1</v>
      </c>
      <c r="CN53" s="566">
        <v>0.999999999999995</v>
      </c>
      <c r="CO53" s="566">
        <v>1</v>
      </c>
      <c r="CP53" s="566">
        <v>1</v>
      </c>
      <c r="CQ53" s="566">
        <v>1</v>
      </c>
      <c r="CR53" s="566">
        <v>0.486427945628645</v>
      </c>
      <c r="CS53" s="566">
        <v>1</v>
      </c>
      <c r="CT53" s="566">
        <v>1</v>
      </c>
      <c r="CU53" s="566">
        <v>1</v>
      </c>
      <c r="CV53" s="566">
        <v>1</v>
      </c>
      <c r="CW53" s="566">
        <v>1</v>
      </c>
      <c r="CX53" s="566">
        <v>1</v>
      </c>
      <c r="CY53" s="566">
        <v>0.48642812357862902</v>
      </c>
      <c r="CZ53" s="566">
        <v>1</v>
      </c>
      <c r="DA53" s="566">
        <v>1</v>
      </c>
      <c r="DB53" s="566">
        <v>1</v>
      </c>
      <c r="DC53" s="566">
        <v>0.48642749300363203</v>
      </c>
      <c r="DD53" s="566">
        <v>1</v>
      </c>
      <c r="DE53" s="566">
        <v>1</v>
      </c>
      <c r="DF53" s="566">
        <v>1</v>
      </c>
      <c r="DG53" s="566">
        <v>0.48642740622973801</v>
      </c>
      <c r="DH53" s="566">
        <v>1</v>
      </c>
      <c r="DI53" s="566">
        <v>1</v>
      </c>
      <c r="DJ53" s="566">
        <v>1</v>
      </c>
      <c r="DK53" s="566">
        <v>0.99999999999978695</v>
      </c>
      <c r="DL53" s="566">
        <v>1</v>
      </c>
      <c r="DM53" s="566">
        <v>1</v>
      </c>
      <c r="DN53" s="566">
        <v>1</v>
      </c>
      <c r="DO53" s="566">
        <v>0.48642794519786098</v>
      </c>
      <c r="DP53" s="566">
        <v>1</v>
      </c>
      <c r="DQ53" s="566">
        <v>1</v>
      </c>
      <c r="DR53" s="566">
        <v>1</v>
      </c>
      <c r="DS53" s="566">
        <v>1</v>
      </c>
      <c r="DT53" s="566">
        <v>1</v>
      </c>
      <c r="DU53" s="566">
        <v>1</v>
      </c>
      <c r="DV53" s="566">
        <v>0.48642669423128598</v>
      </c>
      <c r="DW53" s="566">
        <v>1</v>
      </c>
      <c r="DX53" s="566">
        <v>1</v>
      </c>
      <c r="DY53" s="566">
        <v>1</v>
      </c>
      <c r="DZ53" s="566">
        <v>0.48642634057020101</v>
      </c>
      <c r="EA53" s="566">
        <v>1</v>
      </c>
      <c r="EB53" s="566">
        <v>1</v>
      </c>
      <c r="EC53" s="566">
        <v>1</v>
      </c>
      <c r="ED53" s="566">
        <v>0.48642625371524301</v>
      </c>
      <c r="EE53" s="566">
        <v>1</v>
      </c>
      <c r="EF53" s="566">
        <v>1</v>
      </c>
      <c r="EG53" s="566">
        <v>1</v>
      </c>
      <c r="EH53" s="566">
        <v>0.99999999999993905</v>
      </c>
      <c r="EI53" s="566">
        <v>1</v>
      </c>
      <c r="EJ53" s="566">
        <v>1</v>
      </c>
      <c r="EK53" s="566">
        <v>1</v>
      </c>
      <c r="EL53" s="566">
        <v>0.48642588880891602</v>
      </c>
      <c r="EM53" s="566">
        <v>1</v>
      </c>
      <c r="EN53" s="566">
        <v>1</v>
      </c>
      <c r="EO53" s="566">
        <v>1</v>
      </c>
      <c r="EP53" s="566">
        <v>1</v>
      </c>
      <c r="EQ53" s="566">
        <v>1</v>
      </c>
      <c r="ER53" s="566">
        <v>1</v>
      </c>
      <c r="ES53" s="566">
        <v>0.486420379726209</v>
      </c>
      <c r="ET53" s="566">
        <v>1</v>
      </c>
      <c r="EU53" s="566">
        <v>1</v>
      </c>
      <c r="EV53" s="566">
        <v>1</v>
      </c>
      <c r="EW53" s="566">
        <v>0.48642035530356997</v>
      </c>
      <c r="EX53" s="566">
        <v>1</v>
      </c>
      <c r="EY53" s="566">
        <v>1</v>
      </c>
      <c r="EZ53" s="566">
        <v>1</v>
      </c>
      <c r="FA53" s="566">
        <v>0.48642026842838099</v>
      </c>
      <c r="FB53" s="566">
        <v>1</v>
      </c>
      <c r="FC53" s="566">
        <v>1</v>
      </c>
      <c r="FD53" s="566">
        <v>1</v>
      </c>
      <c r="FE53" s="566">
        <v>0.99999999998615696</v>
      </c>
      <c r="FF53" s="566">
        <v>1</v>
      </c>
      <c r="FG53" s="566">
        <v>1</v>
      </c>
      <c r="FH53" s="566">
        <v>1</v>
      </c>
    </row>
    <row r="54" spans="1:164" ht="12.75" customHeight="1" x14ac:dyDescent="0.3">
      <c r="A54" s="422"/>
      <c r="B54" s="422"/>
      <c r="C54" s="422"/>
      <c r="D54" s="422"/>
      <c r="E54" s="422"/>
      <c r="F54" s="568"/>
      <c r="G54" s="569"/>
      <c r="H54" s="439"/>
      <c r="I54" s="574">
        <v>2847802.8252252601</v>
      </c>
      <c r="J54" s="566">
        <v>0.51419618584503501</v>
      </c>
      <c r="K54" s="566">
        <v>1</v>
      </c>
      <c r="L54" s="566">
        <v>1</v>
      </c>
      <c r="M54" s="566">
        <v>1</v>
      </c>
      <c r="N54" s="566">
        <v>1</v>
      </c>
      <c r="O54" s="566">
        <v>1</v>
      </c>
      <c r="P54" s="566">
        <v>1</v>
      </c>
      <c r="Q54" s="566">
        <v>1</v>
      </c>
      <c r="R54" s="566">
        <v>1</v>
      </c>
      <c r="S54" s="566">
        <v>1</v>
      </c>
      <c r="T54" s="566">
        <v>1</v>
      </c>
      <c r="U54" s="566">
        <v>1</v>
      </c>
      <c r="V54" s="566">
        <v>1</v>
      </c>
      <c r="W54" s="566">
        <v>1</v>
      </c>
      <c r="X54" s="566">
        <v>1</v>
      </c>
      <c r="Y54" s="566">
        <v>0.58359043716440695</v>
      </c>
      <c r="Z54" s="566">
        <v>1</v>
      </c>
      <c r="AA54" s="566">
        <v>1</v>
      </c>
      <c r="AB54" s="566">
        <v>0.999999999999999</v>
      </c>
      <c r="AC54" s="566">
        <v>1</v>
      </c>
      <c r="AD54" s="566">
        <v>1</v>
      </c>
      <c r="AE54" s="566">
        <v>1</v>
      </c>
      <c r="AF54" s="566">
        <v>1</v>
      </c>
      <c r="AG54" s="566">
        <v>1</v>
      </c>
      <c r="AH54" s="566">
        <v>1</v>
      </c>
      <c r="AI54" s="566">
        <v>1</v>
      </c>
      <c r="AJ54" s="566">
        <v>1</v>
      </c>
      <c r="AK54" s="566">
        <v>0.58505546928507302</v>
      </c>
      <c r="AL54" s="566">
        <v>1</v>
      </c>
      <c r="AM54" s="566">
        <v>0.999999999999999</v>
      </c>
      <c r="AN54" s="566">
        <v>1</v>
      </c>
      <c r="AO54" s="566">
        <v>1</v>
      </c>
      <c r="AP54" s="566">
        <v>1</v>
      </c>
      <c r="AQ54" s="566">
        <v>1</v>
      </c>
      <c r="AR54" s="566">
        <v>1</v>
      </c>
      <c r="AS54" s="566">
        <v>1</v>
      </c>
      <c r="AT54" s="566">
        <v>1</v>
      </c>
      <c r="AU54" s="566">
        <v>1</v>
      </c>
      <c r="AV54" s="566">
        <v>1</v>
      </c>
      <c r="AW54" s="566">
        <v>1</v>
      </c>
      <c r="AX54" s="566">
        <v>1</v>
      </c>
      <c r="AY54" s="566">
        <v>1</v>
      </c>
      <c r="AZ54" s="566">
        <v>1</v>
      </c>
      <c r="BA54" s="566">
        <v>0.49708165124398401</v>
      </c>
      <c r="BB54" s="566">
        <v>1</v>
      </c>
      <c r="BC54" s="566">
        <v>1</v>
      </c>
      <c r="BD54" s="566">
        <v>1</v>
      </c>
      <c r="BE54" s="566">
        <v>1</v>
      </c>
      <c r="BF54" s="566">
        <v>1</v>
      </c>
      <c r="BG54" s="566">
        <v>1</v>
      </c>
      <c r="BH54" s="566">
        <v>0.999999999999998</v>
      </c>
      <c r="BI54" s="566">
        <v>1</v>
      </c>
      <c r="BJ54" s="566">
        <v>1</v>
      </c>
      <c r="BK54" s="566">
        <v>1</v>
      </c>
      <c r="BL54" s="566">
        <v>0.999999999999996</v>
      </c>
      <c r="BM54" s="566">
        <v>1</v>
      </c>
      <c r="BN54" s="566">
        <v>1</v>
      </c>
      <c r="BO54" s="566">
        <v>1</v>
      </c>
      <c r="BP54" s="566">
        <v>0.49676313427669899</v>
      </c>
      <c r="BQ54" s="566">
        <v>1</v>
      </c>
      <c r="BR54" s="566">
        <v>1</v>
      </c>
      <c r="BS54" s="566">
        <v>1</v>
      </c>
      <c r="BT54" s="566">
        <v>0.999999999999999</v>
      </c>
      <c r="BU54" s="566">
        <v>1</v>
      </c>
      <c r="BV54" s="566">
        <v>1</v>
      </c>
      <c r="BW54" s="566">
        <v>1</v>
      </c>
      <c r="BX54" s="566">
        <v>0.999999999999996</v>
      </c>
      <c r="BY54" s="566">
        <v>1</v>
      </c>
      <c r="BZ54" s="566">
        <v>1</v>
      </c>
      <c r="CA54" s="566">
        <v>1</v>
      </c>
      <c r="CB54" s="566">
        <v>0.49676320150451397</v>
      </c>
      <c r="CC54" s="566">
        <v>1</v>
      </c>
      <c r="CD54" s="566">
        <v>1</v>
      </c>
      <c r="CE54" s="566">
        <v>1</v>
      </c>
      <c r="CF54" s="566">
        <v>0.999999999999995</v>
      </c>
      <c r="CG54" s="566">
        <v>1</v>
      </c>
      <c r="CH54" s="566">
        <v>1</v>
      </c>
      <c r="CI54" s="566">
        <v>1</v>
      </c>
      <c r="CJ54" s="566">
        <v>0.999999999999996</v>
      </c>
      <c r="CK54" s="566">
        <v>1</v>
      </c>
      <c r="CL54" s="566">
        <v>1</v>
      </c>
      <c r="CM54" s="566">
        <v>1</v>
      </c>
      <c r="CN54" s="566">
        <v>0.999999999999995</v>
      </c>
      <c r="CO54" s="566">
        <v>1</v>
      </c>
      <c r="CP54" s="566">
        <v>1</v>
      </c>
      <c r="CQ54" s="566">
        <v>1</v>
      </c>
      <c r="CR54" s="566">
        <v>0.49669431925787999</v>
      </c>
      <c r="CS54" s="566">
        <v>1</v>
      </c>
      <c r="CT54" s="566">
        <v>1</v>
      </c>
      <c r="CU54" s="566">
        <v>1</v>
      </c>
      <c r="CV54" s="566">
        <v>1</v>
      </c>
      <c r="CW54" s="566">
        <v>1</v>
      </c>
      <c r="CX54" s="566">
        <v>1</v>
      </c>
      <c r="CY54" s="566">
        <v>0.49669449365061902</v>
      </c>
      <c r="CZ54" s="566">
        <v>1</v>
      </c>
      <c r="DA54" s="566">
        <v>1</v>
      </c>
      <c r="DB54" s="566">
        <v>1</v>
      </c>
      <c r="DC54" s="566">
        <v>0.49669387568090001</v>
      </c>
      <c r="DD54" s="566">
        <v>1</v>
      </c>
      <c r="DE54" s="566">
        <v>1</v>
      </c>
      <c r="DF54" s="566">
        <v>1</v>
      </c>
      <c r="DG54" s="566">
        <v>0.496693790641628</v>
      </c>
      <c r="DH54" s="566">
        <v>1</v>
      </c>
      <c r="DI54" s="566">
        <v>1</v>
      </c>
      <c r="DJ54" s="566">
        <v>1</v>
      </c>
      <c r="DK54" s="566">
        <v>0.99999999999979206</v>
      </c>
      <c r="DL54" s="566">
        <v>1</v>
      </c>
      <c r="DM54" s="566">
        <v>1</v>
      </c>
      <c r="DN54" s="566">
        <v>1</v>
      </c>
      <c r="DO54" s="566">
        <v>0.49669431883570703</v>
      </c>
      <c r="DP54" s="566">
        <v>1</v>
      </c>
      <c r="DQ54" s="566">
        <v>1</v>
      </c>
      <c r="DR54" s="566">
        <v>1</v>
      </c>
      <c r="DS54" s="566">
        <v>1</v>
      </c>
      <c r="DT54" s="566">
        <v>1</v>
      </c>
      <c r="DU54" s="566">
        <v>1</v>
      </c>
      <c r="DV54" s="566">
        <v>0.49669309287612001</v>
      </c>
      <c r="DW54" s="566">
        <v>1</v>
      </c>
      <c r="DX54" s="566">
        <v>1</v>
      </c>
      <c r="DY54" s="566">
        <v>1</v>
      </c>
      <c r="DZ54" s="566">
        <v>0.49669274628476701</v>
      </c>
      <c r="EA54" s="566">
        <v>1</v>
      </c>
      <c r="EB54" s="566">
        <v>1</v>
      </c>
      <c r="EC54" s="566">
        <v>1</v>
      </c>
      <c r="ED54" s="566">
        <v>0.49669266116605099</v>
      </c>
      <c r="EE54" s="566">
        <v>1</v>
      </c>
      <c r="EF54" s="566">
        <v>1</v>
      </c>
      <c r="EG54" s="566">
        <v>1</v>
      </c>
      <c r="EH54" s="566">
        <v>0.99999999999994005</v>
      </c>
      <c r="EI54" s="566">
        <v>1</v>
      </c>
      <c r="EJ54" s="566">
        <v>1</v>
      </c>
      <c r="EK54" s="566">
        <v>1</v>
      </c>
      <c r="EL54" s="566">
        <v>0.49669230355424998</v>
      </c>
      <c r="EM54" s="566">
        <v>1</v>
      </c>
      <c r="EN54" s="566">
        <v>1</v>
      </c>
      <c r="EO54" s="566">
        <v>1</v>
      </c>
      <c r="EP54" s="566">
        <v>1</v>
      </c>
      <c r="EQ54" s="566">
        <v>1</v>
      </c>
      <c r="ER54" s="566">
        <v>1</v>
      </c>
      <c r="ES54" s="566">
        <v>0.49668690459883902</v>
      </c>
      <c r="ET54" s="566">
        <v>1</v>
      </c>
      <c r="EU54" s="566">
        <v>1</v>
      </c>
      <c r="EV54" s="566">
        <v>1</v>
      </c>
      <c r="EW54" s="566">
        <v>0.49668688066441102</v>
      </c>
      <c r="EX54" s="566">
        <v>1</v>
      </c>
      <c r="EY54" s="566">
        <v>1</v>
      </c>
      <c r="EZ54" s="566">
        <v>1</v>
      </c>
      <c r="FA54" s="566">
        <v>0.49668679552586897</v>
      </c>
      <c r="FB54" s="566">
        <v>1</v>
      </c>
      <c r="FC54" s="566">
        <v>1</v>
      </c>
      <c r="FD54" s="566">
        <v>1</v>
      </c>
      <c r="FE54" s="566">
        <v>0.99999999998643296</v>
      </c>
      <c r="FF54" s="566">
        <v>1</v>
      </c>
      <c r="FG54" s="566">
        <v>1</v>
      </c>
      <c r="FH54" s="566">
        <v>0.999999999999999</v>
      </c>
    </row>
    <row r="55" spans="1:164" ht="12.75" customHeight="1" x14ac:dyDescent="0.3">
      <c r="A55" s="422"/>
      <c r="B55" s="422"/>
      <c r="C55" s="422"/>
      <c r="D55" s="422"/>
      <c r="E55" s="422"/>
      <c r="F55" s="568"/>
      <c r="G55" s="569"/>
      <c r="H55" s="439"/>
      <c r="I55" s="574">
        <v>2931561.7318495298</v>
      </c>
      <c r="J55" s="566">
        <v>0.52390746866205595</v>
      </c>
      <c r="K55" s="566">
        <v>1</v>
      </c>
      <c r="L55" s="566">
        <v>1</v>
      </c>
      <c r="M55" s="566">
        <v>1</v>
      </c>
      <c r="N55" s="566">
        <v>1</v>
      </c>
      <c r="O55" s="566">
        <v>1</v>
      </c>
      <c r="P55" s="566">
        <v>1</v>
      </c>
      <c r="Q55" s="566">
        <v>1</v>
      </c>
      <c r="R55" s="566">
        <v>1</v>
      </c>
      <c r="S55" s="566">
        <v>1</v>
      </c>
      <c r="T55" s="566">
        <v>1</v>
      </c>
      <c r="U55" s="566">
        <v>1</v>
      </c>
      <c r="V55" s="566">
        <v>1</v>
      </c>
      <c r="W55" s="566">
        <v>1</v>
      </c>
      <c r="X55" s="566">
        <v>1</v>
      </c>
      <c r="Y55" s="566">
        <v>0.59191451967381004</v>
      </c>
      <c r="Z55" s="566">
        <v>1</v>
      </c>
      <c r="AA55" s="566">
        <v>1</v>
      </c>
      <c r="AB55" s="566">
        <v>1</v>
      </c>
      <c r="AC55" s="566">
        <v>1</v>
      </c>
      <c r="AD55" s="566">
        <v>1</v>
      </c>
      <c r="AE55" s="566">
        <v>1</v>
      </c>
      <c r="AF55" s="566">
        <v>1</v>
      </c>
      <c r="AG55" s="566">
        <v>0.999999999999999</v>
      </c>
      <c r="AH55" s="566">
        <v>1</v>
      </c>
      <c r="AI55" s="566">
        <v>1</v>
      </c>
      <c r="AJ55" s="566">
        <v>1</v>
      </c>
      <c r="AK55" s="566">
        <v>0.59335026560765503</v>
      </c>
      <c r="AL55" s="566">
        <v>1</v>
      </c>
      <c r="AM55" s="566">
        <v>1</v>
      </c>
      <c r="AN55" s="566">
        <v>1</v>
      </c>
      <c r="AO55" s="566">
        <v>1</v>
      </c>
      <c r="AP55" s="566">
        <v>1</v>
      </c>
      <c r="AQ55" s="566">
        <v>1</v>
      </c>
      <c r="AR55" s="566">
        <v>1</v>
      </c>
      <c r="AS55" s="566">
        <v>1</v>
      </c>
      <c r="AT55" s="566">
        <v>1</v>
      </c>
      <c r="AU55" s="566">
        <v>1</v>
      </c>
      <c r="AV55" s="566">
        <v>1</v>
      </c>
      <c r="AW55" s="566">
        <v>1</v>
      </c>
      <c r="AX55" s="566">
        <v>1</v>
      </c>
      <c r="AY55" s="566">
        <v>1</v>
      </c>
      <c r="AZ55" s="566">
        <v>1</v>
      </c>
      <c r="BA55" s="566">
        <v>0.50713505588250996</v>
      </c>
      <c r="BB55" s="566">
        <v>1</v>
      </c>
      <c r="BC55" s="566">
        <v>1</v>
      </c>
      <c r="BD55" s="566">
        <v>1</v>
      </c>
      <c r="BE55" s="566">
        <v>1</v>
      </c>
      <c r="BF55" s="566">
        <v>1</v>
      </c>
      <c r="BG55" s="566">
        <v>1</v>
      </c>
      <c r="BH55" s="566">
        <v>0.999999999999998</v>
      </c>
      <c r="BI55" s="566">
        <v>1</v>
      </c>
      <c r="BJ55" s="566">
        <v>1</v>
      </c>
      <c r="BK55" s="566">
        <v>1</v>
      </c>
      <c r="BL55" s="566">
        <v>0.999999999999996</v>
      </c>
      <c r="BM55" s="566">
        <v>1</v>
      </c>
      <c r="BN55" s="566">
        <v>1</v>
      </c>
      <c r="BO55" s="566">
        <v>1</v>
      </c>
      <c r="BP55" s="566">
        <v>0.50682290611173797</v>
      </c>
      <c r="BQ55" s="566">
        <v>0.999999999999999</v>
      </c>
      <c r="BR55" s="566">
        <v>1</v>
      </c>
      <c r="BS55" s="566">
        <v>1</v>
      </c>
      <c r="BT55" s="566">
        <v>0.999999999999998</v>
      </c>
      <c r="BU55" s="566">
        <v>1</v>
      </c>
      <c r="BV55" s="566">
        <v>1</v>
      </c>
      <c r="BW55" s="566">
        <v>1</v>
      </c>
      <c r="BX55" s="566">
        <v>0.999999999999996</v>
      </c>
      <c r="BY55" s="566">
        <v>1</v>
      </c>
      <c r="BZ55" s="566">
        <v>1</v>
      </c>
      <c r="CA55" s="566">
        <v>1</v>
      </c>
      <c r="CB55" s="566">
        <v>0.50682297199565995</v>
      </c>
      <c r="CC55" s="566">
        <v>1</v>
      </c>
      <c r="CD55" s="566">
        <v>1</v>
      </c>
      <c r="CE55" s="566">
        <v>0.999999999999999</v>
      </c>
      <c r="CF55" s="566">
        <v>0.999999999999995</v>
      </c>
      <c r="CG55" s="566">
        <v>1</v>
      </c>
      <c r="CH55" s="566">
        <v>1</v>
      </c>
      <c r="CI55" s="566">
        <v>1</v>
      </c>
      <c r="CJ55" s="566">
        <v>0.999999999999995</v>
      </c>
      <c r="CK55" s="566">
        <v>1</v>
      </c>
      <c r="CL55" s="566">
        <v>1</v>
      </c>
      <c r="CM55" s="566">
        <v>1</v>
      </c>
      <c r="CN55" s="566">
        <v>0.999999999999995</v>
      </c>
      <c r="CO55" s="566">
        <v>1</v>
      </c>
      <c r="CP55" s="566">
        <v>1</v>
      </c>
      <c r="CQ55" s="566">
        <v>1</v>
      </c>
      <c r="CR55" s="566">
        <v>0.50675546671429095</v>
      </c>
      <c r="CS55" s="566">
        <v>1</v>
      </c>
      <c r="CT55" s="566">
        <v>1</v>
      </c>
      <c r="CU55" s="566">
        <v>1</v>
      </c>
      <c r="CV55" s="566">
        <v>1</v>
      </c>
      <c r="CW55" s="566">
        <v>1</v>
      </c>
      <c r="CX55" s="566">
        <v>1</v>
      </c>
      <c r="CY55" s="566">
        <v>0.50675563762089704</v>
      </c>
      <c r="CZ55" s="566">
        <v>1</v>
      </c>
      <c r="DA55" s="566">
        <v>1</v>
      </c>
      <c r="DB55" s="566">
        <v>1</v>
      </c>
      <c r="DC55" s="566">
        <v>0.50675503200447503</v>
      </c>
      <c r="DD55" s="566">
        <v>1</v>
      </c>
      <c r="DE55" s="566">
        <v>0.999999999999999</v>
      </c>
      <c r="DF55" s="566">
        <v>1</v>
      </c>
      <c r="DG55" s="566">
        <v>0.50675494866514903</v>
      </c>
      <c r="DH55" s="566">
        <v>1</v>
      </c>
      <c r="DI55" s="566">
        <v>1</v>
      </c>
      <c r="DJ55" s="566">
        <v>1</v>
      </c>
      <c r="DK55" s="566">
        <v>0.99999999999979505</v>
      </c>
      <c r="DL55" s="566">
        <v>1</v>
      </c>
      <c r="DM55" s="566">
        <v>1</v>
      </c>
      <c r="DN55" s="566">
        <v>1</v>
      </c>
      <c r="DO55" s="566">
        <v>0.50675546630055801</v>
      </c>
      <c r="DP55" s="566">
        <v>1</v>
      </c>
      <c r="DQ55" s="566">
        <v>1</v>
      </c>
      <c r="DR55" s="566">
        <v>1</v>
      </c>
      <c r="DS55" s="566">
        <v>1</v>
      </c>
      <c r="DT55" s="566">
        <v>1</v>
      </c>
      <c r="DU55" s="566">
        <v>1</v>
      </c>
      <c r="DV55" s="566">
        <v>0.50675426484806696</v>
      </c>
      <c r="DW55" s="566">
        <v>1</v>
      </c>
      <c r="DX55" s="566">
        <v>1</v>
      </c>
      <c r="DY55" s="566">
        <v>1</v>
      </c>
      <c r="DZ55" s="566">
        <v>0.50675392518512097</v>
      </c>
      <c r="EA55" s="566">
        <v>1</v>
      </c>
      <c r="EB55" s="566">
        <v>1</v>
      </c>
      <c r="EC55" s="566">
        <v>1</v>
      </c>
      <c r="ED55" s="566">
        <v>0.50675384176794003</v>
      </c>
      <c r="EE55" s="566">
        <v>1</v>
      </c>
      <c r="EF55" s="566">
        <v>1</v>
      </c>
      <c r="EG55" s="566">
        <v>1</v>
      </c>
      <c r="EH55" s="566">
        <v>0.99999999999994105</v>
      </c>
      <c r="EI55" s="566">
        <v>1</v>
      </c>
      <c r="EJ55" s="566">
        <v>1</v>
      </c>
      <c r="EK55" s="566">
        <v>1</v>
      </c>
      <c r="EL55" s="566">
        <v>0.50675349130484504</v>
      </c>
      <c r="EM55" s="566">
        <v>1</v>
      </c>
      <c r="EN55" s="566">
        <v>1</v>
      </c>
      <c r="EO55" s="566">
        <v>1</v>
      </c>
      <c r="EP55" s="566">
        <v>0.999999999999999</v>
      </c>
      <c r="EQ55" s="566">
        <v>1</v>
      </c>
      <c r="ER55" s="566">
        <v>0.999999999999999</v>
      </c>
      <c r="ES55" s="566">
        <v>0.50674820027527001</v>
      </c>
      <c r="ET55" s="566">
        <v>1</v>
      </c>
      <c r="EU55" s="566">
        <v>1</v>
      </c>
      <c r="EV55" s="566">
        <v>1</v>
      </c>
      <c r="EW55" s="566">
        <v>0.50674817681929396</v>
      </c>
      <c r="EX55" s="566">
        <v>1</v>
      </c>
      <c r="EY55" s="566">
        <v>1</v>
      </c>
      <c r="EZ55" s="566">
        <v>0.999999999999999</v>
      </c>
      <c r="FA55" s="566">
        <v>0.50674809338268301</v>
      </c>
      <c r="FB55" s="566">
        <v>1</v>
      </c>
      <c r="FC55" s="566">
        <v>1</v>
      </c>
      <c r="FD55" s="566">
        <v>0.999999999999999</v>
      </c>
      <c r="FE55" s="566">
        <v>0.99999999998670497</v>
      </c>
      <c r="FF55" s="566">
        <v>0.999999999999999</v>
      </c>
      <c r="FG55" s="566">
        <v>1</v>
      </c>
      <c r="FH55" s="566">
        <v>1</v>
      </c>
    </row>
    <row r="56" spans="1:164" ht="12.75" customHeight="1" x14ac:dyDescent="0.3">
      <c r="A56" s="422"/>
      <c r="B56" s="422"/>
      <c r="C56" s="422"/>
      <c r="D56" s="422"/>
      <c r="E56" s="422"/>
      <c r="F56" s="568"/>
      <c r="G56" s="569"/>
      <c r="H56" s="439"/>
      <c r="I56" s="574">
        <v>3015320.6384737999</v>
      </c>
      <c r="J56" s="566">
        <v>0.53342462164482896</v>
      </c>
      <c r="K56" s="566">
        <v>1</v>
      </c>
      <c r="L56" s="566">
        <v>1</v>
      </c>
      <c r="M56" s="566">
        <v>1</v>
      </c>
      <c r="N56" s="566">
        <v>1</v>
      </c>
      <c r="O56" s="566">
        <v>1</v>
      </c>
      <c r="P56" s="566">
        <v>1</v>
      </c>
      <c r="Q56" s="566">
        <v>1</v>
      </c>
      <c r="R56" s="566">
        <v>1</v>
      </c>
      <c r="S56" s="566">
        <v>1</v>
      </c>
      <c r="T56" s="566">
        <v>1</v>
      </c>
      <c r="U56" s="566">
        <v>1</v>
      </c>
      <c r="V56" s="566">
        <v>1</v>
      </c>
      <c r="W56" s="566">
        <v>1</v>
      </c>
      <c r="X56" s="566">
        <v>1</v>
      </c>
      <c r="Y56" s="566">
        <v>0.60007220266748795</v>
      </c>
      <c r="Z56" s="566">
        <v>1</v>
      </c>
      <c r="AA56" s="566">
        <v>1</v>
      </c>
      <c r="AB56" s="566">
        <v>1</v>
      </c>
      <c r="AC56" s="566">
        <v>1</v>
      </c>
      <c r="AD56" s="566">
        <v>1</v>
      </c>
      <c r="AE56" s="566">
        <v>1</v>
      </c>
      <c r="AF56" s="566">
        <v>1</v>
      </c>
      <c r="AG56" s="566">
        <v>1</v>
      </c>
      <c r="AH56" s="566">
        <v>1</v>
      </c>
      <c r="AI56" s="566">
        <v>1</v>
      </c>
      <c r="AJ56" s="566">
        <v>1</v>
      </c>
      <c r="AK56" s="566">
        <v>0.60147924784927898</v>
      </c>
      <c r="AL56" s="566">
        <v>1</v>
      </c>
      <c r="AM56" s="566">
        <v>0.999999999999999</v>
      </c>
      <c r="AN56" s="566">
        <v>1</v>
      </c>
      <c r="AO56" s="566">
        <v>1</v>
      </c>
      <c r="AP56" s="566">
        <v>1</v>
      </c>
      <c r="AQ56" s="566">
        <v>1</v>
      </c>
      <c r="AR56" s="566">
        <v>1</v>
      </c>
      <c r="AS56" s="566">
        <v>1</v>
      </c>
      <c r="AT56" s="566">
        <v>1</v>
      </c>
      <c r="AU56" s="566">
        <v>1</v>
      </c>
      <c r="AV56" s="566">
        <v>1</v>
      </c>
      <c r="AW56" s="566">
        <v>1</v>
      </c>
      <c r="AX56" s="566">
        <v>1</v>
      </c>
      <c r="AY56" s="566">
        <v>1</v>
      </c>
      <c r="AZ56" s="566">
        <v>1</v>
      </c>
      <c r="BA56" s="566">
        <v>0.51698749162610302</v>
      </c>
      <c r="BB56" s="566">
        <v>1</v>
      </c>
      <c r="BC56" s="566">
        <v>1</v>
      </c>
      <c r="BD56" s="566">
        <v>1</v>
      </c>
      <c r="BE56" s="566">
        <v>1</v>
      </c>
      <c r="BF56" s="566">
        <v>1</v>
      </c>
      <c r="BG56" s="566">
        <v>1</v>
      </c>
      <c r="BH56" s="566">
        <v>0.999999999999998</v>
      </c>
      <c r="BI56" s="566">
        <v>1</v>
      </c>
      <c r="BJ56" s="566">
        <v>1</v>
      </c>
      <c r="BK56" s="566">
        <v>1</v>
      </c>
      <c r="BL56" s="566">
        <v>0.999999999999996</v>
      </c>
      <c r="BM56" s="566">
        <v>1</v>
      </c>
      <c r="BN56" s="566">
        <v>1</v>
      </c>
      <c r="BO56" s="566">
        <v>1</v>
      </c>
      <c r="BP56" s="566">
        <v>0.51668158177073997</v>
      </c>
      <c r="BQ56" s="566">
        <v>1</v>
      </c>
      <c r="BR56" s="566">
        <v>1</v>
      </c>
      <c r="BS56" s="566">
        <v>1</v>
      </c>
      <c r="BT56" s="566">
        <v>0.999999999999999</v>
      </c>
      <c r="BU56" s="566">
        <v>1</v>
      </c>
      <c r="BV56" s="566">
        <v>1</v>
      </c>
      <c r="BW56" s="566">
        <v>1</v>
      </c>
      <c r="BX56" s="566">
        <v>0.999999999999996</v>
      </c>
      <c r="BY56" s="566">
        <v>1</v>
      </c>
      <c r="BZ56" s="566">
        <v>1</v>
      </c>
      <c r="CA56" s="566">
        <v>1</v>
      </c>
      <c r="CB56" s="566">
        <v>0.51668164633763403</v>
      </c>
      <c r="CC56" s="566">
        <v>1</v>
      </c>
      <c r="CD56" s="566">
        <v>1</v>
      </c>
      <c r="CE56" s="566">
        <v>1</v>
      </c>
      <c r="CF56" s="566">
        <v>0.999999999999995</v>
      </c>
      <c r="CG56" s="566">
        <v>1</v>
      </c>
      <c r="CH56" s="566">
        <v>1</v>
      </c>
      <c r="CI56" s="566">
        <v>1</v>
      </c>
      <c r="CJ56" s="566">
        <v>0.999999999999996</v>
      </c>
      <c r="CK56" s="566">
        <v>1</v>
      </c>
      <c r="CL56" s="566">
        <v>1</v>
      </c>
      <c r="CM56" s="566">
        <v>1</v>
      </c>
      <c r="CN56" s="566">
        <v>0.999999999999995</v>
      </c>
      <c r="CO56" s="566">
        <v>1</v>
      </c>
      <c r="CP56" s="566">
        <v>1</v>
      </c>
      <c r="CQ56" s="566">
        <v>1</v>
      </c>
      <c r="CR56" s="566">
        <v>0.51661549049581101</v>
      </c>
      <c r="CS56" s="566">
        <v>1</v>
      </c>
      <c r="CT56" s="566">
        <v>1</v>
      </c>
      <c r="CU56" s="566">
        <v>1</v>
      </c>
      <c r="CV56" s="566">
        <v>1</v>
      </c>
      <c r="CW56" s="566">
        <v>1</v>
      </c>
      <c r="CX56" s="566">
        <v>1</v>
      </c>
      <c r="CY56" s="566">
        <v>0.51661565798597198</v>
      </c>
      <c r="CZ56" s="566">
        <v>1</v>
      </c>
      <c r="DA56" s="566">
        <v>1</v>
      </c>
      <c r="DB56" s="566">
        <v>1</v>
      </c>
      <c r="DC56" s="566">
        <v>0.516615064475902</v>
      </c>
      <c r="DD56" s="566">
        <v>1</v>
      </c>
      <c r="DE56" s="566">
        <v>1</v>
      </c>
      <c r="DF56" s="566">
        <v>1</v>
      </c>
      <c r="DG56" s="566">
        <v>0.51661498280254103</v>
      </c>
      <c r="DH56" s="566">
        <v>1</v>
      </c>
      <c r="DI56" s="566">
        <v>1</v>
      </c>
      <c r="DJ56" s="566">
        <v>1</v>
      </c>
      <c r="DK56" s="566">
        <v>0.99999999999980005</v>
      </c>
      <c r="DL56" s="566">
        <v>1</v>
      </c>
      <c r="DM56" s="566">
        <v>1</v>
      </c>
      <c r="DN56" s="566">
        <v>1</v>
      </c>
      <c r="DO56" s="566">
        <v>0.51661549009034902</v>
      </c>
      <c r="DP56" s="566">
        <v>1</v>
      </c>
      <c r="DQ56" s="566">
        <v>1</v>
      </c>
      <c r="DR56" s="566">
        <v>1</v>
      </c>
      <c r="DS56" s="566">
        <v>1</v>
      </c>
      <c r="DT56" s="566">
        <v>1</v>
      </c>
      <c r="DU56" s="566">
        <v>1</v>
      </c>
      <c r="DV56" s="566">
        <v>0.51661431265505298</v>
      </c>
      <c r="DW56" s="566">
        <v>1</v>
      </c>
      <c r="DX56" s="566">
        <v>1</v>
      </c>
      <c r="DY56" s="566">
        <v>1</v>
      </c>
      <c r="DZ56" s="566">
        <v>0.51661397978201395</v>
      </c>
      <c r="EA56" s="566">
        <v>1</v>
      </c>
      <c r="EB56" s="566">
        <v>1</v>
      </c>
      <c r="EC56" s="566">
        <v>1</v>
      </c>
      <c r="ED56" s="566">
        <v>0.51661389803235302</v>
      </c>
      <c r="EE56" s="566">
        <v>1</v>
      </c>
      <c r="EF56" s="566">
        <v>1</v>
      </c>
      <c r="EG56" s="566">
        <v>1</v>
      </c>
      <c r="EH56" s="566">
        <v>0.99999999999994305</v>
      </c>
      <c r="EI56" s="566">
        <v>1</v>
      </c>
      <c r="EJ56" s="566">
        <v>1</v>
      </c>
      <c r="EK56" s="566">
        <v>1</v>
      </c>
      <c r="EL56" s="566">
        <v>0.51661355457506297</v>
      </c>
      <c r="EM56" s="566">
        <v>1</v>
      </c>
      <c r="EN56" s="566">
        <v>1</v>
      </c>
      <c r="EO56" s="566">
        <v>1</v>
      </c>
      <c r="EP56" s="566">
        <v>1</v>
      </c>
      <c r="EQ56" s="566">
        <v>1</v>
      </c>
      <c r="ER56" s="566">
        <v>1</v>
      </c>
      <c r="ES56" s="566">
        <v>0.516608369313872</v>
      </c>
      <c r="ET56" s="566">
        <v>1</v>
      </c>
      <c r="EU56" s="566">
        <v>1</v>
      </c>
      <c r="EV56" s="566">
        <v>1</v>
      </c>
      <c r="EW56" s="566">
        <v>0.51660834632678498</v>
      </c>
      <c r="EX56" s="566">
        <v>1</v>
      </c>
      <c r="EY56" s="566">
        <v>1</v>
      </c>
      <c r="EZ56" s="566">
        <v>1</v>
      </c>
      <c r="FA56" s="566">
        <v>0.51660826455808195</v>
      </c>
      <c r="FB56" s="566">
        <v>1</v>
      </c>
      <c r="FC56" s="566">
        <v>1</v>
      </c>
      <c r="FD56" s="566">
        <v>1</v>
      </c>
      <c r="FE56" s="566">
        <v>0.99999999998697098</v>
      </c>
      <c r="FF56" s="566">
        <v>1</v>
      </c>
      <c r="FG56" s="566">
        <v>1</v>
      </c>
      <c r="FH56" s="566">
        <v>1</v>
      </c>
    </row>
    <row r="57" spans="1:164" ht="12.75" customHeight="1" x14ac:dyDescent="0.3">
      <c r="A57" s="422"/>
      <c r="B57" s="422"/>
      <c r="C57" s="422"/>
      <c r="D57" s="422"/>
      <c r="E57" s="422"/>
      <c r="F57" s="568"/>
      <c r="G57" s="569"/>
      <c r="H57" s="439"/>
      <c r="I57" s="574">
        <v>3099079.5450980701</v>
      </c>
      <c r="J57" s="566">
        <v>0.54275152547438099</v>
      </c>
      <c r="K57" s="566">
        <v>1</v>
      </c>
      <c r="L57" s="566">
        <v>1</v>
      </c>
      <c r="M57" s="566">
        <v>1</v>
      </c>
      <c r="N57" s="566">
        <v>1</v>
      </c>
      <c r="O57" s="566">
        <v>1</v>
      </c>
      <c r="P57" s="566">
        <v>1</v>
      </c>
      <c r="Q57" s="566">
        <v>1</v>
      </c>
      <c r="R57" s="566">
        <v>1</v>
      </c>
      <c r="S57" s="566">
        <v>1</v>
      </c>
      <c r="T57" s="566">
        <v>1</v>
      </c>
      <c r="U57" s="566">
        <v>1</v>
      </c>
      <c r="V57" s="566">
        <v>1</v>
      </c>
      <c r="W57" s="566">
        <v>1</v>
      </c>
      <c r="X57" s="566">
        <v>1</v>
      </c>
      <c r="Y57" s="566">
        <v>0.60806681249373895</v>
      </c>
      <c r="Z57" s="566">
        <v>1</v>
      </c>
      <c r="AA57" s="566">
        <v>1</v>
      </c>
      <c r="AB57" s="566">
        <v>1</v>
      </c>
      <c r="AC57" s="566">
        <v>1</v>
      </c>
      <c r="AD57" s="566">
        <v>1</v>
      </c>
      <c r="AE57" s="566">
        <v>1</v>
      </c>
      <c r="AF57" s="566">
        <v>1</v>
      </c>
      <c r="AG57" s="566">
        <v>0.999999999999999</v>
      </c>
      <c r="AH57" s="566">
        <v>1</v>
      </c>
      <c r="AI57" s="566">
        <v>1</v>
      </c>
      <c r="AJ57" s="566">
        <v>1</v>
      </c>
      <c r="AK57" s="566">
        <v>0.60944573065532404</v>
      </c>
      <c r="AL57" s="566">
        <v>1</v>
      </c>
      <c r="AM57" s="566">
        <v>0.999999999999999</v>
      </c>
      <c r="AN57" s="566">
        <v>1</v>
      </c>
      <c r="AO57" s="566">
        <v>1</v>
      </c>
      <c r="AP57" s="566">
        <v>1</v>
      </c>
      <c r="AQ57" s="566">
        <v>1</v>
      </c>
      <c r="AR57" s="566">
        <v>1</v>
      </c>
      <c r="AS57" s="566">
        <v>1</v>
      </c>
      <c r="AT57" s="566">
        <v>1</v>
      </c>
      <c r="AU57" s="566">
        <v>1</v>
      </c>
      <c r="AV57" s="566">
        <v>1</v>
      </c>
      <c r="AW57" s="566">
        <v>1</v>
      </c>
      <c r="AX57" s="566">
        <v>1</v>
      </c>
      <c r="AY57" s="566">
        <v>1</v>
      </c>
      <c r="AZ57" s="566">
        <v>1</v>
      </c>
      <c r="BA57" s="566">
        <v>0.52664297586951903</v>
      </c>
      <c r="BB57" s="566">
        <v>1</v>
      </c>
      <c r="BC57" s="566">
        <v>1</v>
      </c>
      <c r="BD57" s="566">
        <v>1</v>
      </c>
      <c r="BE57" s="566">
        <v>1</v>
      </c>
      <c r="BF57" s="566">
        <v>1</v>
      </c>
      <c r="BG57" s="566">
        <v>1</v>
      </c>
      <c r="BH57" s="566">
        <v>0.999999999999998</v>
      </c>
      <c r="BI57" s="566">
        <v>1</v>
      </c>
      <c r="BJ57" s="566">
        <v>1</v>
      </c>
      <c r="BK57" s="566">
        <v>1</v>
      </c>
      <c r="BL57" s="566">
        <v>0.999999999999996</v>
      </c>
      <c r="BM57" s="566">
        <v>1</v>
      </c>
      <c r="BN57" s="566">
        <v>1</v>
      </c>
      <c r="BO57" s="566">
        <v>1</v>
      </c>
      <c r="BP57" s="566">
        <v>0.52634318119282497</v>
      </c>
      <c r="BQ57" s="566">
        <v>1</v>
      </c>
      <c r="BR57" s="566">
        <v>1</v>
      </c>
      <c r="BS57" s="566">
        <v>1</v>
      </c>
      <c r="BT57" s="566">
        <v>0.999999999999998</v>
      </c>
      <c r="BU57" s="566">
        <v>1</v>
      </c>
      <c r="BV57" s="566">
        <v>1</v>
      </c>
      <c r="BW57" s="566">
        <v>1</v>
      </c>
      <c r="BX57" s="566">
        <v>0.999999999999996</v>
      </c>
      <c r="BY57" s="566">
        <v>1</v>
      </c>
      <c r="BZ57" s="566">
        <v>1</v>
      </c>
      <c r="CA57" s="566">
        <v>1</v>
      </c>
      <c r="CB57" s="566">
        <v>0.52634324446901803</v>
      </c>
      <c r="CC57" s="566">
        <v>1</v>
      </c>
      <c r="CD57" s="566">
        <v>1</v>
      </c>
      <c r="CE57" s="566">
        <v>1</v>
      </c>
      <c r="CF57" s="566">
        <v>0.999999999999995</v>
      </c>
      <c r="CG57" s="566">
        <v>1</v>
      </c>
      <c r="CH57" s="566">
        <v>1</v>
      </c>
      <c r="CI57" s="566">
        <v>1</v>
      </c>
      <c r="CJ57" s="566">
        <v>0.999999999999996</v>
      </c>
      <c r="CK57" s="566">
        <v>1</v>
      </c>
      <c r="CL57" s="566">
        <v>1</v>
      </c>
      <c r="CM57" s="566">
        <v>1</v>
      </c>
      <c r="CN57" s="566">
        <v>0.999999999999995</v>
      </c>
      <c r="CO57" s="566">
        <v>1</v>
      </c>
      <c r="CP57" s="566">
        <v>1</v>
      </c>
      <c r="CQ57" s="566">
        <v>1</v>
      </c>
      <c r="CR57" s="566">
        <v>0.52627841109126705</v>
      </c>
      <c r="CS57" s="566">
        <v>1</v>
      </c>
      <c r="CT57" s="566">
        <v>0.999999999999999</v>
      </c>
      <c r="CU57" s="566">
        <v>1</v>
      </c>
      <c r="CV57" s="566">
        <v>1</v>
      </c>
      <c r="CW57" s="566">
        <v>1</v>
      </c>
      <c r="CX57" s="566">
        <v>1</v>
      </c>
      <c r="CY57" s="566">
        <v>0.52627857523327704</v>
      </c>
      <c r="CZ57" s="566">
        <v>1</v>
      </c>
      <c r="DA57" s="566">
        <v>1</v>
      </c>
      <c r="DB57" s="566">
        <v>1</v>
      </c>
      <c r="DC57" s="566">
        <v>0.52627799358755201</v>
      </c>
      <c r="DD57" s="566">
        <v>1</v>
      </c>
      <c r="DE57" s="566">
        <v>1</v>
      </c>
      <c r="DF57" s="566">
        <v>1</v>
      </c>
      <c r="DG57" s="566">
        <v>0.52627791354685305</v>
      </c>
      <c r="DH57" s="566">
        <v>1</v>
      </c>
      <c r="DI57" s="566">
        <v>1</v>
      </c>
      <c r="DJ57" s="566">
        <v>1</v>
      </c>
      <c r="DK57" s="566">
        <v>0.99999999999980305</v>
      </c>
      <c r="DL57" s="566">
        <v>1</v>
      </c>
      <c r="DM57" s="566">
        <v>1</v>
      </c>
      <c r="DN57" s="566">
        <v>1</v>
      </c>
      <c r="DO57" s="566">
        <v>0.52627841069391001</v>
      </c>
      <c r="DP57" s="566">
        <v>1</v>
      </c>
      <c r="DQ57" s="566">
        <v>1</v>
      </c>
      <c r="DR57" s="566">
        <v>1</v>
      </c>
      <c r="DS57" s="566">
        <v>1</v>
      </c>
      <c r="DT57" s="566">
        <v>1</v>
      </c>
      <c r="DU57" s="566">
        <v>1</v>
      </c>
      <c r="DV57" s="566">
        <v>0.52627725679570203</v>
      </c>
      <c r="DW57" s="566">
        <v>1</v>
      </c>
      <c r="DX57" s="566">
        <v>0.999999999999999</v>
      </c>
      <c r="DY57" s="566">
        <v>1</v>
      </c>
      <c r="DZ57" s="566">
        <v>0.52627693057684</v>
      </c>
      <c r="EA57" s="566">
        <v>1</v>
      </c>
      <c r="EB57" s="566">
        <v>1</v>
      </c>
      <c r="EC57" s="566">
        <v>1</v>
      </c>
      <c r="ED57" s="566">
        <v>0.52627685046136596</v>
      </c>
      <c r="EE57" s="566">
        <v>1</v>
      </c>
      <c r="EF57" s="566">
        <v>1</v>
      </c>
      <c r="EG57" s="566">
        <v>1</v>
      </c>
      <c r="EH57" s="566">
        <v>0.99999999999994305</v>
      </c>
      <c r="EI57" s="566">
        <v>1</v>
      </c>
      <c r="EJ57" s="566">
        <v>1</v>
      </c>
      <c r="EK57" s="566">
        <v>1</v>
      </c>
      <c r="EL57" s="566">
        <v>0.52627651386983199</v>
      </c>
      <c r="EM57" s="566">
        <v>1</v>
      </c>
      <c r="EN57" s="566">
        <v>1</v>
      </c>
      <c r="EO57" s="566">
        <v>1</v>
      </c>
      <c r="EP57" s="566">
        <v>1</v>
      </c>
      <c r="EQ57" s="566">
        <v>0.999999999999999</v>
      </c>
      <c r="ER57" s="566">
        <v>1</v>
      </c>
      <c r="ES57" s="566">
        <v>0.52627143226270101</v>
      </c>
      <c r="ET57" s="566">
        <v>1</v>
      </c>
      <c r="EU57" s="566">
        <v>0.999999999999999</v>
      </c>
      <c r="EV57" s="566">
        <v>1</v>
      </c>
      <c r="EW57" s="566">
        <v>0.52627140973512898</v>
      </c>
      <c r="EX57" s="566">
        <v>1</v>
      </c>
      <c r="EY57" s="566">
        <v>0.999999999999999</v>
      </c>
      <c r="EZ57" s="566">
        <v>1</v>
      </c>
      <c r="FA57" s="566">
        <v>0.52627132960099399</v>
      </c>
      <c r="FB57" s="566">
        <v>1</v>
      </c>
      <c r="FC57" s="566">
        <v>0.999999999999999</v>
      </c>
      <c r="FD57" s="566">
        <v>0.999999999999999</v>
      </c>
      <c r="FE57" s="566">
        <v>0.99999999998723099</v>
      </c>
      <c r="FF57" s="566">
        <v>1</v>
      </c>
      <c r="FG57" s="566">
        <v>0.999999999999999</v>
      </c>
      <c r="FH57" s="566">
        <v>1</v>
      </c>
    </row>
    <row r="58" spans="1:164" ht="12.75" customHeight="1" x14ac:dyDescent="0.3">
      <c r="A58" s="422"/>
      <c r="B58" s="422"/>
      <c r="C58" s="422"/>
      <c r="D58" s="422"/>
      <c r="E58" s="422"/>
      <c r="F58" s="568"/>
      <c r="G58" s="569"/>
      <c r="H58" s="439"/>
      <c r="I58" s="574">
        <v>3182838.4517223402</v>
      </c>
      <c r="J58" s="566">
        <v>0.55189198325627598</v>
      </c>
      <c r="K58" s="566">
        <v>1</v>
      </c>
      <c r="L58" s="566">
        <v>1</v>
      </c>
      <c r="M58" s="566">
        <v>1</v>
      </c>
      <c r="N58" s="566">
        <v>1</v>
      </c>
      <c r="O58" s="566">
        <v>1</v>
      </c>
      <c r="P58" s="566">
        <v>1</v>
      </c>
      <c r="Q58" s="566">
        <v>1</v>
      </c>
      <c r="R58" s="566">
        <v>1</v>
      </c>
      <c r="S58" s="566">
        <v>1</v>
      </c>
      <c r="T58" s="566">
        <v>1</v>
      </c>
      <c r="U58" s="566">
        <v>1</v>
      </c>
      <c r="V58" s="566">
        <v>1</v>
      </c>
      <c r="W58" s="566">
        <v>1</v>
      </c>
      <c r="X58" s="566">
        <v>1</v>
      </c>
      <c r="Y58" s="566">
        <v>0.61590160900659996</v>
      </c>
      <c r="Z58" s="566">
        <v>1</v>
      </c>
      <c r="AA58" s="566">
        <v>1</v>
      </c>
      <c r="AB58" s="566">
        <v>1</v>
      </c>
      <c r="AC58" s="566">
        <v>1</v>
      </c>
      <c r="AD58" s="566">
        <v>1</v>
      </c>
      <c r="AE58" s="566">
        <v>1</v>
      </c>
      <c r="AF58" s="566">
        <v>1</v>
      </c>
      <c r="AG58" s="566">
        <v>1</v>
      </c>
      <c r="AH58" s="566">
        <v>1</v>
      </c>
      <c r="AI58" s="566">
        <v>1</v>
      </c>
      <c r="AJ58" s="566">
        <v>1</v>
      </c>
      <c r="AK58" s="566">
        <v>0.61725296241085303</v>
      </c>
      <c r="AL58" s="566">
        <v>1</v>
      </c>
      <c r="AM58" s="566">
        <v>1</v>
      </c>
      <c r="AN58" s="566">
        <v>1</v>
      </c>
      <c r="AO58" s="566">
        <v>1</v>
      </c>
      <c r="AP58" s="566">
        <v>1</v>
      </c>
      <c r="AQ58" s="566">
        <v>1</v>
      </c>
      <c r="AR58" s="566">
        <v>1</v>
      </c>
      <c r="AS58" s="566">
        <v>1</v>
      </c>
      <c r="AT58" s="566">
        <v>1</v>
      </c>
      <c r="AU58" s="566">
        <v>1</v>
      </c>
      <c r="AV58" s="566">
        <v>1</v>
      </c>
      <c r="AW58" s="566">
        <v>1</v>
      </c>
      <c r="AX58" s="566">
        <v>1</v>
      </c>
      <c r="AY58" s="566">
        <v>1</v>
      </c>
      <c r="AZ58" s="566">
        <v>1</v>
      </c>
      <c r="BA58" s="566">
        <v>0.536105445699116</v>
      </c>
      <c r="BB58" s="566">
        <v>1</v>
      </c>
      <c r="BC58" s="566">
        <v>1</v>
      </c>
      <c r="BD58" s="566">
        <v>1</v>
      </c>
      <c r="BE58" s="566">
        <v>1</v>
      </c>
      <c r="BF58" s="566">
        <v>1</v>
      </c>
      <c r="BG58" s="566">
        <v>1</v>
      </c>
      <c r="BH58" s="566">
        <v>0.999999999999998</v>
      </c>
      <c r="BI58" s="566">
        <v>1</v>
      </c>
      <c r="BJ58" s="566">
        <v>1</v>
      </c>
      <c r="BK58" s="566">
        <v>1</v>
      </c>
      <c r="BL58" s="566">
        <v>0.999999999999996</v>
      </c>
      <c r="BM58" s="566">
        <v>1</v>
      </c>
      <c r="BN58" s="566">
        <v>1</v>
      </c>
      <c r="BO58" s="566">
        <v>1</v>
      </c>
      <c r="BP58" s="566">
        <v>0.53581164395785696</v>
      </c>
      <c r="BQ58" s="566">
        <v>1</v>
      </c>
      <c r="BR58" s="566">
        <v>1</v>
      </c>
      <c r="BS58" s="566">
        <v>1</v>
      </c>
      <c r="BT58" s="566">
        <v>0.999999999999999</v>
      </c>
      <c r="BU58" s="566">
        <v>1</v>
      </c>
      <c r="BV58" s="566">
        <v>1</v>
      </c>
      <c r="BW58" s="566">
        <v>1</v>
      </c>
      <c r="BX58" s="566">
        <v>0.999999999999996</v>
      </c>
      <c r="BY58" s="566">
        <v>1</v>
      </c>
      <c r="BZ58" s="566">
        <v>1</v>
      </c>
      <c r="CA58" s="566">
        <v>1</v>
      </c>
      <c r="CB58" s="566">
        <v>0.53581170596914995</v>
      </c>
      <c r="CC58" s="566">
        <v>1</v>
      </c>
      <c r="CD58" s="566">
        <v>1</v>
      </c>
      <c r="CE58" s="566">
        <v>1</v>
      </c>
      <c r="CF58" s="566">
        <v>0.999999999999995</v>
      </c>
      <c r="CG58" s="566">
        <v>1</v>
      </c>
      <c r="CH58" s="566">
        <v>1</v>
      </c>
      <c r="CI58" s="566">
        <v>1</v>
      </c>
      <c r="CJ58" s="566">
        <v>0.999999999999996</v>
      </c>
      <c r="CK58" s="566">
        <v>1</v>
      </c>
      <c r="CL58" s="566">
        <v>1</v>
      </c>
      <c r="CM58" s="566">
        <v>1</v>
      </c>
      <c r="CN58" s="566">
        <v>0.999999999999995</v>
      </c>
      <c r="CO58" s="566">
        <v>1</v>
      </c>
      <c r="CP58" s="566">
        <v>1</v>
      </c>
      <c r="CQ58" s="566">
        <v>1</v>
      </c>
      <c r="CR58" s="566">
        <v>0.53574816861923802</v>
      </c>
      <c r="CS58" s="566">
        <v>1</v>
      </c>
      <c r="CT58" s="566">
        <v>1</v>
      </c>
      <c r="CU58" s="566">
        <v>1</v>
      </c>
      <c r="CV58" s="566">
        <v>1</v>
      </c>
      <c r="CW58" s="566">
        <v>1</v>
      </c>
      <c r="CX58" s="566">
        <v>1</v>
      </c>
      <c r="CY58" s="566">
        <v>0.53574832948002804</v>
      </c>
      <c r="CZ58" s="566">
        <v>1</v>
      </c>
      <c r="DA58" s="566">
        <v>1</v>
      </c>
      <c r="DB58" s="566">
        <v>1</v>
      </c>
      <c r="DC58" s="566">
        <v>0.53574775946147801</v>
      </c>
      <c r="DD58" s="566">
        <v>1</v>
      </c>
      <c r="DE58" s="566">
        <v>1</v>
      </c>
      <c r="DF58" s="566">
        <v>1</v>
      </c>
      <c r="DG58" s="566">
        <v>0.53574768102080295</v>
      </c>
      <c r="DH58" s="566">
        <v>1</v>
      </c>
      <c r="DI58" s="566">
        <v>1</v>
      </c>
      <c r="DJ58" s="566">
        <v>1</v>
      </c>
      <c r="DK58" s="566">
        <v>0.99999999999980804</v>
      </c>
      <c r="DL58" s="566">
        <v>1</v>
      </c>
      <c r="DM58" s="566">
        <v>1</v>
      </c>
      <c r="DN58" s="566">
        <v>1</v>
      </c>
      <c r="DO58" s="566">
        <v>0.53574816822982396</v>
      </c>
      <c r="DP58" s="566">
        <v>1</v>
      </c>
      <c r="DQ58" s="566">
        <v>1</v>
      </c>
      <c r="DR58" s="566">
        <v>1</v>
      </c>
      <c r="DS58" s="566">
        <v>1</v>
      </c>
      <c r="DT58" s="566">
        <v>1</v>
      </c>
      <c r="DU58" s="566">
        <v>1</v>
      </c>
      <c r="DV58" s="566">
        <v>0.53574703739819496</v>
      </c>
      <c r="DW58" s="566">
        <v>1</v>
      </c>
      <c r="DX58" s="566">
        <v>1</v>
      </c>
      <c r="DY58" s="566">
        <v>1</v>
      </c>
      <c r="DZ58" s="566">
        <v>0.53574671770049098</v>
      </c>
      <c r="EA58" s="566">
        <v>1</v>
      </c>
      <c r="EB58" s="566">
        <v>1</v>
      </c>
      <c r="EC58" s="566">
        <v>1</v>
      </c>
      <c r="ED58" s="566">
        <v>0.53574663918653598</v>
      </c>
      <c r="EE58" s="566">
        <v>1</v>
      </c>
      <c r="EF58" s="566">
        <v>1</v>
      </c>
      <c r="EG58" s="566">
        <v>1</v>
      </c>
      <c r="EH58" s="566">
        <v>0.99999999999994504</v>
      </c>
      <c r="EI58" s="566">
        <v>1</v>
      </c>
      <c r="EJ58" s="566">
        <v>1</v>
      </c>
      <c r="EK58" s="566">
        <v>1</v>
      </c>
      <c r="EL58" s="566">
        <v>0.53574630932351097</v>
      </c>
      <c r="EM58" s="566">
        <v>1</v>
      </c>
      <c r="EN58" s="566">
        <v>1</v>
      </c>
      <c r="EO58" s="566">
        <v>1</v>
      </c>
      <c r="EP58" s="566">
        <v>1</v>
      </c>
      <c r="EQ58" s="566">
        <v>1</v>
      </c>
      <c r="ER58" s="566">
        <v>1</v>
      </c>
      <c r="ES58" s="566">
        <v>0.53574132929838303</v>
      </c>
      <c r="ET58" s="566">
        <v>0.999999999999999</v>
      </c>
      <c r="EU58" s="566">
        <v>1</v>
      </c>
      <c r="EV58" s="566">
        <v>1</v>
      </c>
      <c r="EW58" s="566">
        <v>0.53574130722114</v>
      </c>
      <c r="EX58" s="566">
        <v>1</v>
      </c>
      <c r="EY58" s="566">
        <v>1</v>
      </c>
      <c r="EZ58" s="566">
        <v>1</v>
      </c>
      <c r="FA58" s="566">
        <v>0.53574122868889695</v>
      </c>
      <c r="FB58" s="566">
        <v>1</v>
      </c>
      <c r="FC58" s="566">
        <v>1</v>
      </c>
      <c r="FD58" s="566">
        <v>1</v>
      </c>
      <c r="FE58" s="566">
        <v>0.99999999998748601</v>
      </c>
      <c r="FF58" s="566">
        <v>1</v>
      </c>
      <c r="FG58" s="566">
        <v>1</v>
      </c>
      <c r="FH58" s="566">
        <v>1</v>
      </c>
    </row>
    <row r="59" spans="1:164" ht="12.75" customHeight="1" x14ac:dyDescent="0.3">
      <c r="A59" s="422"/>
      <c r="B59" s="422"/>
      <c r="C59" s="422"/>
      <c r="D59" s="422"/>
      <c r="E59" s="422"/>
      <c r="F59" s="568"/>
      <c r="G59" s="569"/>
      <c r="H59" s="439"/>
      <c r="I59" s="574">
        <v>3266597.3583466201</v>
      </c>
      <c r="J59" s="566">
        <v>0.56084972207218597</v>
      </c>
      <c r="K59" s="566">
        <v>1</v>
      </c>
      <c r="L59" s="566">
        <v>1</v>
      </c>
      <c r="M59" s="566">
        <v>1</v>
      </c>
      <c r="N59" s="566">
        <v>1</v>
      </c>
      <c r="O59" s="566">
        <v>1</v>
      </c>
      <c r="P59" s="566">
        <v>1</v>
      </c>
      <c r="Q59" s="566">
        <v>1</v>
      </c>
      <c r="R59" s="566">
        <v>1</v>
      </c>
      <c r="S59" s="566">
        <v>1</v>
      </c>
      <c r="T59" s="566">
        <v>1</v>
      </c>
      <c r="U59" s="566">
        <v>1</v>
      </c>
      <c r="V59" s="566">
        <v>1</v>
      </c>
      <c r="W59" s="566">
        <v>1</v>
      </c>
      <c r="X59" s="566">
        <v>1</v>
      </c>
      <c r="Y59" s="566">
        <v>0.62357978689578897</v>
      </c>
      <c r="Z59" s="566">
        <v>1</v>
      </c>
      <c r="AA59" s="566">
        <v>1</v>
      </c>
      <c r="AB59" s="566">
        <v>1</v>
      </c>
      <c r="AC59" s="566">
        <v>1</v>
      </c>
      <c r="AD59" s="566">
        <v>1</v>
      </c>
      <c r="AE59" s="566">
        <v>1</v>
      </c>
      <c r="AF59" s="566">
        <v>1</v>
      </c>
      <c r="AG59" s="566">
        <v>1</v>
      </c>
      <c r="AH59" s="566">
        <v>1</v>
      </c>
      <c r="AI59" s="566">
        <v>1</v>
      </c>
      <c r="AJ59" s="566">
        <v>1</v>
      </c>
      <c r="AK59" s="566">
        <v>0.62490412656587302</v>
      </c>
      <c r="AL59" s="566">
        <v>1</v>
      </c>
      <c r="AM59" s="566">
        <v>1</v>
      </c>
      <c r="AN59" s="566">
        <v>1</v>
      </c>
      <c r="AO59" s="566">
        <v>1</v>
      </c>
      <c r="AP59" s="566">
        <v>1</v>
      </c>
      <c r="AQ59" s="566">
        <v>1</v>
      </c>
      <c r="AR59" s="566">
        <v>1</v>
      </c>
      <c r="AS59" s="566">
        <v>1</v>
      </c>
      <c r="AT59" s="566">
        <v>1</v>
      </c>
      <c r="AU59" s="566">
        <v>1</v>
      </c>
      <c r="AV59" s="566">
        <v>1</v>
      </c>
      <c r="AW59" s="566">
        <v>1</v>
      </c>
      <c r="AX59" s="566">
        <v>1</v>
      </c>
      <c r="AY59" s="566">
        <v>1</v>
      </c>
      <c r="AZ59" s="566">
        <v>1</v>
      </c>
      <c r="BA59" s="566">
        <v>0.54537875949909398</v>
      </c>
      <c r="BB59" s="566">
        <v>1</v>
      </c>
      <c r="BC59" s="566">
        <v>1</v>
      </c>
      <c r="BD59" s="566">
        <v>1</v>
      </c>
      <c r="BE59" s="566">
        <v>1</v>
      </c>
      <c r="BF59" s="566">
        <v>1</v>
      </c>
      <c r="BG59" s="566">
        <v>1</v>
      </c>
      <c r="BH59" s="566">
        <v>0.999999999999998</v>
      </c>
      <c r="BI59" s="566">
        <v>1</v>
      </c>
      <c r="BJ59" s="566">
        <v>1</v>
      </c>
      <c r="BK59" s="566">
        <v>1</v>
      </c>
      <c r="BL59" s="566">
        <v>0.999999999999996</v>
      </c>
      <c r="BM59" s="566">
        <v>1</v>
      </c>
      <c r="BN59" s="566">
        <v>1</v>
      </c>
      <c r="BO59" s="566">
        <v>1</v>
      </c>
      <c r="BP59" s="566">
        <v>0.54509083089369303</v>
      </c>
      <c r="BQ59" s="566">
        <v>1</v>
      </c>
      <c r="BR59" s="566">
        <v>1</v>
      </c>
      <c r="BS59" s="566">
        <v>1</v>
      </c>
      <c r="BT59" s="566">
        <v>0.999999999999999</v>
      </c>
      <c r="BU59" s="566">
        <v>1</v>
      </c>
      <c r="BV59" s="566">
        <v>1</v>
      </c>
      <c r="BW59" s="566">
        <v>1</v>
      </c>
      <c r="BX59" s="566">
        <v>0.999999999999996</v>
      </c>
      <c r="BY59" s="566">
        <v>1</v>
      </c>
      <c r="BZ59" s="566">
        <v>1</v>
      </c>
      <c r="CA59" s="566">
        <v>1</v>
      </c>
      <c r="CB59" s="566">
        <v>0.54509089166537295</v>
      </c>
      <c r="CC59" s="566">
        <v>1</v>
      </c>
      <c r="CD59" s="566">
        <v>1</v>
      </c>
      <c r="CE59" s="566">
        <v>1</v>
      </c>
      <c r="CF59" s="566">
        <v>0.999999999999996</v>
      </c>
      <c r="CG59" s="566">
        <v>1</v>
      </c>
      <c r="CH59" s="566">
        <v>1</v>
      </c>
      <c r="CI59" s="566">
        <v>1</v>
      </c>
      <c r="CJ59" s="566">
        <v>0.999999999999996</v>
      </c>
      <c r="CK59" s="566">
        <v>1</v>
      </c>
      <c r="CL59" s="566">
        <v>1</v>
      </c>
      <c r="CM59" s="566">
        <v>1</v>
      </c>
      <c r="CN59" s="566">
        <v>0.999999999999996</v>
      </c>
      <c r="CO59" s="566">
        <v>1</v>
      </c>
      <c r="CP59" s="566">
        <v>1</v>
      </c>
      <c r="CQ59" s="566">
        <v>1</v>
      </c>
      <c r="CR59" s="566">
        <v>0.54502862443553102</v>
      </c>
      <c r="CS59" s="566">
        <v>1</v>
      </c>
      <c r="CT59" s="566">
        <v>1</v>
      </c>
      <c r="CU59" s="566">
        <v>1</v>
      </c>
      <c r="CV59" s="566">
        <v>1</v>
      </c>
      <c r="CW59" s="566">
        <v>1</v>
      </c>
      <c r="CX59" s="566">
        <v>1</v>
      </c>
      <c r="CY59" s="566">
        <v>0.54502878208069205</v>
      </c>
      <c r="CZ59" s="566">
        <v>1</v>
      </c>
      <c r="DA59" s="566">
        <v>1</v>
      </c>
      <c r="DB59" s="566">
        <v>1</v>
      </c>
      <c r="DC59" s="566">
        <v>0.54502822345688895</v>
      </c>
      <c r="DD59" s="566">
        <v>1</v>
      </c>
      <c r="DE59" s="566">
        <v>1</v>
      </c>
      <c r="DF59" s="566">
        <v>1</v>
      </c>
      <c r="DG59" s="566">
        <v>0.54502814658425303</v>
      </c>
      <c r="DH59" s="566">
        <v>1</v>
      </c>
      <c r="DI59" s="566">
        <v>1</v>
      </c>
      <c r="DJ59" s="566">
        <v>1</v>
      </c>
      <c r="DK59" s="566">
        <v>0.99999999999981204</v>
      </c>
      <c r="DL59" s="566">
        <v>1</v>
      </c>
      <c r="DM59" s="566">
        <v>1</v>
      </c>
      <c r="DN59" s="566">
        <v>1</v>
      </c>
      <c r="DO59" s="566">
        <v>0.54502862405390196</v>
      </c>
      <c r="DP59" s="566">
        <v>1</v>
      </c>
      <c r="DQ59" s="566">
        <v>1</v>
      </c>
      <c r="DR59" s="566">
        <v>1</v>
      </c>
      <c r="DS59" s="566">
        <v>1</v>
      </c>
      <c r="DT59" s="566">
        <v>1</v>
      </c>
      <c r="DU59" s="566">
        <v>1</v>
      </c>
      <c r="DV59" s="566">
        <v>0.545027515827746</v>
      </c>
      <c r="DW59" s="566">
        <v>1</v>
      </c>
      <c r="DX59" s="566">
        <v>1</v>
      </c>
      <c r="DY59" s="566">
        <v>1</v>
      </c>
      <c r="DZ59" s="566">
        <v>0.54502720252084202</v>
      </c>
      <c r="EA59" s="566">
        <v>1</v>
      </c>
      <c r="EB59" s="566">
        <v>1</v>
      </c>
      <c r="EC59" s="566">
        <v>1</v>
      </c>
      <c r="ED59" s="566">
        <v>0.54502712557639099</v>
      </c>
      <c r="EE59" s="566">
        <v>1</v>
      </c>
      <c r="EF59" s="566">
        <v>1</v>
      </c>
      <c r="EG59" s="566">
        <v>1</v>
      </c>
      <c r="EH59" s="566">
        <v>0.99999999999994604</v>
      </c>
      <c r="EI59" s="566">
        <v>1</v>
      </c>
      <c r="EJ59" s="566">
        <v>1</v>
      </c>
      <c r="EK59" s="566">
        <v>1</v>
      </c>
      <c r="EL59" s="566">
        <v>0.54502680230737299</v>
      </c>
      <c r="EM59" s="566">
        <v>1</v>
      </c>
      <c r="EN59" s="566">
        <v>1</v>
      </c>
      <c r="EO59" s="566">
        <v>1</v>
      </c>
      <c r="EP59" s="566">
        <v>1</v>
      </c>
      <c r="EQ59" s="566">
        <v>1</v>
      </c>
      <c r="ER59" s="566">
        <v>1</v>
      </c>
      <c r="ES59" s="566">
        <v>0.54502192183360898</v>
      </c>
      <c r="ET59" s="566">
        <v>1</v>
      </c>
      <c r="EU59" s="566">
        <v>1</v>
      </c>
      <c r="EV59" s="566">
        <v>1</v>
      </c>
      <c r="EW59" s="566">
        <v>0.54502190019769303</v>
      </c>
      <c r="EX59" s="566">
        <v>1</v>
      </c>
      <c r="EY59" s="566">
        <v>1</v>
      </c>
      <c r="EZ59" s="566">
        <v>1</v>
      </c>
      <c r="FA59" s="566">
        <v>0.545021823235319</v>
      </c>
      <c r="FB59" s="566">
        <v>1</v>
      </c>
      <c r="FC59" s="566">
        <v>1</v>
      </c>
      <c r="FD59" s="566">
        <v>0.999999999999999</v>
      </c>
      <c r="FE59" s="566">
        <v>0.99999999998773703</v>
      </c>
      <c r="FF59" s="566">
        <v>1</v>
      </c>
      <c r="FG59" s="566">
        <v>1</v>
      </c>
      <c r="FH59" s="566">
        <v>1</v>
      </c>
    </row>
    <row r="60" spans="1:164" ht="12.75" customHeight="1" x14ac:dyDescent="0.3">
      <c r="A60" s="422"/>
      <c r="B60" s="422"/>
      <c r="C60" s="422"/>
      <c r="D60" s="422"/>
      <c r="E60" s="422"/>
      <c r="F60" s="568"/>
      <c r="G60" s="569"/>
      <c r="H60" s="439"/>
      <c r="I60" s="574">
        <v>3350356.2649708898</v>
      </c>
      <c r="J60" s="566">
        <v>0.56962839449862501</v>
      </c>
      <c r="K60" s="566">
        <v>1</v>
      </c>
      <c r="L60" s="566">
        <v>1</v>
      </c>
      <c r="M60" s="566">
        <v>1</v>
      </c>
      <c r="N60" s="566">
        <v>1</v>
      </c>
      <c r="O60" s="566">
        <v>1</v>
      </c>
      <c r="P60" s="566">
        <v>1</v>
      </c>
      <c r="Q60" s="566">
        <v>1</v>
      </c>
      <c r="R60" s="566">
        <v>1</v>
      </c>
      <c r="S60" s="566">
        <v>1</v>
      </c>
      <c r="T60" s="566">
        <v>1</v>
      </c>
      <c r="U60" s="566">
        <v>1</v>
      </c>
      <c r="V60" s="566">
        <v>1</v>
      </c>
      <c r="W60" s="566">
        <v>1</v>
      </c>
      <c r="X60" s="566">
        <v>1</v>
      </c>
      <c r="Y60" s="566">
        <v>0.63110447698849603</v>
      </c>
      <c r="Z60" s="566">
        <v>1</v>
      </c>
      <c r="AA60" s="566">
        <v>1</v>
      </c>
      <c r="AB60" s="566">
        <v>1</v>
      </c>
      <c r="AC60" s="566">
        <v>0.999999999999999</v>
      </c>
      <c r="AD60" s="566">
        <v>1</v>
      </c>
      <c r="AE60" s="566">
        <v>1</v>
      </c>
      <c r="AF60" s="566">
        <v>1</v>
      </c>
      <c r="AG60" s="566">
        <v>1</v>
      </c>
      <c r="AH60" s="566">
        <v>1</v>
      </c>
      <c r="AI60" s="566">
        <v>0.999999999999999</v>
      </c>
      <c r="AJ60" s="566">
        <v>1</v>
      </c>
      <c r="AK60" s="566">
        <v>0.63240234293254804</v>
      </c>
      <c r="AL60" s="566">
        <v>1</v>
      </c>
      <c r="AM60" s="566">
        <v>0.999999999999999</v>
      </c>
      <c r="AN60" s="566">
        <v>1</v>
      </c>
      <c r="AO60" s="566">
        <v>1</v>
      </c>
      <c r="AP60" s="566">
        <v>1</v>
      </c>
      <c r="AQ60" s="566">
        <v>1</v>
      </c>
      <c r="AR60" s="566">
        <v>1</v>
      </c>
      <c r="AS60" s="566">
        <v>1</v>
      </c>
      <c r="AT60" s="566">
        <v>1</v>
      </c>
      <c r="AU60" s="566">
        <v>1</v>
      </c>
      <c r="AV60" s="566">
        <v>1</v>
      </c>
      <c r="AW60" s="566">
        <v>1</v>
      </c>
      <c r="AX60" s="566">
        <v>1</v>
      </c>
      <c r="AY60" s="566">
        <v>1</v>
      </c>
      <c r="AZ60" s="566">
        <v>1</v>
      </c>
      <c r="BA60" s="566">
        <v>0.55446669852372699</v>
      </c>
      <c r="BB60" s="566">
        <v>1</v>
      </c>
      <c r="BC60" s="566">
        <v>1</v>
      </c>
      <c r="BD60" s="566">
        <v>1</v>
      </c>
      <c r="BE60" s="566">
        <v>1</v>
      </c>
      <c r="BF60" s="566">
        <v>1</v>
      </c>
      <c r="BG60" s="566">
        <v>1</v>
      </c>
      <c r="BH60" s="566">
        <v>0.999999999999998</v>
      </c>
      <c r="BI60" s="566">
        <v>1</v>
      </c>
      <c r="BJ60" s="566">
        <v>1</v>
      </c>
      <c r="BK60" s="566">
        <v>1</v>
      </c>
      <c r="BL60" s="566">
        <v>0.999999999999996</v>
      </c>
      <c r="BM60" s="566">
        <v>1</v>
      </c>
      <c r="BN60" s="566">
        <v>1</v>
      </c>
      <c r="BO60" s="566">
        <v>1</v>
      </c>
      <c r="BP60" s="566">
        <v>0.554184525649422</v>
      </c>
      <c r="BQ60" s="566">
        <v>1</v>
      </c>
      <c r="BR60" s="566">
        <v>1</v>
      </c>
      <c r="BS60" s="566">
        <v>1</v>
      </c>
      <c r="BT60" s="566">
        <v>0.999999999999998</v>
      </c>
      <c r="BU60" s="566">
        <v>1</v>
      </c>
      <c r="BV60" s="566">
        <v>1</v>
      </c>
      <c r="BW60" s="566">
        <v>1</v>
      </c>
      <c r="BX60" s="566">
        <v>0.999999999999996</v>
      </c>
      <c r="BY60" s="566">
        <v>1</v>
      </c>
      <c r="BZ60" s="566">
        <v>1</v>
      </c>
      <c r="CA60" s="566">
        <v>1</v>
      </c>
      <c r="CB60" s="566">
        <v>0.55418458520626701</v>
      </c>
      <c r="CC60" s="566">
        <v>1</v>
      </c>
      <c r="CD60" s="566">
        <v>1</v>
      </c>
      <c r="CE60" s="566">
        <v>1</v>
      </c>
      <c r="CF60" s="566">
        <v>0.999999999999996</v>
      </c>
      <c r="CG60" s="566">
        <v>1</v>
      </c>
      <c r="CH60" s="566">
        <v>1</v>
      </c>
      <c r="CI60" s="566">
        <v>1</v>
      </c>
      <c r="CJ60" s="566">
        <v>0.999999999999996</v>
      </c>
      <c r="CK60" s="566">
        <v>1</v>
      </c>
      <c r="CL60" s="566">
        <v>1</v>
      </c>
      <c r="CM60" s="566">
        <v>1</v>
      </c>
      <c r="CN60" s="566">
        <v>0.999999999999995</v>
      </c>
      <c r="CO60" s="566">
        <v>1</v>
      </c>
      <c r="CP60" s="566">
        <v>1</v>
      </c>
      <c r="CQ60" s="566">
        <v>1</v>
      </c>
      <c r="CR60" s="566">
        <v>0.554123562706624</v>
      </c>
      <c r="CS60" s="566">
        <v>1</v>
      </c>
      <c r="CT60" s="566">
        <v>1</v>
      </c>
      <c r="CU60" s="566">
        <v>1</v>
      </c>
      <c r="CV60" s="566">
        <v>1</v>
      </c>
      <c r="CW60" s="566">
        <v>1</v>
      </c>
      <c r="CX60" s="566">
        <v>1</v>
      </c>
      <c r="CY60" s="566">
        <v>0.55412371720043896</v>
      </c>
      <c r="CZ60" s="566">
        <v>1</v>
      </c>
      <c r="DA60" s="566">
        <v>1</v>
      </c>
      <c r="DB60" s="566">
        <v>1</v>
      </c>
      <c r="DC60" s="566">
        <v>0.55412316974359999</v>
      </c>
      <c r="DD60" s="566">
        <v>1</v>
      </c>
      <c r="DE60" s="566">
        <v>1</v>
      </c>
      <c r="DF60" s="566">
        <v>1</v>
      </c>
      <c r="DG60" s="566">
        <v>0.55412309440765795</v>
      </c>
      <c r="DH60" s="566">
        <v>1</v>
      </c>
      <c r="DI60" s="566">
        <v>1</v>
      </c>
      <c r="DJ60" s="566">
        <v>1</v>
      </c>
      <c r="DK60" s="566">
        <v>0.99999999999981504</v>
      </c>
      <c r="DL60" s="566">
        <v>1</v>
      </c>
      <c r="DM60" s="566">
        <v>1</v>
      </c>
      <c r="DN60" s="566">
        <v>1</v>
      </c>
      <c r="DO60" s="566">
        <v>0.55412356233262405</v>
      </c>
      <c r="DP60" s="566">
        <v>1</v>
      </c>
      <c r="DQ60" s="566">
        <v>1</v>
      </c>
      <c r="DR60" s="566">
        <v>1</v>
      </c>
      <c r="DS60" s="566">
        <v>1</v>
      </c>
      <c r="DT60" s="566">
        <v>1</v>
      </c>
      <c r="DU60" s="566">
        <v>1</v>
      </c>
      <c r="DV60" s="566">
        <v>0.55412247626005895</v>
      </c>
      <c r="DW60" s="566">
        <v>1</v>
      </c>
      <c r="DX60" s="566">
        <v>1</v>
      </c>
      <c r="DY60" s="566">
        <v>1</v>
      </c>
      <c r="DZ60" s="566">
        <v>0.55412216921620105</v>
      </c>
      <c r="EA60" s="566">
        <v>1</v>
      </c>
      <c r="EB60" s="566">
        <v>1</v>
      </c>
      <c r="EC60" s="566">
        <v>1</v>
      </c>
      <c r="ED60" s="566">
        <v>0.55412209380987998</v>
      </c>
      <c r="EE60" s="566">
        <v>1</v>
      </c>
      <c r="EF60" s="566">
        <v>1</v>
      </c>
      <c r="EG60" s="566">
        <v>1</v>
      </c>
      <c r="EH60" s="566">
        <v>0.99999999999994604</v>
      </c>
      <c r="EI60" s="566">
        <v>1</v>
      </c>
      <c r="EJ60" s="566">
        <v>1</v>
      </c>
      <c r="EK60" s="566">
        <v>1</v>
      </c>
      <c r="EL60" s="566">
        <v>0.55412177700304999</v>
      </c>
      <c r="EM60" s="566">
        <v>1</v>
      </c>
      <c r="EN60" s="566">
        <v>1</v>
      </c>
      <c r="EO60" s="566">
        <v>1</v>
      </c>
      <c r="EP60" s="566">
        <v>1</v>
      </c>
      <c r="EQ60" s="566">
        <v>1</v>
      </c>
      <c r="ER60" s="566">
        <v>0.999999999999999</v>
      </c>
      <c r="ES60" s="566">
        <v>0.554116994090606</v>
      </c>
      <c r="ET60" s="566">
        <v>1</v>
      </c>
      <c r="EU60" s="566">
        <v>1</v>
      </c>
      <c r="EV60" s="566">
        <v>0.999999999999999</v>
      </c>
      <c r="EW60" s="566">
        <v>0.55411697288719497</v>
      </c>
      <c r="EX60" s="566">
        <v>1</v>
      </c>
      <c r="EY60" s="566">
        <v>1</v>
      </c>
      <c r="EZ60" s="566">
        <v>1</v>
      </c>
      <c r="FA60" s="566">
        <v>0.55411689746330905</v>
      </c>
      <c r="FB60" s="566">
        <v>1</v>
      </c>
      <c r="FC60" s="566">
        <v>1</v>
      </c>
      <c r="FD60" s="566">
        <v>0.999999999999999</v>
      </c>
      <c r="FE60" s="566">
        <v>0.99999999998798195</v>
      </c>
      <c r="FF60" s="566">
        <v>1</v>
      </c>
      <c r="FG60" s="566">
        <v>1</v>
      </c>
      <c r="FH60" s="566">
        <v>1</v>
      </c>
    </row>
    <row r="61" spans="1:164" ht="12.75" customHeight="1" x14ac:dyDescent="0.3">
      <c r="A61" s="422"/>
      <c r="B61" s="422"/>
      <c r="C61" s="422"/>
      <c r="D61" s="422"/>
      <c r="E61" s="422"/>
      <c r="F61" s="568"/>
      <c r="G61" s="569"/>
      <c r="H61" s="439"/>
      <c r="I61" s="574">
        <v>3434115.1715951599</v>
      </c>
      <c r="J61" s="566">
        <v>0.57823158009687203</v>
      </c>
      <c r="K61" s="566">
        <v>1</v>
      </c>
      <c r="L61" s="566">
        <v>1</v>
      </c>
      <c r="M61" s="566">
        <v>1</v>
      </c>
      <c r="N61" s="566">
        <v>1</v>
      </c>
      <c r="O61" s="566">
        <v>1</v>
      </c>
      <c r="P61" s="566">
        <v>1</v>
      </c>
      <c r="Q61" s="566">
        <v>1</v>
      </c>
      <c r="R61" s="566">
        <v>1</v>
      </c>
      <c r="S61" s="566">
        <v>1</v>
      </c>
      <c r="T61" s="566">
        <v>1</v>
      </c>
      <c r="U61" s="566">
        <v>1</v>
      </c>
      <c r="V61" s="566">
        <v>1</v>
      </c>
      <c r="W61" s="566">
        <v>1</v>
      </c>
      <c r="X61" s="566">
        <v>1</v>
      </c>
      <c r="Y61" s="566">
        <v>0.63847874752647105</v>
      </c>
      <c r="Z61" s="566">
        <v>1</v>
      </c>
      <c r="AA61" s="566">
        <v>1</v>
      </c>
      <c r="AB61" s="566">
        <v>1</v>
      </c>
      <c r="AC61" s="566">
        <v>1</v>
      </c>
      <c r="AD61" s="566">
        <v>1</v>
      </c>
      <c r="AE61" s="566">
        <v>1</v>
      </c>
      <c r="AF61" s="566">
        <v>1</v>
      </c>
      <c r="AG61" s="566">
        <v>1</v>
      </c>
      <c r="AH61" s="566">
        <v>1</v>
      </c>
      <c r="AI61" s="566">
        <v>1</v>
      </c>
      <c r="AJ61" s="566">
        <v>1</v>
      </c>
      <c r="AK61" s="566">
        <v>0.63975066895779098</v>
      </c>
      <c r="AL61" s="566">
        <v>1</v>
      </c>
      <c r="AM61" s="566">
        <v>0.999999999999999</v>
      </c>
      <c r="AN61" s="566">
        <v>1</v>
      </c>
      <c r="AO61" s="566">
        <v>1</v>
      </c>
      <c r="AP61" s="566">
        <v>1</v>
      </c>
      <c r="AQ61" s="566">
        <v>1</v>
      </c>
      <c r="AR61" s="566">
        <v>1</v>
      </c>
      <c r="AS61" s="566">
        <v>1</v>
      </c>
      <c r="AT61" s="566">
        <v>1</v>
      </c>
      <c r="AU61" s="566">
        <v>1</v>
      </c>
      <c r="AV61" s="566">
        <v>1</v>
      </c>
      <c r="AW61" s="566">
        <v>1</v>
      </c>
      <c r="AX61" s="566">
        <v>1</v>
      </c>
      <c r="AY61" s="566">
        <v>1</v>
      </c>
      <c r="AZ61" s="566">
        <v>1</v>
      </c>
      <c r="BA61" s="566">
        <v>0.56337296843978002</v>
      </c>
      <c r="BB61" s="566">
        <v>1</v>
      </c>
      <c r="BC61" s="566">
        <v>1</v>
      </c>
      <c r="BD61" s="566">
        <v>1</v>
      </c>
      <c r="BE61" s="566">
        <v>1</v>
      </c>
      <c r="BF61" s="566">
        <v>1</v>
      </c>
      <c r="BG61" s="566">
        <v>1</v>
      </c>
      <c r="BH61" s="566">
        <v>0.999999999999998</v>
      </c>
      <c r="BI61" s="566">
        <v>1</v>
      </c>
      <c r="BJ61" s="566">
        <v>1</v>
      </c>
      <c r="BK61" s="566">
        <v>1</v>
      </c>
      <c r="BL61" s="566">
        <v>0.999999999999997</v>
      </c>
      <c r="BM61" s="566">
        <v>1</v>
      </c>
      <c r="BN61" s="566">
        <v>1</v>
      </c>
      <c r="BO61" s="566">
        <v>1</v>
      </c>
      <c r="BP61" s="566">
        <v>0.56309643623873595</v>
      </c>
      <c r="BQ61" s="566">
        <v>1</v>
      </c>
      <c r="BR61" s="566">
        <v>1</v>
      </c>
      <c r="BS61" s="566">
        <v>1</v>
      </c>
      <c r="BT61" s="566">
        <v>0.999999999999999</v>
      </c>
      <c r="BU61" s="566">
        <v>1</v>
      </c>
      <c r="BV61" s="566">
        <v>1</v>
      </c>
      <c r="BW61" s="566">
        <v>1</v>
      </c>
      <c r="BX61" s="566">
        <v>0.999999999999997</v>
      </c>
      <c r="BY61" s="566">
        <v>1</v>
      </c>
      <c r="BZ61" s="566">
        <v>1</v>
      </c>
      <c r="CA61" s="566">
        <v>1</v>
      </c>
      <c r="CB61" s="566">
        <v>0.56309649460503297</v>
      </c>
      <c r="CC61" s="566">
        <v>1</v>
      </c>
      <c r="CD61" s="566">
        <v>1</v>
      </c>
      <c r="CE61" s="566">
        <v>1</v>
      </c>
      <c r="CF61" s="566">
        <v>0.999999999999996</v>
      </c>
      <c r="CG61" s="566">
        <v>1</v>
      </c>
      <c r="CH61" s="566">
        <v>1</v>
      </c>
      <c r="CI61" s="566">
        <v>1</v>
      </c>
      <c r="CJ61" s="566">
        <v>0.999999999999996</v>
      </c>
      <c r="CK61" s="566">
        <v>1</v>
      </c>
      <c r="CL61" s="566">
        <v>1</v>
      </c>
      <c r="CM61" s="566">
        <v>1</v>
      </c>
      <c r="CN61" s="566">
        <v>0.999999999999996</v>
      </c>
      <c r="CO61" s="566">
        <v>1</v>
      </c>
      <c r="CP61" s="566">
        <v>1</v>
      </c>
      <c r="CQ61" s="566">
        <v>1</v>
      </c>
      <c r="CR61" s="566">
        <v>0.56303669195327</v>
      </c>
      <c r="CS61" s="566">
        <v>1</v>
      </c>
      <c r="CT61" s="566">
        <v>1</v>
      </c>
      <c r="CU61" s="566">
        <v>1</v>
      </c>
      <c r="CV61" s="566">
        <v>1</v>
      </c>
      <c r="CW61" s="566">
        <v>1</v>
      </c>
      <c r="CX61" s="566">
        <v>1</v>
      </c>
      <c r="CY61" s="566">
        <v>0.56303684335873205</v>
      </c>
      <c r="CZ61" s="566">
        <v>1</v>
      </c>
      <c r="DA61" s="566">
        <v>1</v>
      </c>
      <c r="DB61" s="566">
        <v>1</v>
      </c>
      <c r="DC61" s="566">
        <v>0.563036306845628</v>
      </c>
      <c r="DD61" s="566">
        <v>1</v>
      </c>
      <c r="DE61" s="566">
        <v>1</v>
      </c>
      <c r="DF61" s="566">
        <v>1</v>
      </c>
      <c r="DG61" s="566">
        <v>0.56303623301566097</v>
      </c>
      <c r="DH61" s="566">
        <v>1</v>
      </c>
      <c r="DI61" s="566">
        <v>1</v>
      </c>
      <c r="DJ61" s="566">
        <v>1</v>
      </c>
      <c r="DK61" s="566">
        <v>0.99999999999981903</v>
      </c>
      <c r="DL61" s="566">
        <v>1</v>
      </c>
      <c r="DM61" s="566">
        <v>1</v>
      </c>
      <c r="DN61" s="566">
        <v>1</v>
      </c>
      <c r="DO61" s="566">
        <v>0.56303669158674596</v>
      </c>
      <c r="DP61" s="566">
        <v>1</v>
      </c>
      <c r="DQ61" s="566">
        <v>1</v>
      </c>
      <c r="DR61" s="566">
        <v>1</v>
      </c>
      <c r="DS61" s="566">
        <v>1</v>
      </c>
      <c r="DT61" s="566">
        <v>1</v>
      </c>
      <c r="DU61" s="566">
        <v>1</v>
      </c>
      <c r="DV61" s="566">
        <v>0.56303562722491396</v>
      </c>
      <c r="DW61" s="566">
        <v>1</v>
      </c>
      <c r="DX61" s="566">
        <v>1</v>
      </c>
      <c r="DY61" s="566">
        <v>1</v>
      </c>
      <c r="DZ61" s="566">
        <v>0.56303532631890296</v>
      </c>
      <c r="EA61" s="566">
        <v>1</v>
      </c>
      <c r="EB61" s="566">
        <v>1</v>
      </c>
      <c r="EC61" s="566">
        <v>1</v>
      </c>
      <c r="ED61" s="566">
        <v>0.56303525241996499</v>
      </c>
      <c r="EE61" s="566">
        <v>1</v>
      </c>
      <c r="EF61" s="566">
        <v>1</v>
      </c>
      <c r="EG61" s="566">
        <v>1</v>
      </c>
      <c r="EH61" s="566">
        <v>0.99999999999994804</v>
      </c>
      <c r="EI61" s="566">
        <v>1</v>
      </c>
      <c r="EJ61" s="566">
        <v>1</v>
      </c>
      <c r="EK61" s="566">
        <v>1</v>
      </c>
      <c r="EL61" s="566">
        <v>0.563034941946148</v>
      </c>
      <c r="EM61" s="566">
        <v>1</v>
      </c>
      <c r="EN61" s="566">
        <v>1</v>
      </c>
      <c r="EO61" s="566">
        <v>1</v>
      </c>
      <c r="EP61" s="566">
        <v>1</v>
      </c>
      <c r="EQ61" s="566">
        <v>1</v>
      </c>
      <c r="ER61" s="566">
        <v>1</v>
      </c>
      <c r="ES61" s="566">
        <v>0.56303025464475798</v>
      </c>
      <c r="ET61" s="566">
        <v>1</v>
      </c>
      <c r="EU61" s="566">
        <v>1</v>
      </c>
      <c r="EV61" s="566">
        <v>1</v>
      </c>
      <c r="EW61" s="566">
        <v>0.56303023386520601</v>
      </c>
      <c r="EX61" s="566">
        <v>1</v>
      </c>
      <c r="EY61" s="566">
        <v>1</v>
      </c>
      <c r="EZ61" s="566">
        <v>1</v>
      </c>
      <c r="FA61" s="566">
        <v>0.56303015994905403</v>
      </c>
      <c r="FB61" s="566">
        <v>1</v>
      </c>
      <c r="FC61" s="566">
        <v>1</v>
      </c>
      <c r="FD61" s="566">
        <v>1</v>
      </c>
      <c r="FE61" s="566">
        <v>0.99999999998822198</v>
      </c>
      <c r="FF61" s="566">
        <v>1</v>
      </c>
      <c r="FG61" s="566">
        <v>1</v>
      </c>
      <c r="FH61" s="566">
        <v>1</v>
      </c>
    </row>
    <row r="62" spans="1:164" ht="12.75" customHeight="1" x14ac:dyDescent="0.3">
      <c r="A62" s="422"/>
      <c r="B62" s="422"/>
      <c r="C62" s="422"/>
      <c r="D62" s="422"/>
      <c r="E62" s="422"/>
      <c r="F62" s="568"/>
      <c r="G62" s="569"/>
      <c r="H62" s="439"/>
      <c r="I62" s="574">
        <v>3517874.0782194301</v>
      </c>
      <c r="J62" s="566">
        <v>0.58666278693682306</v>
      </c>
      <c r="K62" s="566">
        <v>1</v>
      </c>
      <c r="L62" s="566">
        <v>1</v>
      </c>
      <c r="M62" s="566">
        <v>1</v>
      </c>
      <c r="N62" s="566">
        <v>1</v>
      </c>
      <c r="O62" s="566">
        <v>1</v>
      </c>
      <c r="P62" s="566">
        <v>1</v>
      </c>
      <c r="Q62" s="566">
        <v>1</v>
      </c>
      <c r="R62" s="566">
        <v>1</v>
      </c>
      <c r="S62" s="566">
        <v>1</v>
      </c>
      <c r="T62" s="566">
        <v>1</v>
      </c>
      <c r="U62" s="566">
        <v>1</v>
      </c>
      <c r="V62" s="566">
        <v>1</v>
      </c>
      <c r="W62" s="566">
        <v>1</v>
      </c>
      <c r="X62" s="566">
        <v>1</v>
      </c>
      <c r="Y62" s="566">
        <v>0.64570560541594102</v>
      </c>
      <c r="Z62" s="566">
        <v>1</v>
      </c>
      <c r="AA62" s="566">
        <v>1</v>
      </c>
      <c r="AB62" s="566">
        <v>1</v>
      </c>
      <c r="AC62" s="566">
        <v>1</v>
      </c>
      <c r="AD62" s="566">
        <v>1</v>
      </c>
      <c r="AE62" s="566">
        <v>1</v>
      </c>
      <c r="AF62" s="566">
        <v>1</v>
      </c>
      <c r="AG62" s="566">
        <v>1</v>
      </c>
      <c r="AH62" s="566">
        <v>1</v>
      </c>
      <c r="AI62" s="566">
        <v>1</v>
      </c>
      <c r="AJ62" s="566">
        <v>1</v>
      </c>
      <c r="AK62" s="566">
        <v>0.64695210096878797</v>
      </c>
      <c r="AL62" s="566">
        <v>1</v>
      </c>
      <c r="AM62" s="566">
        <v>0.999999999999999</v>
      </c>
      <c r="AN62" s="566">
        <v>1</v>
      </c>
      <c r="AO62" s="566">
        <v>1</v>
      </c>
      <c r="AP62" s="566">
        <v>1</v>
      </c>
      <c r="AQ62" s="566">
        <v>1</v>
      </c>
      <c r="AR62" s="566">
        <v>1</v>
      </c>
      <c r="AS62" s="566">
        <v>1</v>
      </c>
      <c r="AT62" s="566">
        <v>1</v>
      </c>
      <c r="AU62" s="566">
        <v>1</v>
      </c>
      <c r="AV62" s="566">
        <v>1</v>
      </c>
      <c r="AW62" s="566">
        <v>1</v>
      </c>
      <c r="AX62" s="566">
        <v>1</v>
      </c>
      <c r="AY62" s="566">
        <v>1</v>
      </c>
      <c r="AZ62" s="566">
        <v>1</v>
      </c>
      <c r="BA62" s="566">
        <v>0.57210120090407302</v>
      </c>
      <c r="BB62" s="566">
        <v>1</v>
      </c>
      <c r="BC62" s="566">
        <v>1</v>
      </c>
      <c r="BD62" s="566">
        <v>1</v>
      </c>
      <c r="BE62" s="566">
        <v>1</v>
      </c>
      <c r="BF62" s="566">
        <v>1</v>
      </c>
      <c r="BG62" s="566">
        <v>1</v>
      </c>
      <c r="BH62" s="566">
        <v>0.999999999999998</v>
      </c>
      <c r="BI62" s="566">
        <v>1</v>
      </c>
      <c r="BJ62" s="566">
        <v>1</v>
      </c>
      <c r="BK62" s="566">
        <v>1</v>
      </c>
      <c r="BL62" s="566">
        <v>0.999999999999996</v>
      </c>
      <c r="BM62" s="566">
        <v>1</v>
      </c>
      <c r="BN62" s="566">
        <v>1</v>
      </c>
      <c r="BO62" s="566">
        <v>1</v>
      </c>
      <c r="BP62" s="566">
        <v>0.57183019655047995</v>
      </c>
      <c r="BQ62" s="566">
        <v>1</v>
      </c>
      <c r="BR62" s="566">
        <v>1</v>
      </c>
      <c r="BS62" s="566">
        <v>1</v>
      </c>
      <c r="BT62" s="566">
        <v>0.999999999999999</v>
      </c>
      <c r="BU62" s="566">
        <v>1</v>
      </c>
      <c r="BV62" s="566">
        <v>1</v>
      </c>
      <c r="BW62" s="566">
        <v>1</v>
      </c>
      <c r="BX62" s="566">
        <v>0.999999999999996</v>
      </c>
      <c r="BY62" s="566">
        <v>1</v>
      </c>
      <c r="BZ62" s="566">
        <v>1</v>
      </c>
      <c r="CA62" s="566">
        <v>1</v>
      </c>
      <c r="CB62" s="566">
        <v>0.57183025375002605</v>
      </c>
      <c r="CC62" s="566">
        <v>1</v>
      </c>
      <c r="CD62" s="566">
        <v>1</v>
      </c>
      <c r="CE62" s="566">
        <v>1</v>
      </c>
      <c r="CF62" s="566">
        <v>0.999999999999995</v>
      </c>
      <c r="CG62" s="566">
        <v>1</v>
      </c>
      <c r="CH62" s="566">
        <v>1</v>
      </c>
      <c r="CI62" s="566">
        <v>1</v>
      </c>
      <c r="CJ62" s="566">
        <v>0.999999999999996</v>
      </c>
      <c r="CK62" s="566">
        <v>1</v>
      </c>
      <c r="CL62" s="566">
        <v>1</v>
      </c>
      <c r="CM62" s="566">
        <v>1</v>
      </c>
      <c r="CN62" s="566">
        <v>0.999999999999996</v>
      </c>
      <c r="CO62" s="566">
        <v>1</v>
      </c>
      <c r="CP62" s="566">
        <v>1</v>
      </c>
      <c r="CQ62" s="566">
        <v>1</v>
      </c>
      <c r="CR62" s="566">
        <v>0.57177164663370605</v>
      </c>
      <c r="CS62" s="566">
        <v>1</v>
      </c>
      <c r="CT62" s="566">
        <v>1</v>
      </c>
      <c r="CU62" s="566">
        <v>1</v>
      </c>
      <c r="CV62" s="566">
        <v>1</v>
      </c>
      <c r="CW62" s="566">
        <v>1</v>
      </c>
      <c r="CX62" s="566">
        <v>1</v>
      </c>
      <c r="CY62" s="566">
        <v>0.57177179494006802</v>
      </c>
      <c r="CZ62" s="566">
        <v>1</v>
      </c>
      <c r="DA62" s="566">
        <v>1</v>
      </c>
      <c r="DB62" s="566">
        <v>1</v>
      </c>
      <c r="DC62" s="566">
        <v>0.57177126915193199</v>
      </c>
      <c r="DD62" s="566">
        <v>1</v>
      </c>
      <c r="DE62" s="566">
        <v>1</v>
      </c>
      <c r="DF62" s="566">
        <v>1</v>
      </c>
      <c r="DG62" s="566">
        <v>0.57177119679783694</v>
      </c>
      <c r="DH62" s="566">
        <v>1</v>
      </c>
      <c r="DI62" s="566">
        <v>1</v>
      </c>
      <c r="DJ62" s="566">
        <v>1</v>
      </c>
      <c r="DK62" s="566">
        <v>0.99999999999982203</v>
      </c>
      <c r="DL62" s="566">
        <v>1</v>
      </c>
      <c r="DM62" s="566">
        <v>1</v>
      </c>
      <c r="DN62" s="566">
        <v>1</v>
      </c>
      <c r="DO62" s="566">
        <v>0.57177164569614303</v>
      </c>
      <c r="DP62" s="566">
        <v>1</v>
      </c>
      <c r="DQ62" s="566">
        <v>1</v>
      </c>
      <c r="DR62" s="566">
        <v>1</v>
      </c>
      <c r="DS62" s="566">
        <v>1</v>
      </c>
      <c r="DT62" s="566">
        <v>1</v>
      </c>
      <c r="DU62" s="566">
        <v>1</v>
      </c>
      <c r="DV62" s="566">
        <v>0.57177060311692696</v>
      </c>
      <c r="DW62" s="566">
        <v>1</v>
      </c>
      <c r="DX62" s="566">
        <v>1</v>
      </c>
      <c r="DY62" s="566">
        <v>1</v>
      </c>
      <c r="DZ62" s="566">
        <v>0.571770308226068</v>
      </c>
      <c r="EA62" s="566">
        <v>1</v>
      </c>
      <c r="EB62" s="566">
        <v>1</v>
      </c>
      <c r="EC62" s="566">
        <v>1</v>
      </c>
      <c r="ED62" s="566">
        <v>0.57177023580437902</v>
      </c>
      <c r="EE62" s="566">
        <v>1</v>
      </c>
      <c r="EF62" s="566">
        <v>1</v>
      </c>
      <c r="EG62" s="566">
        <v>1</v>
      </c>
      <c r="EH62" s="566">
        <v>0.99999999999994904</v>
      </c>
      <c r="EI62" s="566">
        <v>1</v>
      </c>
      <c r="EJ62" s="566">
        <v>1</v>
      </c>
      <c r="EK62" s="566">
        <v>1</v>
      </c>
      <c r="EL62" s="566">
        <v>0.57176993153733402</v>
      </c>
      <c r="EM62" s="566">
        <v>1</v>
      </c>
      <c r="EN62" s="566">
        <v>1</v>
      </c>
      <c r="EO62" s="566">
        <v>1</v>
      </c>
      <c r="EP62" s="566">
        <v>1</v>
      </c>
      <c r="EQ62" s="566">
        <v>1</v>
      </c>
      <c r="ER62" s="566">
        <v>1</v>
      </c>
      <c r="ES62" s="566">
        <v>0.57176533793536299</v>
      </c>
      <c r="ET62" s="566">
        <v>1</v>
      </c>
      <c r="EU62" s="566">
        <v>1</v>
      </c>
      <c r="EV62" s="566">
        <v>1</v>
      </c>
      <c r="EW62" s="566">
        <v>0.57176531757119697</v>
      </c>
      <c r="EX62" s="566">
        <v>1</v>
      </c>
      <c r="EY62" s="566">
        <v>1</v>
      </c>
      <c r="EZ62" s="566">
        <v>1</v>
      </c>
      <c r="FA62" s="566">
        <v>0.57176524513263904</v>
      </c>
      <c r="FB62" s="566">
        <v>1</v>
      </c>
      <c r="FC62" s="566">
        <v>1</v>
      </c>
      <c r="FD62" s="566">
        <v>0.999999999999999</v>
      </c>
      <c r="FE62" s="566">
        <v>0.99999999998845701</v>
      </c>
      <c r="FF62" s="566">
        <v>1</v>
      </c>
      <c r="FG62" s="566">
        <v>1</v>
      </c>
      <c r="FH62" s="566">
        <v>1</v>
      </c>
    </row>
    <row r="63" spans="1:164" ht="12.75" customHeight="1" x14ac:dyDescent="0.3">
      <c r="A63" s="422"/>
      <c r="B63" s="422"/>
      <c r="C63" s="422"/>
      <c r="D63" s="422"/>
      <c r="E63" s="422"/>
      <c r="F63" s="568"/>
      <c r="G63" s="569"/>
      <c r="H63" s="439"/>
      <c r="I63" s="574">
        <v>3601632.98484371</v>
      </c>
      <c r="J63" s="566">
        <v>0.59492545361621096</v>
      </c>
      <c r="K63" s="566">
        <v>1</v>
      </c>
      <c r="L63" s="566">
        <v>1</v>
      </c>
      <c r="M63" s="566">
        <v>1</v>
      </c>
      <c r="N63" s="566">
        <v>1</v>
      </c>
      <c r="O63" s="566">
        <v>1</v>
      </c>
      <c r="P63" s="566">
        <v>1</v>
      </c>
      <c r="Q63" s="566">
        <v>1</v>
      </c>
      <c r="R63" s="566">
        <v>1</v>
      </c>
      <c r="S63" s="566">
        <v>1</v>
      </c>
      <c r="T63" s="566">
        <v>1</v>
      </c>
      <c r="U63" s="566">
        <v>1</v>
      </c>
      <c r="V63" s="566">
        <v>1</v>
      </c>
      <c r="W63" s="566">
        <v>1</v>
      </c>
      <c r="X63" s="566">
        <v>1</v>
      </c>
      <c r="Y63" s="566">
        <v>0.65278799745563998</v>
      </c>
      <c r="Z63" s="566">
        <v>1</v>
      </c>
      <c r="AA63" s="566">
        <v>1</v>
      </c>
      <c r="AB63" s="566">
        <v>1</v>
      </c>
      <c r="AC63" s="566">
        <v>1</v>
      </c>
      <c r="AD63" s="566">
        <v>1</v>
      </c>
      <c r="AE63" s="566">
        <v>1</v>
      </c>
      <c r="AF63" s="566">
        <v>1</v>
      </c>
      <c r="AG63" s="566">
        <v>1</v>
      </c>
      <c r="AH63" s="566">
        <v>1</v>
      </c>
      <c r="AI63" s="566">
        <v>1</v>
      </c>
      <c r="AJ63" s="566">
        <v>1</v>
      </c>
      <c r="AK63" s="566">
        <v>0.65400957539670401</v>
      </c>
      <c r="AL63" s="566">
        <v>1</v>
      </c>
      <c r="AM63" s="566">
        <v>1</v>
      </c>
      <c r="AN63" s="566">
        <v>1</v>
      </c>
      <c r="AO63" s="566">
        <v>1</v>
      </c>
      <c r="AP63" s="566">
        <v>1</v>
      </c>
      <c r="AQ63" s="566">
        <v>1</v>
      </c>
      <c r="AR63" s="566">
        <v>1</v>
      </c>
      <c r="AS63" s="566">
        <v>1</v>
      </c>
      <c r="AT63" s="566">
        <v>1</v>
      </c>
      <c r="AU63" s="566">
        <v>1</v>
      </c>
      <c r="AV63" s="566">
        <v>1</v>
      </c>
      <c r="AW63" s="566">
        <v>1</v>
      </c>
      <c r="AX63" s="566">
        <v>1</v>
      </c>
      <c r="AY63" s="566">
        <v>1</v>
      </c>
      <c r="AZ63" s="566">
        <v>1</v>
      </c>
      <c r="BA63" s="566">
        <v>0.58065495565413905</v>
      </c>
      <c r="BB63" s="566">
        <v>1</v>
      </c>
      <c r="BC63" s="566">
        <v>1</v>
      </c>
      <c r="BD63" s="566">
        <v>1</v>
      </c>
      <c r="BE63" s="566">
        <v>1</v>
      </c>
      <c r="BF63" s="566">
        <v>1</v>
      </c>
      <c r="BG63" s="566">
        <v>1</v>
      </c>
      <c r="BH63" s="566">
        <v>0.999999999999998</v>
      </c>
      <c r="BI63" s="566">
        <v>1</v>
      </c>
      <c r="BJ63" s="566">
        <v>1</v>
      </c>
      <c r="BK63" s="566">
        <v>1</v>
      </c>
      <c r="BL63" s="566">
        <v>0.999999999999997</v>
      </c>
      <c r="BM63" s="566">
        <v>1</v>
      </c>
      <c r="BN63" s="566">
        <v>1</v>
      </c>
      <c r="BO63" s="566">
        <v>1</v>
      </c>
      <c r="BP63" s="566">
        <v>0.58038936783274298</v>
      </c>
      <c r="BQ63" s="566">
        <v>1</v>
      </c>
      <c r="BR63" s="566">
        <v>1</v>
      </c>
      <c r="BS63" s="566">
        <v>1</v>
      </c>
      <c r="BT63" s="566">
        <v>0.999999999999999</v>
      </c>
      <c r="BU63" s="566">
        <v>1</v>
      </c>
      <c r="BV63" s="566">
        <v>1</v>
      </c>
      <c r="BW63" s="566">
        <v>1</v>
      </c>
      <c r="BX63" s="566">
        <v>0.999999999999997</v>
      </c>
      <c r="BY63" s="566">
        <v>1</v>
      </c>
      <c r="BZ63" s="566">
        <v>1</v>
      </c>
      <c r="CA63" s="566">
        <v>1</v>
      </c>
      <c r="CB63" s="566">
        <v>0.58038942388886205</v>
      </c>
      <c r="CC63" s="566">
        <v>1</v>
      </c>
      <c r="CD63" s="566">
        <v>1</v>
      </c>
      <c r="CE63" s="566">
        <v>1</v>
      </c>
      <c r="CF63" s="566">
        <v>0.999999999999996</v>
      </c>
      <c r="CG63" s="566">
        <v>1</v>
      </c>
      <c r="CH63" s="566">
        <v>1</v>
      </c>
      <c r="CI63" s="566">
        <v>1</v>
      </c>
      <c r="CJ63" s="566">
        <v>0.999999999999996</v>
      </c>
      <c r="CK63" s="566">
        <v>1</v>
      </c>
      <c r="CL63" s="566">
        <v>1</v>
      </c>
      <c r="CM63" s="566">
        <v>1</v>
      </c>
      <c r="CN63" s="566">
        <v>0.999999999999996</v>
      </c>
      <c r="CO63" s="566">
        <v>1</v>
      </c>
      <c r="CP63" s="566">
        <v>1</v>
      </c>
      <c r="CQ63" s="566">
        <v>1</v>
      </c>
      <c r="CR63" s="566">
        <v>0.58033198927547403</v>
      </c>
      <c r="CS63" s="566">
        <v>1</v>
      </c>
      <c r="CT63" s="566">
        <v>1</v>
      </c>
      <c r="CU63" s="566">
        <v>1</v>
      </c>
      <c r="CV63" s="566">
        <v>1</v>
      </c>
      <c r="CW63" s="566">
        <v>1</v>
      </c>
      <c r="CX63" s="566">
        <v>1</v>
      </c>
      <c r="CY63" s="566">
        <v>0.58033213367828496</v>
      </c>
      <c r="CZ63" s="566">
        <v>1</v>
      </c>
      <c r="DA63" s="566">
        <v>1</v>
      </c>
      <c r="DB63" s="566">
        <v>1</v>
      </c>
      <c r="DC63" s="566">
        <v>0.580331618400724</v>
      </c>
      <c r="DD63" s="566">
        <v>1</v>
      </c>
      <c r="DE63" s="566">
        <v>1</v>
      </c>
      <c r="DF63" s="566">
        <v>1</v>
      </c>
      <c r="DG63" s="566">
        <v>0.58033154749299598</v>
      </c>
      <c r="DH63" s="566">
        <v>1</v>
      </c>
      <c r="DI63" s="566">
        <v>1</v>
      </c>
      <c r="DJ63" s="566">
        <v>1</v>
      </c>
      <c r="DK63" s="566">
        <v>0.99999999999982603</v>
      </c>
      <c r="DL63" s="566">
        <v>1</v>
      </c>
      <c r="DM63" s="566">
        <v>1</v>
      </c>
      <c r="DN63" s="566">
        <v>1</v>
      </c>
      <c r="DO63" s="566">
        <v>0.58033198229101302</v>
      </c>
      <c r="DP63" s="566">
        <v>1</v>
      </c>
      <c r="DQ63" s="566">
        <v>1</v>
      </c>
      <c r="DR63" s="566">
        <v>1</v>
      </c>
      <c r="DS63" s="566">
        <v>1</v>
      </c>
      <c r="DT63" s="566">
        <v>1</v>
      </c>
      <c r="DU63" s="566">
        <v>1</v>
      </c>
      <c r="DV63" s="566">
        <v>0.58033096567984699</v>
      </c>
      <c r="DW63" s="566">
        <v>1</v>
      </c>
      <c r="DX63" s="566">
        <v>1</v>
      </c>
      <c r="DY63" s="566">
        <v>1</v>
      </c>
      <c r="DZ63" s="566">
        <v>0.58033067668389604</v>
      </c>
      <c r="EA63" s="566">
        <v>1</v>
      </c>
      <c r="EB63" s="566">
        <v>1</v>
      </c>
      <c r="EC63" s="566">
        <v>1</v>
      </c>
      <c r="ED63" s="566">
        <v>0.58033060570992601</v>
      </c>
      <c r="EE63" s="566">
        <v>1</v>
      </c>
      <c r="EF63" s="566">
        <v>1</v>
      </c>
      <c r="EG63" s="566">
        <v>1</v>
      </c>
      <c r="EH63" s="566">
        <v>0.99999999999995004</v>
      </c>
      <c r="EI63" s="566">
        <v>1</v>
      </c>
      <c r="EJ63" s="566">
        <v>1</v>
      </c>
      <c r="EK63" s="566">
        <v>1</v>
      </c>
      <c r="EL63" s="566">
        <v>0.58033030753058001</v>
      </c>
      <c r="EM63" s="566">
        <v>1</v>
      </c>
      <c r="EN63" s="566">
        <v>1</v>
      </c>
      <c r="EO63" s="566">
        <v>1</v>
      </c>
      <c r="EP63" s="566">
        <v>1</v>
      </c>
      <c r="EQ63" s="566">
        <v>1</v>
      </c>
      <c r="ER63" s="566">
        <v>1</v>
      </c>
      <c r="ES63" s="566">
        <v>0.58032580574996095</v>
      </c>
      <c r="ET63" s="566">
        <v>1</v>
      </c>
      <c r="EU63" s="566">
        <v>1</v>
      </c>
      <c r="EV63" s="566">
        <v>1</v>
      </c>
      <c r="EW63" s="566">
        <v>0.58032578579287797</v>
      </c>
      <c r="EX63" s="566">
        <v>1</v>
      </c>
      <c r="EY63" s="566">
        <v>1</v>
      </c>
      <c r="EZ63" s="566">
        <v>1</v>
      </c>
      <c r="FA63" s="566">
        <v>0.58032571480237605</v>
      </c>
      <c r="FB63" s="566">
        <v>1</v>
      </c>
      <c r="FC63" s="566">
        <v>1</v>
      </c>
      <c r="FD63" s="566">
        <v>0.999999999999999</v>
      </c>
      <c r="FE63" s="566">
        <v>0.99999999998868805</v>
      </c>
      <c r="FF63" s="566">
        <v>1</v>
      </c>
      <c r="FG63" s="566">
        <v>1</v>
      </c>
      <c r="FH63" s="566">
        <v>1</v>
      </c>
    </row>
    <row r="64" spans="1:164" ht="12.75" customHeight="1" x14ac:dyDescent="0.3">
      <c r="A64" s="422"/>
      <c r="B64" s="422"/>
      <c r="C64" s="422"/>
      <c r="D64" s="422"/>
      <c r="E64" s="422"/>
      <c r="F64" s="568"/>
      <c r="G64" s="569"/>
      <c r="H64" s="439"/>
      <c r="I64" s="574">
        <v>3685391.8914679801</v>
      </c>
      <c r="J64" s="566">
        <v>0.60302294937227496</v>
      </c>
      <c r="K64" s="566">
        <v>1</v>
      </c>
      <c r="L64" s="566">
        <v>1</v>
      </c>
      <c r="M64" s="566">
        <v>1</v>
      </c>
      <c r="N64" s="566">
        <v>1</v>
      </c>
      <c r="O64" s="566">
        <v>1</v>
      </c>
      <c r="P64" s="566">
        <v>1</v>
      </c>
      <c r="Q64" s="566">
        <v>1</v>
      </c>
      <c r="R64" s="566">
        <v>1</v>
      </c>
      <c r="S64" s="566">
        <v>1</v>
      </c>
      <c r="T64" s="566">
        <v>1</v>
      </c>
      <c r="U64" s="566">
        <v>1</v>
      </c>
      <c r="V64" s="566">
        <v>1</v>
      </c>
      <c r="W64" s="566">
        <v>1</v>
      </c>
      <c r="X64" s="566">
        <v>1</v>
      </c>
      <c r="Y64" s="566">
        <v>0.65972881153753504</v>
      </c>
      <c r="Z64" s="566">
        <v>1</v>
      </c>
      <c r="AA64" s="566">
        <v>1</v>
      </c>
      <c r="AB64" s="566">
        <v>1</v>
      </c>
      <c r="AC64" s="566">
        <v>1</v>
      </c>
      <c r="AD64" s="566">
        <v>1</v>
      </c>
      <c r="AE64" s="566">
        <v>1</v>
      </c>
      <c r="AF64" s="566">
        <v>1</v>
      </c>
      <c r="AG64" s="566">
        <v>1</v>
      </c>
      <c r="AH64" s="566">
        <v>1</v>
      </c>
      <c r="AI64" s="566">
        <v>1</v>
      </c>
      <c r="AJ64" s="566">
        <v>1</v>
      </c>
      <c r="AK64" s="566">
        <v>0.66092596997318698</v>
      </c>
      <c r="AL64" s="566">
        <v>1</v>
      </c>
      <c r="AM64" s="566">
        <v>0.999999999999999</v>
      </c>
      <c r="AN64" s="566">
        <v>1</v>
      </c>
      <c r="AO64" s="566">
        <v>1</v>
      </c>
      <c r="AP64" s="566">
        <v>1</v>
      </c>
      <c r="AQ64" s="566">
        <v>1</v>
      </c>
      <c r="AR64" s="566">
        <v>1</v>
      </c>
      <c r="AS64" s="566">
        <v>1</v>
      </c>
      <c r="AT64" s="566">
        <v>1</v>
      </c>
      <c r="AU64" s="566">
        <v>1</v>
      </c>
      <c r="AV64" s="566">
        <v>1</v>
      </c>
      <c r="AW64" s="566">
        <v>1</v>
      </c>
      <c r="AX64" s="566">
        <v>1</v>
      </c>
      <c r="AY64" s="566">
        <v>1</v>
      </c>
      <c r="AZ64" s="566">
        <v>1</v>
      </c>
      <c r="BA64" s="566">
        <v>0.58903772062316995</v>
      </c>
      <c r="BB64" s="566">
        <v>1</v>
      </c>
      <c r="BC64" s="566">
        <v>1</v>
      </c>
      <c r="BD64" s="566">
        <v>1</v>
      </c>
      <c r="BE64" s="566">
        <v>1</v>
      </c>
      <c r="BF64" s="566">
        <v>1</v>
      </c>
      <c r="BG64" s="566">
        <v>1</v>
      </c>
      <c r="BH64" s="566">
        <v>0.999999999999998</v>
      </c>
      <c r="BI64" s="566">
        <v>1</v>
      </c>
      <c r="BJ64" s="566">
        <v>1</v>
      </c>
      <c r="BK64" s="566">
        <v>1</v>
      </c>
      <c r="BL64" s="566">
        <v>0.999999999999997</v>
      </c>
      <c r="BM64" s="566">
        <v>1</v>
      </c>
      <c r="BN64" s="566">
        <v>1</v>
      </c>
      <c r="BO64" s="566">
        <v>1</v>
      </c>
      <c r="BP64" s="566">
        <v>0.58877744014394495</v>
      </c>
      <c r="BQ64" s="566">
        <v>1</v>
      </c>
      <c r="BR64" s="566">
        <v>1</v>
      </c>
      <c r="BS64" s="566">
        <v>1</v>
      </c>
      <c r="BT64" s="566">
        <v>0.999999999999998</v>
      </c>
      <c r="BU64" s="566">
        <v>1</v>
      </c>
      <c r="BV64" s="566">
        <v>1</v>
      </c>
      <c r="BW64" s="566">
        <v>1</v>
      </c>
      <c r="BX64" s="566">
        <v>0.999999999999997</v>
      </c>
      <c r="BY64" s="566">
        <v>1</v>
      </c>
      <c r="BZ64" s="566">
        <v>1</v>
      </c>
      <c r="CA64" s="566">
        <v>1</v>
      </c>
      <c r="CB64" s="566">
        <v>0.58877749507949495</v>
      </c>
      <c r="CC64" s="566">
        <v>1</v>
      </c>
      <c r="CD64" s="566">
        <v>1</v>
      </c>
      <c r="CE64" s="566">
        <v>1</v>
      </c>
      <c r="CF64" s="566">
        <v>0.999999999999996</v>
      </c>
      <c r="CG64" s="566">
        <v>1</v>
      </c>
      <c r="CH64" s="566">
        <v>1</v>
      </c>
      <c r="CI64" s="566">
        <v>1</v>
      </c>
      <c r="CJ64" s="566">
        <v>0.999999999999996</v>
      </c>
      <c r="CK64" s="566">
        <v>1</v>
      </c>
      <c r="CL64" s="566">
        <v>1</v>
      </c>
      <c r="CM64" s="566">
        <v>1</v>
      </c>
      <c r="CN64" s="566">
        <v>0.999999999999996</v>
      </c>
      <c r="CO64" s="566">
        <v>1</v>
      </c>
      <c r="CP64" s="566">
        <v>0.999999999999999</v>
      </c>
      <c r="CQ64" s="566">
        <v>1</v>
      </c>
      <c r="CR64" s="566">
        <v>0.588721210503519</v>
      </c>
      <c r="CS64" s="566">
        <v>1</v>
      </c>
      <c r="CT64" s="566">
        <v>1</v>
      </c>
      <c r="CU64" s="566">
        <v>1</v>
      </c>
      <c r="CV64" s="566">
        <v>1</v>
      </c>
      <c r="CW64" s="566">
        <v>1</v>
      </c>
      <c r="CX64" s="566">
        <v>1</v>
      </c>
      <c r="CY64" s="566">
        <v>0.58872135010784199</v>
      </c>
      <c r="CZ64" s="566">
        <v>1</v>
      </c>
      <c r="DA64" s="566">
        <v>1</v>
      </c>
      <c r="DB64" s="566">
        <v>1</v>
      </c>
      <c r="DC64" s="566">
        <v>0.58872084513074796</v>
      </c>
      <c r="DD64" s="566">
        <v>1</v>
      </c>
      <c r="DE64" s="566">
        <v>1</v>
      </c>
      <c r="DF64" s="566">
        <v>1</v>
      </c>
      <c r="DG64" s="566">
        <v>0.58872077564047498</v>
      </c>
      <c r="DH64" s="566">
        <v>1</v>
      </c>
      <c r="DI64" s="566">
        <v>1</v>
      </c>
      <c r="DJ64" s="566">
        <v>1</v>
      </c>
      <c r="DK64" s="566">
        <v>0.99999999999983002</v>
      </c>
      <c r="DL64" s="566">
        <v>1</v>
      </c>
      <c r="DM64" s="566">
        <v>1</v>
      </c>
      <c r="DN64" s="566">
        <v>1</v>
      </c>
      <c r="DO64" s="566">
        <v>0.58872121199180605</v>
      </c>
      <c r="DP64" s="566">
        <v>1</v>
      </c>
      <c r="DQ64" s="566">
        <v>1</v>
      </c>
      <c r="DR64" s="566">
        <v>1</v>
      </c>
      <c r="DS64" s="566">
        <v>1</v>
      </c>
      <c r="DT64" s="566">
        <v>1</v>
      </c>
      <c r="DU64" s="566">
        <v>1</v>
      </c>
      <c r="DV64" s="566">
        <v>0.58872020545784798</v>
      </c>
      <c r="DW64" s="566">
        <v>1</v>
      </c>
      <c r="DX64" s="566">
        <v>1</v>
      </c>
      <c r="DY64" s="566">
        <v>1</v>
      </c>
      <c r="DZ64" s="566">
        <v>0.58871992223896397</v>
      </c>
      <c r="EA64" s="566">
        <v>1</v>
      </c>
      <c r="EB64" s="566">
        <v>1</v>
      </c>
      <c r="EC64" s="566">
        <v>1</v>
      </c>
      <c r="ED64" s="566">
        <v>0.58871985268377303</v>
      </c>
      <c r="EE64" s="566">
        <v>1</v>
      </c>
      <c r="EF64" s="566">
        <v>1</v>
      </c>
      <c r="EG64" s="566">
        <v>1</v>
      </c>
      <c r="EH64" s="566">
        <v>0.99999999999995104</v>
      </c>
      <c r="EI64" s="566">
        <v>1</v>
      </c>
      <c r="EJ64" s="566">
        <v>1</v>
      </c>
      <c r="EK64" s="566">
        <v>1</v>
      </c>
      <c r="EL64" s="566">
        <v>0.58871956047587104</v>
      </c>
      <c r="EM64" s="566">
        <v>1</v>
      </c>
      <c r="EN64" s="566">
        <v>1</v>
      </c>
      <c r="EO64" s="566">
        <v>1</v>
      </c>
      <c r="EP64" s="566">
        <v>1</v>
      </c>
      <c r="EQ64" s="566">
        <v>1</v>
      </c>
      <c r="ER64" s="566">
        <v>1</v>
      </c>
      <c r="ES64" s="566">
        <v>0.588715148675648</v>
      </c>
      <c r="ET64" s="566">
        <v>1</v>
      </c>
      <c r="EU64" s="566">
        <v>1</v>
      </c>
      <c r="EV64" s="566">
        <v>1</v>
      </c>
      <c r="EW64" s="566">
        <v>0.58871512911750901</v>
      </c>
      <c r="EX64" s="566">
        <v>1</v>
      </c>
      <c r="EY64" s="566">
        <v>1</v>
      </c>
      <c r="EZ64" s="566">
        <v>1</v>
      </c>
      <c r="FA64" s="566">
        <v>0.58871505954611603</v>
      </c>
      <c r="FB64" s="566">
        <v>1</v>
      </c>
      <c r="FC64" s="566">
        <v>1</v>
      </c>
      <c r="FD64" s="566">
        <v>1</v>
      </c>
      <c r="FE64" s="566">
        <v>0.99999999998891398</v>
      </c>
      <c r="FF64" s="566">
        <v>1</v>
      </c>
      <c r="FG64" s="566">
        <v>1</v>
      </c>
      <c r="FH64" s="566">
        <v>1</v>
      </c>
    </row>
    <row r="65" spans="1:164" ht="12.75" customHeight="1" x14ac:dyDescent="0.3">
      <c r="A65" s="422"/>
      <c r="B65" s="422"/>
      <c r="C65" s="422"/>
      <c r="D65" s="422"/>
      <c r="E65" s="422"/>
      <c r="F65" s="568"/>
      <c r="G65" s="569"/>
      <c r="H65" s="439"/>
      <c r="I65" s="574">
        <v>3769150.7980922498</v>
      </c>
      <c r="J65" s="566">
        <v>0.61095858206855402</v>
      </c>
      <c r="K65" s="566">
        <v>1</v>
      </c>
      <c r="L65" s="566">
        <v>1</v>
      </c>
      <c r="M65" s="566">
        <v>1</v>
      </c>
      <c r="N65" s="566">
        <v>1</v>
      </c>
      <c r="O65" s="566">
        <v>1</v>
      </c>
      <c r="P65" s="566">
        <v>1</v>
      </c>
      <c r="Q65" s="566">
        <v>1</v>
      </c>
      <c r="R65" s="566">
        <v>1</v>
      </c>
      <c r="S65" s="566">
        <v>1</v>
      </c>
      <c r="T65" s="566">
        <v>1</v>
      </c>
      <c r="U65" s="566">
        <v>1</v>
      </c>
      <c r="V65" s="566">
        <v>1</v>
      </c>
      <c r="W65" s="566">
        <v>1</v>
      </c>
      <c r="X65" s="566">
        <v>1</v>
      </c>
      <c r="Y65" s="566">
        <v>0.666530877824143</v>
      </c>
      <c r="Z65" s="566">
        <v>1</v>
      </c>
      <c r="AA65" s="566">
        <v>1</v>
      </c>
      <c r="AB65" s="566">
        <v>1</v>
      </c>
      <c r="AC65" s="566">
        <v>1</v>
      </c>
      <c r="AD65" s="566">
        <v>1</v>
      </c>
      <c r="AE65" s="566">
        <v>1</v>
      </c>
      <c r="AF65" s="566">
        <v>1</v>
      </c>
      <c r="AG65" s="566">
        <v>1</v>
      </c>
      <c r="AH65" s="566">
        <v>1</v>
      </c>
      <c r="AI65" s="566">
        <v>1</v>
      </c>
      <c r="AJ65" s="566">
        <v>1</v>
      </c>
      <c r="AK65" s="566">
        <v>0.66770410490353904</v>
      </c>
      <c r="AL65" s="566">
        <v>1</v>
      </c>
      <c r="AM65" s="566">
        <v>1</v>
      </c>
      <c r="AN65" s="566">
        <v>1</v>
      </c>
      <c r="AO65" s="566">
        <v>1</v>
      </c>
      <c r="AP65" s="566">
        <v>1</v>
      </c>
      <c r="AQ65" s="566">
        <v>1</v>
      </c>
      <c r="AR65" s="566">
        <v>1</v>
      </c>
      <c r="AS65" s="566">
        <v>1</v>
      </c>
      <c r="AT65" s="566">
        <v>1</v>
      </c>
      <c r="AU65" s="566">
        <v>1</v>
      </c>
      <c r="AV65" s="566">
        <v>1</v>
      </c>
      <c r="AW65" s="566">
        <v>1</v>
      </c>
      <c r="AX65" s="566">
        <v>1</v>
      </c>
      <c r="AY65" s="566">
        <v>1</v>
      </c>
      <c r="AZ65" s="566">
        <v>1</v>
      </c>
      <c r="BA65" s="566">
        <v>0.59725292021153198</v>
      </c>
      <c r="BB65" s="566">
        <v>1</v>
      </c>
      <c r="BC65" s="566">
        <v>1</v>
      </c>
      <c r="BD65" s="566">
        <v>1</v>
      </c>
      <c r="BE65" s="566">
        <v>1</v>
      </c>
      <c r="BF65" s="566">
        <v>1</v>
      </c>
      <c r="BG65" s="566">
        <v>1</v>
      </c>
      <c r="BH65" s="566">
        <v>0.999999999999998</v>
      </c>
      <c r="BI65" s="566">
        <v>1</v>
      </c>
      <c r="BJ65" s="566">
        <v>1</v>
      </c>
      <c r="BK65" s="566">
        <v>1</v>
      </c>
      <c r="BL65" s="566">
        <v>0.999999999999997</v>
      </c>
      <c r="BM65" s="566">
        <v>1</v>
      </c>
      <c r="BN65" s="566">
        <v>1</v>
      </c>
      <c r="BO65" s="566">
        <v>1</v>
      </c>
      <c r="BP65" s="566">
        <v>0.59699783377564997</v>
      </c>
      <c r="BQ65" s="566">
        <v>0.999999999999999</v>
      </c>
      <c r="BR65" s="566">
        <v>1</v>
      </c>
      <c r="BS65" s="566">
        <v>1</v>
      </c>
      <c r="BT65" s="566">
        <v>0.999999999999999</v>
      </c>
      <c r="BU65" s="566">
        <v>1</v>
      </c>
      <c r="BV65" s="566">
        <v>1</v>
      </c>
      <c r="BW65" s="566">
        <v>1</v>
      </c>
      <c r="BX65" s="566">
        <v>0.999999999999997</v>
      </c>
      <c r="BY65" s="566">
        <v>1</v>
      </c>
      <c r="BZ65" s="566">
        <v>1</v>
      </c>
      <c r="CA65" s="566">
        <v>1</v>
      </c>
      <c r="CB65" s="566">
        <v>0.59699788761303196</v>
      </c>
      <c r="CC65" s="566">
        <v>1</v>
      </c>
      <c r="CD65" s="566">
        <v>1</v>
      </c>
      <c r="CE65" s="566">
        <v>1</v>
      </c>
      <c r="CF65" s="566">
        <v>0.999999999999996</v>
      </c>
      <c r="CG65" s="566">
        <v>1</v>
      </c>
      <c r="CH65" s="566">
        <v>1</v>
      </c>
      <c r="CI65" s="566">
        <v>1</v>
      </c>
      <c r="CJ65" s="566">
        <v>0.999999999999996</v>
      </c>
      <c r="CK65" s="566">
        <v>1</v>
      </c>
      <c r="CL65" s="566">
        <v>1</v>
      </c>
      <c r="CM65" s="566">
        <v>1</v>
      </c>
      <c r="CN65" s="566">
        <v>0.999999999999996</v>
      </c>
      <c r="CO65" s="566">
        <v>1</v>
      </c>
      <c r="CP65" s="566">
        <v>1</v>
      </c>
      <c r="CQ65" s="566">
        <v>1</v>
      </c>
      <c r="CR65" s="566">
        <v>0.59694273776407702</v>
      </c>
      <c r="CS65" s="566">
        <v>1</v>
      </c>
      <c r="CT65" s="566">
        <v>1</v>
      </c>
      <c r="CU65" s="566">
        <v>1</v>
      </c>
      <c r="CV65" s="566">
        <v>1</v>
      </c>
      <c r="CW65" s="566">
        <v>1</v>
      </c>
      <c r="CX65" s="566">
        <v>1</v>
      </c>
      <c r="CY65" s="566">
        <v>0.59694286498682503</v>
      </c>
      <c r="CZ65" s="566">
        <v>1</v>
      </c>
      <c r="DA65" s="566">
        <v>1</v>
      </c>
      <c r="DB65" s="566">
        <v>1</v>
      </c>
      <c r="DC65" s="566">
        <v>0.59694237010428997</v>
      </c>
      <c r="DD65" s="566">
        <v>1</v>
      </c>
      <c r="DE65" s="566">
        <v>1</v>
      </c>
      <c r="DF65" s="566">
        <v>1</v>
      </c>
      <c r="DG65" s="566">
        <v>0.59694230200313703</v>
      </c>
      <c r="DH65" s="566">
        <v>1</v>
      </c>
      <c r="DI65" s="566">
        <v>1</v>
      </c>
      <c r="DJ65" s="566">
        <v>1</v>
      </c>
      <c r="DK65" s="566">
        <v>0.99999999999983302</v>
      </c>
      <c r="DL65" s="566">
        <v>1</v>
      </c>
      <c r="DM65" s="566">
        <v>1</v>
      </c>
      <c r="DN65" s="566">
        <v>1</v>
      </c>
      <c r="DO65" s="566">
        <v>0.59694273519139196</v>
      </c>
      <c r="DP65" s="566">
        <v>1</v>
      </c>
      <c r="DQ65" s="566">
        <v>1</v>
      </c>
      <c r="DR65" s="566">
        <v>1</v>
      </c>
      <c r="DS65" s="566">
        <v>1</v>
      </c>
      <c r="DT65" s="566">
        <v>1</v>
      </c>
      <c r="DU65" s="566">
        <v>1</v>
      </c>
      <c r="DV65" s="566">
        <v>0.59694174321853699</v>
      </c>
      <c r="DW65" s="566">
        <v>1</v>
      </c>
      <c r="DX65" s="566">
        <v>1</v>
      </c>
      <c r="DY65" s="566">
        <v>1</v>
      </c>
      <c r="DZ65" s="566">
        <v>0.59694146566123596</v>
      </c>
      <c r="EA65" s="566">
        <v>1</v>
      </c>
      <c r="EB65" s="566">
        <v>1</v>
      </c>
      <c r="EC65" s="566">
        <v>1</v>
      </c>
      <c r="ED65" s="566">
        <v>0.59694139749646302</v>
      </c>
      <c r="EE65" s="566">
        <v>1</v>
      </c>
      <c r="EF65" s="566">
        <v>1</v>
      </c>
      <c r="EG65" s="566">
        <v>1</v>
      </c>
      <c r="EH65" s="566">
        <v>0.99999999999995204</v>
      </c>
      <c r="EI65" s="566">
        <v>1</v>
      </c>
      <c r="EJ65" s="566">
        <v>1</v>
      </c>
      <c r="EK65" s="566">
        <v>1</v>
      </c>
      <c r="EL65" s="566">
        <v>0.59694111110303705</v>
      </c>
      <c r="EM65" s="566">
        <v>1</v>
      </c>
      <c r="EN65" s="566">
        <v>1</v>
      </c>
      <c r="EO65" s="566">
        <v>1</v>
      </c>
      <c r="EP65" s="566">
        <v>1</v>
      </c>
      <c r="EQ65" s="566">
        <v>1</v>
      </c>
      <c r="ER65" s="566">
        <v>1</v>
      </c>
      <c r="ES65" s="566">
        <v>0.59693678752208401</v>
      </c>
      <c r="ET65" s="566">
        <v>1</v>
      </c>
      <c r="EU65" s="566">
        <v>1</v>
      </c>
      <c r="EV65" s="566">
        <v>1</v>
      </c>
      <c r="EW65" s="566">
        <v>0.59693676835491505</v>
      </c>
      <c r="EX65" s="566">
        <v>1</v>
      </c>
      <c r="EY65" s="566">
        <v>1</v>
      </c>
      <c r="EZ65" s="566">
        <v>0.999999999999999</v>
      </c>
      <c r="FA65" s="566">
        <v>0.59693670017426403</v>
      </c>
      <c r="FB65" s="566">
        <v>1</v>
      </c>
      <c r="FC65" s="566">
        <v>1</v>
      </c>
      <c r="FD65" s="566">
        <v>0.999999999999999</v>
      </c>
      <c r="FE65" s="566">
        <v>0.99999999998913602</v>
      </c>
      <c r="FF65" s="566">
        <v>1</v>
      </c>
      <c r="FG65" s="566">
        <v>1</v>
      </c>
      <c r="FH65" s="566">
        <v>1</v>
      </c>
    </row>
    <row r="66" spans="1:164" ht="12.75" customHeight="1" x14ac:dyDescent="0.3">
      <c r="A66" s="422"/>
      <c r="B66" s="422"/>
      <c r="C66" s="422"/>
      <c r="D66" s="422"/>
      <c r="E66" s="422"/>
      <c r="F66" s="568"/>
      <c r="G66" s="569"/>
      <c r="H66" s="439"/>
      <c r="I66" s="574">
        <v>3852909.7047165199</v>
      </c>
      <c r="J66" s="566">
        <v>0.61873556142730102</v>
      </c>
      <c r="K66" s="566">
        <v>1</v>
      </c>
      <c r="L66" s="566">
        <v>1</v>
      </c>
      <c r="M66" s="566">
        <v>1</v>
      </c>
      <c r="N66" s="566">
        <v>1</v>
      </c>
      <c r="O66" s="566">
        <v>1</v>
      </c>
      <c r="P66" s="566">
        <v>1</v>
      </c>
      <c r="Q66" s="566">
        <v>1</v>
      </c>
      <c r="R66" s="566">
        <v>1</v>
      </c>
      <c r="S66" s="566">
        <v>1</v>
      </c>
      <c r="T66" s="566">
        <v>1</v>
      </c>
      <c r="U66" s="566">
        <v>1</v>
      </c>
      <c r="V66" s="566">
        <v>1</v>
      </c>
      <c r="W66" s="566">
        <v>1</v>
      </c>
      <c r="X66" s="566">
        <v>1</v>
      </c>
      <c r="Y66" s="566">
        <v>0.67319696990163802</v>
      </c>
      <c r="Z66" s="566">
        <v>1</v>
      </c>
      <c r="AA66" s="566">
        <v>1</v>
      </c>
      <c r="AB66" s="566">
        <v>0.999999999999999</v>
      </c>
      <c r="AC66" s="566">
        <v>1</v>
      </c>
      <c r="AD66" s="566">
        <v>1</v>
      </c>
      <c r="AE66" s="566">
        <v>1</v>
      </c>
      <c r="AF66" s="566">
        <v>1</v>
      </c>
      <c r="AG66" s="566">
        <v>1</v>
      </c>
      <c r="AH66" s="566">
        <v>1</v>
      </c>
      <c r="AI66" s="566">
        <v>1</v>
      </c>
      <c r="AJ66" s="566">
        <v>1</v>
      </c>
      <c r="AK66" s="566">
        <v>0.674346744015769</v>
      </c>
      <c r="AL66" s="566">
        <v>1</v>
      </c>
      <c r="AM66" s="566">
        <v>0.999999999999999</v>
      </c>
      <c r="AN66" s="566">
        <v>1</v>
      </c>
      <c r="AO66" s="566">
        <v>1</v>
      </c>
      <c r="AP66" s="566">
        <v>1</v>
      </c>
      <c r="AQ66" s="566">
        <v>1</v>
      </c>
      <c r="AR66" s="566">
        <v>1</v>
      </c>
      <c r="AS66" s="566">
        <v>1</v>
      </c>
      <c r="AT66" s="566">
        <v>1</v>
      </c>
      <c r="AU66" s="566">
        <v>1</v>
      </c>
      <c r="AV66" s="566">
        <v>1</v>
      </c>
      <c r="AW66" s="566">
        <v>1</v>
      </c>
      <c r="AX66" s="566">
        <v>1</v>
      </c>
      <c r="AY66" s="566">
        <v>1</v>
      </c>
      <c r="AZ66" s="566">
        <v>1</v>
      </c>
      <c r="BA66" s="566">
        <v>0.60530387720458401</v>
      </c>
      <c r="BB66" s="566">
        <v>1</v>
      </c>
      <c r="BC66" s="566">
        <v>1</v>
      </c>
      <c r="BD66" s="566">
        <v>1</v>
      </c>
      <c r="BE66" s="566">
        <v>1</v>
      </c>
      <c r="BF66" s="566">
        <v>1</v>
      </c>
      <c r="BG66" s="566">
        <v>1</v>
      </c>
      <c r="BH66" s="566">
        <v>0.999999999999998</v>
      </c>
      <c r="BI66" s="566">
        <v>1</v>
      </c>
      <c r="BJ66" s="566">
        <v>1</v>
      </c>
      <c r="BK66" s="566">
        <v>1</v>
      </c>
      <c r="BL66" s="566">
        <v>0.999999999999997</v>
      </c>
      <c r="BM66" s="566">
        <v>1</v>
      </c>
      <c r="BN66" s="566">
        <v>1</v>
      </c>
      <c r="BO66" s="566">
        <v>1</v>
      </c>
      <c r="BP66" s="566">
        <v>0.60505390064610698</v>
      </c>
      <c r="BQ66" s="566">
        <v>1</v>
      </c>
      <c r="BR66" s="566">
        <v>1</v>
      </c>
      <c r="BS66" s="566">
        <v>1</v>
      </c>
      <c r="BT66" s="566">
        <v>0.999999999999999</v>
      </c>
      <c r="BU66" s="566">
        <v>1</v>
      </c>
      <c r="BV66" s="566">
        <v>1</v>
      </c>
      <c r="BW66" s="566">
        <v>1</v>
      </c>
      <c r="BX66" s="566">
        <v>0.999999999999998</v>
      </c>
      <c r="BY66" s="566">
        <v>1</v>
      </c>
      <c r="BZ66" s="566">
        <v>1</v>
      </c>
      <c r="CA66" s="566">
        <v>1</v>
      </c>
      <c r="CB66" s="566">
        <v>0.60505395340727197</v>
      </c>
      <c r="CC66" s="566">
        <v>1</v>
      </c>
      <c r="CD66" s="566">
        <v>1</v>
      </c>
      <c r="CE66" s="566">
        <v>1</v>
      </c>
      <c r="CF66" s="566">
        <v>0.999999999999996</v>
      </c>
      <c r="CG66" s="566">
        <v>1</v>
      </c>
      <c r="CH66" s="566">
        <v>1</v>
      </c>
      <c r="CI66" s="566">
        <v>1</v>
      </c>
      <c r="CJ66" s="566">
        <v>0.999999999999997</v>
      </c>
      <c r="CK66" s="566">
        <v>1</v>
      </c>
      <c r="CL66" s="566">
        <v>1</v>
      </c>
      <c r="CM66" s="566">
        <v>1</v>
      </c>
      <c r="CN66" s="566">
        <v>0.999999999999996</v>
      </c>
      <c r="CO66" s="566">
        <v>1</v>
      </c>
      <c r="CP66" s="566">
        <v>1</v>
      </c>
      <c r="CQ66" s="566">
        <v>1</v>
      </c>
      <c r="CR66" s="566">
        <v>0.60499989464277804</v>
      </c>
      <c r="CS66" s="566">
        <v>1</v>
      </c>
      <c r="CT66" s="566">
        <v>1</v>
      </c>
      <c r="CU66" s="566">
        <v>1</v>
      </c>
      <c r="CV66" s="566">
        <v>1</v>
      </c>
      <c r="CW66" s="566">
        <v>1</v>
      </c>
      <c r="CX66" s="566">
        <v>1</v>
      </c>
      <c r="CY66" s="566">
        <v>0.60500003069067598</v>
      </c>
      <c r="CZ66" s="566">
        <v>1</v>
      </c>
      <c r="DA66" s="566">
        <v>1</v>
      </c>
      <c r="DB66" s="566">
        <v>1</v>
      </c>
      <c r="DC66" s="566">
        <v>0.60499954570090897</v>
      </c>
      <c r="DD66" s="566">
        <v>1</v>
      </c>
      <c r="DE66" s="566">
        <v>1</v>
      </c>
      <c r="DF66" s="566">
        <v>1</v>
      </c>
      <c r="DG66" s="566">
        <v>0.60499947896110695</v>
      </c>
      <c r="DH66" s="566">
        <v>1</v>
      </c>
      <c r="DI66" s="566">
        <v>1</v>
      </c>
      <c r="DJ66" s="566">
        <v>1</v>
      </c>
      <c r="DK66" s="566">
        <v>0.99999999999983602</v>
      </c>
      <c r="DL66" s="566">
        <v>1</v>
      </c>
      <c r="DM66" s="566">
        <v>1</v>
      </c>
      <c r="DN66" s="566">
        <v>1</v>
      </c>
      <c r="DO66" s="566">
        <v>0.60499989275309896</v>
      </c>
      <c r="DP66" s="566">
        <v>1</v>
      </c>
      <c r="DQ66" s="566">
        <v>1</v>
      </c>
      <c r="DR66" s="566">
        <v>1</v>
      </c>
      <c r="DS66" s="566">
        <v>1</v>
      </c>
      <c r="DT66" s="566">
        <v>1</v>
      </c>
      <c r="DU66" s="566">
        <v>1</v>
      </c>
      <c r="DV66" s="566">
        <v>0.60499893134668503</v>
      </c>
      <c r="DW66" s="566">
        <v>1</v>
      </c>
      <c r="DX66" s="566">
        <v>1</v>
      </c>
      <c r="DY66" s="566">
        <v>1</v>
      </c>
      <c r="DZ66" s="566">
        <v>0.60499865933779096</v>
      </c>
      <c r="EA66" s="566">
        <v>1</v>
      </c>
      <c r="EB66" s="566">
        <v>1</v>
      </c>
      <c r="EC66" s="566">
        <v>1</v>
      </c>
      <c r="ED66" s="566">
        <v>0.60499859253564103</v>
      </c>
      <c r="EE66" s="566">
        <v>1</v>
      </c>
      <c r="EF66" s="566">
        <v>1</v>
      </c>
      <c r="EG66" s="566">
        <v>1</v>
      </c>
      <c r="EH66" s="566">
        <v>0.99999999999995304</v>
      </c>
      <c r="EI66" s="566">
        <v>1</v>
      </c>
      <c r="EJ66" s="566">
        <v>1</v>
      </c>
      <c r="EK66" s="566">
        <v>1</v>
      </c>
      <c r="EL66" s="566">
        <v>0.60499831190683795</v>
      </c>
      <c r="EM66" s="566">
        <v>1</v>
      </c>
      <c r="EN66" s="566">
        <v>1</v>
      </c>
      <c r="EO66" s="566">
        <v>1</v>
      </c>
      <c r="EP66" s="566">
        <v>1</v>
      </c>
      <c r="EQ66" s="566">
        <v>1</v>
      </c>
      <c r="ER66" s="566">
        <v>1</v>
      </c>
      <c r="ES66" s="566">
        <v>0.60499407471526501</v>
      </c>
      <c r="ET66" s="566">
        <v>1</v>
      </c>
      <c r="EU66" s="566">
        <v>1</v>
      </c>
      <c r="EV66" s="566">
        <v>1</v>
      </c>
      <c r="EW66" s="566">
        <v>0.604994055931249</v>
      </c>
      <c r="EX66" s="566">
        <v>1</v>
      </c>
      <c r="EY66" s="566">
        <v>1</v>
      </c>
      <c r="EZ66" s="566">
        <v>1</v>
      </c>
      <c r="FA66" s="566">
        <v>0.60499398911353897</v>
      </c>
      <c r="FB66" s="566">
        <v>1</v>
      </c>
      <c r="FC66" s="566">
        <v>1</v>
      </c>
      <c r="FD66" s="566">
        <v>1</v>
      </c>
      <c r="FE66" s="566">
        <v>0.99999999998935296</v>
      </c>
      <c r="FF66" s="566">
        <v>1</v>
      </c>
      <c r="FG66" s="566">
        <v>1</v>
      </c>
      <c r="FH66" s="566">
        <v>1</v>
      </c>
    </row>
    <row r="67" spans="1:164" ht="12.75" customHeight="1" x14ac:dyDescent="0.3">
      <c r="A67" s="422"/>
      <c r="B67" s="422"/>
      <c r="C67" s="422"/>
      <c r="D67" s="422"/>
      <c r="E67" s="422"/>
      <c r="F67" s="568"/>
      <c r="G67" s="569"/>
      <c r="H67" s="439"/>
      <c r="I67" s="574">
        <v>3936668.6113407901</v>
      </c>
      <c r="J67" s="566">
        <v>0.62635708825559699</v>
      </c>
      <c r="K67" s="566">
        <v>1</v>
      </c>
      <c r="L67" s="566">
        <v>1</v>
      </c>
      <c r="M67" s="566">
        <v>1</v>
      </c>
      <c r="N67" s="566">
        <v>1</v>
      </c>
      <c r="O67" s="566">
        <v>1</v>
      </c>
      <c r="P67" s="566">
        <v>1</v>
      </c>
      <c r="Q67" s="566">
        <v>1</v>
      </c>
      <c r="R67" s="566">
        <v>1</v>
      </c>
      <c r="S67" s="566">
        <v>1</v>
      </c>
      <c r="T67" s="566">
        <v>1</v>
      </c>
      <c r="U67" s="566">
        <v>1</v>
      </c>
      <c r="V67" s="566">
        <v>1</v>
      </c>
      <c r="W67" s="566">
        <v>1</v>
      </c>
      <c r="X67" s="566">
        <v>1</v>
      </c>
      <c r="Y67" s="566">
        <v>0.67972980591197396</v>
      </c>
      <c r="Z67" s="566">
        <v>1</v>
      </c>
      <c r="AA67" s="566">
        <v>1</v>
      </c>
      <c r="AB67" s="566">
        <v>1</v>
      </c>
      <c r="AC67" s="566">
        <v>1</v>
      </c>
      <c r="AD67" s="566">
        <v>1</v>
      </c>
      <c r="AE67" s="566">
        <v>1</v>
      </c>
      <c r="AF67" s="566">
        <v>1</v>
      </c>
      <c r="AG67" s="566">
        <v>1</v>
      </c>
      <c r="AH67" s="566">
        <v>1</v>
      </c>
      <c r="AI67" s="566">
        <v>1</v>
      </c>
      <c r="AJ67" s="566">
        <v>1</v>
      </c>
      <c r="AK67" s="566">
        <v>0.68085659588873604</v>
      </c>
      <c r="AL67" s="566">
        <v>1</v>
      </c>
      <c r="AM67" s="566">
        <v>1</v>
      </c>
      <c r="AN67" s="566">
        <v>1</v>
      </c>
      <c r="AO67" s="566">
        <v>1</v>
      </c>
      <c r="AP67" s="566">
        <v>1</v>
      </c>
      <c r="AQ67" s="566">
        <v>1</v>
      </c>
      <c r="AR67" s="566">
        <v>1</v>
      </c>
      <c r="AS67" s="566">
        <v>1</v>
      </c>
      <c r="AT67" s="566">
        <v>1</v>
      </c>
      <c r="AU67" s="566">
        <v>1</v>
      </c>
      <c r="AV67" s="566">
        <v>1</v>
      </c>
      <c r="AW67" s="566">
        <v>1</v>
      </c>
      <c r="AX67" s="566">
        <v>1</v>
      </c>
      <c r="AY67" s="566">
        <v>1</v>
      </c>
      <c r="AZ67" s="566">
        <v>1</v>
      </c>
      <c r="BA67" s="566">
        <v>0.61319390518667505</v>
      </c>
      <c r="BB67" s="566">
        <v>1</v>
      </c>
      <c r="BC67" s="566">
        <v>1</v>
      </c>
      <c r="BD67" s="566">
        <v>1</v>
      </c>
      <c r="BE67" s="566">
        <v>1</v>
      </c>
      <c r="BF67" s="566">
        <v>1</v>
      </c>
      <c r="BG67" s="566">
        <v>1</v>
      </c>
      <c r="BH67" s="566">
        <v>0.999999999999999</v>
      </c>
      <c r="BI67" s="566">
        <v>1</v>
      </c>
      <c r="BJ67" s="566">
        <v>1</v>
      </c>
      <c r="BK67" s="566">
        <v>1</v>
      </c>
      <c r="BL67" s="566">
        <v>0.999999999999997</v>
      </c>
      <c r="BM67" s="566">
        <v>1</v>
      </c>
      <c r="BN67" s="566">
        <v>1</v>
      </c>
      <c r="BO67" s="566">
        <v>1</v>
      </c>
      <c r="BP67" s="566">
        <v>0.61294892566844095</v>
      </c>
      <c r="BQ67" s="566">
        <v>1</v>
      </c>
      <c r="BR67" s="566">
        <v>1</v>
      </c>
      <c r="BS67" s="566">
        <v>1</v>
      </c>
      <c r="BT67" s="566">
        <v>0.999999999999999</v>
      </c>
      <c r="BU67" s="566">
        <v>1</v>
      </c>
      <c r="BV67" s="566">
        <v>1</v>
      </c>
      <c r="BW67" s="566">
        <v>1</v>
      </c>
      <c r="BX67" s="566">
        <v>0.999999999999997</v>
      </c>
      <c r="BY67" s="566">
        <v>1</v>
      </c>
      <c r="BZ67" s="566">
        <v>1</v>
      </c>
      <c r="CA67" s="566">
        <v>1</v>
      </c>
      <c r="CB67" s="566">
        <v>0.61294897737490295</v>
      </c>
      <c r="CC67" s="566">
        <v>1</v>
      </c>
      <c r="CD67" s="566">
        <v>1</v>
      </c>
      <c r="CE67" s="566">
        <v>1</v>
      </c>
      <c r="CF67" s="566">
        <v>0.999999999999996</v>
      </c>
      <c r="CG67" s="566">
        <v>1</v>
      </c>
      <c r="CH67" s="566">
        <v>1</v>
      </c>
      <c r="CI67" s="566">
        <v>1</v>
      </c>
      <c r="CJ67" s="566">
        <v>0.999999999999997</v>
      </c>
      <c r="CK67" s="566">
        <v>1</v>
      </c>
      <c r="CL67" s="566">
        <v>1</v>
      </c>
      <c r="CM67" s="566">
        <v>1</v>
      </c>
      <c r="CN67" s="566">
        <v>0.999999999999996</v>
      </c>
      <c r="CO67" s="566">
        <v>1</v>
      </c>
      <c r="CP67" s="566">
        <v>1</v>
      </c>
      <c r="CQ67" s="566">
        <v>1</v>
      </c>
      <c r="CR67" s="566">
        <v>0.61289599927829597</v>
      </c>
      <c r="CS67" s="566">
        <v>1</v>
      </c>
      <c r="CT67" s="566">
        <v>1</v>
      </c>
      <c r="CU67" s="566">
        <v>1</v>
      </c>
      <c r="CV67" s="566">
        <v>1</v>
      </c>
      <c r="CW67" s="566">
        <v>1</v>
      </c>
      <c r="CX67" s="566">
        <v>1</v>
      </c>
      <c r="CY67" s="566">
        <v>0.61289613258057996</v>
      </c>
      <c r="CZ67" s="566">
        <v>1</v>
      </c>
      <c r="DA67" s="566">
        <v>1</v>
      </c>
      <c r="DB67" s="566">
        <v>1</v>
      </c>
      <c r="DC67" s="566">
        <v>0.61289565728582296</v>
      </c>
      <c r="DD67" s="566">
        <v>1</v>
      </c>
      <c r="DE67" s="566">
        <v>1</v>
      </c>
      <c r="DF67" s="566">
        <v>1</v>
      </c>
      <c r="DG67" s="566">
        <v>0.61289559188015896</v>
      </c>
      <c r="DH67" s="566">
        <v>1</v>
      </c>
      <c r="DI67" s="566">
        <v>1</v>
      </c>
      <c r="DJ67" s="566">
        <v>1</v>
      </c>
      <c r="DK67" s="566">
        <v>0.99999999999984002</v>
      </c>
      <c r="DL67" s="566">
        <v>1</v>
      </c>
      <c r="DM67" s="566">
        <v>1</v>
      </c>
      <c r="DN67" s="566">
        <v>1</v>
      </c>
      <c r="DO67" s="566">
        <v>0.61289599864389199</v>
      </c>
      <c r="DP67" s="566">
        <v>1</v>
      </c>
      <c r="DQ67" s="566">
        <v>1</v>
      </c>
      <c r="DR67" s="566">
        <v>1</v>
      </c>
      <c r="DS67" s="566">
        <v>1</v>
      </c>
      <c r="DT67" s="566">
        <v>1</v>
      </c>
      <c r="DU67" s="566">
        <v>1</v>
      </c>
      <c r="DV67" s="566">
        <v>0.612895055212622</v>
      </c>
      <c r="DW67" s="566">
        <v>1</v>
      </c>
      <c r="DX67" s="566">
        <v>1</v>
      </c>
      <c r="DY67" s="566">
        <v>1</v>
      </c>
      <c r="DZ67" s="566">
        <v>0.61289478864122204</v>
      </c>
      <c r="EA67" s="566">
        <v>1</v>
      </c>
      <c r="EB67" s="566">
        <v>1</v>
      </c>
      <c r="EC67" s="566">
        <v>1</v>
      </c>
      <c r="ED67" s="566">
        <v>0.61289472317445604</v>
      </c>
      <c r="EE67" s="566">
        <v>1</v>
      </c>
      <c r="EF67" s="566">
        <v>1</v>
      </c>
      <c r="EG67" s="566">
        <v>1</v>
      </c>
      <c r="EH67" s="566">
        <v>0.99999999999995404</v>
      </c>
      <c r="EI67" s="566">
        <v>1</v>
      </c>
      <c r="EJ67" s="566">
        <v>1</v>
      </c>
      <c r="EK67" s="566">
        <v>1</v>
      </c>
      <c r="EL67" s="566">
        <v>0.61289444810378502</v>
      </c>
      <c r="EM67" s="566">
        <v>1</v>
      </c>
      <c r="EN67" s="566">
        <v>1</v>
      </c>
      <c r="EO67" s="566">
        <v>1</v>
      </c>
      <c r="EP67" s="566">
        <v>1</v>
      </c>
      <c r="EQ67" s="566">
        <v>1</v>
      </c>
      <c r="ER67" s="566">
        <v>1</v>
      </c>
      <c r="ES67" s="566">
        <v>0.61289029566590603</v>
      </c>
      <c r="ET67" s="566">
        <v>1</v>
      </c>
      <c r="EU67" s="566">
        <v>1</v>
      </c>
      <c r="EV67" s="566">
        <v>1</v>
      </c>
      <c r="EW67" s="566">
        <v>0.61289027725738598</v>
      </c>
      <c r="EX67" s="566">
        <v>1</v>
      </c>
      <c r="EY67" s="566">
        <v>1</v>
      </c>
      <c r="EZ67" s="566">
        <v>1</v>
      </c>
      <c r="FA67" s="566">
        <v>0.61289021177536995</v>
      </c>
      <c r="FB67" s="566">
        <v>1</v>
      </c>
      <c r="FC67" s="566">
        <v>1</v>
      </c>
      <c r="FD67" s="566">
        <v>1</v>
      </c>
      <c r="FE67" s="566">
        <v>0.99999999998956601</v>
      </c>
      <c r="FF67" s="566">
        <v>1</v>
      </c>
      <c r="FG67" s="566">
        <v>1</v>
      </c>
      <c r="FH67" s="566">
        <v>1</v>
      </c>
    </row>
    <row r="68" spans="1:164" ht="12.75" customHeight="1" x14ac:dyDescent="0.3">
      <c r="A68" s="422"/>
      <c r="B68" s="422"/>
      <c r="C68" s="422"/>
      <c r="D68" s="422"/>
      <c r="E68" s="422"/>
      <c r="F68" s="568"/>
      <c r="G68" s="569"/>
      <c r="H68" s="439"/>
      <c r="I68" s="574">
        <v>4020427.51796507</v>
      </c>
      <c r="J68" s="566">
        <v>0.63382626126517605</v>
      </c>
      <c r="K68" s="566">
        <v>1</v>
      </c>
      <c r="L68" s="566">
        <v>1</v>
      </c>
      <c r="M68" s="566">
        <v>1</v>
      </c>
      <c r="N68" s="566">
        <v>1</v>
      </c>
      <c r="O68" s="566">
        <v>1</v>
      </c>
      <c r="P68" s="566">
        <v>1</v>
      </c>
      <c r="Q68" s="566">
        <v>1</v>
      </c>
      <c r="R68" s="566">
        <v>1</v>
      </c>
      <c r="S68" s="566">
        <v>1</v>
      </c>
      <c r="T68" s="566">
        <v>1</v>
      </c>
      <c r="U68" s="566">
        <v>1</v>
      </c>
      <c r="V68" s="566">
        <v>1</v>
      </c>
      <c r="W68" s="566">
        <v>1</v>
      </c>
      <c r="X68" s="566">
        <v>1</v>
      </c>
      <c r="Y68" s="566">
        <v>0.68613204966226304</v>
      </c>
      <c r="Z68" s="566">
        <v>1</v>
      </c>
      <c r="AA68" s="566">
        <v>1</v>
      </c>
      <c r="AB68" s="566">
        <v>1</v>
      </c>
      <c r="AC68" s="566">
        <v>1</v>
      </c>
      <c r="AD68" s="566">
        <v>1</v>
      </c>
      <c r="AE68" s="566">
        <v>1</v>
      </c>
      <c r="AF68" s="566">
        <v>1</v>
      </c>
      <c r="AG68" s="566">
        <v>1</v>
      </c>
      <c r="AH68" s="566">
        <v>1</v>
      </c>
      <c r="AI68" s="566">
        <v>1</v>
      </c>
      <c r="AJ68" s="566">
        <v>1</v>
      </c>
      <c r="AK68" s="566">
        <v>0.68723631495761595</v>
      </c>
      <c r="AL68" s="566">
        <v>1</v>
      </c>
      <c r="AM68" s="566">
        <v>1</v>
      </c>
      <c r="AN68" s="566">
        <v>1</v>
      </c>
      <c r="AO68" s="566">
        <v>1</v>
      </c>
      <c r="AP68" s="566">
        <v>1</v>
      </c>
      <c r="AQ68" s="566">
        <v>1</v>
      </c>
      <c r="AR68" s="566">
        <v>1</v>
      </c>
      <c r="AS68" s="566">
        <v>1</v>
      </c>
      <c r="AT68" s="566">
        <v>1</v>
      </c>
      <c r="AU68" s="566">
        <v>1</v>
      </c>
      <c r="AV68" s="566">
        <v>1</v>
      </c>
      <c r="AW68" s="566">
        <v>1</v>
      </c>
      <c r="AX68" s="566">
        <v>1</v>
      </c>
      <c r="AY68" s="566">
        <v>1</v>
      </c>
      <c r="AZ68" s="566">
        <v>1</v>
      </c>
      <c r="BA68" s="566">
        <v>0.62092621203045495</v>
      </c>
      <c r="BB68" s="566">
        <v>1</v>
      </c>
      <c r="BC68" s="566">
        <v>1</v>
      </c>
      <c r="BD68" s="566">
        <v>1</v>
      </c>
      <c r="BE68" s="566">
        <v>1</v>
      </c>
      <c r="BF68" s="566">
        <v>1</v>
      </c>
      <c r="BG68" s="566">
        <v>1</v>
      </c>
      <c r="BH68" s="566">
        <v>0.999999999999998</v>
      </c>
      <c r="BI68" s="566">
        <v>1</v>
      </c>
      <c r="BJ68" s="566">
        <v>1</v>
      </c>
      <c r="BK68" s="566">
        <v>1</v>
      </c>
      <c r="BL68" s="566">
        <v>0.999999999999996</v>
      </c>
      <c r="BM68" s="566">
        <v>1</v>
      </c>
      <c r="BN68" s="566">
        <v>1</v>
      </c>
      <c r="BO68" s="566">
        <v>1</v>
      </c>
      <c r="BP68" s="566">
        <v>0.62068612809134405</v>
      </c>
      <c r="BQ68" s="566">
        <v>1</v>
      </c>
      <c r="BR68" s="566">
        <v>1</v>
      </c>
      <c r="BS68" s="566">
        <v>1</v>
      </c>
      <c r="BT68" s="566">
        <v>0.999999999999999</v>
      </c>
      <c r="BU68" s="566">
        <v>1</v>
      </c>
      <c r="BV68" s="566">
        <v>1</v>
      </c>
      <c r="BW68" s="566">
        <v>1</v>
      </c>
      <c r="BX68" s="566">
        <v>0.999999999999996</v>
      </c>
      <c r="BY68" s="566">
        <v>1</v>
      </c>
      <c r="BZ68" s="566">
        <v>1</v>
      </c>
      <c r="CA68" s="566">
        <v>1</v>
      </c>
      <c r="CB68" s="566">
        <v>0.62068617876418697</v>
      </c>
      <c r="CC68" s="566">
        <v>1</v>
      </c>
      <c r="CD68" s="566">
        <v>1</v>
      </c>
      <c r="CE68" s="566">
        <v>1</v>
      </c>
      <c r="CF68" s="566">
        <v>0.999999999999996</v>
      </c>
      <c r="CG68" s="566">
        <v>1</v>
      </c>
      <c r="CH68" s="566">
        <v>1</v>
      </c>
      <c r="CI68" s="566">
        <v>1</v>
      </c>
      <c r="CJ68" s="566">
        <v>0.999999999999996</v>
      </c>
      <c r="CK68" s="566">
        <v>1</v>
      </c>
      <c r="CL68" s="566">
        <v>1</v>
      </c>
      <c r="CM68" s="566">
        <v>1</v>
      </c>
      <c r="CN68" s="566">
        <v>0.999999999999996</v>
      </c>
      <c r="CO68" s="566">
        <v>1</v>
      </c>
      <c r="CP68" s="566">
        <v>1</v>
      </c>
      <c r="CQ68" s="566">
        <v>1</v>
      </c>
      <c r="CR68" s="566">
        <v>0.62063426140579903</v>
      </c>
      <c r="CS68" s="566">
        <v>1</v>
      </c>
      <c r="CT68" s="566">
        <v>0.999999999999999</v>
      </c>
      <c r="CU68" s="566">
        <v>1</v>
      </c>
      <c r="CV68" s="566">
        <v>1</v>
      </c>
      <c r="CW68" s="566">
        <v>1</v>
      </c>
      <c r="CX68" s="566">
        <v>1</v>
      </c>
      <c r="CY68" s="566">
        <v>0.62063439034432699</v>
      </c>
      <c r="CZ68" s="566">
        <v>1</v>
      </c>
      <c r="DA68" s="566">
        <v>0.999999999999999</v>
      </c>
      <c r="DB68" s="566">
        <v>1</v>
      </c>
      <c r="DC68" s="566">
        <v>0.62063392455077504</v>
      </c>
      <c r="DD68" s="566">
        <v>1</v>
      </c>
      <c r="DE68" s="566">
        <v>0.999999999999999</v>
      </c>
      <c r="DF68" s="566">
        <v>1</v>
      </c>
      <c r="DG68" s="566">
        <v>0.62063386045257896</v>
      </c>
      <c r="DH68" s="566">
        <v>1</v>
      </c>
      <c r="DI68" s="566">
        <v>1</v>
      </c>
      <c r="DJ68" s="566">
        <v>1</v>
      </c>
      <c r="DK68" s="566">
        <v>0.99999999999984301</v>
      </c>
      <c r="DL68" s="566">
        <v>1</v>
      </c>
      <c r="DM68" s="566">
        <v>1</v>
      </c>
      <c r="DN68" s="566">
        <v>1</v>
      </c>
      <c r="DO68" s="566">
        <v>0.62063425396302196</v>
      </c>
      <c r="DP68" s="566">
        <v>1</v>
      </c>
      <c r="DQ68" s="566">
        <v>1</v>
      </c>
      <c r="DR68" s="566">
        <v>1</v>
      </c>
      <c r="DS68" s="566">
        <v>1</v>
      </c>
      <c r="DT68" s="566">
        <v>1</v>
      </c>
      <c r="DU68" s="566">
        <v>1</v>
      </c>
      <c r="DV68" s="566">
        <v>0.62063333451309699</v>
      </c>
      <c r="DW68" s="566">
        <v>1</v>
      </c>
      <c r="DX68" s="566">
        <v>0.999999999999999</v>
      </c>
      <c r="DY68" s="566">
        <v>1</v>
      </c>
      <c r="DZ68" s="566">
        <v>0.62063307327049499</v>
      </c>
      <c r="EA68" s="566">
        <v>1</v>
      </c>
      <c r="EB68" s="566">
        <v>0.999999999999999</v>
      </c>
      <c r="EC68" s="566">
        <v>1</v>
      </c>
      <c r="ED68" s="566">
        <v>0.62063300911241803</v>
      </c>
      <c r="EE68" s="566">
        <v>1</v>
      </c>
      <c r="EF68" s="566">
        <v>0.999999999999999</v>
      </c>
      <c r="EG68" s="566">
        <v>1</v>
      </c>
      <c r="EH68" s="566">
        <v>0.99999999999995504</v>
      </c>
      <c r="EI68" s="566">
        <v>1</v>
      </c>
      <c r="EJ68" s="566">
        <v>1</v>
      </c>
      <c r="EK68" s="566">
        <v>1</v>
      </c>
      <c r="EL68" s="566">
        <v>0.620632739595946</v>
      </c>
      <c r="EM68" s="566">
        <v>1</v>
      </c>
      <c r="EN68" s="566">
        <v>1</v>
      </c>
      <c r="EO68" s="566">
        <v>1</v>
      </c>
      <c r="EP68" s="566">
        <v>1</v>
      </c>
      <c r="EQ68" s="566">
        <v>1</v>
      </c>
      <c r="ER68" s="566">
        <v>1</v>
      </c>
      <c r="ES68" s="566">
        <v>0.62062867011035605</v>
      </c>
      <c r="ET68" s="566">
        <v>1</v>
      </c>
      <c r="EU68" s="566">
        <v>0.999999999999999</v>
      </c>
      <c r="EV68" s="566">
        <v>1</v>
      </c>
      <c r="EW68" s="566">
        <v>0.62062865206982498</v>
      </c>
      <c r="EX68" s="566">
        <v>1</v>
      </c>
      <c r="EY68" s="566">
        <v>1</v>
      </c>
      <c r="EZ68" s="566">
        <v>1</v>
      </c>
      <c r="FA68" s="566">
        <v>0.62062858789680297</v>
      </c>
      <c r="FB68" s="566">
        <v>1</v>
      </c>
      <c r="FC68" s="566">
        <v>1</v>
      </c>
      <c r="FD68" s="566">
        <v>1</v>
      </c>
      <c r="FE68" s="566">
        <v>0.99999999998977396</v>
      </c>
      <c r="FF68" s="566">
        <v>1</v>
      </c>
      <c r="FG68" s="566">
        <v>0.999999999999999</v>
      </c>
      <c r="FH68" s="566">
        <v>1</v>
      </c>
    </row>
    <row r="69" spans="1:164" ht="12.75" customHeight="1" x14ac:dyDescent="0.3">
      <c r="A69" s="422"/>
      <c r="B69" s="422"/>
      <c r="C69" s="422"/>
      <c r="D69" s="422"/>
      <c r="E69" s="422"/>
      <c r="F69" s="568"/>
      <c r="G69" s="569"/>
      <c r="H69" s="439"/>
      <c r="I69" s="574">
        <v>4104186.4245893401</v>
      </c>
      <c r="J69" s="566">
        <v>0.64114612623276102</v>
      </c>
      <c r="K69" s="566">
        <v>1</v>
      </c>
      <c r="L69" s="566">
        <v>1</v>
      </c>
      <c r="M69" s="566">
        <v>1</v>
      </c>
      <c r="N69" s="566">
        <v>1</v>
      </c>
      <c r="O69" s="566">
        <v>1</v>
      </c>
      <c r="P69" s="566">
        <v>1</v>
      </c>
      <c r="Q69" s="566">
        <v>1</v>
      </c>
      <c r="R69" s="566">
        <v>1</v>
      </c>
      <c r="S69" s="566">
        <v>1</v>
      </c>
      <c r="T69" s="566">
        <v>1</v>
      </c>
      <c r="U69" s="566">
        <v>1</v>
      </c>
      <c r="V69" s="566">
        <v>1</v>
      </c>
      <c r="W69" s="566">
        <v>1</v>
      </c>
      <c r="X69" s="566">
        <v>1</v>
      </c>
      <c r="Y69" s="566">
        <v>0.69240631170911304</v>
      </c>
      <c r="Z69" s="566">
        <v>1</v>
      </c>
      <c r="AA69" s="566">
        <v>1</v>
      </c>
      <c r="AB69" s="566">
        <v>1</v>
      </c>
      <c r="AC69" s="566">
        <v>1</v>
      </c>
      <c r="AD69" s="566">
        <v>1</v>
      </c>
      <c r="AE69" s="566">
        <v>1</v>
      </c>
      <c r="AF69" s="566">
        <v>1</v>
      </c>
      <c r="AG69" s="566">
        <v>1</v>
      </c>
      <c r="AH69" s="566">
        <v>1</v>
      </c>
      <c r="AI69" s="566">
        <v>1</v>
      </c>
      <c r="AJ69" s="566">
        <v>1</v>
      </c>
      <c r="AK69" s="566">
        <v>0.69348850259443195</v>
      </c>
      <c r="AL69" s="566">
        <v>1</v>
      </c>
      <c r="AM69" s="566">
        <v>1</v>
      </c>
      <c r="AN69" s="566">
        <v>1</v>
      </c>
      <c r="AO69" s="566">
        <v>1</v>
      </c>
      <c r="AP69" s="566">
        <v>1</v>
      </c>
      <c r="AQ69" s="566">
        <v>1</v>
      </c>
      <c r="AR69" s="566">
        <v>1</v>
      </c>
      <c r="AS69" s="566">
        <v>1</v>
      </c>
      <c r="AT69" s="566">
        <v>1</v>
      </c>
      <c r="AU69" s="566">
        <v>1</v>
      </c>
      <c r="AV69" s="566">
        <v>1</v>
      </c>
      <c r="AW69" s="566">
        <v>1</v>
      </c>
      <c r="AX69" s="566">
        <v>1</v>
      </c>
      <c r="AY69" s="566">
        <v>1</v>
      </c>
      <c r="AZ69" s="566">
        <v>1</v>
      </c>
      <c r="BA69" s="566">
        <v>0.62850395081335997</v>
      </c>
      <c r="BB69" s="566">
        <v>1</v>
      </c>
      <c r="BC69" s="566">
        <v>1</v>
      </c>
      <c r="BD69" s="566">
        <v>1</v>
      </c>
      <c r="BE69" s="566">
        <v>1</v>
      </c>
      <c r="BF69" s="566">
        <v>1</v>
      </c>
      <c r="BG69" s="566">
        <v>1</v>
      </c>
      <c r="BH69" s="566">
        <v>0.999999999999999</v>
      </c>
      <c r="BI69" s="566">
        <v>1</v>
      </c>
      <c r="BJ69" s="566">
        <v>1</v>
      </c>
      <c r="BK69" s="566">
        <v>1</v>
      </c>
      <c r="BL69" s="566">
        <v>0.999999999999997</v>
      </c>
      <c r="BM69" s="566">
        <v>1</v>
      </c>
      <c r="BN69" s="566">
        <v>1</v>
      </c>
      <c r="BO69" s="566">
        <v>1</v>
      </c>
      <c r="BP69" s="566">
        <v>0.62826866280952598</v>
      </c>
      <c r="BQ69" s="566">
        <v>1</v>
      </c>
      <c r="BR69" s="566">
        <v>1</v>
      </c>
      <c r="BS69" s="566">
        <v>1</v>
      </c>
      <c r="BT69" s="566">
        <v>0.999999999999999</v>
      </c>
      <c r="BU69" s="566">
        <v>1</v>
      </c>
      <c r="BV69" s="566">
        <v>1</v>
      </c>
      <c r="BW69" s="566">
        <v>1</v>
      </c>
      <c r="BX69" s="566">
        <v>0.999999999999998</v>
      </c>
      <c r="BY69" s="566">
        <v>1</v>
      </c>
      <c r="BZ69" s="566">
        <v>1</v>
      </c>
      <c r="CA69" s="566">
        <v>1</v>
      </c>
      <c r="CB69" s="566">
        <v>0.62826871246941196</v>
      </c>
      <c r="CC69" s="566">
        <v>1</v>
      </c>
      <c r="CD69" s="566">
        <v>1</v>
      </c>
      <c r="CE69" s="566">
        <v>1</v>
      </c>
      <c r="CF69" s="566">
        <v>0.999999999999997</v>
      </c>
      <c r="CG69" s="566">
        <v>1</v>
      </c>
      <c r="CH69" s="566">
        <v>1</v>
      </c>
      <c r="CI69" s="566">
        <v>1</v>
      </c>
      <c r="CJ69" s="566">
        <v>0.999999999999997</v>
      </c>
      <c r="CK69" s="566">
        <v>1</v>
      </c>
      <c r="CL69" s="566">
        <v>1</v>
      </c>
      <c r="CM69" s="566">
        <v>1</v>
      </c>
      <c r="CN69" s="566">
        <v>0.999999999999996</v>
      </c>
      <c r="CO69" s="566">
        <v>1</v>
      </c>
      <c r="CP69" s="566">
        <v>1</v>
      </c>
      <c r="CQ69" s="566">
        <v>1</v>
      </c>
      <c r="CR69" s="566">
        <v>0.62821783654283303</v>
      </c>
      <c r="CS69" s="566">
        <v>1</v>
      </c>
      <c r="CT69" s="566">
        <v>1</v>
      </c>
      <c r="CU69" s="566">
        <v>1</v>
      </c>
      <c r="CV69" s="566">
        <v>1</v>
      </c>
      <c r="CW69" s="566">
        <v>1</v>
      </c>
      <c r="CX69" s="566">
        <v>1</v>
      </c>
      <c r="CY69" s="566">
        <v>0.62821795930694802</v>
      </c>
      <c r="CZ69" s="566">
        <v>1</v>
      </c>
      <c r="DA69" s="566">
        <v>1</v>
      </c>
      <c r="DB69" s="566">
        <v>1</v>
      </c>
      <c r="DC69" s="566">
        <v>0.62821750282467204</v>
      </c>
      <c r="DD69" s="566">
        <v>1</v>
      </c>
      <c r="DE69" s="566">
        <v>1</v>
      </c>
      <c r="DF69" s="566">
        <v>1</v>
      </c>
      <c r="DG69" s="566">
        <v>0.62821744000780699</v>
      </c>
      <c r="DH69" s="566">
        <v>1</v>
      </c>
      <c r="DI69" s="566">
        <v>1</v>
      </c>
      <c r="DJ69" s="566">
        <v>1</v>
      </c>
      <c r="DK69" s="566">
        <v>0.99999999999984601</v>
      </c>
      <c r="DL69" s="566">
        <v>1</v>
      </c>
      <c r="DM69" s="566">
        <v>1</v>
      </c>
      <c r="DN69" s="566">
        <v>1</v>
      </c>
      <c r="DO69" s="566">
        <v>0.62821783586272295</v>
      </c>
      <c r="DP69" s="566">
        <v>1</v>
      </c>
      <c r="DQ69" s="566">
        <v>1</v>
      </c>
      <c r="DR69" s="566">
        <v>1</v>
      </c>
      <c r="DS69" s="566">
        <v>1</v>
      </c>
      <c r="DT69" s="566">
        <v>1</v>
      </c>
      <c r="DU69" s="566">
        <v>1</v>
      </c>
      <c r="DV69" s="566">
        <v>0.62821692458192602</v>
      </c>
      <c r="DW69" s="566">
        <v>1</v>
      </c>
      <c r="DX69" s="566">
        <v>1</v>
      </c>
      <c r="DY69" s="566">
        <v>1</v>
      </c>
      <c r="DZ69" s="566">
        <v>0.62821666856159797</v>
      </c>
      <c r="EA69" s="566">
        <v>1</v>
      </c>
      <c r="EB69" s="566">
        <v>1</v>
      </c>
      <c r="EC69" s="566">
        <v>1</v>
      </c>
      <c r="ED69" s="566">
        <v>0.62821660568604998</v>
      </c>
      <c r="EE69" s="566">
        <v>1</v>
      </c>
      <c r="EF69" s="566">
        <v>1</v>
      </c>
      <c r="EG69" s="566">
        <v>1</v>
      </c>
      <c r="EH69" s="566">
        <v>0.99999999999995604</v>
      </c>
      <c r="EI69" s="566">
        <v>1</v>
      </c>
      <c r="EJ69" s="566">
        <v>1</v>
      </c>
      <c r="EK69" s="566">
        <v>1</v>
      </c>
      <c r="EL69" s="566">
        <v>0.62821634154068196</v>
      </c>
      <c r="EM69" s="566">
        <v>1</v>
      </c>
      <c r="EN69" s="566">
        <v>1</v>
      </c>
      <c r="EO69" s="566">
        <v>1</v>
      </c>
      <c r="EP69" s="566">
        <v>1</v>
      </c>
      <c r="EQ69" s="566">
        <v>1</v>
      </c>
      <c r="ER69" s="566">
        <v>1</v>
      </c>
      <c r="ES69" s="566">
        <v>0.62821235342121295</v>
      </c>
      <c r="ET69" s="566">
        <v>0.999999999999999</v>
      </c>
      <c r="EU69" s="566">
        <v>1</v>
      </c>
      <c r="EV69" s="566">
        <v>1</v>
      </c>
      <c r="EW69" s="566">
        <v>0.62821233574131397</v>
      </c>
      <c r="EX69" s="566">
        <v>1</v>
      </c>
      <c r="EY69" s="566">
        <v>1</v>
      </c>
      <c r="EZ69" s="566">
        <v>1</v>
      </c>
      <c r="FA69" s="566">
        <v>0.62821227285112002</v>
      </c>
      <c r="FB69" s="566">
        <v>1</v>
      </c>
      <c r="FC69" s="566">
        <v>1</v>
      </c>
      <c r="FD69" s="566">
        <v>0.999999999999999</v>
      </c>
      <c r="FE69" s="566">
        <v>0.99999999998997902</v>
      </c>
      <c r="FF69" s="566">
        <v>1</v>
      </c>
      <c r="FG69" s="566">
        <v>1</v>
      </c>
      <c r="FH69" s="566">
        <v>1</v>
      </c>
    </row>
    <row r="70" spans="1:164" ht="12.75" customHeight="1" x14ac:dyDescent="0.3">
      <c r="A70" s="422"/>
      <c r="B70" s="422"/>
      <c r="C70" s="422"/>
      <c r="D70" s="422"/>
      <c r="E70" s="422"/>
      <c r="F70" s="568"/>
      <c r="G70" s="569"/>
      <c r="H70" s="439"/>
      <c r="I70" s="574">
        <v>4104186.4245893401</v>
      </c>
      <c r="J70" s="566">
        <v>0.64114612623276102</v>
      </c>
      <c r="K70" s="566">
        <v>1</v>
      </c>
      <c r="L70" s="566">
        <v>1</v>
      </c>
      <c r="M70" s="566">
        <v>1</v>
      </c>
      <c r="N70" s="566">
        <v>1</v>
      </c>
      <c r="O70" s="566">
        <v>1</v>
      </c>
      <c r="P70" s="566">
        <v>1</v>
      </c>
      <c r="Q70" s="566">
        <v>1</v>
      </c>
      <c r="R70" s="566">
        <v>1</v>
      </c>
      <c r="S70" s="566">
        <v>1</v>
      </c>
      <c r="T70" s="566">
        <v>1</v>
      </c>
      <c r="U70" s="566">
        <v>1</v>
      </c>
      <c r="V70" s="566">
        <v>1</v>
      </c>
      <c r="W70" s="566">
        <v>1</v>
      </c>
      <c r="X70" s="566">
        <v>1</v>
      </c>
      <c r="Y70" s="566">
        <v>0.69240631170911304</v>
      </c>
      <c r="Z70" s="566">
        <v>1</v>
      </c>
      <c r="AA70" s="566">
        <v>1</v>
      </c>
      <c r="AB70" s="566">
        <v>1</v>
      </c>
      <c r="AC70" s="566">
        <v>1</v>
      </c>
      <c r="AD70" s="566">
        <v>1</v>
      </c>
      <c r="AE70" s="566">
        <v>1</v>
      </c>
      <c r="AF70" s="566">
        <v>1</v>
      </c>
      <c r="AG70" s="566">
        <v>1</v>
      </c>
      <c r="AH70" s="566">
        <v>1</v>
      </c>
      <c r="AI70" s="566">
        <v>1</v>
      </c>
      <c r="AJ70" s="566">
        <v>1</v>
      </c>
      <c r="AK70" s="566">
        <v>0.69348850259443195</v>
      </c>
      <c r="AL70" s="566">
        <v>1</v>
      </c>
      <c r="AM70" s="566">
        <v>1</v>
      </c>
      <c r="AN70" s="566">
        <v>1</v>
      </c>
      <c r="AO70" s="566">
        <v>1</v>
      </c>
      <c r="AP70" s="566">
        <v>1</v>
      </c>
      <c r="AQ70" s="566">
        <v>1</v>
      </c>
      <c r="AR70" s="566">
        <v>1</v>
      </c>
      <c r="AS70" s="566">
        <v>1</v>
      </c>
      <c r="AT70" s="566">
        <v>1</v>
      </c>
      <c r="AU70" s="566">
        <v>1</v>
      </c>
      <c r="AV70" s="566">
        <v>1</v>
      </c>
      <c r="AW70" s="566">
        <v>1</v>
      </c>
      <c r="AX70" s="566">
        <v>1</v>
      </c>
      <c r="AY70" s="566">
        <v>1</v>
      </c>
      <c r="AZ70" s="566">
        <v>1</v>
      </c>
      <c r="BA70" s="566">
        <v>0.62850395081335997</v>
      </c>
      <c r="BB70" s="566">
        <v>1</v>
      </c>
      <c r="BC70" s="566">
        <v>1</v>
      </c>
      <c r="BD70" s="566">
        <v>1</v>
      </c>
      <c r="BE70" s="566">
        <v>1</v>
      </c>
      <c r="BF70" s="566">
        <v>1</v>
      </c>
      <c r="BG70" s="566">
        <v>1</v>
      </c>
      <c r="BH70" s="566">
        <v>0.999999999999999</v>
      </c>
      <c r="BI70" s="566">
        <v>1</v>
      </c>
      <c r="BJ70" s="566">
        <v>1</v>
      </c>
      <c r="BK70" s="566">
        <v>1</v>
      </c>
      <c r="BL70" s="566">
        <v>0.999999999999997</v>
      </c>
      <c r="BM70" s="566">
        <v>1</v>
      </c>
      <c r="BN70" s="566">
        <v>1</v>
      </c>
      <c r="BO70" s="566">
        <v>1</v>
      </c>
      <c r="BP70" s="566">
        <v>0.62826866280952598</v>
      </c>
      <c r="BQ70" s="566">
        <v>1</v>
      </c>
      <c r="BR70" s="566">
        <v>1</v>
      </c>
      <c r="BS70" s="566">
        <v>1</v>
      </c>
      <c r="BT70" s="566">
        <v>0.999999999999999</v>
      </c>
      <c r="BU70" s="566">
        <v>1</v>
      </c>
      <c r="BV70" s="566">
        <v>1</v>
      </c>
      <c r="BW70" s="566">
        <v>1</v>
      </c>
      <c r="BX70" s="566">
        <v>0.999999999999998</v>
      </c>
      <c r="BY70" s="566">
        <v>1</v>
      </c>
      <c r="BZ70" s="566">
        <v>1</v>
      </c>
      <c r="CA70" s="566">
        <v>1</v>
      </c>
      <c r="CB70" s="566">
        <v>0.62826871246941196</v>
      </c>
      <c r="CC70" s="566">
        <v>1</v>
      </c>
      <c r="CD70" s="566">
        <v>1</v>
      </c>
      <c r="CE70" s="566">
        <v>1</v>
      </c>
      <c r="CF70" s="566">
        <v>0.999999999999997</v>
      </c>
      <c r="CG70" s="566">
        <v>1</v>
      </c>
      <c r="CH70" s="566">
        <v>1</v>
      </c>
      <c r="CI70" s="566">
        <v>1</v>
      </c>
      <c r="CJ70" s="566">
        <v>0.999999999999997</v>
      </c>
      <c r="CK70" s="566">
        <v>1</v>
      </c>
      <c r="CL70" s="566">
        <v>1</v>
      </c>
      <c r="CM70" s="566">
        <v>1</v>
      </c>
      <c r="CN70" s="566">
        <v>0.999999999999996</v>
      </c>
      <c r="CO70" s="566">
        <v>1</v>
      </c>
      <c r="CP70" s="566">
        <v>1</v>
      </c>
      <c r="CQ70" s="566">
        <v>1</v>
      </c>
      <c r="CR70" s="566">
        <v>0.62821783654283303</v>
      </c>
      <c r="CS70" s="566">
        <v>1</v>
      </c>
      <c r="CT70" s="566">
        <v>1</v>
      </c>
      <c r="CU70" s="566">
        <v>1</v>
      </c>
      <c r="CV70" s="566">
        <v>1</v>
      </c>
      <c r="CW70" s="566">
        <v>1</v>
      </c>
      <c r="CX70" s="566">
        <v>1</v>
      </c>
      <c r="CY70" s="566">
        <v>0.62821795930694802</v>
      </c>
      <c r="CZ70" s="566">
        <v>1</v>
      </c>
      <c r="DA70" s="566">
        <v>1</v>
      </c>
      <c r="DB70" s="566">
        <v>1</v>
      </c>
      <c r="DC70" s="566">
        <v>0.62821750282467204</v>
      </c>
      <c r="DD70" s="566">
        <v>1</v>
      </c>
      <c r="DE70" s="566">
        <v>1</v>
      </c>
      <c r="DF70" s="566">
        <v>1</v>
      </c>
      <c r="DG70" s="566">
        <v>0.62821744000780699</v>
      </c>
      <c r="DH70" s="566">
        <v>1</v>
      </c>
      <c r="DI70" s="566">
        <v>1</v>
      </c>
      <c r="DJ70" s="566">
        <v>1</v>
      </c>
      <c r="DK70" s="566">
        <v>0.99999999999984601</v>
      </c>
      <c r="DL70" s="566">
        <v>1</v>
      </c>
      <c r="DM70" s="566">
        <v>1</v>
      </c>
      <c r="DN70" s="566">
        <v>1</v>
      </c>
      <c r="DO70" s="566">
        <v>0.62821783586272295</v>
      </c>
      <c r="DP70" s="566">
        <v>1</v>
      </c>
      <c r="DQ70" s="566">
        <v>1</v>
      </c>
      <c r="DR70" s="566">
        <v>1</v>
      </c>
      <c r="DS70" s="566">
        <v>1</v>
      </c>
      <c r="DT70" s="566">
        <v>1</v>
      </c>
      <c r="DU70" s="566">
        <v>1</v>
      </c>
      <c r="DV70" s="566">
        <v>0.62821692458192602</v>
      </c>
      <c r="DW70" s="566">
        <v>1</v>
      </c>
      <c r="DX70" s="566">
        <v>1</v>
      </c>
      <c r="DY70" s="566">
        <v>1</v>
      </c>
      <c r="DZ70" s="566">
        <v>0.62821666856159797</v>
      </c>
      <c r="EA70" s="566">
        <v>1</v>
      </c>
      <c r="EB70" s="566">
        <v>1</v>
      </c>
      <c r="EC70" s="566">
        <v>1</v>
      </c>
      <c r="ED70" s="566">
        <v>0.62821660568604998</v>
      </c>
      <c r="EE70" s="566">
        <v>1</v>
      </c>
      <c r="EF70" s="566">
        <v>1</v>
      </c>
      <c r="EG70" s="566">
        <v>1</v>
      </c>
      <c r="EH70" s="566">
        <v>0.99999999999995604</v>
      </c>
      <c r="EI70" s="566">
        <v>1</v>
      </c>
      <c r="EJ70" s="566">
        <v>1</v>
      </c>
      <c r="EK70" s="566">
        <v>1</v>
      </c>
      <c r="EL70" s="566">
        <v>0.62821634154068196</v>
      </c>
      <c r="EM70" s="566">
        <v>1</v>
      </c>
      <c r="EN70" s="566">
        <v>1</v>
      </c>
      <c r="EO70" s="566">
        <v>1</v>
      </c>
      <c r="EP70" s="566">
        <v>1</v>
      </c>
      <c r="EQ70" s="566">
        <v>1</v>
      </c>
      <c r="ER70" s="566">
        <v>1</v>
      </c>
      <c r="ES70" s="566">
        <v>0.62821235342121295</v>
      </c>
      <c r="ET70" s="566">
        <v>0.999999999999999</v>
      </c>
      <c r="EU70" s="566">
        <v>1</v>
      </c>
      <c r="EV70" s="566">
        <v>1</v>
      </c>
      <c r="EW70" s="566">
        <v>0.62821233574131397</v>
      </c>
      <c r="EX70" s="566">
        <v>1</v>
      </c>
      <c r="EY70" s="566">
        <v>1</v>
      </c>
      <c r="EZ70" s="566">
        <v>1</v>
      </c>
      <c r="FA70" s="566">
        <v>0.62821227285112002</v>
      </c>
      <c r="FB70" s="566">
        <v>1</v>
      </c>
      <c r="FC70" s="566">
        <v>1</v>
      </c>
      <c r="FD70" s="566">
        <v>0.999999999999999</v>
      </c>
      <c r="FE70" s="566">
        <v>0.99999999998997902</v>
      </c>
      <c r="FF70" s="566">
        <v>1</v>
      </c>
      <c r="FG70" s="566">
        <v>1</v>
      </c>
      <c r="FH70" s="566">
        <v>1</v>
      </c>
    </row>
    <row r="71" spans="1:164" ht="12.75" customHeight="1" x14ac:dyDescent="0.3">
      <c r="A71" s="422"/>
      <c r="B71" s="422"/>
      <c r="C71" s="422"/>
      <c r="D71" s="422"/>
      <c r="E71" s="422"/>
      <c r="F71" s="568"/>
      <c r="G71" s="569"/>
      <c r="H71" s="439"/>
      <c r="I71" s="574">
        <v>4187945.3312136098</v>
      </c>
      <c r="J71" s="566">
        <v>0.59424308375779999</v>
      </c>
      <c r="K71" s="566">
        <v>-8.7053091129707496E-215</v>
      </c>
      <c r="L71" s="566">
        <v>-2.5643645204072799E-101</v>
      </c>
      <c r="M71" s="566">
        <v>-1.2938318054906001E-214</v>
      </c>
      <c r="N71" s="566">
        <v>-1.3868094439365001E-214</v>
      </c>
      <c r="O71" s="566">
        <v>-2.6125828680336399E-101</v>
      </c>
      <c r="P71" s="566">
        <v>-2.0611538118216299E-214</v>
      </c>
      <c r="Q71" s="566">
        <v>1.6286362544900601E-16</v>
      </c>
      <c r="R71" s="566">
        <v>-9.8913150060480194E-215</v>
      </c>
      <c r="S71" s="566">
        <v>-9.4216229811839799E-101</v>
      </c>
      <c r="T71" s="566">
        <v>2.39192705924868E-108</v>
      </c>
      <c r="U71" s="566">
        <v>9.2880362314619103E-18</v>
      </c>
      <c r="V71" s="566">
        <v>-1.0276406135876599E-217</v>
      </c>
      <c r="W71" s="566">
        <v>1.9012173442266299E-91</v>
      </c>
      <c r="X71" s="566">
        <v>3.3824195194623503E-92</v>
      </c>
      <c r="Y71" s="566">
        <v>0.50935891303381797</v>
      </c>
      <c r="Z71" s="566">
        <v>-7.3916346894568197E-215</v>
      </c>
      <c r="AA71" s="566">
        <v>6.9886204475145801E-34</v>
      </c>
      <c r="AB71" s="566">
        <v>-2.1404939753559599E-30</v>
      </c>
      <c r="AC71" s="566">
        <v>7.6891759226168201E-19</v>
      </c>
      <c r="AD71" s="566">
        <v>-1.10359152760316E-214</v>
      </c>
      <c r="AE71" s="566">
        <v>7.1504260295682499E-89</v>
      </c>
      <c r="AF71" s="566">
        <v>5.6787043574314801E-89</v>
      </c>
      <c r="AG71" s="566">
        <v>8.8867518391708704E-18</v>
      </c>
      <c r="AH71" s="566">
        <v>-1.14655687328561E-217</v>
      </c>
      <c r="AI71" s="566">
        <v>9.6040590521664406E-89</v>
      </c>
      <c r="AJ71" s="566">
        <v>3.7505345798884498E-89</v>
      </c>
      <c r="AK71" s="566">
        <v>0.50756686204569801</v>
      </c>
      <c r="AL71" s="566">
        <v>-7.4389684021116995E-215</v>
      </c>
      <c r="AM71" s="566">
        <v>7.0080230655374702E-34</v>
      </c>
      <c r="AN71" s="566">
        <v>-2.13730217285748E-30</v>
      </c>
      <c r="AO71" s="566">
        <v>4.0778096873008902E-16</v>
      </c>
      <c r="AP71" s="566">
        <v>-1.0928456333117E-214</v>
      </c>
      <c r="AQ71" s="566">
        <v>-3.7545924563232399E-94</v>
      </c>
      <c r="AR71" s="566">
        <v>2.0178677896835401E-89</v>
      </c>
      <c r="AS71" s="566">
        <v>1.1549855819825E-17</v>
      </c>
      <c r="AT71" s="566">
        <v>-1.08941439691336E-216</v>
      </c>
      <c r="AU71" s="566">
        <v>1.3362602406475799E-90</v>
      </c>
      <c r="AV71" s="566">
        <v>1.92491734291074E-89</v>
      </c>
      <c r="AW71" s="566">
        <v>4.0778096873008798E-16</v>
      </c>
      <c r="AX71" s="566">
        <v>-1.09284563643476E-214</v>
      </c>
      <c r="AY71" s="566">
        <v>-3.7545924641834497E-94</v>
      </c>
      <c r="AZ71" s="566">
        <v>2.0178677901217001E-89</v>
      </c>
      <c r="BA71" s="566">
        <v>0.61517785932373203</v>
      </c>
      <c r="BB71" s="566">
        <v>-3.2745450075095699E-214</v>
      </c>
      <c r="BC71" s="566">
        <v>-1.25791017005755E-100</v>
      </c>
      <c r="BD71" s="566">
        <v>-2.7710876635363001E-214</v>
      </c>
      <c r="BE71" s="566">
        <v>-5.21655206490942E-214</v>
      </c>
      <c r="BF71" s="566">
        <v>-1.28156294936996E-100</v>
      </c>
      <c r="BG71" s="566">
        <v>-4.4145132887379404E-214</v>
      </c>
      <c r="BH71" s="566">
        <v>2.43896970068705E-15</v>
      </c>
      <c r="BI71" s="566">
        <v>-3.6468527505343899E-214</v>
      </c>
      <c r="BJ71" s="566">
        <v>-7.1172939225573603E-100</v>
      </c>
      <c r="BK71" s="566">
        <v>-3.7869236081845198E-109</v>
      </c>
      <c r="BL71" s="566">
        <v>5.2695268798578299E-15</v>
      </c>
      <c r="BM71" s="566">
        <v>-3.6468316146234102E-214</v>
      </c>
      <c r="BN71" s="566">
        <v>3.1587970202207099E-90</v>
      </c>
      <c r="BO71" s="566">
        <v>2.6589360960286499E-91</v>
      </c>
      <c r="BP71" s="566">
        <v>0.61556747443038495</v>
      </c>
      <c r="BQ71" s="566">
        <v>-3.66121101411117E-214</v>
      </c>
      <c r="BR71" s="566">
        <v>1.22544429380479E-29</v>
      </c>
      <c r="BS71" s="566">
        <v>-8.4783704421628805E-26</v>
      </c>
      <c r="BT71" s="566">
        <v>2.4132977235701099E-15</v>
      </c>
      <c r="BU71" s="566">
        <v>-3.6893955962826799E-214</v>
      </c>
      <c r="BV71" s="566">
        <v>1.3875285077457499E-88</v>
      </c>
      <c r="BW71" s="566">
        <v>5.9590262555896101E-89</v>
      </c>
      <c r="BX71" s="566">
        <v>5.2477720843174603E-15</v>
      </c>
      <c r="BY71" s="566">
        <v>-3.6893736407822801E-214</v>
      </c>
      <c r="BZ71" s="566">
        <v>1.16111542728107E-87</v>
      </c>
      <c r="CA71" s="566">
        <v>4.7289456525529198E-89</v>
      </c>
      <c r="CB71" s="566">
        <v>0.61556739219623302</v>
      </c>
      <c r="CC71" s="566">
        <v>-3.66185437111513E-214</v>
      </c>
      <c r="CD71" s="566">
        <v>6.9255483260965202E-27</v>
      </c>
      <c r="CE71" s="566">
        <v>2.8406113931697101E-24</v>
      </c>
      <c r="CF71" s="566">
        <v>6.2032099342459603E-15</v>
      </c>
      <c r="CG71" s="566">
        <v>-4.1107927925044697E-214</v>
      </c>
      <c r="CH71" s="566">
        <v>-8.45977484174395E-94</v>
      </c>
      <c r="CI71" s="566">
        <v>2.06704860962095E-89</v>
      </c>
      <c r="CJ71" s="566">
        <v>5.7834543949968798E-15</v>
      </c>
      <c r="CK71" s="566">
        <v>-4.1107927668439702E-214</v>
      </c>
      <c r="CL71" s="566">
        <v>3.6935617001913501E-90</v>
      </c>
      <c r="CM71" s="566">
        <v>2.0655266967732402E-89</v>
      </c>
      <c r="CN71" s="566">
        <v>6.2032099342459603E-15</v>
      </c>
      <c r="CO71" s="566">
        <v>-4.1107927597948603E-214</v>
      </c>
      <c r="CP71" s="566">
        <v>-8.4597748404121996E-94</v>
      </c>
      <c r="CQ71" s="566">
        <v>2.0670486095701602E-89</v>
      </c>
      <c r="CR71" s="566">
        <v>0.61565165007455602</v>
      </c>
      <c r="CS71" s="566">
        <v>-1.2211353851544701E-213</v>
      </c>
      <c r="CT71" s="566">
        <v>-1.13739027130377E-99</v>
      </c>
      <c r="CU71" s="566">
        <v>-9.55890585666462E-214</v>
      </c>
      <c r="CV71" s="566">
        <v>-1.94534396089639E-213</v>
      </c>
      <c r="CW71" s="566">
        <v>-1.1587768858690401E-99</v>
      </c>
      <c r="CX71" s="566">
        <v>-1.5225045184323701E-213</v>
      </c>
      <c r="CY71" s="566">
        <v>0.61565143675452405</v>
      </c>
      <c r="CZ71" s="566">
        <v>-1.5709586697113202E-213</v>
      </c>
      <c r="DA71" s="566">
        <v>4.1424068387916201E-27</v>
      </c>
      <c r="DB71" s="566">
        <v>-6.9285085298519301E-22</v>
      </c>
      <c r="DC71" s="566">
        <v>0.61565219266508098</v>
      </c>
      <c r="DD71" s="566">
        <v>-1.57120617034727E-213</v>
      </c>
      <c r="DE71" s="566">
        <v>6.4432168092625098E-24</v>
      </c>
      <c r="DF71" s="566">
        <v>-1.0638168694760299E-18</v>
      </c>
      <c r="DG71" s="566">
        <v>0.61565229668649502</v>
      </c>
      <c r="DH71" s="566">
        <v>-1.57148232339406E-213</v>
      </c>
      <c r="DI71" s="566">
        <v>6.44573826460824E-24</v>
      </c>
      <c r="DJ71" s="566">
        <v>-1.06380863566495E-18</v>
      </c>
      <c r="DK71" s="566">
        <v>2.5535115287395202E-13</v>
      </c>
      <c r="DL71" s="566">
        <v>-1.6451462991896301E-213</v>
      </c>
      <c r="DM71" s="566">
        <v>-2.5278142548720802E-93</v>
      </c>
      <c r="DN71" s="566">
        <v>2.1249511254295102E-89</v>
      </c>
      <c r="DO71" s="566">
        <v>0.61565165059096305</v>
      </c>
      <c r="DP71" s="566">
        <v>-5.9921512949303598E-213</v>
      </c>
      <c r="DQ71" s="566">
        <v>-5.0343028254297298E-99</v>
      </c>
      <c r="DR71" s="566">
        <v>-1.0194108513083899E-211</v>
      </c>
      <c r="DS71" s="566">
        <v>-5.2067861712571802E-212</v>
      </c>
      <c r="DT71" s="566">
        <v>-5.3086392539688701E-99</v>
      </c>
      <c r="DU71" s="566">
        <v>1.1130860732705301E-210</v>
      </c>
      <c r="DV71" s="566">
        <v>0.61565315020455302</v>
      </c>
      <c r="DW71" s="566">
        <v>-2.30513829335629E-212</v>
      </c>
      <c r="DX71" s="566">
        <v>1.8639398495076301E-23</v>
      </c>
      <c r="DY71" s="566">
        <v>-2.49300994463155E-17</v>
      </c>
      <c r="DZ71" s="566">
        <v>0.61565357416070299</v>
      </c>
      <c r="EA71" s="566">
        <v>-2.3054820369942501E-212</v>
      </c>
      <c r="EB71" s="566">
        <v>2.4537454809047501E-20</v>
      </c>
      <c r="EC71" s="566">
        <v>-3.2427471824099197E-14</v>
      </c>
      <c r="ED71" s="566">
        <v>0.61565367827929096</v>
      </c>
      <c r="EE71" s="566">
        <v>-2.3058645651130599E-212</v>
      </c>
      <c r="EF71" s="566">
        <v>2.3035503302631301E-13</v>
      </c>
      <c r="EG71" s="566">
        <v>-3.8061803590414397E-8</v>
      </c>
      <c r="EH71" s="566">
        <v>7.3918737443165695E-14</v>
      </c>
      <c r="EI71" s="566">
        <v>-3.0961870941200002E-212</v>
      </c>
      <c r="EJ71" s="566">
        <v>7.8824432447788004E-89</v>
      </c>
      <c r="EK71" s="566">
        <v>2.22057610183976E-89</v>
      </c>
      <c r="EL71" s="566">
        <v>0.61565411571583994</v>
      </c>
      <c r="EM71" s="566">
        <v>-4.2470378045417301E-213</v>
      </c>
      <c r="EN71" s="566">
        <v>-2.9845212462499301E-99</v>
      </c>
      <c r="EO71" s="566">
        <v>-2.85405568385377E-213</v>
      </c>
      <c r="EP71" s="566">
        <v>-5.3118339610695299E-213</v>
      </c>
      <c r="EQ71" s="566">
        <v>-3.01447899536668E-99</v>
      </c>
      <c r="ER71" s="566">
        <v>-3.5695393852456603E-213</v>
      </c>
      <c r="ES71" s="566">
        <v>0.61566071980543002</v>
      </c>
      <c r="ET71" s="566">
        <v>-4.8360429759033902E-213</v>
      </c>
      <c r="EU71" s="566">
        <v>-4.3284135333344901E-32</v>
      </c>
      <c r="EV71" s="566">
        <v>-6.3139639509820798E-23</v>
      </c>
      <c r="EW71" s="566">
        <v>0.61566074908240997</v>
      </c>
      <c r="EX71" s="566">
        <v>-4.83677072774219E-213</v>
      </c>
      <c r="EY71" s="566">
        <v>-7.8641130281401996E-29</v>
      </c>
      <c r="EZ71" s="566">
        <v>-1.06104545396653E-19</v>
      </c>
      <c r="FA71" s="566">
        <v>0.61566085322525399</v>
      </c>
      <c r="FB71" s="566">
        <v>-4.8375847479872598E-213</v>
      </c>
      <c r="FC71" s="566">
        <v>-7.8638576965762895E-29</v>
      </c>
      <c r="FD71" s="566">
        <v>-1.06099689698067E-19</v>
      </c>
      <c r="FE71" s="566">
        <v>1.65945539370611E-11</v>
      </c>
      <c r="FF71" s="566">
        <v>-4.8942159799520698E-213</v>
      </c>
      <c r="FG71" s="566">
        <v>-1.2300968606238599E-93</v>
      </c>
      <c r="FH71" s="566">
        <v>2.1729140676634901E-89</v>
      </c>
    </row>
    <row r="72" spans="1:164" ht="12.75" customHeight="1" x14ac:dyDescent="0.3">
      <c r="A72" s="422"/>
      <c r="B72" s="422"/>
      <c r="C72" s="422"/>
      <c r="D72" s="422"/>
      <c r="E72" s="422"/>
      <c r="F72" s="568"/>
      <c r="G72" s="569"/>
      <c r="H72" s="439"/>
      <c r="I72" s="574">
        <v>4271704.2378378799</v>
      </c>
      <c r="J72" s="566">
        <v>0.58236358018000001</v>
      </c>
      <c r="K72" s="566">
        <v>2.0971097403205601E-216</v>
      </c>
      <c r="L72" s="566">
        <v>6.17759043463423E-103</v>
      </c>
      <c r="M72" s="566">
        <v>3.11684240845116E-216</v>
      </c>
      <c r="N72" s="566">
        <v>3.3408255930866298E-216</v>
      </c>
      <c r="O72" s="566">
        <v>6.2937491197316098E-103</v>
      </c>
      <c r="P72" s="566">
        <v>4.9653229007251202E-216</v>
      </c>
      <c r="Q72" s="566">
        <v>1.5960782142857E-16</v>
      </c>
      <c r="R72" s="566">
        <v>2.3828188710144101E-216</v>
      </c>
      <c r="S72" s="566">
        <v>2.2696823282969202E-102</v>
      </c>
      <c r="T72" s="566">
        <v>-5.7621801049452198E-110</v>
      </c>
      <c r="U72" s="566">
        <v>9.1022787159045293E-18</v>
      </c>
      <c r="V72" s="566">
        <v>2.4755871005807499E-219</v>
      </c>
      <c r="W72" s="566">
        <v>-4.5800668600901298E-93</v>
      </c>
      <c r="X72" s="566">
        <v>-8.1483134318267395E-94</v>
      </c>
      <c r="Y72" s="566">
        <v>0.499176327497376</v>
      </c>
      <c r="Z72" s="566">
        <v>1.7806454739355301E-216</v>
      </c>
      <c r="AA72" s="566">
        <v>-1.6186156160873799E-37</v>
      </c>
      <c r="AB72" s="566">
        <v>2.57933662294456E-34</v>
      </c>
      <c r="AC72" s="566">
        <v>7.5354617782781598E-19</v>
      </c>
      <c r="AD72" s="566">
        <v>2.6585534111137101E-216</v>
      </c>
      <c r="AE72" s="566">
        <v>-1.7225513021102199E-90</v>
      </c>
      <c r="AF72" s="566">
        <v>-1.3680107352682199E-90</v>
      </c>
      <c r="AG72" s="566">
        <v>8.7090153055509404E-18</v>
      </c>
      <c r="AH72" s="566">
        <v>2.7620565392368599E-219</v>
      </c>
      <c r="AI72" s="566">
        <v>-2.31363622190555E-90</v>
      </c>
      <c r="AJ72" s="566">
        <v>-9.03510953262915E-91</v>
      </c>
      <c r="AK72" s="566">
        <v>0.49742010137067499</v>
      </c>
      <c r="AL72" s="566">
        <v>1.7920481426501499E-216</v>
      </c>
      <c r="AM72" s="566">
        <v>-2.0888413507002299E-37</v>
      </c>
      <c r="AN72" s="566">
        <v>1.9703033173729899E-34</v>
      </c>
      <c r="AO72" s="566">
        <v>3.9962902618437E-16</v>
      </c>
      <c r="AP72" s="566">
        <v>2.63266630690965E-216</v>
      </c>
      <c r="AQ72" s="566">
        <v>9.0448764845599801E-96</v>
      </c>
      <c r="AR72" s="566">
        <v>-4.8610821846114102E-91</v>
      </c>
      <c r="AS72" s="566">
        <v>1.13188019337742E-17</v>
      </c>
      <c r="AT72" s="566">
        <v>2.6244003707269402E-218</v>
      </c>
      <c r="AU72" s="566">
        <v>-3.2190750270874501E-92</v>
      </c>
      <c r="AV72" s="566">
        <v>-4.6371627829300198E-91</v>
      </c>
      <c r="AW72" s="566">
        <v>3.9962902618437E-16</v>
      </c>
      <c r="AX72" s="566">
        <v>2.6326663076339701E-216</v>
      </c>
      <c r="AY72" s="566">
        <v>9.0448765069498897E-96</v>
      </c>
      <c r="AZ72" s="566">
        <v>-4.8610821854109599E-91</v>
      </c>
      <c r="BA72" s="566">
        <v>0.60287984899670299</v>
      </c>
      <c r="BB72" s="566">
        <v>7.8883829958816201E-216</v>
      </c>
      <c r="BC72" s="566">
        <v>3.0303234120971299E-102</v>
      </c>
      <c r="BD72" s="566">
        <v>6.6755535207046305E-216</v>
      </c>
      <c r="BE72" s="566">
        <v>1.25666806059648E-215</v>
      </c>
      <c r="BF72" s="566">
        <v>3.0873033059634999E-102</v>
      </c>
      <c r="BG72" s="566">
        <v>1.0634568087664601E-215</v>
      </c>
      <c r="BH72" s="566">
        <v>2.3902122977607901E-15</v>
      </c>
      <c r="BI72" s="566">
        <v>8.7852732205769798E-216</v>
      </c>
      <c r="BJ72" s="566">
        <v>1.7145661940204501E-101</v>
      </c>
      <c r="BK72" s="566">
        <v>9.1227435990829996E-111</v>
      </c>
      <c r="BL72" s="566">
        <v>5.1641837640713998E-15</v>
      </c>
      <c r="BM72" s="566">
        <v>8.7852218251329295E-216</v>
      </c>
      <c r="BN72" s="566">
        <v>-7.6095995077638102E-92</v>
      </c>
      <c r="BO72" s="566">
        <v>-6.4054271575503602E-93</v>
      </c>
      <c r="BP72" s="566">
        <v>0.60326167531420005</v>
      </c>
      <c r="BQ72" s="566">
        <v>8.8198621325174397E-216</v>
      </c>
      <c r="BR72" s="566">
        <v>-2.6472948967368501E-33</v>
      </c>
      <c r="BS72" s="566">
        <v>1.07352283323628E-29</v>
      </c>
      <c r="BT72" s="566">
        <v>2.36505352676236E-15</v>
      </c>
      <c r="BU72" s="566">
        <v>8.8877589665248097E-216</v>
      </c>
      <c r="BV72" s="566">
        <v>-3.3425826977561799E-90</v>
      </c>
      <c r="BW72" s="566">
        <v>-1.4355408166712601E-90</v>
      </c>
      <c r="BX72" s="566">
        <v>5.1428638655101897E-15</v>
      </c>
      <c r="BY72" s="566">
        <v>8.8877056399452803E-216</v>
      </c>
      <c r="BZ72" s="566">
        <v>-2.7971487763279701E-89</v>
      </c>
      <c r="CA72" s="566">
        <v>-1.1392118769561E-90</v>
      </c>
      <c r="CB72" s="566">
        <v>0.60326159472398599</v>
      </c>
      <c r="CC72" s="566">
        <v>8.8214131276482698E-216</v>
      </c>
      <c r="CD72" s="566">
        <v>-1.6695924599289501E-28</v>
      </c>
      <c r="CE72" s="566">
        <v>-7.0102029886884202E-26</v>
      </c>
      <c r="CF72" s="566">
        <v>6.0792016678953202E-15</v>
      </c>
      <c r="CG72" s="566">
        <v>9.9029048418384499E-216</v>
      </c>
      <c r="CH72" s="566">
        <v>2.0379740143632101E-95</v>
      </c>
      <c r="CI72" s="566">
        <v>-4.9795597142646595E-91</v>
      </c>
      <c r="CJ72" s="566">
        <v>5.6678372935054603E-15</v>
      </c>
      <c r="CK72" s="566">
        <v>9.9029048909684204E-216</v>
      </c>
      <c r="CL72" s="566">
        <v>-8.8978567487158306E-92</v>
      </c>
      <c r="CM72" s="566">
        <v>-4.9758934049362799E-91</v>
      </c>
      <c r="CN72" s="566">
        <v>6.0792016678953202E-15</v>
      </c>
      <c r="CO72" s="566">
        <v>9.9029056283013195E-216</v>
      </c>
      <c r="CP72" s="566">
        <v>2.03797400266288E-95</v>
      </c>
      <c r="CQ72" s="566">
        <v>-4.97955971240423E-91</v>
      </c>
      <c r="CR72" s="566">
        <v>0.60334416820453696</v>
      </c>
      <c r="CS72" s="566">
        <v>2.9417169934725498E-215</v>
      </c>
      <c r="CT72" s="566">
        <v>2.7399892879784599E-101</v>
      </c>
      <c r="CU72" s="566">
        <v>2.3027417956108699E-215</v>
      </c>
      <c r="CV72" s="566">
        <v>4.6863363196570105E-215</v>
      </c>
      <c r="CW72" s="566">
        <v>2.7915099466930401E-101</v>
      </c>
      <c r="CX72" s="566">
        <v>3.6677151280234998E-215</v>
      </c>
      <c r="CY72" s="566">
        <v>0.60334395914891403</v>
      </c>
      <c r="CZ72" s="566">
        <v>3.7844417402550399E-215</v>
      </c>
      <c r="DA72" s="566">
        <v>-7.14542150044224E-31</v>
      </c>
      <c r="DB72" s="566">
        <v>1.00645385303258E-25</v>
      </c>
      <c r="DC72" s="566">
        <v>0.60334469994807105</v>
      </c>
      <c r="DD72" s="566">
        <v>3.78503773797783E-215</v>
      </c>
      <c r="DE72" s="566">
        <v>-1.07967409674487E-27</v>
      </c>
      <c r="DF72" s="566">
        <v>1.54788052437652E-22</v>
      </c>
      <c r="DG72" s="566">
        <v>0.60334480188999795</v>
      </c>
      <c r="DH72" s="566">
        <v>3.7857026833873901E-215</v>
      </c>
      <c r="DI72" s="566">
        <v>-1.1411841500908899E-27</v>
      </c>
      <c r="DJ72" s="566">
        <v>1.5429768501355399E-22</v>
      </c>
      <c r="DK72" s="566">
        <v>2.5024643223509398E-13</v>
      </c>
      <c r="DL72" s="566">
        <v>3.9631594789598601E-215</v>
      </c>
      <c r="DM72" s="566">
        <v>6.0895471173519795E-95</v>
      </c>
      <c r="DN72" s="566">
        <v>-5.1190479945554497E-91</v>
      </c>
      <c r="DO72" s="566">
        <v>0.60334416871062102</v>
      </c>
      <c r="DP72" s="566">
        <v>1.4435100598629E-214</v>
      </c>
      <c r="DQ72" s="566">
        <v>1.2127706879681299E-100</v>
      </c>
      <c r="DR72" s="566">
        <v>2.45576209274149E-213</v>
      </c>
      <c r="DS72" s="566">
        <v>1.2543154297573E-213</v>
      </c>
      <c r="DT72" s="566">
        <v>1.2788587202312899E-100</v>
      </c>
      <c r="DU72" s="566">
        <v>-2.6814258373605003E-212</v>
      </c>
      <c r="DV72" s="566">
        <v>0.60334563834539301</v>
      </c>
      <c r="DW72" s="566">
        <v>5.5530811576821396E-214</v>
      </c>
      <c r="DX72" s="566">
        <v>-3.1086626756170199E-27</v>
      </c>
      <c r="DY72" s="566">
        <v>3.6283576892315802E-21</v>
      </c>
      <c r="DZ72" s="566">
        <v>0.60334605382624495</v>
      </c>
      <c r="EA72" s="566">
        <v>5.5539097029042197E-214</v>
      </c>
      <c r="EB72" s="566">
        <v>-3.9699500310472496E-24</v>
      </c>
      <c r="EC72" s="566">
        <v>4.7273599519217499E-18</v>
      </c>
      <c r="ED72" s="566">
        <v>0.60334615586338802</v>
      </c>
      <c r="EE72" s="566">
        <v>5.5548312883867497E-214</v>
      </c>
      <c r="EF72" s="566">
        <v>-3.5939051819634503E-17</v>
      </c>
      <c r="EG72" s="566">
        <v>5.5593985426911903E-12</v>
      </c>
      <c r="EH72" s="566">
        <v>7.2441010051829297E-14</v>
      </c>
      <c r="EI72" s="566">
        <v>7.4587179973694395E-214</v>
      </c>
      <c r="EJ72" s="566">
        <v>-1.8988949665403799E-90</v>
      </c>
      <c r="EK72" s="566">
        <v>-5.3494104051878297E-91</v>
      </c>
      <c r="EL72" s="566">
        <v>0.60334658455522105</v>
      </c>
      <c r="EM72" s="566">
        <v>1.02311193768088E-214</v>
      </c>
      <c r="EN72" s="566">
        <v>7.1897539831494305E-101</v>
      </c>
      <c r="EO72" s="566">
        <v>6.8754244483150698E-215</v>
      </c>
      <c r="EP72" s="566">
        <v>1.27962150085164E-214</v>
      </c>
      <c r="EQ72" s="566">
        <v>7.2619226227036306E-101</v>
      </c>
      <c r="ER72" s="566">
        <v>8.5990261933404602E-215</v>
      </c>
      <c r="ES72" s="566">
        <v>0.603353056622559</v>
      </c>
      <c r="ET72" s="566">
        <v>1.1650034246482601E-214</v>
      </c>
      <c r="EU72" s="566">
        <v>-1.2401374733121199E-34</v>
      </c>
      <c r="EV72" s="566">
        <v>9.1135863960376196E-27</v>
      </c>
      <c r="EW72" s="566">
        <v>0.60335308531426601</v>
      </c>
      <c r="EX72" s="566">
        <v>1.1651786865046301E-214</v>
      </c>
      <c r="EY72" s="566">
        <v>-2.2526591670131401E-31</v>
      </c>
      <c r="EZ72" s="566">
        <v>1.5391195884887299E-23</v>
      </c>
      <c r="FA72" s="566">
        <v>0.60335318737520005</v>
      </c>
      <c r="FB72" s="566">
        <v>1.1653747739756E-214</v>
      </c>
      <c r="FC72" s="566">
        <v>-2.25351417247286E-31</v>
      </c>
      <c r="FD72" s="566">
        <v>1.5247497704357401E-23</v>
      </c>
      <c r="FE72" s="566">
        <v>1.6262812486036398E-11</v>
      </c>
      <c r="FF72" s="566">
        <v>1.17901727387843E-214</v>
      </c>
      <c r="FG72" s="566">
        <v>2.96332212586473E-95</v>
      </c>
      <c r="FH72" s="566">
        <v>-5.2345916359628998E-91</v>
      </c>
    </row>
    <row r="73" spans="1:164" ht="12.75" customHeight="1" x14ac:dyDescent="0.3">
      <c r="A73" s="422"/>
      <c r="B73" s="422"/>
      <c r="C73" s="422"/>
      <c r="D73" s="422"/>
      <c r="E73" s="422"/>
      <c r="F73" s="568"/>
      <c r="G73" s="569"/>
      <c r="H73" s="439"/>
      <c r="I73" s="574">
        <v>4355463.1444621598</v>
      </c>
      <c r="J73" s="566">
        <v>0.57072195543958104</v>
      </c>
      <c r="K73" s="566">
        <v>-7.1026138551376099E-216</v>
      </c>
      <c r="L73" s="566">
        <v>-2.0922282289765099E-102</v>
      </c>
      <c r="M73" s="566">
        <v>-1.05563036701465E-215</v>
      </c>
      <c r="N73" s="566">
        <v>-1.13149030368559E-215</v>
      </c>
      <c r="O73" s="566">
        <v>-2.1315688885640801E-102</v>
      </c>
      <c r="P73" s="566">
        <v>-1.6816844497197801E-215</v>
      </c>
      <c r="Q73" s="566">
        <v>1.56417212630312E-16</v>
      </c>
      <c r="R73" s="566">
        <v>-8.0702700617319001E-216</v>
      </c>
      <c r="S73" s="566">
        <v>-7.6869670816933893E-102</v>
      </c>
      <c r="T73" s="566">
        <v>1.9515431733091399E-109</v>
      </c>
      <c r="U73" s="566">
        <v>8.9203297975153502E-18</v>
      </c>
      <c r="V73" s="566">
        <v>-8.3844631351487697E-219</v>
      </c>
      <c r="W73" s="566">
        <v>1.55117092155757E-92</v>
      </c>
      <c r="X73" s="566">
        <v>2.75965597364517E-93</v>
      </c>
      <c r="Y73" s="566">
        <v>0.48919764118911302</v>
      </c>
      <c r="Z73" s="566">
        <v>-6.0307941780775205E-216</v>
      </c>
      <c r="AA73" s="566">
        <v>-3.8269848547365001E-35</v>
      </c>
      <c r="AB73" s="566">
        <v>1.18573024804633E-31</v>
      </c>
      <c r="AC73" s="566">
        <v>7.3848256054700101E-19</v>
      </c>
      <c r="AD73" s="566">
        <v>-9.0041437091081097E-216</v>
      </c>
      <c r="AE73" s="566">
        <v>5.8339058070742502E-90</v>
      </c>
      <c r="AF73" s="566">
        <v>4.6331541865185901E-90</v>
      </c>
      <c r="AG73" s="566">
        <v>8.5349279554952004E-18</v>
      </c>
      <c r="AH73" s="566">
        <v>-9.3546945271496002E-219</v>
      </c>
      <c r="AI73" s="566">
        <v>7.8357812547857799E-90</v>
      </c>
      <c r="AJ73" s="566">
        <v>3.0599946251872598E-90</v>
      </c>
      <c r="AK73" s="566">
        <v>0.487476522555776</v>
      </c>
      <c r="AL73" s="566">
        <v>-6.0694134063632897E-216</v>
      </c>
      <c r="AM73" s="566">
        <v>-3.8111193113729298E-35</v>
      </c>
      <c r="AN73" s="566">
        <v>1.18745906170881E-31</v>
      </c>
      <c r="AO73" s="566">
        <v>3.9164032064618198E-16</v>
      </c>
      <c r="AP73" s="566">
        <v>-8.9164679626576696E-216</v>
      </c>
      <c r="AQ73" s="566">
        <v>-3.0633112471356503E-95</v>
      </c>
      <c r="AR73" s="566">
        <v>1.64634247231678E-90</v>
      </c>
      <c r="AS73" s="566">
        <v>1.10925524222926E-17</v>
      </c>
      <c r="AT73" s="566">
        <v>-8.8884724556736704E-218</v>
      </c>
      <c r="AU73" s="566">
        <v>1.09023202544355E-91</v>
      </c>
      <c r="AV73" s="566">
        <v>1.5705058555979601E-90</v>
      </c>
      <c r="AW73" s="566">
        <v>3.9164032064618198E-16</v>
      </c>
      <c r="AX73" s="566">
        <v>-8.9164679737464305E-216</v>
      </c>
      <c r="AY73" s="566">
        <v>-3.0633112548969397E-95</v>
      </c>
      <c r="AZ73" s="566">
        <v>1.64634247252788E-90</v>
      </c>
      <c r="BA73" s="566">
        <v>0.59082809781505896</v>
      </c>
      <c r="BB73" s="566">
        <v>-2.6716835664569098E-215</v>
      </c>
      <c r="BC73" s="566">
        <v>-1.02631086536002E-101</v>
      </c>
      <c r="BD73" s="566">
        <v>-2.2609154173342599E-215</v>
      </c>
      <c r="BE73" s="566">
        <v>-4.2561566702185799E-215</v>
      </c>
      <c r="BF73" s="566">
        <v>-1.04560883214206E-101</v>
      </c>
      <c r="BG73" s="566">
        <v>-3.6017775300400499E-215</v>
      </c>
      <c r="BH73" s="566">
        <v>2.3424312284278399E-15</v>
      </c>
      <c r="BI73" s="566">
        <v>-2.9754475407230598E-215</v>
      </c>
      <c r="BJ73" s="566">
        <v>-5.80689805181209E-101</v>
      </c>
      <c r="BK73" s="566">
        <v>-3.0897029271783803E-110</v>
      </c>
      <c r="BL73" s="566">
        <v>5.0609501726442597E-15</v>
      </c>
      <c r="BM73" s="566">
        <v>-2.9754301784833899E-215</v>
      </c>
      <c r="BN73" s="566">
        <v>2.5772084718987499E-91</v>
      </c>
      <c r="BO73" s="566">
        <v>2.1693793228947401E-92</v>
      </c>
      <c r="BP73" s="566">
        <v>0.59120229130865698</v>
      </c>
      <c r="BQ73" s="566">
        <v>-2.9871623239470201E-215</v>
      </c>
      <c r="BR73" s="566">
        <v>-6.7213999084660002E-31</v>
      </c>
      <c r="BS73" s="566">
        <v>4.6935940381706801E-27</v>
      </c>
      <c r="BT73" s="566">
        <v>2.3177753891015801E-15</v>
      </c>
      <c r="BU73" s="566">
        <v>-3.0101580033356701E-215</v>
      </c>
      <c r="BV73" s="566">
        <v>1.1320599038714101E-89</v>
      </c>
      <c r="BW73" s="566">
        <v>4.8618638498766999E-90</v>
      </c>
      <c r="BX73" s="566">
        <v>5.0400564656161603E-15</v>
      </c>
      <c r="BY73" s="566">
        <v>-3.0101399790206699E-215</v>
      </c>
      <c r="BZ73" s="566">
        <v>9.4733382617107906E-89</v>
      </c>
      <c r="CA73" s="566">
        <v>3.8582641027350102E-90</v>
      </c>
      <c r="CB73" s="566">
        <v>0.59120221232947201</v>
      </c>
      <c r="CC73" s="566">
        <v>-2.98768751524316E-215</v>
      </c>
      <c r="CD73" s="566">
        <v>5.65737361804961E-28</v>
      </c>
      <c r="CE73" s="566">
        <v>2.4131109826544901E-25</v>
      </c>
      <c r="CF73" s="566">
        <v>5.9576765812524098E-15</v>
      </c>
      <c r="CG73" s="566">
        <v>-3.3539735954927998E-215</v>
      </c>
      <c r="CH73" s="566">
        <v>-6.90219344545648E-95</v>
      </c>
      <c r="CI73" s="566">
        <v>1.6864682274990401E-90</v>
      </c>
      <c r="CJ73" s="566">
        <v>5.5545355223707603E-15</v>
      </c>
      <c r="CK73" s="566">
        <v>-3.3539735815266399E-215</v>
      </c>
      <c r="CL73" s="566">
        <v>3.0135142274432599E-91</v>
      </c>
      <c r="CM73" s="566">
        <v>1.68522652691429E-90</v>
      </c>
      <c r="CN73" s="566">
        <v>5.9576765812524098E-15</v>
      </c>
      <c r="CO73" s="566">
        <v>-3.3539737528986898E-215</v>
      </c>
      <c r="CP73" s="566">
        <v>-6.9021934158336099E-95</v>
      </c>
      <c r="CQ73" s="566">
        <v>1.6864682267930499E-90</v>
      </c>
      <c r="CR73" s="566">
        <v>0.59128313514097397</v>
      </c>
      <c r="CS73" s="566">
        <v>-9.9631784048344702E-215</v>
      </c>
      <c r="CT73" s="566">
        <v>-9.2798041321496398E-101</v>
      </c>
      <c r="CU73" s="566">
        <v>-7.7990600499965498E-215</v>
      </c>
      <c r="CV73" s="566">
        <v>-1.58719568755845E-214</v>
      </c>
      <c r="CW73" s="566">
        <v>-9.4542944576940604E-101</v>
      </c>
      <c r="CX73" s="566">
        <v>-1.2422031636293299E-214</v>
      </c>
      <c r="CY73" s="566">
        <v>0.59128293026454404</v>
      </c>
      <c r="CZ73" s="566">
        <v>-1.2817367665826699E-214</v>
      </c>
      <c r="DA73" s="566">
        <v>-2.2823167679812499E-28</v>
      </c>
      <c r="DB73" s="566">
        <v>3.82814044040868E-23</v>
      </c>
      <c r="DC73" s="566">
        <v>0.59128365625490797</v>
      </c>
      <c r="DD73" s="566">
        <v>-1.28193864895277E-214</v>
      </c>
      <c r="DE73" s="566">
        <v>-3.5517347388895002E-25</v>
      </c>
      <c r="DF73" s="566">
        <v>5.8775585159873506E-20</v>
      </c>
      <c r="DG73" s="566">
        <v>0.59128375615897899</v>
      </c>
      <c r="DH73" s="566">
        <v>-1.28216388378022E-214</v>
      </c>
      <c r="DI73" s="566">
        <v>-3.5497482328475001E-25</v>
      </c>
      <c r="DJ73" s="566">
        <v>5.8779816906635901E-20</v>
      </c>
      <c r="DK73" s="566">
        <v>2.4524393009405E-13</v>
      </c>
      <c r="DL73" s="566">
        <v>-1.34226596776695E-214</v>
      </c>
      <c r="DM73" s="566">
        <v>-2.06240275538868E-94</v>
      </c>
      <c r="DN73" s="566">
        <v>1.7337098633958799E-90</v>
      </c>
      <c r="DO73" s="566">
        <v>0.59128313563694102</v>
      </c>
      <c r="DP73" s="566">
        <v>-4.8889640079449402E-214</v>
      </c>
      <c r="DQ73" s="566">
        <v>-4.10741548813006E-100</v>
      </c>
      <c r="DR73" s="566">
        <v>-8.3173181724387899E-213</v>
      </c>
      <c r="DS73" s="566">
        <v>-4.24818813448771E-213</v>
      </c>
      <c r="DT73" s="566">
        <v>-4.3312426412861299E-100</v>
      </c>
      <c r="DU73" s="566">
        <v>9.0816096643030901E-212</v>
      </c>
      <c r="DV73" s="566">
        <v>0.59128457589337402</v>
      </c>
      <c r="DW73" s="566">
        <v>-1.8807497112324E-213</v>
      </c>
      <c r="DX73" s="566">
        <v>-1.02755245930416E-24</v>
      </c>
      <c r="DY73" s="566">
        <v>1.3773717915955501E-18</v>
      </c>
      <c r="DZ73" s="566">
        <v>0.59128498306863397</v>
      </c>
      <c r="EA73" s="566">
        <v>-1.8810302841514099E-213</v>
      </c>
      <c r="EB73" s="566">
        <v>-1.35337687217168E-21</v>
      </c>
      <c r="EC73" s="566">
        <v>1.7915217648018102E-15</v>
      </c>
      <c r="ED73" s="566">
        <v>0.59128508306604199</v>
      </c>
      <c r="EE73" s="566">
        <v>-1.88134240870688E-213</v>
      </c>
      <c r="EF73" s="566">
        <v>-1.2712712761095599E-14</v>
      </c>
      <c r="EG73" s="566">
        <v>2.1026998486078998E-9</v>
      </c>
      <c r="EH73" s="566">
        <v>7.0992894264993605E-14</v>
      </c>
      <c r="EI73" s="566">
        <v>-2.5261618812886302E-213</v>
      </c>
      <c r="EJ73" s="566">
        <v>6.4311502210202797E-90</v>
      </c>
      <c r="EK73" s="566">
        <v>1.8117285849853501E-90</v>
      </c>
      <c r="EL73" s="566">
        <v>0.59128550318808304</v>
      </c>
      <c r="EM73" s="566">
        <v>-3.4651351770254098E-214</v>
      </c>
      <c r="EN73" s="566">
        <v>-2.4350280873506E-100</v>
      </c>
      <c r="EO73" s="566">
        <v>-2.3286087888478499E-214</v>
      </c>
      <c r="EP73" s="566">
        <v>-4.3338967046637801E-214</v>
      </c>
      <c r="EQ73" s="566">
        <v>-2.4594701848672602E-100</v>
      </c>
      <c r="ER73" s="566">
        <v>-2.9123682182174302E-214</v>
      </c>
      <c r="ES73" s="566">
        <v>0.59129184587684303</v>
      </c>
      <c r="ET73" s="566">
        <v>-3.9457014789757197E-214</v>
      </c>
      <c r="EU73" s="566">
        <v>3.1116311680752002E-33</v>
      </c>
      <c r="EV73" s="566">
        <v>3.4889032075877599E-24</v>
      </c>
      <c r="EW73" s="566">
        <v>0.59129187399498995</v>
      </c>
      <c r="EX73" s="566">
        <v>-3.9462951390182803E-214</v>
      </c>
      <c r="EY73" s="566">
        <v>5.6530384401258697E-30</v>
      </c>
      <c r="EZ73" s="566">
        <v>5.8624774789497203E-21</v>
      </c>
      <c r="FA73" s="566">
        <v>0.59129197401568201</v>
      </c>
      <c r="FB73" s="566">
        <v>-3.9469592431827202E-214</v>
      </c>
      <c r="FC73" s="566">
        <v>5.6535186943641697E-30</v>
      </c>
      <c r="FD73" s="566">
        <v>5.8632149899616502E-21</v>
      </c>
      <c r="FE73" s="566">
        <v>1.59377139279709E-11</v>
      </c>
      <c r="FF73" s="566">
        <v>-3.9931644474372202E-214</v>
      </c>
      <c r="FG73" s="566">
        <v>-1.0036174584591401E-94</v>
      </c>
      <c r="FH73" s="566">
        <v>1.7728419742275001E-90</v>
      </c>
    </row>
    <row r="74" spans="1:164" ht="12.75" customHeight="1" x14ac:dyDescent="0.3">
      <c r="A74" s="422"/>
      <c r="B74" s="422"/>
      <c r="C74" s="422"/>
      <c r="D74" s="422"/>
      <c r="E74" s="422"/>
      <c r="F74" s="568"/>
      <c r="G74" s="569"/>
      <c r="H74" s="439"/>
      <c r="I74" s="574">
        <v>4439222.0510864304</v>
      </c>
      <c r="J74" s="566">
        <v>0.55931329916353401</v>
      </c>
      <c r="K74" s="566">
        <v>9.33973242284879E-215</v>
      </c>
      <c r="L74" s="566">
        <v>2.7512508321913499E-101</v>
      </c>
      <c r="M74" s="566">
        <v>1.3881233805009001E-214</v>
      </c>
      <c r="N74" s="566">
        <v>1.48787701871047E-214</v>
      </c>
      <c r="O74" s="566">
        <v>2.8029832444540099E-101</v>
      </c>
      <c r="P74" s="566">
        <v>2.2113661449901599E-214</v>
      </c>
      <c r="Q74" s="566">
        <v>1.53290453273066E-16</v>
      </c>
      <c r="R74" s="566">
        <v>1.0612171859827401E-214</v>
      </c>
      <c r="S74" s="566">
        <v>1.01082540596818E-100</v>
      </c>
      <c r="T74" s="566">
        <v>-2.5662462253026699E-108</v>
      </c>
      <c r="U74" s="566">
        <v>8.7419211479075095E-18</v>
      </c>
      <c r="V74" s="566">
        <v>1.1025327483552301E-217</v>
      </c>
      <c r="W74" s="566">
        <v>-2.0397749312399501E-91</v>
      </c>
      <c r="X74" s="566">
        <v>-3.6289248131887301E-92</v>
      </c>
      <c r="Y74" s="566">
        <v>0.479418645153947</v>
      </c>
      <c r="Z74" s="566">
        <v>7.9303203115171305E-215</v>
      </c>
      <c r="AA74" s="566">
        <v>-2.88277260509014E-33</v>
      </c>
      <c r="AB74" s="566">
        <v>8.8598588198741394E-30</v>
      </c>
      <c r="AC74" s="566">
        <v>7.2372039697180703E-19</v>
      </c>
      <c r="AD74" s="566">
        <v>1.1840188175838801E-214</v>
      </c>
      <c r="AE74" s="566">
        <v>-7.6715375713355995E-89</v>
      </c>
      <c r="AF74" s="566">
        <v>-6.0925591884222997E-89</v>
      </c>
      <c r="AG74" s="566">
        <v>8.3642221892748796E-18</v>
      </c>
      <c r="AH74" s="566">
        <v>1.23011535768896E-217</v>
      </c>
      <c r="AI74" s="566">
        <v>-1.0303987427772701E-88</v>
      </c>
      <c r="AJ74" s="566">
        <v>-4.0238675052303797E-89</v>
      </c>
      <c r="AK74" s="566">
        <v>0.47773193145406501</v>
      </c>
      <c r="AL74" s="566">
        <v>7.9811036677555196E-215</v>
      </c>
      <c r="AM74" s="566">
        <v>-2.8847888818037399E-33</v>
      </c>
      <c r="AN74" s="566">
        <v>8.8542984970255299E-30</v>
      </c>
      <c r="AO74" s="566">
        <v>3.8381148252369102E-16</v>
      </c>
      <c r="AP74" s="566">
        <v>1.17248977152881E-214</v>
      </c>
      <c r="AQ74" s="566">
        <v>4.02822081219995E-94</v>
      </c>
      <c r="AR74" s="566">
        <v>-2.16492674993179E-89</v>
      </c>
      <c r="AS74" s="566">
        <v>1.08706290811769E-17</v>
      </c>
      <c r="AT74" s="566">
        <v>1.16880848019497E-216</v>
      </c>
      <c r="AU74" s="566">
        <v>-1.4336446864461101E-90</v>
      </c>
      <c r="AV74" s="566">
        <v>-2.06520222445586E-89</v>
      </c>
      <c r="AW74" s="566">
        <v>3.8381148252368998E-16</v>
      </c>
      <c r="AX74" s="566">
        <v>1.17248977338623E-214</v>
      </c>
      <c r="AY74" s="566">
        <v>4.0282208188214799E-94</v>
      </c>
      <c r="AZ74" s="566">
        <v>-2.1649267507295298E-89</v>
      </c>
      <c r="BA74" s="566">
        <v>0.57901752241672699</v>
      </c>
      <c r="BB74" s="566">
        <v>3.5131865187984102E-214</v>
      </c>
      <c r="BC74" s="566">
        <v>1.3495844188243299E-100</v>
      </c>
      <c r="BD74" s="566">
        <v>2.9730383134784898E-214</v>
      </c>
      <c r="BE74" s="566">
        <v>5.5967227259263003E-214</v>
      </c>
      <c r="BF74" s="566">
        <v>1.37496097128982E-100</v>
      </c>
      <c r="BG74" s="566">
        <v>4.7362332023347603E-214</v>
      </c>
      <c r="BH74" s="566">
        <v>2.29560633815483E-15</v>
      </c>
      <c r="BI74" s="566">
        <v>3.9126272513821901E-214</v>
      </c>
      <c r="BJ74" s="566">
        <v>7.6359896087269201E-100</v>
      </c>
      <c r="BK74" s="566">
        <v>4.0629075312450301E-109</v>
      </c>
      <c r="BL74" s="566">
        <v>4.9597823438313001E-15</v>
      </c>
      <c r="BM74" s="566">
        <v>3.9126045372952301E-214</v>
      </c>
      <c r="BN74" s="566">
        <v>-3.3890049596921901E-90</v>
      </c>
      <c r="BO74" s="566">
        <v>-2.8527150538449298E-91</v>
      </c>
      <c r="BP74" s="566">
        <v>0.57938423583188403</v>
      </c>
      <c r="BQ74" s="566">
        <v>3.9280319269527097E-214</v>
      </c>
      <c r="BR74" s="566">
        <v>-5.05735872128167E-29</v>
      </c>
      <c r="BS74" s="566">
        <v>3.50868612643329E-25</v>
      </c>
      <c r="BT74" s="566">
        <v>2.2714433635542801E-15</v>
      </c>
      <c r="BU74" s="566">
        <v>3.95827056322637E-214</v>
      </c>
      <c r="BV74" s="566">
        <v>-1.4886493515164601E-88</v>
      </c>
      <c r="BW74" s="566">
        <v>-6.3933104993203096E-89</v>
      </c>
      <c r="BX74" s="566">
        <v>4.9393062960527002E-15</v>
      </c>
      <c r="BY74" s="566">
        <v>3.9582469898739996E-214</v>
      </c>
      <c r="BZ74" s="566">
        <v>-1.2457356333745399E-87</v>
      </c>
      <c r="CA74" s="566">
        <v>-5.07358354309353E-89</v>
      </c>
      <c r="CB74" s="566">
        <v>0.57938415843147695</v>
      </c>
      <c r="CC74" s="566">
        <v>3.92872226846599E-214</v>
      </c>
      <c r="CD74" s="566">
        <v>-7.4147297849586906E-27</v>
      </c>
      <c r="CE74" s="566">
        <v>-2.83385373331163E-24</v>
      </c>
      <c r="CF74" s="566">
        <v>5.8385834157074801E-15</v>
      </c>
      <c r="CG74" s="566">
        <v>4.4103781233139503E-214</v>
      </c>
      <c r="CH74" s="566">
        <v>9.07630893974298E-94</v>
      </c>
      <c r="CI74" s="566">
        <v>-2.2176917875986101E-89</v>
      </c>
      <c r="CJ74" s="566">
        <v>5.44350090824726E-15</v>
      </c>
      <c r="CK74" s="566">
        <v>4.4103781889516002E-214</v>
      </c>
      <c r="CL74" s="566">
        <v>-3.9627423908321399E-90</v>
      </c>
      <c r="CM74" s="566">
        <v>-2.2160589622943401E-89</v>
      </c>
      <c r="CN74" s="566">
        <v>5.8385834157074801E-15</v>
      </c>
      <c r="CO74" s="566">
        <v>4.41037827434228E-214</v>
      </c>
      <c r="CP74" s="566">
        <v>9.07630893185753E-94</v>
      </c>
      <c r="CQ74" s="566">
        <v>-2.2176917883984899E-89</v>
      </c>
      <c r="CR74" s="566">
        <v>0.57946346360679601</v>
      </c>
      <c r="CS74" s="566">
        <v>1.3101290215691001E-213</v>
      </c>
      <c r="CT74" s="566">
        <v>1.2202812461332501E-99</v>
      </c>
      <c r="CU74" s="566">
        <v>1.02555377036769E-213</v>
      </c>
      <c r="CV74" s="566">
        <v>2.08711631942392E-213</v>
      </c>
      <c r="CW74" s="566">
        <v>1.24322647852653E-99</v>
      </c>
      <c r="CX74" s="566">
        <v>1.6334612435532799E-213</v>
      </c>
      <c r="CY74" s="566">
        <v>0.57946326282572103</v>
      </c>
      <c r="CZ74" s="566">
        <v>1.6854466665672999E-213</v>
      </c>
      <c r="DA74" s="566">
        <v>-1.71187172195115E-26</v>
      </c>
      <c r="DB74" s="566">
        <v>2.86565675964253E-21</v>
      </c>
      <c r="DC74" s="566">
        <v>0.57946397430362795</v>
      </c>
      <c r="DD74" s="566">
        <v>1.6857121662615199E-213</v>
      </c>
      <c r="DE74" s="566">
        <v>-2.6631138335988902E-23</v>
      </c>
      <c r="DF74" s="566">
        <v>4.3999764207314202E-18</v>
      </c>
      <c r="DG74" s="566">
        <v>0.57946407221063501</v>
      </c>
      <c r="DH74" s="566">
        <v>1.6860084264635499E-213</v>
      </c>
      <c r="DI74" s="566">
        <v>-2.6633475451561401E-23</v>
      </c>
      <c r="DJ74" s="566">
        <v>4.39996031856981E-18</v>
      </c>
      <c r="DK74" s="566">
        <v>2.4034153642309101E-13</v>
      </c>
      <c r="DL74" s="566">
        <v>1.7650408880100501E-213</v>
      </c>
      <c r="DM74" s="566">
        <v>2.71203708682335E-93</v>
      </c>
      <c r="DN74" s="566">
        <v>-2.2798141474312399E-89</v>
      </c>
      <c r="DO74" s="566">
        <v>0.57946346409284899</v>
      </c>
      <c r="DP74" s="566">
        <v>6.42884592577276E-213</v>
      </c>
      <c r="DQ74" s="566">
        <v>5.4011938415634702E-99</v>
      </c>
      <c r="DR74" s="566">
        <v>1.09370323632891E-211</v>
      </c>
      <c r="DS74" s="566">
        <v>5.5862451325207301E-212</v>
      </c>
      <c r="DT74" s="566">
        <v>5.6955234160832901E-99</v>
      </c>
      <c r="DU74" s="566">
        <v>-1.1942053160164301E-210</v>
      </c>
      <c r="DV74" s="566">
        <v>0.57946487555865001</v>
      </c>
      <c r="DW74" s="566">
        <v>2.4731316226616998E-212</v>
      </c>
      <c r="DX74" s="566">
        <v>-7.7042406918696798E-23</v>
      </c>
      <c r="DY74" s="566">
        <v>1.03111555383243E-16</v>
      </c>
      <c r="DZ74" s="566">
        <v>0.57946527459453401</v>
      </c>
      <c r="EA74" s="566">
        <v>2.4735004547696001E-212</v>
      </c>
      <c r="EB74" s="566">
        <v>-1.01437097513824E-19</v>
      </c>
      <c r="EC74" s="566">
        <v>1.34120600119004E-13</v>
      </c>
      <c r="ED74" s="566">
        <v>0.57946537259299002</v>
      </c>
      <c r="EE74" s="566">
        <v>2.4739108515221002E-212</v>
      </c>
      <c r="EF74" s="566">
        <v>-9.5245682882205804E-13</v>
      </c>
      <c r="EG74" s="566">
        <v>1.57423905727532E-7</v>
      </c>
      <c r="EH74" s="566">
        <v>6.9573733743514205E-14</v>
      </c>
      <c r="EI74" s="566">
        <v>3.3218302604488002E-212</v>
      </c>
      <c r="EJ74" s="566">
        <v>-8.4569027788748595E-89</v>
      </c>
      <c r="EK74" s="566">
        <v>-2.38240811807078E-89</v>
      </c>
      <c r="EL74" s="566">
        <v>0.57946578431694895</v>
      </c>
      <c r="EM74" s="566">
        <v>4.5565524581135703E-213</v>
      </c>
      <c r="EN74" s="566">
        <v>3.2020278311284599E-99</v>
      </c>
      <c r="EO74" s="566">
        <v>3.0620529233239399E-213</v>
      </c>
      <c r="EP74" s="566">
        <v>5.6989485589375398E-213</v>
      </c>
      <c r="EQ74" s="566">
        <v>3.2341688462843701E-99</v>
      </c>
      <c r="ER74" s="566">
        <v>3.82967954853368E-213</v>
      </c>
      <c r="ES74" s="566">
        <v>0.57947200021619005</v>
      </c>
      <c r="ET74" s="566">
        <v>5.1884830591751701E-213</v>
      </c>
      <c r="EU74" s="566">
        <v>1.9627211787737299E-31</v>
      </c>
      <c r="EV74" s="566">
        <v>2.6115585194956599E-22</v>
      </c>
      <c r="EW74" s="566">
        <v>0.57947202777226203</v>
      </c>
      <c r="EX74" s="566">
        <v>5.1892637100218299E-213</v>
      </c>
      <c r="EY74" s="566">
        <v>3.5659434608409101E-28</v>
      </c>
      <c r="EZ74" s="566">
        <v>4.38858352189467E-19</v>
      </c>
      <c r="FA74" s="566">
        <v>0.579472125793566</v>
      </c>
      <c r="FB74" s="566">
        <v>5.1901371535146403E-213</v>
      </c>
      <c r="FC74" s="566">
        <v>3.5659071332748599E-28</v>
      </c>
      <c r="FD74" s="566">
        <v>4.3885211028270203E-19</v>
      </c>
      <c r="FE74" s="566">
        <v>1.5619121138089499E-11</v>
      </c>
      <c r="FF74" s="566">
        <v>5.2508954953742E-213</v>
      </c>
      <c r="FG74" s="566">
        <v>1.3197441735803301E-93</v>
      </c>
      <c r="FH74" s="566">
        <v>-2.33127255138957E-89</v>
      </c>
    </row>
    <row r="75" spans="1:164" ht="12.75" customHeight="1" x14ac:dyDescent="0.3">
      <c r="A75" s="422"/>
      <c r="B75" s="422"/>
      <c r="C75" s="422"/>
      <c r="D75" s="422"/>
      <c r="E75" s="422"/>
      <c r="F75" s="568"/>
      <c r="G75" s="569"/>
      <c r="H75" s="439"/>
      <c r="I75" s="574">
        <v>4522980.9577107001</v>
      </c>
      <c r="J75" s="566">
        <v>0.54813265390091404</v>
      </c>
      <c r="K75" s="566">
        <v>-5.8795989446246902E-215</v>
      </c>
      <c r="L75" s="566">
        <v>-1.7319784334372499E-101</v>
      </c>
      <c r="M75" s="566">
        <v>-8.7385894055639798E-215</v>
      </c>
      <c r="N75" s="566">
        <v>-9.366563916883741E-215</v>
      </c>
      <c r="O75" s="566">
        <v>-1.7645452288909002E-101</v>
      </c>
      <c r="P75" s="566">
        <v>-1.39211116414427E-214</v>
      </c>
      <c r="Q75" s="566">
        <v>1.5022618467305899E-16</v>
      </c>
      <c r="R75" s="566">
        <v>-6.6806318730382697E-215</v>
      </c>
      <c r="S75" s="566">
        <v>-6.3633885434403206E-101</v>
      </c>
      <c r="T75" s="566">
        <v>1.61551430180149E-108</v>
      </c>
      <c r="U75" s="566">
        <v>8.5673090313502207E-18</v>
      </c>
      <c r="V75" s="566">
        <v>-6.9407238805596898E-218</v>
      </c>
      <c r="W75" s="566">
        <v>1.28408642133994E-91</v>
      </c>
      <c r="X75" s="566">
        <v>2.28449330147581E-92</v>
      </c>
      <c r="Y75" s="566">
        <v>0.46983509008442298</v>
      </c>
      <c r="Z75" s="566">
        <v>-4.9923382025622499E-215</v>
      </c>
      <c r="AA75" s="566">
        <v>1.5751028008376301E-33</v>
      </c>
      <c r="AB75" s="566">
        <v>-4.84000215924988E-30</v>
      </c>
      <c r="AC75" s="566">
        <v>7.0925325448768299E-19</v>
      </c>
      <c r="AD75" s="566">
        <v>-7.4536993081464496E-215</v>
      </c>
      <c r="AE75" s="566">
        <v>4.82941291173095E-89</v>
      </c>
      <c r="AF75" s="566">
        <v>3.8354089700992098E-89</v>
      </c>
      <c r="AG75" s="566">
        <v>8.1971621261012598E-18</v>
      </c>
      <c r="AH75" s="566">
        <v>-7.7438888250001598E-218</v>
      </c>
      <c r="AI75" s="566">
        <v>6.4866018277431296E-89</v>
      </c>
      <c r="AJ75" s="566">
        <v>2.5331190089733801E-89</v>
      </c>
      <c r="AK75" s="566">
        <v>0.46818209370820602</v>
      </c>
      <c r="AL75" s="566">
        <v>-5.0243076109047496E-215</v>
      </c>
      <c r="AM75" s="566">
        <v>1.5763735221070699E-33</v>
      </c>
      <c r="AN75" s="566">
        <v>-4.8367236172398597E-30</v>
      </c>
      <c r="AO75" s="566">
        <v>3.7613910991920299E-16</v>
      </c>
      <c r="AP75" s="566">
        <v>-7.3811210803392303E-215</v>
      </c>
      <c r="AQ75" s="566">
        <v>-2.5358605141391101E-94</v>
      </c>
      <c r="AR75" s="566">
        <v>1.36287217613672E-89</v>
      </c>
      <c r="AS75" s="566">
        <v>1.06536023698177E-17</v>
      </c>
      <c r="AT75" s="566">
        <v>-7.3579464189936005E-217</v>
      </c>
      <c r="AU75" s="566">
        <v>9.0251313806468102E-91</v>
      </c>
      <c r="AV75" s="566">
        <v>1.30009324773108E-89</v>
      </c>
      <c r="AW75" s="566">
        <v>3.7613910991920299E-16</v>
      </c>
      <c r="AX75" s="566">
        <v>-7.3811210946871396E-215</v>
      </c>
      <c r="AY75" s="566">
        <v>-2.53586051848604E-94</v>
      </c>
      <c r="AZ75" s="566">
        <v>1.3628721766021001E-89</v>
      </c>
      <c r="BA75" s="566">
        <v>0.56744299070316995</v>
      </c>
      <c r="BB75" s="566">
        <v>-2.2116401865383301E-214</v>
      </c>
      <c r="BC75" s="566">
        <v>-8.4959578392560695E-101</v>
      </c>
      <c r="BD75" s="566">
        <v>-1.87160316906028E-214</v>
      </c>
      <c r="BE75" s="566">
        <v>-3.5232791682548101E-214</v>
      </c>
      <c r="BF75" s="566">
        <v>-8.6557093251825497E-101</v>
      </c>
      <c r="BG75" s="566">
        <v>-2.9815791434377902E-214</v>
      </c>
      <c r="BH75" s="566">
        <v>2.24971728122046E-15</v>
      </c>
      <c r="BI75" s="566">
        <v>-2.46309826859411E-214</v>
      </c>
      <c r="BJ75" s="566">
        <v>-4.8070387334731103E-100</v>
      </c>
      <c r="BK75" s="566">
        <v>-2.5576988652208202E-109</v>
      </c>
      <c r="BL75" s="566">
        <v>4.86063669724181E-15</v>
      </c>
      <c r="BM75" s="566">
        <v>-2.4630839799891902E-214</v>
      </c>
      <c r="BN75" s="566">
        <v>2.13345848299653E-90</v>
      </c>
      <c r="BO75" s="566">
        <v>1.7958511508457801E-91</v>
      </c>
      <c r="BP75" s="566">
        <v>0.56780237353542395</v>
      </c>
      <c r="BQ75" s="566">
        <v>-2.4727959036165501E-214</v>
      </c>
      <c r="BR75" s="566">
        <v>2.76319490663174E-29</v>
      </c>
      <c r="BS75" s="566">
        <v>-1.9167616322210601E-25</v>
      </c>
      <c r="BT75" s="566">
        <v>2.2260373266392E-15</v>
      </c>
      <c r="BU75" s="566">
        <v>-2.4918318887874999E-214</v>
      </c>
      <c r="BV75" s="566">
        <v>9.3713969767890998E-89</v>
      </c>
      <c r="BW75" s="566">
        <v>4.02473897662602E-89</v>
      </c>
      <c r="BX75" s="566">
        <v>4.8405699694201499E-15</v>
      </c>
      <c r="BY75" s="566">
        <v>-2.4918170562770802E-214</v>
      </c>
      <c r="BZ75" s="566">
        <v>7.8421986926898996E-88</v>
      </c>
      <c r="CA75" s="566">
        <v>3.1939400927984001E-89</v>
      </c>
      <c r="CB75" s="566">
        <v>0.56780229768225998</v>
      </c>
      <c r="CC75" s="566">
        <v>-2.47323046510596E-214</v>
      </c>
      <c r="CD75" s="566">
        <v>4.6694923143800398E-27</v>
      </c>
      <c r="CE75" s="566">
        <v>1.8079991146253699E-24</v>
      </c>
      <c r="CF75" s="566">
        <v>5.72187042121044E-15</v>
      </c>
      <c r="CG75" s="566">
        <v>-2.7764451070660199E-214</v>
      </c>
      <c r="CH75" s="566">
        <v>-5.71375168529204E-94</v>
      </c>
      <c r="CI75" s="566">
        <v>1.39608900543104E-89</v>
      </c>
      <c r="CJ75" s="566">
        <v>5.3346858705847201E-15</v>
      </c>
      <c r="CK75" s="566">
        <v>-2.7764451356642401E-214</v>
      </c>
      <c r="CL75" s="566">
        <v>2.4946397844017099E-90</v>
      </c>
      <c r="CM75" s="566">
        <v>1.39506110318904E-89</v>
      </c>
      <c r="CN75" s="566">
        <v>5.72187042121044E-15</v>
      </c>
      <c r="CO75" s="566">
        <v>-2.7764451688317198E-214</v>
      </c>
      <c r="CP75" s="566">
        <v>-5.7137516825111696E-94</v>
      </c>
      <c r="CQ75" s="566">
        <v>1.3960890058517201E-89</v>
      </c>
      <c r="CR75" s="566">
        <v>0.56788001755081696</v>
      </c>
      <c r="CS75" s="566">
        <v>-8.2475950370530402E-214</v>
      </c>
      <c r="CT75" s="566">
        <v>-7.6819633284500402E-100</v>
      </c>
      <c r="CU75" s="566">
        <v>-6.4561215408801996E-214</v>
      </c>
      <c r="CV75" s="566">
        <v>-1.3138927493204801E-213</v>
      </c>
      <c r="CW75" s="566">
        <v>-7.8264090740223304E-100</v>
      </c>
      <c r="CX75" s="566">
        <v>-1.02830536181047E-213</v>
      </c>
      <c r="CY75" s="566">
        <v>0.56787982078356503</v>
      </c>
      <c r="CZ75" s="566">
        <v>-1.0610314953927899E-213</v>
      </c>
      <c r="DA75" s="566">
        <v>9.3525172566469295E-27</v>
      </c>
      <c r="DB75" s="566">
        <v>-1.56553197229062E-21</v>
      </c>
      <c r="DC75" s="566">
        <v>0.56788051803907602</v>
      </c>
      <c r="DD75" s="566">
        <v>-1.0611986417005101E-213</v>
      </c>
      <c r="DE75" s="566">
        <v>1.45493708292E-23</v>
      </c>
      <c r="DF75" s="566">
        <v>-2.40374840433461E-18</v>
      </c>
      <c r="DG75" s="566">
        <v>0.56788061398891598</v>
      </c>
      <c r="DH75" s="566">
        <v>-1.06138515102622E-213</v>
      </c>
      <c r="DI75" s="566">
        <v>1.45508292463986E-23</v>
      </c>
      <c r="DJ75" s="566">
        <v>-2.4037301275872399E-18</v>
      </c>
      <c r="DK75" s="566">
        <v>2.3553712096461698E-13</v>
      </c>
      <c r="DL75" s="566">
        <v>-1.1111380891179401E-213</v>
      </c>
      <c r="DM75" s="566">
        <v>-1.7072916513212299E-93</v>
      </c>
      <c r="DN75" s="566">
        <v>1.43519648793954E-89</v>
      </c>
      <c r="DO75" s="566">
        <v>0.56788001802715304</v>
      </c>
      <c r="DP75" s="566">
        <v>-4.0471218574429602E-213</v>
      </c>
      <c r="DQ75" s="566">
        <v>-3.4001811588093299E-99</v>
      </c>
      <c r="DR75" s="566">
        <v>-6.8851397706435505E-212</v>
      </c>
      <c r="DS75" s="566">
        <v>-3.5166832025799401E-212</v>
      </c>
      <c r="DT75" s="566">
        <v>-3.5854686910161201E-99</v>
      </c>
      <c r="DU75" s="566">
        <v>7.5178259212799796E-211</v>
      </c>
      <c r="DV75" s="566">
        <v>0.56788140127803799</v>
      </c>
      <c r="DW75" s="566">
        <v>-1.5568991772964999E-212</v>
      </c>
      <c r="DX75" s="566">
        <v>4.2090479585906901E-23</v>
      </c>
      <c r="DY75" s="566">
        <v>-5.6330828919918796E-17</v>
      </c>
      <c r="DZ75" s="566">
        <v>0.56788179233720804</v>
      </c>
      <c r="EA75" s="566">
        <v>-1.55713135621986E-212</v>
      </c>
      <c r="EB75" s="566">
        <v>5.5417635887120197E-20</v>
      </c>
      <c r="EC75" s="566">
        <v>-7.3271518314762006E-14</v>
      </c>
      <c r="ED75" s="566">
        <v>0.56788188837671705</v>
      </c>
      <c r="EE75" s="566">
        <v>-1.55738971160012E-212</v>
      </c>
      <c r="EF75" s="566">
        <v>5.2034715041627205E-13</v>
      </c>
      <c r="EG75" s="566">
        <v>-8.6002569855883003E-8</v>
      </c>
      <c r="EH75" s="566">
        <v>6.8182991145246197E-14</v>
      </c>
      <c r="EI75" s="566">
        <v>-2.0911765385827501E-212</v>
      </c>
      <c r="EJ75" s="566">
        <v>5.3238195190523402E-89</v>
      </c>
      <c r="EK75" s="566">
        <v>1.4997817991321999E-89</v>
      </c>
      <c r="EL75" s="566">
        <v>0.56788229187010797</v>
      </c>
      <c r="EM75" s="566">
        <v>-2.8684655524953099E-213</v>
      </c>
      <c r="EN75" s="566">
        <v>-2.01575337302764E-99</v>
      </c>
      <c r="EO75" s="566">
        <v>-1.92764010924927E-213</v>
      </c>
      <c r="EP75" s="566">
        <v>-3.58763292469892E-213</v>
      </c>
      <c r="EQ75" s="566">
        <v>-2.03598691368836E-99</v>
      </c>
      <c r="ER75" s="566">
        <v>-2.4108805593486101E-213</v>
      </c>
      <c r="ES75" s="566">
        <v>0.56788838351385496</v>
      </c>
      <c r="ET75" s="566">
        <v>-3.2662819091775799E-213</v>
      </c>
      <c r="EU75" s="566">
        <v>-1.06838566308377E-31</v>
      </c>
      <c r="EV75" s="566">
        <v>-1.4267147166222899E-22</v>
      </c>
      <c r="EW75" s="566">
        <v>0.56788841051907302</v>
      </c>
      <c r="EX75" s="566">
        <v>-3.2667733721222E-213</v>
      </c>
      <c r="EY75" s="566">
        <v>-1.94108704847412E-28</v>
      </c>
      <c r="EZ75" s="566">
        <v>-2.39752418325526E-19</v>
      </c>
      <c r="FA75" s="566">
        <v>0.56788850658091095</v>
      </c>
      <c r="FB75" s="566">
        <v>-3.2673232161296599E-213</v>
      </c>
      <c r="FC75" s="566">
        <v>-1.94105791299213E-28</v>
      </c>
      <c r="FD75" s="566">
        <v>-2.3974771153641502E-19</v>
      </c>
      <c r="FE75" s="566">
        <v>1.53068956769387E-11</v>
      </c>
      <c r="FF75" s="566">
        <v>-3.3055721384802298E-213</v>
      </c>
      <c r="FG75" s="566">
        <v>-8.3081047517548204E-94</v>
      </c>
      <c r="FH75" s="566">
        <v>1.4675907605139899E-89</v>
      </c>
    </row>
    <row r="76" spans="1:164" ht="12.75" customHeight="1" x14ac:dyDescent="0.3">
      <c r="A76" s="422"/>
      <c r="B76" s="422"/>
      <c r="C76" s="422"/>
      <c r="D76" s="422"/>
      <c r="E76" s="422"/>
      <c r="F76" s="568"/>
      <c r="G76" s="569"/>
      <c r="H76" s="439"/>
      <c r="I76" s="574">
        <v>4606739.8643349698</v>
      </c>
      <c r="J76" s="566">
        <v>0.537175453728994</v>
      </c>
      <c r="K76" s="566">
        <v>1.9168490060969601E-214</v>
      </c>
      <c r="L76" s="566">
        <v>5.6465416716170501E-101</v>
      </c>
      <c r="M76" s="566">
        <v>2.84892842379818E-214</v>
      </c>
      <c r="N76" s="566">
        <v>3.0536587669661299E-214</v>
      </c>
      <c r="O76" s="566">
        <v>5.7527149146547894E-101</v>
      </c>
      <c r="P76" s="566">
        <v>4.5385186530171496E-214</v>
      </c>
      <c r="Q76" s="566">
        <v>1.47223155452285E-16</v>
      </c>
      <c r="R76" s="566">
        <v>2.17799934116049E-214</v>
      </c>
      <c r="S76" s="566">
        <v>2.0745719403998399E-100</v>
      </c>
      <c r="T76" s="566">
        <v>-5.2668493181624498E-108</v>
      </c>
      <c r="U76" s="566">
        <v>8.3958187090084402E-18</v>
      </c>
      <c r="V76" s="566">
        <v>2.2627937359064099E-217</v>
      </c>
      <c r="W76" s="566">
        <v>-4.1863377888606099E-91</v>
      </c>
      <c r="X76" s="566">
        <v>-7.4478323241474402E-92</v>
      </c>
      <c r="Y76" s="566">
        <v>0.46044306227253201</v>
      </c>
      <c r="Z76" s="566">
        <v>1.62758695128948E-214</v>
      </c>
      <c r="AA76" s="566">
        <v>-5.4119904246048303E-33</v>
      </c>
      <c r="AB76" s="566">
        <v>1.66312379650472E-29</v>
      </c>
      <c r="AC76" s="566">
        <v>6.9507525749401298E-19</v>
      </c>
      <c r="AD76" s="566">
        <v>2.43003245296445E-214</v>
      </c>
      <c r="AE76" s="566">
        <v>-1.5744698235513399E-88</v>
      </c>
      <c r="AF76" s="566">
        <v>-1.25040782265731E-88</v>
      </c>
      <c r="AG76" s="566">
        <v>8.0330679619673605E-18</v>
      </c>
      <c r="AH76" s="566">
        <v>2.5246391366557898E-217</v>
      </c>
      <c r="AI76" s="566">
        <v>-2.1147412765011201E-88</v>
      </c>
      <c r="AJ76" s="566">
        <v>-8.2583939504375203E-89</v>
      </c>
      <c r="AK76" s="566">
        <v>0.45882310937958098</v>
      </c>
      <c r="AL76" s="566">
        <v>1.63800952077005E-214</v>
      </c>
      <c r="AM76" s="566">
        <v>-5.4161235654442499E-33</v>
      </c>
      <c r="AN76" s="566">
        <v>1.6620268613662401E-29</v>
      </c>
      <c r="AO76" s="566">
        <v>3.6862006960930401E-16</v>
      </c>
      <c r="AP76" s="566">
        <v>2.4063707068715299E-214</v>
      </c>
      <c r="AQ76" s="566">
        <v>8.2673322050572899E-94</v>
      </c>
      <c r="AR76" s="566">
        <v>-4.4431924763338997E-89</v>
      </c>
      <c r="AS76" s="566">
        <v>1.0440178035710099E-17</v>
      </c>
      <c r="AT76" s="566">
        <v>2.3988153714504399E-216</v>
      </c>
      <c r="AU76" s="566">
        <v>-2.94234468427567E-90</v>
      </c>
      <c r="AV76" s="566">
        <v>-4.2385226130381001E-89</v>
      </c>
      <c r="AW76" s="566">
        <v>3.6862006960930401E-16</v>
      </c>
      <c r="AX76" s="566">
        <v>2.40637071101596E-214</v>
      </c>
      <c r="AY76" s="566">
        <v>8.2673322190807401E-94</v>
      </c>
      <c r="AZ76" s="566">
        <v>-4.4431924778936401E-89</v>
      </c>
      <c r="BA76" s="566">
        <v>0.55609977589734105</v>
      </c>
      <c r="BB76" s="566">
        <v>7.2103222808071696E-214</v>
      </c>
      <c r="BC76" s="566">
        <v>2.7698254813541901E-100</v>
      </c>
      <c r="BD76" s="566">
        <v>6.10174389876993E-214</v>
      </c>
      <c r="BE76" s="566">
        <v>1.14864879328486E-213</v>
      </c>
      <c r="BF76" s="566">
        <v>2.8219071595822399E-100</v>
      </c>
      <c r="BG76" s="566">
        <v>9.7204539383538198E-214</v>
      </c>
      <c r="BH76" s="566">
        <v>2.2047453152331702E-15</v>
      </c>
      <c r="BI76" s="566">
        <v>8.0301183189385698E-214</v>
      </c>
      <c r="BJ76" s="566">
        <v>1.5671756651628699E-99</v>
      </c>
      <c r="BK76" s="566">
        <v>8.3385300034538597E-109</v>
      </c>
      <c r="BL76" s="566">
        <v>4.7634720561816502E-15</v>
      </c>
      <c r="BM76" s="566">
        <v>8.0300717090827999E-214</v>
      </c>
      <c r="BN76" s="566">
        <v>-6.9554335947654598E-90</v>
      </c>
      <c r="BO76" s="566">
        <v>-5.8547767953639596E-91</v>
      </c>
      <c r="BP76" s="566">
        <v>0.55645197464779095</v>
      </c>
      <c r="BQ76" s="566">
        <v>8.0617342499384403E-214</v>
      </c>
      <c r="BR76" s="566">
        <v>-9.49432326217705E-29</v>
      </c>
      <c r="BS76" s="566">
        <v>6.5863600153071899E-25</v>
      </c>
      <c r="BT76" s="566">
        <v>2.1815387186232399E-15</v>
      </c>
      <c r="BU76" s="566">
        <v>8.1237948016720405E-214</v>
      </c>
      <c r="BV76" s="566">
        <v>-3.0552330090110802E-88</v>
      </c>
      <c r="BW76" s="566">
        <v>-1.3121325887192801E-88</v>
      </c>
      <c r="BX76" s="566">
        <v>4.74380645538446E-15</v>
      </c>
      <c r="BY76" s="566">
        <v>8.1237464237060106E-214</v>
      </c>
      <c r="BZ76" s="566">
        <v>-2.55668868095005E-87</v>
      </c>
      <c r="CA76" s="566">
        <v>-1.04127819149314E-88</v>
      </c>
      <c r="CB76" s="566">
        <v>0.55645190031091096</v>
      </c>
      <c r="CC76" s="566">
        <v>8.0631510590097004E-214</v>
      </c>
      <c r="CD76" s="566">
        <v>-1.52213126743472E-26</v>
      </c>
      <c r="CE76" s="566">
        <v>-5.8666301156619902E-24</v>
      </c>
      <c r="CF76" s="566">
        <v>5.6074899348144898E-15</v>
      </c>
      <c r="CG76" s="566">
        <v>9.0516821458869598E-214</v>
      </c>
      <c r="CH76" s="566">
        <v>1.86277924426172E-93</v>
      </c>
      <c r="CI76" s="566">
        <v>-4.5514849250384802E-89</v>
      </c>
      <c r="CJ76" s="566">
        <v>5.2280447645484098E-15</v>
      </c>
      <c r="CK76" s="566">
        <v>9.0516822590459007E-214</v>
      </c>
      <c r="CL76" s="566">
        <v>-8.1329454363143195E-90</v>
      </c>
      <c r="CM76" s="566">
        <v>-4.5481337914981199E-89</v>
      </c>
      <c r="CN76" s="566">
        <v>5.6074899348144898E-15</v>
      </c>
      <c r="CO76" s="566">
        <v>9.0516824144758094E-214</v>
      </c>
      <c r="CP76" s="566">
        <v>1.862779242765E-93</v>
      </c>
      <c r="CQ76" s="566">
        <v>-4.5514849264752797E-89</v>
      </c>
      <c r="CR76" s="566">
        <v>0.55652806655569897</v>
      </c>
      <c r="CS76" s="566">
        <v>2.68885594568683E-213</v>
      </c>
      <c r="CT76" s="566">
        <v>2.50444954942066E-99</v>
      </c>
      <c r="CU76" s="566">
        <v>2.1048051811287602E-213</v>
      </c>
      <c r="CV76" s="566">
        <v>4.2835133250298503E-213</v>
      </c>
      <c r="CW76" s="566">
        <v>2.5515412975392301E-99</v>
      </c>
      <c r="CX76" s="566">
        <v>3.3524499571975498E-213</v>
      </c>
      <c r="CY76" s="566">
        <v>0.556527873721402</v>
      </c>
      <c r="CZ76" s="566">
        <v>3.4591427338621698E-213</v>
      </c>
      <c r="DA76" s="566">
        <v>-3.2136101803090401E-26</v>
      </c>
      <c r="DB76" s="566">
        <v>5.3794042914324199E-21</v>
      </c>
      <c r="DC76" s="566">
        <v>0.55652855703871296</v>
      </c>
      <c r="DD76" s="566">
        <v>3.45968764308261E-213</v>
      </c>
      <c r="DE76" s="566">
        <v>-4.9993127977397599E-23</v>
      </c>
      <c r="DF76" s="566">
        <v>8.2596422471912994E-18</v>
      </c>
      <c r="DG76" s="566">
        <v>0.55652865107053195</v>
      </c>
      <c r="DH76" s="566">
        <v>3.4602956790471403E-213</v>
      </c>
      <c r="DI76" s="566">
        <v>-4.9997824487938797E-23</v>
      </c>
      <c r="DJ76" s="566">
        <v>8.2595800024884795E-18</v>
      </c>
      <c r="DK76" s="566">
        <v>2.3082872170407902E-13</v>
      </c>
      <c r="DL76" s="566">
        <v>3.6224987105484399E-213</v>
      </c>
      <c r="DM76" s="566">
        <v>5.5660582165731297E-93</v>
      </c>
      <c r="DN76" s="566">
        <v>-4.6789818950807201E-89</v>
      </c>
      <c r="DO76" s="566">
        <v>0.55652806702251401</v>
      </c>
      <c r="DP76" s="566">
        <v>1.31943040116957E-212</v>
      </c>
      <c r="DQ76" s="566">
        <v>1.10851637889286E-98</v>
      </c>
      <c r="DR76" s="566">
        <v>2.2446723963199498E-211</v>
      </c>
      <c r="DS76" s="566">
        <v>1.1464983898793701E-211</v>
      </c>
      <c r="DT76" s="566">
        <v>1.16892323785444E-98</v>
      </c>
      <c r="DU76" s="566">
        <v>-2.4509388250988199E-210</v>
      </c>
      <c r="DV76" s="566">
        <v>0.55652942262171601</v>
      </c>
      <c r="DW76" s="566">
        <v>5.0757554797359797E-212</v>
      </c>
      <c r="DX76" s="566">
        <v>-1.4462727350715199E-22</v>
      </c>
      <c r="DY76" s="566">
        <v>1.9356122749219899E-16</v>
      </c>
      <c r="DZ76" s="566">
        <v>0.55652980586360401</v>
      </c>
      <c r="EA76" s="566">
        <v>5.0765124483561002E-212</v>
      </c>
      <c r="EB76" s="566">
        <v>-1.90421401781813E-19</v>
      </c>
      <c r="EC76" s="566">
        <v>2.5177198339664802E-13</v>
      </c>
      <c r="ED76" s="566">
        <v>0.55652989998320601</v>
      </c>
      <c r="EE76" s="566">
        <v>5.0773547324210397E-212</v>
      </c>
      <c r="EF76" s="566">
        <v>-1.78797980172139E-12</v>
      </c>
      <c r="EG76" s="566">
        <v>2.95517783715003E-7</v>
      </c>
      <c r="EH76" s="566">
        <v>6.6819955116769502E-14</v>
      </c>
      <c r="EI76" s="566">
        <v>6.81759028926502E-212</v>
      </c>
      <c r="EJ76" s="566">
        <v>-1.7356547289999401E-88</v>
      </c>
      <c r="EK76" s="566">
        <v>-4.8895408706615002E-89</v>
      </c>
      <c r="EL76" s="566">
        <v>0.55653029541119203</v>
      </c>
      <c r="EM76" s="566">
        <v>9.3516844325638203E-213</v>
      </c>
      <c r="EN76" s="566">
        <v>6.5716958158328501E-99</v>
      </c>
      <c r="EO76" s="566">
        <v>6.2844338796945306E-213</v>
      </c>
      <c r="EP76" s="566">
        <v>1.16962921077055E-212</v>
      </c>
      <c r="EQ76" s="566">
        <v>6.6376605690751598E-99</v>
      </c>
      <c r="ER76" s="566">
        <v>7.8598797818576096E-213</v>
      </c>
      <c r="ES76" s="566">
        <v>0.55653626528261302</v>
      </c>
      <c r="ET76" s="566">
        <v>1.0648633294384E-212</v>
      </c>
      <c r="EU76" s="566">
        <v>3.6778451349484198E-31</v>
      </c>
      <c r="EV76" s="566">
        <v>4.9024103436861402E-22</v>
      </c>
      <c r="EW76" s="566">
        <v>0.556536291748015</v>
      </c>
      <c r="EX76" s="566">
        <v>1.0650235501621301E-212</v>
      </c>
      <c r="EY76" s="566">
        <v>6.6820589208832996E-28</v>
      </c>
      <c r="EZ76" s="566">
        <v>8.2382576199784304E-19</v>
      </c>
      <c r="FA76" s="566">
        <v>0.55653638588962195</v>
      </c>
      <c r="FB76" s="566">
        <v>1.0652028098270699E-212</v>
      </c>
      <c r="FC76" s="566">
        <v>6.6819614463082103E-28</v>
      </c>
      <c r="FD76" s="566">
        <v>8.2381011191615705E-19</v>
      </c>
      <c r="FE76" s="566">
        <v>1.5000910038701602E-11</v>
      </c>
      <c r="FF76" s="566">
        <v>1.07767260798716E-212</v>
      </c>
      <c r="FG76" s="566">
        <v>2.70858213164844E-93</v>
      </c>
      <c r="FH76" s="566">
        <v>-4.7845926708195698E-89</v>
      </c>
    </row>
    <row r="77" spans="1:164" ht="12.75" customHeight="1" x14ac:dyDescent="0.3">
      <c r="A77" s="422"/>
      <c r="B77" s="422"/>
      <c r="C77" s="422"/>
      <c r="D77" s="422"/>
      <c r="E77" s="422"/>
      <c r="F77" s="568"/>
      <c r="G77" s="569"/>
      <c r="H77" s="439"/>
      <c r="I77" s="574">
        <v>4690498.7709592497</v>
      </c>
      <c r="J77" s="566">
        <v>0.52643726843564198</v>
      </c>
      <c r="K77" s="566">
        <v>-5.5861679931866697E-215</v>
      </c>
      <c r="L77" s="566">
        <v>-1.6455359798879899E-101</v>
      </c>
      <c r="M77" s="566">
        <v>-8.3024759544429699E-215</v>
      </c>
      <c r="N77" s="566">
        <v>-8.8991103717837499E-215</v>
      </c>
      <c r="O77" s="566">
        <v>-1.6764773775932601E-101</v>
      </c>
      <c r="P77" s="566">
        <v>-1.32263561576881E-214</v>
      </c>
      <c r="Q77" s="566">
        <v>1.4428015142679299E-16</v>
      </c>
      <c r="R77" s="566">
        <v>-6.3472241019663904E-215</v>
      </c>
      <c r="S77" s="566">
        <v>-6.0457939910393303E-101</v>
      </c>
      <c r="T77" s="566">
        <v>1.5348854968942499E-108</v>
      </c>
      <c r="U77" s="566">
        <v>8.2282096602928103E-18</v>
      </c>
      <c r="V77" s="566">
        <v>-6.5943357572330896E-218</v>
      </c>
      <c r="W77" s="566">
        <v>1.2199969452188299E-91</v>
      </c>
      <c r="X77" s="566">
        <v>2.1704723494074701E-92</v>
      </c>
      <c r="Y77" s="566">
        <v>0.451238764337413</v>
      </c>
      <c r="Z77" s="566">
        <v>-4.7431874418150703E-215</v>
      </c>
      <c r="AA77" s="566">
        <v>1.5775741427423301E-33</v>
      </c>
      <c r="AB77" s="566">
        <v>-4.8479428596962901E-30</v>
      </c>
      <c r="AC77" s="566">
        <v>6.81180628964974E-19</v>
      </c>
      <c r="AD77" s="566">
        <v>-7.0817103869331605E-215</v>
      </c>
      <c r="AE77" s="566">
        <v>4.5883729772834502E-89</v>
      </c>
      <c r="AF77" s="566">
        <v>3.6439805820472002E-89</v>
      </c>
      <c r="AG77" s="566">
        <v>7.8727133597531205E-18</v>
      </c>
      <c r="AH77" s="566">
        <v>-7.3574174569018199E-218</v>
      </c>
      <c r="AI77" s="566">
        <v>6.1628501910220701E-89</v>
      </c>
      <c r="AJ77" s="566">
        <v>2.4066889677793499E-89</v>
      </c>
      <c r="AK77" s="566">
        <v>0.44965119444746598</v>
      </c>
      <c r="AL77" s="566">
        <v>-4.7735613646576596E-215</v>
      </c>
      <c r="AM77" s="566">
        <v>1.5787721810348298E-33</v>
      </c>
      <c r="AN77" s="566">
        <v>-4.8447259463739899E-30</v>
      </c>
      <c r="AO77" s="566">
        <v>3.6125132149757898E-16</v>
      </c>
      <c r="AP77" s="566">
        <v>-7.0127542556821202E-215</v>
      </c>
      <c r="AQ77" s="566">
        <v>-2.4092949935125899E-94</v>
      </c>
      <c r="AR77" s="566">
        <v>1.2948500978385699E-89</v>
      </c>
      <c r="AS77" s="566">
        <v>1.02319257185048E-17</v>
      </c>
      <c r="AT77" s="566">
        <v>-6.9907361553029703E-217</v>
      </c>
      <c r="AU77" s="566">
        <v>8.5746819958114305E-91</v>
      </c>
      <c r="AV77" s="566">
        <v>1.2352045177225199E-89</v>
      </c>
      <c r="AW77" s="566">
        <v>3.6125132149757898E-16</v>
      </c>
      <c r="AX77" s="566">
        <v>-7.0127542677082499E-215</v>
      </c>
      <c r="AY77" s="566">
        <v>-2.4092949976002399E-94</v>
      </c>
      <c r="AZ77" s="566">
        <v>1.2948500982931899E-89</v>
      </c>
      <c r="BA77" s="566">
        <v>0.54498329171377402</v>
      </c>
      <c r="BB77" s="566">
        <v>-2.1012647022154499E-214</v>
      </c>
      <c r="BC77" s="566">
        <v>-8.0719274781941903E-101</v>
      </c>
      <c r="BD77" s="566">
        <v>-1.7781977804258501E-214</v>
      </c>
      <c r="BE77" s="566">
        <v>-3.3474442204792402E-214</v>
      </c>
      <c r="BF77" s="566">
        <v>-8.2237058240413198E-101</v>
      </c>
      <c r="BG77" s="566">
        <v>-2.83277861313269E-214</v>
      </c>
      <c r="BH77" s="566">
        <v>2.16067226035192E-15</v>
      </c>
      <c r="BI77" s="566">
        <v>-2.3401733685456302E-214</v>
      </c>
      <c r="BJ77" s="566">
        <v>-4.5671210695823998E-100</v>
      </c>
      <c r="BK77" s="566">
        <v>-2.43004642553471E-109</v>
      </c>
      <c r="BL77" s="566">
        <v>4.6682500798410698E-15</v>
      </c>
      <c r="BM77" s="566">
        <v>-2.3401597849712601E-214</v>
      </c>
      <c r="BN77" s="566">
        <v>2.0269762903372399E-90</v>
      </c>
      <c r="BO77" s="566">
        <v>1.7062188734556599E-91</v>
      </c>
      <c r="BP77" s="566">
        <v>0.54532844998005903</v>
      </c>
      <c r="BQ77" s="566">
        <v>-2.34938702593799E-214</v>
      </c>
      <c r="BR77" s="566">
        <v>2.76756214109294E-29</v>
      </c>
      <c r="BS77" s="566">
        <v>-1.91990151914393E-25</v>
      </c>
      <c r="BT77" s="566">
        <v>2.1379295711025701E-15</v>
      </c>
      <c r="BU77" s="566">
        <v>-2.36747299247618E-214</v>
      </c>
      <c r="BV77" s="566">
        <v>8.9036629136131504E-89</v>
      </c>
      <c r="BW77" s="566">
        <v>3.8238609734490302E-89</v>
      </c>
      <c r="BX77" s="566">
        <v>4.6489776038841599E-15</v>
      </c>
      <c r="BY77" s="566">
        <v>-2.3674588936711699E-214</v>
      </c>
      <c r="BZ77" s="566">
        <v>7.4507889402877504E-88</v>
      </c>
      <c r="CA77" s="566">
        <v>3.0345282149195201E-89</v>
      </c>
      <c r="CB77" s="566">
        <v>0.54532837712920201</v>
      </c>
      <c r="CC77" s="566">
        <v>-2.3497999196105201E-214</v>
      </c>
      <c r="CD77" s="566">
        <v>4.4358429501536401E-27</v>
      </c>
      <c r="CE77" s="566">
        <v>1.70963458362061E-24</v>
      </c>
      <c r="CF77" s="566">
        <v>5.49539571023122E-15</v>
      </c>
      <c r="CG77" s="566">
        <v>-2.6378821150263399E-214</v>
      </c>
      <c r="CH77" s="566">
        <v>-5.4285767112166095E-94</v>
      </c>
      <c r="CI77" s="566">
        <v>1.32640904751734E-89</v>
      </c>
      <c r="CJ77" s="566">
        <v>5.1235361311782201E-15</v>
      </c>
      <c r="CK77" s="566">
        <v>-2.6378821481344102E-214</v>
      </c>
      <c r="CL77" s="566">
        <v>2.3701309087917099E-90</v>
      </c>
      <c r="CM77" s="566">
        <v>1.3254324488362999E-89</v>
      </c>
      <c r="CN77" s="566">
        <v>5.49539571023122E-15</v>
      </c>
      <c r="CO77" s="566">
        <v>-2.6378821939561798E-214</v>
      </c>
      <c r="CP77" s="566">
        <v>-5.4285767067805296E-94</v>
      </c>
      <c r="CQ77" s="566">
        <v>1.32640904793556E-89</v>
      </c>
      <c r="CR77" s="566">
        <v>0.54540302080357494</v>
      </c>
      <c r="CS77" s="566">
        <v>-7.8359855073775305E-214</v>
      </c>
      <c r="CT77" s="566">
        <v>-7.2985591591046495E-100</v>
      </c>
      <c r="CU77" s="566">
        <v>-6.1339183750843204E-214</v>
      </c>
      <c r="CV77" s="566">
        <v>-1.2483208104095901E-213</v>
      </c>
      <c r="CW77" s="566">
        <v>-7.4357956666781103E-100</v>
      </c>
      <c r="CX77" s="566">
        <v>-9.7698611597064496E-214</v>
      </c>
      <c r="CY77" s="566">
        <v>0.54540283182443094</v>
      </c>
      <c r="CZ77" s="566">
        <v>-1.0080790074681899E-213</v>
      </c>
      <c r="DA77" s="566">
        <v>9.3675856602092799E-27</v>
      </c>
      <c r="DB77" s="566">
        <v>-1.56808175492645E-21</v>
      </c>
      <c r="DC77" s="566">
        <v>0.54540350148218797</v>
      </c>
      <c r="DD77" s="566">
        <v>-1.0082378072077E-213</v>
      </c>
      <c r="DE77" s="566">
        <v>1.4572890746313799E-23</v>
      </c>
      <c r="DF77" s="566">
        <v>-2.40766835567118E-18</v>
      </c>
      <c r="DG77" s="566">
        <v>0.54540359363428503</v>
      </c>
      <c r="DH77" s="566">
        <v>-1.0084150035950199E-213</v>
      </c>
      <c r="DI77" s="566">
        <v>1.4574200345610299E-23</v>
      </c>
      <c r="DJ77" s="566">
        <v>-2.4076404665477001E-18</v>
      </c>
      <c r="DK77" s="566">
        <v>2.2621443494265001E-13</v>
      </c>
      <c r="DL77" s="566">
        <v>-1.0556849441516399E-213</v>
      </c>
      <c r="DM77" s="566">
        <v>-1.62208023847251E-93</v>
      </c>
      <c r="DN77" s="566">
        <v>1.36356464341931E-89</v>
      </c>
      <c r="DO77" s="566">
        <v>0.545403021261058</v>
      </c>
      <c r="DP77" s="566">
        <v>-3.84514370004504E-213</v>
      </c>
      <c r="DQ77" s="566">
        <v>-3.2304792772002102E-99</v>
      </c>
      <c r="DR77" s="566">
        <v>-6.5415257249689296E-212</v>
      </c>
      <c r="DS77" s="566">
        <v>-3.3411773386408599E-212</v>
      </c>
      <c r="DT77" s="566">
        <v>-3.4065191713985898E-99</v>
      </c>
      <c r="DU77" s="566">
        <v>7.1426367353542999E-211</v>
      </c>
      <c r="DV77" s="566">
        <v>0.54540434976208296</v>
      </c>
      <c r="DW77" s="566">
        <v>-1.4791995699082099E-212</v>
      </c>
      <c r="DX77" s="566">
        <v>4.2158557699161797E-23</v>
      </c>
      <c r="DY77" s="566">
        <v>-5.6422710228548405E-17</v>
      </c>
      <c r="DZ77" s="566">
        <v>0.54540472534292195</v>
      </c>
      <c r="EA77" s="566">
        <v>-1.4794201694308E-212</v>
      </c>
      <c r="EB77" s="566">
        <v>5.5507572502300499E-20</v>
      </c>
      <c r="EC77" s="566">
        <v>-7.3391184925102704E-14</v>
      </c>
      <c r="ED77" s="566">
        <v>0.54540481758112702</v>
      </c>
      <c r="EE77" s="566">
        <v>-1.4796656316936701E-212</v>
      </c>
      <c r="EF77" s="566">
        <v>5.21194907209069E-13</v>
      </c>
      <c r="EG77" s="566">
        <v>-8.6143237438154598E-8</v>
      </c>
      <c r="EH77" s="566">
        <v>6.5484271491625295E-14</v>
      </c>
      <c r="EI77" s="566">
        <v>-1.9868129273794399E-212</v>
      </c>
      <c r="EJ77" s="566">
        <v>5.0581044005571297E-89</v>
      </c>
      <c r="EK77" s="566">
        <v>1.42492644838471E-89</v>
      </c>
      <c r="EL77" s="566">
        <v>0.54540520510407897</v>
      </c>
      <c r="EM77" s="566">
        <v>-2.7253101372494701E-213</v>
      </c>
      <c r="EN77" s="566">
        <v>-1.91514780956217E-99</v>
      </c>
      <c r="EO77" s="566">
        <v>-1.8314381207885301E-213</v>
      </c>
      <c r="EP77" s="566">
        <v>-3.4085863013363997E-213</v>
      </c>
      <c r="EQ77" s="566">
        <v>-1.9343715010117202E-99</v>
      </c>
      <c r="ER77" s="566">
        <v>-2.29056168539395E-213</v>
      </c>
      <c r="ES77" s="566">
        <v>0.54541105563728198</v>
      </c>
      <c r="ET77" s="566">
        <v>-3.1032728358698201E-213</v>
      </c>
      <c r="EU77" s="566">
        <v>-1.07335527086963E-31</v>
      </c>
      <c r="EV77" s="566">
        <v>-1.4290404440005799E-22</v>
      </c>
      <c r="EW77" s="566">
        <v>0.54541108157362295</v>
      </c>
      <c r="EX77" s="566">
        <v>-3.1037397579210102E-213</v>
      </c>
      <c r="EY77" s="566">
        <v>-1.95011977935056E-28</v>
      </c>
      <c r="EZ77" s="566">
        <v>-2.4014368088737599E-19</v>
      </c>
      <c r="FA77" s="566">
        <v>0.54541117383328797</v>
      </c>
      <c r="FB77" s="566">
        <v>-3.1042621645419499E-213</v>
      </c>
      <c r="FC77" s="566">
        <v>-1.9500834848763701E-28</v>
      </c>
      <c r="FD77" s="566">
        <v>-2.40138147595642E-19</v>
      </c>
      <c r="FE77" s="566">
        <v>1.4701040507347E-11</v>
      </c>
      <c r="FF77" s="566">
        <v>-3.1406022139916099E-213</v>
      </c>
      <c r="FG77" s="566">
        <v>-7.8934479355239396E-94</v>
      </c>
      <c r="FH77" s="566">
        <v>1.3943420909437201E-89</v>
      </c>
    </row>
    <row r="78" spans="1:164" ht="12.75" customHeight="1" x14ac:dyDescent="0.3">
      <c r="A78" s="422"/>
      <c r="B78" s="422"/>
      <c r="C78" s="422"/>
      <c r="D78" s="422"/>
      <c r="E78" s="422"/>
      <c r="F78" s="568"/>
      <c r="G78" s="569"/>
      <c r="H78" s="439"/>
      <c r="I78" s="574">
        <v>4774257.6775835203</v>
      </c>
      <c r="J78" s="566">
        <v>0.51591373615799396</v>
      </c>
      <c r="K78" s="566">
        <v>1.04000784535833E-215</v>
      </c>
      <c r="L78" s="566">
        <v>3.06355880822341E-102</v>
      </c>
      <c r="M78" s="566">
        <v>1.54571794897755E-215</v>
      </c>
      <c r="N78" s="566">
        <v>1.65679668405123E-215</v>
      </c>
      <c r="O78" s="566">
        <v>3.1211636206389401E-102</v>
      </c>
      <c r="P78" s="566">
        <v>2.4624240090086499E-215</v>
      </c>
      <c r="Q78" s="566">
        <v>1.4139597714506801E-16</v>
      </c>
      <c r="R78" s="566">
        <v>1.1816978781036899E-215</v>
      </c>
      <c r="S78" s="566">
        <v>1.1255691556208901E-101</v>
      </c>
      <c r="T78" s="566">
        <v>-2.8575613524535101E-109</v>
      </c>
      <c r="U78" s="566">
        <v>8.0636671850008496E-18</v>
      </c>
      <c r="V78" s="566">
        <v>1.2277040236893699E-218</v>
      </c>
      <c r="W78" s="566">
        <v>-2.2713102269869602E-92</v>
      </c>
      <c r="X78" s="566">
        <v>-4.04083987087479E-93</v>
      </c>
      <c r="Y78" s="566">
        <v>0.44221845748188399</v>
      </c>
      <c r="Z78" s="566">
        <v>8.8306548555901397E-216</v>
      </c>
      <c r="AA78" s="566">
        <v>-2.95564559705858E-34</v>
      </c>
      <c r="AB78" s="566">
        <v>9.0828829485748708E-31</v>
      </c>
      <c r="AC78" s="566">
        <v>6.6756376505346605E-19</v>
      </c>
      <c r="AD78" s="566">
        <v>1.3184412596232099E-215</v>
      </c>
      <c r="AE78" s="566">
        <v>-8.5423254267877598E-90</v>
      </c>
      <c r="AF78" s="566">
        <v>-6.7841189316058197E-90</v>
      </c>
      <c r="AG78" s="566">
        <v>7.7152764830519205E-18</v>
      </c>
      <c r="AH78" s="566">
        <v>1.36977117164089E-218</v>
      </c>
      <c r="AI78" s="566">
        <v>-1.1473581359453901E-89</v>
      </c>
      <c r="AJ78" s="566">
        <v>-4.4806122587149997E-90</v>
      </c>
      <c r="AK78" s="566">
        <v>0.44066262326868599</v>
      </c>
      <c r="AL78" s="566">
        <v>8.8872036709532197E-216</v>
      </c>
      <c r="AM78" s="566">
        <v>-2.9578388221055098E-34</v>
      </c>
      <c r="AN78" s="566">
        <v>9.0767627362208792E-31</v>
      </c>
      <c r="AO78" s="566">
        <v>3.54029872390424E-16</v>
      </c>
      <c r="AP78" s="566">
        <v>1.3056033141822099E-215</v>
      </c>
      <c r="AQ78" s="566">
        <v>4.4854708378202501E-95</v>
      </c>
      <c r="AR78" s="566">
        <v>-2.41066508152597E-90</v>
      </c>
      <c r="AS78" s="566">
        <v>1.00272691240476E-17</v>
      </c>
      <c r="AT78" s="566">
        <v>1.3015040823969901E-217</v>
      </c>
      <c r="AU78" s="566">
        <v>-1.59637800628725E-91</v>
      </c>
      <c r="AV78" s="566">
        <v>-2.2996209398057098E-90</v>
      </c>
      <c r="AW78" s="566">
        <v>3.54029872390424E-16</v>
      </c>
      <c r="AX78" s="566">
        <v>1.3056033163983701E-215</v>
      </c>
      <c r="AY78" s="566">
        <v>4.4854708454169401E-95</v>
      </c>
      <c r="AZ78" s="566">
        <v>-2.4106650823751699E-90</v>
      </c>
      <c r="BA78" s="566">
        <v>0.53408902262418101</v>
      </c>
      <c r="BB78" s="566">
        <v>3.9120409182293499E-215</v>
      </c>
      <c r="BC78" s="566">
        <v>1.50278236558759E-101</v>
      </c>
      <c r="BD78" s="566">
        <v>3.3105693298772801E-215</v>
      </c>
      <c r="BE78" s="566">
        <v>6.2321223733220703E-215</v>
      </c>
      <c r="BF78" s="566">
        <v>1.5310395349476899E-101</v>
      </c>
      <c r="BG78" s="566">
        <v>5.2739408969889098E-215</v>
      </c>
      <c r="BH78" s="566">
        <v>2.1174802111591299E-15</v>
      </c>
      <c r="BI78" s="566">
        <v>4.3568304200825299E-215</v>
      </c>
      <c r="BJ78" s="566">
        <v>8.5027882417697599E-101</v>
      </c>
      <c r="BK78" s="566">
        <v>4.52411993587647E-110</v>
      </c>
      <c r="BL78" s="566">
        <v>4.5749312378750297E-15</v>
      </c>
      <c r="BM78" s="566">
        <v>4.3568051298351902E-215</v>
      </c>
      <c r="BN78" s="566">
        <v>-3.7736909962160599E-91</v>
      </c>
      <c r="BO78" s="566">
        <v>-3.1765245904214503E-92</v>
      </c>
      <c r="BP78" s="566">
        <v>0.53442728114301397</v>
      </c>
      <c r="BQ78" s="566">
        <v>4.3739839964750401E-215</v>
      </c>
      <c r="BR78" s="566">
        <v>-5.1851609756965803E-30</v>
      </c>
      <c r="BS78" s="566">
        <v>3.5970521475165002E-26</v>
      </c>
      <c r="BT78" s="566">
        <v>2.09519214903706E-15</v>
      </c>
      <c r="BU78" s="566">
        <v>4.4076556428590598E-215</v>
      </c>
      <c r="BV78" s="566">
        <v>-1.6576243137646699E-89</v>
      </c>
      <c r="BW78" s="566">
        <v>-7.1190081920108004E-90</v>
      </c>
      <c r="BX78" s="566">
        <v>4.5560440185301997E-15</v>
      </c>
      <c r="BY78" s="566">
        <v>4.4076293936263602E-215</v>
      </c>
      <c r="BZ78" s="566">
        <v>-1.3871383643928601E-88</v>
      </c>
      <c r="CA78" s="566">
        <v>-5.6494827373449197E-90</v>
      </c>
      <c r="CB78" s="566">
        <v>0.53442720974844604</v>
      </c>
      <c r="CC78" s="566">
        <v>4.3747527058597302E-215</v>
      </c>
      <c r="CD78" s="566">
        <v>-8.2582174036129301E-28</v>
      </c>
      <c r="CE78" s="566">
        <v>-3.1810218995960601E-25</v>
      </c>
      <c r="CF78" s="566">
        <v>5.3855422146631003E-15</v>
      </c>
      <c r="CG78" s="566">
        <v>4.9110912867474298E-215</v>
      </c>
      <c r="CH78" s="566">
        <v>1.0106575821800801E-94</v>
      </c>
      <c r="CI78" s="566">
        <v>-2.46941941772051E-90</v>
      </c>
      <c r="CJ78" s="566">
        <v>5.0211160252569901E-15</v>
      </c>
      <c r="CK78" s="566">
        <v>4.9110913494291702E-215</v>
      </c>
      <c r="CL78" s="566">
        <v>-4.4125541409136401E-91</v>
      </c>
      <c r="CM78" s="566">
        <v>-2.46760125137378E-90</v>
      </c>
      <c r="CN78" s="566">
        <v>5.3855422146631003E-15</v>
      </c>
      <c r="CO78" s="566">
        <v>4.91109143656541E-215</v>
      </c>
      <c r="CP78" s="566">
        <v>1.01065758133401E-94</v>
      </c>
      <c r="CQ78" s="566">
        <v>-2.46941941850527E-90</v>
      </c>
      <c r="CR78" s="566">
        <v>0.53450036128860301</v>
      </c>
      <c r="CS78" s="566">
        <v>1.4588688383878E-214</v>
      </c>
      <c r="CT78" s="566">
        <v>1.35880135548933E-100</v>
      </c>
      <c r="CU78" s="566">
        <v>1.1419855695590199E-214</v>
      </c>
      <c r="CV78" s="566">
        <v>2.32406801767006E-214</v>
      </c>
      <c r="CW78" s="566">
        <v>1.3843512138137001E-100</v>
      </c>
      <c r="CX78" s="566">
        <v>1.81890918232594E-214</v>
      </c>
      <c r="CY78" s="566">
        <v>0.53450017608706502</v>
      </c>
      <c r="CZ78" s="566">
        <v>1.8767965424291501E-214</v>
      </c>
      <c r="DA78" s="566">
        <v>-1.75508093938854E-27</v>
      </c>
      <c r="DB78" s="566">
        <v>2.9379139498866702E-22</v>
      </c>
      <c r="DC78" s="566">
        <v>0.53450083235829404</v>
      </c>
      <c r="DD78" s="566">
        <v>1.8770921880473002E-214</v>
      </c>
      <c r="DE78" s="566">
        <v>-2.7303486765865E-24</v>
      </c>
      <c r="DF78" s="566">
        <v>4.5109684224149602E-19</v>
      </c>
      <c r="DG78" s="566">
        <v>0.53450092266826599</v>
      </c>
      <c r="DH78" s="566">
        <v>1.8774220838253101E-214</v>
      </c>
      <c r="DI78" s="566">
        <v>-2.7305586223535399E-24</v>
      </c>
      <c r="DJ78" s="566">
        <v>4.5108610173050697E-19</v>
      </c>
      <c r="DK78" s="566">
        <v>2.21692386352022E-13</v>
      </c>
      <c r="DL78" s="566">
        <v>1.9654271516082E-214</v>
      </c>
      <c r="DM78" s="566">
        <v>3.0198849147915701E-94</v>
      </c>
      <c r="DN78" s="566">
        <v>-2.53859321460364E-90</v>
      </c>
      <c r="DO78" s="566">
        <v>0.53450036173694104</v>
      </c>
      <c r="DP78" s="566">
        <v>7.1587170707550401E-214</v>
      </c>
      <c r="DQ78" s="566">
        <v>6.0143098453748703E-100</v>
      </c>
      <c r="DR78" s="566">
        <v>1.2178720832265699E-212</v>
      </c>
      <c r="DS78" s="566">
        <v>6.2204545259208598E-213</v>
      </c>
      <c r="DT78" s="566">
        <v>6.3420502138442502E-100</v>
      </c>
      <c r="DU78" s="566">
        <v>-1.3297842859490499E-211</v>
      </c>
      <c r="DV78" s="566">
        <v>0.53450166368099705</v>
      </c>
      <c r="DW78" s="566">
        <v>2.75390763054168E-213</v>
      </c>
      <c r="DX78" s="566">
        <v>-7.8987545015977897E-24</v>
      </c>
      <c r="DY78" s="566">
        <v>1.05712784532781E-17</v>
      </c>
      <c r="DZ78" s="566">
        <v>0.53450203175394195</v>
      </c>
      <c r="EA78" s="566">
        <v>2.7543183338009699E-213</v>
      </c>
      <c r="EB78" s="566">
        <v>-1.0399873791539901E-20</v>
      </c>
      <c r="EC78" s="566">
        <v>1.37505558922896E-14</v>
      </c>
      <c r="ED78" s="566">
        <v>0.53450212214827897</v>
      </c>
      <c r="EE78" s="566">
        <v>2.7547753244679801E-213</v>
      </c>
      <c r="EF78" s="566">
        <v>-9.7651614259519302E-14</v>
      </c>
      <c r="EG78" s="566">
        <v>1.61398976937641E-8</v>
      </c>
      <c r="EH78" s="566">
        <v>6.4175220336249802E-14</v>
      </c>
      <c r="EI78" s="566">
        <v>3.6989594651042898E-213</v>
      </c>
      <c r="EJ78" s="566">
        <v>-9.41684527433526E-90</v>
      </c>
      <c r="EK78" s="566">
        <v>-2.65283250826982E-90</v>
      </c>
      <c r="EL78" s="566">
        <v>0.53450250192471904</v>
      </c>
      <c r="EM78" s="566">
        <v>5.0738608807826904E-214</v>
      </c>
      <c r="EN78" s="566">
        <v>3.5655057153694302E-100</v>
      </c>
      <c r="EO78" s="566">
        <v>3.4096898229283601E-214</v>
      </c>
      <c r="EP78" s="566">
        <v>6.3459539731692104E-214</v>
      </c>
      <c r="EQ78" s="566">
        <v>3.6012952149376598E-100</v>
      </c>
      <c r="ER78" s="566">
        <v>4.2644656026688798E-214</v>
      </c>
      <c r="ES78" s="566">
        <v>0.53450823550518101</v>
      </c>
      <c r="ET78" s="566">
        <v>5.77753497943315E-214</v>
      </c>
      <c r="EU78" s="566">
        <v>2.0185961909853099E-32</v>
      </c>
      <c r="EV78" s="566">
        <v>2.67741663052223E-23</v>
      </c>
      <c r="EW78" s="566">
        <v>0.53450826092305503</v>
      </c>
      <c r="EX78" s="566">
        <v>5.7784042720872402E-214</v>
      </c>
      <c r="EY78" s="566">
        <v>3.6674992714631203E-29</v>
      </c>
      <c r="EZ78" s="566">
        <v>4.4993047300658601E-20</v>
      </c>
      <c r="FA78" s="566">
        <v>0.53450835133845198</v>
      </c>
      <c r="FB78" s="566">
        <v>5.7793768662799197E-214</v>
      </c>
      <c r="FC78" s="566">
        <v>3.6673867569878897E-29</v>
      </c>
      <c r="FD78" s="566">
        <v>4.4991463485278098E-20</v>
      </c>
      <c r="FE78" s="566">
        <v>1.44071652755389E-11</v>
      </c>
      <c r="FF78" s="566">
        <v>5.8470331496807902E-214</v>
      </c>
      <c r="FG78" s="566">
        <v>1.4695530436780901E-94</v>
      </c>
      <c r="FH78" s="566">
        <v>-2.5958926025059399E-90</v>
      </c>
    </row>
    <row r="79" spans="1:164" ht="12.75" customHeight="1" x14ac:dyDescent="0.3">
      <c r="A79" s="422"/>
      <c r="B79" s="422"/>
      <c r="C79" s="422"/>
      <c r="D79" s="422"/>
      <c r="E79" s="422"/>
      <c r="F79" s="568"/>
      <c r="G79" s="569"/>
      <c r="H79" s="439"/>
      <c r="I79" s="574">
        <v>4858016.58420779</v>
      </c>
      <c r="J79" s="566">
        <v>0.50560057154051397</v>
      </c>
      <c r="K79" s="566">
        <v>6.3346532473993599E-217</v>
      </c>
      <c r="L79" s="566">
        <v>1.86615089818658E-103</v>
      </c>
      <c r="M79" s="566">
        <v>9.4149166939072105E-217</v>
      </c>
      <c r="N79" s="566">
        <v>1.00914935803119E-216</v>
      </c>
      <c r="O79" s="566">
        <v>1.9012405697607199E-103</v>
      </c>
      <c r="P79" s="566">
        <v>1.49985428617358E-216</v>
      </c>
      <c r="Q79" s="566">
        <v>1.3856945812387299E-16</v>
      </c>
      <c r="R79" s="566">
        <v>7.1976825313225803E-217</v>
      </c>
      <c r="S79" s="566">
        <v>6.8563459108256302E-103</v>
      </c>
      <c r="T79" s="566">
        <v>-1.7406416558717699E-110</v>
      </c>
      <c r="U79" s="566">
        <v>7.9024824069167299E-18</v>
      </c>
      <c r="V79" s="566">
        <v>7.4779044362194795E-220</v>
      </c>
      <c r="W79" s="566">
        <v>-1.38358930429794E-93</v>
      </c>
      <c r="X79" s="566">
        <v>-2.4615313508712401E-94</v>
      </c>
      <c r="Y79" s="566">
        <v>0.43337846848904299</v>
      </c>
      <c r="Z79" s="566">
        <v>5.3787225459203498E-217</v>
      </c>
      <c r="AA79" s="566">
        <v>-1.8010049961448599E-35</v>
      </c>
      <c r="AB79" s="566">
        <v>5.5345984562194198E-32</v>
      </c>
      <c r="AC79" s="566">
        <v>6.54219101476674E-19</v>
      </c>
      <c r="AD79" s="566">
        <v>8.0305819269094593E-217</v>
      </c>
      <c r="AE79" s="566">
        <v>-5.2036694455748004E-91</v>
      </c>
      <c r="AF79" s="566">
        <v>-4.13263492500861E-91</v>
      </c>
      <c r="AG79" s="566">
        <v>7.5610561856392399E-18</v>
      </c>
      <c r="AH79" s="566">
        <v>8.3432307163390904E-220</v>
      </c>
      <c r="AI79" s="566">
        <v>-6.9892838738429505E-91</v>
      </c>
      <c r="AJ79" s="566">
        <v>-2.7294238427306398E-91</v>
      </c>
      <c r="AK79" s="566">
        <v>0.43185373554963102</v>
      </c>
      <c r="AL79" s="566">
        <v>5.4131662415583399E-217</v>
      </c>
      <c r="AM79" s="566">
        <v>-1.8025440464507401E-35</v>
      </c>
      <c r="AN79" s="566">
        <v>5.5314934260274999E-32</v>
      </c>
      <c r="AO79" s="566">
        <v>3.4695278159486099E-16</v>
      </c>
      <c r="AP79" s="566">
        <v>7.9523864275755804E-217</v>
      </c>
      <c r="AQ79" s="566">
        <v>2.7323456616246701E-96</v>
      </c>
      <c r="AR79" s="566">
        <v>-1.46848869416858E-91</v>
      </c>
      <c r="AS79" s="566">
        <v>9.8268404340379997E-18</v>
      </c>
      <c r="AT79" s="566">
        <v>7.9274181429081206E-219</v>
      </c>
      <c r="AU79" s="566">
        <v>-9.7244819693577405E-93</v>
      </c>
      <c r="AV79" s="566">
        <v>-1.40084468071717E-91</v>
      </c>
      <c r="AW79" s="566">
        <v>3.4695278159486099E-16</v>
      </c>
      <c r="AX79" s="566">
        <v>7.9523864410750206E-217</v>
      </c>
      <c r="AY79" s="566">
        <v>2.7323456662525098E-96</v>
      </c>
      <c r="AZ79" s="566">
        <v>-1.4684886946861201E-91</v>
      </c>
      <c r="BA79" s="566">
        <v>0.52341253230288998</v>
      </c>
      <c r="BB79" s="566">
        <v>2.3828111313990201E-216</v>
      </c>
      <c r="BC79" s="566">
        <v>9.1541205404421902E-103</v>
      </c>
      <c r="BD79" s="566">
        <v>2.0164567844235199E-216</v>
      </c>
      <c r="BE79" s="566">
        <v>3.7959650407019498E-216</v>
      </c>
      <c r="BF79" s="566">
        <v>9.3262476164422009E-103</v>
      </c>
      <c r="BG79" s="566">
        <v>3.2123398855916899E-216</v>
      </c>
      <c r="BH79" s="566">
        <v>2.0751515805296001E-15</v>
      </c>
      <c r="BI79" s="566">
        <v>2.6537309398304E-216</v>
      </c>
      <c r="BJ79" s="566">
        <v>5.1794291893050298E-102</v>
      </c>
      <c r="BK79" s="566">
        <v>2.7558038408417399E-111</v>
      </c>
      <c r="BL79" s="566">
        <v>4.4834779375470003E-15</v>
      </c>
      <c r="BM79" s="566">
        <v>2.6537155356253501E-216</v>
      </c>
      <c r="BN79" s="566">
        <v>-2.2987804487173801E-92</v>
      </c>
      <c r="BO79" s="566">
        <v>-1.9350182892938901E-93</v>
      </c>
      <c r="BP79" s="566">
        <v>0.52374402900179495</v>
      </c>
      <c r="BQ79" s="566">
        <v>2.66417912624478E-216</v>
      </c>
      <c r="BR79" s="566">
        <v>-3.15942924964247E-31</v>
      </c>
      <c r="BS79" s="566">
        <v>2.1917606726972199E-27</v>
      </c>
      <c r="BT79" s="566">
        <v>2.0533090590982401E-15</v>
      </c>
      <c r="BU79" s="566">
        <v>2.6846884142333999E-216</v>
      </c>
      <c r="BV79" s="566">
        <v>-1.00976356944923E-90</v>
      </c>
      <c r="BW79" s="566">
        <v>-4.3366371156659998E-91</v>
      </c>
      <c r="BX79" s="566">
        <v>4.4649682758115603E-15</v>
      </c>
      <c r="BY79" s="566">
        <v>2.6846724259139101E-216</v>
      </c>
      <c r="BZ79" s="566">
        <v>-8.4499133477497903E-90</v>
      </c>
      <c r="CA79" s="566">
        <v>-3.4414487227210701E-91</v>
      </c>
      <c r="CB79" s="566">
        <v>0.52374395903441295</v>
      </c>
      <c r="CC79" s="566">
        <v>2.6646473445785502E-216</v>
      </c>
      <c r="CD79" s="566">
        <v>-5.0306093031703397E-29</v>
      </c>
      <c r="CE79" s="566">
        <v>-1.9376780918403599E-26</v>
      </c>
      <c r="CF79" s="566">
        <v>5.2778847139579704E-15</v>
      </c>
      <c r="CG79" s="566">
        <v>2.9913293930163698E-216</v>
      </c>
      <c r="CH79" s="566">
        <v>6.1564682057395904E-96</v>
      </c>
      <c r="CI79" s="566">
        <v>-1.5042796794433899E-91</v>
      </c>
      <c r="CJ79" s="566">
        <v>4.9207434561085899E-15</v>
      </c>
      <c r="CK79" s="566">
        <v>2.9913294311950302E-216</v>
      </c>
      <c r="CL79" s="566">
        <v>-2.6879475295400801E-92</v>
      </c>
      <c r="CM79" s="566">
        <v>-1.5031721216674E-91</v>
      </c>
      <c r="CN79" s="566">
        <v>5.2778847139579704E-15</v>
      </c>
      <c r="CO79" s="566">
        <v>2.9913294842693901E-216</v>
      </c>
      <c r="CP79" s="566">
        <v>6.1564682005844801E-96</v>
      </c>
      <c r="CQ79" s="566">
        <v>-1.50427967992162E-91</v>
      </c>
      <c r="CR79" s="566">
        <v>0.52381564826831495</v>
      </c>
      <c r="CS79" s="566">
        <v>8.88592164556395E-216</v>
      </c>
      <c r="CT79" s="566">
        <v>8.2770677135269102E-102</v>
      </c>
      <c r="CU79" s="566">
        <v>6.9557961876770799E-216</v>
      </c>
      <c r="CV79" s="566">
        <v>1.41558211133014E-215</v>
      </c>
      <c r="CW79" s="566">
        <v>8.4327033453021495E-102</v>
      </c>
      <c r="CX79" s="566">
        <v>1.10789154378214E-215</v>
      </c>
      <c r="CY79" s="566">
        <v>0.52381546676898805</v>
      </c>
      <c r="CZ79" s="566">
        <v>1.1431505411495699E-215</v>
      </c>
      <c r="DA79" s="566">
        <v>-1.06933666793463E-28</v>
      </c>
      <c r="DB79" s="566">
        <v>1.7900136372904201E-23</v>
      </c>
      <c r="DC79" s="566">
        <v>0.52381610992129302</v>
      </c>
      <c r="DD79" s="566">
        <v>1.1433306179131899E-215</v>
      </c>
      <c r="DE79" s="566">
        <v>-1.66345176818771E-25</v>
      </c>
      <c r="DF79" s="566">
        <v>2.7482857897884599E-20</v>
      </c>
      <c r="DG79" s="566">
        <v>0.52381619842595994</v>
      </c>
      <c r="DH79" s="566">
        <v>1.1435315563357199E-215</v>
      </c>
      <c r="DI79" s="566">
        <v>-1.66376558066565E-25</v>
      </c>
      <c r="DJ79" s="566">
        <v>2.7485275336702101E-20</v>
      </c>
      <c r="DK79" s="566">
        <v>2.1726073447952601E-13</v>
      </c>
      <c r="DL79" s="566">
        <v>1.1971351508587101E-215</v>
      </c>
      <c r="DM79" s="566">
        <v>1.8395771021946501E-95</v>
      </c>
      <c r="DN79" s="566">
        <v>-1.5464178177665899E-91</v>
      </c>
      <c r="DO79" s="566">
        <v>0.52381564870769104</v>
      </c>
      <c r="DP79" s="566">
        <v>4.3603507936870999E-215</v>
      </c>
      <c r="DQ79" s="566">
        <v>3.6635855299376497E-101</v>
      </c>
      <c r="DR79" s="566">
        <v>7.4180186852763403E-214</v>
      </c>
      <c r="DS79" s="566">
        <v>3.7888606518656298E-214</v>
      </c>
      <c r="DT79" s="566">
        <v>3.8632268690720701E-101</v>
      </c>
      <c r="DU79" s="566">
        <v>-8.0996702541509805E-213</v>
      </c>
      <c r="DV79" s="566">
        <v>0.523816924625776</v>
      </c>
      <c r="DW79" s="566">
        <v>1.6773969021592999E-214</v>
      </c>
      <c r="DX79" s="566">
        <v>-4.8122333795455399E-25</v>
      </c>
      <c r="DY79" s="566">
        <v>6.4404398945519603E-19</v>
      </c>
      <c r="DZ79" s="566">
        <v>0.52381728534090599</v>
      </c>
      <c r="EA79" s="566">
        <v>1.67764706029922E-214</v>
      </c>
      <c r="EB79" s="566">
        <v>-6.3356416885197199E-22</v>
      </c>
      <c r="EC79" s="566">
        <v>8.3768896745310596E-16</v>
      </c>
      <c r="ED79" s="566">
        <v>0.523817373928255</v>
      </c>
      <c r="EE79" s="566">
        <v>1.6779254119623399E-214</v>
      </c>
      <c r="EF79" s="566">
        <v>-5.9485678218409496E-15</v>
      </c>
      <c r="EG79" s="566">
        <v>9.8318165862374503E-10</v>
      </c>
      <c r="EH79" s="566">
        <v>6.2892353642512096E-14</v>
      </c>
      <c r="EI79" s="566">
        <v>2.2530252581012801E-214</v>
      </c>
      <c r="EJ79" s="566">
        <v>-5.7363651177299101E-91</v>
      </c>
      <c r="EK79" s="566">
        <v>-1.6160082027868199E-91</v>
      </c>
      <c r="EL79" s="566">
        <v>0.52381774611291299</v>
      </c>
      <c r="EM79" s="566">
        <v>3.0904718121862502E-215</v>
      </c>
      <c r="EN79" s="566">
        <v>2.1719092433820899E-101</v>
      </c>
      <c r="EO79" s="566">
        <v>2.0768307482217701E-215</v>
      </c>
      <c r="EP79" s="566">
        <v>3.8652994901373098E-215</v>
      </c>
      <c r="EQ79" s="566">
        <v>2.1937102307137699E-101</v>
      </c>
      <c r="ER79" s="566">
        <v>2.5974718371205002E-215</v>
      </c>
      <c r="ES79" s="566">
        <v>0.52382336507855798</v>
      </c>
      <c r="ET79" s="566">
        <v>3.5190773687724299E-215</v>
      </c>
      <c r="EU79" s="566">
        <v>1.1900517136134901E-33</v>
      </c>
      <c r="EV79" s="566">
        <v>1.63126220498955E-24</v>
      </c>
      <c r="EW79" s="566">
        <v>0.523823389988327</v>
      </c>
      <c r="EX79" s="566">
        <v>3.5196068520428298E-215</v>
      </c>
      <c r="EY79" s="566">
        <v>2.1620215327998698E-30</v>
      </c>
      <c r="EZ79" s="566">
        <v>2.7411159688682502E-21</v>
      </c>
      <c r="FA79" s="566">
        <v>0.52382347859630896</v>
      </c>
      <c r="FB79" s="566">
        <v>3.5201992559362601E-215</v>
      </c>
      <c r="FC79" s="566">
        <v>2.1622018813752898E-30</v>
      </c>
      <c r="FD79" s="566">
        <v>2.7413258651252499E-21</v>
      </c>
      <c r="FE79" s="566">
        <v>1.41191646724451E-11</v>
      </c>
      <c r="FF79" s="566">
        <v>3.5614084734676299E-215</v>
      </c>
      <c r="FG79" s="566">
        <v>8.9517658263077697E-96</v>
      </c>
      <c r="FH79" s="566">
        <v>-1.5813225019390799E-91</v>
      </c>
    </row>
    <row r="80" spans="1:164" ht="12.75" customHeight="1" x14ac:dyDescent="0.3">
      <c r="A80" s="422"/>
      <c r="B80" s="422"/>
      <c r="C80" s="422"/>
      <c r="D80" s="422"/>
      <c r="E80" s="422"/>
      <c r="F80" s="568"/>
      <c r="G80" s="569"/>
      <c r="H80" s="439"/>
      <c r="I80" s="574">
        <v>4941775.4908320596</v>
      </c>
      <c r="J80" s="566">
        <v>0.49549356224230001</v>
      </c>
      <c r="K80" s="566">
        <v>-1.17545554600092E-216</v>
      </c>
      <c r="L80" s="566">
        <v>-3.4626987131968302E-103</v>
      </c>
      <c r="M80" s="566">
        <v>-1.7470279130954502E-216</v>
      </c>
      <c r="N80" s="566">
        <v>-1.8725732306308801E-216</v>
      </c>
      <c r="O80" s="566">
        <v>-3.5278086465491198E-103</v>
      </c>
      <c r="P80" s="566">
        <v>-2.78312319557407E-216</v>
      </c>
      <c r="Q80" s="566">
        <v>1.3579943989102299E-16</v>
      </c>
      <c r="R80" s="566">
        <v>-1.33559889063704E-216</v>
      </c>
      <c r="S80" s="566">
        <v>-1.2722154561945699E-102</v>
      </c>
      <c r="T80" s="566">
        <v>3.2298350486221402E-110</v>
      </c>
      <c r="U80" s="566">
        <v>7.7445126427385198E-18</v>
      </c>
      <c r="V80" s="566">
        <v>-1.38759674740338E-219</v>
      </c>
      <c r="W80" s="566">
        <v>2.5672641656193001E-93</v>
      </c>
      <c r="X80" s="566">
        <v>4.56738257058157E-94</v>
      </c>
      <c r="Y80" s="566">
        <v>0.42471518672629299</v>
      </c>
      <c r="Z80" s="566">
        <v>-9.98073454075462E-217</v>
      </c>
      <c r="AA80" s="566">
        <v>3.3413271011932801E-35</v>
      </c>
      <c r="AB80" s="566">
        <v>-1.02681041471263E-31</v>
      </c>
      <c r="AC80" s="566">
        <v>6.4114119183849098E-19</v>
      </c>
      <c r="AD80" s="566">
        <v>-1.4901513460859799E-216</v>
      </c>
      <c r="AE80" s="566">
        <v>9.6554336441883104E-91</v>
      </c>
      <c r="AF80" s="566">
        <v>7.6681239481912403E-91</v>
      </c>
      <c r="AG80" s="566">
        <v>7.4099115909782997E-18</v>
      </c>
      <c r="AH80" s="566">
        <v>-1.5481663216710601E-219</v>
      </c>
      <c r="AI80" s="566">
        <v>1.2968648560646399E-90</v>
      </c>
      <c r="AJ80" s="566">
        <v>5.0644588922208303E-91</v>
      </c>
      <c r="AK80" s="566">
        <v>0.42322093336080402</v>
      </c>
      <c r="AL80" s="566">
        <v>-1.00446481149981E-216</v>
      </c>
      <c r="AM80" s="566">
        <v>3.34401342264916E-35</v>
      </c>
      <c r="AN80" s="566">
        <v>-1.02618227841234E-31</v>
      </c>
      <c r="AO80" s="566">
        <v>3.4001715852201498E-16</v>
      </c>
      <c r="AP80" s="566">
        <v>-1.4756414226894101E-216</v>
      </c>
      <c r="AQ80" s="566">
        <v>-5.0699118967838702E-96</v>
      </c>
      <c r="AR80" s="566">
        <v>2.7247874251904598E-91</v>
      </c>
      <c r="AS80" s="566">
        <v>9.6304042455271007E-18</v>
      </c>
      <c r="AT80" s="566">
        <v>-1.47100831847028E-218</v>
      </c>
      <c r="AU80" s="566">
        <v>1.8043876179591999E-92</v>
      </c>
      <c r="AV80" s="566">
        <v>2.5992736498708102E-91</v>
      </c>
      <c r="AW80" s="566">
        <v>3.4001715852201498E-16</v>
      </c>
      <c r="AX80" s="566">
        <v>-1.4756414251941899E-216</v>
      </c>
      <c r="AY80" s="566">
        <v>-5.0699119053704603E-96</v>
      </c>
      <c r="AZ80" s="566">
        <v>2.7247874261505699E-91</v>
      </c>
      <c r="BA80" s="566">
        <v>0.51294946001112396</v>
      </c>
      <c r="BB80" s="566">
        <v>-4.4215341394189603E-216</v>
      </c>
      <c r="BC80" s="566">
        <v>-1.6985743996712401E-102</v>
      </c>
      <c r="BD80" s="566">
        <v>-3.7417285807931099E-216</v>
      </c>
      <c r="BE80" s="566">
        <v>-7.0437764866613596E-216</v>
      </c>
      <c r="BF80" s="566">
        <v>-1.73051309257928E-102</v>
      </c>
      <c r="BG80" s="566">
        <v>-5.9608041461583695E-216</v>
      </c>
      <c r="BH80" s="566">
        <v>2.0336690793283298E-15</v>
      </c>
      <c r="BI80" s="566">
        <v>-4.9242517766836398E-216</v>
      </c>
      <c r="BJ80" s="566">
        <v>-9.6105855139202605E-102</v>
      </c>
      <c r="BK80" s="566">
        <v>-5.1135098833234703E-111</v>
      </c>
      <c r="BL80" s="566">
        <v>4.3938527377878097E-15</v>
      </c>
      <c r="BM80" s="566">
        <v>-4.9242231927058999E-216</v>
      </c>
      <c r="BN80" s="566">
        <v>4.26540888339565E-92</v>
      </c>
      <c r="BO80" s="566">
        <v>3.59043846252452E-93</v>
      </c>
      <c r="BP80" s="566">
        <v>0.513274330055699</v>
      </c>
      <c r="BQ80" s="566">
        <v>-4.9436393866859797E-216</v>
      </c>
      <c r="BR80" s="566">
        <v>5.86165130583688E-31</v>
      </c>
      <c r="BS80" s="566">
        <v>-4.0663473437011598E-27</v>
      </c>
      <c r="BT80" s="566">
        <v>2.0122631922687501E-15</v>
      </c>
      <c r="BU80" s="566">
        <v>-4.98169633371927E-216</v>
      </c>
      <c r="BV80" s="566">
        <v>1.87362114997143E-90</v>
      </c>
      <c r="BW80" s="566">
        <v>8.0466509839476598E-91</v>
      </c>
      <c r="BX80" s="566">
        <v>4.3757130862213402E-15</v>
      </c>
      <c r="BY80" s="566">
        <v>-4.9816666658610503E-216</v>
      </c>
      <c r="BZ80" s="566">
        <v>1.56788729069715E-89</v>
      </c>
      <c r="CA80" s="566">
        <v>6.3856310504482498E-91</v>
      </c>
      <c r="CB80" s="566">
        <v>0.51327426148697197</v>
      </c>
      <c r="CC80" s="566">
        <v>-4.9445082106220803E-216</v>
      </c>
      <c r="CD80" s="566">
        <v>9.33431305749636E-29</v>
      </c>
      <c r="CE80" s="566">
        <v>3.5954403294837999E-26</v>
      </c>
      <c r="CF80" s="566">
        <v>5.1723792361529399E-15</v>
      </c>
      <c r="CG80" s="566">
        <v>-5.5506980218365903E-216</v>
      </c>
      <c r="CH80" s="566">
        <v>-1.1423427070999301E-95</v>
      </c>
      <c r="CI80" s="566">
        <v>2.7911977605231199E-91</v>
      </c>
      <c r="CJ80" s="566">
        <v>4.82237727350573E-15</v>
      </c>
      <c r="CK80" s="566">
        <v>-5.5506980926811798E-216</v>
      </c>
      <c r="CL80" s="566">
        <v>4.9875142504351798E-92</v>
      </c>
      <c r="CM80" s="566">
        <v>2.7891426800222198E-91</v>
      </c>
      <c r="CN80" s="566">
        <v>5.1723792361529399E-15</v>
      </c>
      <c r="CO80" s="566">
        <v>-5.5506981911659497E-216</v>
      </c>
      <c r="CP80" s="566">
        <v>-1.14234270614348E-95</v>
      </c>
      <c r="CQ80" s="566">
        <v>2.7911977614103599E-91</v>
      </c>
      <c r="CR80" s="566">
        <v>0.51334451764544597</v>
      </c>
      <c r="CS80" s="566">
        <v>-1.64886781828108E-215</v>
      </c>
      <c r="CT80" s="566">
        <v>-1.5358346288351101E-101</v>
      </c>
      <c r="CU80" s="566">
        <v>-1.2907145634746601E-215</v>
      </c>
      <c r="CV80" s="566">
        <v>-2.6267481085333E-215</v>
      </c>
      <c r="CW80" s="566">
        <v>-1.56471328502535E-101</v>
      </c>
      <c r="CX80" s="566">
        <v>-2.0557988068038899E-215</v>
      </c>
      <c r="CY80" s="566">
        <v>0.51334433977431404</v>
      </c>
      <c r="CZ80" s="566">
        <v>-2.1212252526366101E-215</v>
      </c>
      <c r="DA80" s="566">
        <v>1.98398726436314E-28</v>
      </c>
      <c r="DB80" s="566">
        <v>-3.3210910251173302E-23</v>
      </c>
      <c r="DC80" s="566">
        <v>0.51334497006993596</v>
      </c>
      <c r="DD80" s="566">
        <v>-2.12155940230913E-215</v>
      </c>
      <c r="DE80" s="566">
        <v>3.0863556402843901E-25</v>
      </c>
      <c r="DF80" s="566">
        <v>-5.0991483340072403E-20</v>
      </c>
      <c r="DG80" s="566">
        <v>0.513345056805385</v>
      </c>
      <c r="DH80" s="566">
        <v>-2.1219322627862401E-215</v>
      </c>
      <c r="DI80" s="566">
        <v>3.0867827929327798E-25</v>
      </c>
      <c r="DJ80" s="566">
        <v>-5.0993405952262703E-20</v>
      </c>
      <c r="DK80" s="566">
        <v>2.12917669247557E-13</v>
      </c>
      <c r="DL80" s="566">
        <v>-2.2213988634132799E-215</v>
      </c>
      <c r="DM80" s="566">
        <v>-3.4133652876773702E-95</v>
      </c>
      <c r="DN80" s="566">
        <v>2.8693852670932198E-91</v>
      </c>
      <c r="DO80" s="566">
        <v>0.51334451807603898</v>
      </c>
      <c r="DP80" s="566">
        <v>-8.0910482749033399E-215</v>
      </c>
      <c r="DQ80" s="566">
        <v>-6.7978923422143196E-101</v>
      </c>
      <c r="DR80" s="566">
        <v>-1.3764843504119201E-213</v>
      </c>
      <c r="DS80" s="566">
        <v>-7.0305915633641704E-214</v>
      </c>
      <c r="DT80" s="566">
        <v>-7.1683328080917495E-101</v>
      </c>
      <c r="DU80" s="566">
        <v>1.5029714857259E-212</v>
      </c>
      <c r="DV80" s="566">
        <v>0.51334576848838998</v>
      </c>
      <c r="DW80" s="566">
        <v>-3.11256975520561E-214</v>
      </c>
      <c r="DX80" s="566">
        <v>8.9286181773003397E-25</v>
      </c>
      <c r="DY80" s="566">
        <v>-1.1949593241843099E-18</v>
      </c>
      <c r="DZ80" s="566">
        <v>0.51334612199278695</v>
      </c>
      <c r="EA80" s="566">
        <v>-3.1130339474558E-214</v>
      </c>
      <c r="EB80" s="566">
        <v>1.17554607505336E-21</v>
      </c>
      <c r="EC80" s="566">
        <v>-1.55428924968327E-15</v>
      </c>
      <c r="ED80" s="566">
        <v>0.51334620880926496</v>
      </c>
      <c r="EE80" s="566">
        <v>-3.1135504554728499E-214</v>
      </c>
      <c r="EF80" s="566">
        <v>1.10376025685563E-14</v>
      </c>
      <c r="EG80" s="566">
        <v>-1.82429934822025E-9</v>
      </c>
      <c r="EH80" s="566">
        <v>6.1635129199072397E-14</v>
      </c>
      <c r="EI80" s="566">
        <v>-4.1807029174891898E-214</v>
      </c>
      <c r="EJ80" s="566">
        <v>1.06438776588421E-90</v>
      </c>
      <c r="EK80" s="566">
        <v>2.99851054178576E-91</v>
      </c>
      <c r="EL80" s="566">
        <v>0.513346573553907</v>
      </c>
      <c r="EM80" s="566">
        <v>-5.7346662706192501E-215</v>
      </c>
      <c r="EN80" s="566">
        <v>-4.0300424523802903E-101</v>
      </c>
      <c r="EO80" s="566">
        <v>-3.8537582491281198E-215</v>
      </c>
      <c r="EP80" s="566">
        <v>-7.1724331943495798E-215</v>
      </c>
      <c r="EQ80" s="566">
        <v>-4.0704948353316101E-101</v>
      </c>
      <c r="ER80" s="566">
        <v>-4.8198576257325698E-215</v>
      </c>
      <c r="ES80" s="566">
        <v>0.51335208019583101</v>
      </c>
      <c r="ET80" s="566">
        <v>-6.5299849074244996E-215</v>
      </c>
      <c r="EU80" s="566">
        <v>-2.2411899372376801E-33</v>
      </c>
      <c r="EV80" s="566">
        <v>-3.02658212466701E-24</v>
      </c>
      <c r="EW80" s="566">
        <v>0.51335210460765002</v>
      </c>
      <c r="EX80" s="566">
        <v>-6.5309674143141003E-215</v>
      </c>
      <c r="EY80" s="566">
        <v>-4.0717858375771103E-30</v>
      </c>
      <c r="EZ80" s="566">
        <v>-5.0858987060506301E-21</v>
      </c>
      <c r="FA80" s="566">
        <v>0.51335219144434896</v>
      </c>
      <c r="FB80" s="566">
        <v>-6.5320666764439295E-215</v>
      </c>
      <c r="FC80" s="566">
        <v>-4.0719129121231901E-30</v>
      </c>
      <c r="FD80" s="566">
        <v>-5.0860325369924001E-21</v>
      </c>
      <c r="FE80" s="566">
        <v>1.3836921066207399E-11</v>
      </c>
      <c r="FF80" s="566">
        <v>-6.6085343241618903E-215</v>
      </c>
      <c r="FG80" s="566">
        <v>-1.6610218781429701E-95</v>
      </c>
      <c r="FH80" s="566">
        <v>2.9341510667156303E-91</v>
      </c>
    </row>
    <row r="81" spans="1:164" ht="12.75" customHeight="1" x14ac:dyDescent="0.3">
      <c r="A81" s="422"/>
      <c r="B81" s="422"/>
      <c r="C81" s="422"/>
      <c r="D81" s="422"/>
      <c r="E81" s="422"/>
      <c r="F81" s="568"/>
      <c r="G81" s="569"/>
      <c r="H81" s="439"/>
      <c r="I81" s="574">
        <v>5025534.3974563302</v>
      </c>
      <c r="J81" s="566">
        <v>0.48558857953900197</v>
      </c>
      <c r="K81" s="566">
        <v>5.5953774721990502E-217</v>
      </c>
      <c r="L81" s="566">
        <v>1.64805082839796E-103</v>
      </c>
      <c r="M81" s="566">
        <v>8.3161636026891404E-217</v>
      </c>
      <c r="N81" s="566">
        <v>8.9137816443679992E-217</v>
      </c>
      <c r="O81" s="566">
        <v>1.67903951337664E-103</v>
      </c>
      <c r="P81" s="566">
        <v>1.3248161433107201E-216</v>
      </c>
      <c r="Q81" s="566">
        <v>1.3308479089104199E-16</v>
      </c>
      <c r="R81" s="566">
        <v>6.3576882766780103E-217</v>
      </c>
      <c r="S81" s="566">
        <v>6.0550336894469095E-103</v>
      </c>
      <c r="T81" s="566">
        <v>-1.53726746370025E-110</v>
      </c>
      <c r="U81" s="566">
        <v>7.5896972424387304E-18</v>
      </c>
      <c r="V81" s="566">
        <v>6.6052073235206598E-220</v>
      </c>
      <c r="W81" s="566">
        <v>-1.22181778247988E-93</v>
      </c>
      <c r="X81" s="566">
        <v>-2.17368899049948E-94</v>
      </c>
      <c r="Y81" s="566">
        <v>0.416225073233564</v>
      </c>
      <c r="Z81" s="566">
        <v>4.7510071644415696E-217</v>
      </c>
      <c r="AA81" s="566">
        <v>-1.58926557247418E-35</v>
      </c>
      <c r="AB81" s="566">
        <v>4.8839145907003401E-32</v>
      </c>
      <c r="AC81" s="566">
        <v>6.2832469358729905E-19</v>
      </c>
      <c r="AD81" s="566">
        <v>7.0933854541945802E-217</v>
      </c>
      <c r="AE81" s="566">
        <v>-4.5951752346138899E-91</v>
      </c>
      <c r="AF81" s="566">
        <v>-3.6493827787734701E-91</v>
      </c>
      <c r="AG81" s="566">
        <v>7.2617848895404502E-18</v>
      </c>
      <c r="AH81" s="566">
        <v>7.3695470568558896E-220</v>
      </c>
      <c r="AI81" s="566">
        <v>-6.1719846275284796E-91</v>
      </c>
      <c r="AJ81" s="566">
        <v>-2.4102566320967199E-91</v>
      </c>
      <c r="AK81" s="566">
        <v>0.41476069019307499</v>
      </c>
      <c r="AL81" s="566">
        <v>4.7814311625845298E-217</v>
      </c>
      <c r="AM81" s="566">
        <v>-1.5901926114313299E-35</v>
      </c>
      <c r="AN81" s="566">
        <v>4.8798464726247801E-32</v>
      </c>
      <c r="AO81" s="566">
        <v>3.3322016996227602E-16</v>
      </c>
      <c r="AP81" s="566">
        <v>7.0243156380097803E-217</v>
      </c>
      <c r="AQ81" s="566">
        <v>2.4129173657196799E-96</v>
      </c>
      <c r="AR81" s="566">
        <v>-1.2967690694332999E-91</v>
      </c>
      <c r="AS81" s="566">
        <v>9.4378880677386302E-18</v>
      </c>
      <c r="AT81" s="566">
        <v>7.0022612378562797E-219</v>
      </c>
      <c r="AU81" s="566">
        <v>-8.5874796525658102E-93</v>
      </c>
      <c r="AV81" s="566">
        <v>-1.23703509135354E-91</v>
      </c>
      <c r="AW81" s="566">
        <v>3.3322016996227602E-16</v>
      </c>
      <c r="AX81" s="566">
        <v>7.0243156499337597E-217</v>
      </c>
      <c r="AY81" s="566">
        <v>2.4129173698061799E-96</v>
      </c>
      <c r="AZ81" s="566">
        <v>-1.2967690698900301E-91</v>
      </c>
      <c r="BA81" s="566">
        <v>0.50269553157240898</v>
      </c>
      <c r="BB81" s="566">
        <v>2.1047288942939199E-216</v>
      </c>
      <c r="BC81" s="566">
        <v>8.0842636865987896E-103</v>
      </c>
      <c r="BD81" s="566">
        <v>1.7811293569763801E-216</v>
      </c>
      <c r="BE81" s="566">
        <v>3.3529628922801501E-216</v>
      </c>
      <c r="BF81" s="566">
        <v>8.2362739931990195E-103</v>
      </c>
      <c r="BG81" s="566">
        <v>2.83744879583385E-216</v>
      </c>
      <c r="BH81" s="566">
        <v>1.9930157619233298E-15</v>
      </c>
      <c r="BI81" s="566">
        <v>2.34403143125619E-216</v>
      </c>
      <c r="BJ81" s="566">
        <v>4.5741009338328703E-102</v>
      </c>
      <c r="BK81" s="566">
        <v>2.4338143200121101E-111</v>
      </c>
      <c r="BL81" s="566">
        <v>4.3060190310290902E-15</v>
      </c>
      <c r="BM81" s="566">
        <v>2.34401782477341E-216</v>
      </c>
      <c r="BN81" s="566">
        <v>-2.0299985563644599E-92</v>
      </c>
      <c r="BO81" s="566">
        <v>-1.7087527473746801E-93</v>
      </c>
      <c r="BP81" s="566">
        <v>0.50301390742125796</v>
      </c>
      <c r="BQ81" s="566">
        <v>2.35326027845513E-216</v>
      </c>
      <c r="BR81" s="566">
        <v>-2.7882337091859102E-31</v>
      </c>
      <c r="BS81" s="566">
        <v>1.9342546788749899E-27</v>
      </c>
      <c r="BT81" s="566">
        <v>1.9720377813766999E-15</v>
      </c>
      <c r="BU81" s="566">
        <v>2.3713760621459901E-216</v>
      </c>
      <c r="BV81" s="566">
        <v>-8.9168625505482705E-91</v>
      </c>
      <c r="BW81" s="566">
        <v>-3.8295298287602597E-91</v>
      </c>
      <c r="BX81" s="566">
        <v>4.2882419934744898E-15</v>
      </c>
      <c r="BY81" s="566">
        <v>2.3713619397162599E-216</v>
      </c>
      <c r="BZ81" s="566">
        <v>-7.4618639120987396E-90</v>
      </c>
      <c r="CA81" s="566">
        <v>-3.0390372431095198E-91</v>
      </c>
      <c r="CB81" s="566">
        <v>0.50301384022322904</v>
      </c>
      <c r="CC81" s="566">
        <v>2.3536738541017001E-216</v>
      </c>
      <c r="CD81" s="566">
        <v>-4.4423349997101499E-29</v>
      </c>
      <c r="CE81" s="566">
        <v>-1.7112713084519399E-26</v>
      </c>
      <c r="CF81" s="566">
        <v>5.0689826821449697E-15</v>
      </c>
      <c r="CG81" s="566">
        <v>2.6422309862770401E-216</v>
      </c>
      <c r="CH81" s="566">
        <v>5.4367385698912496E-96</v>
      </c>
      <c r="CI81" s="566">
        <v>-1.3283747895541901E-91</v>
      </c>
      <c r="CJ81" s="566">
        <v>4.7259773025192399E-15</v>
      </c>
      <c r="CK81" s="566">
        <v>2.6422310200011199E-216</v>
      </c>
      <c r="CL81" s="566">
        <v>-2.3736683136260398E-92</v>
      </c>
      <c r="CM81" s="566">
        <v>-1.3273967402969101E-91</v>
      </c>
      <c r="CN81" s="566">
        <v>5.0689826821449697E-15</v>
      </c>
      <c r="CO81" s="566">
        <v>2.6422310668819101E-216</v>
      </c>
      <c r="CP81" s="566">
        <v>5.4367385653402298E-96</v>
      </c>
      <c r="CQ81" s="566">
        <v>-1.32837478997619E-91</v>
      </c>
      <c r="CR81" s="566">
        <v>0.50308269195168598</v>
      </c>
      <c r="CS81" s="566">
        <v>7.8489040920589803E-216</v>
      </c>
      <c r="CT81" s="566">
        <v>7.3097134402377495E-102</v>
      </c>
      <c r="CU81" s="566">
        <v>6.1440308806669204E-216</v>
      </c>
      <c r="CV81" s="566">
        <v>1.25037882050206E-215</v>
      </c>
      <c r="CW81" s="566">
        <v>7.4471596843398297E-102</v>
      </c>
      <c r="CX81" s="566">
        <v>9.7859679517674696E-216</v>
      </c>
      <c r="CY81" s="566">
        <v>0.50308251763621603</v>
      </c>
      <c r="CZ81" s="566">
        <v>1.0097409495779E-215</v>
      </c>
      <c r="DA81" s="566">
        <v>-9.4385461337918399E-29</v>
      </c>
      <c r="DB81" s="566">
        <v>1.5799636039731199E-23</v>
      </c>
      <c r="DC81" s="566">
        <v>0.50308313533214499</v>
      </c>
      <c r="DD81" s="566">
        <v>1.00990001076615E-215</v>
      </c>
      <c r="DE81" s="566">
        <v>-1.4684583046962899E-25</v>
      </c>
      <c r="DF81" s="566">
        <v>2.42612564886988E-20</v>
      </c>
      <c r="DG81" s="566">
        <v>0.50308322033374098</v>
      </c>
      <c r="DH81" s="566">
        <v>1.01007749898575E-215</v>
      </c>
      <c r="DI81" s="566">
        <v>-1.4683397649656199E-25</v>
      </c>
      <c r="DJ81" s="566">
        <v>2.4256854379552599E-20</v>
      </c>
      <c r="DK81" s="566">
        <v>2.08661416509217E-13</v>
      </c>
      <c r="DL81" s="566">
        <v>1.05742537005169E-215</v>
      </c>
      <c r="DM81" s="566">
        <v>1.62451903411963E-95</v>
      </c>
      <c r="DN81" s="566">
        <v>-1.3655854501725101E-91</v>
      </c>
      <c r="DO81" s="566">
        <v>0.50308269237367098</v>
      </c>
      <c r="DP81" s="566">
        <v>3.8514828908560501E-215</v>
      </c>
      <c r="DQ81" s="566">
        <v>3.2354163714132698E-101</v>
      </c>
      <c r="DR81" s="566">
        <v>6.55230986631607E-214</v>
      </c>
      <c r="DS81" s="566">
        <v>3.3466823757595198E-214</v>
      </c>
      <c r="DT81" s="566">
        <v>3.4117253047709699E-101</v>
      </c>
      <c r="DU81" s="566">
        <v>-7.1544144911020498E-213</v>
      </c>
      <c r="DV81" s="566">
        <v>0.50308391779010697</v>
      </c>
      <c r="DW81" s="566">
        <v>1.4816369887828001E-214</v>
      </c>
      <c r="DX81" s="566">
        <v>-4.2482279881216804E-25</v>
      </c>
      <c r="DY81" s="566">
        <v>5.6856062239001996E-19</v>
      </c>
      <c r="DZ81" s="566">
        <v>0.50308426422790398</v>
      </c>
      <c r="EA81" s="566">
        <v>1.4818579522928101E-214</v>
      </c>
      <c r="EB81" s="566">
        <v>-5.5938815571530195E-22</v>
      </c>
      <c r="EC81" s="566">
        <v>7.3961455941706105E-16</v>
      </c>
      <c r="ED81" s="566">
        <v>0.503084349308908</v>
      </c>
      <c r="EE81" s="566">
        <v>1.48210381900874E-214</v>
      </c>
      <c r="EF81" s="566">
        <v>-5.2529865336909997E-15</v>
      </c>
      <c r="EG81" s="566">
        <v>8.6821570618261105E-10</v>
      </c>
      <c r="EH81" s="566">
        <v>6.0403034339327404E-14</v>
      </c>
      <c r="EI81" s="566">
        <v>1.99008664136488E-214</v>
      </c>
      <c r="EJ81" s="566">
        <v>-5.0656427307479098E-91</v>
      </c>
      <c r="EK81" s="566">
        <v>-1.4270381935153199E-91</v>
      </c>
      <c r="EL81" s="566">
        <v>0.50308470676226102</v>
      </c>
      <c r="EM81" s="566">
        <v>2.7298031448601501E-215</v>
      </c>
      <c r="EN81" s="566">
        <v>1.9180747019124301E-101</v>
      </c>
      <c r="EO81" s="566">
        <v>1.8344574705834E-215</v>
      </c>
      <c r="EP81" s="566">
        <v>3.4142057734978399E-215</v>
      </c>
      <c r="EQ81" s="566">
        <v>1.93732777263857E-101</v>
      </c>
      <c r="ER81" s="566">
        <v>2.29433795714708E-215</v>
      </c>
      <c r="ES81" s="566">
        <v>0.50309010332567405</v>
      </c>
      <c r="ET81" s="566">
        <v>3.1083889619695498E-215</v>
      </c>
      <c r="EU81" s="566">
        <v>1.13517010980382E-33</v>
      </c>
      <c r="EV81" s="566">
        <v>1.4399164672210399E-24</v>
      </c>
      <c r="EW81" s="566">
        <v>0.50309012724949798</v>
      </c>
      <c r="EX81" s="566">
        <v>3.10885665272198E-215</v>
      </c>
      <c r="EY81" s="566">
        <v>2.06260458644618E-30</v>
      </c>
      <c r="EZ81" s="566">
        <v>2.4199319848840198E-21</v>
      </c>
      <c r="FA81" s="566">
        <v>0.50309021235032003</v>
      </c>
      <c r="FB81" s="566">
        <v>3.10937992104612E-215</v>
      </c>
      <c r="FC81" s="566">
        <v>2.0622343481380699E-30</v>
      </c>
      <c r="FD81" s="566">
        <v>2.41946534171541E-21</v>
      </c>
      <c r="FE81" s="566">
        <v>1.35603191600041E-11</v>
      </c>
      <c r="FF81" s="566">
        <v>3.1457798814600202E-215</v>
      </c>
      <c r="FG81" s="566">
        <v>7.9054308134763605E-96</v>
      </c>
      <c r="FH81" s="566">
        <v>-1.3964085099574401E-91</v>
      </c>
    </row>
    <row r="82" spans="1:164" ht="12.75" customHeight="1" x14ac:dyDescent="0.3">
      <c r="A82" s="422"/>
      <c r="B82" s="422"/>
      <c r="C82" s="422"/>
      <c r="D82" s="422"/>
      <c r="E82" s="422"/>
      <c r="F82" s="568"/>
      <c r="G82" s="569"/>
      <c r="H82" s="439"/>
      <c r="I82" s="574">
        <v>5109293.3040806102</v>
      </c>
      <c r="J82" s="566">
        <v>0.47588159223265802</v>
      </c>
      <c r="K82" s="566">
        <v>1.3911518922454501E-215</v>
      </c>
      <c r="L82" s="566">
        <v>4.0979723363645904E-102</v>
      </c>
      <c r="M82" s="566">
        <v>2.06760791199328E-215</v>
      </c>
      <c r="N82" s="566">
        <v>2.2161908223776399E-215</v>
      </c>
      <c r="O82" s="566">
        <v>4.17502746815653E-102</v>
      </c>
      <c r="P82" s="566">
        <v>3.2938269022989297E-215</v>
      </c>
      <c r="Q82" s="566">
        <v>1.3042440629741501E-16</v>
      </c>
      <c r="R82" s="566">
        <v>1.58068157516631E-215</v>
      </c>
      <c r="S82" s="566">
        <v>1.50561864522347E-101</v>
      </c>
      <c r="T82" s="566">
        <v>-3.8224112464512302E-109</v>
      </c>
      <c r="U82" s="566">
        <v>7.4379657433517601E-18</v>
      </c>
      <c r="V82" s="566">
        <v>1.6422210498655999E-218</v>
      </c>
      <c r="W82" s="566">
        <v>-3.0382303965675099E-92</v>
      </c>
      <c r="X82" s="566">
        <v>-5.40525656534269E-93</v>
      </c>
      <c r="Y82" s="566">
        <v>0.40790467264607899</v>
      </c>
      <c r="Z82" s="566">
        <v>1.18122014818919E-215</v>
      </c>
      <c r="AA82" s="566">
        <v>-3.9538050483601002E-34</v>
      </c>
      <c r="AB82" s="566">
        <v>1.2150288458406E-30</v>
      </c>
      <c r="AC82" s="566">
        <v>6.15764390977138E-19</v>
      </c>
      <c r="AD82" s="566">
        <v>1.7635944395278899E-215</v>
      </c>
      <c r="AE82" s="566">
        <v>-1.14266983919281E-89</v>
      </c>
      <c r="AF82" s="566">
        <v>-9.0748217860364801E-90</v>
      </c>
      <c r="AG82" s="566">
        <v>7.1166082401962298E-18</v>
      </c>
      <c r="AH82" s="566">
        <v>1.8322551756472199E-218</v>
      </c>
      <c r="AI82" s="566">
        <v>-1.53477128350467E-89</v>
      </c>
      <c r="AJ82" s="566">
        <v>-5.9935208303288501E-90</v>
      </c>
      <c r="AK82" s="566">
        <v>0.406469562838497</v>
      </c>
      <c r="AL82" s="566">
        <v>1.1887843210796201E-215</v>
      </c>
      <c r="AM82" s="566">
        <v>-3.9568019286498797E-34</v>
      </c>
      <c r="AN82" s="566">
        <v>1.21422953989635E-30</v>
      </c>
      <c r="AO82" s="566">
        <v>3.2655904963051101E-16</v>
      </c>
      <c r="AP82" s="566">
        <v>1.74642194205824E-215</v>
      </c>
      <c r="AQ82" s="566">
        <v>6.0000081527052699E-95</v>
      </c>
      <c r="AR82" s="566">
        <v>-3.2246423199746299E-90</v>
      </c>
      <c r="AS82" s="566">
        <v>9.2491986547585907E-18</v>
      </c>
      <c r="AT82" s="566">
        <v>1.7409386622155299E-217</v>
      </c>
      <c r="AU82" s="566">
        <v>-2.1354036649962301E-91</v>
      </c>
      <c r="AV82" s="566">
        <v>-3.0761033794898702E-90</v>
      </c>
      <c r="AW82" s="566">
        <v>3.2655904963051002E-16</v>
      </c>
      <c r="AX82" s="566">
        <v>1.74642194502261E-215</v>
      </c>
      <c r="AY82" s="566">
        <v>6.0000081628670601E-95</v>
      </c>
      <c r="AZ82" s="566">
        <v>-3.2246423211106698E-90</v>
      </c>
      <c r="BA82" s="566">
        <v>0.49264657377245102</v>
      </c>
      <c r="BB82" s="566">
        <v>5.2328866077556395E-215</v>
      </c>
      <c r="BC82" s="566">
        <v>2.0101982521842901E-101</v>
      </c>
      <c r="BD82" s="566">
        <v>4.4283365824823202E-215</v>
      </c>
      <c r="BE82" s="566">
        <v>8.3363109913513598E-215</v>
      </c>
      <c r="BF82" s="566">
        <v>2.04799648149553E-101</v>
      </c>
      <c r="BG82" s="566">
        <v>7.0546129927602495E-215</v>
      </c>
      <c r="BH82" s="566">
        <v>1.9531750829191198E-15</v>
      </c>
      <c r="BI82" s="566">
        <v>5.8278530398986498E-215</v>
      </c>
      <c r="BJ82" s="566">
        <v>1.13737627308494E-100</v>
      </c>
      <c r="BK82" s="566">
        <v>6.0516807689916801E-110</v>
      </c>
      <c r="BL82" s="566">
        <v>4.2199410616072003E-15</v>
      </c>
      <c r="BM82" s="566">
        <v>5.8278192107546199E-215</v>
      </c>
      <c r="BN82" s="566">
        <v>-5.0478988410871797E-91</v>
      </c>
      <c r="BO82" s="566">
        <v>-4.2490982125552298E-92</v>
      </c>
      <c r="BP82" s="566">
        <v>0.49295858524111003</v>
      </c>
      <c r="BQ82" s="566">
        <v>5.8507982805177899E-215</v>
      </c>
      <c r="BR82" s="566">
        <v>-6.9362198249215295E-30</v>
      </c>
      <c r="BS82" s="566">
        <v>4.8117974690248597E-26</v>
      </c>
      <c r="BT82" s="566">
        <v>1.9326164549986902E-15</v>
      </c>
      <c r="BU82" s="566">
        <v>5.8958386855408202E-215</v>
      </c>
      <c r="BV82" s="566">
        <v>-2.2173321830524198E-89</v>
      </c>
      <c r="BW82" s="566">
        <v>-9.5227886346023899E-90</v>
      </c>
      <c r="BX82" s="566">
        <v>4.2025193892295799E-15</v>
      </c>
      <c r="BY82" s="566">
        <v>5.8958035736235798E-215</v>
      </c>
      <c r="BZ82" s="566">
        <v>-1.8555141773968E-88</v>
      </c>
      <c r="CA82" s="566">
        <v>-7.55706574012929E-90</v>
      </c>
      <c r="CB82" s="566">
        <v>0.49295851938637703</v>
      </c>
      <c r="CC82" s="566">
        <v>5.8518265338334097E-215</v>
      </c>
      <c r="CD82" s="566">
        <v>-1.1046661885380999E-27</v>
      </c>
      <c r="CE82" s="566">
        <v>-4.2550892833280202E-25</v>
      </c>
      <c r="CF82" s="566">
        <v>4.9676529708936197E-15</v>
      </c>
      <c r="CG82" s="566">
        <v>6.5692523061642404E-215</v>
      </c>
      <c r="CH82" s="566">
        <v>1.3519101900187699E-94</v>
      </c>
      <c r="CI82" s="566">
        <v>-3.3032354519808401E-90</v>
      </c>
      <c r="CJ82" s="566">
        <v>4.6315042947119203E-15</v>
      </c>
      <c r="CK82" s="566">
        <v>6.5692523900093603E-215</v>
      </c>
      <c r="CL82" s="566">
        <v>-5.9024768866717196E-91</v>
      </c>
      <c r="CM82" s="566">
        <v>-3.3008033703267602E-90</v>
      </c>
      <c r="CN82" s="566">
        <v>4.9676529708936197E-15</v>
      </c>
      <c r="CO82" s="566">
        <v>6.5692525065660098E-215</v>
      </c>
      <c r="CP82" s="566">
        <v>1.35191018888698E-94</v>
      </c>
      <c r="CQ82" s="566">
        <v>-3.3032354530306502E-90</v>
      </c>
      <c r="CR82" s="566">
        <v>0.49302599475866199</v>
      </c>
      <c r="CS82" s="566">
        <v>1.9514354186067999E-214</v>
      </c>
      <c r="CT82" s="566">
        <v>1.8176019178946E-100</v>
      </c>
      <c r="CU82" s="566">
        <v>1.5275609634928801E-214</v>
      </c>
      <c r="CV82" s="566">
        <v>3.1087569530546602E-214</v>
      </c>
      <c r="CW82" s="566">
        <v>1.8517787100390601E-100</v>
      </c>
      <c r="CX82" s="566">
        <v>2.4330383300195001E-214</v>
      </c>
      <c r="CY82" s="566">
        <v>0.49302582392775401</v>
      </c>
      <c r="CZ82" s="566">
        <v>2.5104705440568298E-214</v>
      </c>
      <c r="DA82" s="566">
        <v>-2.3477596673831599E-27</v>
      </c>
      <c r="DB82" s="566">
        <v>3.9300271744186801E-22</v>
      </c>
      <c r="DC82" s="566">
        <v>0.49302642927585</v>
      </c>
      <c r="DD82" s="566">
        <v>2.5108660102667998E-214</v>
      </c>
      <c r="DE82" s="566">
        <v>-3.6523385831197698E-24</v>
      </c>
      <c r="DF82" s="566">
        <v>6.0342417726370299E-19</v>
      </c>
      <c r="DG82" s="566">
        <v>0.49302651257825197</v>
      </c>
      <c r="DH82" s="566">
        <v>2.5113072907222798E-214</v>
      </c>
      <c r="DI82" s="566">
        <v>-3.6526772026960297E-24</v>
      </c>
      <c r="DJ82" s="566">
        <v>6.0341935700320404E-19</v>
      </c>
      <c r="DK82" s="566">
        <v>2.0449024402550699E-13</v>
      </c>
      <c r="DL82" s="566">
        <v>2.6290260340185801E-214</v>
      </c>
      <c r="DM82" s="566">
        <v>4.0395612331911402E-94</v>
      </c>
      <c r="DN82" s="566">
        <v>-3.3957662454834801E-90</v>
      </c>
      <c r="DO82" s="566">
        <v>0.49302599517221102</v>
      </c>
      <c r="DP82" s="566">
        <v>9.5757573786375598E-214</v>
      </c>
      <c r="DQ82" s="566">
        <v>8.0450472510967095E-100</v>
      </c>
      <c r="DR82" s="566">
        <v>1.6290695012181199E-212</v>
      </c>
      <c r="DS82" s="566">
        <v>8.3207044247503406E-213</v>
      </c>
      <c r="DT82" s="566">
        <v>8.4834494648526697E-100</v>
      </c>
      <c r="DU82" s="566">
        <v>-1.7787672274367399E-211</v>
      </c>
      <c r="DV82" s="566">
        <v>0.49302719609236101</v>
      </c>
      <c r="DW82" s="566">
        <v>3.68372615957306E-213</v>
      </c>
      <c r="DX82" s="566">
        <v>-1.05660087016222E-23</v>
      </c>
      <c r="DY82" s="566">
        <v>1.41409912681337E-17</v>
      </c>
      <c r="DZ82" s="566">
        <v>0.49302753560481499</v>
      </c>
      <c r="EA82" s="566">
        <v>3.6842755310676799E-213</v>
      </c>
      <c r="EB82" s="566">
        <v>-1.3911591092092901E-20</v>
      </c>
      <c r="EC82" s="566">
        <v>1.83936954204067E-14</v>
      </c>
      <c r="ED82" s="566">
        <v>0.493027618985033</v>
      </c>
      <c r="EE82" s="566">
        <v>3.68488681826867E-213</v>
      </c>
      <c r="EF82" s="566">
        <v>-1.3062430102741301E-13</v>
      </c>
      <c r="EG82" s="566">
        <v>2.1589636493969001E-8</v>
      </c>
      <c r="EH82" s="566">
        <v>5.9195565843768805E-14</v>
      </c>
      <c r="EI82" s="566">
        <v>4.9478616086410402E-213</v>
      </c>
      <c r="EJ82" s="566">
        <v>-1.25964964756692E-89</v>
      </c>
      <c r="EK82" s="566">
        <v>-3.5485792031120001E-90</v>
      </c>
      <c r="EL82" s="566">
        <v>0.49302796929287401</v>
      </c>
      <c r="EM82" s="566">
        <v>6.7869787682799799E-214</v>
      </c>
      <c r="EN82" s="566">
        <v>4.7694020912907805E-100</v>
      </c>
      <c r="EO82" s="566">
        <v>4.5609237185291298E-214</v>
      </c>
      <c r="EP82" s="566">
        <v>8.4885762326494593E-214</v>
      </c>
      <c r="EQ82" s="566">
        <v>4.8172759492269698E-100</v>
      </c>
      <c r="ER82" s="566">
        <v>5.7043025389812798E-214</v>
      </c>
      <c r="ES82" s="566">
        <v>0.49303325797818598</v>
      </c>
      <c r="ET82" s="566">
        <v>7.7282385464931301E-214</v>
      </c>
      <c r="EU82" s="566">
        <v>2.6878800600019602E-32</v>
      </c>
      <c r="EV82" s="566">
        <v>3.5815506786251698E-23</v>
      </c>
      <c r="EW82" s="566">
        <v>0.49303328142376901</v>
      </c>
      <c r="EX82" s="566">
        <v>7.7294013436072E-214</v>
      </c>
      <c r="EY82" s="566">
        <v>4.88345106213066E-29</v>
      </c>
      <c r="EZ82" s="566">
        <v>6.01861963960408E-20</v>
      </c>
      <c r="FA82" s="566">
        <v>0.49303336482341598</v>
      </c>
      <c r="FB82" s="566">
        <v>7.7307023205740803E-214</v>
      </c>
      <c r="FC82" s="566">
        <v>4.88337788721296E-29</v>
      </c>
      <c r="FD82" s="566">
        <v>6.0185030010429299E-20</v>
      </c>
      <c r="FE82" s="566">
        <v>1.3289246380489699E-11</v>
      </c>
      <c r="FF82" s="566">
        <v>7.8212017981451298E-214</v>
      </c>
      <c r="FG82" s="566">
        <v>1.96575088615588E-94</v>
      </c>
      <c r="FH82" s="566">
        <v>-3.4724131561449601E-90</v>
      </c>
    </row>
    <row r="83" spans="1:164" ht="12.75" customHeight="1" x14ac:dyDescent="0.3">
      <c r="A83" s="422"/>
      <c r="B83" s="422"/>
      <c r="C83" s="422"/>
      <c r="D83" s="422"/>
      <c r="E83" s="422"/>
      <c r="F83" s="568"/>
      <c r="G83" s="569"/>
      <c r="H83" s="439"/>
      <c r="I83" s="574">
        <v>5193052.2107048798</v>
      </c>
      <c r="J83" s="566">
        <v>0.466368651222343</v>
      </c>
      <c r="K83" s="566">
        <v>1.0804330034600499E-215</v>
      </c>
      <c r="L83" s="566">
        <v>3.1826691515118999E-102</v>
      </c>
      <c r="M83" s="566">
        <v>1.60580008465275E-215</v>
      </c>
      <c r="N83" s="566">
        <v>1.7211964558357201E-215</v>
      </c>
      <c r="O83" s="566">
        <v>3.2425136235557499E-102</v>
      </c>
      <c r="P83" s="566">
        <v>2.5581385560882402E-215</v>
      </c>
      <c r="Q83" s="566">
        <v>1.2781720378388299E-16</v>
      </c>
      <c r="R83" s="566">
        <v>1.2276305350196701E-215</v>
      </c>
      <c r="S83" s="566">
        <v>1.16933098195215E-101</v>
      </c>
      <c r="T83" s="566">
        <v>-2.9686571449881302E-109</v>
      </c>
      <c r="U83" s="566">
        <v>7.2892823600603898E-18</v>
      </c>
      <c r="V83" s="566">
        <v>1.27542494183559E-218</v>
      </c>
      <c r="W83" s="566">
        <v>-2.3596246979551202E-92</v>
      </c>
      <c r="X83" s="566">
        <v>-4.1979616846174398E-93</v>
      </c>
      <c r="Y83" s="566">
        <v>0.39975059996907703</v>
      </c>
      <c r="Z83" s="566">
        <v>9.1739028611435205E-216</v>
      </c>
      <c r="AA83" s="566">
        <v>-3.0706784358351499E-34</v>
      </c>
      <c r="AB83" s="566">
        <v>9.4363856156719505E-31</v>
      </c>
      <c r="AC83" s="566">
        <v>6.0345517269663099E-19</v>
      </c>
      <c r="AD83" s="566">
        <v>1.3696891387675499E-215</v>
      </c>
      <c r="AE83" s="566">
        <v>-8.8744802074682404E-90</v>
      </c>
      <c r="AF83" s="566">
        <v>-7.0479086402922002E-90</v>
      </c>
      <c r="AG83" s="566">
        <v>6.9743488746081008E-18</v>
      </c>
      <c r="AH83" s="566">
        <v>1.4230142470887601E-218</v>
      </c>
      <c r="AI83" s="566">
        <v>-1.1919713676415599E-89</v>
      </c>
      <c r="AJ83" s="566">
        <v>-4.65483379985994E-90</v>
      </c>
      <c r="AK83" s="566">
        <v>0.39834417821155998</v>
      </c>
      <c r="AL83" s="566">
        <v>9.2326497318503801E-216</v>
      </c>
      <c r="AM83" s="566">
        <v>-3.0729976926530898E-34</v>
      </c>
      <c r="AN83" s="566">
        <v>9.4301525179845295E-31</v>
      </c>
      <c r="AO83" s="566">
        <v>3.2003108757813302E-16</v>
      </c>
      <c r="AP83" s="566">
        <v>1.3563521817311199E-215</v>
      </c>
      <c r="AQ83" s="566">
        <v>4.6598736823904803E-95</v>
      </c>
      <c r="AR83" s="566">
        <v>-2.5044000673625002E-90</v>
      </c>
      <c r="AS83" s="566">
        <v>9.0643110759208606E-18</v>
      </c>
      <c r="AT83" s="566">
        <v>1.3520936125969399E-217</v>
      </c>
      <c r="AU83" s="566">
        <v>-1.65844935056025E-91</v>
      </c>
      <c r="AV83" s="566">
        <v>-2.3890381462745799E-90</v>
      </c>
      <c r="AW83" s="566">
        <v>3.2003108757813302E-16</v>
      </c>
      <c r="AX83" s="566">
        <v>1.35635218403338E-215</v>
      </c>
      <c r="AY83" s="566">
        <v>4.6598736902825702E-95</v>
      </c>
      <c r="AZ83" s="566">
        <v>-2.5044000682447702E-90</v>
      </c>
      <c r="BA83" s="566">
        <v>0.48279849838621097</v>
      </c>
      <c r="BB83" s="566">
        <v>4.0641021486572101E-215</v>
      </c>
      <c r="BC83" s="566">
        <v>1.56121014016546E-101</v>
      </c>
      <c r="BD83" s="566">
        <v>3.4392513289260601E-215</v>
      </c>
      <c r="BE83" s="566">
        <v>6.4743652884839897E-215</v>
      </c>
      <c r="BF83" s="566">
        <v>1.5905659406776201E-101</v>
      </c>
      <c r="BG83" s="566">
        <v>5.4789392491953396E-215</v>
      </c>
      <c r="BH83" s="566">
        <v>1.91413083400284E-15</v>
      </c>
      <c r="BI83" s="566">
        <v>4.5261806411794798E-215</v>
      </c>
      <c r="BJ83" s="566">
        <v>8.8333743639187201E-101</v>
      </c>
      <c r="BK83" s="566">
        <v>4.7000084025992599E-110</v>
      </c>
      <c r="BL83" s="566">
        <v>4.1355838399304999E-15</v>
      </c>
      <c r="BM83" s="566">
        <v>4.5261543678991099E-215</v>
      </c>
      <c r="BN83" s="566">
        <v>-3.9204224001914899E-91</v>
      </c>
      <c r="BO83" s="566">
        <v>-3.3000380529155003E-92</v>
      </c>
      <c r="BP83" s="566">
        <v>0.483104272701043</v>
      </c>
      <c r="BQ83" s="566">
        <v>4.54400097796323E-215</v>
      </c>
      <c r="BR83" s="566">
        <v>-5.3869422716710302E-30</v>
      </c>
      <c r="BS83" s="566">
        <v>3.7370319619836999E-26</v>
      </c>
      <c r="BT83" s="566">
        <v>1.89398317605463E-15</v>
      </c>
      <c r="BU83" s="566">
        <v>4.5789814429629901E-215</v>
      </c>
      <c r="BV83" s="566">
        <v>-1.7220784075881199E-89</v>
      </c>
      <c r="BW83" s="566">
        <v>-7.3958195407145802E-90</v>
      </c>
      <c r="BX83" s="566">
        <v>4.11851042936256E-15</v>
      </c>
      <c r="BY83" s="566">
        <v>4.5789541734215201E-215</v>
      </c>
      <c r="BZ83" s="566">
        <v>-1.44107460332687E-88</v>
      </c>
      <c r="CA83" s="566">
        <v>-5.8691523674024898E-90</v>
      </c>
      <c r="CB83" s="566">
        <v>0.48310420816275501</v>
      </c>
      <c r="CC83" s="566">
        <v>4.5447995671211101E-215</v>
      </c>
      <c r="CD83" s="566">
        <v>-8.5793266953735691E-28</v>
      </c>
      <c r="CE83" s="566">
        <v>-3.3046942266371602E-25</v>
      </c>
      <c r="CF83" s="566">
        <v>4.8683488783564104E-15</v>
      </c>
      <c r="CG83" s="566">
        <v>5.10198565605911E-215</v>
      </c>
      <c r="CH83" s="566">
        <v>1.04995369257661E-94</v>
      </c>
      <c r="CI83" s="566">
        <v>-2.5654389751109001E-90</v>
      </c>
      <c r="CJ83" s="566">
        <v>4.5389198674623E-15</v>
      </c>
      <c r="CK83" s="566">
        <v>5.1019857211772196E-215</v>
      </c>
      <c r="CL83" s="566">
        <v>-4.5841257650061602E-91</v>
      </c>
      <c r="CM83" s="566">
        <v>-2.5635501126655998E-90</v>
      </c>
      <c r="CN83" s="566">
        <v>4.8683488783564104E-15</v>
      </c>
      <c r="CO83" s="566">
        <v>5.1019858117004298E-215</v>
      </c>
      <c r="CP83" s="566">
        <v>1.04995369169764E-94</v>
      </c>
      <c r="CQ83" s="566">
        <v>-2.5654389759262E-90</v>
      </c>
      <c r="CR83" s="566">
        <v>0.48317033469270598</v>
      </c>
      <c r="CS83" s="566">
        <v>1.51557514469571E-214</v>
      </c>
      <c r="CT83" s="566">
        <v>1.4116311870821201E-100</v>
      </c>
      <c r="CU83" s="566">
        <v>1.1863746071903199E-214</v>
      </c>
      <c r="CV83" s="566">
        <v>2.4144046602952602E-214</v>
      </c>
      <c r="CW83" s="566">
        <v>1.43817441703287E-100</v>
      </c>
      <c r="CX83" s="566">
        <v>1.8896102754907998E-214</v>
      </c>
      <c r="CY83" s="566">
        <v>0.48317016727673501</v>
      </c>
      <c r="CZ83" s="566">
        <v>1.9497477199525302E-214</v>
      </c>
      <c r="DA83" s="566">
        <v>-1.8233657966827001E-27</v>
      </c>
      <c r="DB83" s="566">
        <v>3.0522192052400501E-22</v>
      </c>
      <c r="DC83" s="566">
        <v>0.48317076052383701</v>
      </c>
      <c r="DD83" s="566">
        <v>1.95005485733087E-214</v>
      </c>
      <c r="DE83" s="566">
        <v>-2.8365588515986E-24</v>
      </c>
      <c r="DF83" s="566">
        <v>4.6864444573E-19</v>
      </c>
      <c r="DG83" s="566">
        <v>0.48317084216101203</v>
      </c>
      <c r="DH83" s="566">
        <v>1.9503975761745801E-214</v>
      </c>
      <c r="DI83" s="566">
        <v>-2.8368142802406201E-24</v>
      </c>
      <c r="DJ83" s="566">
        <v>4.6863945334899902E-19</v>
      </c>
      <c r="DK83" s="566">
        <v>2.0040245483518901E-13</v>
      </c>
      <c r="DL83" s="566">
        <v>2.0418234054401999E-214</v>
      </c>
      <c r="DM83" s="566">
        <v>3.1373032502380802E-94</v>
      </c>
      <c r="DN83" s="566">
        <v>-2.6373024881726702E-90</v>
      </c>
      <c r="DO83" s="566">
        <v>0.48317033509798801</v>
      </c>
      <c r="DP83" s="566">
        <v>7.4369767691624197E-214</v>
      </c>
      <c r="DQ83" s="566">
        <v>6.24814459612375E-100</v>
      </c>
      <c r="DR83" s="566">
        <v>1.26521083881469E-212</v>
      </c>
      <c r="DS83" s="566">
        <v>6.4622444058350599E-213</v>
      </c>
      <c r="DT83" s="566">
        <v>6.5886274220555204E-100</v>
      </c>
      <c r="DU83" s="566">
        <v>-1.38147303551964E-211</v>
      </c>
      <c r="DV83" s="566">
        <v>0.48317151201157599</v>
      </c>
      <c r="DW83" s="566">
        <v>2.86095234399544E-213</v>
      </c>
      <c r="DX83" s="566">
        <v>-8.2060059511487204E-24</v>
      </c>
      <c r="DY83" s="566">
        <v>1.0982487528988701E-17</v>
      </c>
      <c r="DZ83" s="566">
        <v>0.48317184473712799</v>
      </c>
      <c r="EA83" s="566">
        <v>2.86137901134126E-213</v>
      </c>
      <c r="EB83" s="566">
        <v>-1.08043408327176E-20</v>
      </c>
      <c r="EC83" s="566">
        <v>1.4285336103351099E-14</v>
      </c>
      <c r="ED83" s="566">
        <v>0.483171926450565</v>
      </c>
      <c r="EE83" s="566">
        <v>2.86185376529223E-213</v>
      </c>
      <c r="EF83" s="566">
        <v>-1.0144862288207801E-13</v>
      </c>
      <c r="EG83" s="566">
        <v>1.67674687910912E-8</v>
      </c>
      <c r="EH83" s="566">
        <v>5.8012238648156403E-14</v>
      </c>
      <c r="EI83" s="566">
        <v>3.8427384765749599E-213</v>
      </c>
      <c r="EJ83" s="566">
        <v>-9.7829984275850003E-90</v>
      </c>
      <c r="EK83" s="566">
        <v>-2.7559838002078601E-90</v>
      </c>
      <c r="EL83" s="566">
        <v>0.48317226975569799</v>
      </c>
      <c r="EM83" s="566">
        <v>5.27108211253336E-214</v>
      </c>
      <c r="EN83" s="566">
        <v>3.7041316195349699E-100</v>
      </c>
      <c r="EO83" s="566">
        <v>3.54222464074075E-214</v>
      </c>
      <c r="EP83" s="566">
        <v>6.5926215284349996E-214</v>
      </c>
      <c r="EQ83" s="566">
        <v>3.74131260522999E-100</v>
      </c>
      <c r="ER83" s="566">
        <v>4.4302255987598302E-214</v>
      </c>
      <c r="ES83" s="566">
        <v>0.48317745271943502</v>
      </c>
      <c r="ET83" s="566">
        <v>6.0021080593616799E-214</v>
      </c>
      <c r="EU83" s="566">
        <v>2.0891367367936501E-32</v>
      </c>
      <c r="EV83" s="566">
        <v>2.78157960554863E-23</v>
      </c>
      <c r="EW83" s="566">
        <v>0.48317747569633701</v>
      </c>
      <c r="EX83" s="566">
        <v>6.0030111414658901E-214</v>
      </c>
      <c r="EY83" s="566">
        <v>3.7956349578766002E-29</v>
      </c>
      <c r="EZ83" s="566">
        <v>4.6743142482710703E-20</v>
      </c>
      <c r="FA83" s="566">
        <v>0.48317755742881302</v>
      </c>
      <c r="FB83" s="566">
        <v>6.0040215404449699E-214</v>
      </c>
      <c r="FC83" s="566">
        <v>3.7955679588897401E-29</v>
      </c>
      <c r="FD83" s="566">
        <v>4.6742112063271498E-20</v>
      </c>
      <c r="FE83" s="566">
        <v>1.3023592446921899E-11</v>
      </c>
      <c r="FF83" s="566">
        <v>6.0743076270391198E-214</v>
      </c>
      <c r="FG83" s="566">
        <v>1.5266900776943099E-94</v>
      </c>
      <c r="FH83" s="566">
        <v>-2.6968298742132402E-90</v>
      </c>
    </row>
    <row r="84" spans="1:164" ht="12.75" customHeight="1" x14ac:dyDescent="0.3">
      <c r="A84" s="422"/>
      <c r="B84" s="422"/>
      <c r="C84" s="422"/>
      <c r="D84" s="422"/>
      <c r="E84" s="422"/>
      <c r="F84" s="568"/>
      <c r="G84" s="569"/>
      <c r="H84" s="439"/>
      <c r="I84" s="574">
        <v>5276811.1173291504</v>
      </c>
      <c r="J84" s="566">
        <v>0.457045879024775</v>
      </c>
      <c r="K84" s="566">
        <v>-8.75848997174339E-216</v>
      </c>
      <c r="L84" s="566">
        <v>-2.58004198711974E-102</v>
      </c>
      <c r="M84" s="566">
        <v>-1.3017358682135901E-215</v>
      </c>
      <c r="N84" s="566">
        <v>-1.3952815074660301E-215</v>
      </c>
      <c r="O84" s="566">
        <v>-2.62855511971996E-102</v>
      </c>
      <c r="P84" s="566">
        <v>-2.0737455092613899E-215</v>
      </c>
      <c r="Q84" s="566">
        <v>1.2526212065236401E-16</v>
      </c>
      <c r="R84" s="566">
        <v>-9.9517412884853096E-216</v>
      </c>
      <c r="S84" s="566">
        <v>-9.4792228995694903E-102</v>
      </c>
      <c r="T84" s="566">
        <v>2.4065481775647601E-109</v>
      </c>
      <c r="U84" s="566">
        <v>7.14358644328192E-18</v>
      </c>
      <c r="V84" s="566">
        <v>-1.0339184870329E-218</v>
      </c>
      <c r="W84" s="566">
        <v>1.9128431821561101E-92</v>
      </c>
      <c r="X84" s="566">
        <v>3.4031041698340698E-93</v>
      </c>
      <c r="Y84" s="566">
        <v>0.39175953159522697</v>
      </c>
      <c r="Z84" s="566">
        <v>-7.4367902455549695E-216</v>
      </c>
      <c r="AA84" s="566">
        <v>2.4893482948557599E-34</v>
      </c>
      <c r="AB84" s="566">
        <v>-7.6499216560836999E-31</v>
      </c>
      <c r="AC84" s="566">
        <v>5.9139202149926704E-19</v>
      </c>
      <c r="AD84" s="566">
        <v>-1.11033340779888E-215</v>
      </c>
      <c r="AE84" s="566">
        <v>7.1941531985746099E-90</v>
      </c>
      <c r="AF84" s="566">
        <v>5.7134314689381699E-90</v>
      </c>
      <c r="AG84" s="566">
        <v>6.8349487613101702E-18</v>
      </c>
      <c r="AH84" s="566">
        <v>-1.1535612085951501E-218</v>
      </c>
      <c r="AI84" s="566">
        <v>9.6627910948381601E-90</v>
      </c>
      <c r="AJ84" s="566">
        <v>3.7734703266911698E-90</v>
      </c>
      <c r="AK84" s="566">
        <v>0.39038122439820699</v>
      </c>
      <c r="AL84" s="566">
        <v>-7.4844131778707801E-216</v>
      </c>
      <c r="AM84" s="566">
        <v>2.4912601383333601E-34</v>
      </c>
      <c r="AN84" s="566">
        <v>-7.6449661327612498E-31</v>
      </c>
      <c r="AO84" s="566">
        <v>3.1363362300196E-16</v>
      </c>
      <c r="AP84" s="566">
        <v>-1.09952185316447E-215</v>
      </c>
      <c r="AQ84" s="566">
        <v>-3.77755001492737E-95</v>
      </c>
      <c r="AR84" s="566">
        <v>2.03020774150735E-90</v>
      </c>
      <c r="AS84" s="566">
        <v>8.8831498793717896E-18</v>
      </c>
      <c r="AT84" s="566">
        <v>-1.0960696599293301E-217</v>
      </c>
      <c r="AU84" s="566">
        <v>1.3444313987250099E-91</v>
      </c>
      <c r="AV84" s="566">
        <v>1.9366888714869599E-90</v>
      </c>
      <c r="AW84" s="566">
        <v>3.1363362300196E-16</v>
      </c>
      <c r="AX84" s="566">
        <v>-1.09952185503079E-215</v>
      </c>
      <c r="AY84" s="566">
        <v>-3.7775500213251503E-95</v>
      </c>
      <c r="AZ84" s="566">
        <v>2.0302077422226201E-90</v>
      </c>
      <c r="BA84" s="566">
        <v>0.47314729132933497</v>
      </c>
      <c r="BB84" s="566">
        <v>-3.2945492963619299E-215</v>
      </c>
      <c r="BC84" s="566">
        <v>-1.26560051346546E-101</v>
      </c>
      <c r="BD84" s="566">
        <v>-2.7880163025602303E-215</v>
      </c>
      <c r="BE84" s="566">
        <v>-5.2484201492358403E-215</v>
      </c>
      <c r="BF84" s="566">
        <v>-1.28939789681926E-101</v>
      </c>
      <c r="BG84" s="566">
        <v>-4.44148173150913E-215</v>
      </c>
      <c r="BH84" s="566">
        <v>1.8758671007034801E-15</v>
      </c>
      <c r="BI84" s="566">
        <v>-3.669131508304E-215</v>
      </c>
      <c r="BJ84" s="566">
        <v>-7.1608061227569495E-101</v>
      </c>
      <c r="BK84" s="566">
        <v>-3.8100721070014601E-110</v>
      </c>
      <c r="BL84" s="566">
        <v>4.0529129818675896E-15</v>
      </c>
      <c r="BM84" s="566">
        <v>-3.6691102099670399E-215</v>
      </c>
      <c r="BN84" s="566">
        <v>3.1781130642850702E-91</v>
      </c>
      <c r="BO84" s="566">
        <v>2.6751960906244499E-92</v>
      </c>
      <c r="BP84" s="566">
        <v>0.47344695317443303</v>
      </c>
      <c r="BQ84" s="566">
        <v>-3.6835774980613898E-215</v>
      </c>
      <c r="BR84" s="566">
        <v>4.3670867527687597E-30</v>
      </c>
      <c r="BS84" s="566">
        <v>-3.0295373470021E-26</v>
      </c>
      <c r="BT84" s="566">
        <v>1.8561221975842601E-15</v>
      </c>
      <c r="BU84" s="566">
        <v>-3.7119342819550701E-215</v>
      </c>
      <c r="BV84" s="566">
        <v>1.39601369295586E-89</v>
      </c>
      <c r="BW84" s="566">
        <v>5.9954676302620903E-90</v>
      </c>
      <c r="BX84" s="566">
        <v>4.0361808716923101E-15</v>
      </c>
      <c r="BY84" s="566">
        <v>-3.71191217600281E-215</v>
      </c>
      <c r="BZ84" s="566">
        <v>1.1682158511371499E-88</v>
      </c>
      <c r="CA84" s="566">
        <v>4.7578640769950203E-90</v>
      </c>
      <c r="CB84" s="566">
        <v>0.47344688992627698</v>
      </c>
      <c r="CC84" s="566">
        <v>-3.68422487139309E-215</v>
      </c>
      <c r="CD84" s="566">
        <v>6.9548863941831401E-28</v>
      </c>
      <c r="CE84" s="566">
        <v>2.67895818474774E-25</v>
      </c>
      <c r="CF84" s="566">
        <v>4.7710299280961999E-15</v>
      </c>
      <c r="CG84" s="566">
        <v>-4.1359057027571398E-215</v>
      </c>
      <c r="CH84" s="566">
        <v>-8.5115023655211094E-95</v>
      </c>
      <c r="CI84" s="566">
        <v>2.07968931781738E-90</v>
      </c>
      <c r="CJ84" s="566">
        <v>4.4481862831831998E-15</v>
      </c>
      <c r="CK84" s="566">
        <v>-4.1359057555447202E-215</v>
      </c>
      <c r="CL84" s="566">
        <v>3.7161476243434703E-91</v>
      </c>
      <c r="CM84" s="566">
        <v>2.0781580999201501E-90</v>
      </c>
      <c r="CN84" s="566">
        <v>4.7710299280961999E-15</v>
      </c>
      <c r="CO84" s="566">
        <v>-4.13590582892709E-215</v>
      </c>
      <c r="CP84" s="566">
        <v>-8.5115023583953804E-95</v>
      </c>
      <c r="CQ84" s="566">
        <v>2.0796893184783601E-90</v>
      </c>
      <c r="CR84" s="566">
        <v>0.47351169457794001</v>
      </c>
      <c r="CS84" s="566">
        <v>-1.22859535609627E-214</v>
      </c>
      <c r="CT84" s="566">
        <v>-1.1443438069173299E-100</v>
      </c>
      <c r="CU84" s="566">
        <v>-9.6173016448298808E-215</v>
      </c>
      <c r="CV84" s="566">
        <v>-1.9572281610435701E-214</v>
      </c>
      <c r="CW84" s="566">
        <v>-1.1658611700130101E-100</v>
      </c>
      <c r="CX84" s="566">
        <v>-1.5318055444255501E-214</v>
      </c>
      <c r="CY84" s="566">
        <v>0.473511530508677</v>
      </c>
      <c r="CZ84" s="566">
        <v>-1.5805557399623E-214</v>
      </c>
      <c r="DA84" s="566">
        <v>1.4781551277775499E-27</v>
      </c>
      <c r="DB84" s="566">
        <v>-2.4743545311305199E-22</v>
      </c>
      <c r="DC84" s="566">
        <v>0.47351211189669001</v>
      </c>
      <c r="DD84" s="566">
        <v>-1.580804719736E-214</v>
      </c>
      <c r="DE84" s="566">
        <v>2.2995092423782702E-24</v>
      </c>
      <c r="DF84" s="566">
        <v>-3.7991534526912599E-19</v>
      </c>
      <c r="DG84" s="566">
        <v>0.47351219190192501</v>
      </c>
      <c r="DH84" s="566">
        <v>-1.58108254349234E-214</v>
      </c>
      <c r="DI84" s="566">
        <v>2.2997453591071401E-24</v>
      </c>
      <c r="DJ84" s="566">
        <v>-3.7991609799066098E-19</v>
      </c>
      <c r="DK84" s="566">
        <v>1.96396382751727E-13</v>
      </c>
      <c r="DL84" s="566">
        <v>-1.6551965520629999E-214</v>
      </c>
      <c r="DM84" s="566">
        <v>-2.5432706437085602E-94</v>
      </c>
      <c r="DN84" s="566">
        <v>2.1379459288322699E-90</v>
      </c>
      <c r="DO84" s="566">
        <v>0.47351169497512102</v>
      </c>
      <c r="DP84" s="566">
        <v>-6.0287575670313804E-214</v>
      </c>
      <c r="DQ84" s="566">
        <v>-5.0650804818768495E-100</v>
      </c>
      <c r="DR84" s="566">
        <v>-1.02563846665136E-212</v>
      </c>
      <c r="DS84" s="566">
        <v>-5.2385947855732401E-213</v>
      </c>
      <c r="DT84" s="566">
        <v>-5.3410940871175099E-100</v>
      </c>
      <c r="DU84" s="566">
        <v>1.11988595375697E-211</v>
      </c>
      <c r="DV84" s="566">
        <v>0.47351284836208801</v>
      </c>
      <c r="DW84" s="566">
        <v>-2.3192205230197601E-213</v>
      </c>
      <c r="DX84" s="566">
        <v>6.6523445108248603E-24</v>
      </c>
      <c r="DY84" s="566">
        <v>-8.9031485209592703E-18</v>
      </c>
      <c r="DZ84" s="566">
        <v>0.473513174436411</v>
      </c>
      <c r="EA84" s="566">
        <v>-2.31956639934055E-213</v>
      </c>
      <c r="EB84" s="566">
        <v>8.7586726538803095E-21</v>
      </c>
      <c r="EC84" s="566">
        <v>-1.15805845681607E-14</v>
      </c>
      <c r="ED84" s="566">
        <v>0.47351325451638998</v>
      </c>
      <c r="EE84" s="566">
        <v>-2.3199512568916399E-213</v>
      </c>
      <c r="EF84" s="566">
        <v>8.2239949633019895E-14</v>
      </c>
      <c r="EG84" s="566">
        <v>-1.3592651626842E-8</v>
      </c>
      <c r="EH84" s="566">
        <v>5.6852570413828198E-14</v>
      </c>
      <c r="EI84" s="566">
        <v>-3.1151018671465002E-213</v>
      </c>
      <c r="EJ84" s="566">
        <v>7.9306445827397994E-90</v>
      </c>
      <c r="EK84" s="566">
        <v>2.2341556844564099E-90</v>
      </c>
      <c r="EL84" s="566">
        <v>0.473513590958764</v>
      </c>
      <c r="EM84" s="566">
        <v>-4.2729831164928897E-214</v>
      </c>
      <c r="EN84" s="566">
        <v>-3.0027673783427398E-100</v>
      </c>
      <c r="EO84" s="566">
        <v>-2.8714912350285202E-214</v>
      </c>
      <c r="EP84" s="566">
        <v>-5.34428413047279E-214</v>
      </c>
      <c r="EQ84" s="566">
        <v>-3.0329082756995301E-100</v>
      </c>
      <c r="ER84" s="566">
        <v>-3.59134591006066E-214</v>
      </c>
      <c r="ES84" s="566">
        <v>0.47351867031436201</v>
      </c>
      <c r="ET84" s="566">
        <v>-4.8655865823143203E-214</v>
      </c>
      <c r="EU84" s="566">
        <v>-1.68738351638264E-32</v>
      </c>
      <c r="EV84" s="566">
        <v>-2.2549485168739701E-23</v>
      </c>
      <c r="EW84" s="566">
        <v>0.47351869283195303</v>
      </c>
      <c r="EX84" s="566">
        <v>-4.8663186624647804E-214</v>
      </c>
      <c r="EY84" s="566">
        <v>-3.0656914996657301E-29</v>
      </c>
      <c r="EZ84" s="566">
        <v>-3.7893099078919999E-20</v>
      </c>
      <c r="FA84" s="566">
        <v>0.47351877293058198</v>
      </c>
      <c r="FB84" s="566">
        <v>-4.8671377386406802E-214</v>
      </c>
      <c r="FC84" s="566">
        <v>-3.0656761217148002E-29</v>
      </c>
      <c r="FD84" s="566">
        <v>-3.7892742504247501E-20</v>
      </c>
      <c r="FE84" s="566">
        <v>1.27632490785191E-11</v>
      </c>
      <c r="FF84" s="566">
        <v>-4.9241148934121201E-214</v>
      </c>
      <c r="FG84" s="566">
        <v>-1.2376176416133099E-94</v>
      </c>
      <c r="FH84" s="566">
        <v>2.1862021805174901E-90</v>
      </c>
    </row>
    <row r="85" spans="1:164" ht="12.75" customHeight="1" x14ac:dyDescent="0.3">
      <c r="A85" s="422"/>
      <c r="B85" s="422"/>
      <c r="C85" s="422"/>
      <c r="D85" s="422"/>
      <c r="E85" s="422"/>
      <c r="F85" s="568"/>
      <c r="G85" s="569"/>
      <c r="H85" s="439"/>
      <c r="I85" s="574">
        <v>5360570.0239534201</v>
      </c>
      <c r="J85" s="566">
        <v>0.447909471815509</v>
      </c>
      <c r="K85" s="566">
        <v>-2.00324517411425E-216</v>
      </c>
      <c r="L85" s="566">
        <v>-5.9010002899892595E-103</v>
      </c>
      <c r="M85" s="566">
        <v>-2.9773352534314097E-216</v>
      </c>
      <c r="N85" s="566">
        <v>-3.1912931970915001E-216</v>
      </c>
      <c r="O85" s="566">
        <v>-6.0119581778733796E-103</v>
      </c>
      <c r="P85" s="566">
        <v>-4.7430786553049997E-216</v>
      </c>
      <c r="Q85" s="566">
        <v>1.22758114392384E-16</v>
      </c>
      <c r="R85" s="566">
        <v>-2.2761660713785801E-216</v>
      </c>
      <c r="S85" s="566">
        <v>-2.1680615028161301E-102</v>
      </c>
      <c r="T85" s="566">
        <v>5.5042050008272503E-110</v>
      </c>
      <c r="U85" s="566">
        <v>7.0007791136614797E-18</v>
      </c>
      <c r="V85" s="566">
        <v>-2.3647823155114601E-219</v>
      </c>
      <c r="W85" s="566">
        <v>4.3749837413738697E-93</v>
      </c>
      <c r="X85" s="566">
        <v>7.7834438284600496E-94</v>
      </c>
      <c r="Y85" s="566">
        <v>0.38392820705422598</v>
      </c>
      <c r="Z85" s="566">
        <v>-1.7009455075442599E-216</v>
      </c>
      <c r="AA85" s="566">
        <v>5.69324340017165E-35</v>
      </c>
      <c r="AB85" s="566">
        <v>-1.74956910888833E-31</v>
      </c>
      <c r="AC85" s="566">
        <v>5.7957001756691401E-19</v>
      </c>
      <c r="AD85" s="566">
        <v>-2.53955881436939E-216</v>
      </c>
      <c r="AE85" s="566">
        <v>1.6454180573416701E-90</v>
      </c>
      <c r="AF85" s="566">
        <v>1.3067532826849299E-90</v>
      </c>
      <c r="AG85" s="566">
        <v>6.69831105718342E-18</v>
      </c>
      <c r="AH85" s="566">
        <v>-2.6384296055816499E-219</v>
      </c>
      <c r="AI85" s="566">
        <v>2.2100350000218502E-90</v>
      </c>
      <c r="AJ85" s="566">
        <v>8.6305308896625995E-91</v>
      </c>
      <c r="AK85" s="566">
        <v>0.38257745239927998</v>
      </c>
      <c r="AL85" s="566">
        <v>-1.7118378428267602E-216</v>
      </c>
      <c r="AM85" s="566">
        <v>5.6975040356164105E-35</v>
      </c>
      <c r="AN85" s="566">
        <v>-1.7484013049492501E-31</v>
      </c>
      <c r="AO85" s="566">
        <v>3.0736404564491902E-16</v>
      </c>
      <c r="AP85" s="566">
        <v>-2.5148305852844399E-216</v>
      </c>
      <c r="AQ85" s="566">
        <v>-8.6398827426634092E-96</v>
      </c>
      <c r="AR85" s="566">
        <v>4.6434099962429401E-91</v>
      </c>
      <c r="AS85" s="566">
        <v>8.7055623630249703E-18</v>
      </c>
      <c r="AT85" s="566">
        <v>-2.5069347157216802E-218</v>
      </c>
      <c r="AU85" s="566">
        <v>3.0749334633262401E-92</v>
      </c>
      <c r="AV85" s="566">
        <v>4.4295173735517199E-91</v>
      </c>
      <c r="AW85" s="566">
        <v>3.0736404564491902E-16</v>
      </c>
      <c r="AX85" s="566">
        <v>-2.5148305895530501E-216</v>
      </c>
      <c r="AY85" s="566">
        <v>-8.6398827572960296E-96</v>
      </c>
      <c r="AZ85" s="566">
        <v>4.6434099978785199E-91</v>
      </c>
      <c r="BA85" s="566">
        <v>0.46368901477125801</v>
      </c>
      <c r="BB85" s="566">
        <v>-7.5353057434678798E-216</v>
      </c>
      <c r="BC85" s="566">
        <v>-2.8946463019800199E-102</v>
      </c>
      <c r="BD85" s="566">
        <v>-6.3767615439106605E-216</v>
      </c>
      <c r="BE85" s="566">
        <v>-1.20042066264852E-215</v>
      </c>
      <c r="BF85" s="566">
        <v>-2.94907501545558E-102</v>
      </c>
      <c r="BG85" s="566">
        <v>-1.0158573993079701E-215</v>
      </c>
      <c r="BH85" s="566">
        <v>1.83836827071764E-15</v>
      </c>
      <c r="BI85" s="566">
        <v>-8.39205161039655E-216</v>
      </c>
      <c r="BJ85" s="566">
        <v>-1.6377996644204098E-101</v>
      </c>
      <c r="BK85" s="566">
        <v>-8.71431326725183E-111</v>
      </c>
      <c r="BL85" s="566">
        <v>3.9718947115753898E-15</v>
      </c>
      <c r="BM85" s="566">
        <v>-8.3920028967587102E-216</v>
      </c>
      <c r="BN85" s="566">
        <v>7.2688607007477193E-92</v>
      </c>
      <c r="BO85" s="566">
        <v>6.1186037318394302E-93</v>
      </c>
      <c r="BP85" s="566">
        <v>0.46398268633666501</v>
      </c>
      <c r="BQ85" s="566">
        <v>-8.42509253338612E-216</v>
      </c>
      <c r="BR85" s="566">
        <v>9.9877745111048299E-31</v>
      </c>
      <c r="BS85" s="566">
        <v>-6.9287233217457193E-27</v>
      </c>
      <c r="BT85" s="566">
        <v>1.8190180706602699E-15</v>
      </c>
      <c r="BU85" s="566">
        <v>-8.4899502778963004E-216</v>
      </c>
      <c r="BV85" s="566">
        <v>3.1929068985937298E-90</v>
      </c>
      <c r="BW85" s="566">
        <v>1.3712594692697901E-90</v>
      </c>
      <c r="BX85" s="566">
        <v>3.9554970782721298E-15</v>
      </c>
      <c r="BY85" s="566">
        <v>-8.4898997170773294E-216</v>
      </c>
      <c r="BZ85" s="566">
        <v>2.67189795455951E-89</v>
      </c>
      <c r="CA85" s="566">
        <v>1.0882001421361399E-90</v>
      </c>
      <c r="CB85" s="566">
        <v>0.46398262435284698</v>
      </c>
      <c r="CC85" s="566">
        <v>-8.4265732081448595E-216</v>
      </c>
      <c r="CD85" s="566">
        <v>1.59069346690685E-28</v>
      </c>
      <c r="CE85" s="566">
        <v>6.1272522505031998E-26</v>
      </c>
      <c r="CF85" s="566">
        <v>4.67565641258899E-15</v>
      </c>
      <c r="CG85" s="566">
        <v>-9.4596593321095803E-216</v>
      </c>
      <c r="CH85" s="566">
        <v>-1.9467216082195801E-95</v>
      </c>
      <c r="CI85" s="566">
        <v>4.7565822797338902E-91</v>
      </c>
      <c r="CJ85" s="566">
        <v>4.3592664423832003E-15</v>
      </c>
      <c r="CK85" s="566">
        <v>-9.4596594528466106E-216</v>
      </c>
      <c r="CL85" s="566">
        <v>8.4994345532186895E-92</v>
      </c>
      <c r="CM85" s="566">
        <v>4.7530801380168599E-91</v>
      </c>
      <c r="CN85" s="566">
        <v>4.67565641258899E-15</v>
      </c>
      <c r="CO85" s="566">
        <v>-9.4596596206862405E-216</v>
      </c>
      <c r="CP85" s="566">
        <v>-1.9467216065900599E-95</v>
      </c>
      <c r="CQ85" s="566">
        <v>4.7565822812453201E-91</v>
      </c>
      <c r="CR85" s="566">
        <v>0.46404613355101598</v>
      </c>
      <c r="CS85" s="566">
        <v>-2.8100479945502702E-215</v>
      </c>
      <c r="CT85" s="566">
        <v>-2.6173113345358801E-101</v>
      </c>
      <c r="CU85" s="566">
        <v>-2.1996729077576301E-215</v>
      </c>
      <c r="CV85" s="566">
        <v>-4.4765797310941098E-215</v>
      </c>
      <c r="CW85" s="566">
        <v>-2.66652524907769E-101</v>
      </c>
      <c r="CX85" s="566">
        <v>-3.5035514954735502E-215</v>
      </c>
      <c r="CY85" s="566">
        <v>0.464045972761507</v>
      </c>
      <c r="CZ85" s="566">
        <v>-3.61505312983437E-215</v>
      </c>
      <c r="DA85" s="566">
        <v>3.3806639396048299E-28</v>
      </c>
      <c r="DB85" s="566">
        <v>-5.6590550739153004E-23</v>
      </c>
      <c r="DC85" s="566">
        <v>0.464046542527495</v>
      </c>
      <c r="DD85" s="566">
        <v>-3.6156225973250401E-215</v>
      </c>
      <c r="DE85" s="566">
        <v>5.25922253008482E-25</v>
      </c>
      <c r="DF85" s="566">
        <v>-8.6890685338715799E-20</v>
      </c>
      <c r="DG85" s="566">
        <v>0.46404662093341598</v>
      </c>
      <c r="DH85" s="566">
        <v>-3.6162580368828797E-215</v>
      </c>
      <c r="DI85" s="566">
        <v>5.2596599448033998E-25</v>
      </c>
      <c r="DJ85" s="566">
        <v>-8.6889162022097404E-20</v>
      </c>
      <c r="DK85" s="566">
        <v>1.9247039324040099E-13</v>
      </c>
      <c r="DL85" s="566">
        <v>-3.78577188057156E-215</v>
      </c>
      <c r="DM85" s="566">
        <v>-5.8168813271935603E-95</v>
      </c>
      <c r="DN85" s="566">
        <v>4.8898244718518302E-91</v>
      </c>
      <c r="DO85" s="566">
        <v>0.46404613394025701</v>
      </c>
      <c r="DP85" s="566">
        <v>-1.3788997351165301E-214</v>
      </c>
      <c r="DQ85" s="566">
        <v>-1.1584711233998601E-100</v>
      </c>
      <c r="DR85" s="566">
        <v>-2.3458442061923099E-213</v>
      </c>
      <c r="DS85" s="566">
        <v>-1.1981732656200001E-213</v>
      </c>
      <c r="DT85" s="566">
        <v>-1.2216001876824301E-100</v>
      </c>
      <c r="DU85" s="566">
        <v>2.5614075264201802E-212</v>
      </c>
      <c r="DV85" s="566">
        <v>0.46404726427085302</v>
      </c>
      <c r="DW85" s="566">
        <v>-5.3045295411884004E-214</v>
      </c>
      <c r="DX85" s="566">
        <v>1.5214645040220401E-24</v>
      </c>
      <c r="DY85" s="566">
        <v>-2.0362482248524701E-18</v>
      </c>
      <c r="DZ85" s="566">
        <v>0.46404758382690697</v>
      </c>
      <c r="EA85" s="566">
        <v>-5.3053206307489299E-214</v>
      </c>
      <c r="EB85" s="566">
        <v>2.0032255187700399E-21</v>
      </c>
      <c r="EC85" s="566">
        <v>-2.6486344946996E-15</v>
      </c>
      <c r="ED85" s="566">
        <v>0.46404766230607503</v>
      </c>
      <c r="EE85" s="566">
        <v>-5.3062008783196397E-214</v>
      </c>
      <c r="EF85" s="566">
        <v>1.88095992397911E-14</v>
      </c>
      <c r="EG85" s="566">
        <v>-3.10885805313256E-9</v>
      </c>
      <c r="EH85" s="566">
        <v>5.5716078605390502E-14</v>
      </c>
      <c r="EI85" s="566">
        <v>-7.1248721599446704E-214</v>
      </c>
      <c r="EJ85" s="566">
        <v>1.81386706834124E-90</v>
      </c>
      <c r="EK85" s="566">
        <v>5.1098715792822996E-91</v>
      </c>
      <c r="EL85" s="566">
        <v>0.46404799202293801</v>
      </c>
      <c r="EM85" s="566">
        <v>-9.7731833167574895E-215</v>
      </c>
      <c r="EN85" s="566">
        <v>-6.8678460501154802E-101</v>
      </c>
      <c r="EO85" s="566">
        <v>-6.5676857281543305E-215</v>
      </c>
      <c r="EP85" s="566">
        <v>-1.22234670907883E-214</v>
      </c>
      <c r="EQ85" s="566">
        <v>-6.9367834724238805E-101</v>
      </c>
      <c r="ER85" s="566">
        <v>-8.2141400923095203E-215</v>
      </c>
      <c r="ES85" s="566">
        <v>0.46405296984154798</v>
      </c>
      <c r="ET85" s="566">
        <v>-1.1128588228903899E-214</v>
      </c>
      <c r="EU85" s="566">
        <v>-3.8811760336829897E-33</v>
      </c>
      <c r="EV85" s="566">
        <v>-5.1572748240096998E-24</v>
      </c>
      <c r="EW85" s="566">
        <v>0.46405299190901</v>
      </c>
      <c r="EX85" s="566">
        <v>-1.1130262645419999E-214</v>
      </c>
      <c r="EY85" s="566">
        <v>-7.0515162548123094E-30</v>
      </c>
      <c r="EZ85" s="566">
        <v>-8.6665904995340093E-21</v>
      </c>
      <c r="FA85" s="566">
        <v>0.46405307040645699</v>
      </c>
      <c r="FB85" s="566">
        <v>-1.11321360395794E-214</v>
      </c>
      <c r="FC85" s="566">
        <v>-7.0513430783105296E-30</v>
      </c>
      <c r="FD85" s="566">
        <v>-8.6663398356523903E-21</v>
      </c>
      <c r="FE85" s="566">
        <v>1.2508110051462501E-11</v>
      </c>
      <c r="FF85" s="566">
        <v>-1.12624544057606E-214</v>
      </c>
      <c r="FG85" s="566">
        <v>-2.83064133562853E-95</v>
      </c>
      <c r="FH85" s="566">
        <v>5.0001942418395302E-91</v>
      </c>
    </row>
    <row r="86" spans="1:164" ht="12.75" customHeight="1" x14ac:dyDescent="0.3">
      <c r="A86" s="422"/>
      <c r="B86" s="422"/>
      <c r="C86" s="422"/>
      <c r="D86" s="422"/>
      <c r="E86" s="422"/>
      <c r="F86" s="568"/>
      <c r="G86" s="569"/>
      <c r="H86" s="439"/>
      <c r="I86" s="574">
        <v>5444328.9305777</v>
      </c>
      <c r="J86" s="566">
        <v>0.43895570228032699</v>
      </c>
      <c r="K86" s="566">
        <v>1.3993670079784301E-215</v>
      </c>
      <c r="L86" s="566">
        <v>4.1221865597406601E-102</v>
      </c>
      <c r="M86" s="566">
        <v>2.0798176774273501E-215</v>
      </c>
      <c r="N86" s="566">
        <v>2.2292780087544099E-215</v>
      </c>
      <c r="O86" s="566">
        <v>4.1996969972350902E-102</v>
      </c>
      <c r="P86" s="566">
        <v>3.3132778115473502E-215</v>
      </c>
      <c r="Q86" s="566">
        <v>1.2030416346255101E-16</v>
      </c>
      <c r="R86" s="566">
        <v>1.59001591324208E-215</v>
      </c>
      <c r="S86" s="566">
        <v>1.51451509039251E-101</v>
      </c>
      <c r="T86" s="566">
        <v>-3.8449945507250298E-109</v>
      </c>
      <c r="U86" s="566">
        <v>6.8608179151388699E-18</v>
      </c>
      <c r="V86" s="566">
        <v>1.65191879463308E-218</v>
      </c>
      <c r="W86" s="566">
        <v>-3.0561860096321402E-92</v>
      </c>
      <c r="X86" s="566">
        <v>-5.4372027291111999E-93</v>
      </c>
      <c r="Y86" s="566">
        <v>0.37625343145705498</v>
      </c>
      <c r="Z86" s="566">
        <v>1.1881955620728999E-215</v>
      </c>
      <c r="AA86" s="566">
        <v>-3.9772256434845799E-34</v>
      </c>
      <c r="AB86" s="566">
        <v>1.2222261200155701E-30</v>
      </c>
      <c r="AC86" s="566">
        <v>5.6798433711294503E-19</v>
      </c>
      <c r="AD86" s="566">
        <v>1.7740089259024599E-215</v>
      </c>
      <c r="AE86" s="566">
        <v>-1.14942323306156E-89</v>
      </c>
      <c r="AF86" s="566">
        <v>-9.12845569121855E-90</v>
      </c>
      <c r="AG86" s="566">
        <v>6.5643960365764903E-18</v>
      </c>
      <c r="AH86" s="566">
        <v>1.8430751216245099E-218</v>
      </c>
      <c r="AI86" s="566">
        <v>-1.54384208535993E-89</v>
      </c>
      <c r="AJ86" s="566">
        <v>-6.0289436851758599E-90</v>
      </c>
      <c r="AK86" s="566">
        <v>0.37492967856617199</v>
      </c>
      <c r="AL86" s="566">
        <v>1.1958044033824199E-215</v>
      </c>
      <c r="AM86" s="566">
        <v>-3.9802603255674502E-34</v>
      </c>
      <c r="AN86" s="566">
        <v>1.22142825664722E-30</v>
      </c>
      <c r="AO86" s="566">
        <v>3.0121979775270698E-16</v>
      </c>
      <c r="AP86" s="566">
        <v>1.75673502034437E-215</v>
      </c>
      <c r="AQ86" s="566">
        <v>6.0354655936470103E-95</v>
      </c>
      <c r="AR86" s="566">
        <v>-3.2437006105791598E-90</v>
      </c>
      <c r="AS86" s="566">
        <v>8.5315076533736096E-18</v>
      </c>
      <c r="AT86" s="566">
        <v>1.7512193603002199E-217</v>
      </c>
      <c r="AU86" s="566">
        <v>-2.14802366970757E-91</v>
      </c>
      <c r="AV86" s="566">
        <v>-3.0942837750328002E-90</v>
      </c>
      <c r="AW86" s="566">
        <v>3.0121979775270698E-16</v>
      </c>
      <c r="AX86" s="566">
        <v>1.75673502332623E-215</v>
      </c>
      <c r="AY86" s="566">
        <v>6.0354656038688497E-95</v>
      </c>
      <c r="AZ86" s="566">
        <v>-3.2437006117219301E-90</v>
      </c>
      <c r="BA86" s="566">
        <v>0.45441981008704202</v>
      </c>
      <c r="BB86" s="566">
        <v>5.2637881716610096E-215</v>
      </c>
      <c r="BC86" s="566">
        <v>2.02207617265649E-101</v>
      </c>
      <c r="BD86" s="566">
        <v>4.4544870680853798E-215</v>
      </c>
      <c r="BE86" s="566">
        <v>8.3855390878388305E-215</v>
      </c>
      <c r="BF86" s="566">
        <v>2.0600977452928101E-101</v>
      </c>
      <c r="BG86" s="566">
        <v>7.09627232738089E-215</v>
      </c>
      <c r="BH86" s="566">
        <v>1.8016190459790301E-15</v>
      </c>
      <c r="BI86" s="566">
        <v>5.8622680361793197E-215</v>
      </c>
      <c r="BJ86" s="566">
        <v>1.1440968365437701E-100</v>
      </c>
      <c r="BK86" s="566">
        <v>6.08743512916677E-110</v>
      </c>
      <c r="BL86" s="566">
        <v>3.89249599462899E-15</v>
      </c>
      <c r="BM86" s="566">
        <v>5.8622340072654403E-215</v>
      </c>
      <c r="BN86" s="566">
        <v>-5.0777315975959005E-91</v>
      </c>
      <c r="BO86" s="566">
        <v>-4.2742108574761101E-92</v>
      </c>
      <c r="BP86" s="566">
        <v>0.45470761111901697</v>
      </c>
      <c r="BQ86" s="566">
        <v>5.8853487744449797E-215</v>
      </c>
      <c r="BR86" s="566">
        <v>-6.9772952886420498E-30</v>
      </c>
      <c r="BS86" s="566">
        <v>4.8402923603783702E-26</v>
      </c>
      <c r="BT86" s="566">
        <v>1.7826556586225302E-15</v>
      </c>
      <c r="BU86" s="566">
        <v>5.9306551548384103E-215</v>
      </c>
      <c r="BV86" s="566">
        <v>-2.2304370339283501E-89</v>
      </c>
      <c r="BW86" s="566">
        <v>-9.5790701092200291E-90</v>
      </c>
      <c r="BX86" s="566">
        <v>3.8764261516759102E-15</v>
      </c>
      <c r="BY86" s="566">
        <v>5.9306198355762502E-215</v>
      </c>
      <c r="BZ86" s="566">
        <v>-1.86648039994405E-88</v>
      </c>
      <c r="CA86" s="566">
        <v>-7.6017286573890201E-90</v>
      </c>
      <c r="CB86" s="566">
        <v>0.45470755037426203</v>
      </c>
      <c r="CC86" s="566">
        <v>5.8863830998653705E-215</v>
      </c>
      <c r="CD86" s="566">
        <v>-1.11119505260057E-27</v>
      </c>
      <c r="CE86" s="566">
        <v>-4.28022944665336E-25</v>
      </c>
      <c r="CF86" s="566">
        <v>4.5821894229888296E-15</v>
      </c>
      <c r="CG86" s="566">
        <v>6.6080454590005796E-215</v>
      </c>
      <c r="CH86" s="566">
        <v>1.3598993917838599E-94</v>
      </c>
      <c r="CI86" s="566">
        <v>-3.32275824394729E-90</v>
      </c>
      <c r="CJ86" s="566">
        <v>4.2721241006932901E-15</v>
      </c>
      <c r="CK86" s="566">
        <v>6.6080455433408002E-215</v>
      </c>
      <c r="CL86" s="566">
        <v>-5.9373598867056201E-91</v>
      </c>
      <c r="CM86" s="566">
        <v>-3.3203117884385101E-90</v>
      </c>
      <c r="CN86" s="566">
        <v>4.5821894229888296E-15</v>
      </c>
      <c r="CO86" s="566">
        <v>6.6080456605857004E-215</v>
      </c>
      <c r="CP86" s="566">
        <v>1.35989939064539E-94</v>
      </c>
      <c r="CQ86" s="566">
        <v>-3.3227582450033198E-90</v>
      </c>
      <c r="CR86" s="566">
        <v>0.45476979001520201</v>
      </c>
      <c r="CS86" s="566">
        <v>1.9629591550863901E-214</v>
      </c>
      <c r="CT86" s="566">
        <v>1.82834181929854E-100</v>
      </c>
      <c r="CU86" s="566">
        <v>1.53658161055263E-214</v>
      </c>
      <c r="CV86" s="566">
        <v>3.12711497585397E-214</v>
      </c>
      <c r="CW86" s="566">
        <v>1.8627205563101799E-100</v>
      </c>
      <c r="CX86" s="566">
        <v>2.4474060577797501E-214</v>
      </c>
      <c r="CY86" s="566">
        <v>0.45476963243986201</v>
      </c>
      <c r="CZ86" s="566">
        <v>2.52529552914916E-214</v>
      </c>
      <c r="DA86" s="566">
        <v>-2.36165573357127E-27</v>
      </c>
      <c r="DB86" s="566">
        <v>3.95328844728559E-22</v>
      </c>
      <c r="DC86" s="566">
        <v>0.454770190816154</v>
      </c>
      <c r="DD86" s="566">
        <v>2.5256933306904502E-214</v>
      </c>
      <c r="DE86" s="566">
        <v>-3.6739467178849202E-24</v>
      </c>
      <c r="DF86" s="566">
        <v>6.0699418359472297E-19</v>
      </c>
      <c r="DG86" s="566">
        <v>0.454770267654731</v>
      </c>
      <c r="DH86" s="566">
        <v>2.5261372170224002E-214</v>
      </c>
      <c r="DI86" s="566">
        <v>-3.67430573646409E-24</v>
      </c>
      <c r="DJ86" s="566">
        <v>6.0699237443174098E-19</v>
      </c>
      <c r="DK86" s="566">
        <v>1.8862288464355499E-13</v>
      </c>
      <c r="DL86" s="566">
        <v>2.64455112028341E-214</v>
      </c>
      <c r="DM86" s="566">
        <v>4.06343328473643E-94</v>
      </c>
      <c r="DN86" s="566">
        <v>-3.41583591322016E-90</v>
      </c>
      <c r="DO86" s="566">
        <v>0.45476979039666199</v>
      </c>
      <c r="DP86" s="566">
        <v>9.6323047301777694E-214</v>
      </c>
      <c r="DQ86" s="566">
        <v>8.0925840705818604E-100</v>
      </c>
      <c r="DR86" s="566">
        <v>1.6386895853491801E-212</v>
      </c>
      <c r="DS86" s="566">
        <v>8.36984060428602E-213</v>
      </c>
      <c r="DT86" s="566">
        <v>8.5335767286505099E-100</v>
      </c>
      <c r="DU86" s="566">
        <v>-1.7892712965282499E-211</v>
      </c>
      <c r="DV86" s="566">
        <v>0.45477089813176502</v>
      </c>
      <c r="DW86" s="566">
        <v>3.7054796162023002E-213</v>
      </c>
      <c r="DX86" s="566">
        <v>-1.06285153866977E-23</v>
      </c>
      <c r="DY86" s="566">
        <v>1.4224646865398399E-17</v>
      </c>
      <c r="DZ86" s="566">
        <v>0.45477121129985199</v>
      </c>
      <c r="EA86" s="566">
        <v>3.7060322318939702E-213</v>
      </c>
      <c r="EB86" s="566">
        <v>-1.3993852815772499E-20</v>
      </c>
      <c r="EC86" s="566">
        <v>1.8502460629910701E-14</v>
      </c>
      <c r="ED86" s="566">
        <v>0.45477128821020701</v>
      </c>
      <c r="EE86" s="566">
        <v>3.7066471289221997E-213</v>
      </c>
      <c r="EF86" s="566">
        <v>-1.3139630535663801E-13</v>
      </c>
      <c r="EG86" s="566">
        <v>2.1717233676975201E-8</v>
      </c>
      <c r="EH86" s="566">
        <v>5.4602303337218597E-14</v>
      </c>
      <c r="EI86" s="566">
        <v>4.9770801575624402E-213</v>
      </c>
      <c r="EJ86" s="566">
        <v>-1.26709412093888E-89</v>
      </c>
      <c r="EK86" s="566">
        <v>-3.5695520264441198E-90</v>
      </c>
      <c r="EL86" s="566">
        <v>0.45477161133602201</v>
      </c>
      <c r="EM86" s="566">
        <v>6.82705765281425E-214</v>
      </c>
      <c r="EN86" s="566">
        <v>4.7975836791906801E-100</v>
      </c>
      <c r="EO86" s="566">
        <v>4.5878571659097996E-214</v>
      </c>
      <c r="EP86" s="566">
        <v>8.5387034952068601E-214</v>
      </c>
      <c r="EQ86" s="566">
        <v>4.8457404156324197E-100</v>
      </c>
      <c r="ER86" s="566">
        <v>5.7379879373261397E-214</v>
      </c>
      <c r="ES86" s="566">
        <v>0.45477648964737699</v>
      </c>
      <c r="ET86" s="566">
        <v>7.7738758161728202E-214</v>
      </c>
      <c r="EU86" s="566">
        <v>2.6998470611037401E-32</v>
      </c>
      <c r="EV86" s="566">
        <v>3.6027458559256602E-23</v>
      </c>
      <c r="EW86" s="566">
        <v>0.454776511273707</v>
      </c>
      <c r="EX86" s="566">
        <v>7.7750454799080901E-214</v>
      </c>
      <c r="EY86" s="566">
        <v>4.9051801456369901E-29</v>
      </c>
      <c r="EZ86" s="566">
        <v>6.0542209681386401E-20</v>
      </c>
      <c r="FA86" s="566">
        <v>0.45477658820198402</v>
      </c>
      <c r="FB86" s="566">
        <v>7.7763541394843197E-214</v>
      </c>
      <c r="FC86" s="566">
        <v>4.90513114512838E-29</v>
      </c>
      <c r="FD86" s="566">
        <v>6.0541339574303105E-20</v>
      </c>
      <c r="FE86" s="566">
        <v>1.22580712785214E-11</v>
      </c>
      <c r="FF86" s="566">
        <v>7.8673880401373798E-214</v>
      </c>
      <c r="FG86" s="566">
        <v>1.97736676969327E-94</v>
      </c>
      <c r="FH86" s="566">
        <v>-3.4929358226803899E-90</v>
      </c>
    </row>
    <row r="87" spans="1:164" ht="12.75" customHeight="1" x14ac:dyDescent="0.3">
      <c r="A87" s="422"/>
      <c r="B87" s="422"/>
      <c r="C87" s="422"/>
      <c r="D87" s="422"/>
      <c r="E87" s="422"/>
      <c r="F87" s="568"/>
      <c r="G87" s="569"/>
      <c r="H87" s="439"/>
      <c r="I87" s="574">
        <v>5528087.8372019697</v>
      </c>
      <c r="J87" s="566">
        <v>0.43018091916620599</v>
      </c>
      <c r="K87" s="566">
        <v>-4.5233067695828302E-216</v>
      </c>
      <c r="L87" s="566">
        <v>-1.33245912596043E-102</v>
      </c>
      <c r="M87" s="566">
        <v>-6.7227920382350097E-216</v>
      </c>
      <c r="N87" s="566">
        <v>-7.2059068498753903E-216</v>
      </c>
      <c r="O87" s="566">
        <v>-1.35751366638448E-102</v>
      </c>
      <c r="P87" s="566">
        <v>-1.07098222760969E-215</v>
      </c>
      <c r="Q87" s="566">
        <v>1.1789926716749001E-16</v>
      </c>
      <c r="R87" s="566">
        <v>-5.1395593172532102E-216</v>
      </c>
      <c r="S87" s="566">
        <v>-4.8955315931289497E-102</v>
      </c>
      <c r="T87" s="566">
        <v>1.2428583096449901E-109</v>
      </c>
      <c r="U87" s="566">
        <v>6.7236860737941503E-18</v>
      </c>
      <c r="V87" s="566">
        <v>-5.3396538749038097E-219</v>
      </c>
      <c r="W87" s="566">
        <v>9.87885437442908E-93</v>
      </c>
      <c r="X87" s="566">
        <v>1.75752894772654E-93</v>
      </c>
      <c r="Y87" s="566">
        <v>0.368732075111038</v>
      </c>
      <c r="Z87" s="566">
        <v>-3.8407172663565901E-216</v>
      </c>
      <c r="AA87" s="566">
        <v>1.2856241910776699E-34</v>
      </c>
      <c r="AB87" s="566">
        <v>-3.9508028379972898E-31</v>
      </c>
      <c r="AC87" s="566">
        <v>5.5663025345146103E-19</v>
      </c>
      <c r="AD87" s="566">
        <v>-5.7342973916668699E-216</v>
      </c>
      <c r="AE87" s="566">
        <v>3.7154115277465602E-90</v>
      </c>
      <c r="AF87" s="566">
        <v>2.9506946205827699E-90</v>
      </c>
      <c r="AG87" s="566">
        <v>6.4331899353940299E-18</v>
      </c>
      <c r="AH87" s="566">
        <v>-5.9575466099755804E-219</v>
      </c>
      <c r="AI87" s="566">
        <v>4.9903365278593203E-90</v>
      </c>
      <c r="AJ87" s="566">
        <v>1.94880408759762E-90</v>
      </c>
      <c r="AK87" s="566">
        <v>0.36743478421723902</v>
      </c>
      <c r="AL87" s="566">
        <v>-3.86531204614452E-216</v>
      </c>
      <c r="AM87" s="566">
        <v>1.2866128472275001E-34</v>
      </c>
      <c r="AN87" s="566">
        <v>-3.9482475143116097E-31</v>
      </c>
      <c r="AO87" s="566">
        <v>2.9519837376566199E-16</v>
      </c>
      <c r="AP87" s="566">
        <v>-5.6784613075640003E-216</v>
      </c>
      <c r="AQ87" s="566">
        <v>-1.9509107882199501E-95</v>
      </c>
      <c r="AR87" s="566">
        <v>1.0484982820023601E-90</v>
      </c>
      <c r="AS87" s="566">
        <v>8.3609952915801604E-18</v>
      </c>
      <c r="AT87" s="566">
        <v>-5.6606325162074496E-218</v>
      </c>
      <c r="AU87" s="566">
        <v>6.9432989218873204E-92</v>
      </c>
      <c r="AV87" s="566">
        <v>1.00020057703545E-90</v>
      </c>
      <c r="AW87" s="566">
        <v>2.9519837376566199E-16</v>
      </c>
      <c r="AX87" s="566">
        <v>-5.6784613172026603E-216</v>
      </c>
      <c r="AY87" s="566">
        <v>-1.95091079152408E-95</v>
      </c>
      <c r="AZ87" s="566">
        <v>1.04849828237179E-90</v>
      </c>
      <c r="BA87" s="566">
        <v>0.44533589739252599</v>
      </c>
      <c r="BB87" s="566">
        <v>-1.7014642002258301E-215</v>
      </c>
      <c r="BC87" s="566">
        <v>-6.53617639715206E-102</v>
      </c>
      <c r="BD87" s="566">
        <v>-1.4398661248416999E-215</v>
      </c>
      <c r="BE87" s="566">
        <v>-2.7105373719949299E-215</v>
      </c>
      <c r="BF87" s="566">
        <v>-6.6590776552790098E-102</v>
      </c>
      <c r="BG87" s="566">
        <v>-2.2937954428137699E-215</v>
      </c>
      <c r="BH87" s="566">
        <v>1.7656044406965199E-15</v>
      </c>
      <c r="BI87" s="566">
        <v>-1.8949165259701999E-215</v>
      </c>
      <c r="BJ87" s="566">
        <v>-3.6981884462089502E-101</v>
      </c>
      <c r="BK87" s="566">
        <v>-1.9677062197017701E-110</v>
      </c>
      <c r="BL87" s="566">
        <v>3.8146844990058403E-15</v>
      </c>
      <c r="BM87" s="566">
        <v>-1.89490552648146E-215</v>
      </c>
      <c r="BN87" s="566">
        <v>1.64133247932613E-91</v>
      </c>
      <c r="BO87" s="566">
        <v>1.3816016929703E-92</v>
      </c>
      <c r="BP87" s="566">
        <v>0.44561794524346598</v>
      </c>
      <c r="BQ87" s="566">
        <v>-1.9023771320192101E-215</v>
      </c>
      <c r="BR87" s="566">
        <v>2.255381671217E-30</v>
      </c>
      <c r="BS87" s="566">
        <v>-1.56460436713739E-26</v>
      </c>
      <c r="BT87" s="566">
        <v>1.74702013439282E-15</v>
      </c>
      <c r="BU87" s="566">
        <v>-1.9170219432781999E-215</v>
      </c>
      <c r="BV87" s="566">
        <v>7.2096954633128304E-90</v>
      </c>
      <c r="BW87" s="566">
        <v>3.0963518475821902E-90</v>
      </c>
      <c r="BX87" s="566">
        <v>3.7989358949395E-15</v>
      </c>
      <c r="BY87" s="566">
        <v>-1.91701052669798E-215</v>
      </c>
      <c r="BZ87" s="566">
        <v>6.0332361814448701E-89</v>
      </c>
      <c r="CA87" s="566">
        <v>2.4571929713311701E-90</v>
      </c>
      <c r="CB87" s="566">
        <v>0.44561788571300998</v>
      </c>
      <c r="CC87" s="566">
        <v>-1.9027114668398299E-215</v>
      </c>
      <c r="CD87" s="566">
        <v>3.5918425323757598E-28</v>
      </c>
      <c r="CE87" s="566">
        <v>1.3835441213306301E-25</v>
      </c>
      <c r="CF87" s="566">
        <v>4.49059084444048E-15</v>
      </c>
      <c r="CG87" s="566">
        <v>-2.13598123923115E-215</v>
      </c>
      <c r="CH87" s="566">
        <v>-4.39575431780899E-95</v>
      </c>
      <c r="CI87" s="566">
        <v>1.07405298100738E-90</v>
      </c>
      <c r="CJ87" s="566">
        <v>4.1867238030095198E-15</v>
      </c>
      <c r="CK87" s="566">
        <v>-2.13598126649312E-215</v>
      </c>
      <c r="CL87" s="566">
        <v>1.91919973143639E-91</v>
      </c>
      <c r="CM87" s="566">
        <v>1.07326218543052E-90</v>
      </c>
      <c r="CN87" s="566">
        <v>4.49059084444048E-15</v>
      </c>
      <c r="CO87" s="566">
        <v>-2.1359813043914099E-215</v>
      </c>
      <c r="CP87" s="566">
        <v>-4.3957543141287002E-95</v>
      </c>
      <c r="CQ87" s="566">
        <v>1.07405298134878E-90</v>
      </c>
      <c r="CR87" s="566">
        <v>0.44567888117517601</v>
      </c>
      <c r="CS87" s="566">
        <v>-6.3450591474530403E-215</v>
      </c>
      <c r="CT87" s="566">
        <v>-5.9099478085063506E-101</v>
      </c>
      <c r="CU87" s="566">
        <v>-4.9668385504852699E-215</v>
      </c>
      <c r="CV87" s="566">
        <v>-1.0108070476793901E-214</v>
      </c>
      <c r="CW87" s="566">
        <v>-6.0210739334551297E-101</v>
      </c>
      <c r="CX87" s="566">
        <v>-7.9109828420439199E-215</v>
      </c>
      <c r="CY87" s="566">
        <v>0.445678726749826</v>
      </c>
      <c r="CZ87" s="566">
        <v>-8.1627523709454497E-215</v>
      </c>
      <c r="DA87" s="566">
        <v>7.6339266620467604E-28</v>
      </c>
      <c r="DB87" s="566">
        <v>-1.2778794766049599E-22</v>
      </c>
      <c r="DC87" s="566">
        <v>0.44567927396410101</v>
      </c>
      <c r="DD87" s="566">
        <v>-8.1640382226151701E-215</v>
      </c>
      <c r="DE87" s="566">
        <v>1.18758008110189E-24</v>
      </c>
      <c r="DF87" s="566">
        <v>-1.9620703768553699E-19</v>
      </c>
      <c r="DG87" s="566">
        <v>0.44567934926666303</v>
      </c>
      <c r="DH87" s="566">
        <v>-8.1654730385271103E-215</v>
      </c>
      <c r="DI87" s="566">
        <v>1.1877032021159399E-24</v>
      </c>
      <c r="DJ87" s="566">
        <v>-1.96207621185336E-19</v>
      </c>
      <c r="DK87" s="566">
        <v>1.8485228798765E-13</v>
      </c>
      <c r="DL87" s="566">
        <v>-8.5482335346528603E-215</v>
      </c>
      <c r="DM87" s="566">
        <v>-1.3134688135349601E-94</v>
      </c>
      <c r="DN87" s="566">
        <v>1.10413953585377E-90</v>
      </c>
      <c r="DO87" s="566">
        <v>0.44567888154900998</v>
      </c>
      <c r="DP87" s="566">
        <v>-3.1135412614625398E-214</v>
      </c>
      <c r="DQ87" s="566">
        <v>-2.6158538293151001E-100</v>
      </c>
      <c r="DR87" s="566">
        <v>-5.2968918567990897E-213</v>
      </c>
      <c r="DS87" s="566">
        <v>-2.70546309637978E-213</v>
      </c>
      <c r="DT87" s="566">
        <v>-2.7584006750750501E-100</v>
      </c>
      <c r="DU87" s="566">
        <v>5.7836313365633296E-212</v>
      </c>
      <c r="DV87" s="566">
        <v>0.44567996714038099</v>
      </c>
      <c r="DW87" s="566">
        <v>-1.1977573735088499E-213</v>
      </c>
      <c r="DX87" s="566">
        <v>3.4355987947491398E-24</v>
      </c>
      <c r="DY87" s="566">
        <v>-4.5980249893703303E-18</v>
      </c>
      <c r="DZ87" s="566">
        <v>0.44568027404819499</v>
      </c>
      <c r="EA87" s="566">
        <v>-1.1979360007285E-213</v>
      </c>
      <c r="EB87" s="566">
        <v>4.5234081690389497E-21</v>
      </c>
      <c r="EC87" s="566">
        <v>-5.9807818956941903E-15</v>
      </c>
      <c r="ED87" s="566">
        <v>0.44568034942110701</v>
      </c>
      <c r="EE87" s="566">
        <v>-1.19813475973614E-213</v>
      </c>
      <c r="EF87" s="566">
        <v>4.24727181695845E-14</v>
      </c>
      <c r="EG87" s="566">
        <v>-7.0199077735112504E-9</v>
      </c>
      <c r="EH87" s="566">
        <v>5.35108000016151E-14</v>
      </c>
      <c r="EI87" s="566">
        <v>-1.6087888992221201E-213</v>
      </c>
      <c r="EJ87" s="566">
        <v>4.09577139817001E-90</v>
      </c>
      <c r="EK87" s="566">
        <v>1.1538269453840199E-90</v>
      </c>
      <c r="EL87" s="566">
        <v>0.44568066608755202</v>
      </c>
      <c r="EM87" s="566">
        <v>-2.2067746289033498E-214</v>
      </c>
      <c r="EN87" s="566">
        <v>-1.5507750712520699E-100</v>
      </c>
      <c r="EO87" s="566">
        <v>-1.4829766071715199E-214</v>
      </c>
      <c r="EP87" s="566">
        <v>-2.7600461568072499E-214</v>
      </c>
      <c r="EQ87" s="566">
        <v>-1.5663412961230001E-100</v>
      </c>
      <c r="ER87" s="566">
        <v>-1.8547442903228399E-214</v>
      </c>
      <c r="ES87" s="566">
        <v>0.44568544688081502</v>
      </c>
      <c r="ET87" s="566">
        <v>-2.5128236484578002E-214</v>
      </c>
      <c r="EU87" s="566">
        <v>-8.7119597546388606E-33</v>
      </c>
      <c r="EV87" s="566">
        <v>-1.16456709703262E-23</v>
      </c>
      <c r="EW87" s="566">
        <v>0.445685468074831</v>
      </c>
      <c r="EX87" s="566">
        <v>-2.5132017299664398E-214</v>
      </c>
      <c r="EY87" s="566">
        <v>-1.58281539798187E-29</v>
      </c>
      <c r="EZ87" s="566">
        <v>-1.9569862798773001E-20</v>
      </c>
      <c r="FA87" s="566">
        <v>0.44568554346529798</v>
      </c>
      <c r="FB87" s="566">
        <v>-2.5136247404195899E-214</v>
      </c>
      <c r="FC87" s="566">
        <v>-1.5828091090844099E-29</v>
      </c>
      <c r="FD87" s="566">
        <v>-1.9569698072283E-20</v>
      </c>
      <c r="FE87" s="566">
        <v>1.20130307965144E-11</v>
      </c>
      <c r="FF87" s="566">
        <v>-2.54305049197251E-214</v>
      </c>
      <c r="FG87" s="566">
        <v>-6.3916596364783996E-95</v>
      </c>
      <c r="FH87" s="566">
        <v>1.1290614174687999E-90</v>
      </c>
    </row>
    <row r="88" spans="1:164" ht="12.75" customHeight="1" x14ac:dyDescent="0.3">
      <c r="A88" s="422"/>
      <c r="B88" s="422"/>
      <c r="C88" s="422"/>
      <c r="D88" s="422"/>
      <c r="E88" s="422"/>
      <c r="F88" s="568"/>
      <c r="G88" s="569"/>
      <c r="H88" s="439"/>
      <c r="I88" s="574">
        <v>5611846.7438262403</v>
      </c>
      <c r="J88" s="566">
        <v>0.421581544918048</v>
      </c>
      <c r="K88" s="566">
        <v>-1.5358669124645099E-215</v>
      </c>
      <c r="L88" s="566">
        <v>-4.52427594401685E-102</v>
      </c>
      <c r="M88" s="566">
        <v>-2.2826914858697499E-215</v>
      </c>
      <c r="N88" s="566">
        <v>-2.4467307809956599E-215</v>
      </c>
      <c r="O88" s="566">
        <v>-4.6093469621971599E-102</v>
      </c>
      <c r="P88" s="566">
        <v>-3.6364682985556901E-215</v>
      </c>
      <c r="Q88" s="566">
        <v>1.15542445010147E-16</v>
      </c>
      <c r="R88" s="566">
        <v>-1.7451124812270799E-215</v>
      </c>
      <c r="S88" s="566">
        <v>-1.6622450466541799E-101</v>
      </c>
      <c r="T88" s="566">
        <v>4.2200468403779502E-109</v>
      </c>
      <c r="U88" s="566">
        <v>6.5892887382138701E-18</v>
      </c>
      <c r="V88" s="566">
        <v>-1.81305361945072E-218</v>
      </c>
      <c r="W88" s="566">
        <v>3.3542936017450598E-92</v>
      </c>
      <c r="X88" s="566">
        <v>5.9675596956960298E-93</v>
      </c>
      <c r="Y88" s="566">
        <v>0.36136107149396102</v>
      </c>
      <c r="Z88" s="566">
        <v>-1.30409695163619E-215</v>
      </c>
      <c r="AA88" s="566">
        <v>4.3651539330267299E-34</v>
      </c>
      <c r="AB88" s="566">
        <v>-1.3414388979331099E-30</v>
      </c>
      <c r="AC88" s="566">
        <v>5.4550313951733099E-19</v>
      </c>
      <c r="AD88" s="566">
        <v>-1.94705291476492E-215</v>
      </c>
      <c r="AE88" s="566">
        <v>1.2615405630587999E-89</v>
      </c>
      <c r="AF88" s="566">
        <v>1.0018865811406899E-89</v>
      </c>
      <c r="AG88" s="566">
        <v>6.3045997922973097E-18</v>
      </c>
      <c r="AH88" s="566">
        <v>-2.0228561059038701E-218</v>
      </c>
      <c r="AI88" s="566">
        <v>1.6944319128873E-89</v>
      </c>
      <c r="AJ88" s="566">
        <v>6.6170204192643598E-90</v>
      </c>
      <c r="AK88" s="566">
        <v>0.36008971361905501</v>
      </c>
      <c r="AL88" s="566">
        <v>-1.31244799002918E-215</v>
      </c>
      <c r="AM88" s="566">
        <v>4.3684773082755898E-34</v>
      </c>
      <c r="AN88" s="566">
        <v>-1.34056096332107E-30</v>
      </c>
      <c r="AO88" s="566">
        <v>2.8929731869706499E-16</v>
      </c>
      <c r="AP88" s="566">
        <v>-1.92809404275747E-215</v>
      </c>
      <c r="AQ88" s="566">
        <v>-6.6241798568751899E-95</v>
      </c>
      <c r="AR88" s="566">
        <v>3.5600984538263098E-90</v>
      </c>
      <c r="AS88" s="566">
        <v>8.1938779550668703E-18</v>
      </c>
      <c r="AT88" s="566">
        <v>-1.9220403629766E-217</v>
      </c>
      <c r="AU88" s="566">
        <v>2.35754696507298E-91</v>
      </c>
      <c r="AV88" s="566">
        <v>3.39610716445295E-90</v>
      </c>
      <c r="AW88" s="566">
        <v>2.8929731869706499E-16</v>
      </c>
      <c r="AX88" s="566">
        <v>-1.9280940460301999E-215</v>
      </c>
      <c r="AY88" s="566">
        <v>-6.6241798680940904E-95</v>
      </c>
      <c r="AZ88" s="566">
        <v>3.5600984550805299E-90</v>
      </c>
      <c r="BA88" s="566">
        <v>0.436433573097807</v>
      </c>
      <c r="BB88" s="566">
        <v>-5.7772393096184799E-215</v>
      </c>
      <c r="BC88" s="566">
        <v>-2.2193150291322301E-101</v>
      </c>
      <c r="BD88" s="566">
        <v>-4.8889957108225999E-215</v>
      </c>
      <c r="BE88" s="566">
        <v>-9.2034984066081303E-215</v>
      </c>
      <c r="BF88" s="566">
        <v>-2.2610453302574301E-101</v>
      </c>
      <c r="BG88" s="566">
        <v>-7.7884713640680404E-215</v>
      </c>
      <c r="BH88" s="566">
        <v>1.7303097712527E-15</v>
      </c>
      <c r="BI88" s="566">
        <v>-6.4340973150232696E-215</v>
      </c>
      <c r="BJ88" s="566">
        <v>-1.25569518026047E-100</v>
      </c>
      <c r="BK88" s="566">
        <v>-6.6812217044338004E-110</v>
      </c>
      <c r="BL88" s="566">
        <v>3.73842845589545E-15</v>
      </c>
      <c r="BM88" s="566">
        <v>-6.4340599667918103E-215</v>
      </c>
      <c r="BN88" s="566">
        <v>5.57302543443208E-91</v>
      </c>
      <c r="BO88" s="566">
        <v>4.69112712611201E-92</v>
      </c>
      <c r="BP88" s="566">
        <v>0.43670998277441198</v>
      </c>
      <c r="BQ88" s="566">
        <v>-6.4594294416314297E-215</v>
      </c>
      <c r="BR88" s="566">
        <v>7.6578468412420101E-30</v>
      </c>
      <c r="BS88" s="566">
        <v>-5.3124048822122599E-26</v>
      </c>
      <c r="BT88" s="566">
        <v>1.71209696796672E-15</v>
      </c>
      <c r="BU88" s="566">
        <v>-6.50915518918233E-215</v>
      </c>
      <c r="BV88" s="566">
        <v>2.4479988838006E-89</v>
      </c>
      <c r="BW88" s="566">
        <v>1.0513434173892799E-89</v>
      </c>
      <c r="BX88" s="566">
        <v>3.7229946688821803E-15</v>
      </c>
      <c r="BY88" s="566">
        <v>-6.5091164247368202E-215</v>
      </c>
      <c r="BZ88" s="566">
        <v>2.0485411789009599E-88</v>
      </c>
      <c r="CA88" s="566">
        <v>8.3432186635850804E-90</v>
      </c>
      <c r="CB88" s="566">
        <v>0.43670992443397899</v>
      </c>
      <c r="CC88" s="566">
        <v>-6.4605646593269098E-215</v>
      </c>
      <c r="CD88" s="566">
        <v>1.2195834910622501E-27</v>
      </c>
      <c r="CE88" s="566">
        <v>4.6977356557051197E-25</v>
      </c>
      <c r="CF88" s="566">
        <v>4.4008233314100098E-15</v>
      </c>
      <c r="CG88" s="566">
        <v>-7.2526208769219898E-215</v>
      </c>
      <c r="CH88" s="566">
        <v>-1.49254734678837E-94</v>
      </c>
      <c r="CI88" s="566">
        <v>3.6468675463248799E-90</v>
      </c>
      <c r="CJ88" s="566">
        <v>4.1030306529836201E-15</v>
      </c>
      <c r="CK88" s="566">
        <v>-7.25262096948916E-215</v>
      </c>
      <c r="CL88" s="566">
        <v>6.5165039747232799E-91</v>
      </c>
      <c r="CM88" s="566">
        <v>3.6441824579628498E-90</v>
      </c>
      <c r="CN88" s="566">
        <v>4.4008233314100098E-15</v>
      </c>
      <c r="CO88" s="566">
        <v>-7.25262109817056E-215</v>
      </c>
      <c r="CP88" s="566">
        <v>-1.49254734553886E-94</v>
      </c>
      <c r="CQ88" s="566">
        <v>3.6468675474839E-90</v>
      </c>
      <c r="CR88" s="566">
        <v>0.436769700588655</v>
      </c>
      <c r="CS88" s="566">
        <v>-2.1544341117286901E-214</v>
      </c>
      <c r="CT88" s="566">
        <v>-2.00668329553061E-100</v>
      </c>
      <c r="CU88" s="566">
        <v>-1.6864659810107499E-214</v>
      </c>
      <c r="CV88" s="566">
        <v>-3.43214638869082E-214</v>
      </c>
      <c r="CW88" s="566">
        <v>-2.0444154288519401E-100</v>
      </c>
      <c r="CX88" s="566">
        <v>-2.6861359200308E-214</v>
      </c>
      <c r="CY88" s="566">
        <v>0.43676954925031097</v>
      </c>
      <c r="CZ88" s="566">
        <v>-2.7716230447777298E-214</v>
      </c>
      <c r="DA88" s="566">
        <v>2.5920095333041502E-27</v>
      </c>
      <c r="DB88" s="566">
        <v>-4.3388886923983702E-22</v>
      </c>
      <c r="DC88" s="566">
        <v>0.43677008552570001</v>
      </c>
      <c r="DD88" s="566">
        <v>-2.7720596494865499E-214</v>
      </c>
      <c r="DE88" s="566">
        <v>4.0323036927930698E-24</v>
      </c>
      <c r="DF88" s="566">
        <v>-6.66200431203835E-19</v>
      </c>
      <c r="DG88" s="566">
        <v>0.43677015932295299</v>
      </c>
      <c r="DH88" s="566">
        <v>-2.7725468342824399E-214</v>
      </c>
      <c r="DI88" s="566">
        <v>4.0326910303259998E-24</v>
      </c>
      <c r="DJ88" s="566">
        <v>-6.6619733853959603E-19</v>
      </c>
      <c r="DK88" s="566">
        <v>1.8115706596776999E-13</v>
      </c>
      <c r="DL88" s="566">
        <v>-2.90251130747448E-214</v>
      </c>
      <c r="DM88" s="566">
        <v>-4.4597906320312402E-94</v>
      </c>
      <c r="DN88" s="566">
        <v>3.7490242205207998E-90</v>
      </c>
      <c r="DO88" s="566">
        <v>0.43676970095501699</v>
      </c>
      <c r="DP88" s="566">
        <v>-1.0571878600473001E-213</v>
      </c>
      <c r="DQ88" s="566">
        <v>-8.8819569189442095E-100</v>
      </c>
      <c r="DR88" s="566">
        <v>-1.7985339787301399E-212</v>
      </c>
      <c r="DS88" s="566">
        <v>-9.1862685408006695E-213</v>
      </c>
      <c r="DT88" s="566">
        <v>-9.3659652105324399E-100</v>
      </c>
      <c r="DU88" s="566">
        <v>1.9638040446381701E-211</v>
      </c>
      <c r="DV88" s="566">
        <v>0.43677076484529198</v>
      </c>
      <c r="DW88" s="566">
        <v>-4.06692701690834E-213</v>
      </c>
      <c r="DX88" s="566">
        <v>1.16652230026364E-23</v>
      </c>
      <c r="DY88" s="566">
        <v>-1.56121219234225E-17</v>
      </c>
      <c r="DZ88" s="566">
        <v>0.43677106561797802</v>
      </c>
      <c r="EA88" s="566">
        <v>-4.0675335369590201E-213</v>
      </c>
      <c r="EB88" s="566">
        <v>1.5358829570136099E-20</v>
      </c>
      <c r="EC88" s="566">
        <v>-2.0307212257642399E-14</v>
      </c>
      <c r="ED88" s="566">
        <v>0.43677113948417801</v>
      </c>
      <c r="EE88" s="566">
        <v>-4.0682084135185799E-213</v>
      </c>
      <c r="EF88" s="566">
        <v>1.4421300037548301E-13</v>
      </c>
      <c r="EG88" s="566">
        <v>-2.3835582133835102E-8</v>
      </c>
      <c r="EH88" s="566">
        <v>5.2441114323412697E-14</v>
      </c>
      <c r="EI88" s="566">
        <v>-5.4625645908062902E-213</v>
      </c>
      <c r="EJ88" s="566">
        <v>1.3906894410348201E-89</v>
      </c>
      <c r="EK88" s="566">
        <v>3.9177341486911402E-90</v>
      </c>
      <c r="EL88" s="566">
        <v>0.43677144982039501</v>
      </c>
      <c r="EM88" s="566">
        <v>-7.4929964038471394E-214</v>
      </c>
      <c r="EN88" s="566">
        <v>-5.26555315112568E-100</v>
      </c>
      <c r="EO88" s="566">
        <v>-5.0353752661211203E-214</v>
      </c>
      <c r="EP88" s="566">
        <v>-9.3716030882978907E-214</v>
      </c>
      <c r="EQ88" s="566">
        <v>-5.3184072277347499E-100</v>
      </c>
      <c r="ER88" s="566">
        <v>-6.2976944338202703E-214</v>
      </c>
      <c r="ES88" s="566">
        <v>0.43677613504496199</v>
      </c>
      <c r="ET88" s="566">
        <v>-8.5321710313264E-214</v>
      </c>
      <c r="EU88" s="566">
        <v>-2.9646235087801103E-32</v>
      </c>
      <c r="EV88" s="566">
        <v>-3.9541557672994699E-23</v>
      </c>
      <c r="EW88" s="566">
        <v>0.43677615581530799</v>
      </c>
      <c r="EX88" s="566">
        <v>-8.5334547887819308E-214</v>
      </c>
      <c r="EY88" s="566">
        <v>-5.38624039437599E-29</v>
      </c>
      <c r="EZ88" s="566">
        <v>-6.6447523282677895E-20</v>
      </c>
      <c r="FA88" s="566">
        <v>0.436776229698706</v>
      </c>
      <c r="FB88" s="566">
        <v>-8.5348911002937005E-214</v>
      </c>
      <c r="FC88" s="566">
        <v>-5.3861776053446299E-29</v>
      </c>
      <c r="FD88" s="566">
        <v>-6.6446457886292701E-20</v>
      </c>
      <c r="FE88" s="566">
        <v>1.17728887003142E-11</v>
      </c>
      <c r="FF88" s="566">
        <v>-8.6348048149437192E-214</v>
      </c>
      <c r="FG88" s="566">
        <v>-2.1702443316827599E-94</v>
      </c>
      <c r="FH88" s="566">
        <v>3.8336446283242799E-90</v>
      </c>
    </row>
    <row r="89" spans="1:164" ht="12.75" customHeight="1" x14ac:dyDescent="0.3">
      <c r="A89" s="422"/>
      <c r="B89" s="422"/>
      <c r="C89" s="422"/>
      <c r="D89" s="422"/>
      <c r="E89" s="422"/>
      <c r="F89" s="568"/>
      <c r="G89" s="569"/>
      <c r="H89" s="439"/>
      <c r="I89" s="574">
        <v>5695605.65045051</v>
      </c>
      <c r="J89" s="566">
        <v>0.41315407339561799</v>
      </c>
      <c r="K89" s="566">
        <v>1.3156098373608299E-215</v>
      </c>
      <c r="L89" s="566">
        <v>3.87546020263015E-102</v>
      </c>
      <c r="M89" s="566">
        <v>1.9553330761265501E-215</v>
      </c>
      <c r="N89" s="566">
        <v>2.0958476667006799E-215</v>
      </c>
      <c r="O89" s="566">
        <v>3.9483313867564901E-102</v>
      </c>
      <c r="P89" s="566">
        <v>3.1149661653652599E-215</v>
      </c>
      <c r="Q89" s="566">
        <v>1.1323273606607101E-16</v>
      </c>
      <c r="R89" s="566">
        <v>1.4948477169284401E-215</v>
      </c>
      <c r="S89" s="566">
        <v>1.42386640537398E-101</v>
      </c>
      <c r="T89" s="566">
        <v>-3.6148587865290701E-109</v>
      </c>
      <c r="U89" s="566">
        <v>6.4575419766327197E-18</v>
      </c>
      <c r="V89" s="566">
        <v>1.55304548724503E-218</v>
      </c>
      <c r="W89" s="566">
        <v>-2.8732635829980299E-92</v>
      </c>
      <c r="X89" s="566">
        <v>-5.1117690604020801E-93</v>
      </c>
      <c r="Y89" s="566">
        <v>0.35413741529728898</v>
      </c>
      <c r="Z89" s="566">
        <v>1.11707776534607E-215</v>
      </c>
      <c r="AA89" s="566">
        <v>-3.7391809407609701E-34</v>
      </c>
      <c r="AB89" s="566">
        <v>1.1490735038417499E-30</v>
      </c>
      <c r="AC89" s="566">
        <v>5.3459846012658103E-19</v>
      </c>
      <c r="AD89" s="566">
        <v>1.6678280831094299E-215</v>
      </c>
      <c r="AE89" s="566">
        <v>-1.08062663910388E-89</v>
      </c>
      <c r="AF89" s="566">
        <v>-8.5820889208368195E-90</v>
      </c>
      <c r="AG89" s="566">
        <v>6.1785436497643002E-18</v>
      </c>
      <c r="AH89" s="566">
        <v>1.73276041751697E-218</v>
      </c>
      <c r="AI89" s="566">
        <v>-1.4514382845520999E-89</v>
      </c>
      <c r="AJ89" s="566">
        <v>-5.6680924540986004E-90</v>
      </c>
      <c r="AK89" s="566">
        <v>0.352891472036508</v>
      </c>
      <c r="AL89" s="566">
        <v>1.12423119001639E-215</v>
      </c>
      <c r="AM89" s="566">
        <v>-3.7420358260560398E-34</v>
      </c>
      <c r="AN89" s="566">
        <v>1.1483239594073499E-30</v>
      </c>
      <c r="AO89" s="566">
        <v>2.83514226566439E-16</v>
      </c>
      <c r="AP89" s="566">
        <v>1.65158808320066E-215</v>
      </c>
      <c r="AQ89" s="566">
        <v>5.67422364648187E-95</v>
      </c>
      <c r="AR89" s="566">
        <v>-3.04955493630409E-90</v>
      </c>
      <c r="AS89" s="566">
        <v>8.0300292960327297E-18</v>
      </c>
      <c r="AT89" s="566">
        <v>1.64640255533538E-217</v>
      </c>
      <c r="AU89" s="566">
        <v>-2.0194576397295399E-91</v>
      </c>
      <c r="AV89" s="566">
        <v>-2.9090811679015802E-90</v>
      </c>
      <c r="AW89" s="566">
        <v>2.83514226566439E-16</v>
      </c>
      <c r="AX89" s="566">
        <v>1.65158808600406E-215</v>
      </c>
      <c r="AY89" s="566">
        <v>5.6742236560919297E-95</v>
      </c>
      <c r="AZ89" s="566">
        <v>-3.04955493737849E-90</v>
      </c>
      <c r="BA89" s="566">
        <v>0.42770920754373998</v>
      </c>
      <c r="BB89" s="566">
        <v>4.9487314342396996E-215</v>
      </c>
      <c r="BC89" s="566">
        <v>1.9010482956671701E-101</v>
      </c>
      <c r="BD89" s="566">
        <v>4.18786992530001E-215</v>
      </c>
      <c r="BE89" s="566">
        <v>7.8836342808108699E-215</v>
      </c>
      <c r="BF89" s="566">
        <v>1.9367941527403401E-101</v>
      </c>
      <c r="BG89" s="566">
        <v>6.6715347934213303E-215</v>
      </c>
      <c r="BH89" s="566">
        <v>1.69572064717825E-15</v>
      </c>
      <c r="BI89" s="566">
        <v>5.5113901168678996E-215</v>
      </c>
      <c r="BJ89" s="566">
        <v>1.07561889636049E-100</v>
      </c>
      <c r="BK89" s="566">
        <v>5.7230818307770001E-110</v>
      </c>
      <c r="BL89" s="566">
        <v>3.6636967409427603E-15</v>
      </c>
      <c r="BM89" s="566">
        <v>5.5113581247074702E-215</v>
      </c>
      <c r="BN89" s="566">
        <v>-4.7738132764346801E-91</v>
      </c>
      <c r="BO89" s="566">
        <v>-4.0183858696114097E-92</v>
      </c>
      <c r="BP89" s="566">
        <v>0.42798009175385499</v>
      </c>
      <c r="BQ89" s="566">
        <v>5.5330893895696701E-215</v>
      </c>
      <c r="BR89" s="566">
        <v>-6.5596895079474701E-30</v>
      </c>
      <c r="BS89" s="566">
        <v>4.55059069436875E-26</v>
      </c>
      <c r="BT89" s="566">
        <v>1.67787191963948E-15</v>
      </c>
      <c r="BU89" s="566">
        <v>5.5756840194280101E-215</v>
      </c>
      <c r="BV89" s="566">
        <v>-2.09693836561241E-89</v>
      </c>
      <c r="BW89" s="566">
        <v>-9.0057326494156704E-90</v>
      </c>
      <c r="BX89" s="566">
        <v>3.6485714765020998E-15</v>
      </c>
      <c r="BY89" s="566">
        <v>5.5756508141513203E-215</v>
      </c>
      <c r="BZ89" s="566">
        <v>-1.75476565969687E-88</v>
      </c>
      <c r="CA89" s="566">
        <v>-7.14674122646881E-90</v>
      </c>
      <c r="CB89" s="566">
        <v>0.427980034579651</v>
      </c>
      <c r="CC89" s="566">
        <v>5.5340618068771598E-215</v>
      </c>
      <c r="CD89" s="566">
        <v>-1.0446865425497199E-27</v>
      </c>
      <c r="CE89" s="566">
        <v>-4.0240435142055202E-25</v>
      </c>
      <c r="CF89" s="566">
        <v>4.31285028385198E-15</v>
      </c>
      <c r="CG89" s="566">
        <v>6.2125300668249201E-215</v>
      </c>
      <c r="CH89" s="566">
        <v>1.27850505747543E-94</v>
      </c>
      <c r="CI89" s="566">
        <v>-3.1238807218910999E-90</v>
      </c>
      <c r="CJ89" s="566">
        <v>4.0210104689233904E-15</v>
      </c>
      <c r="CK89" s="566">
        <v>6.2125301461169496E-215</v>
      </c>
      <c r="CL89" s="566">
        <v>-5.5819900646921104E-91</v>
      </c>
      <c r="CM89" s="566">
        <v>-3.1215806944551501E-90</v>
      </c>
      <c r="CN89" s="566">
        <v>4.31285028385198E-15</v>
      </c>
      <c r="CO89" s="566">
        <v>6.2125302563444203E-215</v>
      </c>
      <c r="CP89" s="566">
        <v>1.27850505640508E-94</v>
      </c>
      <c r="CQ89" s="566">
        <v>-3.1238807228839699E-90</v>
      </c>
      <c r="CR89" s="566">
        <v>0.42803861580105301</v>
      </c>
      <c r="CS89" s="566">
        <v>1.84546895849715E-214</v>
      </c>
      <c r="CT89" s="566">
        <v>1.7189095774310599E-100</v>
      </c>
      <c r="CU89" s="566">
        <v>1.44461165029395E-214</v>
      </c>
      <c r="CV89" s="566">
        <v>2.9399458478983099E-214</v>
      </c>
      <c r="CW89" s="566">
        <v>1.7512306345142999E-100</v>
      </c>
      <c r="CX89" s="566">
        <v>2.3009199640215098E-214</v>
      </c>
      <c r="CY89" s="566">
        <v>0.42803846748792401</v>
      </c>
      <c r="CZ89" s="566">
        <v>2.3741474691414699E-214</v>
      </c>
      <c r="DA89" s="566">
        <v>-2.2203050280668099E-27</v>
      </c>
      <c r="DB89" s="566">
        <v>3.71667474153428E-22</v>
      </c>
      <c r="DC89" s="566">
        <v>0.42803899304309501</v>
      </c>
      <c r="DD89" s="566">
        <v>2.3745214608233999E-214</v>
      </c>
      <c r="DE89" s="566">
        <v>-3.45405140518086E-24</v>
      </c>
      <c r="DF89" s="566">
        <v>5.7066399538204401E-19</v>
      </c>
      <c r="DG89" s="566">
        <v>0.42803906536513397</v>
      </c>
      <c r="DH89" s="566">
        <v>2.3749387789548102E-214</v>
      </c>
      <c r="DI89" s="566">
        <v>-3.4543906193367196E-24</v>
      </c>
      <c r="DJ89" s="566">
        <v>5.7066257271728904E-19</v>
      </c>
      <c r="DK89" s="566">
        <v>1.77535711966554E-13</v>
      </c>
      <c r="DL89" s="566">
        <v>2.4862651823375702E-214</v>
      </c>
      <c r="DM89" s="566">
        <v>3.8202237876107302E-94</v>
      </c>
      <c r="DN89" s="566">
        <v>-3.2113874001785799E-90</v>
      </c>
      <c r="DO89" s="566">
        <v>0.42803861616009098</v>
      </c>
      <c r="DP89" s="566">
        <v>9.0557764955359802E-214</v>
      </c>
      <c r="DQ89" s="566">
        <v>7.6082164277280801E-100</v>
      </c>
      <c r="DR89" s="566">
        <v>1.54060809418542E-212</v>
      </c>
      <c r="DS89" s="566">
        <v>7.8688754315569698E-213</v>
      </c>
      <c r="DT89" s="566">
        <v>8.02281423188584E-100</v>
      </c>
      <c r="DU89" s="566">
        <v>-1.6821769441326799E-211</v>
      </c>
      <c r="DV89" s="566">
        <v>0.42803965878299599</v>
      </c>
      <c r="DW89" s="566">
        <v>3.4836932838330603E-213</v>
      </c>
      <c r="DX89" s="566">
        <v>-9.9923705587446695E-24</v>
      </c>
      <c r="DY89" s="566">
        <v>1.3373264026779099E-17</v>
      </c>
      <c r="DZ89" s="566">
        <v>0.42803995354319702</v>
      </c>
      <c r="EA89" s="566">
        <v>3.4842128234806898E-213</v>
      </c>
      <c r="EB89" s="566">
        <v>-1.31562802458537E-20</v>
      </c>
      <c r="EC89" s="566">
        <v>1.7395034840735699E-14</v>
      </c>
      <c r="ED89" s="566">
        <v>0.428040025932794</v>
      </c>
      <c r="EE89" s="566">
        <v>3.4847909167019699E-213</v>
      </c>
      <c r="EF89" s="566">
        <v>-1.2353181973398301E-13</v>
      </c>
      <c r="EG89" s="566">
        <v>2.0417388361239099E-8</v>
      </c>
      <c r="EH89" s="566">
        <v>5.1392803247477602E-14</v>
      </c>
      <c r="EI89" s="566">
        <v>4.6791839431651298E-213</v>
      </c>
      <c r="EJ89" s="566">
        <v>-1.1912545263611301E-89</v>
      </c>
      <c r="EK89" s="566">
        <v>-3.3559031210014801E-90</v>
      </c>
      <c r="EL89" s="566">
        <v>0.42804033006541298</v>
      </c>
      <c r="EM89" s="566">
        <v>6.4184335896611897E-214</v>
      </c>
      <c r="EN89" s="566">
        <v>4.5104325939728698E-100</v>
      </c>
      <c r="EO89" s="566">
        <v>4.3132573409787197E-214</v>
      </c>
      <c r="EP89" s="566">
        <v>8.0276312450945805E-214</v>
      </c>
      <c r="EQ89" s="566">
        <v>4.5557069921264501E-100</v>
      </c>
      <c r="ER89" s="566">
        <v>5.3945486308991596E-214</v>
      </c>
      <c r="ES89" s="566">
        <v>0.42804492163170799</v>
      </c>
      <c r="ET89" s="566">
        <v>7.3085812655780497E-214</v>
      </c>
      <c r="EU89" s="566">
        <v>2.5378939366842999E-32</v>
      </c>
      <c r="EV89" s="566">
        <v>3.3871126354233898E-23</v>
      </c>
      <c r="EW89" s="566">
        <v>0.428044941986852</v>
      </c>
      <c r="EX89" s="566">
        <v>7.3096809207136104E-214</v>
      </c>
      <c r="EY89" s="566">
        <v>4.61093657981468E-29</v>
      </c>
      <c r="EZ89" s="566">
        <v>5.6918594431535797E-20</v>
      </c>
      <c r="FA89" s="566">
        <v>0.42804501439331699</v>
      </c>
      <c r="FB89" s="566">
        <v>7.3109112522867999E-214</v>
      </c>
      <c r="FC89" s="566">
        <v>4.6108928649362103E-29</v>
      </c>
      <c r="FD89" s="566">
        <v>5.6917804153428297E-20</v>
      </c>
      <c r="FE89" s="566">
        <v>1.15375470790915E-11</v>
      </c>
      <c r="FF89" s="566">
        <v>7.3964964451269899E-214</v>
      </c>
      <c r="FG89" s="566">
        <v>1.8590149537448101E-94</v>
      </c>
      <c r="FH89" s="566">
        <v>-3.28387263778529E-90</v>
      </c>
    </row>
    <row r="90" spans="1:164" ht="12.75" customHeight="1" x14ac:dyDescent="0.3">
      <c r="A90" s="422"/>
      <c r="B90" s="422"/>
      <c r="C90" s="422"/>
      <c r="D90" s="422"/>
      <c r="E90" s="422"/>
      <c r="F90" s="568"/>
      <c r="G90" s="569"/>
      <c r="H90" s="439"/>
      <c r="I90" s="574">
        <v>5779364.5570747796</v>
      </c>
      <c r="J90" s="566">
        <v>0.40489506827237198</v>
      </c>
      <c r="K90" s="566">
        <v>1.2259503151086699E-215</v>
      </c>
      <c r="L90" s="566">
        <v>3.61133693682776E-102</v>
      </c>
      <c r="M90" s="566">
        <v>1.8220760690177801E-215</v>
      </c>
      <c r="N90" s="566">
        <v>1.95301451421623E-215</v>
      </c>
      <c r="O90" s="566">
        <v>3.6792417494452102E-102</v>
      </c>
      <c r="P90" s="566">
        <v>2.90267953578297E-215</v>
      </c>
      <c r="Q90" s="566">
        <v>1.10969198544577E-16</v>
      </c>
      <c r="R90" s="566">
        <v>1.39297303620364E-215</v>
      </c>
      <c r="S90" s="566">
        <v>1.3268259958767201E-101</v>
      </c>
      <c r="T90" s="566">
        <v>-3.36849778870556E-109</v>
      </c>
      <c r="U90" s="566">
        <v>6.3284554514984504E-18</v>
      </c>
      <c r="V90" s="566">
        <v>1.44720459698419E-218</v>
      </c>
      <c r="W90" s="566">
        <v>-2.6774408850393499E-92</v>
      </c>
      <c r="X90" s="566">
        <v>-4.7633836070427602E-93</v>
      </c>
      <c r="Y90" s="566">
        <v>0.347058161053866</v>
      </c>
      <c r="Z90" s="566">
        <v>1.04094831122132E-215</v>
      </c>
      <c r="AA90" s="566">
        <v>-3.4843118438964002E-34</v>
      </c>
      <c r="AB90" s="566">
        <v>1.0707506607140099E-30</v>
      </c>
      <c r="AC90" s="566">
        <v>5.2391176545588902E-19</v>
      </c>
      <c r="AD90" s="566">
        <v>1.55416469683497E-215</v>
      </c>
      <c r="AE90" s="566">
        <v>-1.0069780554852699E-89</v>
      </c>
      <c r="AF90" s="566">
        <v>-7.9971887613955395E-90</v>
      </c>
      <c r="AG90" s="566">
        <v>6.0550343465831099E-18</v>
      </c>
      <c r="AH90" s="566">
        <v>1.6146718575198501E-218</v>
      </c>
      <c r="AI90" s="566">
        <v>-1.3525175479632201E-89</v>
      </c>
      <c r="AJ90" s="566">
        <v>-5.2817916008818303E-90</v>
      </c>
      <c r="AK90" s="566">
        <v>0.34583712436532199</v>
      </c>
      <c r="AL90" s="566">
        <v>1.04761422612991E-215</v>
      </c>
      <c r="AM90" s="566">
        <v>-3.48696052507836E-34</v>
      </c>
      <c r="AN90" s="566">
        <v>1.070048629518E-30</v>
      </c>
      <c r="AO90" s="566">
        <v>2.7784673930077801E-16</v>
      </c>
      <c r="AP90" s="566">
        <v>1.5390314617069799E-215</v>
      </c>
      <c r="AQ90" s="566">
        <v>5.28750712727528E-95</v>
      </c>
      <c r="AR90" s="566">
        <v>-2.8417167953803199E-90</v>
      </c>
      <c r="AS90" s="566">
        <v>7.8695091397549306E-18</v>
      </c>
      <c r="AT90" s="566">
        <v>1.5341993303714501E-217</v>
      </c>
      <c r="AU90" s="566">
        <v>-1.88182472440958E-91</v>
      </c>
      <c r="AV90" s="566">
        <v>-2.71081681957437E-90</v>
      </c>
      <c r="AW90" s="566">
        <v>2.7784673930077801E-16</v>
      </c>
      <c r="AX90" s="566">
        <v>1.5390314643193099E-215</v>
      </c>
      <c r="AY90" s="566">
        <v>5.2875071362303597E-95</v>
      </c>
      <c r="AZ90" s="566">
        <v>-2.8417167963814101E-90</v>
      </c>
      <c r="BA90" s="566">
        <v>0.41915924334435301</v>
      </c>
      <c r="BB90" s="566">
        <v>4.61147270938984E-215</v>
      </c>
      <c r="BC90" s="566">
        <v>1.77148662865295E-101</v>
      </c>
      <c r="BD90" s="566">
        <v>3.9024643239628301E-215</v>
      </c>
      <c r="BE90" s="566">
        <v>7.3463603389815697E-215</v>
      </c>
      <c r="BF90" s="566">
        <v>1.80479630730721E-101</v>
      </c>
      <c r="BG90" s="566">
        <v>6.2168660874868702E-215</v>
      </c>
      <c r="BH90" s="566">
        <v>1.6618229649006099E-15</v>
      </c>
      <c r="BI90" s="566">
        <v>5.13578589835982E-215</v>
      </c>
      <c r="BJ90" s="566">
        <v>1.0023125118768E-100</v>
      </c>
      <c r="BK90" s="566">
        <v>5.3330404092838399E-110</v>
      </c>
      <c r="BL90" s="566">
        <v>3.5904589543189604E-15</v>
      </c>
      <c r="BM90" s="566">
        <v>5.1357560864823696E-215</v>
      </c>
      <c r="BN90" s="566">
        <v>-4.4484615157644798E-91</v>
      </c>
      <c r="BO90" s="566">
        <v>-3.7445186417604001E-92</v>
      </c>
      <c r="BP90" s="566">
        <v>0.41942471254292002</v>
      </c>
      <c r="BQ90" s="566">
        <v>5.1560063538859704E-215</v>
      </c>
      <c r="BR90" s="566">
        <v>-6.1125763664599202E-30</v>
      </c>
      <c r="BS90" s="566">
        <v>4.2404191676618199E-26</v>
      </c>
      <c r="BT90" s="566">
        <v>1.6443310358243601E-15</v>
      </c>
      <c r="BU90" s="566">
        <v>5.1956981366727905E-215</v>
      </c>
      <c r="BV90" s="566">
        <v>-1.9540244903428799E-89</v>
      </c>
      <c r="BW90" s="566">
        <v>-8.3919596488949403E-90</v>
      </c>
      <c r="BX90" s="566">
        <v>3.5756360459558902E-15</v>
      </c>
      <c r="BY90" s="566">
        <v>5.1956671943535996E-215</v>
      </c>
      <c r="BZ90" s="566">
        <v>-1.6351722085692101E-88</v>
      </c>
      <c r="CA90" s="566">
        <v>-6.6596656104985199E-90</v>
      </c>
      <c r="CB90" s="566">
        <v>0.41942465651163602</v>
      </c>
      <c r="CC90" s="566">
        <v>5.1569125004278502E-215</v>
      </c>
      <c r="CD90" s="566">
        <v>-9.7348735992351394E-28</v>
      </c>
      <c r="CE90" s="566">
        <v>-3.7497952539708902E-25</v>
      </c>
      <c r="CF90" s="566">
        <v>4.2266358304947203E-15</v>
      </c>
      <c r="CG90" s="566">
        <v>5.7891427813616401E-215</v>
      </c>
      <c r="CH90" s="566">
        <v>1.1913708420443399E-94</v>
      </c>
      <c r="CI90" s="566">
        <v>-2.91097701126228E-90</v>
      </c>
      <c r="CJ90" s="566">
        <v>3.9406299336591703E-15</v>
      </c>
      <c r="CK90" s="566">
        <v>5.7891428552501404E-215</v>
      </c>
      <c r="CL90" s="566">
        <v>-5.2015584325668604E-91</v>
      </c>
      <c r="CM90" s="566">
        <v>-2.9088337388301399E-90</v>
      </c>
      <c r="CN90" s="566">
        <v>4.2266358304947203E-15</v>
      </c>
      <c r="CO90" s="566">
        <v>5.7891429579653405E-215</v>
      </c>
      <c r="CP90" s="566">
        <v>1.19137084104699E-94</v>
      </c>
      <c r="CQ90" s="566">
        <v>-2.9109770121873802E-90</v>
      </c>
      <c r="CR90" s="566">
        <v>0.41948206668659499</v>
      </c>
      <c r="CS90" s="566">
        <v>1.71969925044897E-214</v>
      </c>
      <c r="CT90" s="566">
        <v>1.6017611647336699E-100</v>
      </c>
      <c r="CU90" s="566">
        <v>1.34616058464E-214</v>
      </c>
      <c r="CV90" s="566">
        <v>2.7395869476494402E-214</v>
      </c>
      <c r="CW90" s="566">
        <v>1.63187945293158E-100</v>
      </c>
      <c r="CX90" s="566">
        <v>2.1441110234333901E-214</v>
      </c>
      <c r="CY90" s="566">
        <v>0.41948192133826701</v>
      </c>
      <c r="CZ90" s="566">
        <v>2.21234803454114E-214</v>
      </c>
      <c r="DA90" s="566">
        <v>-2.0689715482736501E-27</v>
      </c>
      <c r="DB90" s="566">
        <v>3.4633504041039199E-22</v>
      </c>
      <c r="DC90" s="566">
        <v>0.41948243638752097</v>
      </c>
      <c r="DD90" s="566">
        <v>2.2126965384877099E-214</v>
      </c>
      <c r="DE90" s="566">
        <v>-3.21863270071527E-24</v>
      </c>
      <c r="DF90" s="566">
        <v>5.31769096841222E-19</v>
      </c>
      <c r="DG90" s="566">
        <v>0.41948250726383102</v>
      </c>
      <c r="DH90" s="566">
        <v>2.2130854161627499E-214</v>
      </c>
      <c r="DI90" s="566">
        <v>-3.2189381418501501E-24</v>
      </c>
      <c r="DJ90" s="566">
        <v>5.3176601087506E-19</v>
      </c>
      <c r="DK90" s="566">
        <v>1.73986749366137E-13</v>
      </c>
      <c r="DL90" s="566">
        <v>2.3168248649193198E-214</v>
      </c>
      <c r="DM90" s="566">
        <v>3.5598632981768699E-94</v>
      </c>
      <c r="DN90" s="566">
        <v>-2.9925197945835299E-90</v>
      </c>
      <c r="DO90" s="566">
        <v>0.41948206703845597</v>
      </c>
      <c r="DP90" s="566">
        <v>8.4386204275623606E-214</v>
      </c>
      <c r="DQ90" s="566">
        <v>7.0896955644614402E-100</v>
      </c>
      <c r="DR90" s="566">
        <v>1.43561481741257E-212</v>
      </c>
      <c r="DS90" s="566">
        <v>7.33260717059244E-213</v>
      </c>
      <c r="DT90" s="566">
        <v>7.4760373886057002E-100</v>
      </c>
      <c r="DU90" s="566">
        <v>-1.56753568490628E-211</v>
      </c>
      <c r="DV90" s="566">
        <v>0.41948308881919399</v>
      </c>
      <c r="DW90" s="566">
        <v>3.2462776487894499E-213</v>
      </c>
      <c r="DX90" s="566">
        <v>-9.3113204515842906E-24</v>
      </c>
      <c r="DY90" s="566">
        <v>1.24617823668881E-17</v>
      </c>
      <c r="DZ90" s="566">
        <v>0.41948337768709798</v>
      </c>
      <c r="EA90" s="566">
        <v>3.24676178152031E-213</v>
      </c>
      <c r="EB90" s="566">
        <v>-1.22596088535172E-20</v>
      </c>
      <c r="EC90" s="566">
        <v>1.6209469480808701E-14</v>
      </c>
      <c r="ED90" s="566">
        <v>0.41948344862961801</v>
      </c>
      <c r="EE90" s="566">
        <v>3.2473004773662999E-213</v>
      </c>
      <c r="EF90" s="566">
        <v>-1.1511269251238199E-13</v>
      </c>
      <c r="EG90" s="566">
        <v>1.9025871661256099E-8</v>
      </c>
      <c r="EH90" s="566">
        <v>5.03654543887448E-14</v>
      </c>
      <c r="EI90" s="566">
        <v>4.3602949483470498E-213</v>
      </c>
      <c r="EJ90" s="566">
        <v>-1.11006642671573E-89</v>
      </c>
      <c r="EK90" s="566">
        <v>-3.1271862490782899E-90</v>
      </c>
      <c r="EL90" s="566">
        <v>0.41948374668258098</v>
      </c>
      <c r="EM90" s="566">
        <v>5.98101386770803E-214</v>
      </c>
      <c r="EN90" s="566">
        <v>4.2030342142674798E-100</v>
      </c>
      <c r="EO90" s="566">
        <v>4.01930651938134E-214</v>
      </c>
      <c r="EP90" s="566">
        <v>7.4805438322358998E-214</v>
      </c>
      <c r="EQ90" s="566">
        <v>4.2452230377348502E-100</v>
      </c>
      <c r="ER90" s="566">
        <v>5.02690722283022E-214</v>
      </c>
      <c r="ES90" s="566">
        <v>0.41948824646285199</v>
      </c>
      <c r="ET90" s="566">
        <v>6.8104974978792503E-214</v>
      </c>
      <c r="EU90" s="566">
        <v>2.3671969783080699E-32</v>
      </c>
      <c r="EV90" s="566">
        <v>3.1562529120806198E-23</v>
      </c>
      <c r="EW90" s="566">
        <v>0.41948826641109399</v>
      </c>
      <c r="EX90" s="566">
        <v>6.8115222109218503E-214</v>
      </c>
      <c r="EY90" s="566">
        <v>4.30081591611052E-29</v>
      </c>
      <c r="EZ90" s="566">
        <v>5.3039215119506801E-20</v>
      </c>
      <c r="FA90" s="566">
        <v>0.41948833737014402</v>
      </c>
      <c r="FB90" s="566">
        <v>6.8126686947324401E-214</v>
      </c>
      <c r="FC90" s="566">
        <v>4.3007607256269401E-29</v>
      </c>
      <c r="FD90" s="566">
        <v>5.3038303129228597E-20</v>
      </c>
      <c r="FE90" s="566">
        <v>1.13069099716009E-11</v>
      </c>
      <c r="FF90" s="566">
        <v>6.8924212103736699E-214</v>
      </c>
      <c r="FG90" s="566">
        <v>1.73231762644003E-94</v>
      </c>
      <c r="FH90" s="566">
        <v>-3.06006490245232E-90</v>
      </c>
    </row>
    <row r="91" spans="1:164" ht="12.75" customHeight="1" x14ac:dyDescent="0.3">
      <c r="A91" s="422"/>
      <c r="B91" s="422"/>
      <c r="C91" s="422"/>
      <c r="D91" s="422"/>
      <c r="E91" s="422"/>
      <c r="F91" s="568"/>
      <c r="G91" s="569"/>
      <c r="H91" s="439"/>
      <c r="I91" s="574">
        <v>5863123.4636990502</v>
      </c>
      <c r="J91" s="566">
        <v>0.39680116180150199</v>
      </c>
      <c r="K91" s="566">
        <v>-2.2468794188020699E-215</v>
      </c>
      <c r="L91" s="566">
        <v>-6.6187406897489899E-102</v>
      </c>
      <c r="M91" s="566">
        <v>-3.3394381228289899E-215</v>
      </c>
      <c r="N91" s="566">
        <v>-3.5794175853083799E-215</v>
      </c>
      <c r="O91" s="566">
        <v>-6.7431944181500604E-102</v>
      </c>
      <c r="P91" s="566">
        <v>-5.3199308552329103E-215</v>
      </c>
      <c r="Q91" s="566">
        <v>1.08750909450567E-16</v>
      </c>
      <c r="R91" s="566">
        <v>-2.5529928965471798E-215</v>
      </c>
      <c r="S91" s="566">
        <v>-2.4317634606645E-101</v>
      </c>
      <c r="T91" s="566">
        <v>6.1736717274787695E-109</v>
      </c>
      <c r="U91" s="566">
        <v>6.2019805454978101E-18</v>
      </c>
      <c r="V91" s="566">
        <v>-2.6523866291197898E-218</v>
      </c>
      <c r="W91" s="566">
        <v>4.9071279761178801E-92</v>
      </c>
      <c r="X91" s="566">
        <v>8.7301778533232004E-93</v>
      </c>
      <c r="Y91" s="566">
        <v>0.34012042207995302</v>
      </c>
      <c r="Z91" s="566">
        <v>-1.9078141321841699E-215</v>
      </c>
      <c r="AA91" s="566">
        <v>6.3859604071776098E-34</v>
      </c>
      <c r="AB91" s="566">
        <v>-1.9624452684636598E-30</v>
      </c>
      <c r="AC91" s="566">
        <v>5.1343869761076001E-19</v>
      </c>
      <c r="AD91" s="566">
        <v>-2.8484194079576799E-215</v>
      </c>
      <c r="AE91" s="566">
        <v>1.8455573192180499E-89</v>
      </c>
      <c r="AF91" s="566">
        <v>1.4656992941766801E-89</v>
      </c>
      <c r="AG91" s="566">
        <v>5.9340255939333204E-18</v>
      </c>
      <c r="AH91" s="566">
        <v>-2.9593148434067198E-218</v>
      </c>
      <c r="AI91" s="566">
        <v>2.4788511065176701E-89</v>
      </c>
      <c r="AJ91" s="566">
        <v>9.68029948952195E-90</v>
      </c>
      <c r="AK91" s="566">
        <v>0.33892379407782802</v>
      </c>
      <c r="AL91" s="566">
        <v>-1.92003119092703E-215</v>
      </c>
      <c r="AM91" s="566">
        <v>6.3908242497600903E-34</v>
      </c>
      <c r="AN91" s="566">
        <v>-1.9611615007326599E-30</v>
      </c>
      <c r="AO91" s="566">
        <v>2.7229254588781598E-16</v>
      </c>
      <c r="AP91" s="566">
        <v>-2.8206837370010701E-215</v>
      </c>
      <c r="AQ91" s="566">
        <v>-9.69077292402681E-95</v>
      </c>
      <c r="AR91" s="566">
        <v>5.2082080887300896E-90</v>
      </c>
      <c r="AS91" s="566">
        <v>7.7122600629481001E-18</v>
      </c>
      <c r="AT91" s="566">
        <v>-2.8118275734902399E-217</v>
      </c>
      <c r="AU91" s="566">
        <v>3.4489481365912601E-91</v>
      </c>
      <c r="AV91" s="566">
        <v>4.9682987798190002E-90</v>
      </c>
      <c r="AW91" s="566">
        <v>2.7229254588781598E-16</v>
      </c>
      <c r="AX91" s="566">
        <v>-2.8206837417888801E-215</v>
      </c>
      <c r="AY91" s="566">
        <v>-9.6907729404393996E-95</v>
      </c>
      <c r="AZ91" s="566">
        <v>5.2082080905649797E-90</v>
      </c>
      <c r="BA91" s="566">
        <v>0.41078019410943301</v>
      </c>
      <c r="BB91" s="566">
        <v>-8.4517479977784503E-215</v>
      </c>
      <c r="BC91" s="566">
        <v>-3.2467229825171999E-101</v>
      </c>
      <c r="BD91" s="566">
        <v>-7.1523019033155304E-215</v>
      </c>
      <c r="BE91" s="566">
        <v>-1.3464155639373001E-214</v>
      </c>
      <c r="BF91" s="566">
        <v>-3.3077718764110497E-101</v>
      </c>
      <c r="BG91" s="566">
        <v>-1.13940575643846E-214</v>
      </c>
      <c r="BH91" s="566">
        <v>1.6286029020912E-15</v>
      </c>
      <c r="BI91" s="566">
        <v>-9.4126911116911906E-215</v>
      </c>
      <c r="BJ91" s="566">
        <v>-1.8370057190040601E-100</v>
      </c>
      <c r="BK91" s="566">
        <v>-9.7742208100928005E-110</v>
      </c>
      <c r="BL91" s="566">
        <v>3.5186852366798099E-15</v>
      </c>
      <c r="BM91" s="566">
        <v>-9.4126364735113707E-215</v>
      </c>
      <c r="BN91" s="566">
        <v>8.1529980211391196E-91</v>
      </c>
      <c r="BO91" s="566">
        <v>6.8628343899767204E-92</v>
      </c>
      <c r="BP91" s="566">
        <v>0.41104035654334198</v>
      </c>
      <c r="BQ91" s="566">
        <v>-9.44975046458737E-215</v>
      </c>
      <c r="BR91" s="566">
        <v>1.12029730359155E-29</v>
      </c>
      <c r="BS91" s="566">
        <v>-7.7717313867977203E-26</v>
      </c>
      <c r="BT91" s="566">
        <v>1.6114606397807001E-15</v>
      </c>
      <c r="BU91" s="566">
        <v>-9.522496193953599E-215</v>
      </c>
      <c r="BV91" s="566">
        <v>3.5812738724092299E-89</v>
      </c>
      <c r="BW91" s="566">
        <v>1.5380516455874001E-89</v>
      </c>
      <c r="BX91" s="566">
        <v>3.50415864132859E-15</v>
      </c>
      <c r="BY91" s="566">
        <v>-9.5224394839391791E-215</v>
      </c>
      <c r="BZ91" s="566">
        <v>2.9968914587613998E-88</v>
      </c>
      <c r="CA91" s="566">
        <v>1.22056227295563E-89</v>
      </c>
      <c r="CB91" s="566">
        <v>0.41104030163213501</v>
      </c>
      <c r="CC91" s="566">
        <v>-9.4514112186898997E-215</v>
      </c>
      <c r="CD91" s="566">
        <v>1.7841766754827101E-27</v>
      </c>
      <c r="CE91" s="566">
        <v>6.8725015176110204E-25</v>
      </c>
      <c r="CF91" s="566">
        <v>4.1421448159598503E-15</v>
      </c>
      <c r="CG91" s="566">
        <v>-1.0610141053551101E-214</v>
      </c>
      <c r="CH91" s="566">
        <v>-2.18350614394523E-94</v>
      </c>
      <c r="CI91" s="566">
        <v>5.3351460077972499E-90</v>
      </c>
      <c r="CJ91" s="566">
        <v>3.8618562787319801E-15</v>
      </c>
      <c r="CK91" s="566">
        <v>-1.0610141188971101E-214</v>
      </c>
      <c r="CL91" s="566">
        <v>9.5332498455721199E-91</v>
      </c>
      <c r="CM91" s="566">
        <v>5.3312178864212103E-90</v>
      </c>
      <c r="CN91" s="566">
        <v>4.1421448159598503E-15</v>
      </c>
      <c r="CO91" s="566">
        <v>-1.06101413772242E-214</v>
      </c>
      <c r="CP91" s="566">
        <v>-2.1835061421172399E-94</v>
      </c>
      <c r="CQ91" s="566">
        <v>5.3351460094928803E-90</v>
      </c>
      <c r="CR91" s="566">
        <v>0.41109656416995699</v>
      </c>
      <c r="CS91" s="566">
        <v>-3.1518054237139401E-214</v>
      </c>
      <c r="CT91" s="566">
        <v>-2.9356556814648902E-100</v>
      </c>
      <c r="CU91" s="566">
        <v>-2.4671966512883301E-214</v>
      </c>
      <c r="CV91" s="566">
        <v>-5.0210203895148999E-214</v>
      </c>
      <c r="CW91" s="566">
        <v>-2.99085549889753E-100</v>
      </c>
      <c r="CX91" s="566">
        <v>-3.9296526709858102E-214</v>
      </c>
      <c r="CY91" s="566">
        <v>0.41109642172723398</v>
      </c>
      <c r="CZ91" s="566">
        <v>-4.0547151093944197E-214</v>
      </c>
      <c r="DA91" s="566">
        <v>3.7919546126231499E-27</v>
      </c>
      <c r="DB91" s="566">
        <v>-6.3475341332623601E-22</v>
      </c>
      <c r="DC91" s="566">
        <v>0.41109692648058499</v>
      </c>
      <c r="DD91" s="566">
        <v>-4.0553538353974903E-214</v>
      </c>
      <c r="DE91" s="566">
        <v>5.8990177277218302E-24</v>
      </c>
      <c r="DF91" s="566">
        <v>-9.7461115366362206E-19</v>
      </c>
      <c r="DG91" s="566">
        <v>0.41109699594006599</v>
      </c>
      <c r="DH91" s="566">
        <v>-4.0560665569764699E-214</v>
      </c>
      <c r="DI91" s="566">
        <v>5.8995861617887398E-24</v>
      </c>
      <c r="DJ91" s="566">
        <v>-9.7460692381634804E-19</v>
      </c>
      <c r="DK91" s="566">
        <v>1.70508731017946E-13</v>
      </c>
      <c r="DL91" s="566">
        <v>-4.2461966376632604E-214</v>
      </c>
      <c r="DM91" s="566">
        <v>-6.52440290534444E-94</v>
      </c>
      <c r="DN91" s="566">
        <v>5.4845950255044103E-90</v>
      </c>
      <c r="DO91" s="566">
        <v>0.41109656451478399</v>
      </c>
      <c r="DP91" s="566">
        <v>-1.5466012225865098E-213</v>
      </c>
      <c r="DQ91" s="566">
        <v>-1.2993763066498499E-99</v>
      </c>
      <c r="DR91" s="566">
        <v>-2.6311452824837599E-212</v>
      </c>
      <c r="DS91" s="566">
        <v>-1.3438949424046699E-212</v>
      </c>
      <c r="DT91" s="566">
        <v>-1.3701837775767099E-99</v>
      </c>
      <c r="DU91" s="566">
        <v>2.8729252853980299E-211</v>
      </c>
      <c r="DV91" s="566">
        <v>0.41109756587006302</v>
      </c>
      <c r="DW91" s="566">
        <v>-5.9496656593440699E-213</v>
      </c>
      <c r="DX91" s="566">
        <v>1.70655190689431E-23</v>
      </c>
      <c r="DY91" s="566">
        <v>-2.28395946011251E-17</v>
      </c>
      <c r="DZ91" s="566">
        <v>0.41109784896345902</v>
      </c>
      <c r="EA91" s="566">
        <v>-5.9505529611084701E-213</v>
      </c>
      <c r="EB91" s="566">
        <v>2.2469039570275899E-20</v>
      </c>
      <c r="EC91" s="566">
        <v>-2.9708224425332001E-14</v>
      </c>
      <c r="ED91" s="566">
        <v>0.411097918487837</v>
      </c>
      <c r="EE91" s="566">
        <v>-5.9515402642673901E-213</v>
      </c>
      <c r="EF91" s="566">
        <v>2.1097486634154499E-13</v>
      </c>
      <c r="EG91" s="566">
        <v>-3.4870009928053502E-8</v>
      </c>
      <c r="EH91" s="566">
        <v>4.9358649780939398E-14</v>
      </c>
      <c r="EI91" s="566">
        <v>-7.9913981311510706E-213</v>
      </c>
      <c r="EJ91" s="566">
        <v>2.0344942632523601E-89</v>
      </c>
      <c r="EK91" s="566">
        <v>5.7314074167744596E-90</v>
      </c>
      <c r="EL91" s="566">
        <v>0.41109821058260299</v>
      </c>
      <c r="EM91" s="566">
        <v>-1.0961795757385901E-213</v>
      </c>
      <c r="EN91" s="566">
        <v>-7.7031841838649198E-100</v>
      </c>
      <c r="EO91" s="566">
        <v>-7.36644624582008E-214</v>
      </c>
      <c r="EP91" s="566">
        <v>-1.3710082513914599E-213</v>
      </c>
      <c r="EQ91" s="566">
        <v>-7.7805064851129397E-100</v>
      </c>
      <c r="ER91" s="566">
        <v>-9.2131420336173805E-214</v>
      </c>
      <c r="ES91" s="566">
        <v>0.411102620411673</v>
      </c>
      <c r="ET91" s="566">
        <v>-1.24820447217172E-213</v>
      </c>
      <c r="EU91" s="566">
        <v>-4.3366844806677799E-32</v>
      </c>
      <c r="EV91" s="566">
        <v>-5.7846925797796202E-23</v>
      </c>
      <c r="EW91" s="566">
        <v>0.41110263996114599</v>
      </c>
      <c r="EX91" s="566">
        <v>-1.2483922780410099E-213</v>
      </c>
      <c r="EY91" s="566">
        <v>-7.8790514455295297E-29</v>
      </c>
      <c r="EZ91" s="566">
        <v>-9.7208723103268004E-20</v>
      </c>
      <c r="FA91" s="566">
        <v>0.41110270950170902</v>
      </c>
      <c r="FB91" s="566">
        <v>-1.24860240163628E-213</v>
      </c>
      <c r="FC91" s="566">
        <v>-7.8789621192248697E-29</v>
      </c>
      <c r="FD91" s="566">
        <v>-9.7207193871381695E-20</v>
      </c>
      <c r="FE91" s="566">
        <v>1.1080883331723E-11</v>
      </c>
      <c r="FF91" s="566">
        <v>-1.26321916740424E-213</v>
      </c>
      <c r="FG91" s="566">
        <v>-3.1749355965515502E-94</v>
      </c>
      <c r="FH91" s="566">
        <v>5.6083895491979197E-90</v>
      </c>
    </row>
    <row r="92" spans="1:164" ht="12.75" customHeight="1" x14ac:dyDescent="0.3">
      <c r="A92" s="422"/>
      <c r="B92" s="422"/>
      <c r="C92" s="422"/>
      <c r="D92" s="422"/>
      <c r="E92" s="422"/>
      <c r="F92" s="568"/>
      <c r="G92" s="569"/>
      <c r="H92" s="439"/>
      <c r="I92" s="574">
        <v>5946882.3703233302</v>
      </c>
      <c r="J92" s="566">
        <v>0.38886905358489698</v>
      </c>
      <c r="K92" s="566">
        <v>-3.7329587625629602E-216</v>
      </c>
      <c r="L92" s="566">
        <v>-1.09963303027962E-102</v>
      </c>
      <c r="M92" s="566">
        <v>-5.5481325336517598E-216</v>
      </c>
      <c r="N92" s="566">
        <v>-5.9468336966080998E-216</v>
      </c>
      <c r="O92" s="566">
        <v>-1.12030968720068E-102</v>
      </c>
      <c r="P92" s="566">
        <v>-8.8385172502287406E-216</v>
      </c>
      <c r="Q92" s="566">
        <v>1.06576964247131E-16</v>
      </c>
      <c r="R92" s="566">
        <v>-4.2415347811623303E-216</v>
      </c>
      <c r="S92" s="566">
        <v>-4.0401151042456501E-102</v>
      </c>
      <c r="T92" s="566">
        <v>1.02569004936815E-109</v>
      </c>
      <c r="U92" s="566">
        <v>6.0779852728639102E-18</v>
      </c>
      <c r="V92" s="566">
        <v>-4.4066672319058202E-219</v>
      </c>
      <c r="W92" s="566">
        <v>8.1526630280145998E-93</v>
      </c>
      <c r="X92" s="566">
        <v>1.45042444460178E-93</v>
      </c>
      <c r="Y92" s="566">
        <v>0.33332136941997798</v>
      </c>
      <c r="Z92" s="566">
        <v>-3.1696367070181601E-216</v>
      </c>
      <c r="AA92" s="566">
        <v>1.0609494205281499E-34</v>
      </c>
      <c r="AB92" s="566">
        <v>-3.2603634533480602E-31</v>
      </c>
      <c r="AC92" s="566">
        <v>5.0317499038272199E-19</v>
      </c>
      <c r="AD92" s="566">
        <v>-4.7323555057786801E-216</v>
      </c>
      <c r="AE92" s="566">
        <v>3.06619351932055E-90</v>
      </c>
      <c r="AF92" s="566">
        <v>2.4351005684189499E-90</v>
      </c>
      <c r="AG92" s="566">
        <v>5.8153865489650296E-18</v>
      </c>
      <c r="AH92" s="566">
        <v>-4.9165968513648102E-219</v>
      </c>
      <c r="AI92" s="566">
        <v>4.1183425036509004E-90</v>
      </c>
      <c r="AJ92" s="566">
        <v>1.6082768706800601E-90</v>
      </c>
      <c r="AK92" s="566">
        <v>0.33214866217142403</v>
      </c>
      <c r="AL92" s="566">
        <v>-3.1899340919629002E-216</v>
      </c>
      <c r="AM92" s="566">
        <v>1.0617541246871201E-34</v>
      </c>
      <c r="AN92" s="566">
        <v>-3.2582202666820601E-31</v>
      </c>
      <c r="AO92" s="566">
        <v>2.6684938153126599E-16</v>
      </c>
      <c r="AP92" s="566">
        <v>-4.6862755448042599E-216</v>
      </c>
      <c r="AQ92" s="566">
        <v>-1.6100175789146999E-95</v>
      </c>
      <c r="AR92" s="566">
        <v>8.6528733454634304E-91</v>
      </c>
      <c r="AS92" s="566">
        <v>7.5580572823958206E-18</v>
      </c>
      <c r="AT92" s="566">
        <v>-4.6715619411709704E-218</v>
      </c>
      <c r="AU92" s="566">
        <v>5.7300547480408401E-92</v>
      </c>
      <c r="AV92" s="566">
        <v>8.2542900263833395E-91</v>
      </c>
      <c r="AW92" s="566">
        <v>2.6684938153126599E-16</v>
      </c>
      <c r="AX92" s="566">
        <v>-4.6862755527586E-216</v>
      </c>
      <c r="AY92" s="566">
        <v>-1.6100175816414501E-95</v>
      </c>
      <c r="AZ92" s="566">
        <v>8.6528733485112696E-91</v>
      </c>
      <c r="BA92" s="566">
        <v>0.40256864317011398</v>
      </c>
      <c r="BB92" s="566">
        <v>-1.40417089067029E-215</v>
      </c>
      <c r="BC92" s="566">
        <v>-5.3940832540438499E-102</v>
      </c>
      <c r="BD92" s="566">
        <v>-1.18828130424133E-215</v>
      </c>
      <c r="BE92" s="566">
        <v>-2.23693080073285E-215</v>
      </c>
      <c r="BF92" s="566">
        <v>-5.4955094668757601E-102</v>
      </c>
      <c r="BG92" s="566">
        <v>-1.8930053241924601E-215</v>
      </c>
      <c r="BH92" s="566">
        <v>1.59604691251566E-15</v>
      </c>
      <c r="BI92" s="566">
        <v>-1.56382169290699E-215</v>
      </c>
      <c r="BJ92" s="566">
        <v>-3.0519886789919997E-101</v>
      </c>
      <c r="BK92" s="566">
        <v>-1.6238830320580599E-110</v>
      </c>
      <c r="BL92" s="566">
        <v>3.4483462296724299E-15</v>
      </c>
      <c r="BM92" s="566">
        <v>-1.5638126153360601E-215</v>
      </c>
      <c r="BN92" s="566">
        <v>1.35453250774054E-91</v>
      </c>
      <c r="BO92" s="566">
        <v>1.14018563217486E-92</v>
      </c>
      <c r="BP92" s="566">
        <v>0.40282360492219099</v>
      </c>
      <c r="BQ92" s="566">
        <v>-1.5699787227399E-215</v>
      </c>
      <c r="BR92" s="566">
        <v>1.8612392601185101E-30</v>
      </c>
      <c r="BS92" s="566">
        <v>-1.29117971883874E-26</v>
      </c>
      <c r="BT92" s="566">
        <v>1.57924732591048E-15</v>
      </c>
      <c r="BU92" s="566">
        <v>-1.5820646765122301E-215</v>
      </c>
      <c r="BV92" s="566">
        <v>5.9498985067404896E-90</v>
      </c>
      <c r="BW92" s="566">
        <v>2.5553061607138198E-90</v>
      </c>
      <c r="BX92" s="566">
        <v>3.4341100223214399E-15</v>
      </c>
      <c r="BY92" s="566">
        <v>-1.58205525472729E-215</v>
      </c>
      <c r="BZ92" s="566">
        <v>4.9790108240364E-89</v>
      </c>
      <c r="CA92" s="566">
        <v>2.0278321026975201E-90</v>
      </c>
      <c r="CB92" s="566">
        <v>0.40282355110866502</v>
      </c>
      <c r="CC92" s="566">
        <v>-1.5702546399310299E-215</v>
      </c>
      <c r="CD92" s="566">
        <v>2.9642160997886802E-28</v>
      </c>
      <c r="CE92" s="566">
        <v>1.14179302707129E-25</v>
      </c>
      <c r="CF92" s="566">
        <v>4.0593427879117098E-15</v>
      </c>
      <c r="CG92" s="566">
        <v>-1.76276566897371E-215</v>
      </c>
      <c r="CH92" s="566">
        <v>-3.6276603558657703E-95</v>
      </c>
      <c r="CI92" s="566">
        <v>8.8637669422072703E-91</v>
      </c>
      <c r="CJ92" s="566">
        <v>3.7846572222582098E-15</v>
      </c>
      <c r="CK92" s="566">
        <v>-1.7627656914725901E-215</v>
      </c>
      <c r="CL92" s="566">
        <v>1.5838464766210301E-91</v>
      </c>
      <c r="CM92" s="566">
        <v>8.8572407937922205E-91</v>
      </c>
      <c r="CN92" s="566">
        <v>4.0593427879117098E-15</v>
      </c>
      <c r="CO92" s="566">
        <v>-1.76276572274871E-215</v>
      </c>
      <c r="CP92" s="566">
        <v>-3.62766035282929E-95</v>
      </c>
      <c r="CQ92" s="566">
        <v>8.8637669450235898E-91</v>
      </c>
      <c r="CR92" s="566">
        <v>0.40287868895088103</v>
      </c>
      <c r="CS92" s="566">
        <v>-5.2364001271672702E-215</v>
      </c>
      <c r="CT92" s="566">
        <v>-4.8772781775036801E-101</v>
      </c>
      <c r="CU92" s="566">
        <v>-4.0989931551172299E-215</v>
      </c>
      <c r="CV92" s="566">
        <v>-8.3419082943196702E-215</v>
      </c>
      <c r="CW92" s="566">
        <v>-4.9689867748941102E-101</v>
      </c>
      <c r="CX92" s="566">
        <v>-6.5287132227342196E-215</v>
      </c>
      <c r="CY92" s="566">
        <v>0.40287854935556899</v>
      </c>
      <c r="CZ92" s="566">
        <v>-6.73649158501681E-215</v>
      </c>
      <c r="DA92" s="566">
        <v>6.29988851714877E-28</v>
      </c>
      <c r="DB92" s="566">
        <v>-1.05456846386295E-22</v>
      </c>
      <c r="DC92" s="566">
        <v>0.40287904401883101</v>
      </c>
      <c r="DD92" s="566">
        <v>-6.7375527624936602E-215</v>
      </c>
      <c r="DE92" s="566">
        <v>9.8005431616096394E-25</v>
      </c>
      <c r="DF92" s="566">
        <v>-1.6192049449927499E-19</v>
      </c>
      <c r="DG92" s="566">
        <v>0.40287911208980998</v>
      </c>
      <c r="DH92" s="566">
        <v>-6.7387368759990803E-215</v>
      </c>
      <c r="DI92" s="566">
        <v>9.80145667969978E-25</v>
      </c>
      <c r="DJ92" s="566">
        <v>-1.61919281684096E-19</v>
      </c>
      <c r="DK92" s="566">
        <v>1.67100238713719E-13</v>
      </c>
      <c r="DL92" s="566">
        <v>-7.05461842477315E-215</v>
      </c>
      <c r="DM92" s="566">
        <v>-1.0839592932234001E-94</v>
      </c>
      <c r="DN92" s="566">
        <v>9.1120602898979999E-91</v>
      </c>
      <c r="DO92" s="566">
        <v>0.40287868928881498</v>
      </c>
      <c r="DP92" s="566">
        <v>-2.5695186567340098E-214</v>
      </c>
      <c r="DQ92" s="566">
        <v>-2.15877486750281E-100</v>
      </c>
      <c r="DR92" s="566">
        <v>-4.37137691723197E-213</v>
      </c>
      <c r="DS92" s="566">
        <v>-2.23274300472125E-213</v>
      </c>
      <c r="DT92" s="566">
        <v>-2.2764139131635099E-100</v>
      </c>
      <c r="DU92" s="566">
        <v>4.7730695265867803E-212</v>
      </c>
      <c r="DV92" s="566">
        <v>0.402879670626826</v>
      </c>
      <c r="DW92" s="566">
        <v>-9.8847566159964599E-214</v>
      </c>
      <c r="DX92" s="566">
        <v>2.83524152222902E-24</v>
      </c>
      <c r="DY92" s="566">
        <v>-3.7945383847312199E-18</v>
      </c>
      <c r="DZ92" s="566">
        <v>0.40287994806114702</v>
      </c>
      <c r="EA92" s="566">
        <v>-9.8862307764741803E-214</v>
      </c>
      <c r="EB92" s="566">
        <v>3.7329810623260902E-21</v>
      </c>
      <c r="EC92" s="566">
        <v>-4.9356911239585499E-15</v>
      </c>
      <c r="ED92" s="566">
        <v>0.402880016195719</v>
      </c>
      <c r="EE92" s="566">
        <v>-9.8878710789692203E-214</v>
      </c>
      <c r="EF92" s="566">
        <v>3.5051195167089202E-14</v>
      </c>
      <c r="EG92" s="566">
        <v>-5.7932754961821002E-9</v>
      </c>
      <c r="EH92" s="566">
        <v>4.8371959773837397E-14</v>
      </c>
      <c r="EI92" s="566">
        <v>-1.32768847792239E-213</v>
      </c>
      <c r="EJ92" s="566">
        <v>3.3800922962063698E-90</v>
      </c>
      <c r="EK92" s="566">
        <v>9.52211233186132E-91</v>
      </c>
      <c r="EL92" s="566">
        <v>0.40288030245151701</v>
      </c>
      <c r="EM92" s="566">
        <v>-1.8211894765479599E-214</v>
      </c>
      <c r="EN92" s="566">
        <v>-1.2798017272417299E-100</v>
      </c>
      <c r="EO92" s="566">
        <v>-1.2238591814008601E-214</v>
      </c>
      <c r="EP92" s="566">
        <v>-2.2777890182929501E-214</v>
      </c>
      <c r="EQ92" s="566">
        <v>-1.2926480012406E-100</v>
      </c>
      <c r="ER92" s="566">
        <v>-1.5306686685985301E-214</v>
      </c>
      <c r="ES92" s="566">
        <v>0.40288462412751203</v>
      </c>
      <c r="ET92" s="566">
        <v>-2.07376318589712E-214</v>
      </c>
      <c r="EU92" s="566">
        <v>-7.2115094705850996E-33</v>
      </c>
      <c r="EV92" s="566">
        <v>-9.6105952061047904E-24</v>
      </c>
      <c r="EW92" s="566">
        <v>0.402884643286188</v>
      </c>
      <c r="EX92" s="566">
        <v>-2.07407520600762E-214</v>
      </c>
      <c r="EY92" s="566">
        <v>-1.3102164567826699E-29</v>
      </c>
      <c r="EZ92" s="566">
        <v>-1.6150127957640101E-20</v>
      </c>
      <c r="FA92" s="566">
        <v>0.40288471143662902</v>
      </c>
      <c r="FB92" s="566">
        <v>-2.0744243047216898E-214</v>
      </c>
      <c r="FC92" s="566">
        <v>-1.31019729212738E-29</v>
      </c>
      <c r="FD92" s="566">
        <v>-1.61498230153687E-20</v>
      </c>
      <c r="FE92" s="566">
        <v>1.08593749940868E-11</v>
      </c>
      <c r="FF92" s="566">
        <v>-2.0987085557582E-214</v>
      </c>
      <c r="FG92" s="566">
        <v>-5.2748151375373597E-95</v>
      </c>
      <c r="FH92" s="566">
        <v>9.3177314758679697E-91</v>
      </c>
    </row>
    <row r="93" spans="1:164" ht="12.75" customHeight="1" x14ac:dyDescent="0.3">
      <c r="A93" s="422"/>
      <c r="B93" s="422"/>
      <c r="C93" s="422"/>
      <c r="D93" s="422"/>
      <c r="E93" s="422"/>
      <c r="F93" s="568"/>
      <c r="G93" s="569"/>
      <c r="H93" s="439"/>
      <c r="I93" s="574">
        <v>6030641.2769475998</v>
      </c>
      <c r="J93" s="566">
        <v>0.38109550925017799</v>
      </c>
      <c r="K93" s="566">
        <v>2.9697482274558298E-215</v>
      </c>
      <c r="L93" s="566">
        <v>8.7481243620279507E-102</v>
      </c>
      <c r="M93" s="566">
        <v>4.4138062607992999E-215</v>
      </c>
      <c r="N93" s="566">
        <v>4.7309922109487803E-215</v>
      </c>
      <c r="O93" s="566">
        <v>8.9126173893884099E-102</v>
      </c>
      <c r="P93" s="566">
        <v>7.0314655496459502E-215</v>
      </c>
      <c r="Q93" s="566">
        <v>1.0444647649297E-16</v>
      </c>
      <c r="R93" s="566">
        <v>3.3743449095592898E-215</v>
      </c>
      <c r="S93" s="566">
        <v>3.2141112894597E-101</v>
      </c>
      <c r="T93" s="566">
        <v>-8.1598686967505302E-109</v>
      </c>
      <c r="U93" s="566">
        <v>5.9564548196874701E-18</v>
      </c>
      <c r="V93" s="566">
        <v>3.50571571595761E-218</v>
      </c>
      <c r="W93" s="566">
        <v>-6.48584971996469E-92</v>
      </c>
      <c r="X93" s="566">
        <v>-1.15388509599621E-92</v>
      </c>
      <c r="Y93" s="566">
        <v>0.32665823071292299</v>
      </c>
      <c r="Z93" s="566">
        <v>2.5215984400221299E-215</v>
      </c>
      <c r="AA93" s="566">
        <v>-8.4404312726663108E-34</v>
      </c>
      <c r="AB93" s="566">
        <v>2.59379692465035E-30</v>
      </c>
      <c r="AC93" s="566">
        <v>4.93116456751793E-19</v>
      </c>
      <c r="AD93" s="566">
        <v>3.7648164013817102E-215</v>
      </c>
      <c r="AE93" s="566">
        <v>-2.4393100873719299E-89</v>
      </c>
      <c r="AF93" s="566">
        <v>-1.9372441246386899E-89</v>
      </c>
      <c r="AG93" s="566">
        <v>5.69910506455353E-18</v>
      </c>
      <c r="AH93" s="566">
        <v>3.9113892526446401E-218</v>
      </c>
      <c r="AI93" s="566">
        <v>-3.2763471693329798E-89</v>
      </c>
      <c r="AJ93" s="566">
        <v>-1.27946457877017E-89</v>
      </c>
      <c r="AK93" s="566">
        <v>0.32550896603894403</v>
      </c>
      <c r="AL93" s="566">
        <v>2.5377459859219101E-215</v>
      </c>
      <c r="AM93" s="566">
        <v>-8.4468520891767598E-34</v>
      </c>
      <c r="AN93" s="566">
        <v>2.59209774222244E-30</v>
      </c>
      <c r="AO93" s="566">
        <v>2.6151502674293799E-16</v>
      </c>
      <c r="AP93" s="566">
        <v>3.7281575762701299E-215</v>
      </c>
      <c r="AQ93" s="566">
        <v>1.28084902042396E-94</v>
      </c>
      <c r="AR93" s="566">
        <v>-6.8837929667411204E-90</v>
      </c>
      <c r="AS93" s="566">
        <v>7.40690933951673E-18</v>
      </c>
      <c r="AT93" s="566">
        <v>3.7164521969479299E-217</v>
      </c>
      <c r="AU93" s="566">
        <v>-4.5585441045694098E-91</v>
      </c>
      <c r="AV93" s="566">
        <v>-6.5667000269698098E-90</v>
      </c>
      <c r="AW93" s="566">
        <v>2.6151502674293799E-16</v>
      </c>
      <c r="AX93" s="566">
        <v>3.7281575825982798E-215</v>
      </c>
      <c r="AY93" s="566">
        <v>1.28084902259325E-94</v>
      </c>
      <c r="AZ93" s="566">
        <v>-6.8837929691663E-90</v>
      </c>
      <c r="BA93" s="566">
        <v>0.39452124220930102</v>
      </c>
      <c r="BB93" s="566">
        <v>1.11708547531615E-214</v>
      </c>
      <c r="BC93" s="566">
        <v>4.2912598863563799E-101</v>
      </c>
      <c r="BD93" s="566">
        <v>9.4533492638088903E-215</v>
      </c>
      <c r="BE93" s="566">
        <v>1.7795860342846401E-214</v>
      </c>
      <c r="BF93" s="566">
        <v>4.3719494526925898E-101</v>
      </c>
      <c r="BG93" s="566">
        <v>1.50597677704489E-214</v>
      </c>
      <c r="BH93" s="566">
        <v>1.56414172138095E-15</v>
      </c>
      <c r="BI93" s="566">
        <v>1.2440953666947401E-214</v>
      </c>
      <c r="BJ93" s="566">
        <v>2.4280078699100198E-100</v>
      </c>
      <c r="BK93" s="566">
        <v>1.2918788261324E-109</v>
      </c>
      <c r="BL93" s="566">
        <v>3.37941329282373E-15</v>
      </c>
      <c r="BM93" s="566">
        <v>1.24408814505052E-214</v>
      </c>
      <c r="BN93" s="566">
        <v>-1.0775981341220201E-90</v>
      </c>
      <c r="BO93" s="566">
        <v>-9.0707458478600895E-92</v>
      </c>
      <c r="BP93" s="566">
        <v>0.39477110724183101</v>
      </c>
      <c r="BQ93" s="566">
        <v>1.24899358004135E-214</v>
      </c>
      <c r="BR93" s="566">
        <v>-1.48071624109884E-29</v>
      </c>
      <c r="BS93" s="566">
        <v>1.0272031225938501E-25</v>
      </c>
      <c r="BT93" s="566">
        <v>1.54767796001355E-15</v>
      </c>
      <c r="BU93" s="566">
        <v>1.2586085375256E-214</v>
      </c>
      <c r="BV93" s="566">
        <v>-4.7334414333651403E-89</v>
      </c>
      <c r="BW93" s="566">
        <v>-2.0328736771480799E-89</v>
      </c>
      <c r="BX93" s="566">
        <v>3.36546166810107E-15</v>
      </c>
      <c r="BY93" s="566">
        <v>1.2586010420426E-214</v>
      </c>
      <c r="BZ93" s="566">
        <v>-3.9610515726303102E-88</v>
      </c>
      <c r="CA93" s="566">
        <v>-1.6132416418670102E-89</v>
      </c>
      <c r="CB93" s="566">
        <v>0.39477105450403899</v>
      </c>
      <c r="CC93" s="566">
        <v>1.2492130854367401E-214</v>
      </c>
      <c r="CD93" s="566">
        <v>-2.3581820300005301E-27</v>
      </c>
      <c r="CE93" s="566">
        <v>-9.0835261525911602E-25</v>
      </c>
      <c r="CF93" s="566">
        <v>3.9781959832464803E-15</v>
      </c>
      <c r="CG93" s="566">
        <v>1.40236486760998E-214</v>
      </c>
      <c r="CH93" s="566">
        <v>2.88598414954874E-94</v>
      </c>
      <c r="CI93" s="566">
        <v>-7.0515693573154401E-90</v>
      </c>
      <c r="CJ93" s="566">
        <v>3.7090013572988297E-15</v>
      </c>
      <c r="CK93" s="566">
        <v>1.40236488550874E-214</v>
      </c>
      <c r="CL93" s="566">
        <v>-1.2600288018210501E-90</v>
      </c>
      <c r="CM93" s="566">
        <v>-7.0463774805063898E-90</v>
      </c>
      <c r="CN93" s="566">
        <v>3.9781959832464803E-15</v>
      </c>
      <c r="CO93" s="566">
        <v>1.40236491039055E-214</v>
      </c>
      <c r="CP93" s="566">
        <v>2.88598414713268E-94</v>
      </c>
      <c r="CQ93" s="566">
        <v>-7.0515693595565603E-90</v>
      </c>
      <c r="CR93" s="566">
        <v>0.39482509013349598</v>
      </c>
      <c r="CS93" s="566">
        <v>4.1658081390724599E-214</v>
      </c>
      <c r="CT93" s="566">
        <v>3.88011589958856E-100</v>
      </c>
      <c r="CU93" s="566">
        <v>3.26094619077406E-214</v>
      </c>
      <c r="CV93" s="566">
        <v>6.6363892414534196E-214</v>
      </c>
      <c r="CW93" s="566">
        <v>3.9530746224480502E-100</v>
      </c>
      <c r="CX93" s="566">
        <v>5.1939053588708099E-214</v>
      </c>
      <c r="CY93" s="566">
        <v>0.39482495332864198</v>
      </c>
      <c r="CZ93" s="566">
        <v>5.35920303875597E-214</v>
      </c>
      <c r="DA93" s="566">
        <v>-5.0118944793449199E-27</v>
      </c>
      <c r="DB93" s="566">
        <v>8.3896498125126604E-22</v>
      </c>
      <c r="DC93" s="566">
        <v>0.39482543810352</v>
      </c>
      <c r="DD93" s="566">
        <v>5.3600472564739698E-214</v>
      </c>
      <c r="DE93" s="566">
        <v>-7.7968413417048796E-24</v>
      </c>
      <c r="DF93" s="566">
        <v>1.28816167116984E-18</v>
      </c>
      <c r="DG93" s="566">
        <v>0.394825504813753</v>
      </c>
      <c r="DH93" s="566">
        <v>5.3609892757155098E-214</v>
      </c>
      <c r="DI93" s="566">
        <v>-7.7975854891402207E-24</v>
      </c>
      <c r="DJ93" s="566">
        <v>1.28815489701514E-18</v>
      </c>
      <c r="DK93" s="566">
        <v>1.63759882616968E-13</v>
      </c>
      <c r="DL93" s="566">
        <v>5.6122882396831897E-214</v>
      </c>
      <c r="DM93" s="566">
        <v>8.62343503007897E-94</v>
      </c>
      <c r="DN93" s="566">
        <v>-7.2490991179263901E-90</v>
      </c>
      <c r="DO93" s="566">
        <v>0.39482509046467401</v>
      </c>
      <c r="DP93" s="566">
        <v>2.0441756691180201E-213</v>
      </c>
      <c r="DQ93" s="566">
        <v>1.71741212663772E-99</v>
      </c>
      <c r="DR93" s="566">
        <v>3.4776405761153699E-212</v>
      </c>
      <c r="DS93" s="566">
        <v>1.7762544657565501E-212</v>
      </c>
      <c r="DT93" s="566">
        <v>1.81099980297444E-99</v>
      </c>
      <c r="DU93" s="566">
        <v>-3.7972063463135201E-211</v>
      </c>
      <c r="DV93" s="566">
        <v>0.39482605218553701</v>
      </c>
      <c r="DW93" s="566">
        <v>7.8637993737436595E-213</v>
      </c>
      <c r="DX93" s="566">
        <v>-2.2555815374671099E-23</v>
      </c>
      <c r="DY93" s="566">
        <v>3.0187518904469997E-17</v>
      </c>
      <c r="DZ93" s="566">
        <v>0.394826324073909</v>
      </c>
      <c r="EA93" s="566">
        <v>7.8649721393166595E-213</v>
      </c>
      <c r="EB93" s="566">
        <v>-2.9697763719024502E-20</v>
      </c>
      <c r="EC93" s="566">
        <v>3.92659342077342E-14</v>
      </c>
      <c r="ED93" s="566">
        <v>0.39482639084645299</v>
      </c>
      <c r="EE93" s="566">
        <v>7.8662770788551699E-213</v>
      </c>
      <c r="EF93" s="566">
        <v>-2.7884971298460698E-13</v>
      </c>
      <c r="EG93" s="566">
        <v>4.6088391611865702E-8</v>
      </c>
      <c r="EH93" s="566">
        <v>4.7404990535450803E-14</v>
      </c>
      <c r="EI93" s="566">
        <v>1.05624005098612E-212</v>
      </c>
      <c r="EJ93" s="566">
        <v>-2.6890319465796699E-89</v>
      </c>
      <c r="EK93" s="566">
        <v>-7.5753159998527897E-90</v>
      </c>
      <c r="EL93" s="566">
        <v>0.39482667138003402</v>
      </c>
      <c r="EM93" s="566">
        <v>1.44884381635331E-213</v>
      </c>
      <c r="EN93" s="566">
        <v>1.0181455413176701E-99</v>
      </c>
      <c r="EO93" s="566">
        <v>9.7363883874010208E-214</v>
      </c>
      <c r="EP93" s="566">
        <v>1.81209071137772E-213</v>
      </c>
      <c r="EQ93" s="566">
        <v>1.0283653873425E-99</v>
      </c>
      <c r="ER93" s="566">
        <v>1.21772054141421E-213</v>
      </c>
      <c r="ES93" s="566">
        <v>0.39483090666513998</v>
      </c>
      <c r="ET93" s="566">
        <v>1.64977834934757E-213</v>
      </c>
      <c r="EU93" s="566">
        <v>5.7334086610836205E-32</v>
      </c>
      <c r="EV93" s="566">
        <v>7.6457333951499104E-23</v>
      </c>
      <c r="EW93" s="566">
        <v>0.39483092544083298</v>
      </c>
      <c r="EX93" s="566">
        <v>1.6500265763519699E-213</v>
      </c>
      <c r="EY93" s="566">
        <v>1.04166775980314E-28</v>
      </c>
      <c r="EZ93" s="566">
        <v>1.28482600145475E-19</v>
      </c>
      <c r="FA93" s="566">
        <v>0.39483099222894402</v>
      </c>
      <c r="FB93" s="566">
        <v>1.6503043011686099E-213</v>
      </c>
      <c r="FC93" s="566">
        <v>1.0416549861523499E-28</v>
      </c>
      <c r="FD93" s="566">
        <v>1.28480460886396E-19</v>
      </c>
      <c r="FE93" s="566">
        <v>1.0642294637124501E-11</v>
      </c>
      <c r="FF93" s="566">
        <v>1.6696235907875101E-213</v>
      </c>
      <c r="FG93" s="566">
        <v>4.1963768037015899E-94</v>
      </c>
      <c r="FH93" s="566">
        <v>-7.4127208198638996E-90</v>
      </c>
    </row>
    <row r="94" spans="1:164" ht="12.75" customHeight="1" x14ac:dyDescent="0.3">
      <c r="A94" s="422"/>
      <c r="B94" s="422"/>
      <c r="C94" s="422"/>
      <c r="D94" s="422"/>
      <c r="E94" s="422"/>
      <c r="F94" s="568"/>
      <c r="G94" s="569"/>
      <c r="H94" s="439"/>
      <c r="I94" s="574">
        <v>6114400.1835718704</v>
      </c>
      <c r="J94" s="566">
        <v>0.37347735910037</v>
      </c>
      <c r="K94" s="566">
        <v>-1.05265213346249E-215</v>
      </c>
      <c r="L94" s="566">
        <v>-3.1008434622237201E-102</v>
      </c>
      <c r="M94" s="566">
        <v>-1.5645105986312201E-215</v>
      </c>
      <c r="N94" s="566">
        <v>-1.6769398153716001E-215</v>
      </c>
      <c r="O94" s="566">
        <v>-3.1591493467040301E-102</v>
      </c>
      <c r="P94" s="566">
        <v>-2.4923618587507602E-215</v>
      </c>
      <c r="Q94" s="566">
        <v>1.02358577472309E-16</v>
      </c>
      <c r="R94" s="566">
        <v>-1.1960648162854199E-215</v>
      </c>
      <c r="S94" s="566">
        <v>-1.1392677523013199E-101</v>
      </c>
      <c r="T94" s="566">
        <v>2.8923319377685199E-109</v>
      </c>
      <c r="U94" s="566">
        <v>5.8374209837688202E-18</v>
      </c>
      <c r="V94" s="566">
        <v>-1.24263029895872E-218</v>
      </c>
      <c r="W94" s="566">
        <v>2.2989613615908401E-92</v>
      </c>
      <c r="X94" s="566">
        <v>4.0900378209202897E-93</v>
      </c>
      <c r="Y94" s="566">
        <v>0.32012828903475299</v>
      </c>
      <c r="Z94" s="566">
        <v>-8.9380168765987395E-216</v>
      </c>
      <c r="AA94" s="566">
        <v>2.9917683275541801E-34</v>
      </c>
      <c r="AB94" s="566">
        <v>-9.1938898220260707E-31</v>
      </c>
      <c r="AC94" s="566">
        <v>4.8325899093128801E-19</v>
      </c>
      <c r="AD94" s="566">
        <v>-1.3344707071024401E-215</v>
      </c>
      <c r="AE94" s="566">
        <v>8.6463293287319503E-90</v>
      </c>
      <c r="AF94" s="566">
        <v>6.8667164451498104E-90</v>
      </c>
      <c r="AG94" s="566">
        <v>5.5852161774426496E-18</v>
      </c>
      <c r="AH94" s="566">
        <v>-1.3864246819084099E-218</v>
      </c>
      <c r="AI94" s="566">
        <v>1.1613274059393701E-89</v>
      </c>
      <c r="AJ94" s="566">
        <v>4.5351643327830904E-90</v>
      </c>
      <c r="AK94" s="566">
        <v>0.31900199831516501</v>
      </c>
      <c r="AL94" s="566">
        <v>-8.9952532055383294E-216</v>
      </c>
      <c r="AM94" s="566">
        <v>2.9940405633638798E-34</v>
      </c>
      <c r="AN94" s="566">
        <v>-9.1878556563931704E-31</v>
      </c>
      <c r="AO94" s="566">
        <v>2.56287306416132E-16</v>
      </c>
      <c r="AP94" s="566">
        <v>-1.3214766794918799E-215</v>
      </c>
      <c r="AQ94" s="566">
        <v>-4.54007223650931E-95</v>
      </c>
      <c r="AR94" s="566">
        <v>2.4400153605847202E-90</v>
      </c>
      <c r="AS94" s="566">
        <v>7.2589171408327106E-18</v>
      </c>
      <c r="AT94" s="566">
        <v>-1.31732760974831E-217</v>
      </c>
      <c r="AU94" s="566">
        <v>1.61581245542337E-91</v>
      </c>
      <c r="AV94" s="566">
        <v>2.3276192371427002E-90</v>
      </c>
      <c r="AW94" s="566">
        <v>2.56287306416132E-16</v>
      </c>
      <c r="AX94" s="566">
        <v>-1.32147668173496E-215</v>
      </c>
      <c r="AY94" s="566">
        <v>-4.5400722441985102E-95</v>
      </c>
      <c r="AZ94" s="566">
        <v>2.4400153614444299E-90</v>
      </c>
      <c r="BA94" s="566">
        <v>0.38663470986376602</v>
      </c>
      <c r="BB94" s="566">
        <v>-3.9596030329443298E-215</v>
      </c>
      <c r="BC94" s="566">
        <v>-1.5210717878074599E-101</v>
      </c>
      <c r="BD94" s="566">
        <v>-3.3508188266317899E-215</v>
      </c>
      <c r="BE94" s="566">
        <v>-6.3078917544286095E-215</v>
      </c>
      <c r="BF94" s="566">
        <v>-1.54967285746409E-101</v>
      </c>
      <c r="BG94" s="566">
        <v>-5.3380608249726403E-215</v>
      </c>
      <c r="BH94" s="566">
        <v>1.53287431951986E-15</v>
      </c>
      <c r="BI94" s="566">
        <v>-4.4098002311256498E-215</v>
      </c>
      <c r="BJ94" s="566">
        <v>-8.6062703478672803E-101</v>
      </c>
      <c r="BK94" s="566">
        <v>-4.5791697071946801E-110</v>
      </c>
      <c r="BL94" s="566">
        <v>3.3118584111585598E-15</v>
      </c>
      <c r="BM94" s="566">
        <v>-4.4097746334029003E-215</v>
      </c>
      <c r="BN94" s="566">
        <v>3.8196328257541902E-91</v>
      </c>
      <c r="BO94" s="566">
        <v>3.2151983307239301E-92</v>
      </c>
      <c r="BP94" s="566">
        <v>0.386879580060982</v>
      </c>
      <c r="BQ94" s="566">
        <v>-4.4271623586011301E-215</v>
      </c>
      <c r="BR94" s="566">
        <v>5.2485016527591599E-30</v>
      </c>
      <c r="BS94" s="566">
        <v>-3.6409928760366001E-26</v>
      </c>
      <c r="BT94" s="566">
        <v>1.51673967182462E-15</v>
      </c>
      <c r="BU94" s="566">
        <v>-4.4612433807409401E-215</v>
      </c>
      <c r="BV94" s="566">
        <v>1.67780610189818E-89</v>
      </c>
      <c r="BW94" s="566">
        <v>7.2056830277127403E-90</v>
      </c>
      <c r="BX94" s="566">
        <v>3.29818568253592E-15</v>
      </c>
      <c r="BY94" s="566">
        <v>-4.4612168123737097E-215</v>
      </c>
      <c r="BZ94" s="566">
        <v>1.4040263867312299E-88</v>
      </c>
      <c r="CA94" s="566">
        <v>5.7182639108120298E-90</v>
      </c>
      <c r="CB94" s="566">
        <v>0.386879528377431</v>
      </c>
      <c r="CC94" s="566">
        <v>-4.4279404138605501E-215</v>
      </c>
      <c r="CD94" s="566">
        <v>8.3587643059496996E-28</v>
      </c>
      <c r="CE94" s="566">
        <v>3.2197298815004902E-25</v>
      </c>
      <c r="CF94" s="566">
        <v>3.8986713139964802E-15</v>
      </c>
      <c r="CG94" s="566">
        <v>-4.9707997335760604E-215</v>
      </c>
      <c r="CH94" s="566">
        <v>-1.02296026334427E-94</v>
      </c>
      <c r="CI94" s="566">
        <v>2.4994850413440102E-90</v>
      </c>
      <c r="CJ94" s="566">
        <v>3.6348579975959302E-15</v>
      </c>
      <c r="CK94" s="566">
        <v>-4.9707997970194198E-215</v>
      </c>
      <c r="CL94" s="566">
        <v>4.4662729710867998E-91</v>
      </c>
      <c r="CM94" s="566">
        <v>2.49764473912849E-90</v>
      </c>
      <c r="CN94" s="566">
        <v>3.8986713139964802E-15</v>
      </c>
      <c r="CO94" s="566">
        <v>-4.9707998852153296E-215</v>
      </c>
      <c r="CP94" s="566">
        <v>-1.02296026248782E-94</v>
      </c>
      <c r="CQ94" s="566">
        <v>2.4994850421384798E-90</v>
      </c>
      <c r="CR94" s="566">
        <v>0.38693248382734802</v>
      </c>
      <c r="CS94" s="566">
        <v>-1.4766055871837501E-214</v>
      </c>
      <c r="CT94" s="566">
        <v>-1.37533847508317E-100</v>
      </c>
      <c r="CU94" s="566">
        <v>-1.15586969058362E-214</v>
      </c>
      <c r="CV94" s="566">
        <v>-2.3523237522020699E-214</v>
      </c>
      <c r="CW94" s="566">
        <v>-1.4011992847182399E-100</v>
      </c>
      <c r="CX94" s="566">
        <v>-1.8410232579313E-214</v>
      </c>
      <c r="CY94" s="566">
        <v>0.38693234975732599</v>
      </c>
      <c r="CZ94" s="566">
        <v>-1.89961440510345E-214</v>
      </c>
      <c r="DA94" s="566">
        <v>1.7765021352255098E-27</v>
      </c>
      <c r="DB94" s="566">
        <v>-2.97377187047248E-22</v>
      </c>
      <c r="DC94" s="566">
        <v>0.386932824841491</v>
      </c>
      <c r="DD94" s="566">
        <v>-1.89991364514454E-214</v>
      </c>
      <c r="DE94" s="566">
        <v>2.7636483774421602E-24</v>
      </c>
      <c r="DF94" s="566">
        <v>-4.5659848083546998E-19</v>
      </c>
      <c r="DG94" s="566">
        <v>0.38693289021817401</v>
      </c>
      <c r="DH94" s="566">
        <v>-1.9002475517548701E-214</v>
      </c>
      <c r="DI94" s="566">
        <v>2.7639087827389598E-24</v>
      </c>
      <c r="DJ94" s="566">
        <v>-4.5659552393583899E-19</v>
      </c>
      <c r="DK94" s="566">
        <v>1.60486300682746E-13</v>
      </c>
      <c r="DL94" s="566">
        <v>-1.9893225743823401E-214</v>
      </c>
      <c r="DM94" s="566">
        <v>-3.05664581376111E-94</v>
      </c>
      <c r="DN94" s="566">
        <v>2.5695010415916101E-90</v>
      </c>
      <c r="DO94" s="566">
        <v>0.38693248415190701</v>
      </c>
      <c r="DP94" s="566">
        <v>-7.2457518767941002E-214</v>
      </c>
      <c r="DQ94" s="566">
        <v>-6.08750624070218E-100</v>
      </c>
      <c r="DR94" s="566">
        <v>-1.2326788300285899E-212</v>
      </c>
      <c r="DS94" s="566">
        <v>-6.2960826891943194E-213</v>
      </c>
      <c r="DT94" s="566">
        <v>-6.4192353317666095E-100</v>
      </c>
      <c r="DU94" s="566">
        <v>1.34595159719861E-211</v>
      </c>
      <c r="DV94" s="566">
        <v>0.38693342664793001</v>
      </c>
      <c r="DW94" s="566">
        <v>-2.7873895388473801E-213</v>
      </c>
      <c r="DX94" s="566">
        <v>7.9950772547184104E-24</v>
      </c>
      <c r="DY94" s="566">
        <v>-1.0700191592896799E-17</v>
      </c>
      <c r="DZ94" s="566">
        <v>0.386933693101217</v>
      </c>
      <c r="EA94" s="566">
        <v>-2.7878052354251699E-213</v>
      </c>
      <c r="EB94" s="566">
        <v>1.05266009327228E-20</v>
      </c>
      <c r="EC94" s="566">
        <v>-1.3918112607626401E-14</v>
      </c>
      <c r="ED94" s="566">
        <v>0.38693375853897899</v>
      </c>
      <c r="EE94" s="566">
        <v>-2.7882677821716399E-213</v>
      </c>
      <c r="EF94" s="566">
        <v>9.8840500265655104E-14</v>
      </c>
      <c r="EG94" s="566">
        <v>-1.63363972462218E-8</v>
      </c>
      <c r="EH94" s="566">
        <v>4.64573671132104E-14</v>
      </c>
      <c r="EI94" s="566">
        <v>-3.7439313075593902E-213</v>
      </c>
      <c r="EJ94" s="566">
        <v>9.5314888928727696E-90</v>
      </c>
      <c r="EK94" s="566">
        <v>2.6851312191155102E-90</v>
      </c>
      <c r="EL94" s="566">
        <v>0.38693403346456101</v>
      </c>
      <c r="EM94" s="566">
        <v>-5.1355482604161098E-214</v>
      </c>
      <c r="EN94" s="566">
        <v>-3.6088992505533498E-100</v>
      </c>
      <c r="EO94" s="566">
        <v>-3.4511444146783799E-214</v>
      </c>
      <c r="EP94" s="566">
        <v>-6.4231073049373999E-214</v>
      </c>
      <c r="EQ94" s="566">
        <v>-3.6451243216884E-100</v>
      </c>
      <c r="ER94" s="566">
        <v>-4.3163124537830398E-214</v>
      </c>
      <c r="ES94" s="566">
        <v>0.38693818408576103</v>
      </c>
      <c r="ET94" s="566">
        <v>-5.8477775426405197E-214</v>
      </c>
      <c r="EU94" s="566">
        <v>-2.0329687184744001E-32</v>
      </c>
      <c r="EV94" s="566">
        <v>-2.7100859741450998E-23</v>
      </c>
      <c r="EW94" s="566">
        <v>0.38693820248612398</v>
      </c>
      <c r="EX94" s="566">
        <v>-5.8486574040492103E-214</v>
      </c>
      <c r="EY94" s="566">
        <v>-3.69357810296649E-29</v>
      </c>
      <c r="EZ94" s="566">
        <v>-4.55416243213674E-20</v>
      </c>
      <c r="FA94" s="566">
        <v>0.386938267939125</v>
      </c>
      <c r="FB94" s="566">
        <v>-5.8496418229238803E-214</v>
      </c>
      <c r="FC94" s="566">
        <v>-3.6935285615756199E-29</v>
      </c>
      <c r="FD94" s="566">
        <v>-4.55408106152137E-20</v>
      </c>
      <c r="FE94" s="566">
        <v>1.0429553745363001E-11</v>
      </c>
      <c r="FF94" s="566">
        <v>-5.9181206631371198E-214</v>
      </c>
      <c r="FG94" s="566">
        <v>-1.48743961008613E-94</v>
      </c>
      <c r="FH94" s="566">
        <v>2.6274980598024399E-90</v>
      </c>
    </row>
    <row r="95" spans="1:164" ht="12.75" customHeight="1" x14ac:dyDescent="0.3">
      <c r="A95" s="422"/>
      <c r="B95" s="422"/>
      <c r="C95" s="422"/>
      <c r="D95" s="422"/>
      <c r="E95" s="422"/>
      <c r="F95" s="568"/>
      <c r="G95" s="569"/>
      <c r="H95" s="439"/>
      <c r="I95" s="574">
        <v>6198159.0901961401</v>
      </c>
      <c r="J95" s="566">
        <v>0.36601149685405798</v>
      </c>
      <c r="K95" s="566">
        <v>-3.0378903765899102E-215</v>
      </c>
      <c r="L95" s="566">
        <v>-8.9488516294444598E-102</v>
      </c>
      <c r="M95" s="566">
        <v>-4.5150829419978499E-215</v>
      </c>
      <c r="N95" s="566">
        <v>-4.8395468600634697E-215</v>
      </c>
      <c r="O95" s="566">
        <v>-9.1171189785366094E-102</v>
      </c>
      <c r="P95" s="566">
        <v>-7.1928055479948996E-215</v>
      </c>
      <c r="Q95" s="566">
        <v>1.00312415849613E-16</v>
      </c>
      <c r="R95" s="566">
        <v>-3.4517707034132001E-215</v>
      </c>
      <c r="S95" s="566">
        <v>-3.28785964391914E-101</v>
      </c>
      <c r="T95" s="566">
        <v>8.3470987367565497E-109</v>
      </c>
      <c r="U95" s="566">
        <v>5.7207486374883802E-18</v>
      </c>
      <c r="V95" s="566">
        <v>-3.58615586941238E-218</v>
      </c>
      <c r="W95" s="566">
        <v>6.63466820771462E-92</v>
      </c>
      <c r="X95" s="566">
        <v>1.1803610826428499E-92</v>
      </c>
      <c r="Y95" s="566">
        <v>0.31372888181814101</v>
      </c>
      <c r="Z95" s="566">
        <v>-2.5794575997204998E-215</v>
      </c>
      <c r="AA95" s="566">
        <v>8.6340902668330397E-34</v>
      </c>
      <c r="AB95" s="566">
        <v>-2.6533095386821799E-30</v>
      </c>
      <c r="AC95" s="566">
        <v>4.7359857822142002E-19</v>
      </c>
      <c r="AD95" s="566">
        <v>-3.8512017313950202E-215</v>
      </c>
      <c r="AE95" s="566">
        <v>2.49528025672516E-89</v>
      </c>
      <c r="AF95" s="566">
        <v>1.98169434943624E-89</v>
      </c>
      <c r="AG95" s="566">
        <v>5.4735856884405701E-18</v>
      </c>
      <c r="AH95" s="566">
        <v>-4.00113775971039E-218</v>
      </c>
      <c r="AI95" s="566">
        <v>3.3515232207486801E-89</v>
      </c>
      <c r="AJ95" s="566">
        <v>1.3088219978410301E-89</v>
      </c>
      <c r="AK95" s="566">
        <v>0.31262510580033098</v>
      </c>
      <c r="AL95" s="566">
        <v>-2.5959756579993399E-215</v>
      </c>
      <c r="AM95" s="566">
        <v>8.6406555410029499E-34</v>
      </c>
      <c r="AN95" s="566">
        <v>-2.6515704879235602E-30</v>
      </c>
      <c r="AO95" s="566">
        <v>2.5116408896115299E-16</v>
      </c>
      <c r="AP95" s="566">
        <v>-3.8137017537895499E-215</v>
      </c>
      <c r="AQ95" s="566">
        <v>-1.3102382622271599E-94</v>
      </c>
      <c r="AR95" s="566">
        <v>7.0417421519223196E-90</v>
      </c>
      <c r="AS95" s="566">
        <v>7.1138473369006495E-18</v>
      </c>
      <c r="AT95" s="566">
        <v>-3.8017277895091803E-217</v>
      </c>
      <c r="AU95" s="566">
        <v>4.6631403670919897E-91</v>
      </c>
      <c r="AV95" s="566">
        <v>6.7173734890229597E-90</v>
      </c>
      <c r="AW95" s="566">
        <v>2.5116408896115299E-16</v>
      </c>
      <c r="AX95" s="566">
        <v>-3.81370176026289E-215</v>
      </c>
      <c r="AY95" s="566">
        <v>-1.3102382644462101E-94</v>
      </c>
      <c r="AZ95" s="566">
        <v>7.0417421544030798E-90</v>
      </c>
      <c r="BA95" s="566">
        <v>0.37890583041993697</v>
      </c>
      <c r="BB95" s="566">
        <v>-1.14271748154172E-214</v>
      </c>
      <c r="BC95" s="566">
        <v>-4.3897236067054598E-101</v>
      </c>
      <c r="BD95" s="566">
        <v>-9.6702604246254006E-215</v>
      </c>
      <c r="BE95" s="566">
        <v>-1.8204194005020401E-214</v>
      </c>
      <c r="BF95" s="566">
        <v>-4.4722646094741698E-101</v>
      </c>
      <c r="BG95" s="566">
        <v>-1.5405320612891901E-214</v>
      </c>
      <c r="BH95" s="566">
        <v>1.50223195739306E-15</v>
      </c>
      <c r="BI95" s="566">
        <v>-1.2726416694522001E-214</v>
      </c>
      <c r="BJ95" s="566">
        <v>-2.4837189417723101E-100</v>
      </c>
      <c r="BK95" s="566">
        <v>-1.3215212754991599E-109</v>
      </c>
      <c r="BL95" s="566">
        <v>3.2456539406388399E-15</v>
      </c>
      <c r="BM95" s="566">
        <v>-1.27263428210425E-214</v>
      </c>
      <c r="BN95" s="566">
        <v>1.1023237306298099E-90</v>
      </c>
      <c r="BO95" s="566">
        <v>9.2788749018737895E-92</v>
      </c>
      <c r="BP95" s="566">
        <v>0.37914580562926897</v>
      </c>
      <c r="BQ95" s="566">
        <v>-1.2776522744087201E-214</v>
      </c>
      <c r="BR95" s="566">
        <v>1.5146902658427201E-29</v>
      </c>
      <c r="BS95" s="566">
        <v>-1.0507715979868901E-25</v>
      </c>
      <c r="BT95" s="566">
        <v>1.48641984390522E-15</v>
      </c>
      <c r="BU95" s="566">
        <v>-1.28748785122384E-214</v>
      </c>
      <c r="BV95" s="566">
        <v>4.8420506339472699E-89</v>
      </c>
      <c r="BW95" s="566">
        <v>2.0795181298296499E-89</v>
      </c>
      <c r="BX95" s="566">
        <v>3.2322545323227299E-15</v>
      </c>
      <c r="BY95" s="566">
        <v>-1.28748018375376E-214</v>
      </c>
      <c r="BZ95" s="566">
        <v>4.0519382572484998E-88</v>
      </c>
      <c r="CA95" s="566">
        <v>1.6502576147277901E-89</v>
      </c>
      <c r="CB95" s="566">
        <v>0.37914575497888198</v>
      </c>
      <c r="CC95" s="566">
        <v>-1.27787681644973E-214</v>
      </c>
      <c r="CD95" s="566">
        <v>2.4122906983569401E-27</v>
      </c>
      <c r="CE95" s="566">
        <v>9.2919495613063795E-25</v>
      </c>
      <c r="CF95" s="566">
        <v>3.8207363541796704E-15</v>
      </c>
      <c r="CG95" s="566">
        <v>-1.4345427320718801E-214</v>
      </c>
      <c r="CH95" s="566">
        <v>-2.9522034186887502E-94</v>
      </c>
      <c r="CI95" s="566">
        <v>7.2133681853188098E-90</v>
      </c>
      <c r="CJ95" s="566">
        <v>3.5621967381456499E-15</v>
      </c>
      <c r="CK95" s="566">
        <v>-1.43454275038135E-214</v>
      </c>
      <c r="CL95" s="566">
        <v>1.28894029205085E-90</v>
      </c>
      <c r="CM95" s="566">
        <v>7.2080571804409701E-90</v>
      </c>
      <c r="CN95" s="566">
        <v>3.8207363541796798E-15</v>
      </c>
      <c r="CO95" s="566">
        <v>-1.4345427758340599E-214</v>
      </c>
      <c r="CP95" s="566">
        <v>-2.9522034162172898E-94</v>
      </c>
      <c r="CQ95" s="566">
        <v>7.2133681876112699E-90</v>
      </c>
      <c r="CR95" s="566">
        <v>0.37919765184224702</v>
      </c>
      <c r="CS95" s="566">
        <v>-4.2613943968070601E-214</v>
      </c>
      <c r="CT95" s="566">
        <v>-3.9691458481297898E-100</v>
      </c>
      <c r="CU95" s="566">
        <v>-3.3357700022864401E-214</v>
      </c>
      <c r="CV95" s="566">
        <v>-6.7886640441526703E-214</v>
      </c>
      <c r="CW95" s="566">
        <v>-4.0437786218450199E-100</v>
      </c>
      <c r="CX95" s="566">
        <v>-5.3130817490498198E-214</v>
      </c>
      <c r="CY95" s="566">
        <v>0.37919752045234301</v>
      </c>
      <c r="CZ95" s="566">
        <v>-5.4821722552472102E-214</v>
      </c>
      <c r="DA95" s="566">
        <v>5.12688999352658E-27</v>
      </c>
      <c r="DB95" s="566">
        <v>-8.5821463046958601E-22</v>
      </c>
      <c r="DC95" s="566">
        <v>0.37919798603951099</v>
      </c>
      <c r="DD95" s="566">
        <v>-5.4830358439035799E-214</v>
      </c>
      <c r="DE95" s="566">
        <v>7.9757374901189901E-24</v>
      </c>
      <c r="DF95" s="566">
        <v>-1.31771814810695E-18</v>
      </c>
      <c r="DG95" s="566">
        <v>0.37919805010930602</v>
      </c>
      <c r="DH95" s="566">
        <v>-5.4839994781814402E-214</v>
      </c>
      <c r="DI95" s="566">
        <v>7.9764960845541198E-24</v>
      </c>
      <c r="DJ95" s="566">
        <v>-1.31771078441748E-18</v>
      </c>
      <c r="DK95" s="566">
        <v>1.5727815811633899E-13</v>
      </c>
      <c r="DL95" s="566">
        <v>-5.7410646048563802E-214</v>
      </c>
      <c r="DM95" s="566">
        <v>-8.8213008309897995E-94</v>
      </c>
      <c r="DN95" s="566">
        <v>7.4154302822286403E-90</v>
      </c>
      <c r="DO95" s="566">
        <v>0.37919765216031698</v>
      </c>
      <c r="DP95" s="566">
        <v>-2.0910801581967E-213</v>
      </c>
      <c r="DQ95" s="566">
        <v>-1.7568184529474201E-99</v>
      </c>
      <c r="DR95" s="566">
        <v>-3.5574365330160598E-212</v>
      </c>
      <c r="DS95" s="566">
        <v>-1.8170113840247299E-212</v>
      </c>
      <c r="DT95" s="566">
        <v>-1.8525535151416601E-99</v>
      </c>
      <c r="DU95" s="566">
        <v>3.8843348800283302E-211</v>
      </c>
      <c r="DV95" s="566">
        <v>0.379198575815757</v>
      </c>
      <c r="DW95" s="566">
        <v>-8.0442376157113402E-213</v>
      </c>
      <c r="DX95" s="566">
        <v>2.3073352316370201E-23</v>
      </c>
      <c r="DY95" s="566">
        <v>-3.08801631815958E-17</v>
      </c>
      <c r="DZ95" s="566">
        <v>0.37919883694260698</v>
      </c>
      <c r="EA95" s="566">
        <v>-8.0454372908920804E-213</v>
      </c>
      <c r="EB95" s="566">
        <v>3.0379175952897199E-20</v>
      </c>
      <c r="EC95" s="566">
        <v>-4.0166887161386098E-14</v>
      </c>
      <c r="ED95" s="566">
        <v>0.379198901072265</v>
      </c>
      <c r="EE95" s="566">
        <v>-8.0467721728266698E-213</v>
      </c>
      <c r="EF95" s="566">
        <v>2.85247949121784E-13</v>
      </c>
      <c r="EG95" s="566">
        <v>-4.7145894628761798E-8</v>
      </c>
      <c r="EH95" s="566">
        <v>4.5528682537036903E-14</v>
      </c>
      <c r="EI95" s="566">
        <v>-1.08047593081307E-212</v>
      </c>
      <c r="EJ95" s="566">
        <v>2.7507320485996701E-89</v>
      </c>
      <c r="EK95" s="566">
        <v>7.7491322368383497E-90</v>
      </c>
      <c r="EL95" s="566">
        <v>0.37919917050200802</v>
      </c>
      <c r="EM95" s="566">
        <v>-1.4820881602653701E-213</v>
      </c>
      <c r="EN95" s="566">
        <v>-1.04150707161645E-99</v>
      </c>
      <c r="EO95" s="566">
        <v>-9.9597940025159603E-214</v>
      </c>
      <c r="EP95" s="566">
        <v>-1.85366991137769E-213</v>
      </c>
      <c r="EQ95" s="566">
        <v>-1.0519614138236499E-99</v>
      </c>
      <c r="ER95" s="566">
        <v>-1.24566166247145E-213</v>
      </c>
      <c r="ES95" s="566">
        <v>0.37920323815174101</v>
      </c>
      <c r="ET95" s="566">
        <v>-1.6876332224576299E-213</v>
      </c>
      <c r="EU95" s="566">
        <v>-5.8655220475805505E-32</v>
      </c>
      <c r="EV95" s="566">
        <v>-7.82116158377313E-23</v>
      </c>
      <c r="EW95" s="566">
        <v>0.37920325618427903</v>
      </c>
      <c r="EX95" s="566">
        <v>-1.6878871451372799E-213</v>
      </c>
      <c r="EY95" s="566">
        <v>-1.0656708250918499E-28</v>
      </c>
      <c r="EZ95" s="566">
        <v>-1.31430603264355E-19</v>
      </c>
      <c r="FA95" s="566">
        <v>0.379203320328861</v>
      </c>
      <c r="FB95" s="566">
        <v>-1.6881712424691499E-213</v>
      </c>
      <c r="FC95" s="566">
        <v>-1.0656573882534301E-28</v>
      </c>
      <c r="FD95" s="566">
        <v>-1.31428371620317E-19</v>
      </c>
      <c r="FE95" s="566">
        <v>1.0221065574243299E-11</v>
      </c>
      <c r="FF95" s="566">
        <v>-1.7079338214895901E-213</v>
      </c>
      <c r="FG95" s="566">
        <v>-4.2926633251682402E-94</v>
      </c>
      <c r="FH95" s="566">
        <v>7.5828062973223498E-90</v>
      </c>
    </row>
    <row r="96" spans="1:164" ht="12.75" customHeight="1" x14ac:dyDescent="0.3">
      <c r="A96" s="422"/>
      <c r="B96" s="422"/>
      <c r="C96" s="422"/>
      <c r="D96" s="422"/>
      <c r="E96" s="422"/>
      <c r="F96" s="568"/>
      <c r="G96" s="569"/>
      <c r="H96" s="439"/>
      <c r="I96" s="574">
        <v>6281917.99682042</v>
      </c>
      <c r="J96" s="566">
        <v>0.35869487837088798</v>
      </c>
      <c r="K96" s="566">
        <v>2.9348543309535801E-215</v>
      </c>
      <c r="L96" s="566">
        <v>8.6453276456155606E-102</v>
      </c>
      <c r="M96" s="566">
        <v>4.3619449961235199E-215</v>
      </c>
      <c r="N96" s="566">
        <v>4.6754040802664704E-215</v>
      </c>
      <c r="O96" s="566">
        <v>8.8078877622873099E-102</v>
      </c>
      <c r="P96" s="566">
        <v>6.9488473570063499E-215</v>
      </c>
      <c r="Q96" s="566">
        <v>9.8307157320291503E-17</v>
      </c>
      <c r="R96" s="566">
        <v>3.33469708993995E-215</v>
      </c>
      <c r="S96" s="566">
        <v>3.1763431836271397E-101</v>
      </c>
      <c r="T96" s="566">
        <v>-8.0639858970354802E-109</v>
      </c>
      <c r="U96" s="566">
        <v>5.6063356870795304E-18</v>
      </c>
      <c r="V96" s="566">
        <v>3.4645243179029502E-218</v>
      </c>
      <c r="W96" s="566">
        <v>-6.4096345495624298E-92</v>
      </c>
      <c r="X96" s="566">
        <v>-1.1403257072566701E-92</v>
      </c>
      <c r="Y96" s="566">
        <v>0.307457399760387</v>
      </c>
      <c r="Z96" s="566">
        <v>2.4919702061627798E-215</v>
      </c>
      <c r="AA96" s="566">
        <v>-8.3412159232847492E-34</v>
      </c>
      <c r="AB96" s="566">
        <v>2.5633074433405399E-30</v>
      </c>
      <c r="AC96" s="566">
        <v>4.6413128260518098E-19</v>
      </c>
      <c r="AD96" s="566">
        <v>3.7205806265625098E-215</v>
      </c>
      <c r="AE96" s="566">
        <v>-2.41064558431253E-89</v>
      </c>
      <c r="AF96" s="566">
        <v>-1.9144794337430701E-89</v>
      </c>
      <c r="AG96" s="566">
        <v>5.3641128232465703E-18</v>
      </c>
      <c r="AH96" s="566">
        <v>3.8654312786654901E-218</v>
      </c>
      <c r="AI96" s="566">
        <v>-3.2378465769507201E-89</v>
      </c>
      <c r="AJ96" s="566">
        <v>-1.26442950019379E-89</v>
      </c>
      <c r="AK96" s="566">
        <v>0.30637568837192197</v>
      </c>
      <c r="AL96" s="566">
        <v>2.5079280219061602E-215</v>
      </c>
      <c r="AM96" s="566">
        <v>-8.34754959490397E-34</v>
      </c>
      <c r="AN96" s="566">
        <v>2.5616246386146101E-30</v>
      </c>
      <c r="AO96" s="566">
        <v>2.4614328543068201E-16</v>
      </c>
      <c r="AP96" s="566">
        <v>3.68435253468192E-215</v>
      </c>
      <c r="AQ96" s="566">
        <v>1.2657978826115001E-94</v>
      </c>
      <c r="AR96" s="566">
        <v>-6.8029010087676096E-90</v>
      </c>
      <c r="AS96" s="566">
        <v>6.9715318454233697E-18</v>
      </c>
      <c r="AT96" s="566">
        <v>3.6727846910237598E-217</v>
      </c>
      <c r="AU96" s="566">
        <v>-4.5049766877028699E-91</v>
      </c>
      <c r="AV96" s="566">
        <v>-6.4895342513520397E-90</v>
      </c>
      <c r="AW96" s="566">
        <v>2.4614328543068201E-16</v>
      </c>
      <c r="AX96" s="566">
        <v>3.6843525409357401E-215</v>
      </c>
      <c r="AY96" s="566">
        <v>1.26579788475529E-94</v>
      </c>
      <c r="AZ96" s="566">
        <v>-6.80290101116445E-90</v>
      </c>
      <c r="BA96" s="566">
        <v>0.37133145249449101</v>
      </c>
      <c r="BB96" s="566">
        <v>1.1039599636652099E-214</v>
      </c>
      <c r="BC96" s="566">
        <v>4.2408345143185702E-101</v>
      </c>
      <c r="BD96" s="566">
        <v>9.3422744636761003E-215</v>
      </c>
      <c r="BE96" s="566">
        <v>1.75867628499239E-214</v>
      </c>
      <c r="BF96" s="566">
        <v>4.3205759205549799E-101</v>
      </c>
      <c r="BG96" s="566">
        <v>1.4882818770843599E-214</v>
      </c>
      <c r="BH96" s="566">
        <v>1.47220214063288E-15</v>
      </c>
      <c r="BI96" s="566">
        <v>1.2294775164126499E-214</v>
      </c>
      <c r="BJ96" s="566">
        <v>2.3994770413435599E-100</v>
      </c>
      <c r="BK96" s="566">
        <v>1.2766985489853901E-109</v>
      </c>
      <c r="BL96" s="566">
        <v>3.1807728248185901E-15</v>
      </c>
      <c r="BM96" s="566">
        <v>1.2294703796211901E-214</v>
      </c>
      <c r="BN96" s="566">
        <v>-1.0649352744129601E-90</v>
      </c>
      <c r="BO96" s="566">
        <v>-8.9641550619283696E-92</v>
      </c>
      <c r="BP96" s="566">
        <v>0.37156663056737699</v>
      </c>
      <c r="BQ96" s="566">
        <v>1.23431817681659E-214</v>
      </c>
      <c r="BR96" s="566">
        <v>-1.4633114359686201E-29</v>
      </c>
      <c r="BS96" s="566">
        <v>1.01512905327713E-25</v>
      </c>
      <c r="BT96" s="566">
        <v>1.4567061120794601E-15</v>
      </c>
      <c r="BU96" s="566">
        <v>1.24382016063924E-214</v>
      </c>
      <c r="BV96" s="566">
        <v>-4.6778184326338103E-89</v>
      </c>
      <c r="BW96" s="566">
        <v>-2.0089852366502499E-89</v>
      </c>
      <c r="BX96" s="566">
        <v>3.1676412705804499E-15</v>
      </c>
      <c r="BY96" s="566">
        <v>1.2438127532265501E-214</v>
      </c>
      <c r="BZ96" s="566">
        <v>-3.9145050994088898E-88</v>
      </c>
      <c r="CA96" s="566">
        <v>-1.5942843693641101E-89</v>
      </c>
      <c r="CB96" s="566">
        <v>0.37156658092949002</v>
      </c>
      <c r="CC96" s="566">
        <v>1.2345351030712599E-214</v>
      </c>
      <c r="CD96" s="566">
        <v>-2.3304708219108899E-27</v>
      </c>
      <c r="CE96" s="566">
        <v>-8.9767898292728904E-25</v>
      </c>
      <c r="CF96" s="566">
        <v>3.7443593264946903E-15</v>
      </c>
      <c r="CG96" s="566">
        <v>1.38588738507585E-214</v>
      </c>
      <c r="CH96" s="566">
        <v>2.8520712179954499E-94</v>
      </c>
      <c r="CI96" s="566">
        <v>-6.9687058466237996E-90</v>
      </c>
      <c r="CJ96" s="566">
        <v>3.4909878428752098E-15</v>
      </c>
      <c r="CK96" s="566">
        <v>1.38588740276425E-214</v>
      </c>
      <c r="CL96" s="566">
        <v>-1.2452222130192601E-90</v>
      </c>
      <c r="CM96" s="566">
        <v>-6.96357497980663E-90</v>
      </c>
      <c r="CN96" s="566">
        <v>3.7443593264946903E-15</v>
      </c>
      <c r="CO96" s="566">
        <v>1.3858874273537501E-214</v>
      </c>
      <c r="CP96" s="566">
        <v>2.8520712156076701E-94</v>
      </c>
      <c r="CQ96" s="566">
        <v>-6.9687058488387397E-90</v>
      </c>
      <c r="CR96" s="566">
        <v>0.37161744036778499</v>
      </c>
      <c r="CS96" s="566">
        <v>4.1168607984498903E-214</v>
      </c>
      <c r="CT96" s="566">
        <v>3.8345217633748001E-100</v>
      </c>
      <c r="CU96" s="566">
        <v>3.2226307814160699E-214</v>
      </c>
      <c r="CV96" s="566">
        <v>6.5584131096058001E-214</v>
      </c>
      <c r="CW96" s="566">
        <v>3.9066231690729801E-100</v>
      </c>
      <c r="CX96" s="566">
        <v>5.1328780991883004E-214</v>
      </c>
      <c r="CY96" s="566">
        <v>0.37161731160425698</v>
      </c>
      <c r="CZ96" s="566">
        <v>5.2962335673242398E-214</v>
      </c>
      <c r="DA96" s="566">
        <v>-4.9529872164799299E-27</v>
      </c>
      <c r="DB96" s="566">
        <v>8.2910421380774904E-22</v>
      </c>
      <c r="DC96" s="566">
        <v>0.37161776788427398</v>
      </c>
      <c r="DD96" s="566">
        <v>5.2970678656672601E-214</v>
      </c>
      <c r="DE96" s="566">
        <v>-7.7052067877493693E-24</v>
      </c>
      <c r="DF96" s="566">
        <v>1.27302219142989E-18</v>
      </c>
      <c r="DG96" s="566">
        <v>0.371617830673309</v>
      </c>
      <c r="DH96" s="566">
        <v>5.2979988163872203E-214</v>
      </c>
      <c r="DI96" s="566">
        <v>-7.7059314833724305E-24</v>
      </c>
      <c r="DJ96" s="566">
        <v>1.27301372784832E-18</v>
      </c>
      <c r="DK96" s="566">
        <v>1.5413414682554801E-13</v>
      </c>
      <c r="DL96" s="566">
        <v>5.5463450721229803E-214</v>
      </c>
      <c r="DM96" s="566">
        <v>8.5221018463942E-94</v>
      </c>
      <c r="DN96" s="566">
        <v>-7.1639144204747403E-90</v>
      </c>
      <c r="DO96" s="566">
        <v>0.37161744067949698</v>
      </c>
      <c r="DP96" s="566">
        <v>2.0201570490980401E-213</v>
      </c>
      <c r="DQ96" s="566">
        <v>1.6972313061510699E-99</v>
      </c>
      <c r="DR96" s="566">
        <v>3.4367790533508E-212</v>
      </c>
      <c r="DS96" s="566">
        <v>1.7553838480704399E-212</v>
      </c>
      <c r="DT96" s="566">
        <v>1.7897192603729701E-99</v>
      </c>
      <c r="DU96" s="566">
        <v>-3.7525900059140898E-211</v>
      </c>
      <c r="DV96" s="566">
        <v>0.371618345870809</v>
      </c>
      <c r="DW96" s="566">
        <v>7.7714013891402806E-213</v>
      </c>
      <c r="DX96" s="566">
        <v>-2.2290724434470899E-23</v>
      </c>
      <c r="DY96" s="566">
        <v>2.98327351488704E-17</v>
      </c>
      <c r="DZ96" s="566">
        <v>0.37161860177770001</v>
      </c>
      <c r="EA96" s="566">
        <v>7.7725603749643897E-213</v>
      </c>
      <c r="EB96" s="566">
        <v>-2.93487572967323E-20</v>
      </c>
      <c r="EC96" s="566">
        <v>3.8804483190838501E-14</v>
      </c>
      <c r="ED96" s="566">
        <v>0.37161866462538201</v>
      </c>
      <c r="EE96" s="566">
        <v>7.7738499817372894E-213</v>
      </c>
      <c r="EF96" s="566">
        <v>-2.75572920139611E-13</v>
      </c>
      <c r="EG96" s="566">
        <v>4.5546801985167799E-8</v>
      </c>
      <c r="EH96" s="566">
        <v>4.4618545186506503E-14</v>
      </c>
      <c r="EI96" s="566">
        <v>1.04382945248238E-212</v>
      </c>
      <c r="EJ96" s="566">
        <v>-2.65743310804337E-89</v>
      </c>
      <c r="EK96" s="566">
        <v>-7.4862979038037098E-90</v>
      </c>
      <c r="EL96" s="566">
        <v>0.371618928669329</v>
      </c>
      <c r="EM96" s="566">
        <v>1.43182021626897E-213</v>
      </c>
      <c r="EN96" s="566">
        <v>1.0061816032040501E-99</v>
      </c>
      <c r="EO96" s="566">
        <v>9.6219879390192399E-214</v>
      </c>
      <c r="EP96" s="566">
        <v>1.7907990391913801E-213</v>
      </c>
      <c r="EQ96" s="566">
        <v>1.01628135873065E-99</v>
      </c>
      <c r="ER96" s="566">
        <v>1.20341258959483E-213</v>
      </c>
      <c r="ES96" s="566">
        <v>0.37162291500619099</v>
      </c>
      <c r="ET96" s="566">
        <v>1.6303938121531399E-213</v>
      </c>
      <c r="EU96" s="566">
        <v>5.66831525034178E-32</v>
      </c>
      <c r="EV96" s="566">
        <v>7.5558713794314802E-23</v>
      </c>
      <c r="EW96" s="566">
        <v>0.37162293267825702</v>
      </c>
      <c r="EX96" s="566">
        <v>1.6306391225442401E-213</v>
      </c>
      <c r="EY96" s="566">
        <v>1.02984207621577E-28</v>
      </c>
      <c r="EZ96" s="566">
        <v>1.2697260922402899E-19</v>
      </c>
      <c r="FA96" s="566">
        <v>0.37162299554059097</v>
      </c>
      <c r="FB96" s="566">
        <v>1.63091358415465E-213</v>
      </c>
      <c r="FC96" s="566">
        <v>1.0298280628660299E-28</v>
      </c>
      <c r="FD96" s="566">
        <v>1.2697031866211301E-19</v>
      </c>
      <c r="FE96" s="566">
        <v>1.00167451145286E-11</v>
      </c>
      <c r="FF96" s="566">
        <v>1.6500058763174999E-213</v>
      </c>
      <c r="FG96" s="566">
        <v>4.1470660438930398E-94</v>
      </c>
      <c r="FH96" s="566">
        <v>-7.3256133917458602E-90</v>
      </c>
    </row>
    <row r="97" spans="1:164" ht="12.75" customHeight="1" x14ac:dyDescent="0.3">
      <c r="A97" s="422"/>
      <c r="B97" s="422"/>
      <c r="C97" s="422"/>
      <c r="D97" s="422"/>
      <c r="E97" s="422"/>
      <c r="F97" s="568"/>
      <c r="G97" s="569"/>
      <c r="H97" s="439"/>
      <c r="I97" s="574">
        <v>6365676.9034446897</v>
      </c>
      <c r="J97" s="566">
        <v>0.35152452019826103</v>
      </c>
      <c r="K97" s="566">
        <v>-2.10387016108085E-215</v>
      </c>
      <c r="L97" s="566">
        <v>-6.1974472601903E-102</v>
      </c>
      <c r="M97" s="566">
        <v>-3.1268897487796003E-215</v>
      </c>
      <c r="N97" s="566">
        <v>-3.3515950116243998E-215</v>
      </c>
      <c r="O97" s="566">
        <v>-6.31397930975284E-102</v>
      </c>
      <c r="P97" s="566">
        <v>-4.9813281886331598E-215</v>
      </c>
      <c r="Q97" s="566">
        <v>9.6341984212381604E-17</v>
      </c>
      <c r="R97" s="566">
        <v>-2.3905001450236498E-215</v>
      </c>
      <c r="S97" s="566">
        <v>-2.2769778275294499E-101</v>
      </c>
      <c r="T97" s="566">
        <v>5.7807120735254698E-109</v>
      </c>
      <c r="U97" s="566">
        <v>5.4943100970108098E-18</v>
      </c>
      <c r="V97" s="566">
        <v>-2.48356767076977E-218</v>
      </c>
      <c r="W97" s="566">
        <v>4.5947760995098602E-92</v>
      </c>
      <c r="X97" s="566">
        <v>8.1744758013073808E-93</v>
      </c>
      <c r="Y97" s="566">
        <v>0.30131128557808101</v>
      </c>
      <c r="Z97" s="566">
        <v>-1.78638568318478E-215</v>
      </c>
      <c r="AA97" s="566">
        <v>5.97938576468813E-34</v>
      </c>
      <c r="AB97" s="566">
        <v>-1.8375023908951601E-30</v>
      </c>
      <c r="AC97" s="566">
        <v>4.5485323426963398E-19</v>
      </c>
      <c r="AD97" s="566">
        <v>-2.6671233660776102E-215</v>
      </c>
      <c r="AE97" s="566">
        <v>1.7280820784099402E-89</v>
      </c>
      <c r="AF97" s="566">
        <v>1.3724031522781E-89</v>
      </c>
      <c r="AG97" s="566">
        <v>5.2569299189099401E-18</v>
      </c>
      <c r="AH97" s="566">
        <v>-2.7709605349477299E-218</v>
      </c>
      <c r="AI97" s="566">
        <v>2.3210647986651499E-89</v>
      </c>
      <c r="AJ97" s="566">
        <v>9.0641194565630106E-90</v>
      </c>
      <c r="AK97" s="566">
        <v>0.30025119774367798</v>
      </c>
      <c r="AL97" s="566">
        <v>-1.7978251512443901E-215</v>
      </c>
      <c r="AM97" s="566">
        <v>5.98390630349551E-34</v>
      </c>
      <c r="AN97" s="566">
        <v>-1.8362899925467099E-30</v>
      </c>
      <c r="AO97" s="566">
        <v>2.4122284852245399E-16</v>
      </c>
      <c r="AP97" s="566">
        <v>-2.6411530135811999E-215</v>
      </c>
      <c r="AQ97" s="566">
        <v>-9.0739324359093506E-95</v>
      </c>
      <c r="AR97" s="566">
        <v>4.8766899951057202E-90</v>
      </c>
      <c r="AS97" s="566">
        <v>6.8322615127120403E-18</v>
      </c>
      <c r="AT97" s="566">
        <v>-2.63286052667859E-217</v>
      </c>
      <c r="AU97" s="566">
        <v>3.2294133235683701E-91</v>
      </c>
      <c r="AV97" s="566">
        <v>4.6520516341750903E-90</v>
      </c>
      <c r="AW97" s="566">
        <v>2.4122284852245498E-16</v>
      </c>
      <c r="AX97" s="566">
        <v>-2.64115301806426E-215</v>
      </c>
      <c r="AY97" s="566">
        <v>-9.0739324512772604E-95</v>
      </c>
      <c r="AZ97" s="566">
        <v>4.8766899968238996E-90</v>
      </c>
      <c r="BA97" s="566">
        <v>0.36390848752983801</v>
      </c>
      <c r="BB97" s="566">
        <v>-7.9138116058675298E-215</v>
      </c>
      <c r="BC97" s="566">
        <v>-3.0400638725373199E-101</v>
      </c>
      <c r="BD97" s="566">
        <v>-6.6970725849855802E-215</v>
      </c>
      <c r="BE97" s="566">
        <v>-1.26071898014569E-214</v>
      </c>
      <c r="BF97" s="566">
        <v>-3.0972269067057699E-101</v>
      </c>
      <c r="BG97" s="566">
        <v>-1.0668849214938E-214</v>
      </c>
      <c r="BH97" s="566">
        <v>1.44277262484184E-15</v>
      </c>
      <c r="BI97" s="566">
        <v>-8.8135926652955098E-215</v>
      </c>
      <c r="BJ97" s="566">
        <v>-1.7200773672592599E-100</v>
      </c>
      <c r="BK97" s="566">
        <v>-9.1520826312592104E-110</v>
      </c>
      <c r="BL97" s="566">
        <v>3.11718880657096E-15</v>
      </c>
      <c r="BM97" s="566">
        <v>-8.8135415047235897E-215</v>
      </c>
      <c r="BN97" s="566">
        <v>7.6340374332139305E-91</v>
      </c>
      <c r="BO97" s="566">
        <v>6.4259950022907698E-92</v>
      </c>
      <c r="BP97" s="566">
        <v>0.36413896436196103</v>
      </c>
      <c r="BQ97" s="566">
        <v>-8.8482932665362098E-215</v>
      </c>
      <c r="BR97" s="566">
        <v>1.04897334034632E-29</v>
      </c>
      <c r="BS97" s="566">
        <v>-7.2769424697279699E-26</v>
      </c>
      <c r="BT97" s="566">
        <v>1.42758636506162E-15</v>
      </c>
      <c r="BU97" s="566">
        <v>-8.9164088797190701E-215</v>
      </c>
      <c r="BV97" s="566">
        <v>3.3533150835329399E-89</v>
      </c>
      <c r="BW97" s="566">
        <v>1.44015006004866E-89</v>
      </c>
      <c r="BX97" s="566">
        <v>3.1043197554215499E-15</v>
      </c>
      <c r="BY97" s="566">
        <v>-8.9163557791804996E-215</v>
      </c>
      <c r="BZ97" s="566">
        <v>2.8061307144557801E-88</v>
      </c>
      <c r="CA97" s="566">
        <v>1.1428699616560701E-89</v>
      </c>
      <c r="CB97" s="566">
        <v>0.36413891571634799</v>
      </c>
      <c r="CC97" s="566">
        <v>-8.84984831705283E-215</v>
      </c>
      <c r="CD97" s="566">
        <v>1.6706083631847299E-27</v>
      </c>
      <c r="CE97" s="566">
        <v>6.4350600779133399E-25</v>
      </c>
      <c r="CF97" s="566">
        <v>3.66950908714928E-15</v>
      </c>
      <c r="CG97" s="566">
        <v>-9.9348273790884306E-215</v>
      </c>
      <c r="CH97" s="566">
        <v>-2.0445208425450701E-94</v>
      </c>
      <c r="CI97" s="566">
        <v>4.9955479342219103E-90</v>
      </c>
      <c r="CJ97" s="566">
        <v>3.4212026247134999E-15</v>
      </c>
      <c r="CK97" s="566">
        <v>-9.934827505888941E-215</v>
      </c>
      <c r="CL97" s="566">
        <v>8.9264328858896697E-91</v>
      </c>
      <c r="CM97" s="566">
        <v>4.9918698491746104E-90</v>
      </c>
      <c r="CN97" s="566">
        <v>3.66950908714928E-15</v>
      </c>
      <c r="CO97" s="566">
        <v>-9.9348276821604605E-215</v>
      </c>
      <c r="CP97" s="566">
        <v>-2.0445208408333801E-94</v>
      </c>
      <c r="CQ97" s="566">
        <v>4.9955479358096801E-90</v>
      </c>
      <c r="CR97" s="566">
        <v>0.364188758467619</v>
      </c>
      <c r="CS97" s="566">
        <v>-2.9511994853822898E-214</v>
      </c>
      <c r="CT97" s="566">
        <v>-2.7487965026541599E-100</v>
      </c>
      <c r="CU97" s="566">
        <v>-2.3101646543210998E-214</v>
      </c>
      <c r="CV97" s="566">
        <v>-4.7014427598039496E-214</v>
      </c>
      <c r="CW97" s="566">
        <v>-2.8004827634318802E-100</v>
      </c>
      <c r="CX97" s="566">
        <v>-3.6795383535893698E-214</v>
      </c>
      <c r="CY97" s="566">
        <v>0.36418863227819998</v>
      </c>
      <c r="CZ97" s="566">
        <v>-3.7966408250278497E-214</v>
      </c>
      <c r="DA97" s="566">
        <v>3.5505509128516301E-27</v>
      </c>
      <c r="DB97" s="566">
        <v>-5.9434369657775702E-22</v>
      </c>
      <c r="DC97" s="566">
        <v>0.36418907943712098</v>
      </c>
      <c r="DD97" s="566">
        <v>-3.7972388974332398E-214</v>
      </c>
      <c r="DE97" s="566">
        <v>5.52349004678664E-24</v>
      </c>
      <c r="DF97" s="566">
        <v>-9.1256803294303698E-19</v>
      </c>
      <c r="DG97" s="566">
        <v>0.36418914097098998</v>
      </c>
      <c r="DH97" s="566">
        <v>-3.7979062557482903E-214</v>
      </c>
      <c r="DI97" s="566">
        <v>5.5239914320388999E-24</v>
      </c>
      <c r="DJ97" s="566">
        <v>-9.1255897272669309E-19</v>
      </c>
      <c r="DK97" s="566">
        <v>1.5105298479615199E-13</v>
      </c>
      <c r="DL97" s="566">
        <v>-3.97593494751266E-214</v>
      </c>
      <c r="DM97" s="566">
        <v>-6.1091093158177101E-94</v>
      </c>
      <c r="DN97" s="566">
        <v>5.1354840729119802E-90</v>
      </c>
      <c r="DO97" s="566">
        <v>0.36418875877309997</v>
      </c>
      <c r="DP97" s="566">
        <v>-1.4481632329988801E-213</v>
      </c>
      <c r="DQ97" s="566">
        <v>-1.21666892677569E-99</v>
      </c>
      <c r="DR97" s="566">
        <v>-2.4636782877357198E-212</v>
      </c>
      <c r="DS97" s="566">
        <v>-1.25835875065886E-212</v>
      </c>
      <c r="DT97" s="566">
        <v>-1.2829693889431E-99</v>
      </c>
      <c r="DU97" s="566">
        <v>2.69006952216942E-211</v>
      </c>
      <c r="DV97" s="566">
        <v>0.36418964586963698</v>
      </c>
      <c r="DW97" s="566">
        <v>-5.57098151722018E-213</v>
      </c>
      <c r="DX97" s="566">
        <v>1.5979146506523901E-23</v>
      </c>
      <c r="DY97" s="566">
        <v>-2.13856507232468E-17</v>
      </c>
      <c r="DZ97" s="566">
        <v>0.364189896660915</v>
      </c>
      <c r="EA97" s="566">
        <v>-5.5718123440262202E-213</v>
      </c>
      <c r="EB97" s="566">
        <v>2.10387465350618E-20</v>
      </c>
      <c r="EC97" s="566">
        <v>-2.7817112593751901E-14</v>
      </c>
      <c r="ED97" s="566">
        <v>0.36418995825227601</v>
      </c>
      <c r="EE97" s="566">
        <v>-5.5727368073405703E-213</v>
      </c>
      <c r="EF97" s="566">
        <v>1.97545685984517E-13</v>
      </c>
      <c r="EG97" s="566">
        <v>-3.2650429650229599E-8</v>
      </c>
      <c r="EH97" s="566">
        <v>4.3726625435128798E-14</v>
      </c>
      <c r="EI97" s="566">
        <v>-7.4827618436637296E-213</v>
      </c>
      <c r="EJ97" s="566">
        <v>1.90499310598048E-89</v>
      </c>
      <c r="EK97" s="566">
        <v>5.3665861138958699E-90</v>
      </c>
      <c r="EL97" s="566">
        <v>0.364190217017823</v>
      </c>
      <c r="EM97" s="566">
        <v>-1.0264099983667099E-213</v>
      </c>
      <c r="EN97" s="566">
        <v>-7.2128641916692204E-100</v>
      </c>
      <c r="EO97" s="566">
        <v>-6.8975870800432201E-214</v>
      </c>
      <c r="EP97" s="566">
        <v>-1.28374639358091E-213</v>
      </c>
      <c r="EQ97" s="566">
        <v>-7.2852648047896204E-100</v>
      </c>
      <c r="ER97" s="566">
        <v>-8.6267444758368795E-214</v>
      </c>
      <c r="ES97" s="566">
        <v>0.36419412366729198</v>
      </c>
      <c r="ET97" s="566">
        <v>-1.16875882254956E-213</v>
      </c>
      <c r="EU97" s="566">
        <v>-4.0672159331650002E-32</v>
      </c>
      <c r="EV97" s="566">
        <v>-5.4164329640253805E-23</v>
      </c>
      <c r="EW97" s="566">
        <v>0.36419414098608999</v>
      </c>
      <c r="EX97" s="566">
        <v>-1.16893467496125E-213</v>
      </c>
      <c r="EY97" s="566">
        <v>-7.3894926527620599E-29</v>
      </c>
      <c r="EZ97" s="566">
        <v>-9.1020584024078297E-20</v>
      </c>
      <c r="FA97" s="566">
        <v>0.36419420259178897</v>
      </c>
      <c r="FB97" s="566">
        <v>-1.16913142462151E-213</v>
      </c>
      <c r="FC97" s="566">
        <v>-7.3893679732506099E-29</v>
      </c>
      <c r="FD97" s="566">
        <v>-9.1018643493104105E-20</v>
      </c>
      <c r="FE97" s="566">
        <v>9.8165090517184201E-12</v>
      </c>
      <c r="FF97" s="566">
        <v>-1.18281786328539E-213</v>
      </c>
      <c r="FG97" s="566">
        <v>-2.9728448844823298E-94</v>
      </c>
      <c r="FH97" s="566">
        <v>5.2513987032146003E-90</v>
      </c>
    </row>
    <row r="98" spans="1:164" ht="12.75" customHeight="1" x14ac:dyDescent="0.3">
      <c r="A98" s="422"/>
      <c r="B98" s="422"/>
      <c r="C98" s="422"/>
      <c r="D98" s="422"/>
      <c r="E98" s="422"/>
      <c r="F98" s="568"/>
      <c r="G98" s="569"/>
      <c r="H98" s="439"/>
      <c r="I98" s="574">
        <v>6449435.8100689603</v>
      </c>
      <c r="J98" s="566">
        <v>0.34449749841598498</v>
      </c>
      <c r="K98" s="566">
        <v>8.2256617387708703E-216</v>
      </c>
      <c r="L98" s="566">
        <v>2.4230442716777898E-102</v>
      </c>
      <c r="M98" s="566">
        <v>1.2225439498926899E-215</v>
      </c>
      <c r="N98" s="566">
        <v>1.3103986814856999E-215</v>
      </c>
      <c r="O98" s="566">
        <v>2.46860533953434E-102</v>
      </c>
      <c r="P98" s="566">
        <v>1.9475879000275599E-215</v>
      </c>
      <c r="Q98" s="566">
        <v>9.4416095169915501E-17</v>
      </c>
      <c r="R98" s="566">
        <v>9.3463208629497503E-216</v>
      </c>
      <c r="S98" s="566">
        <v>8.9024042482335405E-102</v>
      </c>
      <c r="T98" s="566">
        <v>-2.2601148843213698E-109</v>
      </c>
      <c r="U98" s="566">
        <v>5.3844516439723798E-18</v>
      </c>
      <c r="V98" s="566">
        <v>9.7101940713887004E-219</v>
      </c>
      <c r="W98" s="566">
        <v>-1.7964364191757399E-92</v>
      </c>
      <c r="X98" s="566">
        <v>-3.1960025227077399E-93</v>
      </c>
      <c r="Y98" s="566">
        <v>0.29528803301571099</v>
      </c>
      <c r="Z98" s="566">
        <v>6.9843684447293294E-216</v>
      </c>
      <c r="AA98" s="566">
        <v>-2.3377111738916001E-34</v>
      </c>
      <c r="AB98" s="566">
        <v>7.1839319244677502E-31</v>
      </c>
      <c r="AC98" s="566">
        <v>4.4576065921295296E-19</v>
      </c>
      <c r="AD98" s="566">
        <v>1.04278557825334E-215</v>
      </c>
      <c r="AE98" s="566">
        <v>-6.7563413183307996E-90</v>
      </c>
      <c r="AF98" s="566">
        <v>-5.3657313150748802E-90</v>
      </c>
      <c r="AG98" s="566">
        <v>5.1518163697032097E-18</v>
      </c>
      <c r="AH98" s="566">
        <v>1.08338358866471E-218</v>
      </c>
      <c r="AI98" s="566">
        <v>-9.0747458523095906E-90</v>
      </c>
      <c r="AJ98" s="566">
        <v>-3.5438296103565601E-90</v>
      </c>
      <c r="AK98" s="566">
        <v>0.29424913647772</v>
      </c>
      <c r="AL98" s="566">
        <v>7.0290942060763596E-216</v>
      </c>
      <c r="AM98" s="566">
        <v>-2.33945222885374E-34</v>
      </c>
      <c r="AN98" s="566">
        <v>7.1791108690241602E-31</v>
      </c>
      <c r="AO98" s="566">
        <v>2.3640077178655002E-16</v>
      </c>
      <c r="AP98" s="566">
        <v>1.03263175132884E-215</v>
      </c>
      <c r="AQ98" s="566">
        <v>3.5476710986051901E-95</v>
      </c>
      <c r="AR98" s="566">
        <v>-1.9066560239559701E-90</v>
      </c>
      <c r="AS98" s="566">
        <v>6.69563082226868E-18</v>
      </c>
      <c r="AT98" s="566">
        <v>1.0293895744352499E-217</v>
      </c>
      <c r="AU98" s="566">
        <v>-1.2626155402221099E-91</v>
      </c>
      <c r="AV98" s="566">
        <v>-1.81882840195529E-90</v>
      </c>
      <c r="AW98" s="566">
        <v>2.3640077178654899E-16</v>
      </c>
      <c r="AX98" s="566">
        <v>1.03263175308165E-215</v>
      </c>
      <c r="AY98" s="566">
        <v>3.5476711046135201E-95</v>
      </c>
      <c r="AZ98" s="566">
        <v>-1.9066560246277699E-90</v>
      </c>
      <c r="BA98" s="566">
        <v>0.35663390859809002</v>
      </c>
      <c r="BB98" s="566">
        <v>3.0941233227425201E-215</v>
      </c>
      <c r="BC98" s="566">
        <v>1.18858766240795E-101</v>
      </c>
      <c r="BD98" s="566">
        <v>2.61840558144451E-215</v>
      </c>
      <c r="BE98" s="566">
        <v>4.9291292163194896E-215</v>
      </c>
      <c r="BF98" s="566">
        <v>1.2109369550567799E-101</v>
      </c>
      <c r="BG98" s="566">
        <v>4.1712814035511702E-215</v>
      </c>
      <c r="BH98" s="566">
        <v>1.4139314086103799E-15</v>
      </c>
      <c r="BI98" s="566">
        <v>3.4459175907882999E-215</v>
      </c>
      <c r="BJ98" s="566">
        <v>6.7250650737317498E-101</v>
      </c>
      <c r="BK98" s="566">
        <v>3.5782367479759002E-110</v>
      </c>
      <c r="BL98" s="566">
        <v>3.0548757587195502E-15</v>
      </c>
      <c r="BM98" s="566">
        <v>3.44589758814904E-215</v>
      </c>
      <c r="BN98" s="566">
        <v>-2.9847072544135099E-91</v>
      </c>
      <c r="BO98" s="566">
        <v>-2.5123935597688299E-92</v>
      </c>
      <c r="BP98" s="566">
        <v>0.35685977816771602</v>
      </c>
      <c r="BQ98" s="566">
        <v>3.45948474969465E-215</v>
      </c>
      <c r="BR98" s="566">
        <v>-4.1010998883793802E-30</v>
      </c>
      <c r="BS98" s="566">
        <v>2.8450168142011001E-26</v>
      </c>
      <c r="BT98" s="566">
        <v>1.39904872353693E-15</v>
      </c>
      <c r="BU98" s="566">
        <v>3.4861164308477101E-215</v>
      </c>
      <c r="BV98" s="566">
        <v>-1.3110570111195901E-89</v>
      </c>
      <c r="BW98" s="566">
        <v>-5.6306037048621203E-90</v>
      </c>
      <c r="BX98" s="566">
        <v>3.0422639606973498E-15</v>
      </c>
      <c r="BY98" s="566">
        <v>3.4860956697248299E-215</v>
      </c>
      <c r="BZ98" s="566">
        <v>-1.09712275607614E-88</v>
      </c>
      <c r="CA98" s="566">
        <v>-4.4683185790229496E-90</v>
      </c>
      <c r="CB98" s="566">
        <v>0.35685973049453301</v>
      </c>
      <c r="CC98" s="566">
        <v>3.4600927396635102E-215</v>
      </c>
      <c r="CD98" s="566">
        <v>-6.5316333391643204E-28</v>
      </c>
      <c r="CE98" s="566">
        <v>-2.5159481443422601E-25</v>
      </c>
      <c r="CF98" s="566">
        <v>3.5961551138017397E-15</v>
      </c>
      <c r="CG98" s="566">
        <v>3.8842952842430098E-215</v>
      </c>
      <c r="CH98" s="566">
        <v>7.9935436535572598E-95</v>
      </c>
      <c r="CI98" s="566">
        <v>-1.9531263154525499E-90</v>
      </c>
      <c r="CJ98" s="566">
        <v>3.3528122775362301E-15</v>
      </c>
      <c r="CK98" s="566">
        <v>3.8842953338190602E-215</v>
      </c>
      <c r="CL98" s="566">
        <v>-3.4900001180462301E-91</v>
      </c>
      <c r="CM98" s="566">
        <v>-1.9516882817559299E-90</v>
      </c>
      <c r="CN98" s="566">
        <v>3.5961551138017397E-15</v>
      </c>
      <c r="CO98" s="566">
        <v>3.8842954027374002E-215</v>
      </c>
      <c r="CP98" s="566">
        <v>7.9935436468648606E-95</v>
      </c>
      <c r="CQ98" s="566">
        <v>-1.95312631607337E-90</v>
      </c>
      <c r="CR98" s="566">
        <v>0.35690857688265798</v>
      </c>
      <c r="CS98" s="566">
        <v>1.15385298672223E-214</v>
      </c>
      <c r="CT98" s="566">
        <v>1.07470952799355E-100</v>
      </c>
      <c r="CU98" s="566">
        <v>9.0322270625058E-215</v>
      </c>
      <c r="CV98" s="566">
        <v>1.8381589577978299E-214</v>
      </c>
      <c r="CW98" s="566">
        <v>1.09491754152617E-100</v>
      </c>
      <c r="CX98" s="566">
        <v>1.43861719261442E-214</v>
      </c>
      <c r="CY98" s="566">
        <v>0.35690845321571901</v>
      </c>
      <c r="CZ98" s="566">
        <v>1.48440163979714E-214</v>
      </c>
      <c r="DA98" s="566">
        <v>-1.3881440928200001E-27</v>
      </c>
      <c r="DB98" s="566">
        <v>2.32368080204971E-22</v>
      </c>
      <c r="DC98" s="566">
        <v>0.35690889143587301</v>
      </c>
      <c r="DD98" s="566">
        <v>1.48463547273E-214</v>
      </c>
      <c r="DE98" s="566">
        <v>-2.15950841768279E-24</v>
      </c>
      <c r="DF98" s="566">
        <v>3.5678499105388001E-19</v>
      </c>
      <c r="DG98" s="566">
        <v>0.35690895173967502</v>
      </c>
      <c r="DH98" s="566">
        <v>1.4848963949037701E-214</v>
      </c>
      <c r="DI98" s="566">
        <v>-2.15968031028775E-24</v>
      </c>
      <c r="DJ98" s="566">
        <v>3.56777461146066E-19</v>
      </c>
      <c r="DK98" s="566">
        <v>1.4803341559557499E-13</v>
      </c>
      <c r="DL98" s="566">
        <v>1.55450163126019E-214</v>
      </c>
      <c r="DM98" s="566">
        <v>2.38850252753737E-94</v>
      </c>
      <c r="DN98" s="566">
        <v>-2.0078376221114702E-90</v>
      </c>
      <c r="DO98" s="566">
        <v>0.35690857718203201</v>
      </c>
      <c r="DP98" s="566">
        <v>5.6619943176788898E-214</v>
      </c>
      <c r="DQ98" s="566">
        <v>4.7568660930592204E-100</v>
      </c>
      <c r="DR98" s="566">
        <v>9.6324309975432206E-213</v>
      </c>
      <c r="DS98" s="566">
        <v>4.91990093037169E-213</v>
      </c>
      <c r="DT98" s="566">
        <v>5.0160840392872299E-100</v>
      </c>
      <c r="DU98" s="566">
        <v>-1.05175703352796E-211</v>
      </c>
      <c r="DV98" s="566">
        <v>0.35690944654532297</v>
      </c>
      <c r="DW98" s="566">
        <v>2.1781290450021801E-213</v>
      </c>
      <c r="DX98" s="566">
        <v>-6.24734237986496E-24</v>
      </c>
      <c r="DY98" s="566">
        <v>8.3611151228236705E-18</v>
      </c>
      <c r="DZ98" s="566">
        <v>0.35690969232324898</v>
      </c>
      <c r="EA98" s="566">
        <v>2.1784538796803399E-213</v>
      </c>
      <c r="EB98" s="566">
        <v>-8.2255347783657304E-21</v>
      </c>
      <c r="EC98" s="566">
        <v>1.0875677722885199E-14</v>
      </c>
      <c r="ED98" s="566">
        <v>0.35690975268338399</v>
      </c>
      <c r="EE98" s="566">
        <v>2.1788153241365601E-213</v>
      </c>
      <c r="EF98" s="566">
        <v>-7.7235112916742595E-14</v>
      </c>
      <c r="EG98" s="566">
        <v>1.27654502208248E-8</v>
      </c>
      <c r="EH98" s="566">
        <v>4.2852518109296902E-14</v>
      </c>
      <c r="EI98" s="566">
        <v>2.9255923358266599E-213</v>
      </c>
      <c r="EJ98" s="566">
        <v>-7.4480201897200402E-90</v>
      </c>
      <c r="EK98" s="566">
        <v>-2.0981923707283501E-90</v>
      </c>
      <c r="EL98" s="566">
        <v>0.35691000627624703</v>
      </c>
      <c r="EM98" s="566">
        <v>4.0130335075051198E-214</v>
      </c>
      <c r="EN98" s="566">
        <v>2.8200464688548198E-100</v>
      </c>
      <c r="EO98" s="566">
        <v>2.6968022638439701E-214</v>
      </c>
      <c r="EP98" s="566">
        <v>5.01916125210868E-214</v>
      </c>
      <c r="EQ98" s="566">
        <v>2.8483532673676498E-100</v>
      </c>
      <c r="ER98" s="566">
        <v>3.3728641280003699E-214</v>
      </c>
      <c r="ES98" s="566">
        <v>0.35691383483126998</v>
      </c>
      <c r="ET98" s="566">
        <v>4.5695855696524701E-214</v>
      </c>
      <c r="EU98" s="566">
        <v>1.59531416011813E-32</v>
      </c>
      <c r="EV98" s="566">
        <v>2.1176448500568399E-23</v>
      </c>
      <c r="EW98" s="566">
        <v>0.35691385180386298</v>
      </c>
      <c r="EX98" s="566">
        <v>4.5702731132479303E-214</v>
      </c>
      <c r="EY98" s="566">
        <v>2.89845238949071E-29</v>
      </c>
      <c r="EZ98" s="566">
        <v>3.5586227689013502E-20</v>
      </c>
      <c r="FA98" s="566">
        <v>0.35691391217806101</v>
      </c>
      <c r="FB98" s="566">
        <v>4.5710423604108798E-214</v>
      </c>
      <c r="FC98" s="566">
        <v>2.89837143166677E-29</v>
      </c>
      <c r="FD98" s="566">
        <v>3.5585071265135803E-20</v>
      </c>
      <c r="FE98" s="566">
        <v>9.6202757337883302E-12</v>
      </c>
      <c r="FF98" s="566">
        <v>4.6245532742208298E-214</v>
      </c>
      <c r="FG98" s="566">
        <v>1.16230597519032E-94</v>
      </c>
      <c r="FH98" s="566">
        <v>-2.05315715818051E-90</v>
      </c>
    </row>
    <row r="99" spans="1:164" ht="12.75" customHeight="1" x14ac:dyDescent="0.3">
      <c r="A99" s="422"/>
      <c r="B99" s="422"/>
      <c r="C99" s="422"/>
      <c r="D99" s="422"/>
      <c r="E99" s="422"/>
      <c r="F99" s="568"/>
      <c r="G99" s="569"/>
      <c r="H99" s="439"/>
      <c r="I99" s="574">
        <v>6533194.71669323</v>
      </c>
      <c r="J99" s="566">
        <v>0.337610947641173</v>
      </c>
      <c r="K99" s="566">
        <v>-1.90349927588637E-216</v>
      </c>
      <c r="L99" s="566">
        <v>-5.6070089557164204E-103</v>
      </c>
      <c r="M99" s="566">
        <v>-2.8290873090383202E-216</v>
      </c>
      <c r="N99" s="566">
        <v>-3.03239182517506E-216</v>
      </c>
      <c r="O99" s="566">
        <v>-5.7124388558171902E-103</v>
      </c>
      <c r="P99" s="566">
        <v>-4.5069105382168002E-216</v>
      </c>
      <c r="Q99" s="566">
        <v>9.2528704880184005E-17</v>
      </c>
      <c r="R99" s="566">
        <v>-2.1628308529843E-216</v>
      </c>
      <c r="S99" s="566">
        <v>-2.06004739288896E-102</v>
      </c>
      <c r="T99" s="566">
        <v>5.2300129396561001E-110</v>
      </c>
      <c r="U99" s="566">
        <v>5.2768248165121903E-18</v>
      </c>
      <c r="V99" s="566">
        <v>-2.24703470317554E-219</v>
      </c>
      <c r="W99" s="566">
        <v>4.1569824531371996E-93</v>
      </c>
      <c r="X99" s="566">
        <v>7.3955829090451104E-94</v>
      </c>
      <c r="Y99" s="566">
        <v>0.28938518599388502</v>
      </c>
      <c r="Z99" s="566">
        <v>-1.6162517617762999E-216</v>
      </c>
      <c r="AA99" s="566">
        <v>5.4089227550784905E-35</v>
      </c>
      <c r="AB99" s="566">
        <v>-1.6621958387645101E-31</v>
      </c>
      <c r="AC99" s="566">
        <v>4.3684984390709304E-19</v>
      </c>
      <c r="AD99" s="566">
        <v>-2.4131087031627601E-216</v>
      </c>
      <c r="AE99" s="566">
        <v>1.56342455078475E-90</v>
      </c>
      <c r="AF99" s="566">
        <v>1.2416359203379299E-90</v>
      </c>
      <c r="AG99" s="566">
        <v>5.0488400748678097E-18</v>
      </c>
      <c r="AH99" s="566">
        <v>-2.50705650441477E-219</v>
      </c>
      <c r="AI99" s="566">
        <v>2.0999056655770499E-90</v>
      </c>
      <c r="AJ99" s="566">
        <v>8.2004591305155896E-91</v>
      </c>
      <c r="AK99" s="566">
        <v>0.28836705713575</v>
      </c>
      <c r="AL99" s="566">
        <v>-1.6266017441898299E-216</v>
      </c>
      <c r="AM99" s="566">
        <v>5.4127373375264895E-35</v>
      </c>
      <c r="AN99" s="566">
        <v>-1.6610144796084601E-31</v>
      </c>
      <c r="AO99" s="566">
        <v>2.3167508894241002E-16</v>
      </c>
      <c r="AP99" s="566">
        <v>-2.3896117459421799E-216</v>
      </c>
      <c r="AQ99" s="566">
        <v>-8.2093880541451697E-96</v>
      </c>
      <c r="AR99" s="566">
        <v>4.4120217714858797E-91</v>
      </c>
      <c r="AS99" s="566">
        <v>6.5618024066170099E-18</v>
      </c>
      <c r="AT99" s="566">
        <v>-2.3821090287565201E-218</v>
      </c>
      <c r="AU99" s="566">
        <v>2.92171244687669E-92</v>
      </c>
      <c r="AV99" s="566">
        <v>4.2087877428667399E-91</v>
      </c>
      <c r="AW99" s="566">
        <v>2.3167508894241002E-16</v>
      </c>
      <c r="AX99" s="566">
        <v>-2.3896117499982499E-216</v>
      </c>
      <c r="AY99" s="566">
        <v>-8.2093880680479608E-96</v>
      </c>
      <c r="AZ99" s="566">
        <v>4.4120217730406899E-91</v>
      </c>
      <c r="BA99" s="566">
        <v>0.34950474937088799</v>
      </c>
      <c r="BB99" s="566">
        <v>-7.16010661681043E-216</v>
      </c>
      <c r="BC99" s="566">
        <v>-2.7504333064294498E-102</v>
      </c>
      <c r="BD99" s="566">
        <v>-6.05924883193591E-216</v>
      </c>
      <c r="BE99" s="566">
        <v>-1.14064912854212E-215</v>
      </c>
      <c r="BF99" s="566">
        <v>-2.8021503491184902E-102</v>
      </c>
      <c r="BG99" s="566">
        <v>-9.6527566818725394E-216</v>
      </c>
      <c r="BH99" s="566">
        <v>1.3856667318851899E-15</v>
      </c>
      <c r="BI99" s="566">
        <v>-7.9741932590201305E-216</v>
      </c>
      <c r="BJ99" s="566">
        <v>-1.5562035137756101E-101</v>
      </c>
      <c r="BK99" s="566">
        <v>-8.2802068484885299E-111</v>
      </c>
      <c r="BL99" s="566">
        <v>2.9938083966759199E-15</v>
      </c>
      <c r="BM99" s="566">
        <v>-7.9741469709394696E-216</v>
      </c>
      <c r="BN99" s="566">
        <v>6.9066577422934205E-92</v>
      </c>
      <c r="BO99" s="566">
        <v>5.8137087972824199E-93</v>
      </c>
      <c r="BP99" s="566">
        <v>0.34972610377781799</v>
      </c>
      <c r="BQ99" s="566">
        <v>-8.0055890031842694E-216</v>
      </c>
      <c r="BR99" s="566">
        <v>9.4891203548761698E-31</v>
      </c>
      <c r="BS99" s="566">
        <v>-6.58279670535162E-27</v>
      </c>
      <c r="BT99" s="566">
        <v>1.3710815538840299E-15</v>
      </c>
      <c r="BU99" s="566">
        <v>-8.06721734069769E-216</v>
      </c>
      <c r="BV99" s="566">
        <v>3.03379983393627E-90</v>
      </c>
      <c r="BW99" s="566">
        <v>1.3029276713284799E-90</v>
      </c>
      <c r="BX99" s="566">
        <v>2.9814487104850301E-15</v>
      </c>
      <c r="BY99" s="566">
        <v>-8.0671692974116105E-216</v>
      </c>
      <c r="BZ99" s="566">
        <v>2.5387559777572699E-89</v>
      </c>
      <c r="CA99" s="566">
        <v>1.0339744681258599E-90</v>
      </c>
      <c r="CB99" s="566">
        <v>0.34972605705762899</v>
      </c>
      <c r="CC99" s="566">
        <v>-8.0069959519539195E-216</v>
      </c>
      <c r="CD99" s="566">
        <v>1.5114260420396801E-28</v>
      </c>
      <c r="CE99" s="566">
        <v>5.8220184972330896E-26</v>
      </c>
      <c r="CF99" s="566">
        <v>3.5242674951711998E-15</v>
      </c>
      <c r="CG99" s="566">
        <v>-8.9886424894342905E-216</v>
      </c>
      <c r="CH99" s="566">
        <v>-1.8497233806539301E-95</v>
      </c>
      <c r="CI99" s="566">
        <v>4.5195545069313298E-91</v>
      </c>
      <c r="CJ99" s="566">
        <v>3.28578913269984E-15</v>
      </c>
      <c r="CK99" s="566">
        <v>-8.9886426041584196E-216</v>
      </c>
      <c r="CL99" s="566">
        <v>8.0759157951616504E-92</v>
      </c>
      <c r="CM99" s="566">
        <v>4.5162268795232802E-91</v>
      </c>
      <c r="CN99" s="566">
        <v>3.5242674951711998E-15</v>
      </c>
      <c r="CO99" s="566">
        <v>-8.9886427636413894E-216</v>
      </c>
      <c r="CP99" s="566">
        <v>-1.8497233791053201E-95</v>
      </c>
      <c r="CQ99" s="566">
        <v>4.5195545083681799E-91</v>
      </c>
      <c r="CR99" s="566">
        <v>0.34977392699994397</v>
      </c>
      <c r="CS99" s="566">
        <v>-2.6701296436153702E-215</v>
      </c>
      <c r="CT99" s="566">
        <v>-2.4869153315475999E-101</v>
      </c>
      <c r="CU99" s="566">
        <v>-2.0901464479692499E-215</v>
      </c>
      <c r="CV99" s="566">
        <v>-4.2536811702816599E-215</v>
      </c>
      <c r="CW99" s="566">
        <v>-2.53367737967793E-101</v>
      </c>
      <c r="CX99" s="566">
        <v>-3.3291021077138399E-215</v>
      </c>
      <c r="CY99" s="566">
        <v>0.349773805805144</v>
      </c>
      <c r="CZ99" s="566">
        <v>-3.4350518368139501E-215</v>
      </c>
      <c r="DA99" s="566">
        <v>3.21196181940215E-28</v>
      </c>
      <c r="DB99" s="566">
        <v>-5.37665671939692E-23</v>
      </c>
      <c r="DC99" s="566">
        <v>0.34977423526522</v>
      </c>
      <c r="DD99" s="566">
        <v>-3.4355929492883901E-215</v>
      </c>
      <c r="DE99" s="566">
        <v>4.9968876155047996E-25</v>
      </c>
      <c r="DF99" s="566">
        <v>-8.25564967718356E-20</v>
      </c>
      <c r="DG99" s="566">
        <v>0.34977429436353902</v>
      </c>
      <c r="DH99" s="566">
        <v>-3.4361967489392E-215</v>
      </c>
      <c r="DI99" s="566">
        <v>4.9970891818209502E-25</v>
      </c>
      <c r="DJ99" s="566">
        <v>-8.2551512888037402E-20</v>
      </c>
      <c r="DK99" s="566">
        <v>1.4507420794513999E-13</v>
      </c>
      <c r="DL99" s="566">
        <v>-3.5972701327122301E-215</v>
      </c>
      <c r="DM99" s="566">
        <v>-5.5270467784730198E-95</v>
      </c>
      <c r="DN99" s="566">
        <v>4.6461570367498101E-91</v>
      </c>
      <c r="DO99" s="566">
        <v>0.34977392729333301</v>
      </c>
      <c r="DP99" s="566">
        <v>-1.3102413430125201E-214</v>
      </c>
      <c r="DQ99" s="566">
        <v>-1.10075540495437E-100</v>
      </c>
      <c r="DR99" s="566">
        <v>-2.2290395322190399E-213</v>
      </c>
      <c r="DS99" s="566">
        <v>-1.13851335441623E-213</v>
      </c>
      <c r="DT99" s="566">
        <v>-1.16073934181299E-100</v>
      </c>
      <c r="DU99" s="566">
        <v>2.4338697107541398E-212</v>
      </c>
      <c r="DV99" s="566">
        <v>0.34977477927796002</v>
      </c>
      <c r="DW99" s="566">
        <v>-5.0404045373702502E-214</v>
      </c>
      <c r="DX99" s="566">
        <v>1.4455775871368001E-24</v>
      </c>
      <c r="DY99" s="566">
        <v>-1.9346852376618299E-18</v>
      </c>
      <c r="DZ99" s="566">
        <v>0.34977502014275302</v>
      </c>
      <c r="EA99" s="566">
        <v>-5.04115623670511E-214</v>
      </c>
      <c r="EB99" s="566">
        <v>1.9033524177059899E-21</v>
      </c>
      <c r="EC99" s="566">
        <v>-2.51658378761521E-15</v>
      </c>
      <c r="ED99" s="566">
        <v>0.34977507929628299</v>
      </c>
      <c r="EE99" s="566">
        <v>-5.04199265466098E-214</v>
      </c>
      <c r="EF99" s="566">
        <v>1.7872291103356601E-14</v>
      </c>
      <c r="EG99" s="566">
        <v>-2.9539393908333901E-9</v>
      </c>
      <c r="EH99" s="566">
        <v>4.1995892728363799E-14</v>
      </c>
      <c r="EI99" s="566">
        <v>-6.7701078902228397E-214</v>
      </c>
      <c r="EJ99" s="566">
        <v>1.7234828735606201E-90</v>
      </c>
      <c r="EK99" s="566">
        <v>4.8552388601334402E-91</v>
      </c>
      <c r="EL99" s="566">
        <v>0.349775327819766</v>
      </c>
      <c r="EM99" s="566">
        <v>-9.2865554386207597E-215</v>
      </c>
      <c r="EN99" s="566">
        <v>-6.5256858866450802E-101</v>
      </c>
      <c r="EO99" s="566">
        <v>-6.2406664884722803E-215</v>
      </c>
      <c r="EP99" s="566">
        <v>-1.16148342982726E-214</v>
      </c>
      <c r="EQ99" s="566">
        <v>-6.5911888056904998E-101</v>
      </c>
      <c r="ER99" s="566">
        <v>-7.8051403382346401E-215</v>
      </c>
      <c r="ES99" s="566">
        <v>0.349779079841466</v>
      </c>
      <c r="ET99" s="566">
        <v>-1.0574471816578001E-214</v>
      </c>
      <c r="EU99" s="566">
        <v>-3.7333638208695103E-33</v>
      </c>
      <c r="EV99" s="566">
        <v>-4.8999571919988603E-24</v>
      </c>
      <c r="EW99" s="566">
        <v>0.34977909647477501</v>
      </c>
      <c r="EX99" s="566">
        <v>-1.0576062860288999E-214</v>
      </c>
      <c r="EY99" s="566">
        <v>-6.7831144664272901E-30</v>
      </c>
      <c r="EZ99" s="566">
        <v>-8.2343662850981702E-21</v>
      </c>
      <c r="FA99" s="566">
        <v>0.34977915564208301</v>
      </c>
      <c r="FB99" s="566">
        <v>-1.0577842974114199E-214</v>
      </c>
      <c r="FC99" s="566">
        <v>-6.7826647380385596E-30</v>
      </c>
      <c r="FD99" s="566">
        <v>-8.23377538071274E-21</v>
      </c>
      <c r="FE99" s="566">
        <v>9.4279651433977997E-12</v>
      </c>
      <c r="FF99" s="566">
        <v>-1.0701672507740401E-214</v>
      </c>
      <c r="FG99" s="566">
        <v>-2.6896102784371699E-95</v>
      </c>
      <c r="FH99" s="566">
        <v>4.7510269122271701E-91</v>
      </c>
    </row>
    <row r="100" spans="1:164" ht="12.75" customHeight="1" x14ac:dyDescent="0.3">
      <c r="A100" s="422"/>
      <c r="B100" s="422"/>
      <c r="C100" s="422"/>
      <c r="D100" s="422"/>
      <c r="E100" s="422"/>
      <c r="F100" s="568"/>
      <c r="G100" s="569"/>
      <c r="H100" s="439"/>
      <c r="I100" s="574">
        <v>6616953.6233175099</v>
      </c>
      <c r="J100" s="566">
        <v>0.33086205989072298</v>
      </c>
      <c r="K100" s="566">
        <v>1.80226334440919E-217</v>
      </c>
      <c r="L100" s="566">
        <v>5.30774498410698E-104</v>
      </c>
      <c r="M100" s="566">
        <v>2.6786247937152798E-217</v>
      </c>
      <c r="N100" s="566">
        <v>2.87111673833003E-217</v>
      </c>
      <c r="O100" s="566">
        <v>5.4075477537878503E-104</v>
      </c>
      <c r="P100" s="566">
        <v>4.26721447307702E-217</v>
      </c>
      <c r="Q100" s="566">
        <v>9.0679043761982897E-17</v>
      </c>
      <c r="R100" s="566">
        <v>2.0478026001216601E-217</v>
      </c>
      <c r="S100" s="566">
        <v>1.95009608562511E-103</v>
      </c>
      <c r="T100" s="566">
        <v>-4.95106438794417E-111</v>
      </c>
      <c r="U100" s="566">
        <v>5.1713385732657001E-18</v>
      </c>
      <c r="V100" s="566">
        <v>2.1275281427452598E-220</v>
      </c>
      <c r="W100" s="566">
        <v>-3.93487724152641E-94</v>
      </c>
      <c r="X100" s="566">
        <v>-7.0003191817863901E-95</v>
      </c>
      <c r="Y100" s="566">
        <v>0.28360033763348003</v>
      </c>
      <c r="Z100" s="566">
        <v>1.53029283619163E-217</v>
      </c>
      <c r="AA100" s="566">
        <v>-5.1159651696038301E-36</v>
      </c>
      <c r="AB100" s="566">
        <v>1.5721696042691801E-32</v>
      </c>
      <c r="AC100" s="566">
        <v>4.2811715751857901E-19</v>
      </c>
      <c r="AD100" s="566">
        <v>2.28476964340366E-217</v>
      </c>
      <c r="AE100" s="566">
        <v>-1.4798671124581901E-91</v>
      </c>
      <c r="AF100" s="566">
        <v>-1.17527651924922E-91</v>
      </c>
      <c r="AG100" s="566">
        <v>4.9479112524440397E-18</v>
      </c>
      <c r="AH100" s="566">
        <v>2.3737209136389901E-220</v>
      </c>
      <c r="AI100" s="566">
        <v>-1.9876748601023099E-91</v>
      </c>
      <c r="AJ100" s="566">
        <v>-7.7621831401934305E-92</v>
      </c>
      <c r="AK100" s="566">
        <v>0.28260256130664502</v>
      </c>
      <c r="AL100" s="566">
        <v>1.5400923639093499E-217</v>
      </c>
      <c r="AM100" s="566">
        <v>-5.1181072478369103E-36</v>
      </c>
      <c r="AN100" s="566">
        <v>1.5706005747103801E-32</v>
      </c>
      <c r="AO100" s="566">
        <v>2.27043873098339E-16</v>
      </c>
      <c r="AP100" s="566">
        <v>2.26252235114063E-217</v>
      </c>
      <c r="AQ100" s="566">
        <v>7.7709070757774502E-97</v>
      </c>
      <c r="AR100" s="566">
        <v>-4.1762172285395997E-92</v>
      </c>
      <c r="AS100" s="566">
        <v>6.4306274808750703E-18</v>
      </c>
      <c r="AT100" s="566">
        <v>2.2554186593600699E-219</v>
      </c>
      <c r="AU100" s="566">
        <v>-2.7656070107939701E-93</v>
      </c>
      <c r="AV100" s="566">
        <v>-3.9838452123318601E-92</v>
      </c>
      <c r="AW100" s="566">
        <v>2.2704387309833801E-16</v>
      </c>
      <c r="AX100" s="566">
        <v>2.2625223549806199E-217</v>
      </c>
      <c r="AY100" s="566">
        <v>7.7709070889326198E-97</v>
      </c>
      <c r="AZ100" s="566">
        <v>-4.1762172300137299E-92</v>
      </c>
      <c r="BA100" s="566">
        <v>0.34251810294181401</v>
      </c>
      <c r="BB100" s="566">
        <v>6.7793026564143403E-217</v>
      </c>
      <c r="BC100" s="566">
        <v>2.6036338985027801E-103</v>
      </c>
      <c r="BD100" s="566">
        <v>5.7369930226737198E-217</v>
      </c>
      <c r="BE100" s="566">
        <v>1.0799847098656E-216</v>
      </c>
      <c r="BF100" s="566">
        <v>2.6525906374868802E-103</v>
      </c>
      <c r="BG100" s="566">
        <v>9.1393833244756405E-217</v>
      </c>
      <c r="BH100" s="566">
        <v>1.35796706959418E-15</v>
      </c>
      <c r="BI100" s="566">
        <v>7.5500928179992296E-217</v>
      </c>
      <c r="BJ100" s="566">
        <v>1.4731439631576101E-102</v>
      </c>
      <c r="BK100" s="566">
        <v>7.8385553628704398E-112</v>
      </c>
      <c r="BL100" s="566">
        <v>2.9339617665399099E-15</v>
      </c>
      <c r="BM100" s="566">
        <v>7.5500489917083992E-217</v>
      </c>
      <c r="BN100" s="566">
        <v>-6.5376229733498399E-93</v>
      </c>
      <c r="BO100" s="566">
        <v>-5.5030179301197505E-94</v>
      </c>
      <c r="BP100" s="566">
        <v>0.34273503244470399</v>
      </c>
      <c r="BQ100" s="566">
        <v>7.5798188071744807E-217</v>
      </c>
      <c r="BR100" s="566">
        <v>-8.9760224941631602E-32</v>
      </c>
      <c r="BS100" s="566">
        <v>6.22685002189544E-28</v>
      </c>
      <c r="BT100" s="566">
        <v>1.34367345119721E-15</v>
      </c>
      <c r="BU100" s="566">
        <v>7.6381694958689098E-217</v>
      </c>
      <c r="BV100" s="566">
        <v>-2.8716579707568603E-91</v>
      </c>
      <c r="BW100" s="566">
        <v>-1.2332925168084E-91</v>
      </c>
      <c r="BX100" s="566">
        <v>2.9218491520575E-15</v>
      </c>
      <c r="BY100" s="566">
        <v>7.6381240077221499E-217</v>
      </c>
      <c r="BZ100" s="566">
        <v>-2.4030874445525399E-90</v>
      </c>
      <c r="CA100" s="566">
        <v>-9.7871909969822893E-92</v>
      </c>
      <c r="CB100" s="566">
        <v>0.34273498665845697</v>
      </c>
      <c r="CC100" s="566">
        <v>7.5811509286252605E-217</v>
      </c>
      <c r="CD100" s="566">
        <v>-1.43064188718956E-29</v>
      </c>
      <c r="CE100" s="566">
        <v>-5.5114616603930497E-27</v>
      </c>
      <c r="CF100" s="566">
        <v>3.45381691916456E-15</v>
      </c>
      <c r="CG100" s="566">
        <v>8.51058946009072E-217</v>
      </c>
      <c r="CH100" s="566">
        <v>1.7509256977288099E-96</v>
      </c>
      <c r="CI100" s="566">
        <v>-4.2780027784871202E-92</v>
      </c>
      <c r="CJ100" s="566">
        <v>3.2201057672523799E-15</v>
      </c>
      <c r="CK100" s="566">
        <v>8.5105895687157005E-217</v>
      </c>
      <c r="CL100" s="566">
        <v>-7.6444242025145902E-93</v>
      </c>
      <c r="CM100" s="566">
        <v>-4.2748529816667903E-92</v>
      </c>
      <c r="CN100" s="566">
        <v>3.45381691916456E-15</v>
      </c>
      <c r="CO100" s="566">
        <v>8.5105897197142403E-217</v>
      </c>
      <c r="CP100" s="566">
        <v>1.7509256962635199E-96</v>
      </c>
      <c r="CQ100" s="566">
        <v>-4.2780027798481597E-92</v>
      </c>
      <c r="CR100" s="566">
        <v>0.34278189967426098</v>
      </c>
      <c r="CS100" s="566">
        <v>2.5281211516374E-216</v>
      </c>
      <c r="CT100" s="566">
        <v>2.35418071937622E-102</v>
      </c>
      <c r="CU100" s="566">
        <v>1.9789838447664901E-216</v>
      </c>
      <c r="CV100" s="566">
        <v>4.02745288590703E-216</v>
      </c>
      <c r="CW100" s="566">
        <v>2.3984469276797901E-102</v>
      </c>
      <c r="CX100" s="566">
        <v>3.1520467357113197E-216</v>
      </c>
      <c r="CY100" s="566">
        <v>0.342781780902158</v>
      </c>
      <c r="CZ100" s="566">
        <v>3.2523616320987503E-216</v>
      </c>
      <c r="DA100" s="566">
        <v>-3.03880194538302E-29</v>
      </c>
      <c r="DB100" s="566">
        <v>5.0867973360643802E-24</v>
      </c>
      <c r="DC100" s="566">
        <v>0.34278220177726898</v>
      </c>
      <c r="DD100" s="566">
        <v>3.2528739659768801E-216</v>
      </c>
      <c r="DE100" s="566">
        <v>-4.7281992565519702E-26</v>
      </c>
      <c r="DF100" s="566">
        <v>7.8117337652988298E-21</v>
      </c>
      <c r="DG100" s="566">
        <v>0.342782259694206</v>
      </c>
      <c r="DH100" s="566">
        <v>3.2534456530754199E-216</v>
      </c>
      <c r="DI100" s="566">
        <v>-4.7270450860015698E-26</v>
      </c>
      <c r="DJ100" s="566">
        <v>7.8090399179575906E-21</v>
      </c>
      <c r="DK100" s="566">
        <v>1.4217415523136501E-13</v>
      </c>
      <c r="DL100" s="566">
        <v>3.40595249088818E-216</v>
      </c>
      <c r="DM100" s="566">
        <v>5.2318353855344203E-96</v>
      </c>
      <c r="DN100" s="566">
        <v>-4.3978389201932798E-92</v>
      </c>
      <c r="DO100" s="566">
        <v>0.34278189996178599</v>
      </c>
      <c r="DP100" s="566">
        <v>1.2405573118695401E-215</v>
      </c>
      <c r="DQ100" s="566">
        <v>1.0420045741887E-101</v>
      </c>
      <c r="DR100" s="566">
        <v>2.1104898335502799E-214</v>
      </c>
      <c r="DS100" s="566">
        <v>1.0779607569747699E-214</v>
      </c>
      <c r="DT100" s="566">
        <v>1.09878697680293E-101</v>
      </c>
      <c r="DU100" s="566">
        <v>-2.3044276957685699E-213</v>
      </c>
      <c r="DV100" s="566">
        <v>0.34278273491512201</v>
      </c>
      <c r="DW100" s="566">
        <v>4.7723285182330403E-215</v>
      </c>
      <c r="DX100" s="566">
        <v>-1.36787958046776E-25</v>
      </c>
      <c r="DY100" s="566">
        <v>1.8306987960167501E-19</v>
      </c>
      <c r="DZ100" s="566">
        <v>0.34278297096499599</v>
      </c>
      <c r="EA100" s="566">
        <v>4.7730402380258696E-215</v>
      </c>
      <c r="EB100" s="566">
        <v>-1.80131898840353E-22</v>
      </c>
      <c r="EC100" s="566">
        <v>2.3816767133164198E-16</v>
      </c>
      <c r="ED100" s="566">
        <v>0.34278302893603801</v>
      </c>
      <c r="EE100" s="566">
        <v>4.7738321706385301E-215</v>
      </c>
      <c r="EF100" s="566">
        <v>-1.69171352721586E-15</v>
      </c>
      <c r="EG100" s="566">
        <v>2.7960708537071802E-10</v>
      </c>
      <c r="EH100" s="566">
        <v>4.1156388820112998E-14</v>
      </c>
      <c r="EI100" s="566">
        <v>6.4100360873015105E-215</v>
      </c>
      <c r="EJ100" s="566">
        <v>-1.6313923498377199E-91</v>
      </c>
      <c r="EK100" s="566">
        <v>-4.5957461741022697E-92</v>
      </c>
      <c r="EL100" s="566">
        <v>0.34278327249150797</v>
      </c>
      <c r="EM100" s="566">
        <v>8.7926581716476198E-216</v>
      </c>
      <c r="EN100" s="566">
        <v>6.1773891938112402E-102</v>
      </c>
      <c r="EO100" s="566">
        <v>5.9087621362832005E-216</v>
      </c>
      <c r="EP100" s="566">
        <v>1.09971095720111E-215</v>
      </c>
      <c r="EQ100" s="566">
        <v>6.2393960129125201E-102</v>
      </c>
      <c r="ER100" s="566">
        <v>7.3900308218622496E-216</v>
      </c>
      <c r="ES100" s="566">
        <v>0.34278694950979599</v>
      </c>
      <c r="ET100" s="566">
        <v>1.0012077852042E-215</v>
      </c>
      <c r="EU100" s="566">
        <v>3.8203156626891898E-34</v>
      </c>
      <c r="EV100" s="566">
        <v>4.6360538402660498E-25</v>
      </c>
      <c r="EW100" s="566">
        <v>0.34278696581060197</v>
      </c>
      <c r="EX100" s="566">
        <v>1.00135842775143E-215</v>
      </c>
      <c r="EY100" s="566">
        <v>6.9420386329230498E-31</v>
      </c>
      <c r="EZ100" s="566">
        <v>7.7920561655776697E-22</v>
      </c>
      <c r="FA100" s="566">
        <v>0.34278702379514903</v>
      </c>
      <c r="FB100" s="566">
        <v>1.0015269717553099E-215</v>
      </c>
      <c r="FC100" s="566">
        <v>6.9398104721213904E-31</v>
      </c>
      <c r="FD100" s="566">
        <v>7.7892804939253199E-22</v>
      </c>
      <c r="FE100" s="566">
        <v>9.2394988661265598E-12</v>
      </c>
      <c r="FF100" s="566">
        <v>1.0132513486553E-215</v>
      </c>
      <c r="FG100" s="566">
        <v>2.54601405709868E-96</v>
      </c>
      <c r="FH100" s="566">
        <v>-4.4971039291640901E-92</v>
      </c>
    </row>
    <row r="101" spans="1:164" ht="12.75" customHeight="1" x14ac:dyDescent="0.3">
      <c r="A101" s="422"/>
      <c r="B101" s="422"/>
      <c r="C101" s="422"/>
      <c r="D101" s="422"/>
      <c r="E101" s="422"/>
      <c r="F101" s="568"/>
      <c r="G101" s="569"/>
      <c r="H101" s="439"/>
      <c r="I101" s="574">
        <v>6700712.5299417796</v>
      </c>
      <c r="J101" s="566">
        <v>0.32424808332524102</v>
      </c>
      <c r="K101" s="566">
        <v>9.6218248926935906E-223</v>
      </c>
      <c r="L101" s="566">
        <v>5.7170440027377304E-108</v>
      </c>
      <c r="M101" s="566">
        <v>1.43004964375387E-222</v>
      </c>
      <c r="N101" s="566">
        <v>1.53281616777092E-222</v>
      </c>
      <c r="O101" s="566">
        <v>5.8245429488410603E-108</v>
      </c>
      <c r="P101" s="566">
        <v>2.2781572273750701E-222</v>
      </c>
      <c r="Q101" s="566">
        <v>8.8866357621359402E-17</v>
      </c>
      <c r="R101" s="566">
        <v>1.0932696982209699E-222</v>
      </c>
      <c r="S101" s="566">
        <v>2.1004749222608501E-107</v>
      </c>
      <c r="T101" s="566">
        <v>-4.3386470932433196E-115</v>
      </c>
      <c r="U101" s="566">
        <v>5.0679629532820801E-18</v>
      </c>
      <c r="V101" s="566">
        <v>1.13583326563227E-225</v>
      </c>
      <c r="W101" s="566">
        <v>-5.4367828342131203E-98</v>
      </c>
      <c r="X101" s="566">
        <v>-1.0297385894396999E-98</v>
      </c>
      <c r="Y101" s="566">
        <v>0.277931129179388</v>
      </c>
      <c r="Z101" s="566">
        <v>8.1698439641169797E-223</v>
      </c>
      <c r="AA101" s="566">
        <v>-2.73734580989018E-39</v>
      </c>
      <c r="AB101" s="566">
        <v>8.4045207579671004E-36</v>
      </c>
      <c r="AC101" s="566">
        <v>4.1955903861413898E-19</v>
      </c>
      <c r="AD101" s="566">
        <v>1.21978027074099E-222</v>
      </c>
      <c r="AE101" s="566">
        <v>-2.1705915117138402E-95</v>
      </c>
      <c r="AF101" s="566">
        <v>-1.72383399499787E-95</v>
      </c>
      <c r="AG101" s="566">
        <v>4.8490019760049998E-18</v>
      </c>
      <c r="AH101" s="566">
        <v>1.2672692070380501E-225</v>
      </c>
      <c r="AI101" s="566">
        <v>-2.92085581225895E-95</v>
      </c>
      <c r="AJ101" s="566">
        <v>-1.13920012717111E-95</v>
      </c>
      <c r="AK101" s="566">
        <v>0.27695329853398198</v>
      </c>
      <c r="AL101" s="566">
        <v>8.2221624390945806E-223</v>
      </c>
      <c r="AM101" s="566">
        <v>-3.4903932811218702E-39</v>
      </c>
      <c r="AN101" s="566">
        <v>1.0712791588519501E-35</v>
      </c>
      <c r="AO101" s="566">
        <v>2.2250523588951301E-16</v>
      </c>
      <c r="AP101" s="566">
        <v>1.20790331348049E-222</v>
      </c>
      <c r="AQ101" s="566">
        <v>1.0009187391696101E-100</v>
      </c>
      <c r="AR101" s="566">
        <v>-6.1430807689689301E-96</v>
      </c>
      <c r="AS101" s="566">
        <v>6.3020786335752497E-18</v>
      </c>
      <c r="AT101" s="566">
        <v>1.20411060437938E-224</v>
      </c>
      <c r="AU101" s="566">
        <v>-3.8212099093120802E-97</v>
      </c>
      <c r="AV101" s="566">
        <v>-5.86019138965123E-96</v>
      </c>
      <c r="AW101" s="566">
        <v>2.2250523588951301E-16</v>
      </c>
      <c r="AX101" s="566">
        <v>1.20790337838771E-222</v>
      </c>
      <c r="AY101" s="566">
        <v>1.00091874297713E-100</v>
      </c>
      <c r="AZ101" s="566">
        <v>-6.1430807587875702E-96</v>
      </c>
      <c r="BA101" s="566">
        <v>0.33567112052606501</v>
      </c>
      <c r="BB101" s="566">
        <v>3.6192982980331202E-222</v>
      </c>
      <c r="BC101" s="566">
        <v>2.80440933932925E-107</v>
      </c>
      <c r="BD101" s="566">
        <v>3.0628352599391899E-222</v>
      </c>
      <c r="BE101" s="566">
        <v>5.7657653300685398E-222</v>
      </c>
      <c r="BF101" s="566">
        <v>2.8571413104035501E-107</v>
      </c>
      <c r="BG101" s="566">
        <v>4.87928556649502E-222</v>
      </c>
      <c r="BH101" s="566">
        <v>1.3308211273311299E-15</v>
      </c>
      <c r="BI101" s="566">
        <v>4.0308030680807898E-222</v>
      </c>
      <c r="BJ101" s="566">
        <v>1.5867433184293301E-106</v>
      </c>
      <c r="BK101" s="566">
        <v>6.9584375547072902E-116</v>
      </c>
      <c r="BL101" s="566">
        <v>2.8753114808983898E-15</v>
      </c>
      <c r="BM101" s="566">
        <v>4.0307797662892703E-222</v>
      </c>
      <c r="BN101" s="566">
        <v>-9.11483641406098E-97</v>
      </c>
      <c r="BO101" s="566">
        <v>-7.9505855983995095E-98</v>
      </c>
      <c r="BP101" s="566">
        <v>0.33588371357935098</v>
      </c>
      <c r="BQ101" s="566">
        <v>4.0466733614231202E-222</v>
      </c>
      <c r="BR101" s="566">
        <v>-4.3661902444132198E-35</v>
      </c>
      <c r="BS101" s="566">
        <v>3.0290237412444999E-31</v>
      </c>
      <c r="BT101" s="566">
        <v>1.3168132402694201E-15</v>
      </c>
      <c r="BU101" s="566">
        <v>4.0778252187547999E-222</v>
      </c>
      <c r="BV101" s="566">
        <v>-4.2120862066930097E-95</v>
      </c>
      <c r="BW101" s="566">
        <v>-1.8089669702908001E-95</v>
      </c>
      <c r="BX101" s="566">
        <v>2.8634409991941798E-15</v>
      </c>
      <c r="BY101" s="566">
        <v>4.0778010010774297E-222</v>
      </c>
      <c r="BZ101" s="566">
        <v>-3.4446104476031701E-94</v>
      </c>
      <c r="CA101" s="566">
        <v>-1.40714164783325E-95</v>
      </c>
      <c r="CB101" s="566">
        <v>0.33588366870837699</v>
      </c>
      <c r="CC101" s="566">
        <v>4.04738364634604E-222</v>
      </c>
      <c r="CD101" s="566">
        <v>-2.1280336833364398E-33</v>
      </c>
      <c r="CE101" s="566">
        <v>-4.9999027043041204E-31</v>
      </c>
      <c r="CF101" s="566">
        <v>3.3847746597638702E-15</v>
      </c>
      <c r="CG101" s="566">
        <v>4.5435888262101702E-222</v>
      </c>
      <c r="CH101" s="566">
        <v>2.2552508777411099E-100</v>
      </c>
      <c r="CI101" s="566">
        <v>-6.2928040431441702E-96</v>
      </c>
      <c r="CJ101" s="566">
        <v>3.1557354251017701E-15</v>
      </c>
      <c r="CK101" s="566">
        <v>4.5435887660041197E-222</v>
      </c>
      <c r="CL101" s="566">
        <v>-1.05622199112181E-96</v>
      </c>
      <c r="CM101" s="566">
        <v>-6.2882605420422804E-96</v>
      </c>
      <c r="CN101" s="566">
        <v>3.3847746597638702E-15</v>
      </c>
      <c r="CO101" s="566">
        <v>4.5435888901683002E-222</v>
      </c>
      <c r="CP101" s="566">
        <v>2.2552508733811601E-100</v>
      </c>
      <c r="CQ101" s="566">
        <v>-6.2928040402804901E-96</v>
      </c>
      <c r="CR101" s="566">
        <v>0.335929643926758</v>
      </c>
      <c r="CS101" s="566">
        <v>1.3496999192170901E-221</v>
      </c>
      <c r="CT101" s="566">
        <v>2.5357199348825598E-106</v>
      </c>
      <c r="CU101" s="566">
        <v>1.05685534183385E-221</v>
      </c>
      <c r="CV101" s="566">
        <v>2.1501549248071501E-221</v>
      </c>
      <c r="CW101" s="566">
        <v>2.5833996857548899E-106</v>
      </c>
      <c r="CX101" s="566">
        <v>1.6833236770487E-221</v>
      </c>
      <c r="CY101" s="566">
        <v>0.33592952752892502</v>
      </c>
      <c r="CZ101" s="566">
        <v>1.7363534878043701E-221</v>
      </c>
      <c r="DA101" s="566">
        <v>-1.21245715531692E-32</v>
      </c>
      <c r="DB101" s="566">
        <v>2.0289633864875999E-27</v>
      </c>
      <c r="DC101" s="566">
        <v>0.33592993999068699</v>
      </c>
      <c r="DD101" s="566">
        <v>1.7366274479416101E-221</v>
      </c>
      <c r="DE101" s="566">
        <v>-1.52830061739379E-29</v>
      </c>
      <c r="DF101" s="566">
        <v>2.5250928401981801E-24</v>
      </c>
      <c r="DG101" s="566">
        <v>0.33592999674985602</v>
      </c>
      <c r="DH101" s="566">
        <v>1.7369326164066001E-221</v>
      </c>
      <c r="DI101" s="566">
        <v>-2.2174893065117299E-29</v>
      </c>
      <c r="DJ101" s="566">
        <v>3.66362704524551E-24</v>
      </c>
      <c r="DK101" s="566">
        <v>1.3933207496616901E-13</v>
      </c>
      <c r="DL101" s="566">
        <v>1.81835182255056E-221</v>
      </c>
      <c r="DM101" s="566">
        <v>6.7387807281798797E-100</v>
      </c>
      <c r="DN101" s="566">
        <v>-6.4690791180313797E-96</v>
      </c>
      <c r="DO101" s="566">
        <v>0.33592964420853499</v>
      </c>
      <c r="DP101" s="566">
        <v>6.6230199773425702E-221</v>
      </c>
      <c r="DQ101" s="566">
        <v>1.1223572382607699E-105</v>
      </c>
      <c r="DR101" s="566">
        <v>1.1367596180648101E-219</v>
      </c>
      <c r="DS101" s="566">
        <v>6.6611565333622697E-220</v>
      </c>
      <c r="DT101" s="566">
        <v>1.18351833876164E-105</v>
      </c>
      <c r="DU101" s="566">
        <v>-1.16873554081392E-218</v>
      </c>
      <c r="DV101" s="566">
        <v>0.33593046247104302</v>
      </c>
      <c r="DW101" s="566">
        <v>2.8833276682810401E-220</v>
      </c>
      <c r="DX101" s="566">
        <v>-4.25553057295105E-29</v>
      </c>
      <c r="DY101" s="566">
        <v>5.6928369128457004E-23</v>
      </c>
      <c r="DZ101" s="566">
        <v>0.33593069380224899</v>
      </c>
      <c r="EA101" s="566">
        <v>2.8837628026462501E-220</v>
      </c>
      <c r="EB101" s="566">
        <v>-4.22267611487255E-26</v>
      </c>
      <c r="EC101" s="566">
        <v>5.5832446236049805E-20</v>
      </c>
      <c r="ED101" s="566">
        <v>0.335930750614442</v>
      </c>
      <c r="EE101" s="566">
        <v>2.8842466992917099E-220</v>
      </c>
      <c r="EF101" s="566">
        <v>-2.4647240144800601E-19</v>
      </c>
      <c r="EG101" s="566">
        <v>4.0737105494054802E-14</v>
      </c>
      <c r="EH101" s="566">
        <v>4.0333667163401902E-14</v>
      </c>
      <c r="EI101" s="566">
        <v>3.9132317014385498E-220</v>
      </c>
      <c r="EJ101" s="566">
        <v>-2.2838788774857502E-95</v>
      </c>
      <c r="EK101" s="566">
        <v>-6.7601943147599399E-96</v>
      </c>
      <c r="EL101" s="566">
        <v>0.33593098930120602</v>
      </c>
      <c r="EM101" s="566">
        <v>4.6941760875598803E-221</v>
      </c>
      <c r="EN101" s="566">
        <v>6.6537496158313303E-106</v>
      </c>
      <c r="EO101" s="566">
        <v>3.1547814525032001E-221</v>
      </c>
      <c r="EP101" s="566">
        <v>5.8710765317189298E-221</v>
      </c>
      <c r="EQ101" s="566">
        <v>6.7205379963475402E-106</v>
      </c>
      <c r="ER101" s="566">
        <v>3.9456554735428199E-221</v>
      </c>
      <c r="ES101" s="566">
        <v>0.33593459281540899</v>
      </c>
      <c r="ET101" s="566">
        <v>5.3451941578766099E-221</v>
      </c>
      <c r="EU101" s="566">
        <v>-1.4627625174569901E-35</v>
      </c>
      <c r="EV101" s="566">
        <v>1.7174742250016399E-28</v>
      </c>
      <c r="EW101" s="566">
        <v>0.33593460879036002</v>
      </c>
      <c r="EX101" s="566">
        <v>5.3459971233133402E-221</v>
      </c>
      <c r="EY101" s="566">
        <v>-2.6625219703256298E-32</v>
      </c>
      <c r="EZ101" s="566">
        <v>2.28217435718669E-25</v>
      </c>
      <c r="FA101" s="566">
        <v>0.335934665615788</v>
      </c>
      <c r="FB101" s="566">
        <v>5.3468971107532897E-221</v>
      </c>
      <c r="FC101" s="566">
        <v>-2.6532595200268398E-32</v>
      </c>
      <c r="FD101" s="566">
        <v>3.41775326741333E-25</v>
      </c>
      <c r="FE101" s="566">
        <v>9.0548000553969793E-12</v>
      </c>
      <c r="FF101" s="566">
        <v>5.40949096929698E-221</v>
      </c>
      <c r="FG101" s="566">
        <v>2.9634617419603402E-100</v>
      </c>
      <c r="FH101" s="566">
        <v>-6.6150947309576703E-96</v>
      </c>
    </row>
    <row r="102" spans="1:164" ht="12.75" customHeight="1" x14ac:dyDescent="0.3">
      <c r="A102" s="422"/>
      <c r="B102" s="440"/>
      <c r="C102" s="446"/>
      <c r="D102" s="446"/>
      <c r="E102" s="446"/>
      <c r="F102" s="568"/>
      <c r="G102" s="569"/>
      <c r="H102" s="439"/>
      <c r="I102" s="574">
        <v>6784471.4365660502</v>
      </c>
      <c r="J102" s="566">
        <v>0.31776632105626701</v>
      </c>
      <c r="K102" s="566">
        <v>-2.9874677113150002E-223</v>
      </c>
      <c r="L102" s="566">
        <v>-1.77504670089282E-108</v>
      </c>
      <c r="M102" s="566">
        <v>-4.4401422815990799E-223</v>
      </c>
      <c r="N102" s="566">
        <v>-4.75922075173692E-223</v>
      </c>
      <c r="O102" s="566">
        <v>-1.8084233330728201E-108</v>
      </c>
      <c r="P102" s="566">
        <v>-7.0734200276975692E-223</v>
      </c>
      <c r="Q102" s="566">
        <v>8.7089907324709405E-17</v>
      </c>
      <c r="R102" s="566">
        <v>-3.3944787999124101E-223</v>
      </c>
      <c r="S102" s="566">
        <v>-6.5216239156040496E-108</v>
      </c>
      <c r="T102" s="566">
        <v>1.34708205909208E-115</v>
      </c>
      <c r="U102" s="566">
        <v>4.9666537149227997E-18</v>
      </c>
      <c r="V102" s="566">
        <v>-3.5266340292613498E-226</v>
      </c>
      <c r="W102" s="566">
        <v>1.6880215981512201E-98</v>
      </c>
      <c r="X102" s="566">
        <v>3.1971450901099402E-99</v>
      </c>
      <c r="Y102" s="566">
        <v>0.27237524897798898</v>
      </c>
      <c r="Z102" s="566">
        <v>-2.5366439602009402E-223</v>
      </c>
      <c r="AA102" s="566">
        <v>8.4987010161151298E-40</v>
      </c>
      <c r="AB102" s="566">
        <v>-2.60937122002103E-36</v>
      </c>
      <c r="AC102" s="566">
        <v>4.11171997684258E-19</v>
      </c>
      <c r="AD102" s="566">
        <v>-3.7872795301000198E-223</v>
      </c>
      <c r="AE102" s="566">
        <v>6.7392798205379596E-96</v>
      </c>
      <c r="AF102" s="566">
        <v>5.3521814606302801E-96</v>
      </c>
      <c r="AG102" s="566">
        <v>4.7520697968704897E-18</v>
      </c>
      <c r="AH102" s="566">
        <v>-3.93472739171953E-226</v>
      </c>
      <c r="AI102" s="566">
        <v>9.0687094382664898E-96</v>
      </c>
      <c r="AJ102" s="566">
        <v>3.53700282555085E-96</v>
      </c>
      <c r="AK102" s="566">
        <v>0.27141696529711101</v>
      </c>
      <c r="AL102" s="566">
        <v>-2.5528884768232899E-223</v>
      </c>
      <c r="AM102" s="566">
        <v>1.08365607410198E-39</v>
      </c>
      <c r="AN102" s="566">
        <v>-3.3259811462394998E-36</v>
      </c>
      <c r="AO102" s="566">
        <v>2.1805732665949501E-16</v>
      </c>
      <c r="AP102" s="566">
        <v>-3.7504033040185703E-223</v>
      </c>
      <c r="AQ102" s="566">
        <v>-3.1076744717608899E-101</v>
      </c>
      <c r="AR102" s="566">
        <v>1.9073113071348102E-96</v>
      </c>
      <c r="AS102" s="566">
        <v>6.1760992732227799E-18</v>
      </c>
      <c r="AT102" s="566">
        <v>-3.7386270795167201E-225</v>
      </c>
      <c r="AU102" s="566">
        <v>1.1864157649347599E-97</v>
      </c>
      <c r="AV102" s="566">
        <v>1.8194794615769599E-96</v>
      </c>
      <c r="AW102" s="566">
        <v>2.1805732665949501E-16</v>
      </c>
      <c r="AX102" s="566">
        <v>-3.7504036016605201E-223</v>
      </c>
      <c r="AY102" s="566">
        <v>-3.10767448365755E-101</v>
      </c>
      <c r="AZ102" s="566">
        <v>1.9073113033764201E-96</v>
      </c>
      <c r="BA102" s="566">
        <v>0.328961010225651</v>
      </c>
      <c r="BB102" s="566">
        <v>-1.12375128022458E-222</v>
      </c>
      <c r="BC102" s="566">
        <v>-8.7072227498804707E-108</v>
      </c>
      <c r="BD102" s="566">
        <v>-9.5097567170309998E-223</v>
      </c>
      <c r="BE102" s="566">
        <v>-1.7902050851154201E-222</v>
      </c>
      <c r="BF102" s="566">
        <v>-8.8709467237174202E-108</v>
      </c>
      <c r="BG102" s="566">
        <v>-1.5149629308526001E-222</v>
      </c>
      <c r="BH102" s="566">
        <v>1.3042178361677401E-15</v>
      </c>
      <c r="BI102" s="566">
        <v>-1.25151884143738E-222</v>
      </c>
      <c r="BJ102" s="566">
        <v>-4.9265730644020298E-107</v>
      </c>
      <c r="BK102" s="566">
        <v>-2.1604855950622699E-116</v>
      </c>
      <c r="BL102" s="566">
        <v>2.8178336223649999E-15</v>
      </c>
      <c r="BM102" s="566">
        <v>-1.25151165653694E-222</v>
      </c>
      <c r="BN102" s="566">
        <v>2.8299893217711999E-97</v>
      </c>
      <c r="BO102" s="566">
        <v>2.4685087302848801E-98</v>
      </c>
      <c r="BP102" s="566">
        <v>0.32916935351555399</v>
      </c>
      <c r="BQ102" s="566">
        <v>-1.25644634810912E-222</v>
      </c>
      <c r="BR102" s="566">
        <v>1.3555862132122701E-35</v>
      </c>
      <c r="BS102" s="566">
        <v>-9.4043151039716501E-32</v>
      </c>
      <c r="BT102" s="566">
        <v>1.2904899686299399E-15</v>
      </c>
      <c r="BU102" s="566">
        <v>-1.26611869631586E-222</v>
      </c>
      <c r="BV102" s="566">
        <v>1.30777382186743E-95</v>
      </c>
      <c r="BW102" s="566">
        <v>5.6165034027734304E-96</v>
      </c>
      <c r="BX102" s="566">
        <v>2.8062004331678098E-15</v>
      </c>
      <c r="BY102" s="566">
        <v>-1.26611120213451E-222</v>
      </c>
      <c r="BZ102" s="566">
        <v>1.06948758767155E-94</v>
      </c>
      <c r="CA102" s="566">
        <v>4.3689132264783498E-96</v>
      </c>
      <c r="CB102" s="566">
        <v>0.32916930954155699</v>
      </c>
      <c r="CC102" s="566">
        <v>-1.2566667485892701E-222</v>
      </c>
      <c r="CD102" s="566">
        <v>6.6071400901917297E-34</v>
      </c>
      <c r="CE102" s="566">
        <v>1.5524232829857099E-31</v>
      </c>
      <c r="CF102" s="566">
        <v>3.3171125645753801E-15</v>
      </c>
      <c r="CG102" s="566">
        <v>-1.4107331533820501E-222</v>
      </c>
      <c r="CH102" s="566">
        <v>-7.0021524366726003E-101</v>
      </c>
      <c r="CI102" s="566">
        <v>1.9537975742898899E-96</v>
      </c>
      <c r="CJ102" s="566">
        <v>3.0926518546758799E-15</v>
      </c>
      <c r="CK102" s="566">
        <v>-1.4107331513054001E-222</v>
      </c>
      <c r="CL102" s="566">
        <v>3.27937603124749E-97</v>
      </c>
      <c r="CM102" s="566">
        <v>1.9523869010799401E-96</v>
      </c>
      <c r="CN102" s="566">
        <v>3.3171125645753801E-15</v>
      </c>
      <c r="CO102" s="566">
        <v>-1.4107330676065299E-222</v>
      </c>
      <c r="CP102" s="566">
        <v>-7.0021524324964805E-101</v>
      </c>
      <c r="CQ102" s="566">
        <v>1.9537975742338898E-96</v>
      </c>
      <c r="CR102" s="566">
        <v>0.32921436570921397</v>
      </c>
      <c r="CS102" s="566">
        <v>-4.1906658473345203E-222</v>
      </c>
      <c r="CT102" s="566">
        <v>-7.8729870031085801E-107</v>
      </c>
      <c r="CU102" s="566">
        <v>-3.2814161051999298E-222</v>
      </c>
      <c r="CV102" s="566">
        <v>-6.6759881851319602E-222</v>
      </c>
      <c r="CW102" s="566">
        <v>-8.0210246960053895E-107</v>
      </c>
      <c r="CX102" s="566">
        <v>-5.2265294582281502E-222</v>
      </c>
      <c r="CY102" s="566">
        <v>0.32921425163818901</v>
      </c>
      <c r="CZ102" s="566">
        <v>-5.3911812659022902E-222</v>
      </c>
      <c r="DA102" s="566">
        <v>3.7643844560766798E-33</v>
      </c>
      <c r="DB102" s="566">
        <v>-6.2994377167747797E-28</v>
      </c>
      <c r="DC102" s="566">
        <v>0.32921465585478599</v>
      </c>
      <c r="DD102" s="566">
        <v>-5.3920325891169698E-222</v>
      </c>
      <c r="DE102" s="566">
        <v>4.7450289818853698E-30</v>
      </c>
      <c r="DF102" s="566">
        <v>-7.8398441795547204E-25</v>
      </c>
      <c r="DG102" s="566">
        <v>0.32921471147933201</v>
      </c>
      <c r="DH102" s="566">
        <v>-5.3929796647046303E-222</v>
      </c>
      <c r="DI102" s="566">
        <v>6.8847140130375899E-30</v>
      </c>
      <c r="DJ102" s="566">
        <v>-1.1374586721097999E-24</v>
      </c>
      <c r="DK102" s="566">
        <v>1.36546808274345E-13</v>
      </c>
      <c r="DL102" s="566">
        <v>-5.6457772186258703E-222</v>
      </c>
      <c r="DM102" s="566">
        <v>-2.0922714356189599E-100</v>
      </c>
      <c r="DN102" s="566">
        <v>2.0085276742073302E-96</v>
      </c>
      <c r="DO102" s="566">
        <v>0.32921436598535803</v>
      </c>
      <c r="DP102" s="566">
        <v>-2.05637273580493E-221</v>
      </c>
      <c r="DQ102" s="566">
        <v>-3.4847318279101098E-106</v>
      </c>
      <c r="DR102" s="566">
        <v>-3.5295098343681399E-220</v>
      </c>
      <c r="DS102" s="566">
        <v>-2.0682134431876299E-220</v>
      </c>
      <c r="DT102" s="566">
        <v>-3.6746268356941102E-106</v>
      </c>
      <c r="DU102" s="566">
        <v>3.6287916307407201E-219</v>
      </c>
      <c r="DV102" s="566">
        <v>0.32921516789069</v>
      </c>
      <c r="DW102" s="566">
        <v>-8.9524043648322605E-221</v>
      </c>
      <c r="DX102" s="566">
        <v>1.32124791380914E-29</v>
      </c>
      <c r="DY102" s="566">
        <v>-1.7674996994225999E-23</v>
      </c>
      <c r="DZ102" s="566">
        <v>0.329215394597554</v>
      </c>
      <c r="EA102" s="566">
        <v>-8.9537559044535801E-221</v>
      </c>
      <c r="EB102" s="566">
        <v>1.3110545320521099E-26</v>
      </c>
      <c r="EC102" s="566">
        <v>-1.7334832198719299E-20</v>
      </c>
      <c r="ED102" s="566">
        <v>0.32921545027406501</v>
      </c>
      <c r="EE102" s="566">
        <v>-8.9552584437223599E-221</v>
      </c>
      <c r="EF102" s="566">
        <v>7.6525072603118504E-20</v>
      </c>
      <c r="EG102" s="566">
        <v>-1.2648109628477601E-14</v>
      </c>
      <c r="EH102" s="566">
        <v>3.9527391801939701E-14</v>
      </c>
      <c r="EI102" s="566">
        <v>-1.21501395350064E-220</v>
      </c>
      <c r="EJ102" s="566">
        <v>7.0910238711523199E-96</v>
      </c>
      <c r="EK102" s="566">
        <v>2.0989134820921E-96</v>
      </c>
      <c r="EL102" s="566">
        <v>0.32921568418944802</v>
      </c>
      <c r="EM102" s="566">
        <v>-1.4574884356219799E-221</v>
      </c>
      <c r="EN102" s="566">
        <v>-2.0658781638581599E-106</v>
      </c>
      <c r="EO102" s="566">
        <v>-9.7952394811321599E-222</v>
      </c>
      <c r="EP102" s="566">
        <v>-1.8229027411645699E-221</v>
      </c>
      <c r="EQ102" s="566">
        <v>-2.08661484729306E-106</v>
      </c>
      <c r="ER102" s="566">
        <v>-1.2250813334282E-221</v>
      </c>
      <c r="ES102" s="566">
        <v>0.32921921566892298</v>
      </c>
      <c r="ET102" s="566">
        <v>-1.6596223711169E-221</v>
      </c>
      <c r="EU102" s="566">
        <v>4.5414191956233697E-36</v>
      </c>
      <c r="EV102" s="566">
        <v>-5.3323257654144399E-29</v>
      </c>
      <c r="EW102" s="566">
        <v>0.32921923132453301</v>
      </c>
      <c r="EX102" s="566">
        <v>-1.6598714754036899E-221</v>
      </c>
      <c r="EY102" s="566">
        <v>8.2664057210063202E-33</v>
      </c>
      <c r="EZ102" s="566">
        <v>-7.0856100932657901E-26</v>
      </c>
      <c r="FA102" s="566">
        <v>0.32921928701401199</v>
      </c>
      <c r="FB102" s="566">
        <v>-1.6601510253373999E-221</v>
      </c>
      <c r="FC102" s="566">
        <v>8.2374437150479605E-33</v>
      </c>
      <c r="FD102" s="566">
        <v>-1.0611195579525099E-25</v>
      </c>
      <c r="FE102" s="566">
        <v>8.8737933991654602E-12</v>
      </c>
      <c r="FF102" s="566">
        <v>-1.67958562648024E-221</v>
      </c>
      <c r="FG102" s="566">
        <v>-9.2010403409951406E-101</v>
      </c>
      <c r="FH102" s="566">
        <v>2.0538627813549302E-96</v>
      </c>
    </row>
    <row r="103" spans="1:164" ht="12.75" customHeight="1" x14ac:dyDescent="0.3">
      <c r="A103" s="422"/>
      <c r="B103" s="441"/>
      <c r="C103" s="446"/>
      <c r="D103" s="446"/>
      <c r="E103" s="446"/>
      <c r="F103" s="568"/>
      <c r="G103" s="569"/>
      <c r="H103" s="439"/>
      <c r="I103" s="574">
        <v>6868230.3431903198</v>
      </c>
      <c r="J103" s="566">
        <v>0.31141413007484198</v>
      </c>
      <c r="K103" s="566">
        <v>6.3571203125558199E-224</v>
      </c>
      <c r="L103" s="566">
        <v>3.7769862540490998E-109</v>
      </c>
      <c r="M103" s="566">
        <v>9.4483090153652108E-224</v>
      </c>
      <c r="N103" s="566">
        <v>1.01272856170539E-223</v>
      </c>
      <c r="O103" s="566">
        <v>3.8480058585957699E-109</v>
      </c>
      <c r="P103" s="566">
        <v>1.50517366274421E-223</v>
      </c>
      <c r="Q103" s="566">
        <v>8.53489685051321E-17</v>
      </c>
      <c r="R103" s="566">
        <v>7.2232117746584197E-224</v>
      </c>
      <c r="S103" s="566">
        <v>1.3876865272576E-108</v>
      </c>
      <c r="T103" s="566">
        <v>-2.86638090750447E-116</v>
      </c>
      <c r="U103" s="566">
        <v>4.8673696431229503E-18</v>
      </c>
      <c r="V103" s="566">
        <v>7.5044294884732799E-227</v>
      </c>
      <c r="W103" s="566">
        <v>-3.5917591614380899E-99</v>
      </c>
      <c r="X103" s="566">
        <v>-6.8028308882380204E-100</v>
      </c>
      <c r="Y103" s="566">
        <v>0.26693043155879198</v>
      </c>
      <c r="Z103" s="566">
        <v>5.3977985587727401E-224</v>
      </c>
      <c r="AA103" s="566">
        <v>-1.80819034780048E-40</v>
      </c>
      <c r="AB103" s="566">
        <v>5.5517198802541202E-37</v>
      </c>
      <c r="AC103" s="566">
        <v>4.0295261481583399E-19</v>
      </c>
      <c r="AD103" s="566">
        <v>8.0590636183887998E-224</v>
      </c>
      <c r="AE103" s="566">
        <v>-1.4339727795161899E-96</v>
      </c>
      <c r="AF103" s="566">
        <v>-1.13882829013077E-96</v>
      </c>
      <c r="AG103" s="566">
        <v>4.65707528605033E-18</v>
      </c>
      <c r="AH103" s="566">
        <v>8.3728225012653098E-227</v>
      </c>
      <c r="AI103" s="566">
        <v>-1.92962469709198E-96</v>
      </c>
      <c r="AJ103" s="566">
        <v>-7.5259756208264597E-97</v>
      </c>
      <c r="AK103" s="566">
        <v>0.265991304096027</v>
      </c>
      <c r="AL103" s="566">
        <v>5.4323666405300299E-224</v>
      </c>
      <c r="AM103" s="566">
        <v>-2.3055072813834201E-40</v>
      </c>
      <c r="AN103" s="566">
        <v>7.0761148530177198E-37</v>
      </c>
      <c r="AO103" s="566">
        <v>2.1369833172499199E-16</v>
      </c>
      <c r="AP103" s="566">
        <v>7.9805939659859798E-224</v>
      </c>
      <c r="AQ103" s="566">
        <v>6.6125154709781297E-102</v>
      </c>
      <c r="AR103" s="566">
        <v>-4.0583445472718902E-97</v>
      </c>
      <c r="AS103" s="566">
        <v>6.05263821992507E-18</v>
      </c>
      <c r="AT103" s="566">
        <v>7.9555340624775299E-226</v>
      </c>
      <c r="AU103" s="566">
        <v>-2.5244461938944699E-98</v>
      </c>
      <c r="AV103" s="566">
        <v>-3.87145742246992E-97</v>
      </c>
      <c r="AW103" s="566">
        <v>2.1369833172499199E-16</v>
      </c>
      <c r="AX103" s="566">
        <v>7.9805951992241302E-224</v>
      </c>
      <c r="AY103" s="566">
        <v>6.6125154706240297E-102</v>
      </c>
      <c r="AZ103" s="566">
        <v>-4.0583445381627699E-97</v>
      </c>
      <c r="BA103" s="566">
        <v>0.32238503592022499</v>
      </c>
      <c r="BB103" s="566">
        <v>2.3912637470886101E-223</v>
      </c>
      <c r="BC103" s="566">
        <v>1.8527434083954399E-108</v>
      </c>
      <c r="BD103" s="566">
        <v>2.0236089171473999E-223</v>
      </c>
      <c r="BE103" s="566">
        <v>3.8094303305709797E-223</v>
      </c>
      <c r="BF103" s="566">
        <v>1.8875809882651601E-108</v>
      </c>
      <c r="BG103" s="566">
        <v>3.22373371341734E-223</v>
      </c>
      <c r="BH103" s="566">
        <v>1.27814634832352E-15</v>
      </c>
      <c r="BI103" s="566">
        <v>2.66314392560691E-223</v>
      </c>
      <c r="BJ103" s="566">
        <v>1.0482878471922799E-107</v>
      </c>
      <c r="BK103" s="566">
        <v>4.5971744600677999E-117</v>
      </c>
      <c r="BL103" s="566">
        <v>2.7615047538268699E-15</v>
      </c>
      <c r="BM103" s="566">
        <v>2.6631291702768599E-223</v>
      </c>
      <c r="BN103" s="566">
        <v>-6.0216253995523796E-98</v>
      </c>
      <c r="BO103" s="566">
        <v>-5.25245752545514E-99</v>
      </c>
      <c r="BP103" s="566">
        <v>0.32258921440007998</v>
      </c>
      <c r="BQ103" s="566">
        <v>2.6736289838620402E-223</v>
      </c>
      <c r="BR103" s="566">
        <v>-2.8841864533205E-36</v>
      </c>
      <c r="BS103" s="566">
        <v>2.0008907699901001E-32</v>
      </c>
      <c r="BT103" s="566">
        <v>1.2646929026818199E-15</v>
      </c>
      <c r="BU103" s="566">
        <v>2.6942113694219199E-223</v>
      </c>
      <c r="BV103" s="566">
        <v>-2.7826594468403798E-96</v>
      </c>
      <c r="BW103" s="566">
        <v>-1.19507028178869E-96</v>
      </c>
      <c r="BX103" s="566">
        <v>2.7501041136273701E-15</v>
      </c>
      <c r="BY103" s="566">
        <v>2.6941957565792598E-223</v>
      </c>
      <c r="BZ103" s="566">
        <v>-2.2756416344255899E-95</v>
      </c>
      <c r="CA103" s="566">
        <v>-9.2961141791329995E-97</v>
      </c>
      <c r="CB103" s="566">
        <v>0.32258917130512899</v>
      </c>
      <c r="CC103" s="566">
        <v>2.67409774196645E-223</v>
      </c>
      <c r="CD103" s="566">
        <v>-1.4058528594296501E-34</v>
      </c>
      <c r="CE103" s="566">
        <v>-3.3035082829365799E-32</v>
      </c>
      <c r="CF103" s="566">
        <v>3.2508030436449599E-15</v>
      </c>
      <c r="CG103" s="566">
        <v>3.0019411842054902E-223</v>
      </c>
      <c r="CH103" s="566">
        <v>1.4899192833289999E-101</v>
      </c>
      <c r="CI103" s="566">
        <v>-4.1572572270777398E-97</v>
      </c>
      <c r="CJ103" s="566">
        <v>3.0308293331536002E-15</v>
      </c>
      <c r="CK103" s="566">
        <v>3.0019414309695199E-223</v>
      </c>
      <c r="CL103" s="566">
        <v>-6.9778306821768595E-98</v>
      </c>
      <c r="CM103" s="566">
        <v>-4.1542556110863199E-97</v>
      </c>
      <c r="CN103" s="566">
        <v>3.2508030436449599E-15</v>
      </c>
      <c r="CO103" s="566">
        <v>3.0019406119092702E-223</v>
      </c>
      <c r="CP103" s="566">
        <v>1.48991928526661E-101</v>
      </c>
      <c r="CQ103" s="566">
        <v>-4.1572572264995398E-97</v>
      </c>
      <c r="CR103" s="566">
        <v>0.32263332679400702</v>
      </c>
      <c r="CS103" s="566">
        <v>8.9174411453426994E-223</v>
      </c>
      <c r="CT103" s="566">
        <v>1.6752327577751799E-107</v>
      </c>
      <c r="CU103" s="566">
        <v>6.9826210690996307E-223</v>
      </c>
      <c r="CV103" s="566">
        <v>1.42060313812678E-222</v>
      </c>
      <c r="CW103" s="566">
        <v>1.70673256962349E-107</v>
      </c>
      <c r="CX103" s="566">
        <v>1.11216853015779E-222</v>
      </c>
      <c r="CY103" s="566">
        <v>0.32263321500327702</v>
      </c>
      <c r="CZ103" s="566">
        <v>1.1472052596625901E-222</v>
      </c>
      <c r="DA103" s="566">
        <v>-8.0093817723804898E-34</v>
      </c>
      <c r="DB103" s="566">
        <v>1.3403148389074199E-28</v>
      </c>
      <c r="DC103" s="566">
        <v>0.32263361113952999</v>
      </c>
      <c r="DD103" s="566">
        <v>1.14738654861188E-222</v>
      </c>
      <c r="DE103" s="566">
        <v>-1.0096040587598001E-30</v>
      </c>
      <c r="DF103" s="566">
        <v>1.66809064996961E-25</v>
      </c>
      <c r="DG103" s="566">
        <v>0.32263366565213403</v>
      </c>
      <c r="DH103" s="566">
        <v>1.14758798144321E-222</v>
      </c>
      <c r="DI103" s="566">
        <v>-1.46481155204042E-30</v>
      </c>
      <c r="DJ103" s="566">
        <v>2.4200897722758299E-25</v>
      </c>
      <c r="DK103" s="566">
        <v>1.3381721943315E-13</v>
      </c>
      <c r="DL103" s="566">
        <v>1.20138169609651E-222</v>
      </c>
      <c r="DM103" s="566">
        <v>4.4519390133609303E-101</v>
      </c>
      <c r="DN103" s="566">
        <v>-4.2737110046755897E-97</v>
      </c>
      <c r="DO103" s="566">
        <v>0.32263332706463099</v>
      </c>
      <c r="DP103" s="566">
        <v>4.3758159290308799E-222</v>
      </c>
      <c r="DQ103" s="566">
        <v>7.4148946604341003E-107</v>
      </c>
      <c r="DR103" s="566">
        <v>7.5105468995404799E-221</v>
      </c>
      <c r="DS103" s="566">
        <v>4.4010098775466998E-221</v>
      </c>
      <c r="DT103" s="566">
        <v>7.8189577201819505E-107</v>
      </c>
      <c r="DU103" s="566">
        <v>-7.7218122004340004E-220</v>
      </c>
      <c r="DV103" s="566">
        <v>0.32263411293976901</v>
      </c>
      <c r="DW103" s="566">
        <v>1.9050074692615201E-221</v>
      </c>
      <c r="DX103" s="566">
        <v>-2.8112406213306001E-30</v>
      </c>
      <c r="DY103" s="566">
        <v>3.7607379487768903E-24</v>
      </c>
      <c r="DZ103" s="566">
        <v>0.322634335114733</v>
      </c>
      <c r="EA103" s="566">
        <v>1.90529513714209E-221</v>
      </c>
      <c r="EB103" s="566">
        <v>-2.78959590623673E-27</v>
      </c>
      <c r="EC103" s="566">
        <v>3.6884184437029803E-21</v>
      </c>
      <c r="ED103" s="566">
        <v>0.32263438967826202</v>
      </c>
      <c r="EE103" s="566">
        <v>1.9056150460476099E-221</v>
      </c>
      <c r="EF103" s="566">
        <v>-1.6282885413168501E-20</v>
      </c>
      <c r="EG103" s="566">
        <v>2.6912450093291801E-15</v>
      </c>
      <c r="EH103" s="566">
        <v>3.8737233986360002E-14</v>
      </c>
      <c r="EI103" s="566">
        <v>2.5854627160061102E-221</v>
      </c>
      <c r="EJ103" s="566">
        <v>-1.50882118087482E-96</v>
      </c>
      <c r="EK103" s="566">
        <v>-4.4660323805722301E-97</v>
      </c>
      <c r="EL103" s="566">
        <v>0.322634618917646</v>
      </c>
      <c r="EM103" s="566">
        <v>3.1014317848088398E-222</v>
      </c>
      <c r="EN103" s="566">
        <v>4.3958243466808801E-107</v>
      </c>
      <c r="EO103" s="566">
        <v>2.08435746027096E-222</v>
      </c>
      <c r="EP103" s="566">
        <v>3.8790076862640499E-222</v>
      </c>
      <c r="EQ103" s="566">
        <v>4.4399483594735201E-107</v>
      </c>
      <c r="ER103" s="566">
        <v>2.6068859828561099E-222</v>
      </c>
      <c r="ES103" s="566">
        <v>0.32263807980237702</v>
      </c>
      <c r="ET103" s="566">
        <v>3.5315590820993397E-222</v>
      </c>
      <c r="EU103" s="566">
        <v>-9.6620330806743501E-37</v>
      </c>
      <c r="EV103" s="566">
        <v>1.1345365006355999E-29</v>
      </c>
      <c r="EW103" s="566">
        <v>0.322638095145029</v>
      </c>
      <c r="EX103" s="566">
        <v>3.5320884246042199E-222</v>
      </c>
      <c r="EY103" s="566">
        <v>-1.7587743494489199E-33</v>
      </c>
      <c r="EZ103" s="566">
        <v>1.50759516381147E-26</v>
      </c>
      <c r="FA103" s="566">
        <v>0.32263814972126897</v>
      </c>
      <c r="FB103" s="566">
        <v>3.5326837502163701E-222</v>
      </c>
      <c r="FC103" s="566">
        <v>-1.75248756518552E-33</v>
      </c>
      <c r="FD103" s="566">
        <v>2.2576571940833101E-26</v>
      </c>
      <c r="FE103" s="566">
        <v>8.6964050900021996E-12</v>
      </c>
      <c r="FF103" s="566">
        <v>3.5740391511673998E-222</v>
      </c>
      <c r="FG103" s="566">
        <v>1.9578108223446101E-101</v>
      </c>
      <c r="FH103" s="566">
        <v>-4.3701742633166398E-97</v>
      </c>
    </row>
    <row r="104" spans="1:164" ht="12.75" customHeight="1" x14ac:dyDescent="0.3">
      <c r="A104" s="422"/>
      <c r="B104" s="443"/>
      <c r="C104" s="443"/>
      <c r="D104" s="443"/>
      <c r="E104" s="443"/>
      <c r="F104" s="568"/>
      <c r="G104" s="569"/>
      <c r="H104" s="439"/>
      <c r="I104" s="574">
        <v>6951989.2498145998</v>
      </c>
      <c r="J104" s="566">
        <v>0.30518892022079103</v>
      </c>
      <c r="K104" s="566">
        <v>-8.32878373218187E-225</v>
      </c>
      <c r="L104" s="566">
        <v>-4.9474748096718798E-110</v>
      </c>
      <c r="M104" s="566">
        <v>-1.2378705430030299E-224</v>
      </c>
      <c r="N104" s="566">
        <v>-1.32682666138281E-224</v>
      </c>
      <c r="O104" s="566">
        <v>-5.04050343599968E-110</v>
      </c>
      <c r="P104" s="566">
        <v>-1.9720034205604601E-224</v>
      </c>
      <c r="Q104" s="566">
        <v>8.3642831279940794E-17</v>
      </c>
      <c r="R104" s="566">
        <v>-9.4634943906534496E-225</v>
      </c>
      <c r="S104" s="566">
        <v>-1.8177307661385299E-109</v>
      </c>
      <c r="T104" s="566">
        <v>3.7548132484942396E-117</v>
      </c>
      <c r="U104" s="566">
        <v>4.7700702777510898E-18</v>
      </c>
      <c r="V104" s="566">
        <v>-9.8319354987123905E-228</v>
      </c>
      <c r="W104" s="566">
        <v>4.7045787594927503E-100</v>
      </c>
      <c r="X104" s="566">
        <v>8.9103750490482105E-101</v>
      </c>
      <c r="Y104" s="566">
        <v>0.261594456750949</v>
      </c>
      <c r="Z104" s="566">
        <v>-7.0719266741299397E-225</v>
      </c>
      <c r="AA104" s="566">
        <v>2.3676260486869599E-41</v>
      </c>
      <c r="AB104" s="566">
        <v>-7.2693708042688302E-38</v>
      </c>
      <c r="AC104" s="566">
        <v>3.9489753848428101E-19</v>
      </c>
      <c r="AD104" s="566">
        <v>-1.05585854607176E-224</v>
      </c>
      <c r="AE104" s="566">
        <v>1.8782247529634999E-97</v>
      </c>
      <c r="AF104" s="566">
        <v>1.4916430155010799E-97</v>
      </c>
      <c r="AG104" s="566">
        <v>4.5639797328396098E-18</v>
      </c>
      <c r="AH104" s="566">
        <v>-1.0969660200474801E-227</v>
      </c>
      <c r="AI104" s="566">
        <v>2.5274308883347399E-97</v>
      </c>
      <c r="AJ104" s="566">
        <v>9.8575590434119106E-98</v>
      </c>
      <c r="AK104" s="566">
        <v>0.26067410257099599</v>
      </c>
      <c r="AL104" s="566">
        <v>-7.1172173470007795E-225</v>
      </c>
      <c r="AM104" s="566">
        <v>3.0183649741761301E-41</v>
      </c>
      <c r="AN104" s="566">
        <v>-9.26403882298286E-38</v>
      </c>
      <c r="AO104" s="566">
        <v>2.0942647366855499E-16</v>
      </c>
      <c r="AP104" s="566">
        <v>-1.04557788106238E-224</v>
      </c>
      <c r="AQ104" s="566">
        <v>-8.6613944682627302E-103</v>
      </c>
      <c r="AR104" s="566">
        <v>5.3156359482640999E-98</v>
      </c>
      <c r="AS104" s="566">
        <v>5.9316451789285196E-18</v>
      </c>
      <c r="AT104" s="566">
        <v>-1.04229445817642E-226</v>
      </c>
      <c r="AU104" s="566">
        <v>3.3065847327422501E-99</v>
      </c>
      <c r="AV104" s="566">
        <v>5.0708503891357297E-98</v>
      </c>
      <c r="AW104" s="566">
        <v>2.0942647366855499E-16</v>
      </c>
      <c r="AX104" s="566">
        <v>-1.04557816179637E-224</v>
      </c>
      <c r="AY104" s="566">
        <v>-8.6613943826923104E-103</v>
      </c>
      <c r="AZ104" s="566">
        <v>5.3156359439884198E-98</v>
      </c>
      <c r="BA104" s="566">
        <v>0.31594051620004798</v>
      </c>
      <c r="BB104" s="566">
        <v>-3.1329158433784802E-224</v>
      </c>
      <c r="BC104" s="566">
        <v>-2.4269088537886902E-109</v>
      </c>
      <c r="BD104" s="566">
        <v>-2.65123138729284E-224</v>
      </c>
      <c r="BE104" s="566">
        <v>-4.9909268147695903E-224</v>
      </c>
      <c r="BF104" s="566">
        <v>-2.4725426283597302E-109</v>
      </c>
      <c r="BG104" s="566">
        <v>-4.2235743420849102E-224</v>
      </c>
      <c r="BH104" s="566">
        <v>1.2525960329265E-15</v>
      </c>
      <c r="BI104" s="566">
        <v>-3.4891186218655E-224</v>
      </c>
      <c r="BJ104" s="566">
        <v>-1.3731523976298399E-108</v>
      </c>
      <c r="BK104" s="566">
        <v>-6.0220519458211699E-118</v>
      </c>
      <c r="BL104" s="566">
        <v>2.7063019067334401E-15</v>
      </c>
      <c r="BM104" s="566">
        <v>-3.4891008704109099E-224</v>
      </c>
      <c r="BN104" s="566">
        <v>7.8872613367939005E-99</v>
      </c>
      <c r="BO104" s="566">
        <v>6.8797233442475705E-100</v>
      </c>
      <c r="BP104" s="566">
        <v>0.31614061312495101</v>
      </c>
      <c r="BQ104" s="566">
        <v>-3.5028551058988299E-224</v>
      </c>
      <c r="BR104" s="566">
        <v>3.7766779867145298E-37</v>
      </c>
      <c r="BS104" s="566">
        <v>-2.6200530331392101E-33</v>
      </c>
      <c r="BT104" s="566">
        <v>1.2394115234514499E-15</v>
      </c>
      <c r="BU104" s="566">
        <v>-3.52982198089072E-224</v>
      </c>
      <c r="BV104" s="566">
        <v>3.6447413209258302E-97</v>
      </c>
      <c r="BW104" s="566">
        <v>1.56530906888087E-97</v>
      </c>
      <c r="BX104" s="566">
        <v>2.6951291668469401E-15</v>
      </c>
      <c r="BY104" s="566">
        <v>-3.5298024168191699E-224</v>
      </c>
      <c r="BZ104" s="566">
        <v>2.9806654376752299E-96</v>
      </c>
      <c r="CA104" s="566">
        <v>1.2176162919714501E-97</v>
      </c>
      <c r="CB104" s="566">
        <v>0.31614057089147302</v>
      </c>
      <c r="CC104" s="566">
        <v>-3.503469327653E-224</v>
      </c>
      <c r="CD104" s="566">
        <v>1.8413757587574799E-35</v>
      </c>
      <c r="CE104" s="566">
        <v>4.3284001706554303E-33</v>
      </c>
      <c r="CF104" s="566">
        <v>3.1858190586985601E-15</v>
      </c>
      <c r="CG104" s="566">
        <v>-3.93299507737843E-224</v>
      </c>
      <c r="CH104" s="566">
        <v>-1.9515687442118001E-102</v>
      </c>
      <c r="CI104" s="566">
        <v>5.4451921477348401E-98</v>
      </c>
      <c r="CJ104" s="566">
        <v>2.9702426519208698E-15</v>
      </c>
      <c r="CK104" s="566">
        <v>-3.9329968824614402E-224</v>
      </c>
      <c r="CL104" s="566">
        <v>9.1397425896451803E-99</v>
      </c>
      <c r="CM104" s="566">
        <v>5.44126060896258E-98</v>
      </c>
      <c r="CN104" s="566">
        <v>3.1858190586985601E-15</v>
      </c>
      <c r="CO104" s="566">
        <v>-3.9329941563455701E-224</v>
      </c>
      <c r="CP104" s="566">
        <v>-1.9515687443570299E-102</v>
      </c>
      <c r="CQ104" s="566">
        <v>5.44519213787533E-98</v>
      </c>
      <c r="CR104" s="566">
        <v>0.31618384370625902</v>
      </c>
      <c r="CS104" s="566">
        <v>-1.1683187145441101E-223</v>
      </c>
      <c r="CT104" s="566">
        <v>-2.1943876073328602E-108</v>
      </c>
      <c r="CU104" s="566">
        <v>-9.1482802351395892E-224</v>
      </c>
      <c r="CV104" s="566">
        <v>-1.8612032561564801E-223</v>
      </c>
      <c r="CW104" s="566">
        <v>-2.2356492198097599E-108</v>
      </c>
      <c r="CX104" s="566">
        <v>-1.4571080894027501E-223</v>
      </c>
      <c r="CY104" s="566">
        <v>0.31618373415024098</v>
      </c>
      <c r="CZ104" s="566">
        <v>-1.5030111738209699E-223</v>
      </c>
      <c r="DA104" s="566">
        <v>1.04886498003915E-34</v>
      </c>
      <c r="DB104" s="566">
        <v>-1.7552035109816599E-29</v>
      </c>
      <c r="DC104" s="566">
        <v>0.31618412236767801</v>
      </c>
      <c r="DD104" s="566">
        <v>-1.50324890770222E-223</v>
      </c>
      <c r="DE104" s="566">
        <v>1.3222066573523399E-31</v>
      </c>
      <c r="DF104" s="566">
        <v>-2.18457971288757E-26</v>
      </c>
      <c r="DG104" s="566">
        <v>0.31618417579056801</v>
      </c>
      <c r="DH104" s="566">
        <v>-1.5035126525694101E-223</v>
      </c>
      <c r="DI104" s="566">
        <v>1.91808161765233E-31</v>
      </c>
      <c r="DJ104" s="566">
        <v>-3.1689602989311298E-26</v>
      </c>
      <c r="DK104" s="566">
        <v>1.31142195429401E-13</v>
      </c>
      <c r="DL104" s="566">
        <v>-1.5739909371167799E-223</v>
      </c>
      <c r="DM104" s="566">
        <v>-5.8313662588949298E-102</v>
      </c>
      <c r="DN104" s="566">
        <v>5.5977237895156297E-98</v>
      </c>
      <c r="DO104" s="566">
        <v>0.31618384397147298</v>
      </c>
      <c r="DP104" s="566">
        <v>-5.7329768780026402E-223</v>
      </c>
      <c r="DQ104" s="566">
        <v>-9.7127715574833505E-108</v>
      </c>
      <c r="DR104" s="566">
        <v>-9.8399437629166705E-222</v>
      </c>
      <c r="DS104" s="566">
        <v>-5.7659742453945999E-222</v>
      </c>
      <c r="DT104" s="566">
        <v>-1.02420538171377E-107</v>
      </c>
      <c r="DU104" s="566">
        <v>1.01167372179249E-220</v>
      </c>
      <c r="DV104" s="566">
        <v>0.316184614136863</v>
      </c>
      <c r="DW104" s="566">
        <v>-2.4958423049227702E-222</v>
      </c>
      <c r="DX104" s="566">
        <v>3.68173042489166E-31</v>
      </c>
      <c r="DY104" s="566">
        <v>-4.9252367414189303E-25</v>
      </c>
      <c r="DZ104" s="566">
        <v>0.31618483187051999</v>
      </c>
      <c r="EA104" s="566">
        <v>-2.4962190632718199E-222</v>
      </c>
      <c r="EB104" s="566">
        <v>3.65360458610446E-28</v>
      </c>
      <c r="EC104" s="566">
        <v>-4.8308153187725802E-22</v>
      </c>
      <c r="ED104" s="566">
        <v>0.31618488534331701</v>
      </c>
      <c r="EE104" s="566">
        <v>-2.4966389586810801E-222</v>
      </c>
      <c r="EF104" s="566">
        <v>2.13274435997148E-21</v>
      </c>
      <c r="EG104" s="566">
        <v>-3.5250126102699699E-16</v>
      </c>
      <c r="EH104" s="566">
        <v>3.7962871530162097E-14</v>
      </c>
      <c r="EI104" s="566">
        <v>-3.3873392603347101E-222</v>
      </c>
      <c r="EJ104" s="566">
        <v>1.9762861687113801E-97</v>
      </c>
      <c r="EK104" s="566">
        <v>5.84962707987979E-98</v>
      </c>
      <c r="EL104" s="566">
        <v>0.31618511000017502</v>
      </c>
      <c r="EM104" s="566">
        <v>-4.06333921676841E-223</v>
      </c>
      <c r="EN104" s="566">
        <v>-5.7580909631160197E-108</v>
      </c>
      <c r="EO104" s="566">
        <v>-2.7308200906150501E-223</v>
      </c>
      <c r="EP104" s="566">
        <v>-5.08208068580266E-223</v>
      </c>
      <c r="EQ104" s="566">
        <v>-5.8158890003057099E-108</v>
      </c>
      <c r="ER104" s="566">
        <v>-3.41541023618831E-223</v>
      </c>
      <c r="ES104" s="566">
        <v>0.31618850170135998</v>
      </c>
      <c r="ET104" s="566">
        <v>-4.6268721525890004E-223</v>
      </c>
      <c r="EU104" s="566">
        <v>1.2649725068769101E-37</v>
      </c>
      <c r="EV104" s="566">
        <v>-1.4856847509439901E-30</v>
      </c>
      <c r="EW104" s="566">
        <v>0.31618851673731102</v>
      </c>
      <c r="EX104" s="566">
        <v>-4.6275637560271801E-223</v>
      </c>
      <c r="EY104" s="566">
        <v>2.3029581781518602E-34</v>
      </c>
      <c r="EZ104" s="566">
        <v>-1.9743074894092401E-27</v>
      </c>
      <c r="FA104" s="566">
        <v>0.31618857022256402</v>
      </c>
      <c r="FB104" s="566">
        <v>-4.6283445274476399E-223</v>
      </c>
      <c r="FC104" s="566">
        <v>2.2940979703464002E-34</v>
      </c>
      <c r="FD104" s="566">
        <v>-2.9562079229953298E-27</v>
      </c>
      <c r="FE104" s="566">
        <v>8.5225627963076398E-12</v>
      </c>
      <c r="FF104" s="566">
        <v>-4.6825273776004502E-223</v>
      </c>
      <c r="FG104" s="566">
        <v>-2.56449512927377E-102</v>
      </c>
      <c r="FH104" s="566">
        <v>5.7240717388004698E-98</v>
      </c>
    </row>
    <row r="105" spans="1:164" ht="12.75" customHeight="1" x14ac:dyDescent="0.3">
      <c r="A105" s="422"/>
      <c r="B105" s="442"/>
      <c r="C105" s="446"/>
      <c r="D105" s="446"/>
      <c r="E105" s="446"/>
      <c r="F105" s="568"/>
      <c r="G105" s="569"/>
      <c r="H105" s="439"/>
      <c r="I105" s="574">
        <v>7035748.1564388704</v>
      </c>
      <c r="J105" s="566">
        <v>0.29908815313403703</v>
      </c>
      <c r="K105" s="566">
        <v>4.9538486136254796E-226</v>
      </c>
      <c r="L105" s="566">
        <v>2.9387822000544199E-111</v>
      </c>
      <c r="M105" s="566">
        <v>7.3626889161171595E-226</v>
      </c>
      <c r="N105" s="566">
        <v>7.8917838532640102E-226</v>
      </c>
      <c r="O105" s="566">
        <v>2.99404086049736E-111</v>
      </c>
      <c r="P105" s="566">
        <v>1.17292040036325E-225</v>
      </c>
      <c r="Q105" s="566">
        <v>8.1970799963251995E-17</v>
      </c>
      <c r="R105" s="566">
        <v>5.6287587459723201E-226</v>
      </c>
      <c r="S105" s="566">
        <v>1.07972547882224E-110</v>
      </c>
      <c r="T105" s="566">
        <v>-2.2309270946132298E-118</v>
      </c>
      <c r="U105" s="566">
        <v>4.6747159386912998E-18</v>
      </c>
      <c r="V105" s="566">
        <v>5.84791274856705E-229</v>
      </c>
      <c r="W105" s="566">
        <v>-2.7933973734713999E-101</v>
      </c>
      <c r="X105" s="566">
        <v>-5.2900232391890304E-102</v>
      </c>
      <c r="Y105" s="566">
        <v>0.256365148784365</v>
      </c>
      <c r="Z105" s="566">
        <v>4.2062856539414703E-226</v>
      </c>
      <c r="AA105" s="566">
        <v>-1.4025423319402801E-42</v>
      </c>
      <c r="AB105" s="566">
        <v>4.3062764225800202E-39</v>
      </c>
      <c r="AC105" s="566">
        <v>3.8700348419265998E-19</v>
      </c>
      <c r="AD105" s="566">
        <v>6.2801016625273901E-226</v>
      </c>
      <c r="AE105" s="566">
        <v>-1.1150941893819899E-98</v>
      </c>
      <c r="AF105" s="566">
        <v>-8.8558222479898899E-99</v>
      </c>
      <c r="AG105" s="566">
        <v>4.4727451711690303E-18</v>
      </c>
      <c r="AH105" s="566">
        <v>6.5246160667832698E-229</v>
      </c>
      <c r="AI105" s="566">
        <v>-1.5005201219284E-98</v>
      </c>
      <c r="AJ105" s="566">
        <v>-5.8523847102898601E-99</v>
      </c>
      <c r="AK105" s="566">
        <v>0.25546319260681999</v>
      </c>
      <c r="AL105" s="566">
        <v>4.2332251256395899E-226</v>
      </c>
      <c r="AM105" s="566">
        <v>-1.7861958388510099E-42</v>
      </c>
      <c r="AN105" s="566">
        <v>5.4822566306169603E-39</v>
      </c>
      <c r="AO105" s="566">
        <v>2.0524001061895299E-16</v>
      </c>
      <c r="AP105" s="566">
        <v>6.2189538883184097E-226</v>
      </c>
      <c r="AQ105" s="566">
        <v>5.1434277165861402E-104</v>
      </c>
      <c r="AR105" s="566">
        <v>-3.1558535648160798E-99</v>
      </c>
      <c r="AS105" s="566">
        <v>5.8130708030969398E-18</v>
      </c>
      <c r="AT105" s="566">
        <v>6.1994266142344201E-228</v>
      </c>
      <c r="AU105" s="566">
        <v>-1.9633224731600601E-100</v>
      </c>
      <c r="AV105" s="566">
        <v>-3.0105260582671599E-99</v>
      </c>
      <c r="AW105" s="566">
        <v>2.0524001061895299E-16</v>
      </c>
      <c r="AX105" s="566">
        <v>6.21895841953043E-226</v>
      </c>
      <c r="AY105" s="566">
        <v>5.1434276204565098E-104</v>
      </c>
      <c r="AZ105" s="566">
        <v>-3.1558536070084801E-99</v>
      </c>
      <c r="BA105" s="566">
        <v>0.30962482328036101</v>
      </c>
      <c r="BB105" s="566">
        <v>1.8634168715211201E-225</v>
      </c>
      <c r="BC105" s="566">
        <v>1.44157508950081E-110</v>
      </c>
      <c r="BD105" s="566">
        <v>1.5769160235230699E-225</v>
      </c>
      <c r="BE105" s="566">
        <v>2.9685363822033798E-225</v>
      </c>
      <c r="BF105" s="566">
        <v>1.4686814488726E-110</v>
      </c>
      <c r="BG105" s="566">
        <v>2.51212397639111E-225</v>
      </c>
      <c r="BH105" s="566">
        <v>1.2275564717093001E-15</v>
      </c>
      <c r="BI105" s="566">
        <v>2.07527877828445E-225</v>
      </c>
      <c r="BJ105" s="566">
        <v>8.15647556462349E-110</v>
      </c>
      <c r="BK105" s="566">
        <v>3.57795673815164E-119</v>
      </c>
      <c r="BL105" s="566">
        <v>2.6522025718444001E-15</v>
      </c>
      <c r="BM105" s="566">
        <v>2.0752709776122701E-225</v>
      </c>
      <c r="BN105" s="566">
        <v>-4.6830733804260504E-100</v>
      </c>
      <c r="BO105" s="566">
        <v>-4.0845789277326001E-101</v>
      </c>
      <c r="BP105" s="566">
        <v>0.309820920241133</v>
      </c>
      <c r="BQ105" s="566">
        <v>2.0834491499879001E-225</v>
      </c>
      <c r="BR105" s="566">
        <v>-2.2378771659311E-38</v>
      </c>
      <c r="BS105" s="566">
        <v>1.55251902961696E-34</v>
      </c>
      <c r="BT105" s="566">
        <v>1.2146355223314001E-15</v>
      </c>
      <c r="BU105" s="566">
        <v>2.0994900944568499E-225</v>
      </c>
      <c r="BV105" s="566">
        <v>-2.1638675825335598E-98</v>
      </c>
      <c r="BW105" s="566">
        <v>-9.2931743596317907E-99</v>
      </c>
      <c r="BX105" s="566">
        <v>2.6412531765135301E-15</v>
      </c>
      <c r="BY105" s="566">
        <v>2.0994783245568799E-225</v>
      </c>
      <c r="BZ105" s="566">
        <v>-1.7696855020296699E-97</v>
      </c>
      <c r="CA105" s="566">
        <v>-7.22920918594272E-99</v>
      </c>
      <c r="CB105" s="566">
        <v>0.30982087885190901</v>
      </c>
      <c r="CC105" s="566">
        <v>2.08381471174289E-225</v>
      </c>
      <c r="CD105" s="566">
        <v>-1.0931450925173099E-36</v>
      </c>
      <c r="CE105" s="566">
        <v>-2.5757477354923599E-34</v>
      </c>
      <c r="CF105" s="566">
        <v>3.12213411219526E-15</v>
      </c>
      <c r="CG105" s="566">
        <v>2.3392929966719E-225</v>
      </c>
      <c r="CH105" s="566">
        <v>1.15890721376682E-103</v>
      </c>
      <c r="CI105" s="566">
        <v>-3.23277013619965E-99</v>
      </c>
      <c r="CJ105" s="566">
        <v>2.9108671064474202E-15</v>
      </c>
      <c r="CK105" s="566">
        <v>2.3392968848059499E-225</v>
      </c>
      <c r="CL105" s="566">
        <v>-5.42682671750935E-100</v>
      </c>
      <c r="CM105" s="566">
        <v>-3.2304359361943002E-99</v>
      </c>
      <c r="CN105" s="566">
        <v>3.12213411219526E-15</v>
      </c>
      <c r="CO105" s="566">
        <v>2.33929332504961E-225</v>
      </c>
      <c r="CP105" s="566">
        <v>1.1589072056750599E-103</v>
      </c>
      <c r="CQ105" s="566">
        <v>-3.2327700832962698E-99</v>
      </c>
      <c r="CR105" s="566">
        <v>0.309863286637375</v>
      </c>
      <c r="CS105" s="566">
        <v>6.9489977998168602E-225</v>
      </c>
      <c r="CT105" s="566">
        <v>1.3034582677163199E-109</v>
      </c>
      <c r="CU105" s="566">
        <v>5.4412658693791704E-225</v>
      </c>
      <c r="CV105" s="566">
        <v>1.1070181605342399E-224</v>
      </c>
      <c r="CW105" s="566">
        <v>1.3279675181484301E-109</v>
      </c>
      <c r="CX105" s="566">
        <v>8.6666861422133495E-225</v>
      </c>
      <c r="CY105" s="566">
        <v>0.30986317927139601</v>
      </c>
      <c r="CZ105" s="566">
        <v>8.9397062014965599E-225</v>
      </c>
      <c r="DA105" s="566">
        <v>-6.2184641752866501E-36</v>
      </c>
      <c r="DB105" s="566">
        <v>1.0406183601070599E-30</v>
      </c>
      <c r="DC105" s="566">
        <v>0.30986355972831497</v>
      </c>
      <c r="DD105" s="566">
        <v>8.9411255834620606E-225</v>
      </c>
      <c r="DE105" s="566">
        <v>-7.8425266790880502E-33</v>
      </c>
      <c r="DF105" s="566">
        <v>1.2957599681179999E-27</v>
      </c>
      <c r="DG105" s="566">
        <v>0.30986361208327401</v>
      </c>
      <c r="DH105" s="566">
        <v>8.9426922641797495E-225</v>
      </c>
      <c r="DI105" s="566">
        <v>-1.13653892525998E-32</v>
      </c>
      <c r="DJ105" s="566">
        <v>1.87773368604406E-27</v>
      </c>
      <c r="DK105" s="566">
        <v>1.28520645508841E-13</v>
      </c>
      <c r="DL105" s="566">
        <v>9.3618852288434701E-225</v>
      </c>
      <c r="DM105" s="566">
        <v>3.4628615778160101E-103</v>
      </c>
      <c r="DN105" s="566">
        <v>-3.3233270310521402E-99</v>
      </c>
      <c r="DO105" s="566">
        <v>0.30986328689728798</v>
      </c>
      <c r="DP105" s="566">
        <v>3.4098968235751598E-224</v>
      </c>
      <c r="DQ105" s="566">
        <v>5.7693511095356598E-109</v>
      </c>
      <c r="DR105" s="566">
        <v>5.8526618926646597E-223</v>
      </c>
      <c r="DS105" s="566">
        <v>3.4294862817762802E-223</v>
      </c>
      <c r="DT105" s="566">
        <v>6.08374291828346E-109</v>
      </c>
      <c r="DU105" s="566">
        <v>-6.0173149847106398E-222</v>
      </c>
      <c r="DV105" s="566">
        <v>0.30986404166696901</v>
      </c>
      <c r="DW105" s="566">
        <v>1.48447902950634E-223</v>
      </c>
      <c r="DX105" s="566">
        <v>-2.1839794407587899E-32</v>
      </c>
      <c r="DY105" s="566">
        <v>2.9216228806819898E-26</v>
      </c>
      <c r="DZ105" s="566">
        <v>0.3098642550481</v>
      </c>
      <c r="EA105" s="566">
        <v>1.4847030014643101E-223</v>
      </c>
      <c r="EB105" s="566">
        <v>-2.1682106025839099E-29</v>
      </c>
      <c r="EC105" s="566">
        <v>2.8668195964688501E-23</v>
      </c>
      <c r="ED105" s="566">
        <v>0.30986430745196902</v>
      </c>
      <c r="EE105" s="566">
        <v>1.48495423816636E-223</v>
      </c>
      <c r="EF105" s="566">
        <v>-1.2662175014835201E-22</v>
      </c>
      <c r="EG105" s="566">
        <v>2.09281187998344E-17</v>
      </c>
      <c r="EH105" s="566">
        <v>3.7203988681502297E-14</v>
      </c>
      <c r="EI105" s="566">
        <v>2.0147228992167998E-223</v>
      </c>
      <c r="EJ105" s="566">
        <v>-1.1734146710820601E-98</v>
      </c>
      <c r="EK105" s="566">
        <v>-3.4728801253519398E-99</v>
      </c>
      <c r="EL105" s="566">
        <v>0.309864527617907</v>
      </c>
      <c r="EM105" s="566">
        <v>2.4168141019128598E-224</v>
      </c>
      <c r="EN105" s="566">
        <v>3.4202852070549802E-109</v>
      </c>
      <c r="EO105" s="566">
        <v>1.6242517836894499E-224</v>
      </c>
      <c r="EP105" s="566">
        <v>3.0227486728639799E-224</v>
      </c>
      <c r="EQ105" s="566">
        <v>3.45461696574369E-109</v>
      </c>
      <c r="ER105" s="566">
        <v>2.0314365404571599E-224</v>
      </c>
      <c r="ES105" s="566">
        <v>0.30986785151853502</v>
      </c>
      <c r="ET105" s="566">
        <v>2.7519990061572002E-224</v>
      </c>
      <c r="EU105" s="566">
        <v>-7.4866851293748801E-39</v>
      </c>
      <c r="EV105" s="566">
        <v>8.8065062581867002E-32</v>
      </c>
      <c r="EW105" s="566">
        <v>0.30986786625391499</v>
      </c>
      <c r="EX105" s="566">
        <v>2.7524072987436098E-224</v>
      </c>
      <c r="EY105" s="566">
        <v>-1.3643871099026099E-35</v>
      </c>
      <c r="EZ105" s="566">
        <v>1.17069688730706E-28</v>
      </c>
      <c r="FA105" s="566">
        <v>0.30986791866999103</v>
      </c>
      <c r="FB105" s="566">
        <v>2.7528719850617598E-224</v>
      </c>
      <c r="FC105" s="566">
        <v>-1.3565367622591699E-35</v>
      </c>
      <c r="FD105" s="566">
        <v>1.7514344197170401E-28</v>
      </c>
      <c r="FE105" s="566">
        <v>8.3521956330276204E-12</v>
      </c>
      <c r="FF105" s="566">
        <v>2.7851012028885999E-224</v>
      </c>
      <c r="FG105" s="566">
        <v>1.52312898658472E-103</v>
      </c>
      <c r="FH105" s="566">
        <v>-3.39833883735012E-99</v>
      </c>
    </row>
    <row r="106" spans="1:164" ht="12.75" customHeight="1" x14ac:dyDescent="0.3">
      <c r="A106" s="422"/>
      <c r="B106" s="443"/>
      <c r="C106" s="443"/>
      <c r="D106" s="443"/>
      <c r="E106" s="443"/>
      <c r="F106" s="568"/>
      <c r="G106" s="569"/>
      <c r="H106" s="439"/>
      <c r="I106" s="574">
        <v>7119507.06306314</v>
      </c>
      <c r="J106" s="566">
        <v>0.29310934119723597</v>
      </c>
      <c r="K106" s="566">
        <v>1.1235065110817001E-230</v>
      </c>
      <c r="L106" s="566">
        <v>1.35381390922148E-114</v>
      </c>
      <c r="M106" s="566">
        <v>1.6618561912393799E-230</v>
      </c>
      <c r="N106" s="566">
        <v>1.7928635485669E-230</v>
      </c>
      <c r="O106" s="566">
        <v>1.37926976481825E-114</v>
      </c>
      <c r="P106" s="566">
        <v>2.6659204357231201E-230</v>
      </c>
      <c r="Q106" s="566">
        <v>8.0332192776193801E-17</v>
      </c>
      <c r="R106" s="566">
        <v>1.28168816498424E-230</v>
      </c>
      <c r="S106" s="566">
        <v>4.9740143292574197E-114</v>
      </c>
      <c r="T106" s="566">
        <v>-8.3589267093030099E-122</v>
      </c>
      <c r="U106" s="566">
        <v>4.5812677456983603E-18</v>
      </c>
      <c r="V106" s="566">
        <v>1.31526000341971E-233</v>
      </c>
      <c r="W106" s="566">
        <v>-1.65137777558602E-104</v>
      </c>
      <c r="X106" s="566">
        <v>-3.3297983763024401E-105</v>
      </c>
      <c r="Y106" s="566">
        <v>0.25124037538337901</v>
      </c>
      <c r="Z106" s="566">
        <v>9.5634886722588503E-231</v>
      </c>
      <c r="AA106" s="566">
        <v>-1.90555774043585E-45</v>
      </c>
      <c r="AB106" s="566">
        <v>5.8434229696528895E-42</v>
      </c>
      <c r="AC106" s="566">
        <v>3.7926723310204101E-19</v>
      </c>
      <c r="AD106" s="566">
        <v>1.4341218510074399E-230</v>
      </c>
      <c r="AE106" s="566">
        <v>-6.9986488005709797E-102</v>
      </c>
      <c r="AF106" s="566">
        <v>-5.5581864806784302E-102</v>
      </c>
      <c r="AG106" s="566">
        <v>4.3833344006653604E-18</v>
      </c>
      <c r="AH106" s="566">
        <v>1.4750887132508501E-233</v>
      </c>
      <c r="AI106" s="566">
        <v>-9.4342692773202597E-102</v>
      </c>
      <c r="AJ106" s="566">
        <v>-3.6753776381965298E-102</v>
      </c>
      <c r="AK106" s="566">
        <v>0.25035644942971302</v>
      </c>
      <c r="AL106" s="566">
        <v>9.5712514192726998E-231</v>
      </c>
      <c r="AM106" s="566">
        <v>-3.03307214774623E-45</v>
      </c>
      <c r="AN106" s="566">
        <v>9.3021931554337806E-42</v>
      </c>
      <c r="AO106" s="566">
        <v>2.0113723552559199E-16</v>
      </c>
      <c r="AP106" s="566">
        <v>1.4122603654605999E-230</v>
      </c>
      <c r="AQ106" s="566">
        <v>2.8341889464962703E-107</v>
      </c>
      <c r="AR106" s="566">
        <v>-1.9864197889483599E-102</v>
      </c>
      <c r="AS106" s="566">
        <v>5.6968667450492397E-18</v>
      </c>
      <c r="AT106" s="566">
        <v>1.4062645419849099E-232</v>
      </c>
      <c r="AU106" s="566">
        <v>-1.1606546242962301E-103</v>
      </c>
      <c r="AV106" s="566">
        <v>-1.8949688382412502E-102</v>
      </c>
      <c r="AW106" s="566">
        <v>2.0113723552559199E-16</v>
      </c>
      <c r="AX106" s="566">
        <v>1.41333766497773E-230</v>
      </c>
      <c r="AY106" s="566">
        <v>2.83417292103472E-107</v>
      </c>
      <c r="AZ106" s="566">
        <v>-1.9864153401837601E-102</v>
      </c>
      <c r="BA106" s="566">
        <v>0.30343538190677</v>
      </c>
      <c r="BB106" s="566">
        <v>4.2124343582438099E-230</v>
      </c>
      <c r="BC106" s="566">
        <v>6.64089841004514E-114</v>
      </c>
      <c r="BD106" s="566">
        <v>3.5808149227835899E-230</v>
      </c>
      <c r="BE106" s="566">
        <v>6.7172881055286204E-230</v>
      </c>
      <c r="BF106" s="566">
        <v>6.7657178764336004E-114</v>
      </c>
      <c r="BG106" s="566">
        <v>5.7117608392312498E-230</v>
      </c>
      <c r="BH106" s="566">
        <v>1.20301745466952E-15</v>
      </c>
      <c r="BI106" s="566">
        <v>4.70191465865361E-230</v>
      </c>
      <c r="BJ106" s="566">
        <v>3.75743272437014E-113</v>
      </c>
      <c r="BK106" s="566">
        <v>1.3581136208312601E-122</v>
      </c>
      <c r="BL106" s="566">
        <v>2.5991846898948899E-15</v>
      </c>
      <c r="BM106" s="566">
        <v>4.68695204349951E-230</v>
      </c>
      <c r="BN106" s="566">
        <v>-2.79428499327816E-103</v>
      </c>
      <c r="BO106" s="566">
        <v>-2.5253896248472401E-104</v>
      </c>
      <c r="BP106" s="566">
        <v>0.30362755886323201</v>
      </c>
      <c r="BQ106" s="566">
        <v>4.74182174033969E-230</v>
      </c>
      <c r="BR106" s="566">
        <v>-2.8302134214734498E-41</v>
      </c>
      <c r="BS106" s="566">
        <v>1.96277279186958E-37</v>
      </c>
      <c r="BT106" s="566">
        <v>1.1903547967871699E-15</v>
      </c>
      <c r="BU106" s="566">
        <v>4.7409619966891296E-230</v>
      </c>
      <c r="BV106" s="566">
        <v>-1.35813776988615E-101</v>
      </c>
      <c r="BW106" s="566">
        <v>-5.8328016869561202E-102</v>
      </c>
      <c r="BX106" s="566">
        <v>2.5884541744321098E-15</v>
      </c>
      <c r="BY106" s="566">
        <v>4.7656441627335501E-230</v>
      </c>
      <c r="BZ106" s="566">
        <v>-1.0853355443276799E-100</v>
      </c>
      <c r="CA106" s="566">
        <v>-4.4474960636789402E-102</v>
      </c>
      <c r="CB106" s="566">
        <v>0.30362751830138401</v>
      </c>
      <c r="CC106" s="566">
        <v>4.7307171765449297E-230</v>
      </c>
      <c r="CD106" s="566">
        <v>-7.09854234044845E-40</v>
      </c>
      <c r="CE106" s="566">
        <v>3.61302265689479E-38</v>
      </c>
      <c r="CF106" s="566">
        <v>3.0597222362894901E-15</v>
      </c>
      <c r="CG106" s="566">
        <v>5.2918817194502403E-230</v>
      </c>
      <c r="CH106" s="566">
        <v>6.3859238852262806E-107</v>
      </c>
      <c r="CI106" s="566">
        <v>-2.0348305044132499E-102</v>
      </c>
      <c r="CJ106" s="566">
        <v>2.85267848606877E-15</v>
      </c>
      <c r="CK106" s="566">
        <v>5.2632720666305796E-230</v>
      </c>
      <c r="CL106" s="566">
        <v>-3.2081741987915602E-103</v>
      </c>
      <c r="CM106" s="566">
        <v>-2.03338986908926E-102</v>
      </c>
      <c r="CN106" s="566">
        <v>3.0597222362894901E-15</v>
      </c>
      <c r="CO106" s="566">
        <v>5.2598838275279102E-230</v>
      </c>
      <c r="CP106" s="566">
        <v>6.3859656401414199E-107</v>
      </c>
      <c r="CQ106" s="566">
        <v>-2.03483701261717E-102</v>
      </c>
      <c r="CR106" s="566">
        <v>0.30366907834958101</v>
      </c>
      <c r="CS106" s="566">
        <v>1.5769888498752201E-229</v>
      </c>
      <c r="CT106" s="566">
        <v>6.0046794575907804E-113</v>
      </c>
      <c r="CU106" s="566">
        <v>1.23994071989865E-229</v>
      </c>
      <c r="CV106" s="566">
        <v>2.5130131705401001E-229</v>
      </c>
      <c r="CW106" s="566">
        <v>6.1175444863484601E-113</v>
      </c>
      <c r="CX106" s="566">
        <v>1.9635149429527802E-229</v>
      </c>
      <c r="CY106" s="566">
        <v>0.30366897312986302</v>
      </c>
      <c r="CZ106" s="566">
        <v>2.02501063719851E-229</v>
      </c>
      <c r="DA106" s="566">
        <v>-6.7416138470087095E-39</v>
      </c>
      <c r="DB106" s="566">
        <v>1.12779746976287E-33</v>
      </c>
      <c r="DC106" s="566">
        <v>0.303669345981397</v>
      </c>
      <c r="DD106" s="566">
        <v>2.0175328139525298E-229</v>
      </c>
      <c r="DE106" s="566">
        <v>-7.3502994698118205E-36</v>
      </c>
      <c r="DF106" s="566">
        <v>1.2144275586632E-30</v>
      </c>
      <c r="DG106" s="566">
        <v>0.30366939728977399</v>
      </c>
      <c r="DH106" s="566">
        <v>2.0261113748319401E-229</v>
      </c>
      <c r="DI106" s="566">
        <v>-1.4451967307586701E-35</v>
      </c>
      <c r="DJ106" s="566">
        <v>2.38772907799993E-30</v>
      </c>
      <c r="DK106" s="566">
        <v>1.25951500721788E-13</v>
      </c>
      <c r="DL106" s="566">
        <v>2.12430214991601E-229</v>
      </c>
      <c r="DM106" s="566">
        <v>1.9081326915331001E-106</v>
      </c>
      <c r="DN106" s="566">
        <v>-2.0918355512253099E-102</v>
      </c>
      <c r="DO106" s="566">
        <v>0.30366907860429798</v>
      </c>
      <c r="DP106" s="566">
        <v>7.7435577943834001E-229</v>
      </c>
      <c r="DQ106" s="566">
        <v>2.65776484574078E-112</v>
      </c>
      <c r="DR106" s="566">
        <v>1.3407221674124099E-227</v>
      </c>
      <c r="DS106" s="566">
        <v>8.9128687937152498E-228</v>
      </c>
      <c r="DT106" s="566">
        <v>2.8026072725715698E-112</v>
      </c>
      <c r="DU106" s="566">
        <v>-1.2951609463574E-226</v>
      </c>
      <c r="DV106" s="566">
        <v>0.30366981828603401</v>
      </c>
      <c r="DW106" s="566">
        <v>3.8052169318716098E-228</v>
      </c>
      <c r="DX106" s="566">
        <v>-1.98064057148335E-35</v>
      </c>
      <c r="DY106" s="566">
        <v>2.6485239253063001E-29</v>
      </c>
      <c r="DZ106" s="566">
        <v>0.303670027401648</v>
      </c>
      <c r="EA106" s="566">
        <v>3.8002164570563597E-228</v>
      </c>
      <c r="EB106" s="566">
        <v>-1.6640960735156999E-32</v>
      </c>
      <c r="EC106" s="566">
        <v>2.2002581755643099E-26</v>
      </c>
      <c r="ED106" s="566">
        <v>0.30367007875795698</v>
      </c>
      <c r="EE106" s="566">
        <v>3.7896230866195198E-228</v>
      </c>
      <c r="EF106" s="566">
        <v>-7.8939218046808699E-26</v>
      </c>
      <c r="EG106" s="566">
        <v>1.30470904268857E-20</v>
      </c>
      <c r="EH106" s="566">
        <v>3.64602760024975E-14</v>
      </c>
      <c r="EI106" s="566">
        <v>5.1987729061539E-228</v>
      </c>
      <c r="EJ106" s="566">
        <v>-7.028700306064E-102</v>
      </c>
      <c r="EK106" s="566">
        <v>-2.1859680867777701E-102</v>
      </c>
      <c r="EL106" s="566">
        <v>0.30367029452274702</v>
      </c>
      <c r="EM106" s="566">
        <v>5.5231935227256902E-229</v>
      </c>
      <c r="EN106" s="566">
        <v>1.5756271347119499E-112</v>
      </c>
      <c r="EO106" s="566">
        <v>3.7071949843985197E-229</v>
      </c>
      <c r="EP106" s="566">
        <v>6.8873482965625805E-229</v>
      </c>
      <c r="EQ106" s="566">
        <v>1.5914526292964401E-112</v>
      </c>
      <c r="ER106" s="566">
        <v>4.6243015576796297E-229</v>
      </c>
      <c r="ES106" s="566">
        <v>0.30367355197815898</v>
      </c>
      <c r="ET106" s="566">
        <v>6.2456987184211E-229</v>
      </c>
      <c r="EU106" s="566">
        <v>-1.24210884968668E-41</v>
      </c>
      <c r="EV106" s="566">
        <v>1.0127394514504301E-34</v>
      </c>
      <c r="EW106" s="566">
        <v>0.30367356641897703</v>
      </c>
      <c r="EX106" s="566">
        <v>6.2810789470815001E-229</v>
      </c>
      <c r="EY106" s="566">
        <v>-1.80315284976358E-38</v>
      </c>
      <c r="EZ106" s="566">
        <v>1.21028526808631E-31</v>
      </c>
      <c r="FA106" s="566">
        <v>0.303673617787249</v>
      </c>
      <c r="FB106" s="566">
        <v>6.2760333381127998E-229</v>
      </c>
      <c r="FC106" s="566">
        <v>-2.6528211261490198E-38</v>
      </c>
      <c r="FD106" s="566">
        <v>2.30484190216531E-31</v>
      </c>
      <c r="FE106" s="566">
        <v>8.1852341321256995E-12</v>
      </c>
      <c r="FF106" s="566">
        <v>6.3320908967741597E-229</v>
      </c>
      <c r="FG106" s="566">
        <v>7.5832394760688602E-107</v>
      </c>
      <c r="FH106" s="566">
        <v>-2.1390458595336999E-102</v>
      </c>
    </row>
    <row r="107" spans="1:164" ht="12.75" customHeight="1" x14ac:dyDescent="0.3">
      <c r="A107" s="422"/>
      <c r="B107" s="443"/>
      <c r="C107" s="444"/>
      <c r="D107" s="441"/>
      <c r="E107" s="441"/>
      <c r="F107" s="568"/>
      <c r="G107" s="569"/>
      <c r="H107" s="439"/>
      <c r="I107" s="574">
        <v>7203265.9696874097</v>
      </c>
      <c r="J107" s="566">
        <v>0.28725004651042702</v>
      </c>
      <c r="K107" s="566">
        <v>-2.32902270997466E-231</v>
      </c>
      <c r="L107" s="566">
        <v>-2.79103332855074E-115</v>
      </c>
      <c r="M107" s="566">
        <v>-3.4615246588459001E-231</v>
      </c>
      <c r="N107" s="566">
        <v>-3.7102769609827503E-231</v>
      </c>
      <c r="O107" s="566">
        <v>-2.8435137845716198E-115</v>
      </c>
      <c r="P107" s="566">
        <v>-5.5144229626593501E-231</v>
      </c>
      <c r="Q107" s="566">
        <v>7.8726341565888902E-17</v>
      </c>
      <c r="R107" s="566">
        <v>-2.6463275212801899E-231</v>
      </c>
      <c r="S107" s="566">
        <v>-1.0254417202987901E-114</v>
      </c>
      <c r="T107" s="566">
        <v>1.7233381285387601E-122</v>
      </c>
      <c r="U107" s="566">
        <v>4.4896875945813403E-18</v>
      </c>
      <c r="V107" s="566">
        <v>-2.7493561512646598E-234</v>
      </c>
      <c r="W107" s="566">
        <v>3.4044083260419198E-105</v>
      </c>
      <c r="X107" s="566">
        <v>6.8645548969631895E-106</v>
      </c>
      <c r="Y107" s="566">
        <v>0.246218046887866</v>
      </c>
      <c r="Z107" s="566">
        <v>-1.9775616287491599E-231</v>
      </c>
      <c r="AA107" s="566">
        <v>3.92814990060912E-46</v>
      </c>
      <c r="AB107" s="566">
        <v>-1.2045709899148E-42</v>
      </c>
      <c r="AC107" s="566">
        <v>3.7168563070506999E-19</v>
      </c>
      <c r="AD107" s="566">
        <v>-2.9525543978051501E-231</v>
      </c>
      <c r="AE107" s="566">
        <v>1.4428139282392799E-102</v>
      </c>
      <c r="AF107" s="566">
        <v>1.14584973205819E-102</v>
      </c>
      <c r="AG107" s="566">
        <v>4.2957109634223004E-18</v>
      </c>
      <c r="AH107" s="566">
        <v>-3.0675053503126102E-234</v>
      </c>
      <c r="AI107" s="566">
        <v>1.9449259990069098E-102</v>
      </c>
      <c r="AJ107" s="566">
        <v>7.57693361109091E-103</v>
      </c>
      <c r="AK107" s="566">
        <v>0.24535179073149399</v>
      </c>
      <c r="AL107" s="566">
        <v>-1.9902257735246599E-231</v>
      </c>
      <c r="AM107" s="566">
        <v>6.2521978039905799E-46</v>
      </c>
      <c r="AN107" s="566">
        <v>-1.91749804711775E-42</v>
      </c>
      <c r="AO107" s="566">
        <v>1.9711647545489401E-16</v>
      </c>
      <c r="AP107" s="566">
        <v>-2.92380520789493E-231</v>
      </c>
      <c r="AQ107" s="566">
        <v>-5.8428946647247797E-108</v>
      </c>
      <c r="AR107" s="566">
        <v>4.09511047739802E-103</v>
      </c>
      <c r="AS107" s="566">
        <v>5.5829856216662397E-18</v>
      </c>
      <c r="AT107" s="566">
        <v>-2.9146255425919702E-233</v>
      </c>
      <c r="AU107" s="566">
        <v>2.3927658776164701E-104</v>
      </c>
      <c r="AV107" s="566">
        <v>3.90658600928902E-103</v>
      </c>
      <c r="AW107" s="566">
        <v>1.9711647545489401E-16</v>
      </c>
      <c r="AX107" s="566">
        <v>-2.9238060639769899E-231</v>
      </c>
      <c r="AY107" s="566">
        <v>-5.8428947122567399E-108</v>
      </c>
      <c r="AZ107" s="566">
        <v>4.0951104508099901E-103</v>
      </c>
      <c r="BA107" s="566">
        <v>0.29736966829377498</v>
      </c>
      <c r="BB107" s="566">
        <v>-8.7607450111695998E-231</v>
      </c>
      <c r="BC107" s="566">
        <v>-1.36909912278082E-114</v>
      </c>
      <c r="BD107" s="566">
        <v>-7.41378695075539E-231</v>
      </c>
      <c r="BE107" s="566">
        <v>-1.3956405041869999E-230</v>
      </c>
      <c r="BF107" s="566">
        <v>-1.3948426147169199E-114</v>
      </c>
      <c r="BG107" s="566">
        <v>-1.18106172956193E-230</v>
      </c>
      <c r="BH107" s="566">
        <v>1.1789689758612699E-15</v>
      </c>
      <c r="BI107" s="566">
        <v>-9.7568181269182403E-231</v>
      </c>
      <c r="BJ107" s="566">
        <v>-7.7464043571832597E-114</v>
      </c>
      <c r="BK107" s="566">
        <v>-2.7999240322541301E-123</v>
      </c>
      <c r="BL107" s="566">
        <v>2.5472266424941198E-15</v>
      </c>
      <c r="BM107" s="566">
        <v>-9.7567625396437004E-231</v>
      </c>
      <c r="BN107" s="566">
        <v>5.7605752130665606E-104</v>
      </c>
      <c r="BO107" s="566">
        <v>5.2062513964206202E-105</v>
      </c>
      <c r="BP107" s="566">
        <v>0.29755800360733498</v>
      </c>
      <c r="BQ107" s="566">
        <v>-9.7952315125668303E-231</v>
      </c>
      <c r="BR107" s="566">
        <v>5.8343008812629104E-42</v>
      </c>
      <c r="BS107" s="566">
        <v>-4.04612180010361E-38</v>
      </c>
      <c r="BT107" s="566">
        <v>1.16655944619294E-15</v>
      </c>
      <c r="BU107" s="566">
        <v>-9.8706381284707896E-231</v>
      </c>
      <c r="BV107" s="566">
        <v>2.79987496944029E-102</v>
      </c>
      <c r="BW107" s="566">
        <v>1.20246383579738E-102</v>
      </c>
      <c r="BX107" s="566">
        <v>2.5367106314615999E-15</v>
      </c>
      <c r="BY107" s="566">
        <v>-9.8705793637622002E-231</v>
      </c>
      <c r="BZ107" s="566">
        <v>2.2374898564725399E-101</v>
      </c>
      <c r="CA107" s="566">
        <v>9.1687637587301895E-103</v>
      </c>
      <c r="CB107" s="566">
        <v>0.29755796385632299</v>
      </c>
      <c r="CC107" s="566">
        <v>-9.7969517426515304E-231</v>
      </c>
      <c r="CD107" s="566">
        <v>1.46340427867368E-40</v>
      </c>
      <c r="CE107" s="566">
        <v>-7.4417964616685497E-39</v>
      </c>
      <c r="CF107" s="566">
        <v>2.99855798212763E-15</v>
      </c>
      <c r="CG107" s="566">
        <v>-1.0998048619247499E-230</v>
      </c>
      <c r="CH107" s="566">
        <v>-1.31650991938236E-107</v>
      </c>
      <c r="CI107" s="566">
        <v>4.1949192428553802E-103</v>
      </c>
      <c r="CJ107" s="566">
        <v>2.7956530639913899E-15</v>
      </c>
      <c r="CK107" s="566">
        <v>-1.09980509196493E-230</v>
      </c>
      <c r="CL107" s="566">
        <v>6.6138527346641397E-104</v>
      </c>
      <c r="CM107" s="566">
        <v>4.1919502254039599E-103</v>
      </c>
      <c r="CN107" s="566">
        <v>2.99855798212763E-15</v>
      </c>
      <c r="CO107" s="566">
        <v>-1.0998046152885E-230</v>
      </c>
      <c r="CP107" s="566">
        <v>-1.31650991367794E-107</v>
      </c>
      <c r="CQ107" s="566">
        <v>4.19491921065463E-103</v>
      </c>
      <c r="CR107" s="566">
        <v>0.29759869311363402</v>
      </c>
      <c r="CS107" s="566">
        <v>-3.26703369074773E-230</v>
      </c>
      <c r="CT107" s="566">
        <v>-1.23792621962375E-113</v>
      </c>
      <c r="CU107" s="566">
        <v>-2.5589582276479399E-230</v>
      </c>
      <c r="CV107" s="566">
        <v>-5.2045869634812102E-230</v>
      </c>
      <c r="CW107" s="566">
        <v>-1.26120325030314E-113</v>
      </c>
      <c r="CX107" s="566">
        <v>-4.0758386929317702E-230</v>
      </c>
      <c r="CY107" s="566">
        <v>0.29759858999727101</v>
      </c>
      <c r="CZ107" s="566">
        <v>-4.2029528356250896E-230</v>
      </c>
      <c r="DA107" s="566">
        <v>1.3897647206119401E-39</v>
      </c>
      <c r="DB107" s="566">
        <v>-2.3249198139892101E-34</v>
      </c>
      <c r="DC107" s="566">
        <v>0.297598955395454</v>
      </c>
      <c r="DD107" s="566">
        <v>-4.2036166085481803E-230</v>
      </c>
      <c r="DE107" s="566">
        <v>1.5152627632180501E-36</v>
      </c>
      <c r="DF107" s="566">
        <v>-2.5035396661633699E-31</v>
      </c>
      <c r="DG107" s="566">
        <v>0.29759900567816899</v>
      </c>
      <c r="DH107" s="566">
        <v>-4.2043565122006203E-230</v>
      </c>
      <c r="DI107" s="566">
        <v>2.9791606442578399E-36</v>
      </c>
      <c r="DJ107" s="566">
        <v>-4.9221199575664602E-31</v>
      </c>
      <c r="DK107" s="566">
        <v>1.23433713482527E-13</v>
      </c>
      <c r="DL107" s="566">
        <v>-4.4014357746160101E-230</v>
      </c>
      <c r="DM107" s="566">
        <v>-3.93378563703918E-107</v>
      </c>
      <c r="DN107" s="566">
        <v>4.3124280268307798E-103</v>
      </c>
      <c r="DO107" s="566">
        <v>0.297598693363259</v>
      </c>
      <c r="DP107" s="566">
        <v>-1.60314381494794E-229</v>
      </c>
      <c r="DQ107" s="566">
        <v>-5.4792938865768901E-113</v>
      </c>
      <c r="DR107" s="566">
        <v>-2.7753676945848597E-228</v>
      </c>
      <c r="DS107" s="566">
        <v>-1.8410166221884099E-228</v>
      </c>
      <c r="DT107" s="566">
        <v>-5.7778794281376199E-113</v>
      </c>
      <c r="DU107" s="566">
        <v>2.6713488792002699E-227</v>
      </c>
      <c r="DV107" s="566">
        <v>0.29759941825865699</v>
      </c>
      <c r="DW107" s="566">
        <v>-7.8257807222815504E-229</v>
      </c>
      <c r="DX107" s="566">
        <v>4.0830946231451399E-36</v>
      </c>
      <c r="DY107" s="566">
        <v>-5.4599434086210503E-30</v>
      </c>
      <c r="DZ107" s="566">
        <v>0.297599623194023</v>
      </c>
      <c r="EA107" s="566">
        <v>-7.8269726476299604E-229</v>
      </c>
      <c r="EB107" s="566">
        <v>3.4305757247084797E-33</v>
      </c>
      <c r="EC107" s="566">
        <v>-4.5359016568829101E-27</v>
      </c>
      <c r="ED107" s="566">
        <v>0.29759967352371203</v>
      </c>
      <c r="EE107" s="566">
        <v>-7.8282989418958602E-229</v>
      </c>
      <c r="EF107" s="566">
        <v>1.6273761879979599E-26</v>
      </c>
      <c r="EG107" s="566">
        <v>-2.6897410654372699E-21</v>
      </c>
      <c r="EH107" s="566">
        <v>3.5731430239383298E-14</v>
      </c>
      <c r="EI107" s="566">
        <v>-1.0711254343546199E-228</v>
      </c>
      <c r="EJ107" s="566">
        <v>1.4490187846918001E-102</v>
      </c>
      <c r="EK107" s="566">
        <v>4.5064917112416603E-103</v>
      </c>
      <c r="EL107" s="566">
        <v>0.29759988497533701</v>
      </c>
      <c r="EM107" s="566">
        <v>-1.13625410674718E-229</v>
      </c>
      <c r="EN107" s="566">
        <v>-3.2483285053343197E-113</v>
      </c>
      <c r="EO107" s="566">
        <v>-7.6369215339144799E-230</v>
      </c>
      <c r="EP107" s="566">
        <v>-1.4211303686532101E-229</v>
      </c>
      <c r="EQ107" s="566">
        <v>-3.2809342016349399E-113</v>
      </c>
      <c r="ER107" s="566">
        <v>-9.5514269896664701E-230</v>
      </c>
      <c r="ES107" s="566">
        <v>0.29760307731378299</v>
      </c>
      <c r="ET107" s="566">
        <v>-1.2938376778304599E-229</v>
      </c>
      <c r="EU107" s="566">
        <v>2.5604904301849101E-42</v>
      </c>
      <c r="EV107" s="566">
        <v>-2.0877064521109001E-35</v>
      </c>
      <c r="EW107" s="566">
        <v>0.29760309146592701</v>
      </c>
      <c r="EX107" s="566">
        <v>-1.2940315781785E-229</v>
      </c>
      <c r="EY107" s="566">
        <v>3.7171118747528298E-39</v>
      </c>
      <c r="EZ107" s="566">
        <v>-2.4949619047826801E-32</v>
      </c>
      <c r="FA107" s="566">
        <v>0.29760314180733999</v>
      </c>
      <c r="FB107" s="566">
        <v>-1.2942492006259701E-229</v>
      </c>
      <c r="FC107" s="566">
        <v>5.4683914137393201E-39</v>
      </c>
      <c r="FD107" s="566">
        <v>-4.7512030160662102E-32</v>
      </c>
      <c r="FE107" s="566">
        <v>8.0216102139498007E-12</v>
      </c>
      <c r="FF107" s="566">
        <v>-1.3094010712835099E-229</v>
      </c>
      <c r="FG107" s="566">
        <v>-1.5633545339409499E-107</v>
      </c>
      <c r="FH107" s="566">
        <v>4.40976515286717E-103</v>
      </c>
    </row>
    <row r="108" spans="1:164" ht="12.75" customHeight="1" x14ac:dyDescent="0.3">
      <c r="A108" s="422"/>
      <c r="B108" s="443"/>
      <c r="C108" s="443"/>
      <c r="D108" s="443"/>
      <c r="E108" s="443"/>
      <c r="F108" s="568"/>
      <c r="G108" s="569"/>
      <c r="H108" s="439"/>
      <c r="I108" s="574">
        <v>7287024.8763116803</v>
      </c>
      <c r="J108" s="566">
        <v>0.28150787990270298</v>
      </c>
      <c r="K108" s="566">
        <v>3.40536602896339E-232</v>
      </c>
      <c r="L108" s="566">
        <v>4.0801080091976898E-116</v>
      </c>
      <c r="M108" s="566">
        <v>5.0612468360472502E-232</v>
      </c>
      <c r="N108" s="566">
        <v>5.4249571424166899E-232</v>
      </c>
      <c r="O108" s="566">
        <v>4.1568272536119901E-116</v>
      </c>
      <c r="P108" s="566">
        <v>8.0628800024027203E-232</v>
      </c>
      <c r="Q108" s="566">
        <v>7.71525915345846E-17</v>
      </c>
      <c r="R108" s="566">
        <v>3.8693111043684202E-232</v>
      </c>
      <c r="S108" s="566">
        <v>1.4990551544808099E-115</v>
      </c>
      <c r="T108" s="566">
        <v>-2.5193787690293E-123</v>
      </c>
      <c r="U108" s="566">
        <v>4.3999381428475297E-18</v>
      </c>
      <c r="V108" s="566">
        <v>4.0199546136792E-235</v>
      </c>
      <c r="W108" s="566">
        <v>-4.9764941805790299E-106</v>
      </c>
      <c r="X108" s="566">
        <v>-1.0034297583972E-106</v>
      </c>
      <c r="Y108" s="566">
        <v>0.24129611540609899</v>
      </c>
      <c r="Z108" s="566">
        <v>2.89147924339863E-232</v>
      </c>
      <c r="AA108" s="566">
        <v>-5.74093927196634E-47</v>
      </c>
      <c r="AB108" s="566">
        <v>1.76046555072135E-43</v>
      </c>
      <c r="AC108" s="566">
        <v>3.6425558554708498E-19</v>
      </c>
      <c r="AD108" s="566">
        <v>4.3170582482998602E-232</v>
      </c>
      <c r="AE108" s="566">
        <v>-2.1090421771250201E-103</v>
      </c>
      <c r="AF108" s="566">
        <v>-1.67495292970805E-103</v>
      </c>
      <c r="AG108" s="566">
        <v>4.2098391303265099E-18</v>
      </c>
      <c r="AH108" s="566">
        <v>4.4851349961196303E-235</v>
      </c>
      <c r="AI108" s="566">
        <v>-2.8430062918810302E-103</v>
      </c>
      <c r="AJ108" s="566">
        <v>-1.1075627625698601E-103</v>
      </c>
      <c r="AK108" s="566">
        <v>0.24044717582542599</v>
      </c>
      <c r="AL108" s="566">
        <v>2.9099965417719898E-232</v>
      </c>
      <c r="AM108" s="566">
        <v>-9.1365475218394904E-47</v>
      </c>
      <c r="AN108" s="566">
        <v>2.8021058663158698E-43</v>
      </c>
      <c r="AO108" s="566">
        <v>1.9317609091209001E-16</v>
      </c>
      <c r="AP108" s="566">
        <v>4.27502377695493E-232</v>
      </c>
      <c r="AQ108" s="566">
        <v>8.5411732647177705E-109</v>
      </c>
      <c r="AR108" s="566">
        <v>-5.9860483344458801E-104</v>
      </c>
      <c r="AS108" s="566">
        <v>5.4713809970620101E-18</v>
      </c>
      <c r="AT108" s="566">
        <v>4.2616011884458199E-234</v>
      </c>
      <c r="AU108" s="566">
        <v>-3.4976960327654596E-105</v>
      </c>
      <c r="AV108" s="566">
        <v>-5.7104717301058403E-104</v>
      </c>
      <c r="AW108" s="566">
        <v>1.9317609091209001E-16</v>
      </c>
      <c r="AX108" s="566">
        <v>4.27502498695325E-232</v>
      </c>
      <c r="AY108" s="566">
        <v>8.5411733553741299E-109</v>
      </c>
      <c r="AZ108" s="566">
        <v>-5.9860483244100699E-104</v>
      </c>
      <c r="BA108" s="566">
        <v>0.29142520910161801</v>
      </c>
      <c r="BB108" s="566">
        <v>1.2809471778071199E-231</v>
      </c>
      <c r="BC108" s="566">
        <v>2.0014351794011801E-115</v>
      </c>
      <c r="BD108" s="566">
        <v>1.08400217941497E-231</v>
      </c>
      <c r="BE108" s="566">
        <v>2.0406270781240601E-231</v>
      </c>
      <c r="BF108" s="566">
        <v>2.0390686447908498E-115</v>
      </c>
      <c r="BG108" s="566">
        <v>1.7268817099251401E-231</v>
      </c>
      <c r="BH108" s="566">
        <v>1.1554012293387701E-15</v>
      </c>
      <c r="BI108" s="566">
        <v>1.42658708399264E-231</v>
      </c>
      <c r="BJ108" s="566">
        <v>1.13241809352021E-114</v>
      </c>
      <c r="BK108" s="566">
        <v>4.0932501855005202E-124</v>
      </c>
      <c r="BL108" s="566">
        <v>2.4963072433625198E-15</v>
      </c>
      <c r="BM108" s="566">
        <v>1.4265795520682701E-231</v>
      </c>
      <c r="BN108" s="566">
        <v>-8.4206697975973894E-105</v>
      </c>
      <c r="BO108" s="566">
        <v>-7.61030106277917E-106</v>
      </c>
      <c r="BP108" s="566">
        <v>0.291609779567228</v>
      </c>
      <c r="BQ108" s="566">
        <v>1.4322036967843199E-231</v>
      </c>
      <c r="BR108" s="566">
        <v>-8.5269615897225996E-43</v>
      </c>
      <c r="BS108" s="566">
        <v>5.9134987335802004E-39</v>
      </c>
      <c r="BT108" s="566">
        <v>1.14323976781784E-15</v>
      </c>
      <c r="BU108" s="566">
        <v>1.4432293740296799E-231</v>
      </c>
      <c r="BV108" s="566">
        <v>-4.0927345422415401E-103</v>
      </c>
      <c r="BW108" s="566">
        <v>-1.75770895587803E-103</v>
      </c>
      <c r="BX108" s="566">
        <v>2.4860014487882102E-15</v>
      </c>
      <c r="BY108" s="566">
        <v>1.4432212412958201E-231</v>
      </c>
      <c r="BZ108" s="566">
        <v>-3.2706852004604501E-102</v>
      </c>
      <c r="CA108" s="566">
        <v>-1.3402569831011601E-103</v>
      </c>
      <c r="CB108" s="566">
        <v>0.29160974061084499</v>
      </c>
      <c r="CC108" s="566">
        <v>1.4324551537618099E-231</v>
      </c>
      <c r="CD108" s="566">
        <v>-2.1391071216955899E-41</v>
      </c>
      <c r="CE108" s="566">
        <v>1.08524070771225E-39</v>
      </c>
      <c r="CF108" s="566">
        <v>2.9386164095309799E-15</v>
      </c>
      <c r="CG108" s="566">
        <v>1.6080731737520701E-231</v>
      </c>
      <c r="CH108" s="566">
        <v>1.9244809355744201E-108</v>
      </c>
      <c r="CI108" s="566">
        <v>-6.1319442950785105E-104</v>
      </c>
      <c r="CJ108" s="566">
        <v>2.7397675876760599E-15</v>
      </c>
      <c r="CK108" s="566">
        <v>1.60807368641435E-231</v>
      </c>
      <c r="CL108" s="566">
        <v>-9.6679942243673802E-105</v>
      </c>
      <c r="CM108" s="566">
        <v>-6.1276042873214801E-104</v>
      </c>
      <c r="CN108" s="566">
        <v>2.9386164095309799E-15</v>
      </c>
      <c r="CO108" s="566">
        <v>1.6080727527398999E-231</v>
      </c>
      <c r="CP108" s="566">
        <v>1.92448091834665E-108</v>
      </c>
      <c r="CQ108" s="566">
        <v>-6.1319442569262096E-104</v>
      </c>
      <c r="CR108" s="566">
        <v>0.29164965568488799</v>
      </c>
      <c r="CS108" s="566">
        <v>4.77687090220024E-231</v>
      </c>
      <c r="CT108" s="566">
        <v>1.8096783588867001E-114</v>
      </c>
      <c r="CU108" s="566">
        <v>3.74156347900344E-231</v>
      </c>
      <c r="CV108" s="566">
        <v>7.6098533728331402E-231</v>
      </c>
      <c r="CW108" s="566">
        <v>1.8437061976672902E-114</v>
      </c>
      <c r="CX108" s="566">
        <v>5.9594611375817201E-231</v>
      </c>
      <c r="CY108" s="566">
        <v>0.29164955462983599</v>
      </c>
      <c r="CZ108" s="566">
        <v>6.1453193385408201E-231</v>
      </c>
      <c r="DA108" s="566">
        <v>-2.0312732261343498E-40</v>
      </c>
      <c r="DB108" s="566">
        <v>3.3980916466646799E-35</v>
      </c>
      <c r="DC108" s="566">
        <v>0.29164991272365998</v>
      </c>
      <c r="DD108" s="566">
        <v>6.1462896167628506E-231</v>
      </c>
      <c r="DE108" s="566">
        <v>-2.2147846129188402E-37</v>
      </c>
      <c r="DF108" s="566">
        <v>3.6593000767146201E-32</v>
      </c>
      <c r="DG108" s="566">
        <v>0.29164996200121701</v>
      </c>
      <c r="DH108" s="566">
        <v>6.1473715229127301E-231</v>
      </c>
      <c r="DI108" s="566">
        <v>-4.3540456285996996E-37</v>
      </c>
      <c r="DJ108" s="566">
        <v>7.1936821788447598E-32</v>
      </c>
      <c r="DK108" s="566">
        <v>1.2096625714461799E-13</v>
      </c>
      <c r="DL108" s="566">
        <v>6.4355294912264801E-231</v>
      </c>
      <c r="DM108" s="566">
        <v>5.7504279062640297E-108</v>
      </c>
      <c r="DN108" s="566">
        <v>-6.3037133790258306E-104</v>
      </c>
      <c r="DO108" s="566">
        <v>0.29164965592952302</v>
      </c>
      <c r="DP108" s="566">
        <v>2.3440264508253201E-230</v>
      </c>
      <c r="DQ108" s="566">
        <v>8.0099762805370093E-114</v>
      </c>
      <c r="DR108" s="566">
        <v>4.0579858563169798E-229</v>
      </c>
      <c r="DS108" s="566">
        <v>2.69182667156597E-229</v>
      </c>
      <c r="DT108" s="566">
        <v>8.44646739247364E-114</v>
      </c>
      <c r="DU108" s="566">
        <v>-3.9058969529239899E-228</v>
      </c>
      <c r="DV108" s="566">
        <v>0.29165036633416702</v>
      </c>
      <c r="DW108" s="566">
        <v>1.14423997845169E-229</v>
      </c>
      <c r="DX108" s="566">
        <v>-5.9681136826961598E-37</v>
      </c>
      <c r="DY108" s="566">
        <v>7.9806054027031492E-31</v>
      </c>
      <c r="DZ108" s="566">
        <v>0.29165056717284699</v>
      </c>
      <c r="EA108" s="566">
        <v>1.1444141623157901E-229</v>
      </c>
      <c r="EB108" s="566">
        <v>-5.0145181062269998E-34</v>
      </c>
      <c r="EC108" s="566">
        <v>6.63018778808561E-28</v>
      </c>
      <c r="ED108" s="566">
        <v>0.29165061649643897</v>
      </c>
      <c r="EE108" s="566">
        <v>1.1446081762362801E-229</v>
      </c>
      <c r="EF108" s="566">
        <v>-2.3788315285192601E-27</v>
      </c>
      <c r="EG108" s="566">
        <v>3.9317528217276698E-22</v>
      </c>
      <c r="EH108" s="566">
        <v>3.5017154199886101E-14</v>
      </c>
      <c r="EI108" s="566">
        <v>1.5661369584590501E-229</v>
      </c>
      <c r="EJ108" s="566">
        <v>-2.1181386845203899E-103</v>
      </c>
      <c r="EK108" s="566">
        <v>-6.5873869126612003E-104</v>
      </c>
      <c r="EL108" s="566">
        <v>0.291650823721117</v>
      </c>
      <c r="EM108" s="566">
        <v>1.6613660424904301E-230</v>
      </c>
      <c r="EN108" s="566">
        <v>4.7486108562667599E-114</v>
      </c>
      <c r="EO108" s="566">
        <v>1.11662723170218E-230</v>
      </c>
      <c r="EP108" s="566">
        <v>2.0778957960014499E-230</v>
      </c>
      <c r="EQ108" s="566">
        <v>4.7962758648301497E-114</v>
      </c>
      <c r="ER108" s="566">
        <v>1.39655535416086E-230</v>
      </c>
      <c r="ES108" s="566">
        <v>0.29165395224429302</v>
      </c>
      <c r="ET108" s="566">
        <v>1.89177602071861E-230</v>
      </c>
      <c r="EU108" s="566">
        <v>-3.7420601920583301E-43</v>
      </c>
      <c r="EV108" s="566">
        <v>3.0512762337089799E-36</v>
      </c>
      <c r="EW108" s="566">
        <v>0.291653966113534</v>
      </c>
      <c r="EX108" s="566">
        <v>1.8920593350830101E-230</v>
      </c>
      <c r="EY108" s="566">
        <v>-5.4327577737812702E-40</v>
      </c>
      <c r="EZ108" s="566">
        <v>3.6466213950761003E-33</v>
      </c>
      <c r="FA108" s="566">
        <v>0.29165401544861502</v>
      </c>
      <c r="FB108" s="566">
        <v>1.8923776478376799E-230</v>
      </c>
      <c r="FC108" s="566">
        <v>-7.9912227946407395E-40</v>
      </c>
      <c r="FD108" s="566">
        <v>6.94370615182577E-33</v>
      </c>
      <c r="FE108" s="566">
        <v>7.8612571596325404E-12</v>
      </c>
      <c r="FF108" s="566">
        <v>1.9145319396880201E-230</v>
      </c>
      <c r="FG108" s="566">
        <v>2.2853727430166199E-108</v>
      </c>
      <c r="FH108" s="566">
        <v>-6.44599638651841E-104</v>
      </c>
    </row>
    <row r="109" spans="1:164" ht="12.75" customHeight="1" x14ac:dyDescent="0.3">
      <c r="A109" s="422"/>
      <c r="B109" s="445"/>
      <c r="C109" s="445"/>
      <c r="D109" s="445"/>
      <c r="E109" s="445"/>
      <c r="F109" s="568"/>
      <c r="G109" s="569"/>
      <c r="H109" s="439"/>
      <c r="I109" s="574">
        <v>7370783.7829359602</v>
      </c>
      <c r="J109" s="566">
        <v>0.27588049996613001</v>
      </c>
      <c r="K109" s="566">
        <v>-3.1405048668102598E-233</v>
      </c>
      <c r="L109" s="566">
        <v>-3.7599620165817298E-117</v>
      </c>
      <c r="M109" s="566">
        <v>-4.66759447290069E-233</v>
      </c>
      <c r="N109" s="566">
        <v>-5.00301437568382E-233</v>
      </c>
      <c r="O109" s="566">
        <v>-3.8306614948604803E-117</v>
      </c>
      <c r="P109" s="566">
        <v>-7.4357671193318301E-233</v>
      </c>
      <c r="Q109" s="566">
        <v>7.5610300974880204E-17</v>
      </c>
      <c r="R109" s="566">
        <v>-3.5683657565924699E-233</v>
      </c>
      <c r="S109" s="566">
        <v>-1.3814316010386E-116</v>
      </c>
      <c r="T109" s="566">
        <v>2.3220348003642202E-124</v>
      </c>
      <c r="U109" s="566">
        <v>4.3119827945433602E-18</v>
      </c>
      <c r="V109" s="566">
        <v>-3.7072929977637698E-236</v>
      </c>
      <c r="W109" s="566">
        <v>4.58499629861462E-107</v>
      </c>
      <c r="X109" s="566">
        <v>9.2443043192102207E-108</v>
      </c>
      <c r="Y109" s="566">
        <v>0.23647257398666</v>
      </c>
      <c r="Z109" s="566">
        <v>-2.6665857671321102E-233</v>
      </c>
      <c r="AA109" s="566">
        <v>5.2851864076880798E-48</v>
      </c>
      <c r="AB109" s="566">
        <v>-1.6207117779789301E-44</v>
      </c>
      <c r="AC109" s="566">
        <v>3.5697406797606499E-19</v>
      </c>
      <c r="AD109" s="566">
        <v>-3.9812864722347198E-233</v>
      </c>
      <c r="AE109" s="566">
        <v>1.9430047555028099E-104</v>
      </c>
      <c r="AF109" s="566">
        <v>1.5430898139133001E-104</v>
      </c>
      <c r="AG109" s="566">
        <v>4.1256838865501103E-18</v>
      </c>
      <c r="AH109" s="566">
        <v>-4.1362923806425098E-236</v>
      </c>
      <c r="AI109" s="566">
        <v>2.6191818211959301E-104</v>
      </c>
      <c r="AJ109" s="566">
        <v>1.02036759077781E-104</v>
      </c>
      <c r="AK109" s="566">
        <v>0.23564060482104299</v>
      </c>
      <c r="AL109" s="566">
        <v>-2.6836645759523701E-233</v>
      </c>
      <c r="AM109" s="566">
        <v>8.4078011817879198E-48</v>
      </c>
      <c r="AN109" s="566">
        <v>-2.57860984424964E-44</v>
      </c>
      <c r="AO109" s="566">
        <v>1.89314475178278E-16</v>
      </c>
      <c r="AP109" s="566">
        <v>-3.9425215959181099E-233</v>
      </c>
      <c r="AQ109" s="566">
        <v>-7.8697809079905098E-110</v>
      </c>
      <c r="AR109" s="566">
        <v>5.5147710287449699E-105</v>
      </c>
      <c r="AS109" s="566">
        <v>5.3620073636886503E-18</v>
      </c>
      <c r="AT109" s="566">
        <v>-3.9301436081431402E-235</v>
      </c>
      <c r="AU109" s="566">
        <v>3.2225343632928101E-106</v>
      </c>
      <c r="AV109" s="566">
        <v>5.2608902526705301E-105</v>
      </c>
      <c r="AW109" s="566">
        <v>1.89314475178278E-16</v>
      </c>
      <c r="AX109" s="566">
        <v>-3.9425229894782402E-233</v>
      </c>
      <c r="AY109" s="566">
        <v>-7.8697809596354904E-110</v>
      </c>
      <c r="AZ109" s="566">
        <v>5.5147710632023602E-105</v>
      </c>
      <c r="BA109" s="566">
        <v>0.28559958043617201</v>
      </c>
      <c r="BB109" s="566">
        <v>-1.1813184446314399E-232</v>
      </c>
      <c r="BC109" s="566">
        <v>-1.84439239144494E-116</v>
      </c>
      <c r="BD109" s="566">
        <v>-9.9969097314040499E-233</v>
      </c>
      <c r="BE109" s="566">
        <v>-1.8819113025243601E-232</v>
      </c>
      <c r="BF109" s="566">
        <v>-1.8790729567878399E-116</v>
      </c>
      <c r="BG109" s="566">
        <v>-1.5925681277518099E-232</v>
      </c>
      <c r="BH109" s="566">
        <v>1.13230460519127E-15</v>
      </c>
      <c r="BI109" s="566">
        <v>-1.3156300507534899E-232</v>
      </c>
      <c r="BJ109" s="566">
        <v>-1.0435627887787101E-115</v>
      </c>
      <c r="BK109" s="566">
        <v>-3.7725928957083801E-125</v>
      </c>
      <c r="BL109" s="566">
        <v>2.4464057297648301E-15</v>
      </c>
      <c r="BM109" s="566">
        <v>-1.31562441441646E-232</v>
      </c>
      <c r="BN109" s="566">
        <v>7.7581464563855196E-106</v>
      </c>
      <c r="BO109" s="566">
        <v>7.0112796386555997E-107</v>
      </c>
      <c r="BP109" s="566">
        <v>0.28578046131364199</v>
      </c>
      <c r="BQ109" s="566">
        <v>-1.3208100535878399E-232</v>
      </c>
      <c r="BR109" s="566">
        <v>7.8507805302936104E-44</v>
      </c>
      <c r="BS109" s="566">
        <v>-5.4445666726611202E-40</v>
      </c>
      <c r="BT109" s="566">
        <v>1.1203862529026199E-15</v>
      </c>
      <c r="BU109" s="566">
        <v>-1.33097816099246E-232</v>
      </c>
      <c r="BV109" s="566">
        <v>3.7705279653773101E-104</v>
      </c>
      <c r="BW109" s="566">
        <v>1.6193307419110301E-104</v>
      </c>
      <c r="BX109" s="566">
        <v>2.4363059493938802E-15</v>
      </c>
      <c r="BY109" s="566">
        <v>-1.33097175690305E-232</v>
      </c>
      <c r="BZ109" s="566">
        <v>3.0132693381317002E-103</v>
      </c>
      <c r="CA109" s="566">
        <v>1.23476931558636E-104</v>
      </c>
      <c r="CB109" s="566">
        <v>0.28578042313600199</v>
      </c>
      <c r="CC109" s="566">
        <v>-1.32104212858453E-232</v>
      </c>
      <c r="CD109" s="566">
        <v>1.9705841295404101E-42</v>
      </c>
      <c r="CE109" s="566">
        <v>-9.9060615515951508E-41</v>
      </c>
      <c r="CF109" s="566">
        <v>2.8798730769109602E-15</v>
      </c>
      <c r="CG109" s="566">
        <v>-1.48300113965758E-232</v>
      </c>
      <c r="CH109" s="566">
        <v>-1.77320405504475E-109</v>
      </c>
      <c r="CI109" s="566">
        <v>5.6491807405206196E-105</v>
      </c>
      <c r="CJ109" s="566">
        <v>2.6849992694354199E-15</v>
      </c>
      <c r="CK109" s="566">
        <v>-1.48300166281274E-232</v>
      </c>
      <c r="CL109" s="566">
        <v>8.9074189835072591E-106</v>
      </c>
      <c r="CM109" s="566">
        <v>5.6451822898223497E-105</v>
      </c>
      <c r="CN109" s="566">
        <v>2.8798730769109602E-15</v>
      </c>
      <c r="CO109" s="566">
        <v>-1.48300077759238E-232</v>
      </c>
      <c r="CP109" s="566">
        <v>-1.7732040314233899E-109</v>
      </c>
      <c r="CQ109" s="566">
        <v>5.6491806350059898E-105</v>
      </c>
      <c r="CR109" s="566">
        <v>0.28581954030241002</v>
      </c>
      <c r="CS109" s="566">
        <v>-4.4053349335145999E-232</v>
      </c>
      <c r="CT109" s="566">
        <v>-1.6676817397533899E-115</v>
      </c>
      <c r="CU109" s="566">
        <v>-3.4505495481661699E-232</v>
      </c>
      <c r="CV109" s="566">
        <v>-7.01797263168453E-232</v>
      </c>
      <c r="CW109" s="566">
        <v>-1.69903961407235E-115</v>
      </c>
      <c r="CX109" s="566">
        <v>-5.4959444028894599E-232</v>
      </c>
      <c r="CY109" s="566">
        <v>0.285819441267462</v>
      </c>
      <c r="CZ109" s="566">
        <v>-5.6673461684153999E-232</v>
      </c>
      <c r="DA109" s="566">
        <v>1.8705563745940001E-41</v>
      </c>
      <c r="DB109" s="566">
        <v>-3.1292318055358698E-36</v>
      </c>
      <c r="DC109" s="566">
        <v>0.28581979220294301</v>
      </c>
      <c r="DD109" s="566">
        <v>-5.6682407047941099E-232</v>
      </c>
      <c r="DE109" s="566">
        <v>2.0398492403965801E-38</v>
      </c>
      <c r="DF109" s="566">
        <v>-3.3702693190372903E-33</v>
      </c>
      <c r="DG109" s="566">
        <v>0.28581984049543502</v>
      </c>
      <c r="DH109" s="566">
        <v>-5.6692376060404399E-232</v>
      </c>
      <c r="DI109" s="566">
        <v>4.0085424906995301E-38</v>
      </c>
      <c r="DJ109" s="566">
        <v>-6.6228475592290304E-33</v>
      </c>
      <c r="DK109" s="566">
        <v>1.18548125585767E-13</v>
      </c>
      <c r="DL109" s="566">
        <v>-5.9349842251817297E-232</v>
      </c>
      <c r="DM109" s="566">
        <v>-5.2984063185912601E-109</v>
      </c>
      <c r="DN109" s="566">
        <v>5.8074265251953702E-105</v>
      </c>
      <c r="DO109" s="566">
        <v>0.28581954054215503</v>
      </c>
      <c r="DP109" s="566">
        <v>-2.1617128612224601E-231</v>
      </c>
      <c r="DQ109" s="566">
        <v>-7.3814726233350601E-115</v>
      </c>
      <c r="DR109" s="566">
        <v>-3.7423625037779199E-230</v>
      </c>
      <c r="DS109" s="566">
        <v>-2.4824485219942002E-230</v>
      </c>
      <c r="DT109" s="566">
        <v>-7.7837145064965902E-115</v>
      </c>
      <c r="DU109" s="566">
        <v>3.6021104275010002E-229</v>
      </c>
      <c r="DV109" s="566">
        <v>0.285820236745715</v>
      </c>
      <c r="DW109" s="566">
        <v>-1.0552383795346201E-230</v>
      </c>
      <c r="DX109" s="566">
        <v>5.4969222003097705E-38</v>
      </c>
      <c r="DY109" s="566">
        <v>-7.3505280002420201E-32</v>
      </c>
      <c r="DZ109" s="566">
        <v>0.28582043356960402</v>
      </c>
      <c r="EA109" s="566">
        <v>-1.0553989232252001E-230</v>
      </c>
      <c r="EB109" s="566">
        <v>4.6192161120095301E-35</v>
      </c>
      <c r="EC109" s="566">
        <v>-6.1075202878490704E-29</v>
      </c>
      <c r="ED109" s="566">
        <v>0.28582048190721099</v>
      </c>
      <c r="EE109" s="566">
        <v>-1.05557816311216E-230</v>
      </c>
      <c r="EF109" s="566">
        <v>2.1915701600635401E-28</v>
      </c>
      <c r="EG109" s="566">
        <v>-3.6222456728041201E-23</v>
      </c>
      <c r="EH109" s="566">
        <v>3.4317156633038498E-14</v>
      </c>
      <c r="EI109" s="566">
        <v>-1.44431872878097E-230</v>
      </c>
      <c r="EJ109" s="566">
        <v>1.9514800453354398E-104</v>
      </c>
      <c r="EK109" s="566">
        <v>6.0687666300722296E-105</v>
      </c>
      <c r="EL109" s="566">
        <v>0.28582068498944002</v>
      </c>
      <c r="EM109" s="566">
        <v>-1.5321471072280501E-231</v>
      </c>
      <c r="EN109" s="566">
        <v>-4.3760107051379E-115</v>
      </c>
      <c r="EO109" s="566">
        <v>-1.0297771995856E-231</v>
      </c>
      <c r="EP109" s="566">
        <v>-1.9162799082581E-231</v>
      </c>
      <c r="EQ109" s="566">
        <v>-4.4199356195895899E-115</v>
      </c>
      <c r="ER109" s="566">
        <v>-1.2879330070741E-231</v>
      </c>
      <c r="ES109" s="566">
        <v>0.28582375097302198</v>
      </c>
      <c r="ET109" s="566">
        <v>-1.7446373042671399E-231</v>
      </c>
      <c r="EU109" s="566">
        <v>3.44476629510896E-44</v>
      </c>
      <c r="EV109" s="566">
        <v>-2.8094788092344298E-37</v>
      </c>
      <c r="EW109" s="566">
        <v>0.28582376456501402</v>
      </c>
      <c r="EX109" s="566">
        <v>-1.74489756863487E-231</v>
      </c>
      <c r="EY109" s="566">
        <v>5.0023578446980699E-41</v>
      </c>
      <c r="EZ109" s="566">
        <v>-3.3580870363065601E-34</v>
      </c>
      <c r="FA109" s="566">
        <v>0.28582381291388098</v>
      </c>
      <c r="FB109" s="566">
        <v>-1.7451916720765199E-231</v>
      </c>
      <c r="FC109" s="566">
        <v>7.3541087866229001E-41</v>
      </c>
      <c r="FD109" s="566">
        <v>-6.3920601521822696E-34</v>
      </c>
      <c r="FE109" s="566">
        <v>7.7041095841129904E-12</v>
      </c>
      <c r="FF109" s="566">
        <v>-1.7656229589515199E-231</v>
      </c>
      <c r="FG109" s="566">
        <v>-2.10591757386279E-109</v>
      </c>
      <c r="FH109" s="566">
        <v>5.9385076878170001E-105</v>
      </c>
    </row>
    <row r="110" spans="1:164" ht="12.75" customHeight="1" x14ac:dyDescent="0.3">
      <c r="A110" s="422"/>
      <c r="B110" s="442"/>
      <c r="C110" s="744"/>
      <c r="D110" s="446"/>
      <c r="E110" s="446"/>
      <c r="F110" s="568"/>
      <c r="G110" s="569"/>
      <c r="H110" s="439"/>
      <c r="I110" s="574">
        <v>7454542.6895602299</v>
      </c>
      <c r="J110" s="566">
        <v>0.27036561210163801</v>
      </c>
      <c r="K110" s="566">
        <v>1.36142837235156E-234</v>
      </c>
      <c r="L110" s="566">
        <v>1.62158409371988E-118</v>
      </c>
      <c r="M110" s="566">
        <v>2.02342985318674E-234</v>
      </c>
      <c r="N110" s="566">
        <v>2.1688378025320699E-234</v>
      </c>
      <c r="O110" s="566">
        <v>1.65207510074041E-118</v>
      </c>
      <c r="P110" s="566">
        <v>3.2234496893416202E-234</v>
      </c>
      <c r="Q110" s="566">
        <v>7.4098841008234801E-17</v>
      </c>
      <c r="R110" s="566">
        <v>1.5469091761126101E-234</v>
      </c>
      <c r="S110" s="566">
        <v>5.9577921515649902E-118</v>
      </c>
      <c r="T110" s="566">
        <v>-1.00245512630141E-125</v>
      </c>
      <c r="U110" s="566">
        <v>4.2257856853296097E-18</v>
      </c>
      <c r="V110" s="566">
        <v>1.60713662170117E-237</v>
      </c>
      <c r="W110" s="566">
        <v>-1.9743592185094801E-108</v>
      </c>
      <c r="X110" s="566">
        <v>-3.9789191706688702E-109</v>
      </c>
      <c r="Y110" s="566">
        <v>0.23174545580061801</v>
      </c>
      <c r="Z110" s="566">
        <v>1.1559793727435499E-234</v>
      </c>
      <c r="AA110" s="566">
        <v>-2.2635481358280901E-49</v>
      </c>
      <c r="AB110" s="566">
        <v>6.9413111577963902E-46</v>
      </c>
      <c r="AC110" s="566">
        <v>3.4983810890805801E-19</v>
      </c>
      <c r="AD110" s="566">
        <v>1.72591090223394E-234</v>
      </c>
      <c r="AE110" s="566">
        <v>-8.3632302353591498E-106</v>
      </c>
      <c r="AF110" s="566">
        <v>-6.6418858463176402E-106</v>
      </c>
      <c r="AG110" s="566">
        <v>4.0432109172700902E-18</v>
      </c>
      <c r="AH110" s="566">
        <v>1.79310693737629E-237</v>
      </c>
      <c r="AI110" s="566">
        <v>-1.1273545273530801E-105</v>
      </c>
      <c r="AJ110" s="566">
        <v>-4.3919245607575304E-106</v>
      </c>
      <c r="AK110" s="566">
        <v>0.230930117809208</v>
      </c>
      <c r="AL110" s="566">
        <v>1.1633847107596601E-234</v>
      </c>
      <c r="AM110" s="566">
        <v>-3.5906373178968097E-49</v>
      </c>
      <c r="AN110" s="566">
        <v>1.1012355632465799E-45</v>
      </c>
      <c r="AO110" s="566">
        <v>1.85530053655693E-16</v>
      </c>
      <c r="AP110" s="566">
        <v>1.70910657850497E-234</v>
      </c>
      <c r="AQ110" s="566">
        <v>3.3904366428119501E-111</v>
      </c>
      <c r="AR110" s="566">
        <v>-2.3736594524335799E-106</v>
      </c>
      <c r="AS110" s="566">
        <v>5.2548201237679198E-18</v>
      </c>
      <c r="AT110" s="566">
        <v>1.7037422555404199E-236</v>
      </c>
      <c r="AU110" s="566">
        <v>-1.3876653510468899E-107</v>
      </c>
      <c r="AV110" s="566">
        <v>-2.26438417360059E-106</v>
      </c>
      <c r="AW110" s="566">
        <v>1.85530053655693E-16</v>
      </c>
      <c r="AX110" s="566">
        <v>1.70910966245503E-234</v>
      </c>
      <c r="AY110" s="566">
        <v>3.3904366897326297E-111</v>
      </c>
      <c r="AZ110" s="566">
        <v>-2.3736594324176302E-106</v>
      </c>
      <c r="BA110" s="566">
        <v>0.27989040686121902</v>
      </c>
      <c r="BB110" s="566">
        <v>5.12109215299565E-234</v>
      </c>
      <c r="BC110" s="566">
        <v>7.9544348132646302E-118</v>
      </c>
      <c r="BD110" s="566">
        <v>4.3337231142865099E-234</v>
      </c>
      <c r="BE110" s="566">
        <v>8.1582065455843598E-234</v>
      </c>
      <c r="BF110" s="566">
        <v>8.1040046589732197E-118</v>
      </c>
      <c r="BG110" s="566">
        <v>6.9038731698077295E-234</v>
      </c>
      <c r="BH110" s="566">
        <v>1.10966968562702E-15</v>
      </c>
      <c r="BI110" s="566">
        <v>5.7033370278505196E-234</v>
      </c>
      <c r="BJ110" s="566">
        <v>4.5006432391261002E-117</v>
      </c>
      <c r="BK110" s="566">
        <v>1.628587673346E-126</v>
      </c>
      <c r="BL110" s="566">
        <v>2.3975017540494101E-15</v>
      </c>
      <c r="BM110" s="566">
        <v>5.7033184182999201E-234</v>
      </c>
      <c r="BN110" s="566">
        <v>-3.3405365841085801E-107</v>
      </c>
      <c r="BO110" s="566">
        <v>-3.0181799923571702E-108</v>
      </c>
      <c r="BP110" s="566">
        <v>0.28006767190590598</v>
      </c>
      <c r="BQ110" s="566">
        <v>5.7257882902458002E-234</v>
      </c>
      <c r="BR110" s="566">
        <v>-3.3645744722636599E-45</v>
      </c>
      <c r="BS110" s="566">
        <v>2.3333645501635099E-41</v>
      </c>
      <c r="BT110" s="566">
        <v>1.0979895827848099E-15</v>
      </c>
      <c r="BU110" s="566">
        <v>5.7698752574537704E-234</v>
      </c>
      <c r="BV110" s="566">
        <v>-1.6229393866299401E-105</v>
      </c>
      <c r="BW110" s="566">
        <v>-6.9700469050574501E-106</v>
      </c>
      <c r="BX110" s="566">
        <v>2.3876038696305398E-15</v>
      </c>
      <c r="BY110" s="566">
        <v>5.7698473059185098E-234</v>
      </c>
      <c r="BZ110" s="566">
        <v>-1.29721479577911E-104</v>
      </c>
      <c r="CA110" s="566">
        <v>-5.3155674494357703E-106</v>
      </c>
      <c r="CB110" s="566">
        <v>0.28006763449144201</v>
      </c>
      <c r="CC110" s="566">
        <v>5.7268030552117E-234</v>
      </c>
      <c r="CD110" s="566">
        <v>-8.4783870374360998E-44</v>
      </c>
      <c r="CE110" s="566">
        <v>3.9885268046393799E-42</v>
      </c>
      <c r="CF110" s="566">
        <v>2.8223040313094E-15</v>
      </c>
      <c r="CG110" s="566">
        <v>6.4289055913363995E-234</v>
      </c>
      <c r="CH110" s="566">
        <v>7.6392668569457907E-111</v>
      </c>
      <c r="CI110" s="566">
        <v>-2.4315119317256502E-106</v>
      </c>
      <c r="CJ110" s="566">
        <v>2.6313257771480099E-15</v>
      </c>
      <c r="CK110" s="566">
        <v>6.42891321512504E-234</v>
      </c>
      <c r="CL110" s="566">
        <v>-3.8356511095415499E-107</v>
      </c>
      <c r="CM110" s="566">
        <v>-2.4297905866402002E-106</v>
      </c>
      <c r="CN110" s="566">
        <v>2.8223040313094E-15</v>
      </c>
      <c r="CO110" s="566">
        <v>6.4289042712360601E-234</v>
      </c>
      <c r="CP110" s="566">
        <v>7.6392669708568696E-111</v>
      </c>
      <c r="CQ110" s="566">
        <v>-2.4315117380543698E-106</v>
      </c>
      <c r="CR110" s="566">
        <v>0.28010596970049401</v>
      </c>
      <c r="CS110" s="566">
        <v>1.90974009036202E-233</v>
      </c>
      <c r="CT110" s="566">
        <v>7.1923225379082606E-117</v>
      </c>
      <c r="CU110" s="566">
        <v>1.4958301966053201E-233</v>
      </c>
      <c r="CV110" s="566">
        <v>3.0423302641444701E-233</v>
      </c>
      <c r="CW110" s="566">
        <v>7.32756197757569E-117</v>
      </c>
      <c r="CX110" s="566">
        <v>2.3825209701254598E-233</v>
      </c>
      <c r="CY110" s="566">
        <v>0.28010587264526698</v>
      </c>
      <c r="CZ110" s="566">
        <v>2.4568265468945301E-233</v>
      </c>
      <c r="DA110" s="566">
        <v>-8.0273880103398298E-43</v>
      </c>
      <c r="DB110" s="566">
        <v>1.34289638288004E-37</v>
      </c>
      <c r="DC110" s="566">
        <v>0.280106216565501</v>
      </c>
      <c r="DD110" s="566">
        <v>2.4572150892956102E-233</v>
      </c>
      <c r="DE110" s="566">
        <v>-8.7629173976453905E-40</v>
      </c>
      <c r="DF110" s="566">
        <v>1.4478223981730999E-34</v>
      </c>
      <c r="DG110" s="566">
        <v>0.28010626389262</v>
      </c>
      <c r="DH110" s="566">
        <v>2.4576473089609299E-233</v>
      </c>
      <c r="DI110" s="566">
        <v>-1.7172318635714601E-39</v>
      </c>
      <c r="DJ110" s="566">
        <v>2.8371819158409101E-34</v>
      </c>
      <c r="DK110" s="566">
        <v>1.1617833279783399E-13</v>
      </c>
      <c r="DL110" s="566">
        <v>2.57285082563845E-233</v>
      </c>
      <c r="DM110" s="566">
        <v>2.28264433989095E-110</v>
      </c>
      <c r="DN110" s="566">
        <v>-2.4996236499337599E-106</v>
      </c>
      <c r="DO110" s="566">
        <v>0.28010596993544601</v>
      </c>
      <c r="DP110" s="566">
        <v>9.3711577190020502E-233</v>
      </c>
      <c r="DQ110" s="566">
        <v>3.1834571025796199E-116</v>
      </c>
      <c r="DR110" s="566">
        <v>1.62233286846788E-231</v>
      </c>
      <c r="DS110" s="566">
        <v>1.07611736655635E-231</v>
      </c>
      <c r="DT110" s="566">
        <v>3.3569347104811402E-116</v>
      </c>
      <c r="DU110" s="566">
        <v>-1.56155892772394E-230</v>
      </c>
      <c r="DV110" s="566">
        <v>0.28010665222180398</v>
      </c>
      <c r="DW110" s="566">
        <v>4.5743792034701899E-232</v>
      </c>
      <c r="DX110" s="566">
        <v>-2.3620075022721799E-39</v>
      </c>
      <c r="DY110" s="566">
        <v>3.15850494268394E-33</v>
      </c>
      <c r="DZ110" s="566">
        <v>0.28010684511115702</v>
      </c>
      <c r="EA110" s="566">
        <v>4.5750710288756799E-232</v>
      </c>
      <c r="EB110" s="566">
        <v>-1.9866620527159698E-36</v>
      </c>
      <c r="EC110" s="566">
        <v>2.6267616918283299E-30</v>
      </c>
      <c r="ED110" s="566">
        <v>0.28010689248248899</v>
      </c>
      <c r="EE110" s="566">
        <v>4.5758519879450001E-232</v>
      </c>
      <c r="EF110" s="566">
        <v>-9.4335930537861495E-30</v>
      </c>
      <c r="EG110" s="566">
        <v>1.55919222400148E-24</v>
      </c>
      <c r="EH110" s="566">
        <v>3.3631152110491101E-14</v>
      </c>
      <c r="EI110" s="566">
        <v>6.2610000855949703E-232</v>
      </c>
      <c r="EJ110" s="566">
        <v>-8.4025514784467999E-106</v>
      </c>
      <c r="EK110" s="566">
        <v>-2.6121094006387998E-106</v>
      </c>
      <c r="EL110" s="566">
        <v>0.28010709150507801</v>
      </c>
      <c r="EM110" s="566">
        <v>6.6419335046804902E-233</v>
      </c>
      <c r="EN110" s="566">
        <v>1.8872714796372801E-116</v>
      </c>
      <c r="EO110" s="566">
        <v>4.4641333624655499E-233</v>
      </c>
      <c r="EP110" s="566">
        <v>8.3071808459887705E-233</v>
      </c>
      <c r="EQ110" s="566">
        <v>1.9062152389940399E-116</v>
      </c>
      <c r="ER110" s="566">
        <v>5.5832540051225499E-233</v>
      </c>
      <c r="ES110" s="566">
        <v>0.28011009619923999</v>
      </c>
      <c r="ET110" s="566">
        <v>7.5631073088650201E-233</v>
      </c>
      <c r="EU110" s="566">
        <v>-1.4746561216347501E-45</v>
      </c>
      <c r="EV110" s="566">
        <v>1.20454402225443E-38</v>
      </c>
      <c r="EW110" s="566">
        <v>0.28011010951952697</v>
      </c>
      <c r="EX110" s="566">
        <v>7.5642102380250398E-233</v>
      </c>
      <c r="EY110" s="566">
        <v>-2.14507654865204E-42</v>
      </c>
      <c r="EZ110" s="566">
        <v>1.4410768682444201E-35</v>
      </c>
      <c r="FA110" s="566">
        <v>0.280110156901894</v>
      </c>
      <c r="FB110" s="566">
        <v>7.56548996772744E-233</v>
      </c>
      <c r="FC110" s="566">
        <v>-3.1414841605844199E-42</v>
      </c>
      <c r="FD110" s="566">
        <v>2.73637453674486E-35</v>
      </c>
      <c r="FE110" s="566">
        <v>7.5501034094926204E-12</v>
      </c>
      <c r="FF110" s="566">
        <v>7.6540764971248496E-233</v>
      </c>
      <c r="FG110" s="566">
        <v>9.0783469019068805E-111</v>
      </c>
      <c r="FH110" s="566">
        <v>-2.5560434230006498E-106</v>
      </c>
    </row>
    <row r="111" spans="1:164" ht="12.75" customHeight="1" x14ac:dyDescent="0.3">
      <c r="A111" s="422"/>
      <c r="B111" s="446"/>
      <c r="C111" s="744"/>
      <c r="D111" s="446"/>
      <c r="E111" s="446"/>
      <c r="F111" s="568"/>
      <c r="G111" s="569"/>
      <c r="H111" s="439"/>
      <c r="I111" s="574">
        <v>7538301.5961844996</v>
      </c>
      <c r="J111" s="566">
        <v>0.26496096757955101</v>
      </c>
      <c r="K111" s="566">
        <v>8.8748440415582207E-239</v>
      </c>
      <c r="L111" s="566">
        <v>2.14928024419965E-121</v>
      </c>
      <c r="M111" s="566">
        <v>1.3168690840624899E-238</v>
      </c>
      <c r="N111" s="566">
        <v>1.41254870540608E-238</v>
      </c>
      <c r="O111" s="566">
        <v>2.1896923308991398E-121</v>
      </c>
      <c r="P111" s="566">
        <v>2.09936263825188E-238</v>
      </c>
      <c r="Q111" s="566">
        <v>7.2617595327487395E-17</v>
      </c>
      <c r="R111" s="566">
        <v>1.00854394784744E-238</v>
      </c>
      <c r="S111" s="566">
        <v>7.8966256347752006E-121</v>
      </c>
      <c r="T111" s="566">
        <v>-1.07971990023069E-128</v>
      </c>
      <c r="U111" s="566">
        <v>4.1413116678012797E-18</v>
      </c>
      <c r="V111" s="566">
        <v>1.04664319110215E-241</v>
      </c>
      <c r="W111" s="566">
        <v>-3.3626906861709698E-111</v>
      </c>
      <c r="X111" s="566">
        <v>-7.21846210501903E-112</v>
      </c>
      <c r="Y111" s="566">
        <v>0.227112833336262</v>
      </c>
      <c r="Z111" s="566">
        <v>7.5495944098177602E-239</v>
      </c>
      <c r="AA111" s="566">
        <v>-6.8800946135356605E-52</v>
      </c>
      <c r="AB111" s="566">
        <v>2.1073383345347899E-48</v>
      </c>
      <c r="AC111" s="566">
        <v>3.4284479861156802E-19</v>
      </c>
      <c r="AD111" s="566">
        <v>1.12637980720177E-238</v>
      </c>
      <c r="AE111" s="566">
        <v>-1.5128263967777301E-108</v>
      </c>
      <c r="AF111" s="566">
        <v>-1.2014543035768201E-108</v>
      </c>
      <c r="AG111" s="566">
        <v>3.9623865936225502E-18</v>
      </c>
      <c r="AH111" s="566">
        <v>1.16844869731544E-241</v>
      </c>
      <c r="AI111" s="566">
        <v>-2.04266638542089E-108</v>
      </c>
      <c r="AJ111" s="566">
        <v>-7.9494328164037901E-109</v>
      </c>
      <c r="AK111" s="566">
        <v>0.226313794059672</v>
      </c>
      <c r="AL111" s="566">
        <v>7.5949154827230202E-239</v>
      </c>
      <c r="AM111" s="566">
        <v>-1.3448241229992199E-51</v>
      </c>
      <c r="AN111" s="566">
        <v>4.1210816345534901E-48</v>
      </c>
      <c r="AO111" s="566">
        <v>1.8182128322302499E-16</v>
      </c>
      <c r="AP111" s="566">
        <v>1.1135973825756601E-238</v>
      </c>
      <c r="AQ111" s="566">
        <v>5.3802125756516197E-114</v>
      </c>
      <c r="AR111" s="566">
        <v>-4.3061809499728702E-109</v>
      </c>
      <c r="AS111" s="566">
        <v>5.1497755710390698E-18</v>
      </c>
      <c r="AT111" s="566">
        <v>1.11010071985097E-240</v>
      </c>
      <c r="AU111" s="566">
        <v>-2.3634416303560701E-110</v>
      </c>
      <c r="AV111" s="566">
        <v>-4.10799745742647E-109</v>
      </c>
      <c r="AW111" s="566">
        <v>1.8182128322302499E-16</v>
      </c>
      <c r="AX111" s="566">
        <v>1.1122843095489799E-238</v>
      </c>
      <c r="AY111" s="566">
        <v>5.3801998614809702E-114</v>
      </c>
      <c r="AZ111" s="566">
        <v>-4.3061778063757601E-109</v>
      </c>
      <c r="BA111" s="566">
        <v>0.27429536042588099</v>
      </c>
      <c r="BB111" s="566">
        <v>3.3255833186905398E-238</v>
      </c>
      <c r="BC111" s="566">
        <v>1.05429588134046E-120</v>
      </c>
      <c r="BD111" s="566">
        <v>2.8136298048817499E-238</v>
      </c>
      <c r="BE111" s="566">
        <v>5.2990955834108598E-238</v>
      </c>
      <c r="BF111" s="566">
        <v>1.0741181099502E-120</v>
      </c>
      <c r="BG111" s="566">
        <v>4.4917648092283099E-238</v>
      </c>
      <c r="BH111" s="566">
        <v>1.08748724111741E-15</v>
      </c>
      <c r="BI111" s="566">
        <v>3.7042606693349E-238</v>
      </c>
      <c r="BJ111" s="566">
        <v>5.9652446519056999E-120</v>
      </c>
      <c r="BK111" s="566">
        <v>1.77709675904101E-129</v>
      </c>
      <c r="BL111" s="566">
        <v>2.3495753753173101E-15</v>
      </c>
      <c r="BM111" s="566">
        <v>3.71459987909432E-238</v>
      </c>
      <c r="BN111" s="566">
        <v>-5.7442185945889996E-110</v>
      </c>
      <c r="BO111" s="566">
        <v>-5.3783063698959901E-111</v>
      </c>
      <c r="BP111" s="566">
        <v>0.27446908191876301</v>
      </c>
      <c r="BQ111" s="566">
        <v>3.7232310987848899E-238</v>
      </c>
      <c r="BR111" s="566">
        <v>-9.6764119694719703E-48</v>
      </c>
      <c r="BS111" s="566">
        <v>6.7080649045915697E-44</v>
      </c>
      <c r="BT111" s="566">
        <v>1.0760406250835099E-15</v>
      </c>
      <c r="BU111" s="566">
        <v>3.7467360784949102E-238</v>
      </c>
      <c r="BV111" s="566">
        <v>-2.9357994767518101E-108</v>
      </c>
      <c r="BW111" s="566">
        <v>-1.2608410912391101E-108</v>
      </c>
      <c r="BX111" s="566">
        <v>2.3398753509235701E-15</v>
      </c>
      <c r="BY111" s="566">
        <v>3.7541394467300302E-238</v>
      </c>
      <c r="BZ111" s="566">
        <v>-2.29244001198777E-107</v>
      </c>
      <c r="CA111" s="566">
        <v>-9.4241489985851897E-109</v>
      </c>
      <c r="CB111" s="566">
        <v>0.27446904525221899</v>
      </c>
      <c r="CC111" s="566">
        <v>3.7313153688440801E-238</v>
      </c>
      <c r="CD111" s="566">
        <v>-1.6209140729776101E-46</v>
      </c>
      <c r="CE111" s="566">
        <v>7.4827263954436896E-44</v>
      </c>
      <c r="CF111" s="566">
        <v>2.7658857985914498E-15</v>
      </c>
      <c r="CG111" s="566">
        <v>4.1745692271514802E-238</v>
      </c>
      <c r="CH111" s="566">
        <v>1.21225879270289E-113</v>
      </c>
      <c r="CI111" s="566">
        <v>-4.4111304618923597E-109</v>
      </c>
      <c r="CJ111" s="566">
        <v>2.57872522511499E-15</v>
      </c>
      <c r="CK111" s="566">
        <v>4.1740075268009003E-238</v>
      </c>
      <c r="CL111" s="566">
        <v>-6.5327849300768898E-110</v>
      </c>
      <c r="CM111" s="566">
        <v>-4.40807908555138E-109</v>
      </c>
      <c r="CN111" s="566">
        <v>2.7658857985914498E-15</v>
      </c>
      <c r="CO111" s="566">
        <v>4.1727459121940301E-238</v>
      </c>
      <c r="CP111" s="566">
        <v>1.21226069093776E-113</v>
      </c>
      <c r="CQ111" s="566">
        <v>-4.4111384630229197E-109</v>
      </c>
      <c r="CR111" s="566">
        <v>0.27450661413534699</v>
      </c>
      <c r="CS111" s="566">
        <v>1.2419084207046899E-237</v>
      </c>
      <c r="CT111" s="566">
        <v>9.5328868575169902E-120</v>
      </c>
      <c r="CU111" s="566">
        <v>9.7606275908413505E-238</v>
      </c>
      <c r="CV111" s="566">
        <v>1.9789015080597701E-237</v>
      </c>
      <c r="CW111" s="566">
        <v>9.71208505213846E-120</v>
      </c>
      <c r="CX111" s="566">
        <v>1.5530802835074401E-237</v>
      </c>
      <c r="CY111" s="566">
        <v>0.27450651902026701</v>
      </c>
      <c r="CZ111" s="566">
        <v>1.6008260248018899E-237</v>
      </c>
      <c r="DA111" s="566">
        <v>-2.04160907049965E-45</v>
      </c>
      <c r="DB111" s="566">
        <v>3.4143863507186302E-40</v>
      </c>
      <c r="DC111" s="566">
        <v>0.27450685606549002</v>
      </c>
      <c r="DD111" s="566">
        <v>1.59844237207169E-237</v>
      </c>
      <c r="DE111" s="566">
        <v>-2.0065222698065601E-42</v>
      </c>
      <c r="DF111" s="566">
        <v>3.3151707746897099E-37</v>
      </c>
      <c r="DG111" s="566">
        <v>0.27450690244653297</v>
      </c>
      <c r="DH111" s="566">
        <v>1.5998527922610001E-237</v>
      </c>
      <c r="DI111" s="566">
        <v>-5.1092611153711402E-42</v>
      </c>
      <c r="DJ111" s="566">
        <v>8.4414630338514197E-37</v>
      </c>
      <c r="DK111" s="566">
        <v>1.13855912483134E-13</v>
      </c>
      <c r="DL111" s="566">
        <v>1.6726023218716499E-237</v>
      </c>
      <c r="DM111" s="566">
        <v>3.6222727218861103E-113</v>
      </c>
      <c r="DN111" s="566">
        <v>-4.5347080377214098E-109</v>
      </c>
      <c r="DO111" s="566">
        <v>0.27450661436560198</v>
      </c>
      <c r="DP111" s="566">
        <v>6.1019749582327197E-237</v>
      </c>
      <c r="DQ111" s="566">
        <v>4.21942992212603E-119</v>
      </c>
      <c r="DR111" s="566">
        <v>1.0653112414122201E-235</v>
      </c>
      <c r="DS111" s="566">
        <v>7.9271887191219003E-236</v>
      </c>
      <c r="DT111" s="566">
        <v>4.44935026246847E-119</v>
      </c>
      <c r="DU111" s="566">
        <v>-9.5463188272454202E-235</v>
      </c>
      <c r="DV111" s="566">
        <v>0.27450728301296501</v>
      </c>
      <c r="DW111" s="566">
        <v>3.3196600412908098E-236</v>
      </c>
      <c r="DX111" s="566">
        <v>-5.25992332515473E-42</v>
      </c>
      <c r="DY111" s="566">
        <v>7.0312337231320596E-36</v>
      </c>
      <c r="DZ111" s="566">
        <v>0.274507472046435</v>
      </c>
      <c r="EA111" s="566">
        <v>3.3211246007152499E-236</v>
      </c>
      <c r="EB111" s="566">
        <v>-3.9808274441715301E-39</v>
      </c>
      <c r="EC111" s="566">
        <v>5.2634036991966198E-33</v>
      </c>
      <c r="ED111" s="566">
        <v>0.27450751847080701</v>
      </c>
      <c r="EE111" s="566">
        <v>3.3224028429604798E-236</v>
      </c>
      <c r="EF111" s="566">
        <v>-1.6949386250666199E-32</v>
      </c>
      <c r="EG111" s="566">
        <v>2.80141633239137E-27</v>
      </c>
      <c r="EH111" s="566">
        <v>3.2958860909651801E-14</v>
      </c>
      <c r="EI111" s="566">
        <v>4.5754791285559798E-236</v>
      </c>
      <c r="EJ111" s="566">
        <v>-1.45017134220491E-108</v>
      </c>
      <c r="EK111" s="566">
        <v>-4.7387661433330802E-109</v>
      </c>
      <c r="EL111" s="566">
        <v>0.27450771351490799</v>
      </c>
      <c r="EM111" s="566">
        <v>4.3337735894782299E-237</v>
      </c>
      <c r="EN111" s="566">
        <v>2.50143026513221E-119</v>
      </c>
      <c r="EO111" s="566">
        <v>2.9146749444839501E-237</v>
      </c>
      <c r="EP111" s="566">
        <v>5.41997237496021E-237</v>
      </c>
      <c r="EQ111" s="566">
        <v>2.52654193394932E-119</v>
      </c>
      <c r="ER111" s="566">
        <v>3.64382019800884E-237</v>
      </c>
      <c r="ES111" s="566">
        <v>0.274510658144835</v>
      </c>
      <c r="ET111" s="566">
        <v>4.9243314672302601E-237</v>
      </c>
      <c r="EU111" s="566">
        <v>-4.6485996734228599E-48</v>
      </c>
      <c r="EV111" s="566">
        <v>3.3413753470097699E-41</v>
      </c>
      <c r="EW111" s="566">
        <v>0.27451067119884698</v>
      </c>
      <c r="EX111" s="566">
        <v>4.93979139781694E-237</v>
      </c>
      <c r="EY111" s="566">
        <v>-5.8638231515553694E-45</v>
      </c>
      <c r="EZ111" s="566">
        <v>3.6718234094154397E-38</v>
      </c>
      <c r="FA111" s="566">
        <v>0.27451071763403401</v>
      </c>
      <c r="FB111" s="566">
        <v>4.9354716024217796E-237</v>
      </c>
      <c r="FC111" s="566">
        <v>-1.1558932814923899E-44</v>
      </c>
      <c r="FD111" s="566">
        <v>8.62009910146547E-38</v>
      </c>
      <c r="FE111" s="566">
        <v>7.3991758388000496E-12</v>
      </c>
      <c r="FF111" s="566">
        <v>4.9861395292006995E-237</v>
      </c>
      <c r="FG111" s="566">
        <v>1.3009293920083501E-113</v>
      </c>
      <c r="FH111" s="566">
        <v>-4.6370565165483E-109</v>
      </c>
    </row>
    <row r="112" spans="1:164" ht="12.75" customHeight="1" x14ac:dyDescent="0.3">
      <c r="A112" s="422"/>
      <c r="B112" s="446"/>
      <c r="C112" s="446"/>
      <c r="D112" s="446"/>
      <c r="E112" s="446"/>
      <c r="F112" s="568"/>
      <c r="G112" s="569"/>
      <c r="H112" s="439"/>
      <c r="I112" s="574">
        <v>7622060.5028087702</v>
      </c>
      <c r="J112" s="566">
        <v>0.25966436262077902</v>
      </c>
      <c r="K112" s="566">
        <v>-1.3785126556580399E-239</v>
      </c>
      <c r="L112" s="566">
        <v>-3.3314044396208501E-122</v>
      </c>
      <c r="M112" s="566">
        <v>-2.0488242448239398E-239</v>
      </c>
      <c r="N112" s="566">
        <v>-2.1960557136374398E-239</v>
      </c>
      <c r="O112" s="566">
        <v>-3.39404565482609E-122</v>
      </c>
      <c r="P112" s="566">
        <v>-3.2639020189719602E-239</v>
      </c>
      <c r="Q112" s="566">
        <v>7.1165959945041201E-17</v>
      </c>
      <c r="R112" s="566">
        <v>-1.56632054307778E-239</v>
      </c>
      <c r="S112" s="566">
        <v>-1.22397719626448E-121</v>
      </c>
      <c r="T112" s="566">
        <v>1.6736541087104098E-129</v>
      </c>
      <c r="U112" s="566">
        <v>4.0585262971262203E-18</v>
      </c>
      <c r="V112" s="566">
        <v>-1.6273014344394401E-242</v>
      </c>
      <c r="W112" s="566">
        <v>5.2118834088266601E-112</v>
      </c>
      <c r="X112" s="566">
        <v>1.118785055181E-112</v>
      </c>
      <c r="Y112" s="566">
        <v>0.22257281761153699</v>
      </c>
      <c r="Z112" s="566">
        <v>-1.17048833592495E-239</v>
      </c>
      <c r="AA112" s="566">
        <v>1.06621428428677E-52</v>
      </c>
      <c r="AB112" s="566">
        <v>-3.2657602025508201E-49</v>
      </c>
      <c r="AC112" s="566">
        <v>3.3599128551866301E-19</v>
      </c>
      <c r="AD112" s="566">
        <v>-1.7475715980913999E-239</v>
      </c>
      <c r="AE112" s="566">
        <v>2.3447235744716898E-109</v>
      </c>
      <c r="AF112" s="566">
        <v>1.86212568365389E-109</v>
      </c>
      <c r="AG112" s="566">
        <v>3.8831779589618597E-18</v>
      </c>
      <c r="AH112" s="566">
        <v>-1.81560913447961E-242</v>
      </c>
      <c r="AI112" s="566">
        <v>3.16591838764907E-109</v>
      </c>
      <c r="AJ112" s="566">
        <v>1.2320734240737499E-109</v>
      </c>
      <c r="AK112" s="566">
        <v>0.221789751236289</v>
      </c>
      <c r="AL112" s="566">
        <v>-1.17798374493267E-239</v>
      </c>
      <c r="AM112" s="566">
        <v>2.0839146690515298E-52</v>
      </c>
      <c r="AN112" s="566">
        <v>-6.3859491598150103E-49</v>
      </c>
      <c r="AO112" s="566">
        <v>1.7818665160491599E-16</v>
      </c>
      <c r="AP112" s="566">
        <v>-1.73055538806058E-239</v>
      </c>
      <c r="AQ112" s="566">
        <v>-8.3390285086784508E-115</v>
      </c>
      <c r="AR112" s="566">
        <v>6.6741183641847298E-110</v>
      </c>
      <c r="AS112" s="566">
        <v>5.0468308728999499E-18</v>
      </c>
      <c r="AT112" s="566">
        <v>-1.72512224267854E-241</v>
      </c>
      <c r="AU112" s="566">
        <v>3.6631350687720997E-111</v>
      </c>
      <c r="AV112" s="566">
        <v>6.3669562149707904E-110</v>
      </c>
      <c r="AW112" s="566">
        <v>1.7818665160491599E-16</v>
      </c>
      <c r="AX112" s="566">
        <v>-1.7305559479912199E-239</v>
      </c>
      <c r="AY112" s="566">
        <v>-8.3390286376533196E-115</v>
      </c>
      <c r="AZ112" s="566">
        <v>6.67411830187732E-110</v>
      </c>
      <c r="BA112" s="566">
        <v>0.26881215971344502</v>
      </c>
      <c r="BB112" s="566">
        <v>-5.1853531067362902E-239</v>
      </c>
      <c r="BC112" s="566">
        <v>-1.6341699839676201E-121</v>
      </c>
      <c r="BD112" s="566">
        <v>-4.3881077238645603E-239</v>
      </c>
      <c r="BE112" s="566">
        <v>-8.2605835086564493E-239</v>
      </c>
      <c r="BF112" s="566">
        <v>-1.6648976875731201E-121</v>
      </c>
      <c r="BG112" s="566">
        <v>-6.9905267922913999E-239</v>
      </c>
      <c r="BH112" s="566">
        <v>1.0657482266258799E-15</v>
      </c>
      <c r="BI112" s="566">
        <v>-5.7749130028323496E-239</v>
      </c>
      <c r="BJ112" s="566">
        <v>-9.24618342734973E-121</v>
      </c>
      <c r="BK112" s="566">
        <v>-2.7546043073392199E-130</v>
      </c>
      <c r="BL112" s="566">
        <v>2.3026070512747198E-15</v>
      </c>
      <c r="BM112" s="566">
        <v>-5.77488003937995E-239</v>
      </c>
      <c r="BN112" s="566">
        <v>8.9030356259024007E-111</v>
      </c>
      <c r="BO112" s="566">
        <v>8.3358475804736303E-112</v>
      </c>
      <c r="BP112" s="566">
        <v>0.26898240849059402</v>
      </c>
      <c r="BQ112" s="566">
        <v>-5.7976500456941501E-239</v>
      </c>
      <c r="BR112" s="566">
        <v>1.49958763319401E-48</v>
      </c>
      <c r="BS112" s="566">
        <v>-1.03957135565704E-44</v>
      </c>
      <c r="BT112" s="566">
        <v>1.0545304299679E-15</v>
      </c>
      <c r="BU112" s="566">
        <v>-5.8422812349500501E-239</v>
      </c>
      <c r="BV112" s="566">
        <v>4.5501856965874696E-109</v>
      </c>
      <c r="BW112" s="566">
        <v>1.9541707460621201E-109</v>
      </c>
      <c r="BX112" s="566">
        <v>2.2931009316578799E-15</v>
      </c>
      <c r="BY112" s="566">
        <v>-5.8422489083996901E-239</v>
      </c>
      <c r="BZ112" s="566">
        <v>3.5530626527599698E-108</v>
      </c>
      <c r="CA112" s="566">
        <v>1.4606522685311999E-109</v>
      </c>
      <c r="CB112" s="566">
        <v>0.26898237255702001</v>
      </c>
      <c r="CC112" s="566">
        <v>-5.7986677082658504E-239</v>
      </c>
      <c r="CD112" s="566">
        <v>2.5122013330926199E-47</v>
      </c>
      <c r="CE112" s="566">
        <v>-1.1593506904083801E-44</v>
      </c>
      <c r="CF112" s="566">
        <v>2.7105953738543901E-15</v>
      </c>
      <c r="CG112" s="566">
        <v>-6.5095813478275403E-239</v>
      </c>
      <c r="CH112" s="566">
        <v>-1.8789341369256499E-114</v>
      </c>
      <c r="CI112" s="566">
        <v>6.8367844134999196E-110</v>
      </c>
      <c r="CJ112" s="566">
        <v>2.5271761651178701E-15</v>
      </c>
      <c r="CK112" s="566">
        <v>-6.50958150518174E-239</v>
      </c>
      <c r="CL112" s="566">
        <v>1.0125284753232401E-110</v>
      </c>
      <c r="CM112" s="566">
        <v>6.8320430466826305E-110</v>
      </c>
      <c r="CN112" s="566">
        <v>2.7105953738543901E-15</v>
      </c>
      <c r="CO112" s="566">
        <v>-6.5095811154354196E-239</v>
      </c>
      <c r="CP112" s="566">
        <v>-1.87893415398822E-114</v>
      </c>
      <c r="CQ112" s="566">
        <v>6.8367843208129303E-110</v>
      </c>
      <c r="CR112" s="566">
        <v>0.26901919043318001</v>
      </c>
      <c r="CS112" s="566">
        <v>-1.93370742916176E-238</v>
      </c>
      <c r="CT112" s="566">
        <v>-1.4776007313619E-120</v>
      </c>
      <c r="CU112" s="566">
        <v>-1.5150561535012299E-238</v>
      </c>
      <c r="CV112" s="566">
        <v>-3.0805145052398897E-238</v>
      </c>
      <c r="CW112" s="566">
        <v>-1.5053844138984699E-120</v>
      </c>
      <c r="CX112" s="566">
        <v>-2.4131495649485498E-238</v>
      </c>
      <c r="CY112" s="566">
        <v>0.26901909721946299</v>
      </c>
      <c r="CZ112" s="566">
        <v>-2.4876649094560198E-238</v>
      </c>
      <c r="DA112" s="566">
        <v>3.1640638207667798E-46</v>
      </c>
      <c r="DB112" s="566">
        <v>-5.2915743505176003E-41</v>
      </c>
      <c r="DC112" s="566">
        <v>0.269019427527107</v>
      </c>
      <c r="DD112" s="566">
        <v>-2.4880579684101401E-238</v>
      </c>
      <c r="DE112" s="566">
        <v>3.1097596578547198E-43</v>
      </c>
      <c r="DF112" s="566">
        <v>-5.1379297215800299E-38</v>
      </c>
      <c r="DG112" s="566">
        <v>0.26901947298098799</v>
      </c>
      <c r="DH112" s="566">
        <v>-2.48849404038984E-238</v>
      </c>
      <c r="DI112" s="566">
        <v>7.9178360714910199E-43</v>
      </c>
      <c r="DJ112" s="566">
        <v>-1.30817539762442E-37</v>
      </c>
      <c r="DK112" s="566">
        <v>1.11579917659622E-13</v>
      </c>
      <c r="DL112" s="566">
        <v>-2.6051416206372299E-238</v>
      </c>
      <c r="DM112" s="566">
        <v>-5.6143333138516697E-114</v>
      </c>
      <c r="DN112" s="566">
        <v>7.0282975806278302E-110</v>
      </c>
      <c r="DO112" s="566">
        <v>0.26901919065883301</v>
      </c>
      <c r="DP112" s="566">
        <v>-9.4887640980791205E-238</v>
      </c>
      <c r="DQ112" s="566">
        <v>-6.54013821594775E-120</v>
      </c>
      <c r="DR112" s="566">
        <v>-1.6564829706104601E-236</v>
      </c>
      <c r="DS112" s="566">
        <v>-1.2307329262441601E-236</v>
      </c>
      <c r="DT112" s="566">
        <v>-6.8965329148733404E-120</v>
      </c>
      <c r="DU112" s="566">
        <v>1.48248781794101E-235</v>
      </c>
      <c r="DV112" s="566">
        <v>0.26901984593984701</v>
      </c>
      <c r="DW112" s="566">
        <v>-5.1542222051679796E-237</v>
      </c>
      <c r="DX112" s="566">
        <v>8.1520226366622796E-43</v>
      </c>
      <c r="DY112" s="566">
        <v>-1.08972736045643E-36</v>
      </c>
      <c r="DZ112" s="566">
        <v>0.26902003119451101</v>
      </c>
      <c r="EA112" s="566">
        <v>-5.1550154554310302E-237</v>
      </c>
      <c r="EB112" s="566">
        <v>6.1697572205222003E-40</v>
      </c>
      <c r="EC112" s="566">
        <v>-8.1575849774985704E-34</v>
      </c>
      <c r="ED112" s="566">
        <v>0.26902007669085498</v>
      </c>
      <c r="EE112" s="566">
        <v>-5.1558940542828601E-237</v>
      </c>
      <c r="EF112" s="566">
        <v>2.6269828621188398E-33</v>
      </c>
      <c r="EG112" s="566">
        <v>-4.3419064632611504E-28</v>
      </c>
      <c r="EH112" s="566">
        <v>3.2300008899394401E-14</v>
      </c>
      <c r="EI112" s="566">
        <v>-7.1042635092283695E-237</v>
      </c>
      <c r="EJ112" s="566">
        <v>2.2476436113394198E-109</v>
      </c>
      <c r="EK112" s="566">
        <v>7.34457813745231E-110</v>
      </c>
      <c r="EL112" s="566">
        <v>0.26902026783599797</v>
      </c>
      <c r="EM112" s="566">
        <v>-6.7253120613820806E-238</v>
      </c>
      <c r="EN112" s="566">
        <v>-3.8772364132780901E-120</v>
      </c>
      <c r="EO112" s="566">
        <v>-4.52050854545023E-238</v>
      </c>
      <c r="EP112" s="566">
        <v>-8.4114466095965096E-238</v>
      </c>
      <c r="EQ112" s="566">
        <v>-3.9161549289971101E-120</v>
      </c>
      <c r="ER112" s="566">
        <v>-5.6537627206283598E-238</v>
      </c>
      <c r="ES112" s="566">
        <v>0.26902315360238099</v>
      </c>
      <c r="ET112" s="566">
        <v>-7.6580241814727497E-238</v>
      </c>
      <c r="EU112" s="566">
        <v>7.2039827284702194E-49</v>
      </c>
      <c r="EV112" s="566">
        <v>-5.1782722809995403E-42</v>
      </c>
      <c r="EW112" s="566">
        <v>0.26902316639544199</v>
      </c>
      <c r="EX112" s="566">
        <v>-7.6591698347407699E-238</v>
      </c>
      <c r="EY112" s="566">
        <v>9.0875572926646704E-46</v>
      </c>
      <c r="EZ112" s="566">
        <v>-5.6905147719164003E-39</v>
      </c>
      <c r="FA112" s="566">
        <v>0.26902321190238299</v>
      </c>
      <c r="FB112" s="566">
        <v>-7.6604612827724394E-238</v>
      </c>
      <c r="FC112" s="566">
        <v>1.7911914215925601E-45</v>
      </c>
      <c r="FD112" s="566">
        <v>-1.33582632338031E-38</v>
      </c>
      <c r="FE112" s="566">
        <v>7.2512653303330097E-12</v>
      </c>
      <c r="FF112" s="566">
        <v>-7.7501387533456201E-238</v>
      </c>
      <c r="FG112" s="566">
        <v>-2.01641547968789E-114</v>
      </c>
      <c r="FH112" s="566">
        <v>7.1869354120462001E-110</v>
      </c>
    </row>
    <row r="113" spans="1:164" ht="12.75" customHeight="1" x14ac:dyDescent="0.3">
      <c r="A113" s="422"/>
      <c r="B113" s="446"/>
      <c r="C113" s="446"/>
      <c r="D113" s="446"/>
      <c r="E113" s="446"/>
      <c r="F113" s="568"/>
      <c r="G113" s="569"/>
      <c r="H113" s="439"/>
      <c r="I113" s="574">
        <v>7705819.4094330398</v>
      </c>
      <c r="J113" s="566">
        <v>0.25447363749887097</v>
      </c>
      <c r="K113" s="566">
        <v>1.5380113458152901E-240</v>
      </c>
      <c r="L113" s="566">
        <v>3.7148110933383599E-123</v>
      </c>
      <c r="M113" s="566">
        <v>2.2858805573224401E-240</v>
      </c>
      <c r="N113" s="566">
        <v>2.45014669104993E-240</v>
      </c>
      <c r="O113" s="566">
        <v>3.7846615255400197E-123</v>
      </c>
      <c r="P113" s="566">
        <v>3.6415474892939098E-240</v>
      </c>
      <c r="Q113" s="566">
        <v>6.9743342946762896E-17</v>
      </c>
      <c r="R113" s="566">
        <v>1.7475495209654601E-240</v>
      </c>
      <c r="S113" s="566">
        <v>1.36484295604774E-122</v>
      </c>
      <c r="T113" s="566">
        <v>-1.8664742788288101E-130</v>
      </c>
      <c r="U113" s="566">
        <v>3.9773958170102998E-18</v>
      </c>
      <c r="V113" s="566">
        <v>1.8155858151109199E-243</v>
      </c>
      <c r="W113" s="566">
        <v>-5.8107588441068704E-113</v>
      </c>
      <c r="X113" s="566">
        <v>-1.2472799694762E-113</v>
      </c>
      <c r="Y113" s="566">
        <v>0.21812355740436201</v>
      </c>
      <c r="Z113" s="566">
        <v>1.3059180756198299E-240</v>
      </c>
      <c r="AA113" s="566">
        <v>-1.1882688462393099E-53</v>
      </c>
      <c r="AB113" s="566">
        <v>3.63961136868151E-50</v>
      </c>
      <c r="AC113" s="566">
        <v>3.2927477506308399E-19</v>
      </c>
      <c r="AD113" s="566">
        <v>1.9497713208636501E-240</v>
      </c>
      <c r="AE113" s="566">
        <v>-2.6140261448616501E-110</v>
      </c>
      <c r="AF113" s="566">
        <v>-2.0759996084050599E-110</v>
      </c>
      <c r="AG113" s="566">
        <v>3.8055527154321602E-18</v>
      </c>
      <c r="AH113" s="566">
        <v>2.0256815443081499E-243</v>
      </c>
      <c r="AI113" s="566">
        <v>-3.5295346885459298E-110</v>
      </c>
      <c r="AJ113" s="566">
        <v>-1.3735822207859699E-110</v>
      </c>
      <c r="AK113" s="566">
        <v>0.217356144630037</v>
      </c>
      <c r="AL113" s="566">
        <v>1.31428088159334E-240</v>
      </c>
      <c r="AM113" s="566">
        <v>-2.3219142346573198E-53</v>
      </c>
      <c r="AN113" s="566">
        <v>7.1152826129296397E-50</v>
      </c>
      <c r="AO113" s="566">
        <v>1.7462467675577199E-16</v>
      </c>
      <c r="AP113" s="566">
        <v>1.9307867703559201E-240</v>
      </c>
      <c r="AQ113" s="566">
        <v>9.2976997213066305E-116</v>
      </c>
      <c r="AR113" s="566">
        <v>-7.4406555878227197E-111</v>
      </c>
      <c r="AS113" s="566">
        <v>4.94594405295446E-18</v>
      </c>
      <c r="AT113" s="566">
        <v>1.9247246770277001E-242</v>
      </c>
      <c r="AU113" s="566">
        <v>-4.0840504111228198E-112</v>
      </c>
      <c r="AV113" s="566">
        <v>-7.0982150084847604E-111</v>
      </c>
      <c r="AW113" s="566">
        <v>1.7462467675577199E-16</v>
      </c>
      <c r="AX113" s="566">
        <v>1.9307880265644499E-240</v>
      </c>
      <c r="AY113" s="566">
        <v>9.2976999920837802E-116</v>
      </c>
      <c r="AZ113" s="566">
        <v>-7.4406554916314906E-111</v>
      </c>
      <c r="BA113" s="566">
        <v>0.26343856891178202</v>
      </c>
      <c r="BB113" s="566">
        <v>5.7853195827178195E-240</v>
      </c>
      <c r="BC113" s="566">
        <v>1.8222442741323801E-122</v>
      </c>
      <c r="BD113" s="566">
        <v>4.8958266529426503E-240</v>
      </c>
      <c r="BE113" s="566">
        <v>9.2163667007730396E-240</v>
      </c>
      <c r="BF113" s="566">
        <v>1.8565083770895499E-122</v>
      </c>
      <c r="BG113" s="566">
        <v>7.7993570513297001E-240</v>
      </c>
      <c r="BH113" s="566">
        <v>1.0444437779224001E-15</v>
      </c>
      <c r="BI113" s="566">
        <v>6.4430932400734196E-240</v>
      </c>
      <c r="BJ113" s="566">
        <v>1.0310313715990001E-121</v>
      </c>
      <c r="BK113" s="566">
        <v>3.07194088256444E-131</v>
      </c>
      <c r="BL113" s="566">
        <v>2.2565776302702402E-15</v>
      </c>
      <c r="BM113" s="566">
        <v>6.4430583510146604E-240</v>
      </c>
      <c r="BN113" s="566">
        <v>-9.9259735855199394E-112</v>
      </c>
      <c r="BO113" s="566">
        <v>-9.2933666741770801E-113</v>
      </c>
      <c r="BP113" s="566">
        <v>0.26360541439324697</v>
      </c>
      <c r="BQ113" s="566">
        <v>6.4684588343014796E-240</v>
      </c>
      <c r="BR113" s="566">
        <v>-1.67133065494426E-49</v>
      </c>
      <c r="BS113" s="566">
        <v>1.15863062136503E-45</v>
      </c>
      <c r="BT113" s="566">
        <v>1.0334502265106199E-15</v>
      </c>
      <c r="BU113" s="566">
        <v>6.5182567908645403E-240</v>
      </c>
      <c r="BV113" s="566">
        <v>-5.0727959647786999E-110</v>
      </c>
      <c r="BW113" s="566">
        <v>-2.1786164689318201E-110</v>
      </c>
      <c r="BX113" s="566">
        <v>2.2472615392480301E-15</v>
      </c>
      <c r="BY113" s="566">
        <v>6.5182192304830605E-240</v>
      </c>
      <c r="BZ113" s="566">
        <v>-3.9612204323924901E-109</v>
      </c>
      <c r="CA113" s="566">
        <v>-1.6284404289925499E-110</v>
      </c>
      <c r="CB113" s="566">
        <v>0.26360537917798899</v>
      </c>
      <c r="CC113" s="566">
        <v>6.4695961225757501E-240</v>
      </c>
      <c r="CD113" s="566">
        <v>-2.8005731122838003E-48</v>
      </c>
      <c r="CE113" s="566">
        <v>1.2912584124634101E-45</v>
      </c>
      <c r="CF113" s="566">
        <v>2.6564102120540302E-15</v>
      </c>
      <c r="CG113" s="566">
        <v>7.2627671426801695E-240</v>
      </c>
      <c r="CH113" s="566">
        <v>2.0949401074443999E-115</v>
      </c>
      <c r="CI113" s="566">
        <v>-7.6220041080070107E-111</v>
      </c>
      <c r="CJ113" s="566">
        <v>2.4766575776791999E-15</v>
      </c>
      <c r="CK113" s="566">
        <v>7.2627651902817104E-240</v>
      </c>
      <c r="CL113" s="566">
        <v>-1.1288738503833101E-111</v>
      </c>
      <c r="CM113" s="566">
        <v>-7.6167181206397905E-111</v>
      </c>
      <c r="CN113" s="566">
        <v>2.6564102120540302E-15</v>
      </c>
      <c r="CO113" s="566">
        <v>7.2627667784026703E-240</v>
      </c>
      <c r="CP113" s="566">
        <v>2.0949401465103298E-115</v>
      </c>
      <c r="CQ113" s="566">
        <v>-7.6220039287840407E-111</v>
      </c>
      <c r="CR113" s="566">
        <v>0.26364146105991199</v>
      </c>
      <c r="CS113" s="566">
        <v>2.1574438900365398E-239</v>
      </c>
      <c r="CT113" s="566">
        <v>1.64765566248916E-121</v>
      </c>
      <c r="CU113" s="566">
        <v>1.69035228082255E-239</v>
      </c>
      <c r="CV113" s="566">
        <v>3.4369410503138398E-239</v>
      </c>
      <c r="CW113" s="566">
        <v>1.6786369023347401E-121</v>
      </c>
      <c r="CX113" s="566">
        <v>2.6923577647275501E-239</v>
      </c>
      <c r="CY113" s="566">
        <v>0.26364136970954999</v>
      </c>
      <c r="CZ113" s="566">
        <v>2.77549655684178E-239</v>
      </c>
      <c r="DA113" s="566">
        <v>-3.5267872627662098E-47</v>
      </c>
      <c r="DB113" s="566">
        <v>5.8981937806324794E-42</v>
      </c>
      <c r="DC113" s="566">
        <v>0.26364169341429999</v>
      </c>
      <c r="DD113" s="566">
        <v>2.7759349364147601E-239</v>
      </c>
      <c r="DE113" s="566">
        <v>-3.4665060514949002E-44</v>
      </c>
      <c r="DF113" s="566">
        <v>5.7273444558362899E-39</v>
      </c>
      <c r="DG113" s="566">
        <v>0.26364173795955098</v>
      </c>
      <c r="DH113" s="566">
        <v>2.77642093092537E-239</v>
      </c>
      <c r="DI113" s="566">
        <v>-8.8241206849347699E-44</v>
      </c>
      <c r="DJ113" s="566">
        <v>1.45791066075248E-38</v>
      </c>
      <c r="DK113" s="566">
        <v>1.09349420275035E-13</v>
      </c>
      <c r="DL113" s="566">
        <v>2.9065650181119299E-239</v>
      </c>
      <c r="DM113" s="566">
        <v>6.2597681633435903E-115</v>
      </c>
      <c r="DN113" s="566">
        <v>-7.8355129206489598E-111</v>
      </c>
      <c r="DO113" s="566">
        <v>0.26364146128105398</v>
      </c>
      <c r="DP113" s="566">
        <v>1.05866450587822E-238</v>
      </c>
      <c r="DQ113" s="566">
        <v>7.2928332735806303E-121</v>
      </c>
      <c r="DR113" s="566">
        <v>1.84814244538581E-237</v>
      </c>
      <c r="DS113" s="566">
        <v>1.3731277494523E-237</v>
      </c>
      <c r="DT113" s="566">
        <v>7.69024494938926E-121</v>
      </c>
      <c r="DU113" s="566">
        <v>-1.6540190854523599E-236</v>
      </c>
      <c r="DV113" s="566">
        <v>0.263642103462912</v>
      </c>
      <c r="DW113" s="566">
        <v>5.75056399713221E-238</v>
      </c>
      <c r="DX113" s="566">
        <v>-9.0873944058898094E-44</v>
      </c>
      <c r="DY113" s="566">
        <v>1.2147641518395201E-37</v>
      </c>
      <c r="DZ113" s="566">
        <v>0.26364228501431197</v>
      </c>
      <c r="EA113" s="566">
        <v>5.751450124278E-238</v>
      </c>
      <c r="EB113" s="566">
        <v>-6.8780820703562802E-41</v>
      </c>
      <c r="EC113" s="566">
        <v>9.0941244531555002E-35</v>
      </c>
      <c r="ED113" s="566">
        <v>0.26364232960117701</v>
      </c>
      <c r="EE113" s="566">
        <v>5.7524293321440599E-238</v>
      </c>
      <c r="EF113" s="566">
        <v>-2.9287196915146502E-34</v>
      </c>
      <c r="EG113" s="566">
        <v>4.8406204193869302E-29</v>
      </c>
      <c r="EH113" s="566">
        <v>3.1654327428361001E-14</v>
      </c>
      <c r="EI113" s="566">
        <v>7.9262235648050999E-238</v>
      </c>
      <c r="EJ113" s="566">
        <v>-2.5058862387379199E-110</v>
      </c>
      <c r="EK113" s="566">
        <v>-8.18811902354509E-111</v>
      </c>
      <c r="EL113" s="566">
        <v>0.26364251692530399</v>
      </c>
      <c r="EM113" s="566">
        <v>7.5034490270390003E-239</v>
      </c>
      <c r="EN113" s="566">
        <v>4.3234620278868001E-121</v>
      </c>
      <c r="EO113" s="566">
        <v>5.0435440390551403E-239</v>
      </c>
      <c r="EP113" s="566">
        <v>9.3846723347121705E-239</v>
      </c>
      <c r="EQ113" s="566">
        <v>4.3668596245783799E-121</v>
      </c>
      <c r="ER113" s="566">
        <v>6.3079174279002096E-239</v>
      </c>
      <c r="ES113" s="566">
        <v>0.263645345004834</v>
      </c>
      <c r="ET113" s="566">
        <v>8.5440795921220298E-239</v>
      </c>
      <c r="EU113" s="566">
        <v>-8.0286725261648698E-50</v>
      </c>
      <c r="EV113" s="566">
        <v>5.7714082902693997E-43</v>
      </c>
      <c r="EW113" s="566">
        <v>0.26364535754216001</v>
      </c>
      <c r="EX113" s="566">
        <v>8.5453525064772492E-239</v>
      </c>
      <c r="EY113" s="566">
        <v>-1.0128939400249899E-46</v>
      </c>
      <c r="EZ113" s="566">
        <v>6.3427829529670001E-40</v>
      </c>
      <c r="FA113" s="566">
        <v>0.26364540213941101</v>
      </c>
      <c r="FB113" s="566">
        <v>8.5467953893413107E-239</v>
      </c>
      <c r="FC113" s="566">
        <v>-1.9958917394671998E-46</v>
      </c>
      <c r="FD113" s="566">
        <v>1.4886275367613001E-39</v>
      </c>
      <c r="FE113" s="566">
        <v>7.1063115725824697E-12</v>
      </c>
      <c r="FF113" s="566">
        <v>8.6468509029995994E-239</v>
      </c>
      <c r="FG113" s="566">
        <v>2.2483767194973E-115</v>
      </c>
      <c r="FH113" s="566">
        <v>-8.0123707133525907E-111</v>
      </c>
    </row>
    <row r="114" spans="1:164" ht="12.75" customHeight="1" x14ac:dyDescent="0.3">
      <c r="A114" s="422"/>
      <c r="B114" s="446"/>
      <c r="C114" s="744"/>
      <c r="D114" s="446"/>
      <c r="E114" s="446"/>
      <c r="F114" s="568"/>
      <c r="G114" s="569"/>
      <c r="H114" s="439"/>
      <c r="I114" s="574">
        <v>7789578.3160573198</v>
      </c>
      <c r="J114" s="566">
        <v>0.24938667566171599</v>
      </c>
      <c r="K114" s="566">
        <v>-1.0971334419986E-241</v>
      </c>
      <c r="L114" s="566">
        <v>-2.6442457721159102E-124</v>
      </c>
      <c r="M114" s="566">
        <v>-1.63062310486517E-241</v>
      </c>
      <c r="N114" s="566">
        <v>-1.7478003692722901E-241</v>
      </c>
      <c r="O114" s="566">
        <v>-2.6939661076140998E-124</v>
      </c>
      <c r="P114" s="566">
        <v>-2.5976810196028801E-241</v>
      </c>
      <c r="Q114" s="566">
        <v>6.8349164251268998E-17</v>
      </c>
      <c r="R114" s="566">
        <v>-1.24660694263477E-241</v>
      </c>
      <c r="S114" s="566">
        <v>-9.7151106186356903E-124</v>
      </c>
      <c r="T114" s="566">
        <v>1.3291396771425699E-131</v>
      </c>
      <c r="U114" s="566">
        <v>3.8978871459697504E-18</v>
      </c>
      <c r="V114" s="566">
        <v>-1.2951403825027E-244</v>
      </c>
      <c r="W114" s="566">
        <v>4.1335132927975698E-114</v>
      </c>
      <c r="X114" s="566">
        <v>8.8709214047430404E-115</v>
      </c>
      <c r="Y114" s="566">
        <v>0.21376323849979501</v>
      </c>
      <c r="Z114" s="566">
        <v>-9.3157096718498203E-242</v>
      </c>
      <c r="AA114" s="566">
        <v>8.4400151009990899E-55</v>
      </c>
      <c r="AB114" s="566">
        <v>-2.5851485485056899E-51</v>
      </c>
      <c r="AC114" s="566">
        <v>3.2269252854377199E-19</v>
      </c>
      <c r="AD114" s="566">
        <v>-1.3908598255724199E-241</v>
      </c>
      <c r="AE114" s="566">
        <v>1.8591677274593601E-111</v>
      </c>
      <c r="AF114" s="566">
        <v>1.47650839183419E-111</v>
      </c>
      <c r="AG114" s="566">
        <v>3.7294792108328101E-18</v>
      </c>
      <c r="AH114" s="566">
        <v>-1.4450091286467E-244</v>
      </c>
      <c r="AI114" s="566">
        <v>2.5102907483644801E-111</v>
      </c>
      <c r="AJ114" s="566">
        <v>9.76927864755278E-112</v>
      </c>
      <c r="AK114" s="566">
        <v>0.213011166408829</v>
      </c>
      <c r="AL114" s="566">
        <v>-9.3753691884213301E-242</v>
      </c>
      <c r="AM114" s="566">
        <v>1.64765667837591E-54</v>
      </c>
      <c r="AN114" s="566">
        <v>-5.0491059872125898E-51</v>
      </c>
      <c r="AO114" s="566">
        <v>1.71133906257055E-16</v>
      </c>
      <c r="AP114" s="566">
        <v>-1.377318458185E-241</v>
      </c>
      <c r="AQ114" s="566">
        <v>-6.6152721448308802E-117</v>
      </c>
      <c r="AR114" s="566">
        <v>5.2919532463523998E-112</v>
      </c>
      <c r="AS114" s="566">
        <v>4.8470739739420798E-18</v>
      </c>
      <c r="AT114" s="566">
        <v>-1.37299233807025E-243</v>
      </c>
      <c r="AU114" s="566">
        <v>2.9052103665650102E-113</v>
      </c>
      <c r="AV114" s="566">
        <v>5.0484018370174E-112</v>
      </c>
      <c r="AW114" s="566">
        <v>1.71133906257055E-16</v>
      </c>
      <c r="AX114" s="566">
        <v>-1.37731900082988E-241</v>
      </c>
      <c r="AY114" s="566">
        <v>-6.6152723972330404E-117</v>
      </c>
      <c r="AZ114" s="566">
        <v>5.2919532499748399E-112</v>
      </c>
      <c r="BA114" s="566">
        <v>0.25817239690410199</v>
      </c>
      <c r="BB114" s="566">
        <v>-4.1269311227010503E-241</v>
      </c>
      <c r="BC114" s="566">
        <v>-1.29709467374712E-123</v>
      </c>
      <c r="BD114" s="566">
        <v>-3.4924151906183403E-241</v>
      </c>
      <c r="BE114" s="566">
        <v>-6.5744575930927094E-241</v>
      </c>
      <c r="BF114" s="566">
        <v>-1.3214842847550999E-123</v>
      </c>
      <c r="BG114" s="566">
        <v>-5.5636374018822599E-241</v>
      </c>
      <c r="BH114" s="566">
        <v>1.02356520797871E-15</v>
      </c>
      <c r="BI114" s="566">
        <v>-4.5961528829925601E-241</v>
      </c>
      <c r="BJ114" s="566">
        <v>-7.33900139501152E-123</v>
      </c>
      <c r="BK114" s="566">
        <v>-2.18751492569761E-132</v>
      </c>
      <c r="BL114" s="566">
        <v>2.2114683435064401E-15</v>
      </c>
      <c r="BM114" s="566">
        <v>-4.5961313781790902E-241</v>
      </c>
      <c r="BN114" s="566">
        <v>7.0606918074016998E-113</v>
      </c>
      <c r="BO114" s="566">
        <v>6.6099991732449995E-114</v>
      </c>
      <c r="BP114" s="566">
        <v>0.25833590712221699</v>
      </c>
      <c r="BQ114" s="566">
        <v>-4.61424197313664E-241</v>
      </c>
      <c r="BR114" s="566">
        <v>1.1873275147853301E-50</v>
      </c>
      <c r="BS114" s="566">
        <v>-8.2310233404455696E-47</v>
      </c>
      <c r="BT114" s="566">
        <v>1.0127914191208699E-15</v>
      </c>
      <c r="BU114" s="566">
        <v>-4.64976986162707E-241</v>
      </c>
      <c r="BV114" s="566">
        <v>3.60791272634803E-111</v>
      </c>
      <c r="BW114" s="566">
        <v>1.5494922543502E-111</v>
      </c>
      <c r="BX114" s="566">
        <v>2.2023384823820299E-15</v>
      </c>
      <c r="BY114" s="566">
        <v>-4.6497448627049497E-241</v>
      </c>
      <c r="BZ114" s="566">
        <v>2.8175293962522798E-110</v>
      </c>
      <c r="CA114" s="566">
        <v>1.1582624366478599E-111</v>
      </c>
      <c r="CB114" s="566">
        <v>0.25833587261091701</v>
      </c>
      <c r="CC114" s="566">
        <v>-4.6150567442869597E-241</v>
      </c>
      <c r="CD114" s="566">
        <v>1.9913817250934799E-49</v>
      </c>
      <c r="CE114" s="566">
        <v>-9.1490055299045608E-47</v>
      </c>
      <c r="CF114" s="566">
        <v>2.6033082188363399E-15</v>
      </c>
      <c r="CG114" s="566">
        <v>-5.1808640210720301E-241</v>
      </c>
      <c r="CH114" s="566">
        <v>-1.49054059596751E-116</v>
      </c>
      <c r="CI114" s="566">
        <v>5.4209322563916297E-112</v>
      </c>
      <c r="CJ114" s="566">
        <v>2.4271488635146098E-15</v>
      </c>
      <c r="CK114" s="566">
        <v>-5.1808628499640199E-241</v>
      </c>
      <c r="CL114" s="566">
        <v>8.0303026522772102E-113</v>
      </c>
      <c r="CM114" s="566">
        <v>5.4171724274332603E-112</v>
      </c>
      <c r="CN114" s="566">
        <v>2.6033082188363399E-15</v>
      </c>
      <c r="CO114" s="566">
        <v>-5.1808647891578701E-241</v>
      </c>
      <c r="CP114" s="566">
        <v>-1.4905405989607699E-116</v>
      </c>
      <c r="CQ114" s="566">
        <v>5.4209320286745195E-112</v>
      </c>
      <c r="CR114" s="566">
        <v>0.25837123321122402</v>
      </c>
      <c r="CS114" s="566">
        <v>-1.5390026411635499E-240</v>
      </c>
      <c r="CT114" s="566">
        <v>-1.17282043626511E-122</v>
      </c>
      <c r="CU114" s="566">
        <v>-1.2058039054100701E-240</v>
      </c>
      <c r="CV114" s="566">
        <v>-2.4517266731034001E-240</v>
      </c>
      <c r="CW114" s="566">
        <v>-1.19487320903524E-122</v>
      </c>
      <c r="CX114" s="566">
        <v>-1.9205791981569901E-240</v>
      </c>
      <c r="CY114" s="566">
        <v>0.25837114368696801</v>
      </c>
      <c r="CZ114" s="566">
        <v>-1.9798882925280699E-240</v>
      </c>
      <c r="DA114" s="566">
        <v>2.50644355171156E-48</v>
      </c>
      <c r="DB114" s="566">
        <v>-4.1917764708929599E-43</v>
      </c>
      <c r="DC114" s="566">
        <v>0.25837146092081698</v>
      </c>
      <c r="DD114" s="566">
        <v>-1.9802003831169701E-240</v>
      </c>
      <c r="DE114" s="566">
        <v>2.4642940352594999E-45</v>
      </c>
      <c r="DF114" s="566">
        <v>-4.0714947496011901E-40</v>
      </c>
      <c r="DG114" s="566">
        <v>0.25837150457560298</v>
      </c>
      <c r="DH114" s="566">
        <v>-1.9805469090909101E-240</v>
      </c>
      <c r="DI114" s="566">
        <v>6.2672821930852406E-45</v>
      </c>
      <c r="DJ114" s="566">
        <v>-1.03547285246415E-39</v>
      </c>
      <c r="DK114" s="566">
        <v>1.07163510829478E-13</v>
      </c>
      <c r="DL114" s="566">
        <v>-2.0733855805629201E-240</v>
      </c>
      <c r="DM114" s="566">
        <v>-4.45379737807133E-116</v>
      </c>
      <c r="DN114" s="566">
        <v>5.5727841244600803E-112</v>
      </c>
      <c r="DO114" s="566">
        <v>0.25837123342794499</v>
      </c>
      <c r="DP114" s="566">
        <v>-7.5519335618091705E-240</v>
      </c>
      <c r="DQ114" s="566">
        <v>-5.1911234710817299E-122</v>
      </c>
      <c r="DR114" s="566">
        <v>-1.31836208963154E-238</v>
      </c>
      <c r="DS114" s="566">
        <v>-9.7950070020373794E-239</v>
      </c>
      <c r="DT114" s="566">
        <v>-5.4740058063743004E-122</v>
      </c>
      <c r="DU114" s="566">
        <v>1.179894978644E-237</v>
      </c>
      <c r="DV114" s="566">
        <v>0.25837186277250401</v>
      </c>
      <c r="DW114" s="566">
        <v>-4.1020881057009102E-239</v>
      </c>
      <c r="DX114" s="566">
        <v>6.4606270080048104E-45</v>
      </c>
      <c r="DY114" s="566">
        <v>-8.63629902754584E-39</v>
      </c>
      <c r="DZ114" s="566">
        <v>0.25837204069466702</v>
      </c>
      <c r="EA114" s="566">
        <v>-4.1027177371172002E-239</v>
      </c>
      <c r="EB114" s="566">
        <v>4.8910447326247299E-42</v>
      </c>
      <c r="EC114" s="566">
        <v>-6.4668859197723203E-36</v>
      </c>
      <c r="ED114" s="566">
        <v>0.25837208439023501</v>
      </c>
      <c r="EE114" s="566">
        <v>-4.1034176584666103E-239</v>
      </c>
      <c r="EF114" s="566">
        <v>2.08302952069447E-35</v>
      </c>
      <c r="EG114" s="566">
        <v>-3.4428544982902798E-30</v>
      </c>
      <c r="EH114" s="566">
        <v>3.1021553215709699E-14</v>
      </c>
      <c r="EI114" s="566">
        <v>-5.6540579917797396E-239</v>
      </c>
      <c r="EJ114" s="566">
        <v>1.78250663240952E-111</v>
      </c>
      <c r="EK114" s="566">
        <v>5.8235651793900104E-112</v>
      </c>
      <c r="EL114" s="566">
        <v>0.25837226796972601</v>
      </c>
      <c r="EM114" s="566">
        <v>-5.3525434695888204E-240</v>
      </c>
      <c r="EN114" s="566">
        <v>-3.0774906314128602E-122</v>
      </c>
      <c r="EO114" s="566">
        <v>-3.5977845889580498E-240</v>
      </c>
      <c r="EP114" s="566">
        <v>-6.6945029273878204E-240</v>
      </c>
      <c r="EQ114" s="566">
        <v>-3.10838143185092E-122</v>
      </c>
      <c r="ER114" s="566">
        <v>-4.4997170763809597E-240</v>
      </c>
      <c r="ES114" s="566">
        <v>0.258375039515571</v>
      </c>
      <c r="ET114" s="566">
        <v>-6.0948745807780496E-240</v>
      </c>
      <c r="EU114" s="566">
        <v>5.70263608568952E-51</v>
      </c>
      <c r="EV114" s="566">
        <v>-4.1002940717620198E-44</v>
      </c>
      <c r="EW114" s="566">
        <v>0.25837505180227399</v>
      </c>
      <c r="EX114" s="566">
        <v>-6.0957782336061404E-240</v>
      </c>
      <c r="EY114" s="566">
        <v>7.1973922491786901E-48</v>
      </c>
      <c r="EZ114" s="566">
        <v>-4.5075032884172598E-41</v>
      </c>
      <c r="FA114" s="566">
        <v>0.25837509550802001</v>
      </c>
      <c r="FB114" s="566">
        <v>-6.0968083959007396E-240</v>
      </c>
      <c r="FC114" s="566">
        <v>1.4166753333565E-47</v>
      </c>
      <c r="FD114" s="566">
        <v>-1.05701359281482E-40</v>
      </c>
      <c r="FE114" s="566">
        <v>6.9642554597058799E-12</v>
      </c>
      <c r="FF114" s="566">
        <v>-6.1681855724116703E-240</v>
      </c>
      <c r="FG114" s="566">
        <v>-1.60012807935636E-116</v>
      </c>
      <c r="FH114" s="566">
        <v>5.69856920290821E-112</v>
      </c>
    </row>
    <row r="115" spans="1:164" ht="12.75" customHeight="1" x14ac:dyDescent="0.3">
      <c r="A115" s="422"/>
      <c r="B115" s="447"/>
      <c r="C115" s="447"/>
      <c r="D115" s="447"/>
      <c r="E115" s="447"/>
      <c r="F115" s="568"/>
      <c r="G115" s="569"/>
      <c r="H115" s="439"/>
      <c r="I115" s="574">
        <v>7873337.2226815904</v>
      </c>
      <c r="J115" s="566">
        <v>0.244401402867854</v>
      </c>
      <c r="K115" s="566">
        <v>3.7401167098731801E-243</v>
      </c>
      <c r="L115" s="566">
        <v>8.8804452425233101E-126</v>
      </c>
      <c r="M115" s="566">
        <v>5.5587901206906596E-243</v>
      </c>
      <c r="N115" s="566">
        <v>5.9582386471180597E-243</v>
      </c>
      <c r="O115" s="566">
        <v>9.0474259829393195E-126</v>
      </c>
      <c r="P115" s="566">
        <v>8.8554989930089902E-243</v>
      </c>
      <c r="Q115" s="566">
        <v>6.6982855373214603E-17</v>
      </c>
      <c r="R115" s="566">
        <v>4.2496756985257198E-243</v>
      </c>
      <c r="S115" s="566">
        <v>3.2627258635364899E-125</v>
      </c>
      <c r="T115" s="566">
        <v>-4.4770034200234703E-133</v>
      </c>
      <c r="U115" s="566">
        <v>3.81996786383173E-18</v>
      </c>
      <c r="V115" s="566">
        <v>4.4151244495627202E-246</v>
      </c>
      <c r="W115" s="566">
        <v>-1.38195838894123E-115</v>
      </c>
      <c r="X115" s="566">
        <v>-2.9618859250375997E-116</v>
      </c>
      <c r="Y115" s="566">
        <v>0.20949008294971</v>
      </c>
      <c r="Z115" s="566">
        <v>3.1757288274828802E-243</v>
      </c>
      <c r="AA115" s="566">
        <v>-2.7916184377570798E-56</v>
      </c>
      <c r="AB115" s="566">
        <v>8.5509118877484793E-53</v>
      </c>
      <c r="AC115" s="566">
        <v>3.16241862007304E-19</v>
      </c>
      <c r="AD115" s="566">
        <v>4.7414195126781005E-243</v>
      </c>
      <c r="AE115" s="566">
        <v>-6.2079117896107805E-113</v>
      </c>
      <c r="AF115" s="566">
        <v>-4.9301812999886002E-113</v>
      </c>
      <c r="AG115" s="566">
        <v>3.6549264257022202E-18</v>
      </c>
      <c r="AH115" s="566">
        <v>4.9260186471290202E-246</v>
      </c>
      <c r="AI115" s="566">
        <v>-8.3817809245700005E-113</v>
      </c>
      <c r="AJ115" s="566">
        <v>-3.2619978963952E-113</v>
      </c>
      <c r="AK115" s="566">
        <v>0.20875304487980501</v>
      </c>
      <c r="AL115" s="566">
        <v>3.1960667039538E-243</v>
      </c>
      <c r="AM115" s="566">
        <v>-5.4132709736045199E-56</v>
      </c>
      <c r="AN115" s="566">
        <v>1.65890062052632E-52</v>
      </c>
      <c r="AO115" s="566">
        <v>1.6771291672460799E-16</v>
      </c>
      <c r="AP115" s="566">
        <v>4.6952807844380997E-243</v>
      </c>
      <c r="AQ115" s="566">
        <v>2.2147590541115901E-118</v>
      </c>
      <c r="AR115" s="566">
        <v>-1.76691540596608E-113</v>
      </c>
      <c r="AS115" s="566">
        <v>4.7501803209511301E-18</v>
      </c>
      <c r="AT115" s="566">
        <v>4.6805318240133797E-245</v>
      </c>
      <c r="AU115" s="566">
        <v>-9.7129963245559392E-115</v>
      </c>
      <c r="AV115" s="566">
        <v>-1.6855960391732901E-113</v>
      </c>
      <c r="AW115" s="566">
        <v>1.6771291672460799E-16</v>
      </c>
      <c r="AX115" s="566">
        <v>4.6952787727414103E-243</v>
      </c>
      <c r="AY115" s="566">
        <v>2.2147589941816701E-118</v>
      </c>
      <c r="AZ115" s="566">
        <v>-1.7669153652039399E-113</v>
      </c>
      <c r="BA115" s="566">
        <v>0.25301149637484499</v>
      </c>
      <c r="BB115" s="566">
        <v>1.4068692757142499E-242</v>
      </c>
      <c r="BC115" s="566">
        <v>4.3561677597747301E-125</v>
      </c>
      <c r="BD115" s="566">
        <v>1.1905639732407901E-242</v>
      </c>
      <c r="BE115" s="566">
        <v>2.2412339887942798E-242</v>
      </c>
      <c r="BF115" s="566">
        <v>4.4380779184504298E-125</v>
      </c>
      <c r="BG115" s="566">
        <v>1.89664469700864E-242</v>
      </c>
      <c r="BH115" s="566">
        <v>1.0031040034234099E-15</v>
      </c>
      <c r="BI115" s="566">
        <v>1.5668238832311E-242</v>
      </c>
      <c r="BJ115" s="566">
        <v>2.4647328651439002E-124</v>
      </c>
      <c r="BK115" s="566">
        <v>7.3670722095938397E-134</v>
      </c>
      <c r="BL115" s="566">
        <v>2.16726079738107E-15</v>
      </c>
      <c r="BM115" s="566">
        <v>1.56682173067781E-242</v>
      </c>
      <c r="BN115" s="566">
        <v>-2.3601295953056002E-114</v>
      </c>
      <c r="BO115" s="566">
        <v>-2.20783781904843E-115</v>
      </c>
      <c r="BP115" s="566">
        <v>0.25317173800196702</v>
      </c>
      <c r="BQ115" s="566">
        <v>1.57299525621854E-242</v>
      </c>
      <c r="BR115" s="566">
        <v>-3.9323372411831802E-52</v>
      </c>
      <c r="BS115" s="566">
        <v>2.72608179073752E-48</v>
      </c>
      <c r="BT115" s="566">
        <v>9.92545584036841E-16</v>
      </c>
      <c r="BU115" s="566">
        <v>1.5851048622237201E-242</v>
      </c>
      <c r="BV115" s="566">
        <v>-1.20471082929528E-112</v>
      </c>
      <c r="BW115" s="566">
        <v>-5.1738782766264902E-113</v>
      </c>
      <c r="BX115" s="566">
        <v>2.1583134433940302E-15</v>
      </c>
      <c r="BY115" s="566">
        <v>1.5850984197245001E-242</v>
      </c>
      <c r="BZ115" s="566">
        <v>-9.4126639007846397E-112</v>
      </c>
      <c r="CA115" s="566">
        <v>-3.8691933302408398E-113</v>
      </c>
      <c r="CB115" s="566">
        <v>0.25317170418055202</v>
      </c>
      <c r="CC115" s="566">
        <v>1.5732735335935601E-242</v>
      </c>
      <c r="CD115" s="566">
        <v>-6.6384705820780101E-51</v>
      </c>
      <c r="CE115" s="566">
        <v>2.9730115310101203E-48</v>
      </c>
      <c r="CF115" s="566">
        <v>2.5512677415214699E-15</v>
      </c>
      <c r="CG115" s="566">
        <v>1.7661570985376401E-242</v>
      </c>
      <c r="CH115" s="566">
        <v>4.9902528598828204E-118</v>
      </c>
      <c r="CI115" s="566">
        <v>-1.8099798013935199E-113</v>
      </c>
      <c r="CJ115" s="566">
        <v>2.3786298351269599E-15</v>
      </c>
      <c r="CK115" s="566">
        <v>1.7661587060657599E-242</v>
      </c>
      <c r="CL115" s="566">
        <v>-2.6847733449654398E-114</v>
      </c>
      <c r="CM115" s="566">
        <v>-1.80872372424376E-113</v>
      </c>
      <c r="CN115" s="566">
        <v>2.5512677415214699E-15</v>
      </c>
      <c r="CO115" s="566">
        <v>1.7661545053536101E-242</v>
      </c>
      <c r="CP115" s="566">
        <v>4.9902531011098304E-118</v>
      </c>
      <c r="CQ115" s="566">
        <v>-1.8099796030373001E-113</v>
      </c>
      <c r="CR115" s="566">
        <v>0.25320635791775897</v>
      </c>
      <c r="CS115" s="566">
        <v>5.2464593981672796E-242</v>
      </c>
      <c r="CT115" s="566">
        <v>3.9388041557483201E-124</v>
      </c>
      <c r="CU115" s="566">
        <v>4.11057351819172E-242</v>
      </c>
      <c r="CV115" s="566">
        <v>8.3579275494386293E-242</v>
      </c>
      <c r="CW115" s="566">
        <v>4.0128661782270497E-124</v>
      </c>
      <c r="CX115" s="566">
        <v>6.5472337489159699E-242</v>
      </c>
      <c r="CY115" s="566">
        <v>0.25320627018310399</v>
      </c>
      <c r="CZ115" s="566">
        <v>6.7494438659812297E-242</v>
      </c>
      <c r="DA115" s="566">
        <v>-8.3243467514753701E-50</v>
      </c>
      <c r="DB115" s="566">
        <v>1.3921733573309901E-44</v>
      </c>
      <c r="DC115" s="566">
        <v>0.253206581075407</v>
      </c>
      <c r="DD115" s="566">
        <v>6.7505080978523901E-242</v>
      </c>
      <c r="DE115" s="566">
        <v>-8.2006617622417002E-47</v>
      </c>
      <c r="DF115" s="566">
        <v>1.35490969823165E-41</v>
      </c>
      <c r="DG115" s="566">
        <v>0.25320662385752801</v>
      </c>
      <c r="DH115" s="566">
        <v>6.7516894292677603E-242</v>
      </c>
      <c r="DI115" s="566">
        <v>-2.0722609238864701E-46</v>
      </c>
      <c r="DJ115" s="566">
        <v>3.4237648905306501E-41</v>
      </c>
      <c r="DK115" s="566">
        <v>1.0502129800429201E-13</v>
      </c>
      <c r="DL115" s="566">
        <v>7.0681687960858898E-242</v>
      </c>
      <c r="DM115" s="566">
        <v>1.49110859992415E-117</v>
      </c>
      <c r="DN115" s="566">
        <v>-1.8606810910515501E-113</v>
      </c>
      <c r="DO115" s="566">
        <v>0.25320635813014802</v>
      </c>
      <c r="DP115" s="566">
        <v>2.5744565873520699E-241</v>
      </c>
      <c r="DQ115" s="566">
        <v>1.74338863009415E-123</v>
      </c>
      <c r="DR115" s="566">
        <v>4.4942616508960902E-240</v>
      </c>
      <c r="DS115" s="566">
        <v>3.33879823351128E-240</v>
      </c>
      <c r="DT115" s="566">
        <v>1.83839205312158E-123</v>
      </c>
      <c r="DU115" s="566">
        <v>-4.0224678140132396E-239</v>
      </c>
      <c r="DV115" s="566">
        <v>0.25320697489402499</v>
      </c>
      <c r="DW115" s="566">
        <v>1.39828550695937E-240</v>
      </c>
      <c r="DX115" s="566">
        <v>-2.1511807658718099E-46</v>
      </c>
      <c r="DY115" s="566">
        <v>2.87562867562628E-40</v>
      </c>
      <c r="DZ115" s="566">
        <v>0.2532071492595</v>
      </c>
      <c r="EA115" s="566">
        <v>1.39849991051474E-240</v>
      </c>
      <c r="EB115" s="566">
        <v>-1.6311870705712501E-43</v>
      </c>
      <c r="EC115" s="566">
        <v>2.1567379877357101E-37</v>
      </c>
      <c r="ED115" s="566">
        <v>0.25320719208158798</v>
      </c>
      <c r="EE115" s="566">
        <v>1.39874155106559E-240</v>
      </c>
      <c r="EF115" s="566">
        <v>-6.9564185233812501E-37</v>
      </c>
      <c r="EG115" s="566">
        <v>1.14976463426106E-31</v>
      </c>
      <c r="EH115" s="566">
        <v>3.0401428243678702E-14</v>
      </c>
      <c r="EI115" s="566">
        <v>1.9272945010617601E-240</v>
      </c>
      <c r="EJ115" s="566">
        <v>-5.9578438921347004E-113</v>
      </c>
      <c r="EK115" s="566">
        <v>-1.94441370525595E-113</v>
      </c>
      <c r="EL115" s="566">
        <v>0.253207371991301</v>
      </c>
      <c r="EM115" s="566">
        <v>1.82467789699912E-241</v>
      </c>
      <c r="EN115" s="566">
        <v>1.0335455177571599E-123</v>
      </c>
      <c r="EO115" s="566">
        <v>1.22648097416001E-241</v>
      </c>
      <c r="EP115" s="566">
        <v>2.2821482856768999E-241</v>
      </c>
      <c r="EQ115" s="566">
        <v>1.04391975332372E-123</v>
      </c>
      <c r="ER115" s="566">
        <v>1.5339502192981401E-241</v>
      </c>
      <c r="ES115" s="566">
        <v>0.25321008813357598</v>
      </c>
      <c r="ET115" s="566">
        <v>2.0777377829600499E-241</v>
      </c>
      <c r="EU115" s="566">
        <v>-1.8863085617916099E-52</v>
      </c>
      <c r="EV115" s="566">
        <v>1.3585434144268999E-45</v>
      </c>
      <c r="EW115" s="566">
        <v>0.253210100174666</v>
      </c>
      <c r="EX115" s="566">
        <v>2.0780418907328201E-241</v>
      </c>
      <c r="EY115" s="566">
        <v>-2.38774715182511E-49</v>
      </c>
      <c r="EZ115" s="566">
        <v>1.49647282164808E-42</v>
      </c>
      <c r="FA115" s="566">
        <v>0.253210143006729</v>
      </c>
      <c r="FB115" s="566">
        <v>2.0783957885022601E-241</v>
      </c>
      <c r="FC115" s="566">
        <v>-4.6630806586148201E-49</v>
      </c>
      <c r="FD115" s="566">
        <v>3.4884859108069603E-42</v>
      </c>
      <c r="FE115" s="566">
        <v>6.8250390674080302E-12</v>
      </c>
      <c r="FF115" s="566">
        <v>2.1027297880913099E-241</v>
      </c>
      <c r="FG115" s="566">
        <v>5.3669893060946097E-118</v>
      </c>
      <c r="FH115" s="566">
        <v>-1.90267910875653E-113</v>
      </c>
    </row>
    <row r="116" spans="1:164" ht="12.75" customHeight="1" x14ac:dyDescent="0.3">
      <c r="A116" s="422"/>
      <c r="B116" s="447"/>
      <c r="C116" s="447"/>
      <c r="D116" s="447"/>
      <c r="E116" s="447"/>
      <c r="F116" s="568"/>
      <c r="G116" s="569"/>
      <c r="H116" s="439"/>
      <c r="I116" s="574">
        <v>7957096.12930586</v>
      </c>
      <c r="J116" s="566">
        <v>0.23951578633998399</v>
      </c>
      <c r="K116" s="566">
        <v>5.5938854090720898E-247</v>
      </c>
      <c r="L116" s="566">
        <v>2.7273765468287298E-128</v>
      </c>
      <c r="M116" s="566">
        <v>8.3088324174334905E-247</v>
      </c>
      <c r="N116" s="566">
        <v>8.9028666995678006E-247</v>
      </c>
      <c r="O116" s="566">
        <v>2.7786612282550001E-128</v>
      </c>
      <c r="P116" s="566">
        <v>1.3239325748080299E-246</v>
      </c>
      <c r="Q116" s="566">
        <v>6.5643859191297296E-17</v>
      </c>
      <c r="R116" s="566">
        <v>6.3519108765918695E-247</v>
      </c>
      <c r="S116" s="566">
        <v>1.0020552358964699E-127</v>
      </c>
      <c r="T116" s="566">
        <v>-1.1148001110930001E-135</v>
      </c>
      <c r="U116" s="566">
        <v>3.7436061985038198E-18</v>
      </c>
      <c r="V116" s="566">
        <v>6.5994642958022097E-250</v>
      </c>
      <c r="W116" s="566">
        <v>-5.4730467220375796E-118</v>
      </c>
      <c r="X116" s="566">
        <v>-1.2507472063871201E-118</v>
      </c>
      <c r="Y116" s="566">
        <v>0.20530234834723199</v>
      </c>
      <c r="Z116" s="566">
        <v>4.7471159901621803E-247</v>
      </c>
      <c r="AA116" s="566">
        <v>-1.70141035786882E-58</v>
      </c>
      <c r="AB116" s="566">
        <v>5.2059800145529299E-55</v>
      </c>
      <c r="AC116" s="566">
        <v>3.09920145152583E-19</v>
      </c>
      <c r="AD116" s="566">
        <v>7.0948144145667404E-247</v>
      </c>
      <c r="AE116" s="566">
        <v>-2.6137319881478501E-115</v>
      </c>
      <c r="AF116" s="566">
        <v>-2.0757679179847099E-115</v>
      </c>
      <c r="AG116" s="566">
        <v>3.5818639606589497E-18</v>
      </c>
      <c r="AH116" s="566">
        <v>7.3609407607339504E-250</v>
      </c>
      <c r="AI116" s="566">
        <v>-3.5346124478937298E-115</v>
      </c>
      <c r="AJ116" s="566">
        <v>-1.37426015032284E-115</v>
      </c>
      <c r="AK116" s="566">
        <v>0.20458004376630801</v>
      </c>
      <c r="AL116" s="566">
        <v>4.7757972963523102E-247</v>
      </c>
      <c r="AM116" s="566">
        <v>-4.0289251010981498E-58</v>
      </c>
      <c r="AN116" s="566">
        <v>1.2336799689262E-54</v>
      </c>
      <c r="AO116" s="566">
        <v>1.6436031322776899E-16</v>
      </c>
      <c r="AP116" s="566">
        <v>7.0155341003239001E-247</v>
      </c>
      <c r="AQ116" s="566">
        <v>8.1634992654052505E-121</v>
      </c>
      <c r="AR116" s="566">
        <v>-7.4612381686314696E-116</v>
      </c>
      <c r="AS116" s="566">
        <v>4.65522358496649E-18</v>
      </c>
      <c r="AT116" s="566">
        <v>6.9943146023283403E-249</v>
      </c>
      <c r="AU116" s="566">
        <v>-3.8466905631391701E-117</v>
      </c>
      <c r="AV116" s="566">
        <v>-7.1179519007997297E-116</v>
      </c>
      <c r="AW116" s="566">
        <v>1.6436031322776899E-16</v>
      </c>
      <c r="AX116" s="566">
        <v>7.0175708902434206E-247</v>
      </c>
      <c r="AY116" s="566">
        <v>8.1634891292488997E-121</v>
      </c>
      <c r="AZ116" s="566">
        <v>-7.4612335441432499E-116</v>
      </c>
      <c r="BA116" s="566">
        <v>0.24795376293336299</v>
      </c>
      <c r="BB116" s="566">
        <v>2.10003413775384E-246</v>
      </c>
      <c r="BC116" s="566">
        <v>1.33787276399478E-127</v>
      </c>
      <c r="BD116" s="566">
        <v>1.77860866857567E-246</v>
      </c>
      <c r="BE116" s="566">
        <v>3.3421253983332998E-246</v>
      </c>
      <c r="BF116" s="566">
        <v>1.36302840046215E-127</v>
      </c>
      <c r="BG116" s="566">
        <v>2.83087740044602E-246</v>
      </c>
      <c r="BH116" s="566">
        <v>9.8305182106770207E-16</v>
      </c>
      <c r="BI116" s="566">
        <v>2.3397105647468901E-246</v>
      </c>
      <c r="BJ116" s="566">
        <v>7.5697226100908805E-127</v>
      </c>
      <c r="BK116" s="566">
        <v>1.8587119020362899E-136</v>
      </c>
      <c r="BL116" s="566">
        <v>2.1239369659805799E-15</v>
      </c>
      <c r="BM116" s="566">
        <v>2.3390676928169598E-246</v>
      </c>
      <c r="BN116" s="566">
        <v>-9.4405389237473695E-117</v>
      </c>
      <c r="BO116" s="566">
        <v>-9.1560768176590899E-118</v>
      </c>
      <c r="BP116" s="566">
        <v>0.24811080130905999</v>
      </c>
      <c r="BQ116" s="566">
        <v>2.3446803606007E-246</v>
      </c>
      <c r="BR116" s="566">
        <v>-2.29404324607528E-54</v>
      </c>
      <c r="BS116" s="566">
        <v>1.5897316892997001E-50</v>
      </c>
      <c r="BT116" s="566">
        <v>9.7270446588803708E-16</v>
      </c>
      <c r="BU116" s="566">
        <v>2.36716760137497E-246</v>
      </c>
      <c r="BV116" s="566">
        <v>-5.0723307428508196E-115</v>
      </c>
      <c r="BW116" s="566">
        <v>-2.1784185248885901E-115</v>
      </c>
      <c r="BX116" s="566">
        <v>2.1151684707889799E-15</v>
      </c>
      <c r="BY116" s="566">
        <v>2.3650775295463803E-246</v>
      </c>
      <c r="BZ116" s="566">
        <v>-3.8699054934239E-114</v>
      </c>
      <c r="CA116" s="566">
        <v>-1.5961763906725099E-115</v>
      </c>
      <c r="CB116" s="566">
        <v>0.24811076816374</v>
      </c>
      <c r="CC116" s="566">
        <v>2.3487563775528499E-246</v>
      </c>
      <c r="CD116" s="566">
        <v>-3.0110943530666299E-53</v>
      </c>
      <c r="CE116" s="566">
        <v>2.87337294271758E-50</v>
      </c>
      <c r="CF116" s="566">
        <v>2.5002675602674498E-15</v>
      </c>
      <c r="CG116" s="566">
        <v>2.6352738116908101E-246</v>
      </c>
      <c r="CH116" s="566">
        <v>1.8393818611915799E-120</v>
      </c>
      <c r="CI116" s="566">
        <v>-7.6430858378203904E-116</v>
      </c>
      <c r="CJ116" s="566">
        <v>2.3310807085678801E-15</v>
      </c>
      <c r="CK116" s="566">
        <v>2.6355866812880498E-246</v>
      </c>
      <c r="CL116" s="566">
        <v>-1.06326363994347E-116</v>
      </c>
      <c r="CM116" s="566">
        <v>-7.6378992014661802E-116</v>
      </c>
      <c r="CN116" s="566">
        <v>2.5002675602674498E-15</v>
      </c>
      <c r="CO116" s="566">
        <v>2.6360571547936799E-246</v>
      </c>
      <c r="CP116" s="566">
        <v>1.8393832981950799E-120</v>
      </c>
      <c r="CQ116" s="566">
        <v>-7.6430902443490402E-116</v>
      </c>
      <c r="CR116" s="566">
        <v>0.24814472916813399</v>
      </c>
      <c r="CS116" s="566">
        <v>7.8352061379975598E-246</v>
      </c>
      <c r="CT116" s="566">
        <v>1.20969461505358E-126</v>
      </c>
      <c r="CU116" s="566">
        <v>6.1443637422221495E-246</v>
      </c>
      <c r="CV116" s="566">
        <v>1.24845665929844E-245</v>
      </c>
      <c r="CW116" s="566">
        <v>1.2324405153652101E-126</v>
      </c>
      <c r="CX116" s="566">
        <v>9.78811123612243E-246</v>
      </c>
      <c r="CY116" s="566">
        <v>0.248144643187307</v>
      </c>
      <c r="CZ116" s="566">
        <v>1.00825931158795E-245</v>
      </c>
      <c r="DA116" s="566">
        <v>-4.3932213844892999E-52</v>
      </c>
      <c r="DB116" s="566">
        <v>7.3453652954361302E-47</v>
      </c>
      <c r="DC116" s="566">
        <v>0.24814494786483099</v>
      </c>
      <c r="DD116" s="566">
        <v>1.00828963097775E-245</v>
      </c>
      <c r="DE116" s="566">
        <v>-4.0034699491994297E-49</v>
      </c>
      <c r="DF116" s="566">
        <v>6.6144388003259495E-44</v>
      </c>
      <c r="DG116" s="566">
        <v>0.248144989791731</v>
      </c>
      <c r="DH116" s="566">
        <v>1.00805274259297E-245</v>
      </c>
      <c r="DI116" s="566">
        <v>-1.27705438557471E-48</v>
      </c>
      <c r="DJ116" s="566">
        <v>2.1099293905526801E-43</v>
      </c>
      <c r="DK116" s="566">
        <v>1.02921908298311E-13</v>
      </c>
      <c r="DL116" s="566">
        <v>1.0555045010863E-245</v>
      </c>
      <c r="DM116" s="566">
        <v>5.49614929356615E-120</v>
      </c>
      <c r="DN116" s="566">
        <v>-7.8571940014386703E-116</v>
      </c>
      <c r="DO116" s="566">
        <v>0.24814472937627699</v>
      </c>
      <c r="DP116" s="566">
        <v>3.8452089108496201E-245</v>
      </c>
      <c r="DQ116" s="566">
        <v>5.3543320397228802E-126</v>
      </c>
      <c r="DR116" s="566">
        <v>6.7707388805669301E-244</v>
      </c>
      <c r="DS116" s="566">
        <v>5.5913464474997498E-244</v>
      </c>
      <c r="DT116" s="566">
        <v>5.64611010283939E-126</v>
      </c>
      <c r="DU116" s="566">
        <v>-5.5909387421858096E-243</v>
      </c>
      <c r="DV116" s="566">
        <v>0.24814533381096199</v>
      </c>
      <c r="DW116" s="566">
        <v>2.3127450906330499E-244</v>
      </c>
      <c r="DX116" s="566">
        <v>-1.02599570398153E-48</v>
      </c>
      <c r="DY116" s="566">
        <v>1.37113864870342E-42</v>
      </c>
      <c r="DZ116" s="566">
        <v>0.24814550469084801</v>
      </c>
      <c r="EA116" s="566">
        <v>2.3116967493457599E-244</v>
      </c>
      <c r="EB116" s="566">
        <v>-7.2583667034875902E-46</v>
      </c>
      <c r="EC116" s="566">
        <v>9.5968793599914908E-40</v>
      </c>
      <c r="ED116" s="566">
        <v>0.24814554665691699</v>
      </c>
      <c r="EE116" s="566">
        <v>2.31139196726687E-244</v>
      </c>
      <c r="EF116" s="566">
        <v>-2.9088003192405501E-39</v>
      </c>
      <c r="EG116" s="566">
        <v>4.8077085620730297E-34</v>
      </c>
      <c r="EH116" s="566">
        <v>2.9793699652290599E-14</v>
      </c>
      <c r="EI116" s="566">
        <v>3.2060248034903503E-244</v>
      </c>
      <c r="EJ116" s="566">
        <v>-2.3914588069163698E-115</v>
      </c>
      <c r="EK116" s="566">
        <v>-8.2107690027931901E-116</v>
      </c>
      <c r="EL116" s="566">
        <v>0.24814572297021101</v>
      </c>
      <c r="EM116" s="566">
        <v>2.7293094313565E-245</v>
      </c>
      <c r="EN116" s="566">
        <v>3.1742424204332003E-126</v>
      </c>
      <c r="EO116" s="566">
        <v>1.8342058316039402E-245</v>
      </c>
      <c r="EP116" s="566">
        <v>3.4143100511089701E-245</v>
      </c>
      <c r="EQ116" s="566">
        <v>3.20610895350521E-126</v>
      </c>
      <c r="ER116" s="566">
        <v>2.2939795913654198E-245</v>
      </c>
      <c r="ES116" s="566">
        <v>0.24814838481644</v>
      </c>
      <c r="ET116" s="566">
        <v>3.1064424351294302E-245</v>
      </c>
      <c r="EU116" s="566">
        <v>-1.14755051756922E-54</v>
      </c>
      <c r="EV116" s="566">
        <v>7.8141369816513999E-48</v>
      </c>
      <c r="EW116" s="566">
        <v>0.248148396616828</v>
      </c>
      <c r="EX116" s="566">
        <v>3.1098454553570199E-245</v>
      </c>
      <c r="EY116" s="566">
        <v>-1.31260337469228E-51</v>
      </c>
      <c r="EZ116" s="566">
        <v>8.0070584875614904E-45</v>
      </c>
      <c r="FA116" s="566">
        <v>0.24814843859267199</v>
      </c>
      <c r="FB116" s="566">
        <v>3.1092783632673201E-245</v>
      </c>
      <c r="FC116" s="566">
        <v>-3.2958951221496603E-51</v>
      </c>
      <c r="FD116" s="566">
        <v>2.2798050717102499E-44</v>
      </c>
      <c r="FE116" s="566">
        <v>6.68860562930246E-12</v>
      </c>
      <c r="FF116" s="566">
        <v>3.1434006780669398E-245</v>
      </c>
      <c r="FG116" s="566">
        <v>1.7838801526454E-120</v>
      </c>
      <c r="FH116" s="566">
        <v>-8.0345360021229899E-116</v>
      </c>
    </row>
    <row r="117" spans="1:164" ht="12.75" customHeight="1" x14ac:dyDescent="0.3">
      <c r="A117" s="422"/>
      <c r="B117" s="447"/>
      <c r="C117" s="447"/>
      <c r="D117" s="447"/>
      <c r="E117" s="447"/>
      <c r="F117" s="568"/>
      <c r="G117" s="569"/>
      <c r="H117" s="439"/>
      <c r="I117" s="574">
        <v>8040855.0359301297</v>
      </c>
      <c r="J117" s="566">
        <v>0.23472783393587601</v>
      </c>
      <c r="K117" s="566">
        <v>-6.9600796119550998E-248</v>
      </c>
      <c r="L117" s="566">
        <v>-3.3911516311475703E-129</v>
      </c>
      <c r="M117" s="566">
        <v>-1.03444714844426E-247</v>
      </c>
      <c r="N117" s="566">
        <v>-1.1087837553319801E-247</v>
      </c>
      <c r="O117" s="566">
        <v>-3.4549163185592899E-129</v>
      </c>
      <c r="P117" s="566">
        <v>-1.6479375563781801E-247</v>
      </c>
      <c r="Q117" s="566">
        <v>6.4331629721028602E-17</v>
      </c>
      <c r="R117" s="566">
        <v>-7.9083157257351495E-248</v>
      </c>
      <c r="S117" s="566">
        <v>-1.24592863604664E-128</v>
      </c>
      <c r="T117" s="566">
        <v>1.38624428445745E-136</v>
      </c>
      <c r="U117" s="566">
        <v>3.6687710130153902E-18</v>
      </c>
      <c r="V117" s="566">
        <v>-8.2162061055952603E-251</v>
      </c>
      <c r="W117" s="566">
        <v>6.8041334974508596E-119</v>
      </c>
      <c r="X117" s="566">
        <v>1.5548788766400001E-119</v>
      </c>
      <c r="Y117" s="566">
        <v>0.201198327116068</v>
      </c>
      <c r="Z117" s="566">
        <v>-5.9097695900266903E-248</v>
      </c>
      <c r="AA117" s="566">
        <v>2.11472880484172E-59</v>
      </c>
      <c r="AB117" s="566">
        <v>-6.4706557833002903E-56</v>
      </c>
      <c r="AC117" s="566">
        <v>3.0372480025803599E-19</v>
      </c>
      <c r="AD117" s="566">
        <v>-8.8234474360627393E-248</v>
      </c>
      <c r="AE117" s="566">
        <v>3.24929423621772E-116</v>
      </c>
      <c r="AF117" s="566">
        <v>2.5805149915747702E-116</v>
      </c>
      <c r="AG117" s="566">
        <v>3.5102620240029602E-18</v>
      </c>
      <c r="AH117" s="566">
        <v>-9.1669698929959007E-251</v>
      </c>
      <c r="AI117" s="566">
        <v>4.3940972861191098E-116</v>
      </c>
      <c r="AJ117" s="566">
        <v>1.70842638556083E-116</v>
      </c>
      <c r="AK117" s="566">
        <v>0.20049046149972199</v>
      </c>
      <c r="AL117" s="566">
        <v>-5.9476151385910698E-248</v>
      </c>
      <c r="AM117" s="566">
        <v>5.0068379650604603E-59</v>
      </c>
      <c r="AN117" s="566">
        <v>-1.5331230037837799E-55</v>
      </c>
      <c r="AO117" s="566">
        <v>1.6107472872044299E-16</v>
      </c>
      <c r="AP117" s="566">
        <v>-8.7375375913226693E-248</v>
      </c>
      <c r="AQ117" s="566">
        <v>-1.01493431781267E-121</v>
      </c>
      <c r="AR117" s="566">
        <v>9.27551022782568E-117</v>
      </c>
      <c r="AS117" s="566">
        <v>4.5621650467553102E-18</v>
      </c>
      <c r="AT117" s="566">
        <v>-8.7100991609843995E-250</v>
      </c>
      <c r="AU117" s="566">
        <v>4.7822333822996004E-118</v>
      </c>
      <c r="AV117" s="566">
        <v>8.8487506633842397E-117</v>
      </c>
      <c r="AW117" s="566">
        <v>1.6107472872044201E-16</v>
      </c>
      <c r="AX117" s="566">
        <v>-8.7375366358681796E-248</v>
      </c>
      <c r="AY117" s="566">
        <v>-1.01493435335721E-121</v>
      </c>
      <c r="AZ117" s="566">
        <v>9.2755101663044793E-117</v>
      </c>
      <c r="BA117" s="566">
        <v>0.242997134255622</v>
      </c>
      <c r="BB117" s="566">
        <v>-2.6180741732397899E-247</v>
      </c>
      <c r="BC117" s="566">
        <v>-1.6634780598932501E-128</v>
      </c>
      <c r="BD117" s="566">
        <v>-2.2155468848717299E-247</v>
      </c>
      <c r="BE117" s="566">
        <v>-4.1707539517796198E-247</v>
      </c>
      <c r="BF117" s="566">
        <v>-1.69475684059203E-128</v>
      </c>
      <c r="BG117" s="566">
        <v>-3.5295016632611999E-247</v>
      </c>
      <c r="BH117" s="566">
        <v>9.6340048450250995E-16</v>
      </c>
      <c r="BI117" s="566">
        <v>-2.9157414204624899E-247</v>
      </c>
      <c r="BJ117" s="566">
        <v>-9.412009569528309E-128</v>
      </c>
      <c r="BK117" s="566">
        <v>-2.3112654485565302E-137</v>
      </c>
      <c r="BL117" s="566">
        <v>2.08147918372816E-15</v>
      </c>
      <c r="BM117" s="566">
        <v>-2.9157258323683003E-247</v>
      </c>
      <c r="BN117" s="566">
        <v>1.17364894003126E-117</v>
      </c>
      <c r="BO117" s="566">
        <v>1.1382605880488601E-118</v>
      </c>
      <c r="BP117" s="566">
        <v>0.24315103341331601</v>
      </c>
      <c r="BQ117" s="566">
        <v>-2.9272200696940603E-247</v>
      </c>
      <c r="BR117" s="566">
        <v>2.8514059372728299E-55</v>
      </c>
      <c r="BS117" s="566">
        <v>-1.97597333457113E-51</v>
      </c>
      <c r="BT117" s="566">
        <v>9.5325997432820195E-16</v>
      </c>
      <c r="BU117" s="566">
        <v>-2.9497565460466798E-247</v>
      </c>
      <c r="BV117" s="566">
        <v>6.3057343955012199E-116</v>
      </c>
      <c r="BW117" s="566">
        <v>2.7081271876264E-116</v>
      </c>
      <c r="BX117" s="566">
        <v>2.0728859719209E-15</v>
      </c>
      <c r="BY117" s="566">
        <v>-2.94973829310819E-247</v>
      </c>
      <c r="BZ117" s="566">
        <v>4.8110014358547299E-115</v>
      </c>
      <c r="CA117" s="566">
        <v>1.9843342107707401E-116</v>
      </c>
      <c r="CB117" s="566">
        <v>0.24315100093057501</v>
      </c>
      <c r="CC117" s="566">
        <v>-2.9277339298134998E-247</v>
      </c>
      <c r="CD117" s="566">
        <v>3.7430710570005801E-54</v>
      </c>
      <c r="CE117" s="566">
        <v>-3.5704870518746398E-51</v>
      </c>
      <c r="CF117" s="566">
        <v>2.4502868794153602E-15</v>
      </c>
      <c r="CG117" s="566">
        <v>-3.2866747828442697E-247</v>
      </c>
      <c r="CH117" s="566">
        <v>-2.2868309348171101E-121</v>
      </c>
      <c r="CI117" s="566">
        <v>9.5015790798240606E-117</v>
      </c>
      <c r="CJ117" s="566">
        <v>2.2844820953686899E-15</v>
      </c>
      <c r="CK117" s="566">
        <v>-3.2866760472287498E-247</v>
      </c>
      <c r="CL117" s="566">
        <v>1.3218588411553601E-117</v>
      </c>
      <c r="CM117" s="566">
        <v>9.4951251156491406E-117</v>
      </c>
      <c r="CN117" s="566">
        <v>2.4502868794153602E-15</v>
      </c>
      <c r="CO117" s="566">
        <v>-3.2866742772522299E-247</v>
      </c>
      <c r="CP117" s="566">
        <v>-2.2868309095941299E-121</v>
      </c>
      <c r="CQ117" s="566">
        <v>9.5015789113626501E-117</v>
      </c>
      <c r="CR117" s="566">
        <v>0.243184283049978</v>
      </c>
      <c r="CS117" s="566">
        <v>-9.7632512118692606E-247</v>
      </c>
      <c r="CT117" s="566">
        <v>-1.5041007921645099E-127</v>
      </c>
      <c r="CU117" s="566">
        <v>-7.6517055239732506E-247</v>
      </c>
      <c r="CV117" s="566">
        <v>-1.5553459873434601E-246</v>
      </c>
      <c r="CW117" s="566">
        <v>-1.5323827643820101E-127</v>
      </c>
      <c r="CX117" s="566">
        <v>-1.21875147254025E-246</v>
      </c>
      <c r="CY117" s="566">
        <v>0.243184198787918</v>
      </c>
      <c r="CZ117" s="566">
        <v>-1.2560167090636E-246</v>
      </c>
      <c r="DA117" s="566">
        <v>5.4609309958311496E-53</v>
      </c>
      <c r="DB117" s="566">
        <v>-9.1305444230244304E-48</v>
      </c>
      <c r="DC117" s="566">
        <v>0.243184497374898</v>
      </c>
      <c r="DD117" s="566">
        <v>-1.2562151943233999E-246</v>
      </c>
      <c r="DE117" s="566">
        <v>4.9766549784664304E-50</v>
      </c>
      <c r="DF117" s="566">
        <v>-8.2223036173565303E-45</v>
      </c>
      <c r="DG117" s="566">
        <v>0.24318453846367399</v>
      </c>
      <c r="DH117" s="566">
        <v>-1.25643580546653E-246</v>
      </c>
      <c r="DI117" s="566">
        <v>1.5872407589741101E-49</v>
      </c>
      <c r="DJ117" s="566">
        <v>-2.6224135340641798E-44</v>
      </c>
      <c r="DK117" s="566">
        <v>1.00864485671592E-13</v>
      </c>
      <c r="DL117" s="566">
        <v>-1.31533129954104E-246</v>
      </c>
      <c r="DM117" s="566">
        <v>-6.8331467847362498E-121</v>
      </c>
      <c r="DN117" s="566">
        <v>9.7677388363175502E-117</v>
      </c>
      <c r="DO117" s="566">
        <v>0.24318428325395999</v>
      </c>
      <c r="DP117" s="566">
        <v>-4.7908556850623997E-246</v>
      </c>
      <c r="DQ117" s="566">
        <v>-6.6574323246665502E-127</v>
      </c>
      <c r="DR117" s="566">
        <v>-8.4317422886454307E-245</v>
      </c>
      <c r="DS117" s="566">
        <v>-6.9563441296388599E-245</v>
      </c>
      <c r="DT117" s="566">
        <v>-7.0202187625450404E-127</v>
      </c>
      <c r="DU117" s="566">
        <v>6.95908698342099E-244</v>
      </c>
      <c r="DV117" s="566">
        <v>0.24318487560591501</v>
      </c>
      <c r="DW117" s="566">
        <v>-2.87721511742896E-245</v>
      </c>
      <c r="DX117" s="566">
        <v>1.2754165866975601E-49</v>
      </c>
      <c r="DY117" s="566">
        <v>-1.70446424821327E-43</v>
      </c>
      <c r="DZ117" s="566">
        <v>0.24318504306989</v>
      </c>
      <c r="EA117" s="566">
        <v>-2.8776592505882402E-245</v>
      </c>
      <c r="EB117" s="566">
        <v>9.0231574094246508E-47</v>
      </c>
      <c r="EC117" s="566">
        <v>-1.19302478108412E-40</v>
      </c>
      <c r="ED117" s="566">
        <v>0.24318508419705101</v>
      </c>
      <c r="EE117" s="566">
        <v>-2.8781537704321202E-245</v>
      </c>
      <c r="EF117" s="566">
        <v>3.6161267506197301E-40</v>
      </c>
      <c r="EG117" s="566">
        <v>-5.9767848509324705E-35</v>
      </c>
      <c r="EH117" s="566">
        <v>2.9198119636220298E-14</v>
      </c>
      <c r="EI117" s="566">
        <v>-3.9892393516946503E-245</v>
      </c>
      <c r="EJ117" s="566">
        <v>2.9730626353840899E-116</v>
      </c>
      <c r="EK117" s="566">
        <v>1.02072971852626E-116</v>
      </c>
      <c r="EL117" s="566">
        <v>0.24318525698582</v>
      </c>
      <c r="EM117" s="566">
        <v>-3.39559292855292E-246</v>
      </c>
      <c r="EN117" s="566">
        <v>-3.9467727433279902E-127</v>
      </c>
      <c r="EO117" s="566">
        <v>-2.2825600640438899E-246</v>
      </c>
      <c r="EP117" s="566">
        <v>-4.2469216223652501E-246</v>
      </c>
      <c r="EQ117" s="566">
        <v>-3.9863892228207797E-127</v>
      </c>
      <c r="ER117" s="566">
        <v>-2.8547799048702402E-246</v>
      </c>
      <c r="ES117" s="566">
        <v>0.243187865621389</v>
      </c>
      <c r="ET117" s="566">
        <v>-3.8665190327474702E-246</v>
      </c>
      <c r="EU117" s="566">
        <v>1.4263352444380299E-55</v>
      </c>
      <c r="EV117" s="566">
        <v>-9.7126998128273793E-49</v>
      </c>
      <c r="EW117" s="566">
        <v>0.243187877185885</v>
      </c>
      <c r="EX117" s="566">
        <v>-3.8670961275729301E-246</v>
      </c>
      <c r="EY117" s="566">
        <v>1.6315790508273801E-52</v>
      </c>
      <c r="EZ117" s="566">
        <v>-9.95293760575559E-46</v>
      </c>
      <c r="FA117" s="566">
        <v>0.24318791832262601</v>
      </c>
      <c r="FB117" s="566">
        <v>-3.8677479130812E-246</v>
      </c>
      <c r="FC117" s="566">
        <v>4.0960978908642099E-52</v>
      </c>
      <c r="FD117" s="566">
        <v>-2.83342246853525E-45</v>
      </c>
      <c r="FE117" s="566">
        <v>6.5548995137586199E-12</v>
      </c>
      <c r="FF117" s="566">
        <v>-3.91302875692525E-246</v>
      </c>
      <c r="FG117" s="566">
        <v>-2.2179449870081399E-121</v>
      </c>
      <c r="FH117" s="566">
        <v>9.9882095780826096E-117</v>
      </c>
    </row>
    <row r="118" spans="1:164" ht="12.75" customHeight="1" x14ac:dyDescent="0.3">
      <c r="A118" s="422"/>
      <c r="B118" s="447"/>
      <c r="C118" s="447"/>
      <c r="D118" s="447"/>
      <c r="E118" s="447"/>
      <c r="F118" s="568"/>
      <c r="G118" s="569"/>
      <c r="H118" s="439"/>
      <c r="I118" s="574">
        <v>8124613.9425544096</v>
      </c>
      <c r="J118" s="566">
        <v>0.230035593336823</v>
      </c>
      <c r="K118" s="566">
        <v>6.2840386201499704E-249</v>
      </c>
      <c r="L118" s="566">
        <v>3.0577496145072102E-130</v>
      </c>
      <c r="M118" s="566">
        <v>9.33970029380182E-249</v>
      </c>
      <c r="N118" s="566">
        <v>1.0010863722934999E-248</v>
      </c>
      <c r="O118" s="566">
        <v>3.11524525973355E-130</v>
      </c>
      <c r="P118" s="566">
        <v>1.48787177455629E-248</v>
      </c>
      <c r="Q118" s="566">
        <v>6.3045631892314604E-17</v>
      </c>
      <c r="R118" s="566">
        <v>7.1401749220352799E-249</v>
      </c>
      <c r="S118" s="566">
        <v>1.1234347920249001E-129</v>
      </c>
      <c r="T118" s="566">
        <v>-1.2502771244024201E-137</v>
      </c>
      <c r="U118" s="566">
        <v>3.5954317928332401E-18</v>
      </c>
      <c r="V118" s="566">
        <v>7.4181608961784E-252</v>
      </c>
      <c r="W118" s="566">
        <v>-6.1327867468554303E-120</v>
      </c>
      <c r="X118" s="566">
        <v>-1.40130232794555E-120</v>
      </c>
      <c r="Y118" s="566">
        <v>0.19717634581489199</v>
      </c>
      <c r="Z118" s="566">
        <v>5.3357455642345703E-249</v>
      </c>
      <c r="AA118" s="566">
        <v>-1.90481543870465E-60</v>
      </c>
      <c r="AB118" s="566">
        <v>5.8283745033359201E-57</v>
      </c>
      <c r="AC118" s="566">
        <v>2.97653301131522E-19</v>
      </c>
      <c r="AD118" s="566">
        <v>7.9664135173461799E-249</v>
      </c>
      <c r="AE118" s="566">
        <v>-2.92837490007685E-117</v>
      </c>
      <c r="AF118" s="566">
        <v>-2.3256482056915702E-117</v>
      </c>
      <c r="AG118" s="566">
        <v>3.4400914195792802E-18</v>
      </c>
      <c r="AH118" s="566">
        <v>8.27657430450962E-252</v>
      </c>
      <c r="AI118" s="566">
        <v>-3.96009955075606E-117</v>
      </c>
      <c r="AJ118" s="566">
        <v>-1.53969040820042E-117</v>
      </c>
      <c r="AK118" s="566">
        <v>0.19648263052630099</v>
      </c>
      <c r="AL118" s="566">
        <v>5.36991641816208E-249</v>
      </c>
      <c r="AM118" s="566">
        <v>-4.5076764460163098E-60</v>
      </c>
      <c r="AN118" s="566">
        <v>1.3802795790952299E-56</v>
      </c>
      <c r="AO118" s="566">
        <v>1.5785482348419301E-16</v>
      </c>
      <c r="AP118" s="566">
        <v>7.8888459435747099E-249</v>
      </c>
      <c r="AQ118" s="566">
        <v>9.1490322069736806E-123</v>
      </c>
      <c r="AR118" s="566">
        <v>-8.3593613482756199E-118</v>
      </c>
      <c r="AS118" s="566">
        <v>4.4709667610938903E-18</v>
      </c>
      <c r="AT118" s="566">
        <v>7.8640764566702896E-251</v>
      </c>
      <c r="AU118" s="566">
        <v>-4.3103824109288201E-119</v>
      </c>
      <c r="AV118" s="566">
        <v>-7.9747527850971191E-118</v>
      </c>
      <c r="AW118" s="566">
        <v>1.5785482348419301E-16</v>
      </c>
      <c r="AX118" s="566">
        <v>7.8888498267973504E-249</v>
      </c>
      <c r="AY118" s="566">
        <v>9.1490327877886596E-123</v>
      </c>
      <c r="AZ118" s="566">
        <v>-8.3593612950375997E-118</v>
      </c>
      <c r="BA118" s="566">
        <v>0.238139589244069</v>
      </c>
      <c r="BB118" s="566">
        <v>2.3637788023102999E-248</v>
      </c>
      <c r="BC118" s="566">
        <v>1.49993273537012E-129</v>
      </c>
      <c r="BD118" s="566">
        <v>2.0003475460091701E-248</v>
      </c>
      <c r="BE118" s="566">
        <v>3.76564490508575E-248</v>
      </c>
      <c r="BF118" s="566">
        <v>1.528136350202E-129</v>
      </c>
      <c r="BG118" s="566">
        <v>3.1866768718352302E-248</v>
      </c>
      <c r="BH118" s="566">
        <v>9.4414198076764492E-16</v>
      </c>
      <c r="BI118" s="566">
        <v>2.6325321638235499E-248</v>
      </c>
      <c r="BJ118" s="566">
        <v>8.4866653313598405E-129</v>
      </c>
      <c r="BK118" s="566">
        <v>2.0845388776969599E-138</v>
      </c>
      <c r="BL118" s="566">
        <v>2.0398701381871702E-15</v>
      </c>
      <c r="BM118" s="566">
        <v>2.6325192346970101E-248</v>
      </c>
      <c r="BN118" s="566">
        <v>-1.0578291653187601E-118</v>
      </c>
      <c r="BO118" s="566">
        <v>-1.02586742581593E-119</v>
      </c>
      <c r="BP118" s="566">
        <v>0.23829041193714501</v>
      </c>
      <c r="BQ118" s="566">
        <v>2.6428964453129601E-248</v>
      </c>
      <c r="BR118" s="566">
        <v>-2.56857074998405E-56</v>
      </c>
      <c r="BS118" s="566">
        <v>1.7799749932873298E-52</v>
      </c>
      <c r="BT118" s="566">
        <v>9.3420418073954005E-16</v>
      </c>
      <c r="BU118" s="566">
        <v>2.6632429829021901E-248</v>
      </c>
      <c r="BV118" s="566">
        <v>-5.6829429272066799E-117</v>
      </c>
      <c r="BW118" s="566">
        <v>-2.4406566169035198E-117</v>
      </c>
      <c r="BX118" s="566">
        <v>2.0314487058261E-15</v>
      </c>
      <c r="BY118" s="566">
        <v>2.6632284705629601E-248</v>
      </c>
      <c r="BZ118" s="566">
        <v>-4.33602642426454E-116</v>
      </c>
      <c r="CA118" s="566">
        <v>-1.7884160132770599E-117</v>
      </c>
      <c r="CB118" s="566">
        <v>0.23829038010373799</v>
      </c>
      <c r="CC118" s="566">
        <v>2.6433604227247501E-248</v>
      </c>
      <c r="CD118" s="566">
        <v>-3.3728206574148103E-55</v>
      </c>
      <c r="CE118" s="566">
        <v>3.21369169444547E-52</v>
      </c>
      <c r="CF118" s="566">
        <v>2.4013053190177901E-15</v>
      </c>
      <c r="CG118" s="566">
        <v>2.9674375740180901E-248</v>
      </c>
      <c r="CH118" s="566">
        <v>2.0614427457889099E-122</v>
      </c>
      <c r="CI118" s="566">
        <v>-8.56310111193831E-118</v>
      </c>
      <c r="CJ118" s="566">
        <v>2.23881499464203E-15</v>
      </c>
      <c r="CK118" s="566">
        <v>2.9674407363447301E-248</v>
      </c>
      <c r="CL118" s="566">
        <v>-1.1914343637837699E-118</v>
      </c>
      <c r="CM118" s="566">
        <v>-8.5572844178624192E-118</v>
      </c>
      <c r="CN118" s="566">
        <v>2.4013053190177901E-15</v>
      </c>
      <c r="CO118" s="566">
        <v>2.96743730733216E-248</v>
      </c>
      <c r="CP118" s="566">
        <v>2.06144273581918E-122</v>
      </c>
      <c r="CQ118" s="566">
        <v>-8.5631009300515405E-118</v>
      </c>
      <c r="CR118" s="566">
        <v>0.23832299690914999</v>
      </c>
      <c r="CS118" s="566">
        <v>8.81493627214383E-248</v>
      </c>
      <c r="CT118" s="566">
        <v>1.35622470647772E-128</v>
      </c>
      <c r="CU118" s="566">
        <v>6.9084842295185E-248</v>
      </c>
      <c r="CV118" s="566">
        <v>1.4042725156138699E-247</v>
      </c>
      <c r="CW118" s="566">
        <v>1.3817261379828501E-128</v>
      </c>
      <c r="CX118" s="566">
        <v>1.1003717273987799E-247</v>
      </c>
      <c r="CY118" s="566">
        <v>0.23832291433150099</v>
      </c>
      <c r="CZ118" s="566">
        <v>1.13401789520512E-247</v>
      </c>
      <c r="DA118" s="566">
        <v>-4.9201190036508201E-54</v>
      </c>
      <c r="DB118" s="566">
        <v>8.2263236541987894E-49</v>
      </c>
      <c r="DC118" s="566">
        <v>0.23832320694968701</v>
      </c>
      <c r="DD118" s="566">
        <v>1.13419818384132E-247</v>
      </c>
      <c r="DE118" s="566">
        <v>-4.4843291643295298E-51</v>
      </c>
      <c r="DF118" s="566">
        <v>7.4088954418468299E-46</v>
      </c>
      <c r="DG118" s="566">
        <v>0.238323247217093</v>
      </c>
      <c r="DH118" s="566">
        <v>1.13439763726307E-247</v>
      </c>
      <c r="DI118" s="566">
        <v>-1.4295687326976701E-50</v>
      </c>
      <c r="DJ118" s="566">
        <v>2.36191036307635E-45</v>
      </c>
      <c r="DK118" s="566">
        <v>9.8848191196688703E-14</v>
      </c>
      <c r="DL118" s="566">
        <v>1.18757169814827E-247</v>
      </c>
      <c r="DM118" s="566">
        <v>6.1596775437148805E-122</v>
      </c>
      <c r="DN118" s="566">
        <v>-8.8029720459988097E-118</v>
      </c>
      <c r="DO118" s="566">
        <v>0.238322997109055</v>
      </c>
      <c r="DP118" s="566">
        <v>4.3255120957013101E-247</v>
      </c>
      <c r="DQ118" s="566">
        <v>6.0029050909634404E-128</v>
      </c>
      <c r="DR118" s="566">
        <v>7.6127471892967297E-246</v>
      </c>
      <c r="DS118" s="566">
        <v>6.2806138690491502E-246</v>
      </c>
      <c r="DT118" s="566">
        <v>6.3300240086953499E-128</v>
      </c>
      <c r="DU118" s="566">
        <v>-6.2831681947768801E-245</v>
      </c>
      <c r="DV118" s="566">
        <v>0.23832357761981601</v>
      </c>
      <c r="DW118" s="566">
        <v>2.5977276535298298E-246</v>
      </c>
      <c r="DX118" s="566">
        <v>-1.1492860552649201E-50</v>
      </c>
      <c r="DY118" s="566">
        <v>1.53590433271841E-44</v>
      </c>
      <c r="DZ118" s="566">
        <v>0.238323741736164</v>
      </c>
      <c r="EA118" s="566">
        <v>2.5981280512318101E-246</v>
      </c>
      <c r="EB118" s="566">
        <v>-8.1315343135349798E-48</v>
      </c>
      <c r="EC118" s="566">
        <v>1.0751361004338701E-41</v>
      </c>
      <c r="ED118" s="566">
        <v>0.23832378204118701</v>
      </c>
      <c r="EE118" s="566">
        <v>2.59857481226612E-246</v>
      </c>
      <c r="EF118" s="566">
        <v>-3.2590178562165998E-41</v>
      </c>
      <c r="EG118" s="566">
        <v>5.3865502601298599E-36</v>
      </c>
      <c r="EH118" s="566">
        <v>2.8614445343845901E-14</v>
      </c>
      <c r="EI118" s="566">
        <v>3.6017319342407902E-246</v>
      </c>
      <c r="EJ118" s="566">
        <v>-2.67965530037021E-117</v>
      </c>
      <c r="EK118" s="566">
        <v>-9.1991148766337792E-118</v>
      </c>
      <c r="EL118" s="566">
        <v>0.238323951375885</v>
      </c>
      <c r="EM118" s="566">
        <v>3.0657723117413702E-247</v>
      </c>
      <c r="EN118" s="566">
        <v>3.5587447718793598E-128</v>
      </c>
      <c r="EO118" s="566">
        <v>2.06085008699945E-247</v>
      </c>
      <c r="EP118" s="566">
        <v>3.8344093783910498E-247</v>
      </c>
      <c r="EQ118" s="566">
        <v>3.5944663178166E-128</v>
      </c>
      <c r="ER118" s="566">
        <v>2.5774891057471501E-247</v>
      </c>
      <c r="ES118" s="566">
        <v>0.23832650786448301</v>
      </c>
      <c r="ET118" s="566">
        <v>3.49095820938116E-247</v>
      </c>
      <c r="EU118" s="566">
        <v>-1.28478939403577E-56</v>
      </c>
      <c r="EV118" s="566">
        <v>8.7493790179321308E-50</v>
      </c>
      <c r="EW118" s="566">
        <v>0.23832651919780301</v>
      </c>
      <c r="EX118" s="566">
        <v>3.4914771244480101E-247</v>
      </c>
      <c r="EY118" s="566">
        <v>-1.46991170800619E-53</v>
      </c>
      <c r="EZ118" s="566">
        <v>8.9669659745988291E-47</v>
      </c>
      <c r="FA118" s="566">
        <v>0.23832655951221501</v>
      </c>
      <c r="FB118" s="566">
        <v>3.4920667903246902E-247</v>
      </c>
      <c r="FC118" s="566">
        <v>-3.6882974200606602E-53</v>
      </c>
      <c r="FD118" s="566">
        <v>2.5516237383481801E-46</v>
      </c>
      <c r="FE118" s="566">
        <v>6.4238662012389796E-12</v>
      </c>
      <c r="FF118" s="566">
        <v>3.5329500194068699E-247</v>
      </c>
      <c r="FG118" s="566">
        <v>1.99966439968668E-122</v>
      </c>
      <c r="FH118" s="566">
        <v>-9.0016668582029007E-118</v>
      </c>
    </row>
    <row r="119" spans="1:164" ht="12.75" customHeight="1" x14ac:dyDescent="0.3">
      <c r="A119" s="422"/>
      <c r="B119" s="447"/>
      <c r="C119" s="447"/>
      <c r="D119" s="447"/>
      <c r="E119" s="447"/>
      <c r="F119" s="568"/>
      <c r="G119" s="569"/>
      <c r="H119" s="439"/>
      <c r="I119" s="574">
        <v>8208372.8491786802</v>
      </c>
      <c r="J119" s="566">
        <v>0.22543715125101699</v>
      </c>
      <c r="K119" s="566">
        <v>-3.6581436193535499E-250</v>
      </c>
      <c r="L119" s="566">
        <v>-1.7708747297960701E-131</v>
      </c>
      <c r="M119" s="566">
        <v>-5.4369442320405097E-250</v>
      </c>
      <c r="N119" s="566">
        <v>-5.8276507544368502E-250</v>
      </c>
      <c r="O119" s="566">
        <v>-1.8041729024594601E-131</v>
      </c>
      <c r="P119" s="566">
        <v>-8.6614034194670206E-250</v>
      </c>
      <c r="Q119" s="566">
        <v>6.1785341331125903E-17</v>
      </c>
      <c r="R119" s="566">
        <v>-4.1565318999178297E-250</v>
      </c>
      <c r="S119" s="566">
        <v>-6.5062952113703298E-131</v>
      </c>
      <c r="T119" s="566">
        <v>7.2482352810931003E-139</v>
      </c>
      <c r="U119" s="566">
        <v>3.5235586334104697E-18</v>
      </c>
      <c r="V119" s="566">
        <v>-4.31835935657237E-253</v>
      </c>
      <c r="W119" s="566">
        <v>3.5462951828854201E-121</v>
      </c>
      <c r="X119" s="566">
        <v>8.0993928032600401E-122</v>
      </c>
      <c r="Y119" s="566">
        <v>0.19323476445451099</v>
      </c>
      <c r="Z119" s="566">
        <v>-3.1061119349495401E-250</v>
      </c>
      <c r="AA119" s="566">
        <v>1.0985918072090399E-61</v>
      </c>
      <c r="AB119" s="566">
        <v>-3.3615116539960399E-58</v>
      </c>
      <c r="AC119" s="566">
        <v>2.91703172079545E-19</v>
      </c>
      <c r="AD119" s="566">
        <v>-4.6375086761899401E-250</v>
      </c>
      <c r="AE119" s="566">
        <v>1.69260883504332E-118</v>
      </c>
      <c r="AF119" s="566">
        <v>1.34423114801851E-118</v>
      </c>
      <c r="AG119" s="566">
        <v>3.3713235348648001E-18</v>
      </c>
      <c r="AH119" s="566">
        <v>-4.8180694094669598E-253</v>
      </c>
      <c r="AI119" s="566">
        <v>2.2889237443657199E-118</v>
      </c>
      <c r="AJ119" s="566">
        <v>8.8994132045772698E-119</v>
      </c>
      <c r="AK119" s="566">
        <v>0.19255491662674501</v>
      </c>
      <c r="AL119" s="566">
        <v>-3.1260068760891302E-250</v>
      </c>
      <c r="AM119" s="566">
        <v>2.5948234355534901E-61</v>
      </c>
      <c r="AN119" s="566">
        <v>-7.9455793912437803E-58</v>
      </c>
      <c r="AO119" s="566">
        <v>1.5469928458159299E-16</v>
      </c>
      <c r="AP119" s="566">
        <v>-4.59235880737766E-250</v>
      </c>
      <c r="AQ119" s="566">
        <v>-5.2929530869420201E-124</v>
      </c>
      <c r="AR119" s="566">
        <v>4.83163109499587E-119</v>
      </c>
      <c r="AS119" s="566">
        <v>4.3815915412845503E-18</v>
      </c>
      <c r="AT119" s="566">
        <v>-4.5779427740984102E-252</v>
      </c>
      <c r="AU119" s="566">
        <v>2.4924865013834201E-120</v>
      </c>
      <c r="AV119" s="566">
        <v>4.6093303722977299E-119</v>
      </c>
      <c r="AW119" s="566">
        <v>1.5469928458159299E-16</v>
      </c>
      <c r="AX119" s="566">
        <v>-4.5923640644985599E-250</v>
      </c>
      <c r="AY119" s="566">
        <v>-5.2929532933020096E-124</v>
      </c>
      <c r="AZ119" s="566">
        <v>4.8316309965930899E-119</v>
      </c>
      <c r="BA119" s="566">
        <v>0.23337914720294101</v>
      </c>
      <c r="BB119" s="566">
        <v>-1.3760350032295799E-249</v>
      </c>
      <c r="BC119" s="566">
        <v>-8.6867575211741596E-131</v>
      </c>
      <c r="BD119" s="566">
        <v>-1.1644689065518701E-249</v>
      </c>
      <c r="BE119" s="566">
        <v>-2.19210748205729E-249</v>
      </c>
      <c r="BF119" s="566">
        <v>-8.8500970597839002E-131</v>
      </c>
      <c r="BG119" s="566">
        <v>-1.8550724233728001E-249</v>
      </c>
      <c r="BH119" s="566">
        <v>9.2526845708220194E-16</v>
      </c>
      <c r="BI119" s="566">
        <v>-1.53248481130888E-249</v>
      </c>
      <c r="BJ119" s="566">
        <v>-4.9149939028873498E-130</v>
      </c>
      <c r="BK119" s="566">
        <v>-1.2084006833394701E-139</v>
      </c>
      <c r="BL119" s="566">
        <v>1.9990928629970599E-15</v>
      </c>
      <c r="BM119" s="566">
        <v>-1.53247756790444E-249</v>
      </c>
      <c r="BN119" s="566">
        <v>6.1164879945496802E-120</v>
      </c>
      <c r="BO119" s="566">
        <v>5.9301831200665304E-121</v>
      </c>
      <c r="BP119" s="566">
        <v>0.23352695493033601</v>
      </c>
      <c r="BQ119" s="566">
        <v>-1.5385168159887301E-249</v>
      </c>
      <c r="BR119" s="566">
        <v>1.48187163874227E-57</v>
      </c>
      <c r="BS119" s="566">
        <v>-1.02691456000692E-53</v>
      </c>
      <c r="BT119" s="566">
        <v>9.1552931499753307E-16</v>
      </c>
      <c r="BU119" s="566">
        <v>-1.5503620606808999E-249</v>
      </c>
      <c r="BV119" s="566">
        <v>3.2847564457339699E-118</v>
      </c>
      <c r="BW119" s="566">
        <v>1.41070616872908E-118</v>
      </c>
      <c r="BX119" s="566">
        <v>1.9908397761882102E-15</v>
      </c>
      <c r="BY119" s="566">
        <v>-1.5503537046589101E-249</v>
      </c>
      <c r="BZ119" s="566">
        <v>2.5066637208499E-117</v>
      </c>
      <c r="CA119" s="566">
        <v>1.0338605308656399E-118</v>
      </c>
      <c r="CB119" s="566">
        <v>0.23352692373328399</v>
      </c>
      <c r="CC119" s="566">
        <v>-1.53878823020153E-249</v>
      </c>
      <c r="CD119" s="566">
        <v>1.94821543748709E-56</v>
      </c>
      <c r="CE119" s="566">
        <v>-1.8480460872039799E-53</v>
      </c>
      <c r="CF119" s="566">
        <v>2.3533029065229899E-15</v>
      </c>
      <c r="CG119" s="566">
        <v>-1.7274435835054901E-249</v>
      </c>
      <c r="CH119" s="566">
        <v>-1.1925982383822901E-123</v>
      </c>
      <c r="CI119" s="566">
        <v>4.9493905808270898E-119</v>
      </c>
      <c r="CJ119" s="566">
        <v>2.1940607853287801E-15</v>
      </c>
      <c r="CK119" s="566">
        <v>-1.7274469224908899E-249</v>
      </c>
      <c r="CL119" s="566">
        <v>6.8894912776529707E-120</v>
      </c>
      <c r="CM119" s="566">
        <v>4.9460280991921498E-119</v>
      </c>
      <c r="CN119" s="566">
        <v>2.3533029065229899E-15</v>
      </c>
      <c r="CO119" s="566">
        <v>-1.7274455988406199E-249</v>
      </c>
      <c r="CP119" s="566">
        <v>-1.19259823648697E-123</v>
      </c>
      <c r="CQ119" s="566">
        <v>4.9493904575332699E-119</v>
      </c>
      <c r="CR119" s="566">
        <v>0.23355888852442</v>
      </c>
      <c r="CS119" s="566">
        <v>-5.1314739575405395E-249</v>
      </c>
      <c r="CT119" s="566">
        <v>-7.8544819682484996E-130</v>
      </c>
      <c r="CU119" s="566">
        <v>-4.0216587617793999E-249</v>
      </c>
      <c r="CV119" s="566">
        <v>-8.1747414084438601E-249</v>
      </c>
      <c r="CW119" s="566">
        <v>-8.0021716498507098E-130</v>
      </c>
      <c r="CX119" s="566">
        <v>-6.40562942487117E-249</v>
      </c>
      <c r="CY119" s="566">
        <v>0.23355880759750899</v>
      </c>
      <c r="CZ119" s="566">
        <v>-6.6015043141264804E-249</v>
      </c>
      <c r="DA119" s="566">
        <v>2.84051433380615E-55</v>
      </c>
      <c r="DB119" s="566">
        <v>-4.7492819092058699E-50</v>
      </c>
      <c r="DC119" s="566">
        <v>0.23355909436621899</v>
      </c>
      <c r="DD119" s="566">
        <v>-6.6025558160467801E-249</v>
      </c>
      <c r="DE119" s="566">
        <v>2.5901242300082101E-52</v>
      </c>
      <c r="DF119" s="566">
        <v>-4.2793380796399E-47</v>
      </c>
      <c r="DG119" s="566">
        <v>0.23355913382867399</v>
      </c>
      <c r="DH119" s="566">
        <v>-6.6037204563014904E-249</v>
      </c>
      <c r="DI119" s="566">
        <v>8.2422546637745405E-52</v>
      </c>
      <c r="DJ119" s="566">
        <v>-1.3617720463870401E-46</v>
      </c>
      <c r="DK119" s="566">
        <v>9.6872202716336406E-14</v>
      </c>
      <c r="DL119" s="566">
        <v>-6.9132533352374603E-249</v>
      </c>
      <c r="DM119" s="566">
        <v>-3.5635336802094499E-123</v>
      </c>
      <c r="DN119" s="566">
        <v>5.0880337343467998E-119</v>
      </c>
      <c r="DO119" s="566">
        <v>0.23355888872032901</v>
      </c>
      <c r="DP119" s="566">
        <v>-2.51802364501369E-248</v>
      </c>
      <c r="DQ119" s="566">
        <v>-3.4765410293378299E-129</v>
      </c>
      <c r="DR119" s="566">
        <v>-4.4316182951563298E-247</v>
      </c>
      <c r="DS119" s="566">
        <v>-3.6560415463968497E-247</v>
      </c>
      <c r="DT119" s="566">
        <v>-3.6659898282423303E-129</v>
      </c>
      <c r="DU119" s="566">
        <v>3.6577164412839501E-246</v>
      </c>
      <c r="DV119" s="566">
        <v>0.23355945762660199</v>
      </c>
      <c r="DW119" s="566">
        <v>-1.5121830332671201E-247</v>
      </c>
      <c r="DX119" s="566">
        <v>6.6391881971581199E-52</v>
      </c>
      <c r="DY119" s="566">
        <v>-8.8726171744321702E-46</v>
      </c>
      <c r="DZ119" s="566">
        <v>0.23355961846224199</v>
      </c>
      <c r="EA119" s="566">
        <v>-1.51241447280119E-247</v>
      </c>
      <c r="EB119" s="566">
        <v>4.6990385583128298E-49</v>
      </c>
      <c r="EC119" s="566">
        <v>-6.2129803325069902E-43</v>
      </c>
      <c r="ED119" s="566">
        <v>0.233559657961563</v>
      </c>
      <c r="EE119" s="566">
        <v>-1.5126745727605201E-247</v>
      </c>
      <c r="EF119" s="566">
        <v>1.8838149747188501E-42</v>
      </c>
      <c r="EG119" s="566">
        <v>-3.1135957842976199E-37</v>
      </c>
      <c r="EH119" s="566">
        <v>2.8042438778155601E-14</v>
      </c>
      <c r="EI119" s="566">
        <v>-2.0966275475788E-247</v>
      </c>
      <c r="EJ119" s="566">
        <v>1.5493724575558399E-118</v>
      </c>
      <c r="EK119" s="566">
        <v>5.3170004170801704E-119</v>
      </c>
      <c r="EL119" s="566">
        <v>0.233559823911238</v>
      </c>
      <c r="EM119" s="566">
        <v>-1.78468676118212E-248</v>
      </c>
      <c r="EN119" s="566">
        <v>-2.06102263066181E-129</v>
      </c>
      <c r="EO119" s="566">
        <v>-1.1996883987202599E-248</v>
      </c>
      <c r="EP119" s="566">
        <v>-2.2321353779918301E-248</v>
      </c>
      <c r="EQ119" s="566">
        <v>-2.0817105081391401E-129</v>
      </c>
      <c r="ER119" s="566">
        <v>-1.5004409465856299E-248</v>
      </c>
      <c r="ES119" s="566">
        <v>0.233562329295289</v>
      </c>
      <c r="ET119" s="566">
        <v>-2.0322030330455702E-248</v>
      </c>
      <c r="EU119" s="566">
        <v>7.4107701663857804E-58</v>
      </c>
      <c r="EV119" s="566">
        <v>-5.0479519511957097E-51</v>
      </c>
      <c r="EW119" s="566">
        <v>0.23356234040205501</v>
      </c>
      <c r="EX119" s="566">
        <v>-2.03250436239963E-248</v>
      </c>
      <c r="EY119" s="566">
        <v>8.4841955016518398E-55</v>
      </c>
      <c r="EZ119" s="566">
        <v>-5.1761742124460301E-48</v>
      </c>
      <c r="FA119" s="566">
        <v>0.23356237991057699</v>
      </c>
      <c r="FB119" s="566">
        <v>-2.0328468326340699E-248</v>
      </c>
      <c r="FC119" s="566">
        <v>2.1244396759534201E-54</v>
      </c>
      <c r="FD119" s="566">
        <v>-1.4703885572719801E-47</v>
      </c>
      <c r="FE119" s="566">
        <v>6.2954522620530299E-12</v>
      </c>
      <c r="FF119" s="566">
        <v>-2.0566461248071601E-248</v>
      </c>
      <c r="FG119" s="566">
        <v>-1.15758386393814E-123</v>
      </c>
      <c r="FH119" s="566">
        <v>5.20287742757321E-119</v>
      </c>
    </row>
  </sheetData>
  <hyperlinks>
    <hyperlink ref="K10" r:id="rId1" xr:uid="{C24AE9A7-F903-4055-9179-41041E73FB13}"/>
  </hyperlinks>
  <printOptions gridLines="1" gridLinesSet="0"/>
  <pageMargins left="0.75" right="0.75" top="1" bottom="1" header="0.5" footer="0.5"/>
  <pageSetup paperSize="9" scale="10" orientation="portrait" r:id="rId2"/>
  <headerFooter alignWithMargins="0"/>
  <drawing r:id="rId3"/>
  <legacy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DC2378"/>
  <sheetViews>
    <sheetView zoomScaleNormal="100" workbookViewId="0">
      <pane ySplit="4" topLeftCell="A8" activePane="bottomLeft" state="frozen"/>
      <selection pane="bottomLeft" activeCell="F63" sqref="F63"/>
    </sheetView>
  </sheetViews>
  <sheetFormatPr defaultColWidth="9.109375" defaultRowHeight="12.75" customHeight="1" x14ac:dyDescent="0.3"/>
  <cols>
    <col min="1" max="1" width="5.88671875" style="980" customWidth="1" collapsed="1"/>
    <col min="2" max="2" width="31.44140625" style="778" customWidth="1" collapsed="1"/>
    <col min="3" max="3" width="11.33203125" style="779" bestFit="1" customWidth="1" collapsed="1"/>
    <col min="4" max="4" width="10.33203125" style="782" customWidth="1" collapsed="1"/>
    <col min="5" max="5" width="8.109375" style="981" customWidth="1" collapsed="1"/>
    <col min="6" max="6" width="6.6640625" style="980" customWidth="1" collapsed="1"/>
    <col min="7" max="7" width="7.88671875" style="980" bestFit="1" customWidth="1" collapsed="1"/>
    <col min="8" max="11" width="8.109375" style="982" customWidth="1" collapsed="1"/>
    <col min="12" max="16" width="8" style="982" customWidth="1" collapsed="1"/>
    <col min="17" max="17" width="8.88671875" style="982" customWidth="1" collapsed="1"/>
    <col min="18" max="18" width="12" style="982" customWidth="1" collapsed="1"/>
    <col min="19" max="19" width="10" style="982" customWidth="1" collapsed="1"/>
    <col min="20" max="20" width="9.5546875" style="982" customWidth="1" collapsed="1"/>
    <col min="21" max="21" width="10.88671875" style="983" bestFit="1" customWidth="1" collapsed="1"/>
    <col min="22" max="22" width="11.6640625" style="981" customWidth="1" collapsed="1"/>
    <col min="23" max="23" width="11.6640625" style="982" customWidth="1" collapsed="1"/>
    <col min="24" max="24" width="9.6640625" style="984" customWidth="1" collapsed="1"/>
    <col min="25" max="25" width="12" style="984" customWidth="1" collapsed="1"/>
    <col min="26" max="26" width="9.33203125" style="984" customWidth="1" collapsed="1"/>
    <col min="27" max="27" width="5.109375" style="985" hidden="1" customWidth="1" collapsed="1"/>
    <col min="28" max="28" width="5.109375" style="985" customWidth="1"/>
    <col min="29" max="29" width="3.6640625" style="778" customWidth="1" collapsed="1"/>
    <col min="30" max="31" width="9.109375" style="778" collapsed="1"/>
    <col min="32" max="32" width="11.6640625" style="778" customWidth="1" collapsed="1"/>
    <col min="33" max="82" width="9.109375" style="778" collapsed="1"/>
    <col min="83" max="85" width="9.109375" style="778"/>
    <col min="86" max="87" width="9.109375" style="778" collapsed="1"/>
    <col min="88" max="89" width="9.109375" style="778"/>
    <col min="90" max="90" width="9.109375" style="778" collapsed="1"/>
    <col min="91" max="92" width="9.109375" style="778"/>
    <col min="93" max="95" width="9.109375" style="778" collapsed="1"/>
    <col min="96" max="97" width="9.109375" style="778"/>
    <col min="98" max="100" width="9.109375" style="778" collapsed="1"/>
    <col min="101" max="102" width="9.109375" style="778"/>
    <col min="103" max="103" width="9.109375" style="778" collapsed="1"/>
    <col min="104" max="105" width="9.109375" style="778"/>
    <col min="106" max="16384" width="9.109375" style="778" collapsed="1"/>
  </cols>
  <sheetData>
    <row r="1" spans="1:107" ht="12.75" customHeight="1" x14ac:dyDescent="0.3">
      <c r="A1" s="449" t="s">
        <v>4135</v>
      </c>
      <c r="B1" s="209"/>
      <c r="C1" s="210"/>
      <c r="D1" s="450"/>
      <c r="E1" s="935"/>
      <c r="F1" s="936"/>
      <c r="G1" s="936"/>
      <c r="H1" s="937"/>
      <c r="I1" s="937"/>
      <c r="J1" s="937"/>
      <c r="K1" s="937"/>
      <c r="L1" s="937"/>
      <c r="M1" s="937"/>
      <c r="N1" s="937"/>
      <c r="O1" s="937"/>
      <c r="P1" s="937"/>
      <c r="Q1" s="937"/>
      <c r="R1" s="937"/>
      <c r="S1" s="937"/>
      <c r="T1" s="937"/>
      <c r="U1" s="935"/>
      <c r="V1" s="935"/>
      <c r="W1" s="795"/>
      <c r="X1" s="938"/>
      <c r="Y1" s="938"/>
      <c r="Z1" s="938"/>
      <c r="AA1" s="861"/>
      <c r="AB1" s="861"/>
      <c r="AC1" s="939"/>
    </row>
    <row r="2" spans="1:107" ht="12.75" customHeight="1" thickBot="1" x14ac:dyDescent="0.35">
      <c r="A2" s="936"/>
      <c r="B2" s="795"/>
      <c r="C2" s="795"/>
      <c r="D2" s="795"/>
      <c r="E2" s="935"/>
      <c r="F2" s="935"/>
      <c r="G2" s="936"/>
      <c r="H2" s="937"/>
      <c r="I2" s="937"/>
      <c r="J2" s="937"/>
      <c r="K2" s="937"/>
      <c r="L2" s="937"/>
      <c r="M2" s="937"/>
      <c r="N2" s="937"/>
      <c r="O2" s="937"/>
      <c r="P2" s="937"/>
      <c r="Q2" s="937"/>
      <c r="R2" s="937"/>
      <c r="S2" s="937"/>
      <c r="T2" s="937"/>
      <c r="U2" s="935"/>
      <c r="V2" s="935"/>
      <c r="W2" s="795"/>
      <c r="X2" s="938"/>
      <c r="Y2" s="938"/>
      <c r="Z2" s="938"/>
      <c r="AA2" s="861"/>
      <c r="AB2" s="861"/>
      <c r="AC2" s="939"/>
    </row>
    <row r="3" spans="1:107" ht="12.75" customHeight="1" x14ac:dyDescent="0.3">
      <c r="A3" s="940" t="s">
        <v>4136</v>
      </c>
      <c r="B3" s="941" t="s">
        <v>4137</v>
      </c>
      <c r="C3" s="941" t="s">
        <v>4138</v>
      </c>
      <c r="D3" s="942" t="s">
        <v>523</v>
      </c>
      <c r="E3" s="943" t="s">
        <v>541</v>
      </c>
      <c r="F3" s="943" t="s">
        <v>526</v>
      </c>
      <c r="G3" s="940" t="s">
        <v>584</v>
      </c>
      <c r="H3" s="944" t="s">
        <v>570</v>
      </c>
      <c r="I3" s="944" t="s">
        <v>578</v>
      </c>
      <c r="J3" s="944" t="s">
        <v>4139</v>
      </c>
      <c r="K3" s="944" t="s">
        <v>537</v>
      </c>
      <c r="L3" s="944" t="s">
        <v>4140</v>
      </c>
      <c r="M3" s="944" t="s">
        <v>4141</v>
      </c>
      <c r="N3" s="944" t="s">
        <v>4142</v>
      </c>
      <c r="O3" s="944" t="s">
        <v>4143</v>
      </c>
      <c r="P3" s="944" t="s">
        <v>4144</v>
      </c>
      <c r="Q3" s="944" t="s">
        <v>4145</v>
      </c>
      <c r="R3" s="944" t="s">
        <v>4146</v>
      </c>
      <c r="S3" s="944" t="s">
        <v>4147</v>
      </c>
      <c r="T3" s="944" t="s">
        <v>4148</v>
      </c>
      <c r="U3" s="943" t="s">
        <v>4149</v>
      </c>
      <c r="V3" s="943" t="s">
        <v>4150</v>
      </c>
      <c r="W3" s="944" t="s">
        <v>4151</v>
      </c>
      <c r="X3" s="945" t="s">
        <v>4152</v>
      </c>
      <c r="Y3" s="945" t="s">
        <v>4153</v>
      </c>
      <c r="Z3" s="945" t="s">
        <v>4154</v>
      </c>
      <c r="AA3" s="946"/>
      <c r="AB3" s="947"/>
      <c r="AC3" s="939"/>
      <c r="AD3" s="605" t="s">
        <v>277</v>
      </c>
      <c r="AE3" s="605" t="s">
        <v>281</v>
      </c>
      <c r="AF3" s="799" t="s">
        <v>285</v>
      </c>
      <c r="AG3" s="848" t="s">
        <v>290</v>
      </c>
      <c r="AH3" s="848" t="s">
        <v>294</v>
      </c>
      <c r="AI3" s="799" t="s">
        <v>296</v>
      </c>
      <c r="AJ3" s="799" t="s">
        <v>298</v>
      </c>
      <c r="AK3" s="799" t="s">
        <v>300</v>
      </c>
      <c r="AL3" s="799" t="s">
        <v>302</v>
      </c>
      <c r="AM3" s="799" t="s">
        <v>304</v>
      </c>
      <c r="AN3" s="799" t="s">
        <v>306</v>
      </c>
      <c r="AO3" s="799" t="s">
        <v>308</v>
      </c>
      <c r="AP3" s="799" t="s">
        <v>310</v>
      </c>
      <c r="AQ3" s="799" t="s">
        <v>312</v>
      </c>
      <c r="AR3" s="799" t="s">
        <v>314</v>
      </c>
      <c r="AS3" s="799" t="s">
        <v>316</v>
      </c>
      <c r="AT3" s="799" t="s">
        <v>318</v>
      </c>
      <c r="AU3" s="799" t="s">
        <v>320</v>
      </c>
      <c r="AV3" s="799" t="s">
        <v>322</v>
      </c>
      <c r="AW3" s="799" t="s">
        <v>324</v>
      </c>
      <c r="AX3" s="799" t="s">
        <v>326</v>
      </c>
      <c r="AY3" s="799" t="s">
        <v>328</v>
      </c>
      <c r="AZ3" s="854" t="s">
        <v>330</v>
      </c>
      <c r="BA3" s="799" t="s">
        <v>334</v>
      </c>
      <c r="BB3" s="799" t="s">
        <v>357</v>
      </c>
      <c r="BC3" s="799" t="s">
        <v>359</v>
      </c>
      <c r="BD3" s="799" t="s">
        <v>338</v>
      </c>
      <c r="BE3" s="799" t="s">
        <v>361</v>
      </c>
      <c r="BF3" s="799" t="s">
        <v>363</v>
      </c>
      <c r="BG3" s="799" t="s">
        <v>340</v>
      </c>
      <c r="BH3" s="799" t="s">
        <v>365</v>
      </c>
      <c r="BI3" s="799" t="s">
        <v>367</v>
      </c>
      <c r="BJ3" s="799" t="s">
        <v>342</v>
      </c>
      <c r="BK3" s="799" t="s">
        <v>369</v>
      </c>
      <c r="BL3" s="799" t="s">
        <v>371</v>
      </c>
      <c r="BM3" s="799" t="s">
        <v>344</v>
      </c>
      <c r="BN3" s="799" t="s">
        <v>373</v>
      </c>
      <c r="BO3" s="799" t="s">
        <v>375</v>
      </c>
      <c r="BP3" s="799" t="s">
        <v>346</v>
      </c>
      <c r="BQ3" s="799" t="s">
        <v>377</v>
      </c>
      <c r="BR3" s="799" t="s">
        <v>379</v>
      </c>
      <c r="BS3" s="799" t="s">
        <v>348</v>
      </c>
      <c r="BT3" s="799" t="s">
        <v>381</v>
      </c>
      <c r="BU3" s="799" t="s">
        <v>383</v>
      </c>
      <c r="BV3" s="799" t="s">
        <v>350</v>
      </c>
      <c r="BW3" s="799" t="s">
        <v>385</v>
      </c>
      <c r="BX3" s="799" t="s">
        <v>387</v>
      </c>
      <c r="BY3" s="799" t="s">
        <v>352</v>
      </c>
      <c r="BZ3" s="799" t="s">
        <v>389</v>
      </c>
      <c r="CA3" s="799" t="s">
        <v>391</v>
      </c>
      <c r="CB3" s="799" t="s">
        <v>354</v>
      </c>
      <c r="CC3" s="799" t="s">
        <v>393</v>
      </c>
      <c r="CD3" s="854" t="s">
        <v>395</v>
      </c>
      <c r="CE3" s="796" t="s">
        <v>398</v>
      </c>
      <c r="CF3" s="603" t="s">
        <v>400</v>
      </c>
      <c r="CG3" s="603" t="s">
        <v>402</v>
      </c>
      <c r="CH3" s="796" t="s">
        <v>404</v>
      </c>
      <c r="CI3" s="796" t="s">
        <v>406</v>
      </c>
      <c r="CJ3" s="603" t="s">
        <v>408</v>
      </c>
      <c r="CK3" s="603" t="s">
        <v>410</v>
      </c>
      <c r="CL3" s="796" t="s">
        <v>412</v>
      </c>
      <c r="CM3" s="603" t="s">
        <v>414</v>
      </c>
      <c r="CN3" s="603" t="s">
        <v>416</v>
      </c>
      <c r="CO3" s="796" t="s">
        <v>418</v>
      </c>
      <c r="CP3" s="796" t="s">
        <v>420</v>
      </c>
      <c r="CQ3" s="796" t="s">
        <v>422</v>
      </c>
      <c r="CR3" s="603" t="s">
        <v>424</v>
      </c>
      <c r="CS3" s="603" t="s">
        <v>426</v>
      </c>
      <c r="CT3" s="796" t="s">
        <v>428</v>
      </c>
      <c r="CU3" s="796" t="s">
        <v>430</v>
      </c>
      <c r="CV3" s="796" t="s">
        <v>432</v>
      </c>
      <c r="CW3" s="603" t="s">
        <v>434</v>
      </c>
      <c r="CX3" s="603" t="s">
        <v>436</v>
      </c>
      <c r="CY3" s="796" t="s">
        <v>438</v>
      </c>
      <c r="CZ3" s="603" t="s">
        <v>439</v>
      </c>
      <c r="DA3" s="603" t="s">
        <v>440</v>
      </c>
    </row>
    <row r="4" spans="1:107" ht="12.75" customHeight="1" x14ac:dyDescent="0.3">
      <c r="A4" s="948"/>
      <c r="B4" s="949"/>
      <c r="C4" s="950"/>
      <c r="D4" s="951"/>
      <c r="E4" s="952" t="s">
        <v>292</v>
      </c>
      <c r="F4" s="948" t="s">
        <v>4155</v>
      </c>
      <c r="G4" s="451" t="s">
        <v>4820</v>
      </c>
      <c r="H4" s="951" t="s">
        <v>572</v>
      </c>
      <c r="I4" s="951" t="s">
        <v>4156</v>
      </c>
      <c r="J4" s="951" t="s">
        <v>292</v>
      </c>
      <c r="K4" s="951" t="s">
        <v>292</v>
      </c>
      <c r="L4" s="951" t="s">
        <v>292</v>
      </c>
      <c r="M4" s="951" t="s">
        <v>1078</v>
      </c>
      <c r="N4" s="951" t="s">
        <v>1078</v>
      </c>
      <c r="O4" s="951" t="s">
        <v>1078</v>
      </c>
      <c r="P4" s="951" t="s">
        <v>1078</v>
      </c>
      <c r="Q4" s="951" t="s">
        <v>1038</v>
      </c>
      <c r="R4" s="951" t="s">
        <v>1038</v>
      </c>
      <c r="S4" s="951" t="s">
        <v>1038</v>
      </c>
      <c r="T4" s="951" t="s">
        <v>1038</v>
      </c>
      <c r="U4" s="952" t="s">
        <v>134</v>
      </c>
      <c r="V4" s="952" t="s">
        <v>134</v>
      </c>
      <c r="W4" s="951" t="s">
        <v>4157</v>
      </c>
      <c r="X4" s="953" t="s">
        <v>292</v>
      </c>
      <c r="Y4" s="953" t="s">
        <v>292</v>
      </c>
      <c r="Z4" s="953" t="s">
        <v>292</v>
      </c>
      <c r="AA4" s="954"/>
      <c r="AB4" s="947"/>
      <c r="AC4" s="939"/>
      <c r="AD4" s="605" t="s">
        <v>278</v>
      </c>
      <c r="AE4" s="605" t="s">
        <v>282</v>
      </c>
      <c r="AF4" s="799" t="s">
        <v>286</v>
      </c>
      <c r="AG4" s="799" t="s">
        <v>291</v>
      </c>
      <c r="AH4" s="799" t="s">
        <v>291</v>
      </c>
      <c r="AI4" s="799" t="s">
        <v>291</v>
      </c>
      <c r="AJ4" s="799" t="s">
        <v>291</v>
      </c>
      <c r="AK4" s="799" t="s">
        <v>291</v>
      </c>
      <c r="AL4" s="799" t="s">
        <v>291</v>
      </c>
      <c r="AM4" s="799" t="s">
        <v>291</v>
      </c>
      <c r="AN4" s="799" t="s">
        <v>291</v>
      </c>
      <c r="AO4" s="799" t="s">
        <v>291</v>
      </c>
      <c r="AP4" s="799" t="s">
        <v>291</v>
      </c>
      <c r="AQ4" s="799" t="s">
        <v>291</v>
      </c>
      <c r="AR4" s="799" t="s">
        <v>291</v>
      </c>
      <c r="AS4" s="799" t="s">
        <v>291</v>
      </c>
      <c r="AT4" s="799" t="s">
        <v>291</v>
      </c>
      <c r="AU4" s="799" t="s">
        <v>291</v>
      </c>
      <c r="AV4" s="799" t="s">
        <v>291</v>
      </c>
      <c r="AW4" s="799" t="s">
        <v>291</v>
      </c>
      <c r="AX4" s="799" t="s">
        <v>291</v>
      </c>
      <c r="AY4" s="799" t="s">
        <v>291</v>
      </c>
      <c r="AZ4" s="854" t="s">
        <v>291</v>
      </c>
      <c r="BA4" s="799" t="s">
        <v>335</v>
      </c>
      <c r="BB4" s="799" t="s">
        <v>335</v>
      </c>
      <c r="BC4" s="799" t="s">
        <v>335</v>
      </c>
      <c r="BD4" s="799" t="s">
        <v>335</v>
      </c>
      <c r="BE4" s="799" t="s">
        <v>335</v>
      </c>
      <c r="BF4" s="799" t="s">
        <v>335</v>
      </c>
      <c r="BG4" s="799" t="s">
        <v>335</v>
      </c>
      <c r="BH4" s="799" t="s">
        <v>335</v>
      </c>
      <c r="BI4" s="799" t="s">
        <v>335</v>
      </c>
      <c r="BJ4" s="799" t="s">
        <v>335</v>
      </c>
      <c r="BK4" s="799" t="s">
        <v>335</v>
      </c>
      <c r="BL4" s="799" t="s">
        <v>335</v>
      </c>
      <c r="BM4" s="799" t="s">
        <v>335</v>
      </c>
      <c r="BN4" s="799" t="s">
        <v>335</v>
      </c>
      <c r="BO4" s="799" t="s">
        <v>335</v>
      </c>
      <c r="BP4" s="799" t="s">
        <v>335</v>
      </c>
      <c r="BQ4" s="799" t="s">
        <v>335</v>
      </c>
      <c r="BR4" s="799" t="s">
        <v>335</v>
      </c>
      <c r="BS4" s="799" t="s">
        <v>335</v>
      </c>
      <c r="BT4" s="799" t="s">
        <v>335</v>
      </c>
      <c r="BU4" s="799" t="s">
        <v>335</v>
      </c>
      <c r="BV4" s="799" t="s">
        <v>335</v>
      </c>
      <c r="BW4" s="799" t="s">
        <v>335</v>
      </c>
      <c r="BX4" s="799" t="s">
        <v>335</v>
      </c>
      <c r="BY4" s="799" t="s">
        <v>335</v>
      </c>
      <c r="BZ4" s="799" t="s">
        <v>335</v>
      </c>
      <c r="CA4" s="799" t="s">
        <v>335</v>
      </c>
      <c r="CB4" s="799" t="s">
        <v>335</v>
      </c>
      <c r="CC4" s="799" t="s">
        <v>335</v>
      </c>
      <c r="CD4" s="854" t="s">
        <v>335</v>
      </c>
      <c r="CE4" s="796" t="s">
        <v>335</v>
      </c>
      <c r="CF4" s="796" t="s">
        <v>335</v>
      </c>
      <c r="CG4" s="796" t="s">
        <v>335</v>
      </c>
      <c r="CH4" s="796" t="s">
        <v>335</v>
      </c>
      <c r="CI4" s="796" t="s">
        <v>335</v>
      </c>
      <c r="CJ4" s="796" t="s">
        <v>335</v>
      </c>
      <c r="CK4" s="796" t="s">
        <v>335</v>
      </c>
      <c r="CL4" s="796" t="s">
        <v>335</v>
      </c>
      <c r="CM4" s="796" t="s">
        <v>335</v>
      </c>
      <c r="CN4" s="796" t="s">
        <v>335</v>
      </c>
      <c r="CO4" s="796" t="s">
        <v>335</v>
      </c>
      <c r="CP4" s="796" t="s">
        <v>335</v>
      </c>
      <c r="CQ4" s="796" t="s">
        <v>335</v>
      </c>
      <c r="CR4" s="796" t="s">
        <v>335</v>
      </c>
      <c r="CS4" s="796" t="s">
        <v>335</v>
      </c>
      <c r="CT4" s="796" t="s">
        <v>335</v>
      </c>
      <c r="CU4" s="796" t="s">
        <v>335</v>
      </c>
      <c r="CV4" s="796" t="s">
        <v>335</v>
      </c>
      <c r="CW4" s="796" t="s">
        <v>335</v>
      </c>
      <c r="CX4" s="796" t="s">
        <v>335</v>
      </c>
      <c r="CY4" s="796" t="s">
        <v>335</v>
      </c>
      <c r="CZ4" s="796" t="s">
        <v>335</v>
      </c>
      <c r="DA4" s="796" t="s">
        <v>335</v>
      </c>
    </row>
    <row r="5" spans="1:107" ht="12.75" customHeight="1" x14ac:dyDescent="0.3">
      <c r="A5" s="936"/>
      <c r="B5" s="789"/>
      <c r="C5" s="789"/>
      <c r="D5" s="795"/>
      <c r="E5" s="955"/>
      <c r="F5" s="956"/>
      <c r="G5" s="956"/>
      <c r="H5" s="957"/>
      <c r="I5" s="957"/>
      <c r="J5" s="957"/>
      <c r="K5" s="957"/>
      <c r="L5" s="957"/>
      <c r="M5" s="957"/>
      <c r="N5" s="957"/>
      <c r="O5" s="957"/>
      <c r="P5" s="957"/>
      <c r="Q5" s="957"/>
      <c r="R5" s="957"/>
      <c r="S5" s="957"/>
      <c r="T5" s="957"/>
      <c r="U5" s="955"/>
      <c r="V5" s="955"/>
      <c r="W5" s="789"/>
      <c r="X5" s="789"/>
      <c r="Y5" s="789"/>
      <c r="Z5" s="789"/>
      <c r="AA5" s="789"/>
      <c r="AB5" s="789"/>
      <c r="AC5" s="939"/>
    </row>
    <row r="6" spans="1:107" ht="12.75" customHeight="1" x14ac:dyDescent="0.3">
      <c r="A6" s="958">
        <f>ChemRowNr</f>
        <v>1</v>
      </c>
      <c r="B6" s="959" t="str">
        <f t="shared" ref="B6:AG6" si="0">IF(ISBLANK(VLOOKUP($A6,$A$8:$CD$57,COLUMN(),0)),"",VLOOKUP($A6,$A$8:$CD$57,COLUMN(),0))</f>
        <v>default substance</v>
      </c>
      <c r="C6" s="959" t="str">
        <f t="shared" si="0"/>
        <v/>
      </c>
      <c r="D6" s="959" t="str">
        <f t="shared" si="0"/>
        <v>neutral</v>
      </c>
      <c r="E6" s="959" t="str">
        <f t="shared" si="0"/>
        <v/>
      </c>
      <c r="F6" s="959">
        <f t="shared" si="0"/>
        <v>147</v>
      </c>
      <c r="G6" s="959">
        <f t="shared" si="0"/>
        <v>52.1</v>
      </c>
      <c r="H6" s="959">
        <f t="shared" si="0"/>
        <v>232</v>
      </c>
      <c r="I6" s="959">
        <f t="shared" si="0"/>
        <v>81.3</v>
      </c>
      <c r="J6" s="959" t="str">
        <f t="shared" si="0"/>
        <v/>
      </c>
      <c r="K6" s="959">
        <f t="shared" si="0"/>
        <v>2750</v>
      </c>
      <c r="L6" s="959" t="str">
        <f t="shared" si="0"/>
        <v/>
      </c>
      <c r="M6" s="959" t="str">
        <f t="shared" si="0"/>
        <v/>
      </c>
      <c r="N6" s="959" t="str">
        <f t="shared" si="0"/>
        <v/>
      </c>
      <c r="O6" s="959" t="str">
        <f t="shared" si="0"/>
        <v/>
      </c>
      <c r="P6" s="959" t="str">
        <f t="shared" si="0"/>
        <v/>
      </c>
      <c r="Q6" s="959">
        <f t="shared" si="0"/>
        <v>2.3999999999999998E-7</v>
      </c>
      <c r="R6" s="959">
        <f t="shared" si="0"/>
        <v>2.1400000000000001E-7</v>
      </c>
      <c r="S6" s="959">
        <f t="shared" si="0"/>
        <v>2.3800000000000001E-8</v>
      </c>
      <c r="T6" s="959">
        <f t="shared" si="0"/>
        <v>1.0700000000000001E-7</v>
      </c>
      <c r="U6" s="959">
        <f t="shared" si="0"/>
        <v>-1.9900000000000002</v>
      </c>
      <c r="V6" s="959">
        <f t="shared" si="0"/>
        <v>0.4107142857142857</v>
      </c>
      <c r="W6" s="959">
        <f t="shared" si="0"/>
        <v>30000</v>
      </c>
      <c r="X6" s="959">
        <f t="shared" si="0"/>
        <v>0.33333333333333331</v>
      </c>
      <c r="Y6" s="959">
        <f t="shared" si="0"/>
        <v>0.33333333333333331</v>
      </c>
      <c r="Z6" s="959">
        <f t="shared" si="0"/>
        <v>0.33333333333333331</v>
      </c>
      <c r="AA6" s="959">
        <f t="shared" si="0"/>
        <v>1</v>
      </c>
      <c r="AB6" s="959">
        <f t="shared" si="0"/>
        <v>1</v>
      </c>
      <c r="AC6" s="959" t="str">
        <f t="shared" si="0"/>
        <v/>
      </c>
      <c r="AD6" s="822" t="str">
        <f t="shared" si="0"/>
        <v/>
      </c>
      <c r="AE6" s="822" t="str">
        <f t="shared" si="0"/>
        <v/>
      </c>
      <c r="AF6" s="822" t="str">
        <f t="shared" si="0"/>
        <v/>
      </c>
      <c r="AG6" s="822" t="str">
        <f t="shared" si="0"/>
        <v/>
      </c>
      <c r="AH6" s="822" t="str">
        <f t="shared" ref="AH6:BM6" si="1">IF(ISBLANK(VLOOKUP($A6,$A$8:$CD$57,COLUMN(),0)),"",VLOOKUP($A6,$A$8:$CD$57,COLUMN(),0))</f>
        <v/>
      </c>
      <c r="AI6" s="822" t="str">
        <f t="shared" si="1"/>
        <v/>
      </c>
      <c r="AJ6" s="822" t="str">
        <f t="shared" si="1"/>
        <v/>
      </c>
      <c r="AK6" s="822" t="str">
        <f t="shared" si="1"/>
        <v/>
      </c>
      <c r="AL6" s="822" t="str">
        <f t="shared" si="1"/>
        <v/>
      </c>
      <c r="AM6" s="822" t="str">
        <f t="shared" si="1"/>
        <v/>
      </c>
      <c r="AN6" s="822" t="str">
        <f t="shared" si="1"/>
        <v/>
      </c>
      <c r="AO6" s="822" t="str">
        <f t="shared" si="1"/>
        <v/>
      </c>
      <c r="AP6" s="822" t="str">
        <f t="shared" si="1"/>
        <v/>
      </c>
      <c r="AQ6" s="822" t="str">
        <f t="shared" si="1"/>
        <v/>
      </c>
      <c r="AR6" s="822" t="str">
        <f t="shared" si="1"/>
        <v/>
      </c>
      <c r="AS6" s="822" t="str">
        <f t="shared" si="1"/>
        <v/>
      </c>
      <c r="AT6" s="822" t="str">
        <f t="shared" si="1"/>
        <v/>
      </c>
      <c r="AU6" s="822" t="str">
        <f t="shared" si="1"/>
        <v/>
      </c>
      <c r="AV6" s="822" t="str">
        <f t="shared" si="1"/>
        <v/>
      </c>
      <c r="AW6" s="822" t="str">
        <f t="shared" si="1"/>
        <v/>
      </c>
      <c r="AX6" s="822" t="str">
        <f t="shared" si="1"/>
        <v/>
      </c>
      <c r="AY6" s="822" t="str">
        <f t="shared" si="1"/>
        <v/>
      </c>
      <c r="AZ6" s="822" t="str">
        <f t="shared" si="1"/>
        <v/>
      </c>
      <c r="BA6" s="822" t="str">
        <f t="shared" si="1"/>
        <v/>
      </c>
      <c r="BB6" s="822" t="str">
        <f t="shared" si="1"/>
        <v/>
      </c>
      <c r="BC6" s="822" t="str">
        <f t="shared" si="1"/>
        <v/>
      </c>
      <c r="BD6" s="822" t="str">
        <f t="shared" si="1"/>
        <v/>
      </c>
      <c r="BE6" s="822" t="str">
        <f t="shared" si="1"/>
        <v/>
      </c>
      <c r="BF6" s="822" t="str">
        <f t="shared" si="1"/>
        <v/>
      </c>
      <c r="BG6" s="822" t="str">
        <f t="shared" si="1"/>
        <v/>
      </c>
      <c r="BH6" s="822" t="str">
        <f t="shared" si="1"/>
        <v/>
      </c>
      <c r="BI6" s="822" t="str">
        <f t="shared" si="1"/>
        <v/>
      </c>
      <c r="BJ6" s="822" t="str">
        <f t="shared" si="1"/>
        <v/>
      </c>
      <c r="BK6" s="822" t="str">
        <f t="shared" si="1"/>
        <v/>
      </c>
      <c r="BL6" s="822" t="str">
        <f t="shared" si="1"/>
        <v/>
      </c>
      <c r="BM6" s="822" t="str">
        <f t="shared" si="1"/>
        <v/>
      </c>
      <c r="BN6" s="822" t="str">
        <f t="shared" ref="BN6:CC6" si="2">IF(ISBLANK(VLOOKUP($A6,$A$8:$CD$57,COLUMN(),0)),"",VLOOKUP($A6,$A$8:$CD$57,COLUMN(),0))</f>
        <v/>
      </c>
      <c r="BO6" s="822" t="str">
        <f t="shared" si="2"/>
        <v/>
      </c>
      <c r="BP6" s="822" t="str">
        <f t="shared" si="2"/>
        <v/>
      </c>
      <c r="BQ6" s="822" t="str">
        <f t="shared" si="2"/>
        <v/>
      </c>
      <c r="BR6" s="822" t="str">
        <f t="shared" si="2"/>
        <v/>
      </c>
      <c r="BS6" s="822" t="str">
        <f t="shared" si="2"/>
        <v/>
      </c>
      <c r="BT6" s="822" t="str">
        <f t="shared" si="2"/>
        <v/>
      </c>
      <c r="BU6" s="822" t="str">
        <f t="shared" si="2"/>
        <v/>
      </c>
      <c r="BV6" s="822" t="str">
        <f t="shared" si="2"/>
        <v/>
      </c>
      <c r="BW6" s="822" t="str">
        <f t="shared" si="2"/>
        <v/>
      </c>
      <c r="BX6" s="822" t="str">
        <f t="shared" si="2"/>
        <v/>
      </c>
      <c r="BY6" s="822" t="str">
        <f t="shared" si="2"/>
        <v/>
      </c>
      <c r="BZ6" s="822" t="str">
        <f t="shared" si="2"/>
        <v/>
      </c>
      <c r="CA6" s="822" t="str">
        <f t="shared" si="2"/>
        <v/>
      </c>
      <c r="CB6" s="822" t="str">
        <f t="shared" si="2"/>
        <v/>
      </c>
      <c r="CC6" s="822" t="str">
        <f t="shared" si="2"/>
        <v/>
      </c>
      <c r="CD6" s="822" t="str">
        <f>IF(ISBLANK(VLOOKUP($A6,$A$8:$CY$57,COLUMN(),0)),"",VLOOKUP($A6,$A$8:$CY$57,COLUMN(),0))</f>
        <v/>
      </c>
      <c r="CE6" s="822" t="str">
        <f>IF(ISBLANK(VLOOKUP($A6,$A$8:$CY$57,COLUMN(),0)),"",VLOOKUP($A6,$A$8:$CY$57,COLUMN(),0))</f>
        <v/>
      </c>
      <c r="CF6" s="822"/>
      <c r="CG6" s="822"/>
      <c r="CH6" s="822" t="str">
        <f>IF(ISBLANK(VLOOKUP($A6,$A$8:$CY$57,COLUMN(),0)),"",VLOOKUP($A6,$A$8:$CY$57,COLUMN(),0))</f>
        <v/>
      </c>
      <c r="CI6" s="822" t="str">
        <f>IF(ISBLANK(VLOOKUP($A6,$A$8:$CY$57,COLUMN(),0)),"",VLOOKUP($A6,$A$8:$CY$57,COLUMN(),0))</f>
        <v/>
      </c>
      <c r="CJ6" s="822"/>
      <c r="CK6" s="822"/>
      <c r="CL6" s="822" t="str">
        <f>IF(ISBLANK(VLOOKUP($A6,$A$8:$CY$57,COLUMN(),0)),"",VLOOKUP($A6,$A$8:$CY$57,COLUMN(),0))</f>
        <v/>
      </c>
      <c r="CM6" s="822"/>
      <c r="CN6" s="822"/>
      <c r="CO6" s="822" t="str">
        <f>IF(ISBLANK(VLOOKUP($A6,$A$8:$CY$57,COLUMN(),0)),"",VLOOKUP($A6,$A$8:$CY$57,COLUMN(),0))</f>
        <v/>
      </c>
      <c r="CP6" s="822" t="str">
        <f>IF(ISBLANK(VLOOKUP($A6,$A$8:$CY$57,COLUMN(),0)),"",VLOOKUP($A6,$A$8:$CY$57,COLUMN(),0))</f>
        <v/>
      </c>
      <c r="CQ6" s="822" t="str">
        <f>IF(ISBLANK(VLOOKUP($A6,$A$8:$CY$57,COLUMN(),0)),"",VLOOKUP($A6,$A$8:$CY$57,COLUMN(),0))</f>
        <v/>
      </c>
      <c r="CR6" s="822"/>
      <c r="CS6" s="822"/>
      <c r="CT6" s="822" t="str">
        <f>IF(ISBLANK(VLOOKUP($A6,$A$8:$CY$57,COLUMN(),0)),"",VLOOKUP($A6,$A$8:$CY$57,COLUMN(),0))</f>
        <v/>
      </c>
      <c r="CU6" s="822" t="str">
        <f>IF(ISBLANK(VLOOKUP($A6,$A$8:$CY$57,COLUMN(),0)),"",VLOOKUP($A6,$A$8:$CY$57,COLUMN(),0))</f>
        <v/>
      </c>
      <c r="CV6" s="822" t="str">
        <f>IF(ISBLANK(VLOOKUP($A6,$A$8:$CY$57,COLUMN(),0)),"",VLOOKUP($A6,$A$8:$CY$57,COLUMN(),0))</f>
        <v/>
      </c>
      <c r="CW6" s="822"/>
      <c r="CX6" s="822"/>
      <c r="CY6" s="822" t="str">
        <f>IF(ISBLANK(VLOOKUP($A6,$A$8:$CY$57,COLUMN(),0)),"",VLOOKUP($A6,$A$8:$CY$57,COLUMN(),0))</f>
        <v/>
      </c>
      <c r="CZ6" s="822"/>
      <c r="DA6" s="822"/>
    </row>
    <row r="7" spans="1:107" ht="12.75" customHeight="1" x14ac:dyDescent="0.3">
      <c r="A7" s="960"/>
      <c r="B7" s="789"/>
      <c r="C7" s="789"/>
      <c r="D7" s="795"/>
      <c r="E7" s="935"/>
      <c r="F7" s="936"/>
      <c r="G7" s="936"/>
      <c r="H7" s="937"/>
      <c r="I7" s="937"/>
      <c r="J7" s="937"/>
      <c r="K7" s="937"/>
      <c r="L7" s="937"/>
      <c r="M7" s="937"/>
      <c r="N7" s="937"/>
      <c r="O7" s="937"/>
      <c r="P7" s="937"/>
      <c r="Q7" s="937"/>
      <c r="R7" s="937"/>
      <c r="S7" s="937"/>
      <c r="T7" s="937"/>
      <c r="U7" s="935"/>
      <c r="V7" s="935"/>
      <c r="W7" s="937"/>
      <c r="X7" s="938"/>
      <c r="Y7" s="938"/>
      <c r="Z7" s="939"/>
      <c r="AA7" s="961"/>
      <c r="AB7" s="961"/>
      <c r="AC7" s="939"/>
      <c r="AE7" s="606"/>
      <c r="AF7" s="607"/>
    </row>
    <row r="8" spans="1:107" ht="12.75" customHeight="1" x14ac:dyDescent="0.3">
      <c r="A8" s="960">
        <v>1</v>
      </c>
      <c r="B8" s="789" t="s">
        <v>267</v>
      </c>
      <c r="C8" s="789"/>
      <c r="D8" s="789" t="s">
        <v>4158</v>
      </c>
      <c r="E8" s="962" t="s">
        <v>4159</v>
      </c>
      <c r="F8" s="936">
        <v>147</v>
      </c>
      <c r="G8" s="936">
        <v>52.1</v>
      </c>
      <c r="H8" s="937">
        <v>232</v>
      </c>
      <c r="I8" s="937">
        <v>81.3</v>
      </c>
      <c r="J8" s="937"/>
      <c r="K8" s="937">
        <v>2750</v>
      </c>
      <c r="L8" s="937"/>
      <c r="M8" s="937"/>
      <c r="N8" s="937"/>
      <c r="O8" s="937"/>
      <c r="P8" s="937"/>
      <c r="Q8" s="937">
        <v>2.3999999999999998E-7</v>
      </c>
      <c r="R8" s="937">
        <v>2.1400000000000001E-7</v>
      </c>
      <c r="S8" s="937">
        <v>2.3800000000000001E-8</v>
      </c>
      <c r="T8" s="937">
        <v>1.0700000000000001E-7</v>
      </c>
      <c r="U8" s="935">
        <v>-1.9900000000000002</v>
      </c>
      <c r="V8" s="935">
        <v>0.4107142857142857</v>
      </c>
      <c r="W8" s="963">
        <v>30000</v>
      </c>
      <c r="X8" s="939">
        <f>1/3</f>
        <v>0.33333333333333331</v>
      </c>
      <c r="Y8" s="939">
        <f>1/3</f>
        <v>0.33333333333333331</v>
      </c>
      <c r="Z8" s="939">
        <f>1/3</f>
        <v>0.33333333333333331</v>
      </c>
      <c r="AA8" s="961">
        <f t="shared" ref="AA8:AA15" si="3">A8</f>
        <v>1</v>
      </c>
      <c r="AB8" s="961">
        <v>1</v>
      </c>
      <c r="AC8" s="939"/>
      <c r="AE8" s="606"/>
      <c r="AF8" s="607"/>
      <c r="DC8" s="603" t="s">
        <v>398</v>
      </c>
    </row>
    <row r="9" spans="1:107" ht="12.75" customHeight="1" x14ac:dyDescent="0.3">
      <c r="A9" s="936">
        <v>2</v>
      </c>
      <c r="B9" s="789" t="s">
        <v>4160</v>
      </c>
      <c r="C9" s="789"/>
      <c r="D9" s="789" t="s">
        <v>4158</v>
      </c>
      <c r="E9" s="962"/>
      <c r="F9" s="936">
        <v>261</v>
      </c>
      <c r="G9" s="936">
        <v>99.5</v>
      </c>
      <c r="H9" s="937">
        <v>0.24</v>
      </c>
      <c r="I9" s="937">
        <v>2.09</v>
      </c>
      <c r="J9" s="937"/>
      <c r="K9" s="937">
        <v>24000</v>
      </c>
      <c r="L9" s="937"/>
      <c r="M9" s="937"/>
      <c r="N9" s="937"/>
      <c r="O9" s="937"/>
      <c r="P9" s="937"/>
      <c r="Q9" s="937">
        <v>5.3899999999999998E-9</v>
      </c>
      <c r="R9" s="937">
        <v>4.4600000000000002E-8</v>
      </c>
      <c r="S9" s="937">
        <v>4.9499999999999997E-9</v>
      </c>
      <c r="T9" s="937">
        <v>2.2300000000000001E-8</v>
      </c>
      <c r="U9" s="964"/>
      <c r="V9" s="935"/>
      <c r="W9" s="963">
        <v>30000</v>
      </c>
      <c r="X9" s="939">
        <f t="shared" ref="X9:Z22" si="4">1/3</f>
        <v>0.33333333333333331</v>
      </c>
      <c r="Y9" s="939">
        <f t="shared" si="4"/>
        <v>0.33333333333333331</v>
      </c>
      <c r="Z9" s="939">
        <f t="shared" si="4"/>
        <v>0.33333333333333331</v>
      </c>
      <c r="AA9" s="961">
        <f t="shared" si="3"/>
        <v>2</v>
      </c>
      <c r="AB9" s="961">
        <v>2</v>
      </c>
      <c r="AC9" s="939"/>
      <c r="AE9" s="609"/>
      <c r="DC9" s="603" t="s">
        <v>400</v>
      </c>
    </row>
    <row r="10" spans="1:107" ht="12.75" customHeight="1" x14ac:dyDescent="0.3">
      <c r="A10" s="936">
        <v>3</v>
      </c>
      <c r="B10" s="789" t="s">
        <v>4161</v>
      </c>
      <c r="C10" s="789"/>
      <c r="D10" s="789" t="s">
        <v>4162</v>
      </c>
      <c r="E10" s="962">
        <v>7.89</v>
      </c>
      <c r="F10" s="936">
        <v>163</v>
      </c>
      <c r="G10" s="936">
        <v>45</v>
      </c>
      <c r="H10" s="937">
        <v>12</v>
      </c>
      <c r="I10" s="937">
        <v>4500</v>
      </c>
      <c r="J10" s="937"/>
      <c r="K10" s="937">
        <v>1148.1500000000001</v>
      </c>
      <c r="L10" s="937"/>
      <c r="M10" s="937"/>
      <c r="N10" s="937"/>
      <c r="O10" s="937"/>
      <c r="P10" s="937"/>
      <c r="Q10" s="937">
        <v>7.9500000000000001E-7</v>
      </c>
      <c r="R10" s="937">
        <v>2.1400000000000001E-7</v>
      </c>
      <c r="S10" s="937">
        <v>2.3800000000000001E-8</v>
      </c>
      <c r="T10" s="937">
        <v>1.0700000000000001E-7</v>
      </c>
      <c r="U10" s="964"/>
      <c r="V10" s="935"/>
      <c r="W10" s="963">
        <v>30000</v>
      </c>
      <c r="X10" s="939">
        <f t="shared" si="4"/>
        <v>0.33333333333333331</v>
      </c>
      <c r="Y10" s="939">
        <f t="shared" si="4"/>
        <v>0.33333333333333331</v>
      </c>
      <c r="Z10" s="939">
        <f t="shared" si="4"/>
        <v>0.33333333333333331</v>
      </c>
      <c r="AA10" s="961">
        <f t="shared" si="3"/>
        <v>3</v>
      </c>
      <c r="AB10" s="961">
        <v>3</v>
      </c>
      <c r="AC10" s="790"/>
      <c r="AD10" s="781"/>
      <c r="AE10" s="610"/>
      <c r="AF10" s="779"/>
      <c r="DC10" s="603" t="s">
        <v>402</v>
      </c>
    </row>
    <row r="11" spans="1:107" ht="12.75" customHeight="1" x14ac:dyDescent="0.3">
      <c r="A11" s="936">
        <v>4</v>
      </c>
      <c r="B11" s="789" t="s">
        <v>4163</v>
      </c>
      <c r="C11" s="789"/>
      <c r="D11" s="789" t="s">
        <v>4164</v>
      </c>
      <c r="E11" s="962">
        <v>5.13</v>
      </c>
      <c r="F11" s="936">
        <v>140</v>
      </c>
      <c r="G11" s="936">
        <v>65.099999999999994</v>
      </c>
      <c r="H11" s="937">
        <v>0.53300000000000003</v>
      </c>
      <c r="I11" s="937">
        <v>449000</v>
      </c>
      <c r="J11" s="937"/>
      <c r="K11" s="937">
        <v>7.08E-5</v>
      </c>
      <c r="L11" s="937"/>
      <c r="M11" s="937"/>
      <c r="N11" s="937"/>
      <c r="O11" s="937"/>
      <c r="P11" s="937"/>
      <c r="Q11" s="937">
        <v>3.8200000000000002E-4</v>
      </c>
      <c r="R11" s="937">
        <v>1.3400000000000001E-7</v>
      </c>
      <c r="S11" s="937">
        <v>1.4899999999999999E-8</v>
      </c>
      <c r="T11" s="937">
        <v>6.6899999999999997E-8</v>
      </c>
      <c r="U11" s="964"/>
      <c r="V11" s="935"/>
      <c r="W11" s="963">
        <v>30000</v>
      </c>
      <c r="X11" s="939">
        <f t="shared" si="4"/>
        <v>0.33333333333333331</v>
      </c>
      <c r="Y11" s="939">
        <f t="shared" si="4"/>
        <v>0.33333333333333331</v>
      </c>
      <c r="Z11" s="939">
        <f t="shared" si="4"/>
        <v>0.33333333333333331</v>
      </c>
      <c r="AA11" s="961">
        <f t="shared" si="3"/>
        <v>4</v>
      </c>
      <c r="AB11" s="961">
        <v>4</v>
      </c>
      <c r="AC11" s="790"/>
      <c r="AD11" s="781"/>
      <c r="AE11" s="610"/>
      <c r="AF11" s="779"/>
      <c r="DC11" s="603" t="s">
        <v>404</v>
      </c>
    </row>
    <row r="12" spans="1:107" ht="12.75" customHeight="1" x14ac:dyDescent="0.3">
      <c r="A12" s="936">
        <v>5</v>
      </c>
      <c r="B12" s="789" t="s">
        <v>4165</v>
      </c>
      <c r="C12" s="789"/>
      <c r="D12" s="789" t="s">
        <v>4166</v>
      </c>
      <c r="E12" s="962"/>
      <c r="F12" s="936">
        <v>65.38</v>
      </c>
      <c r="G12" s="936">
        <v>420</v>
      </c>
      <c r="H12" s="937">
        <v>9.9999999999999995E-21</v>
      </c>
      <c r="I12" s="937">
        <v>9.9999999999999995E-21</v>
      </c>
      <c r="J12" s="937"/>
      <c r="K12" s="937"/>
      <c r="L12" s="937"/>
      <c r="M12" s="937">
        <v>126000</v>
      </c>
      <c r="N12" s="937">
        <v>500</v>
      </c>
      <c r="O12" s="937">
        <v>12600</v>
      </c>
      <c r="P12" s="937">
        <v>950</v>
      </c>
      <c r="Q12" s="937">
        <v>9.9999999999999995E-21</v>
      </c>
      <c r="R12" s="937">
        <v>9.9999999999999995E-21</v>
      </c>
      <c r="S12" s="937">
        <v>9.9999999999999995E-21</v>
      </c>
      <c r="T12" s="937">
        <v>9.9999999999999995E-21</v>
      </c>
      <c r="U12" s="935"/>
      <c r="V12" s="965"/>
      <c r="W12" s="963">
        <v>30000</v>
      </c>
      <c r="X12" s="939">
        <f t="shared" si="4"/>
        <v>0.33333333333333331</v>
      </c>
      <c r="Y12" s="939">
        <f t="shared" si="4"/>
        <v>0.33333333333333331</v>
      </c>
      <c r="Z12" s="939">
        <f t="shared" si="4"/>
        <v>0.33333333333333331</v>
      </c>
      <c r="AA12" s="961">
        <f t="shared" si="3"/>
        <v>5</v>
      </c>
      <c r="AB12" s="961">
        <v>5</v>
      </c>
      <c r="AC12" s="790"/>
      <c r="AD12" s="781"/>
      <c r="AE12" s="608"/>
      <c r="AF12" s="779"/>
      <c r="DC12" s="603" t="s">
        <v>406</v>
      </c>
    </row>
    <row r="13" spans="1:107" ht="12.75" customHeight="1" x14ac:dyDescent="0.3">
      <c r="A13" s="936">
        <v>6</v>
      </c>
      <c r="B13" s="789" t="s">
        <v>266</v>
      </c>
      <c r="C13" s="789"/>
      <c r="D13" s="789" t="s">
        <v>595</v>
      </c>
      <c r="E13" s="962"/>
      <c r="F13" s="936">
        <v>65.38</v>
      </c>
      <c r="G13" s="936">
        <v>420</v>
      </c>
      <c r="H13" s="937">
        <v>9.9999999999999995E-21</v>
      </c>
      <c r="I13" s="937">
        <v>9.9999999999999995E-21</v>
      </c>
      <c r="J13" s="937"/>
      <c r="K13" s="937"/>
      <c r="L13" s="937"/>
      <c r="M13" s="937">
        <v>126000</v>
      </c>
      <c r="N13" s="937">
        <v>500</v>
      </c>
      <c r="O13" s="937">
        <v>12600</v>
      </c>
      <c r="P13" s="937">
        <v>950</v>
      </c>
      <c r="Q13" s="937">
        <v>9.9999999999999995E-21</v>
      </c>
      <c r="R13" s="937">
        <v>9.9999999999999995E-21</v>
      </c>
      <c r="S13" s="937">
        <v>9.9999999999999995E-21</v>
      </c>
      <c r="T13" s="937">
        <v>9.9999999999999995E-21</v>
      </c>
      <c r="U13" s="935"/>
      <c r="V13" s="965"/>
      <c r="W13" s="963">
        <v>30000</v>
      </c>
      <c r="X13" s="939">
        <f t="shared" si="4"/>
        <v>0.33333333333333331</v>
      </c>
      <c r="Y13" s="939">
        <f t="shared" si="4"/>
        <v>0.33333333333333331</v>
      </c>
      <c r="Z13" s="939">
        <f t="shared" si="4"/>
        <v>0.33333333333333331</v>
      </c>
      <c r="AA13" s="961">
        <f t="shared" ref="AA13:AA14" si="5">A13</f>
        <v>6</v>
      </c>
      <c r="AB13" s="961">
        <v>6</v>
      </c>
      <c r="AC13" s="790"/>
      <c r="AD13" s="966">
        <f>AVERAGE(AD17:AD25)</f>
        <v>35.642857142857146</v>
      </c>
      <c r="AE13" s="966">
        <f t="shared" ref="AE13:CY13" si="6">AVERAGE(AE17:AE25)</f>
        <v>5850</v>
      </c>
      <c r="AF13" s="966">
        <f t="shared" si="6"/>
        <v>1.6957142857142856E-20</v>
      </c>
      <c r="AG13" s="966">
        <f t="shared" si="6"/>
        <v>0.18914285714285714</v>
      </c>
      <c r="AH13" s="966">
        <f t="shared" si="6"/>
        <v>0.44428571428571423</v>
      </c>
      <c r="AI13" s="966">
        <f t="shared" si="6"/>
        <v>0.24571428571428575</v>
      </c>
      <c r="AJ13" s="966">
        <f t="shared" si="6"/>
        <v>0.44285714285714278</v>
      </c>
      <c r="AK13" s="966">
        <f t="shared" si="6"/>
        <v>1</v>
      </c>
      <c r="AL13" s="966">
        <f t="shared" si="6"/>
        <v>1</v>
      </c>
      <c r="AM13" s="966">
        <f t="shared" si="6"/>
        <v>1</v>
      </c>
      <c r="AN13" s="966">
        <f t="shared" si="6"/>
        <v>1</v>
      </c>
      <c r="AO13" s="966">
        <f t="shared" si="6"/>
        <v>0.29774285714285714</v>
      </c>
      <c r="AP13" s="966">
        <f t="shared" si="6"/>
        <v>0.34774285714285719</v>
      </c>
      <c r="AQ13" s="966">
        <f t="shared" si="6"/>
        <v>0.14645714285714287</v>
      </c>
      <c r="AR13" s="966">
        <f t="shared" si="6"/>
        <v>0.33917142857142857</v>
      </c>
      <c r="AS13" s="966">
        <f t="shared" si="6"/>
        <v>0.14502857142857145</v>
      </c>
      <c r="AT13" s="966">
        <f t="shared" si="6"/>
        <v>0.33774285714285712</v>
      </c>
      <c r="AU13" s="966">
        <f t="shared" si="6"/>
        <v>0.10057194285714287</v>
      </c>
      <c r="AV13" s="966">
        <f t="shared" si="6"/>
        <v>0.47857142857142854</v>
      </c>
      <c r="AW13" s="966">
        <f t="shared" si="6"/>
        <v>0.15714337142857143</v>
      </c>
      <c r="AX13" s="966">
        <f t="shared" si="6"/>
        <v>0.47714285714285715</v>
      </c>
      <c r="AY13" s="966">
        <f t="shared" si="6"/>
        <v>0.9</v>
      </c>
      <c r="AZ13" s="966">
        <f t="shared" si="6"/>
        <v>1</v>
      </c>
      <c r="BA13" s="966">
        <f t="shared" si="6"/>
        <v>2.7342858571428572E-7</v>
      </c>
      <c r="BB13" s="966">
        <f t="shared" si="6"/>
        <v>4.400001666666666E-8</v>
      </c>
      <c r="BC13" s="966">
        <f t="shared" si="6"/>
        <v>4.400001666666666E-8</v>
      </c>
      <c r="BD13" s="966">
        <f t="shared" si="6"/>
        <v>2.7342858571428572E-7</v>
      </c>
      <c r="BE13" s="966">
        <f t="shared" si="6"/>
        <v>4.400001666666666E-8</v>
      </c>
      <c r="BF13" s="966">
        <f t="shared" si="6"/>
        <v>4.400001666666666E-8</v>
      </c>
      <c r="BG13" s="966">
        <f t="shared" si="6"/>
        <v>3.6071428714285719E-6</v>
      </c>
      <c r="BH13" s="966">
        <f t="shared" si="6"/>
        <v>3.9333333500000002E-6</v>
      </c>
      <c r="BI13" s="966">
        <f t="shared" si="6"/>
        <v>3.9333333500000002E-6</v>
      </c>
      <c r="BJ13" s="966">
        <f t="shared" si="6"/>
        <v>1.5342857285714283E-6</v>
      </c>
      <c r="BK13" s="966">
        <f t="shared" si="6"/>
        <v>1.62333335E-6</v>
      </c>
      <c r="BL13" s="966">
        <f t="shared" si="6"/>
        <v>1.62333335E-6</v>
      </c>
      <c r="BM13" s="966">
        <f t="shared" si="6"/>
        <v>1.5342857285714283E-6</v>
      </c>
      <c r="BN13" s="966">
        <f t="shared" si="6"/>
        <v>1.62333335E-6</v>
      </c>
      <c r="BO13" s="966">
        <f t="shared" si="6"/>
        <v>1.62333335E-6</v>
      </c>
      <c r="BP13" s="966">
        <f t="shared" si="6"/>
        <v>1.5342857285714283E-6</v>
      </c>
      <c r="BQ13" s="966">
        <f t="shared" si="6"/>
        <v>1.62333335E-6</v>
      </c>
      <c r="BR13" s="966">
        <f t="shared" si="6"/>
        <v>1.62333335E-6</v>
      </c>
      <c r="BS13" s="966">
        <f t="shared" si="6"/>
        <v>1.8057144285714284E-7</v>
      </c>
      <c r="BT13" s="966">
        <f t="shared" si="6"/>
        <v>4.400001666666666E-8</v>
      </c>
      <c r="BU13" s="966">
        <f t="shared" si="6"/>
        <v>4.400001666666666E-8</v>
      </c>
      <c r="BV13" s="966">
        <f t="shared" si="6"/>
        <v>1.8057144285714284E-7</v>
      </c>
      <c r="BW13" s="966">
        <f t="shared" si="6"/>
        <v>4.400001666666666E-8</v>
      </c>
      <c r="BX13" s="966">
        <f t="shared" si="6"/>
        <v>4.400001666666666E-8</v>
      </c>
      <c r="BY13" s="966">
        <f t="shared" si="6"/>
        <v>3.514285728571429E-6</v>
      </c>
      <c r="BZ13" s="966">
        <f t="shared" si="6"/>
        <v>3.9333333500000002E-6</v>
      </c>
      <c r="CA13" s="966">
        <f t="shared" si="6"/>
        <v>3.9333333500000002E-6</v>
      </c>
      <c r="CB13" s="966">
        <f t="shared" si="6"/>
        <v>3.6071428714285719E-6</v>
      </c>
      <c r="CC13" s="966">
        <f t="shared" si="6"/>
        <v>3.9333333500000002E-6</v>
      </c>
      <c r="CD13" s="966">
        <f t="shared" si="6"/>
        <v>3.9333333500000002E-6</v>
      </c>
      <c r="CE13" s="966">
        <f t="shared" si="6"/>
        <v>0</v>
      </c>
      <c r="CF13" s="966"/>
      <c r="CG13" s="966"/>
      <c r="CH13" s="966">
        <f t="shared" si="6"/>
        <v>0</v>
      </c>
      <c r="CI13" s="966">
        <f t="shared" si="6"/>
        <v>0</v>
      </c>
      <c r="CJ13" s="966"/>
      <c r="CK13" s="966"/>
      <c r="CL13" s="966">
        <f t="shared" si="6"/>
        <v>0</v>
      </c>
      <c r="CM13" s="966"/>
      <c r="CN13" s="966"/>
      <c r="CO13" s="966">
        <f t="shared" si="6"/>
        <v>0</v>
      </c>
      <c r="CP13" s="966">
        <f t="shared" si="6"/>
        <v>0</v>
      </c>
      <c r="CQ13" s="966">
        <f t="shared" si="6"/>
        <v>0</v>
      </c>
      <c r="CR13" s="966"/>
      <c r="CS13" s="966"/>
      <c r="CT13" s="966">
        <f t="shared" si="6"/>
        <v>0</v>
      </c>
      <c r="CU13" s="966">
        <f t="shared" si="6"/>
        <v>0</v>
      </c>
      <c r="CV13" s="966">
        <f t="shared" si="6"/>
        <v>0</v>
      </c>
      <c r="CW13" s="966"/>
      <c r="CX13" s="966"/>
      <c r="CY13" s="966">
        <f t="shared" si="6"/>
        <v>0</v>
      </c>
      <c r="CZ13" s="966"/>
      <c r="DA13" s="966"/>
      <c r="DC13" s="603" t="s">
        <v>408</v>
      </c>
    </row>
    <row r="14" spans="1:107" ht="12.75" customHeight="1" x14ac:dyDescent="0.3">
      <c r="A14" s="936">
        <v>7</v>
      </c>
      <c r="B14" s="789" t="s">
        <v>4167</v>
      </c>
      <c r="C14" s="789"/>
      <c r="D14" s="789" t="s">
        <v>595</v>
      </c>
      <c r="E14" s="962"/>
      <c r="F14" s="936"/>
      <c r="G14" s="936"/>
      <c r="H14" s="937"/>
      <c r="I14" s="937"/>
      <c r="J14" s="937"/>
      <c r="K14" s="937"/>
      <c r="L14" s="937"/>
      <c r="M14" s="937"/>
      <c r="N14" s="937"/>
      <c r="O14" s="937"/>
      <c r="P14" s="937"/>
      <c r="Q14" s="937"/>
      <c r="R14" s="937"/>
      <c r="S14" s="937"/>
      <c r="T14" s="937"/>
      <c r="U14" s="935"/>
      <c r="V14" s="965"/>
      <c r="W14" s="963"/>
      <c r="X14" s="939"/>
      <c r="Y14" s="939"/>
      <c r="Z14" s="939"/>
      <c r="AA14" s="961">
        <f t="shared" si="5"/>
        <v>7</v>
      </c>
      <c r="AB14" s="961">
        <v>8</v>
      </c>
      <c r="AC14" s="790"/>
      <c r="AD14" s="966">
        <v>25000</v>
      </c>
      <c r="AE14" s="966">
        <v>1300</v>
      </c>
      <c r="AF14" s="966">
        <v>1.9999999999999998E-21</v>
      </c>
      <c r="AG14" s="966">
        <v>0.01</v>
      </c>
      <c r="AH14" s="966">
        <v>0.01</v>
      </c>
      <c r="AI14" s="966">
        <v>0.01</v>
      </c>
      <c r="AJ14" s="966">
        <v>0.01</v>
      </c>
      <c r="AK14" s="966">
        <v>0.01</v>
      </c>
      <c r="AL14" s="966">
        <v>0.01</v>
      </c>
      <c r="AM14" s="966">
        <v>0.01</v>
      </c>
      <c r="AN14" s="966">
        <v>0.01</v>
      </c>
      <c r="AO14" s="966">
        <v>0.01</v>
      </c>
      <c r="AP14" s="966">
        <v>0.01</v>
      </c>
      <c r="AQ14" s="966">
        <v>0.01</v>
      </c>
      <c r="AR14" s="966">
        <v>0.01</v>
      </c>
      <c r="AS14" s="966">
        <v>0.01</v>
      </c>
      <c r="AT14" s="966">
        <v>0.01</v>
      </c>
      <c r="AU14" s="966">
        <v>0.01</v>
      </c>
      <c r="AV14" s="966">
        <v>0.01</v>
      </c>
      <c r="AW14" s="966">
        <v>0.01</v>
      </c>
      <c r="AX14" s="966">
        <v>0.01</v>
      </c>
      <c r="AY14" s="966">
        <v>0.01</v>
      </c>
      <c r="AZ14" s="966">
        <v>0.01</v>
      </c>
      <c r="BA14" s="966">
        <v>0</v>
      </c>
      <c r="BB14" s="966">
        <v>0</v>
      </c>
      <c r="BC14" s="966">
        <v>0</v>
      </c>
      <c r="BD14" s="966">
        <v>0</v>
      </c>
      <c r="BE14" s="966">
        <v>0</v>
      </c>
      <c r="BF14" s="966">
        <v>0</v>
      </c>
      <c r="BG14" s="966">
        <v>0</v>
      </c>
      <c r="BH14" s="966">
        <v>0</v>
      </c>
      <c r="BI14" s="966">
        <v>0</v>
      </c>
      <c r="BJ14" s="966">
        <v>0</v>
      </c>
      <c r="BK14" s="966">
        <v>0</v>
      </c>
      <c r="BL14" s="966">
        <v>0</v>
      </c>
      <c r="BM14" s="966">
        <v>0</v>
      </c>
      <c r="BN14" s="966">
        <v>0</v>
      </c>
      <c r="BO14" s="966">
        <v>0</v>
      </c>
      <c r="BP14" s="966">
        <v>0</v>
      </c>
      <c r="BQ14" s="966">
        <v>0</v>
      </c>
      <c r="BR14" s="966">
        <v>0</v>
      </c>
      <c r="BS14" s="966">
        <v>0</v>
      </c>
      <c r="BT14" s="966">
        <v>0</v>
      </c>
      <c r="BU14" s="966">
        <v>0</v>
      </c>
      <c r="BV14" s="966">
        <v>0</v>
      </c>
      <c r="BW14" s="966">
        <v>0</v>
      </c>
      <c r="BX14" s="966">
        <v>0</v>
      </c>
      <c r="BY14" s="966">
        <v>0</v>
      </c>
      <c r="BZ14" s="966">
        <v>0</v>
      </c>
      <c r="CA14" s="966">
        <v>0</v>
      </c>
      <c r="CB14" s="966">
        <v>0</v>
      </c>
      <c r="CC14" s="966">
        <v>0</v>
      </c>
      <c r="CD14" s="966">
        <v>0</v>
      </c>
      <c r="CE14" s="966"/>
      <c r="CF14" s="966">
        <v>0</v>
      </c>
      <c r="CG14" s="966">
        <v>0</v>
      </c>
      <c r="CH14" s="966"/>
      <c r="CI14" s="966"/>
      <c r="CJ14" s="966">
        <v>2.7E-8</v>
      </c>
      <c r="CK14" s="966">
        <v>1E-10</v>
      </c>
      <c r="CL14" s="966"/>
      <c r="CM14" s="966">
        <v>2.7E-8</v>
      </c>
      <c r="CN14" s="966">
        <v>1E-10</v>
      </c>
      <c r="CO14" s="966"/>
      <c r="CP14" s="966"/>
      <c r="CQ14" s="966"/>
      <c r="CR14" s="966">
        <v>2.7E-8</v>
      </c>
      <c r="CS14" s="966">
        <v>3E-11</v>
      </c>
      <c r="CT14" s="966"/>
      <c r="CU14" s="966"/>
      <c r="CV14" s="966"/>
      <c r="CW14" s="966">
        <v>2.7E-8</v>
      </c>
      <c r="CX14" s="966">
        <v>3E-11</v>
      </c>
      <c r="CY14" s="966"/>
      <c r="CZ14" s="966">
        <v>2.7E-8</v>
      </c>
      <c r="DA14" s="966">
        <v>1E-10</v>
      </c>
      <c r="DC14" s="603" t="s">
        <v>410</v>
      </c>
    </row>
    <row r="15" spans="1:107" ht="12.75" customHeight="1" x14ac:dyDescent="0.3">
      <c r="A15" s="948">
        <v>8</v>
      </c>
      <c r="B15" s="949" t="s">
        <v>4168</v>
      </c>
      <c r="C15" s="949"/>
      <c r="D15" s="949"/>
      <c r="E15" s="967"/>
      <c r="F15" s="948">
        <v>201.22</v>
      </c>
      <c r="G15" s="948">
        <v>43</v>
      </c>
      <c r="H15" s="951">
        <v>0.13300000000000001</v>
      </c>
      <c r="I15" s="951">
        <v>75</v>
      </c>
      <c r="J15" s="951"/>
      <c r="K15" s="951">
        <v>1348.96288259165</v>
      </c>
      <c r="L15" s="951"/>
      <c r="M15" s="951"/>
      <c r="N15" s="951"/>
      <c r="O15" s="951"/>
      <c r="P15" s="951"/>
      <c r="Q15" s="951">
        <v>3.5007433361613397E-6</v>
      </c>
      <c r="R15" s="951">
        <v>3.5007433361613399E-7</v>
      </c>
      <c r="S15" s="951">
        <v>3.5007433361613399E-8</v>
      </c>
      <c r="T15" s="951">
        <v>1.1325934322874922E-7</v>
      </c>
      <c r="U15" s="952">
        <v>-3.5012239326625707</v>
      </c>
      <c r="V15" s="968">
        <v>0.44070556766650409</v>
      </c>
      <c r="W15" s="969">
        <v>30000</v>
      </c>
      <c r="X15" s="970">
        <f t="shared" si="4"/>
        <v>0.33333333333333331</v>
      </c>
      <c r="Y15" s="970">
        <f t="shared" si="4"/>
        <v>0.33333333333333331</v>
      </c>
      <c r="Z15" s="970">
        <f t="shared" si="4"/>
        <v>0.33333333333333331</v>
      </c>
      <c r="AA15" s="961">
        <f t="shared" si="3"/>
        <v>8</v>
      </c>
      <c r="AB15" s="961">
        <v>7</v>
      </c>
      <c r="AC15" s="939"/>
      <c r="AD15" s="966"/>
      <c r="AE15" s="608"/>
      <c r="AF15" s="779"/>
      <c r="DC15" s="603" t="s">
        <v>412</v>
      </c>
    </row>
    <row r="16" spans="1:107" ht="12.75" customHeight="1" x14ac:dyDescent="0.3">
      <c r="A16" s="936"/>
      <c r="B16" s="789"/>
      <c r="C16" s="789"/>
      <c r="D16" s="789"/>
      <c r="E16" s="962"/>
      <c r="F16" s="936"/>
      <c r="G16" s="936"/>
      <c r="H16" s="937"/>
      <c r="I16" s="937"/>
      <c r="J16" s="937"/>
      <c r="K16" s="937"/>
      <c r="L16" s="937"/>
      <c r="M16" s="937"/>
      <c r="N16" s="937"/>
      <c r="O16" s="937"/>
      <c r="P16" s="937"/>
      <c r="Q16" s="937"/>
      <c r="R16" s="937"/>
      <c r="S16" s="937"/>
      <c r="T16" s="937"/>
      <c r="U16" s="935"/>
      <c r="V16" s="965"/>
      <c r="W16" s="963"/>
      <c r="X16" s="939"/>
      <c r="Y16" s="939"/>
      <c r="Z16" s="939"/>
      <c r="AA16" s="961"/>
      <c r="AB16" s="961"/>
      <c r="AC16" s="939"/>
      <c r="AD16" s="781"/>
      <c r="AE16" s="608"/>
      <c r="AF16" s="779"/>
      <c r="DC16" s="603" t="s">
        <v>414</v>
      </c>
    </row>
    <row r="17" spans="1:107" ht="12.75" customHeight="1" x14ac:dyDescent="0.3">
      <c r="A17" s="936">
        <v>11</v>
      </c>
      <c r="B17" s="789" t="s">
        <v>4169</v>
      </c>
      <c r="C17" s="789"/>
      <c r="D17" s="789" t="s">
        <v>4170</v>
      </c>
      <c r="E17" s="962"/>
      <c r="F17" s="936">
        <v>47.366999999999997</v>
      </c>
      <c r="G17" s="936"/>
      <c r="H17" s="937">
        <v>2.4084152589004067E-36</v>
      </c>
      <c r="I17" s="937"/>
      <c r="J17" s="937">
        <v>9.9999999999999995E-21</v>
      </c>
      <c r="K17" s="937"/>
      <c r="L17" s="937"/>
      <c r="M17" s="937"/>
      <c r="N17" s="937"/>
      <c r="O17" s="937"/>
      <c r="P17" s="937"/>
      <c r="Q17" s="937">
        <v>9.9999999999999995E-21</v>
      </c>
      <c r="R17" s="937">
        <v>9.9999999999999995E-21</v>
      </c>
      <c r="S17" s="937">
        <v>9.9999999999999995E-21</v>
      </c>
      <c r="T17" s="937">
        <v>9.9999999999999995E-21</v>
      </c>
      <c r="U17" s="935"/>
      <c r="V17" s="965"/>
      <c r="W17" s="963">
        <v>30000</v>
      </c>
      <c r="X17" s="939">
        <f t="shared" ref="X17:Z24" si="7">1/3</f>
        <v>0.33333333333333331</v>
      </c>
      <c r="Y17" s="939">
        <f t="shared" si="7"/>
        <v>0.33333333333333331</v>
      </c>
      <c r="Z17" s="939">
        <f t="shared" si="7"/>
        <v>0.33333333333333331</v>
      </c>
      <c r="AA17" s="961"/>
      <c r="AB17" s="936">
        <v>11</v>
      </c>
      <c r="AC17" s="939"/>
      <c r="AD17" s="911">
        <v>75</v>
      </c>
      <c r="AE17" s="911">
        <v>4230</v>
      </c>
      <c r="AF17" s="911">
        <v>1.9999999999999999E-20</v>
      </c>
      <c r="AG17" s="971">
        <v>0.02</v>
      </c>
      <c r="AH17" s="971">
        <v>0.02</v>
      </c>
      <c r="AI17" s="971">
        <v>0.01</v>
      </c>
      <c r="AJ17" s="971">
        <v>0.01</v>
      </c>
      <c r="AK17" s="971">
        <v>1</v>
      </c>
      <c r="AL17" s="971">
        <v>1</v>
      </c>
      <c r="AM17" s="971">
        <v>1</v>
      </c>
      <c r="AN17" s="971">
        <v>1</v>
      </c>
      <c r="AO17" s="911">
        <v>0.33600000000000002</v>
      </c>
      <c r="AP17" s="911">
        <v>0.33600000000000002</v>
      </c>
      <c r="AQ17" s="911">
        <v>0.33600000000000002</v>
      </c>
      <c r="AR17" s="911">
        <v>0.33600000000000002</v>
      </c>
      <c r="AS17" s="911">
        <v>0.33600000000000002</v>
      </c>
      <c r="AT17" s="911">
        <v>0.33600000000000002</v>
      </c>
      <c r="AU17" s="971">
        <v>0.02</v>
      </c>
      <c r="AV17" s="971">
        <v>0.02</v>
      </c>
      <c r="AW17" s="971">
        <v>0.01</v>
      </c>
      <c r="AX17" s="971">
        <v>0.01</v>
      </c>
      <c r="AY17" s="971">
        <v>1</v>
      </c>
      <c r="AZ17" s="971">
        <v>1</v>
      </c>
      <c r="BA17" s="971">
        <v>0</v>
      </c>
      <c r="BB17" s="971">
        <v>0</v>
      </c>
      <c r="BC17" s="971">
        <v>0</v>
      </c>
      <c r="BD17" s="971">
        <v>0</v>
      </c>
      <c r="BE17" s="971">
        <v>0</v>
      </c>
      <c r="BF17" s="971">
        <v>0</v>
      </c>
      <c r="BG17" s="971">
        <v>0</v>
      </c>
      <c r="BH17" s="971">
        <v>0</v>
      </c>
      <c r="BI17" s="971">
        <v>0</v>
      </c>
      <c r="BJ17" s="971">
        <v>0</v>
      </c>
      <c r="BK17" s="971">
        <v>0</v>
      </c>
      <c r="BL17" s="971">
        <v>0</v>
      </c>
      <c r="BM17" s="971">
        <v>0</v>
      </c>
      <c r="BN17" s="971">
        <v>0</v>
      </c>
      <c r="BO17" s="971">
        <v>0</v>
      </c>
      <c r="BP17" s="971">
        <v>0</v>
      </c>
      <c r="BQ17" s="971">
        <v>0</v>
      </c>
      <c r="BR17" s="971">
        <v>0</v>
      </c>
      <c r="BS17" s="971">
        <v>0</v>
      </c>
      <c r="BT17" s="971">
        <v>0</v>
      </c>
      <c r="BU17" s="971">
        <v>0</v>
      </c>
      <c r="BV17" s="971">
        <v>0</v>
      </c>
      <c r="BW17" s="971">
        <v>0</v>
      </c>
      <c r="BX17" s="971">
        <v>0</v>
      </c>
      <c r="BY17" s="971">
        <v>0</v>
      </c>
      <c r="BZ17" s="971">
        <v>0</v>
      </c>
      <c r="CA17" s="971">
        <v>0</v>
      </c>
      <c r="CB17" s="971">
        <v>0</v>
      </c>
      <c r="CC17" s="971">
        <v>0</v>
      </c>
      <c r="CD17" s="971">
        <v>0</v>
      </c>
      <c r="CE17" s="971">
        <v>0</v>
      </c>
      <c r="CF17" s="971"/>
      <c r="CG17" s="971"/>
      <c r="CH17" s="971">
        <v>0</v>
      </c>
      <c r="CI17" s="971">
        <v>0</v>
      </c>
      <c r="CJ17" s="971"/>
      <c r="CK17" s="971"/>
      <c r="CL17" s="971">
        <v>0</v>
      </c>
      <c r="CM17" s="971"/>
      <c r="CN17" s="971"/>
      <c r="CO17" s="971">
        <v>0</v>
      </c>
      <c r="CP17" s="971">
        <v>0</v>
      </c>
      <c r="CQ17" s="971">
        <v>0</v>
      </c>
      <c r="CR17" s="971"/>
      <c r="CS17" s="971"/>
      <c r="CT17" s="971">
        <v>0</v>
      </c>
      <c r="CU17" s="971">
        <v>0</v>
      </c>
      <c r="CV17" s="971">
        <v>0</v>
      </c>
      <c r="CW17" s="971"/>
      <c r="CX17" s="971"/>
      <c r="CY17" s="971">
        <v>0</v>
      </c>
      <c r="CZ17" s="971"/>
      <c r="DA17" s="971"/>
      <c r="DC17" s="603" t="s">
        <v>416</v>
      </c>
    </row>
    <row r="18" spans="1:107" ht="12.75" customHeight="1" x14ac:dyDescent="0.3">
      <c r="A18" s="936">
        <v>12</v>
      </c>
      <c r="B18" s="789" t="s">
        <v>4171</v>
      </c>
      <c r="C18" s="789"/>
      <c r="D18" s="789" t="s">
        <v>4170</v>
      </c>
      <c r="E18" s="962"/>
      <c r="F18" s="936">
        <v>47.366999999999997</v>
      </c>
      <c r="G18" s="936"/>
      <c r="H18" s="937">
        <v>2.4084152589004067E-36</v>
      </c>
      <c r="I18" s="937"/>
      <c r="J18" s="937">
        <v>9.9999999999999995E-21</v>
      </c>
      <c r="K18" s="937"/>
      <c r="L18" s="937"/>
      <c r="M18" s="937"/>
      <c r="N18" s="937"/>
      <c r="O18" s="937"/>
      <c r="P18" s="937"/>
      <c r="Q18" s="937">
        <v>9.9999999999999995E-21</v>
      </c>
      <c r="R18" s="937">
        <v>9.9999999999999995E-21</v>
      </c>
      <c r="S18" s="937">
        <v>9.9999999999999995E-21</v>
      </c>
      <c r="T18" s="937">
        <v>9.9999999999999995E-21</v>
      </c>
      <c r="U18" s="935"/>
      <c r="V18" s="965"/>
      <c r="W18" s="963">
        <v>30000</v>
      </c>
      <c r="X18" s="939">
        <f t="shared" si="7"/>
        <v>0.33333333333333331</v>
      </c>
      <c r="Y18" s="939">
        <f t="shared" si="7"/>
        <v>0.33333333333333331</v>
      </c>
      <c r="Z18" s="939">
        <f t="shared" si="7"/>
        <v>0.33333333333333331</v>
      </c>
      <c r="AA18" s="961"/>
      <c r="AB18" s="936">
        <v>11</v>
      </c>
      <c r="AC18" s="939"/>
      <c r="AD18" s="911">
        <v>9.5</v>
      </c>
      <c r="AE18" s="911">
        <v>4230</v>
      </c>
      <c r="AF18" s="911">
        <v>6.9000000000000004E-21</v>
      </c>
      <c r="AG18" s="971">
        <v>0.3</v>
      </c>
      <c r="AH18" s="971">
        <v>1</v>
      </c>
      <c r="AI18" s="971">
        <v>0.3</v>
      </c>
      <c r="AJ18" s="971">
        <v>1</v>
      </c>
      <c r="AK18" s="971" t="s">
        <v>4159</v>
      </c>
      <c r="AL18" s="971" t="s">
        <v>4159</v>
      </c>
      <c r="AM18" s="971" t="s">
        <v>4159</v>
      </c>
      <c r="AN18" s="971" t="s">
        <v>4159</v>
      </c>
      <c r="AO18" s="911">
        <v>1</v>
      </c>
      <c r="AP18" s="911">
        <v>1</v>
      </c>
      <c r="AQ18" s="911">
        <v>1E-3</v>
      </c>
      <c r="AR18" s="911">
        <v>1</v>
      </c>
      <c r="AS18" s="911">
        <v>1E-3</v>
      </c>
      <c r="AT18" s="911">
        <v>1</v>
      </c>
      <c r="AU18" s="971">
        <v>0.3</v>
      </c>
      <c r="AV18" s="971">
        <v>1</v>
      </c>
      <c r="AW18" s="971">
        <v>0.3</v>
      </c>
      <c r="AX18" s="971">
        <v>1</v>
      </c>
      <c r="AY18" s="971">
        <v>0.3</v>
      </c>
      <c r="AZ18" s="971">
        <v>1</v>
      </c>
      <c r="BA18" s="971">
        <v>0</v>
      </c>
      <c r="BB18" s="971">
        <v>0</v>
      </c>
      <c r="BC18" s="971">
        <v>0</v>
      </c>
      <c r="BD18" s="971">
        <v>0</v>
      </c>
      <c r="BE18" s="971">
        <v>0</v>
      </c>
      <c r="BF18" s="971">
        <v>0</v>
      </c>
      <c r="BG18" s="971">
        <v>0</v>
      </c>
      <c r="BH18" s="971">
        <v>0</v>
      </c>
      <c r="BI18" s="971">
        <v>0</v>
      </c>
      <c r="BJ18" s="971">
        <v>0</v>
      </c>
      <c r="BK18" s="971">
        <v>0</v>
      </c>
      <c r="BL18" s="971">
        <v>0</v>
      </c>
      <c r="BM18" s="971">
        <v>0</v>
      </c>
      <c r="BN18" s="971">
        <v>0</v>
      </c>
      <c r="BO18" s="971">
        <v>0</v>
      </c>
      <c r="BP18" s="971">
        <v>0</v>
      </c>
      <c r="BQ18" s="971">
        <v>0</v>
      </c>
      <c r="BR18" s="971">
        <v>0</v>
      </c>
      <c r="BS18" s="971">
        <v>0</v>
      </c>
      <c r="BT18" s="971">
        <v>0</v>
      </c>
      <c r="BU18" s="971">
        <v>0</v>
      </c>
      <c r="BV18" s="971">
        <v>0</v>
      </c>
      <c r="BW18" s="971">
        <v>0</v>
      </c>
      <c r="BX18" s="971">
        <v>0</v>
      </c>
      <c r="BY18" s="971">
        <v>0</v>
      </c>
      <c r="BZ18" s="971">
        <v>0</v>
      </c>
      <c r="CA18" s="971">
        <v>0</v>
      </c>
      <c r="CB18" s="971">
        <v>0</v>
      </c>
      <c r="CC18" s="971">
        <v>0</v>
      </c>
      <c r="CD18" s="971">
        <v>0</v>
      </c>
      <c r="CE18" s="971"/>
      <c r="CF18" s="971"/>
      <c r="CG18" s="971"/>
      <c r="CH18" s="971"/>
      <c r="CI18" s="971"/>
      <c r="CJ18" s="971"/>
      <c r="CK18" s="971"/>
      <c r="CL18" s="971"/>
      <c r="CM18" s="971"/>
      <c r="CN18" s="971"/>
      <c r="CO18" s="971"/>
      <c r="CP18" s="971"/>
      <c r="CQ18" s="971"/>
      <c r="CR18" s="971"/>
      <c r="CS18" s="971"/>
      <c r="CT18" s="971"/>
      <c r="CU18" s="971"/>
      <c r="CV18" s="971"/>
      <c r="CW18" s="971"/>
      <c r="CX18" s="971"/>
      <c r="CY18" s="971"/>
      <c r="CZ18" s="971"/>
      <c r="DA18" s="971"/>
      <c r="DC18" s="603" t="s">
        <v>418</v>
      </c>
    </row>
    <row r="19" spans="1:107" ht="12.75" customHeight="1" x14ac:dyDescent="0.3">
      <c r="A19" s="936">
        <v>13</v>
      </c>
      <c r="B19" s="789" t="s">
        <v>4172</v>
      </c>
      <c r="C19" s="789" t="s">
        <v>4173</v>
      </c>
      <c r="D19" s="789" t="s">
        <v>4170</v>
      </c>
      <c r="E19" s="962"/>
      <c r="F19" s="936">
        <v>107.87</v>
      </c>
      <c r="G19" s="937"/>
      <c r="H19" s="937">
        <v>2.4084152589004067E-36</v>
      </c>
      <c r="I19" s="937"/>
      <c r="J19" s="937">
        <v>9.9999999999999995E-21</v>
      </c>
      <c r="K19" s="937"/>
      <c r="L19" s="937">
        <v>47500</v>
      </c>
      <c r="M19" s="937"/>
      <c r="N19" s="937"/>
      <c r="O19" s="937"/>
      <c r="P19" s="937"/>
      <c r="Q19" s="937">
        <v>9.9999999999999995E-21</v>
      </c>
      <c r="R19" s="937">
        <v>9.9999999999999995E-21</v>
      </c>
      <c r="S19" s="937">
        <v>9.9999999999999995E-21</v>
      </c>
      <c r="T19" s="937">
        <v>9.9999999999999995E-21</v>
      </c>
      <c r="U19" s="935"/>
      <c r="V19" s="935"/>
      <c r="W19" s="963">
        <v>30000</v>
      </c>
      <c r="X19" s="939">
        <f t="shared" si="7"/>
        <v>0.33333333333333331</v>
      </c>
      <c r="Y19" s="939">
        <f t="shared" si="7"/>
        <v>0.33333333333333331</v>
      </c>
      <c r="Z19" s="939">
        <f t="shared" si="7"/>
        <v>0.33333333333333331</v>
      </c>
      <c r="AA19" s="961"/>
      <c r="AB19" s="936">
        <v>13</v>
      </c>
      <c r="AC19" s="939"/>
      <c r="AD19" s="911">
        <v>75</v>
      </c>
      <c r="AE19" s="911">
        <v>10500</v>
      </c>
      <c r="AF19" s="911">
        <v>2.02E-20</v>
      </c>
      <c r="AG19" s="971">
        <v>0.17699999999999999</v>
      </c>
      <c r="AH19" s="971">
        <v>0.9</v>
      </c>
      <c r="AI19" s="911">
        <v>0.38</v>
      </c>
      <c r="AJ19" s="911">
        <v>0.9</v>
      </c>
      <c r="AK19" s="971">
        <v>1</v>
      </c>
      <c r="AL19" s="971">
        <v>1</v>
      </c>
      <c r="AM19" s="971">
        <v>1</v>
      </c>
      <c r="AN19" s="971">
        <v>1</v>
      </c>
      <c r="AO19" s="911">
        <v>0.08</v>
      </c>
      <c r="AP19" s="911">
        <v>0.08</v>
      </c>
      <c r="AQ19" s="911">
        <v>0.05</v>
      </c>
      <c r="AR19" s="911">
        <v>0.05</v>
      </c>
      <c r="AS19" s="911">
        <v>4.4999999999999998E-2</v>
      </c>
      <c r="AT19" s="911">
        <v>4.4999999999999998E-2</v>
      </c>
      <c r="AU19" s="971">
        <v>0.17699999999999999</v>
      </c>
      <c r="AV19" s="971">
        <v>0.9</v>
      </c>
      <c r="AW19" s="911">
        <v>0.38</v>
      </c>
      <c r="AX19" s="911">
        <v>0.9</v>
      </c>
      <c r="AY19" s="971">
        <v>1</v>
      </c>
      <c r="AZ19" s="971">
        <v>1</v>
      </c>
      <c r="BA19" s="971">
        <v>1.3199999999999999E-7</v>
      </c>
      <c r="BB19" s="971">
        <v>1.3199999999999999E-7</v>
      </c>
      <c r="BC19" s="971">
        <v>1.3199999999999999E-7</v>
      </c>
      <c r="BD19" s="971">
        <v>1.3199999999999999E-7</v>
      </c>
      <c r="BE19" s="971">
        <v>1.3199999999999999E-7</v>
      </c>
      <c r="BF19" s="971">
        <v>1.3199999999999999E-7</v>
      </c>
      <c r="BG19" s="971">
        <v>1.1800000000000001E-5</v>
      </c>
      <c r="BH19" s="971">
        <v>1.1800000000000001E-5</v>
      </c>
      <c r="BI19" s="971">
        <v>1.1800000000000001E-5</v>
      </c>
      <c r="BJ19" s="971">
        <v>4.87E-6</v>
      </c>
      <c r="BK19" s="971">
        <v>4.87E-6</v>
      </c>
      <c r="BL19" s="971">
        <v>4.87E-6</v>
      </c>
      <c r="BM19" s="971">
        <v>4.87E-6</v>
      </c>
      <c r="BN19" s="971">
        <v>4.87E-6</v>
      </c>
      <c r="BO19" s="971">
        <v>4.87E-6</v>
      </c>
      <c r="BP19" s="971">
        <v>4.87E-6</v>
      </c>
      <c r="BQ19" s="971">
        <v>4.87E-6</v>
      </c>
      <c r="BR19" s="971">
        <v>4.87E-6</v>
      </c>
      <c r="BS19" s="971">
        <v>1.3199999999999999E-7</v>
      </c>
      <c r="BT19" s="971">
        <v>1.3199999999999999E-7</v>
      </c>
      <c r="BU19" s="971">
        <v>1.3199999999999999E-7</v>
      </c>
      <c r="BV19" s="971">
        <v>1.3199999999999999E-7</v>
      </c>
      <c r="BW19" s="971">
        <v>1.3199999999999999E-7</v>
      </c>
      <c r="BX19" s="971">
        <v>1.3199999999999999E-7</v>
      </c>
      <c r="BY19" s="971">
        <v>1.1800000000000001E-5</v>
      </c>
      <c r="BZ19" s="971">
        <v>1.1800000000000001E-5</v>
      </c>
      <c r="CA19" s="971">
        <v>1.1800000000000001E-5</v>
      </c>
      <c r="CB19" s="971">
        <v>1.1800000000000001E-5</v>
      </c>
      <c r="CC19" s="971">
        <v>1.1800000000000001E-5</v>
      </c>
      <c r="CD19" s="971">
        <v>1.1800000000000001E-5</v>
      </c>
      <c r="CE19" s="971"/>
      <c r="CF19" s="971"/>
      <c r="CG19" s="971"/>
      <c r="CH19" s="971"/>
      <c r="CI19" s="971"/>
      <c r="CJ19" s="971"/>
      <c r="CK19" s="971"/>
      <c r="CL19" s="971"/>
      <c r="CM19" s="971"/>
      <c r="CN19" s="971"/>
      <c r="CO19" s="971"/>
      <c r="CP19" s="971"/>
      <c r="CQ19" s="971"/>
      <c r="CR19" s="971"/>
      <c r="CS19" s="971"/>
      <c r="CT19" s="971"/>
      <c r="CU19" s="971"/>
      <c r="CV19" s="971"/>
      <c r="CW19" s="971"/>
      <c r="CX19" s="971"/>
      <c r="CY19" s="971"/>
      <c r="CZ19" s="971"/>
      <c r="DA19" s="971"/>
      <c r="DC19" s="603" t="s">
        <v>420</v>
      </c>
    </row>
    <row r="20" spans="1:107" ht="12.75" customHeight="1" x14ac:dyDescent="0.3">
      <c r="A20" s="936">
        <v>14</v>
      </c>
      <c r="B20" s="789" t="s">
        <v>4174</v>
      </c>
      <c r="C20" s="789"/>
      <c r="D20" s="789" t="s">
        <v>4170</v>
      </c>
      <c r="E20" s="962"/>
      <c r="F20" s="936"/>
      <c r="G20" s="936"/>
      <c r="H20" s="937">
        <v>2.4084152589004067E-36</v>
      </c>
      <c r="I20" s="937"/>
      <c r="J20" s="937">
        <v>9.9999999999999995E-21</v>
      </c>
      <c r="K20" s="937"/>
      <c r="L20" s="937"/>
      <c r="M20" s="937"/>
      <c r="N20" s="937"/>
      <c r="O20" s="937"/>
      <c r="P20" s="937"/>
      <c r="Q20" s="937">
        <v>9.9999999999999995E-21</v>
      </c>
      <c r="R20" s="937">
        <v>9.9999999999999995E-21</v>
      </c>
      <c r="S20" s="937">
        <v>9.9999999999999995E-21</v>
      </c>
      <c r="T20" s="937">
        <v>9.9999999999999995E-21</v>
      </c>
      <c r="U20" s="935"/>
      <c r="V20" s="965"/>
      <c r="W20" s="963">
        <v>30000</v>
      </c>
      <c r="X20" s="939">
        <v>0.33333333333333331</v>
      </c>
      <c r="Y20" s="939">
        <v>0.33333333333333331</v>
      </c>
      <c r="Z20" s="939">
        <v>0.33333333333333331</v>
      </c>
      <c r="AA20" s="961"/>
      <c r="AB20" s="936">
        <v>14</v>
      </c>
      <c r="AC20" s="939"/>
      <c r="AD20" s="911">
        <v>75</v>
      </c>
      <c r="AE20" s="911">
        <v>5610</v>
      </c>
      <c r="AF20" s="911">
        <v>1.6900000000000001E-20</v>
      </c>
      <c r="AG20" s="971">
        <v>0.62</v>
      </c>
      <c r="AH20" s="971">
        <v>0.26</v>
      </c>
      <c r="AI20" s="971">
        <v>0.62</v>
      </c>
      <c r="AJ20" s="971">
        <v>0.26</v>
      </c>
      <c r="AK20" s="971">
        <v>1</v>
      </c>
      <c r="AL20" s="971">
        <v>1</v>
      </c>
      <c r="AM20" s="971">
        <v>1</v>
      </c>
      <c r="AN20" s="971">
        <v>1</v>
      </c>
      <c r="AO20" s="911">
        <v>0.15</v>
      </c>
      <c r="AP20" s="911">
        <v>0.5</v>
      </c>
      <c r="AQ20" s="911">
        <v>0.15</v>
      </c>
      <c r="AR20" s="911">
        <v>0.5</v>
      </c>
      <c r="AS20" s="911">
        <v>0.15</v>
      </c>
      <c r="AT20" s="911">
        <v>0.5</v>
      </c>
      <c r="AU20" s="971">
        <v>3.5999999999999998E-6</v>
      </c>
      <c r="AV20" s="971">
        <v>0.5</v>
      </c>
      <c r="AW20" s="971">
        <v>3.5999999999999998E-6</v>
      </c>
      <c r="AX20" s="971">
        <v>0.5</v>
      </c>
      <c r="AY20" s="971">
        <v>1</v>
      </c>
      <c r="AZ20" s="971">
        <v>1</v>
      </c>
      <c r="BA20" s="971">
        <v>1.6500000000000001E-6</v>
      </c>
      <c r="BB20" s="971"/>
      <c r="BC20" s="971"/>
      <c r="BD20" s="971">
        <v>1.6500000000000001E-6</v>
      </c>
      <c r="BE20" s="971"/>
      <c r="BF20" s="971"/>
      <c r="BG20" s="971">
        <v>1.6500000000000001E-6</v>
      </c>
      <c r="BH20" s="971"/>
      <c r="BI20" s="971"/>
      <c r="BJ20" s="971">
        <v>9.9999999999999995E-7</v>
      </c>
      <c r="BK20" s="971"/>
      <c r="BL20" s="971"/>
      <c r="BM20" s="971">
        <v>9.9999999999999995E-7</v>
      </c>
      <c r="BN20" s="971"/>
      <c r="BO20" s="971"/>
      <c r="BP20" s="971">
        <v>9.9999999999999995E-7</v>
      </c>
      <c r="BQ20" s="971"/>
      <c r="BR20" s="971"/>
      <c r="BS20" s="971">
        <v>9.9999999999999995E-7</v>
      </c>
      <c r="BT20" s="971"/>
      <c r="BU20" s="971"/>
      <c r="BV20" s="971">
        <v>9.9999999999999995E-7</v>
      </c>
      <c r="BW20" s="971"/>
      <c r="BX20" s="971"/>
      <c r="BY20" s="971">
        <v>9.9999999999999995E-7</v>
      </c>
      <c r="BZ20" s="971"/>
      <c r="CA20" s="971"/>
      <c r="CB20" s="971">
        <v>1.6500000000000001E-6</v>
      </c>
      <c r="CC20" s="971"/>
      <c r="CD20" s="971"/>
      <c r="CE20" s="971"/>
      <c r="CF20" s="971"/>
      <c r="CG20" s="971"/>
      <c r="CH20" s="971"/>
      <c r="CI20" s="971"/>
      <c r="CJ20" s="971"/>
      <c r="CK20" s="971"/>
      <c r="CL20" s="971"/>
      <c r="CM20" s="971"/>
      <c r="CN20" s="971"/>
      <c r="CO20" s="971"/>
      <c r="CP20" s="971"/>
      <c r="CQ20" s="971"/>
      <c r="CR20" s="971"/>
      <c r="CS20" s="971"/>
      <c r="CT20" s="971"/>
      <c r="CU20" s="971"/>
      <c r="CV20" s="971"/>
      <c r="CW20" s="971"/>
      <c r="CX20" s="971"/>
      <c r="CY20" s="971"/>
      <c r="CZ20" s="971"/>
      <c r="DA20" s="971"/>
      <c r="DC20" s="603" t="s">
        <v>422</v>
      </c>
    </row>
    <row r="21" spans="1:107" ht="12.75" customHeight="1" x14ac:dyDescent="0.3">
      <c r="A21" s="936"/>
      <c r="B21" s="789"/>
      <c r="C21" s="789"/>
      <c r="D21" s="789"/>
      <c r="E21" s="962"/>
      <c r="F21" s="936"/>
      <c r="G21" s="936"/>
      <c r="H21" s="937"/>
      <c r="I21" s="937"/>
      <c r="J21" s="937"/>
      <c r="K21" s="937"/>
      <c r="L21" s="937"/>
      <c r="M21" s="937"/>
      <c r="N21" s="937"/>
      <c r="O21" s="937"/>
      <c r="P21" s="937"/>
      <c r="Q21" s="937"/>
      <c r="R21" s="937"/>
      <c r="S21" s="937"/>
      <c r="T21" s="937"/>
      <c r="U21" s="935"/>
      <c r="V21" s="965"/>
      <c r="W21" s="963"/>
      <c r="X21" s="939"/>
      <c r="Y21" s="939"/>
      <c r="Z21" s="939"/>
      <c r="AA21" s="961"/>
      <c r="AB21" s="961"/>
      <c r="AC21" s="939"/>
      <c r="AD21" s="781"/>
      <c r="AE21" s="608"/>
      <c r="AF21" s="779"/>
      <c r="DC21" s="603" t="s">
        <v>424</v>
      </c>
    </row>
    <row r="22" spans="1:107" ht="12.75" customHeight="1" x14ac:dyDescent="0.3">
      <c r="A22" s="936">
        <v>15</v>
      </c>
      <c r="B22" s="789" t="s">
        <v>4175</v>
      </c>
      <c r="C22" s="789"/>
      <c r="D22" s="789" t="s">
        <v>4170</v>
      </c>
      <c r="E22" s="962"/>
      <c r="F22" s="936">
        <v>720.64</v>
      </c>
      <c r="G22" s="936">
        <v>280</v>
      </c>
      <c r="H22" s="937">
        <v>2.4084152589004067E-36</v>
      </c>
      <c r="I22" s="937"/>
      <c r="J22" s="937"/>
      <c r="K22" s="937"/>
      <c r="L22" s="937"/>
      <c r="M22" s="937"/>
      <c r="N22" s="937"/>
      <c r="O22" s="937"/>
      <c r="P22" s="937"/>
      <c r="Q22" s="937">
        <v>9.9999999999999995E-21</v>
      </c>
      <c r="R22" s="937">
        <v>9.9999999999999995E-21</v>
      </c>
      <c r="S22" s="937">
        <v>9.9999999999999995E-21</v>
      </c>
      <c r="T22" s="937">
        <v>9.9999999999999995E-21</v>
      </c>
      <c r="U22" s="964"/>
      <c r="V22" s="935"/>
      <c r="W22" s="963">
        <v>30000</v>
      </c>
      <c r="X22" s="939">
        <f t="shared" si="4"/>
        <v>0.33333333333333331</v>
      </c>
      <c r="Y22" s="939">
        <f t="shared" si="4"/>
        <v>0.33333333333333331</v>
      </c>
      <c r="Z22" s="939">
        <f t="shared" si="4"/>
        <v>0.33333333333333331</v>
      </c>
      <c r="AA22" s="961"/>
      <c r="AB22" s="961">
        <v>8</v>
      </c>
      <c r="AC22" s="939"/>
      <c r="AD22" s="911">
        <v>5</v>
      </c>
      <c r="AE22" s="911">
        <v>1650</v>
      </c>
      <c r="AF22" s="911">
        <v>2.7600000000000001E-20</v>
      </c>
      <c r="AG22" s="971">
        <v>0.01</v>
      </c>
      <c r="AH22" s="971">
        <v>0.01</v>
      </c>
      <c r="AI22" s="911">
        <v>0.01</v>
      </c>
      <c r="AJ22" s="911">
        <v>0.01</v>
      </c>
      <c r="AK22" s="971">
        <v>1</v>
      </c>
      <c r="AL22" s="971">
        <v>1</v>
      </c>
      <c r="AM22" s="971">
        <v>1</v>
      </c>
      <c r="AN22" s="971">
        <v>1</v>
      </c>
      <c r="AO22" s="911">
        <v>0.1022</v>
      </c>
      <c r="AP22" s="911">
        <v>0.1022</v>
      </c>
      <c r="AQ22" s="911">
        <v>0.1022</v>
      </c>
      <c r="AR22" s="911">
        <v>0.1022</v>
      </c>
      <c r="AS22" s="911">
        <v>0.1022</v>
      </c>
      <c r="AT22" s="911">
        <v>0.1022</v>
      </c>
      <c r="AU22" s="971">
        <v>0.01</v>
      </c>
      <c r="AV22" s="971">
        <v>0.01</v>
      </c>
      <c r="AW22" s="911">
        <v>0.01</v>
      </c>
      <c r="AX22" s="911">
        <v>0.01</v>
      </c>
      <c r="AY22" s="971">
        <v>1</v>
      </c>
      <c r="AZ22" s="971">
        <v>1</v>
      </c>
      <c r="BA22" s="971">
        <v>0</v>
      </c>
      <c r="BB22" s="971">
        <v>0</v>
      </c>
      <c r="BC22" s="971">
        <v>0</v>
      </c>
      <c r="BD22" s="971">
        <v>0</v>
      </c>
      <c r="BE22" s="971">
        <v>0</v>
      </c>
      <c r="BF22" s="971">
        <v>0</v>
      </c>
      <c r="BG22" s="971">
        <v>0</v>
      </c>
      <c r="BH22" s="971">
        <v>0</v>
      </c>
      <c r="BI22" s="971">
        <v>0</v>
      </c>
      <c r="BJ22" s="971">
        <v>0</v>
      </c>
      <c r="BK22" s="971">
        <v>0</v>
      </c>
      <c r="BL22" s="971">
        <v>0</v>
      </c>
      <c r="BM22" s="971">
        <v>0</v>
      </c>
      <c r="BN22" s="971">
        <v>0</v>
      </c>
      <c r="BO22" s="971">
        <v>0</v>
      </c>
      <c r="BP22" s="971">
        <v>0</v>
      </c>
      <c r="BQ22" s="971">
        <v>0</v>
      </c>
      <c r="BR22" s="971">
        <v>0</v>
      </c>
      <c r="BS22" s="971">
        <v>0</v>
      </c>
      <c r="BT22" s="971">
        <v>0</v>
      </c>
      <c r="BU22" s="971">
        <v>0</v>
      </c>
      <c r="BV22" s="971">
        <v>0</v>
      </c>
      <c r="BW22" s="971">
        <v>0</v>
      </c>
      <c r="BX22" s="971">
        <v>0</v>
      </c>
      <c r="BY22" s="971">
        <v>0</v>
      </c>
      <c r="BZ22" s="971">
        <v>0</v>
      </c>
      <c r="CA22" s="971">
        <v>0</v>
      </c>
      <c r="CB22" s="971">
        <v>0</v>
      </c>
      <c r="CC22" s="971">
        <v>0</v>
      </c>
      <c r="CD22" s="971">
        <v>0</v>
      </c>
      <c r="CE22" s="971"/>
      <c r="CF22" s="971"/>
      <c r="CG22" s="971"/>
      <c r="CH22" s="971"/>
      <c r="CI22" s="971"/>
      <c r="CJ22" s="971"/>
      <c r="CK22" s="971"/>
      <c r="CL22" s="971"/>
      <c r="CM22" s="971"/>
      <c r="CN22" s="971"/>
      <c r="CO22" s="971"/>
      <c r="CP22" s="971"/>
      <c r="CQ22" s="971"/>
      <c r="CR22" s="971"/>
      <c r="CS22" s="971"/>
      <c r="CT22" s="971"/>
      <c r="CU22" s="971"/>
      <c r="CV22" s="971"/>
      <c r="CW22" s="971"/>
      <c r="CX22" s="971"/>
      <c r="CY22" s="971"/>
      <c r="CZ22" s="971"/>
      <c r="DA22" s="971"/>
      <c r="DC22" s="603" t="s">
        <v>426</v>
      </c>
    </row>
    <row r="23" spans="1:107" ht="12.75" customHeight="1" x14ac:dyDescent="0.3">
      <c r="A23" s="936">
        <v>16</v>
      </c>
      <c r="B23" s="789" t="s">
        <v>4176</v>
      </c>
      <c r="C23" s="789" t="s">
        <v>4173</v>
      </c>
      <c r="D23" s="789" t="s">
        <v>4170</v>
      </c>
      <c r="E23" s="962"/>
      <c r="F23" s="936">
        <v>107.87</v>
      </c>
      <c r="G23" s="937"/>
      <c r="H23" s="937">
        <v>2.4084152589004067E-36</v>
      </c>
      <c r="I23" s="937"/>
      <c r="J23" s="937">
        <v>9.9999999999999995E-21</v>
      </c>
      <c r="K23" s="937"/>
      <c r="L23" s="937">
        <v>47500</v>
      </c>
      <c r="M23" s="937"/>
      <c r="N23" s="937"/>
      <c r="O23" s="937"/>
      <c r="P23" s="937"/>
      <c r="Q23" s="937">
        <v>9.9999999999999995E-21</v>
      </c>
      <c r="R23" s="937">
        <v>9.9999999999999995E-21</v>
      </c>
      <c r="S23" s="937">
        <v>9.9999999999999995E-21</v>
      </c>
      <c r="T23" s="937">
        <v>9.9999999999999995E-21</v>
      </c>
      <c r="U23" s="935"/>
      <c r="V23" s="935"/>
      <c r="W23" s="963">
        <v>30000</v>
      </c>
      <c r="X23" s="939">
        <f t="shared" si="7"/>
        <v>0.33333333333333331</v>
      </c>
      <c r="Y23" s="939">
        <f t="shared" si="7"/>
        <v>0.33333333333333331</v>
      </c>
      <c r="Z23" s="939">
        <f t="shared" si="7"/>
        <v>0.33333333333333331</v>
      </c>
      <c r="AA23" s="961"/>
      <c r="AB23" s="961">
        <v>9</v>
      </c>
      <c r="AC23" s="939"/>
      <c r="AD23" s="911">
        <v>5</v>
      </c>
      <c r="AE23" s="911">
        <v>10500</v>
      </c>
      <c r="AF23" s="911">
        <v>2.02E-20</v>
      </c>
      <c r="AG23" s="971">
        <v>0.17699999999999999</v>
      </c>
      <c r="AH23" s="971">
        <v>0.9</v>
      </c>
      <c r="AI23" s="911">
        <v>0.38</v>
      </c>
      <c r="AJ23" s="911">
        <v>0.9</v>
      </c>
      <c r="AK23" s="971">
        <v>1</v>
      </c>
      <c r="AL23" s="971">
        <v>1</v>
      </c>
      <c r="AM23" s="971">
        <v>1</v>
      </c>
      <c r="AN23" s="971">
        <v>1</v>
      </c>
      <c r="AO23" s="911">
        <v>0.08</v>
      </c>
      <c r="AP23" s="911">
        <v>0.08</v>
      </c>
      <c r="AQ23" s="911">
        <v>0.05</v>
      </c>
      <c r="AR23" s="911">
        <v>0.05</v>
      </c>
      <c r="AS23" s="911">
        <v>4.4999999999999998E-2</v>
      </c>
      <c r="AT23" s="911">
        <v>4.4999999999999998E-2</v>
      </c>
      <c r="AU23" s="971">
        <v>0.17699999999999999</v>
      </c>
      <c r="AV23" s="971">
        <v>0.9</v>
      </c>
      <c r="AW23" s="911">
        <v>0.38</v>
      </c>
      <c r="AX23" s="911">
        <v>0.9</v>
      </c>
      <c r="AY23" s="971">
        <v>1</v>
      </c>
      <c r="AZ23" s="971">
        <v>1</v>
      </c>
      <c r="BA23" s="971">
        <v>1.3199999999999999E-7</v>
      </c>
      <c r="BB23" s="971">
        <v>1.3199999999999999E-7</v>
      </c>
      <c r="BC23" s="971">
        <v>1.3199999999999999E-7</v>
      </c>
      <c r="BD23" s="971">
        <v>1.3199999999999999E-7</v>
      </c>
      <c r="BE23" s="971">
        <v>1.3199999999999999E-7</v>
      </c>
      <c r="BF23" s="971">
        <v>1.3199999999999999E-7</v>
      </c>
      <c r="BG23" s="971">
        <v>1.1800000000000001E-5</v>
      </c>
      <c r="BH23" s="971">
        <v>1.1800000000000001E-5</v>
      </c>
      <c r="BI23" s="971">
        <v>1.1800000000000001E-5</v>
      </c>
      <c r="BJ23" s="971">
        <v>4.87E-6</v>
      </c>
      <c r="BK23" s="971">
        <v>4.87E-6</v>
      </c>
      <c r="BL23" s="971">
        <v>4.87E-6</v>
      </c>
      <c r="BM23" s="971">
        <v>4.87E-6</v>
      </c>
      <c r="BN23" s="971">
        <v>4.87E-6</v>
      </c>
      <c r="BO23" s="971">
        <v>4.87E-6</v>
      </c>
      <c r="BP23" s="971">
        <v>4.87E-6</v>
      </c>
      <c r="BQ23" s="971">
        <v>4.87E-6</v>
      </c>
      <c r="BR23" s="971">
        <v>4.87E-6</v>
      </c>
      <c r="BS23" s="971">
        <v>1.3199999999999999E-7</v>
      </c>
      <c r="BT23" s="971">
        <v>1.3199999999999999E-7</v>
      </c>
      <c r="BU23" s="971">
        <v>1.3199999999999999E-7</v>
      </c>
      <c r="BV23" s="971">
        <v>1.3199999999999999E-7</v>
      </c>
      <c r="BW23" s="971">
        <v>1.3199999999999999E-7</v>
      </c>
      <c r="BX23" s="971">
        <v>1.3199999999999999E-7</v>
      </c>
      <c r="BY23" s="971">
        <v>1.1800000000000001E-5</v>
      </c>
      <c r="BZ23" s="971">
        <v>1.1800000000000001E-5</v>
      </c>
      <c r="CA23" s="971">
        <v>1.1800000000000001E-5</v>
      </c>
      <c r="CB23" s="971">
        <v>1.1800000000000001E-5</v>
      </c>
      <c r="CC23" s="971">
        <v>1.1800000000000001E-5</v>
      </c>
      <c r="CD23" s="971">
        <v>1.1800000000000001E-5</v>
      </c>
      <c r="CE23" s="971"/>
      <c r="CF23" s="971"/>
      <c r="CG23" s="971"/>
      <c r="CH23" s="971"/>
      <c r="CI23" s="971"/>
      <c r="CJ23" s="971"/>
      <c r="CK23" s="971"/>
      <c r="CL23" s="971"/>
      <c r="CM23" s="971"/>
      <c r="CN23" s="971"/>
      <c r="CO23" s="971"/>
      <c r="CP23" s="971"/>
      <c r="CQ23" s="971"/>
      <c r="CR23" s="971"/>
      <c r="CS23" s="971"/>
      <c r="CT23" s="971"/>
      <c r="CU23" s="971"/>
      <c r="CV23" s="971"/>
      <c r="CW23" s="971"/>
      <c r="CX23" s="971"/>
      <c r="CY23" s="971"/>
      <c r="CZ23" s="971"/>
      <c r="DA23" s="971"/>
      <c r="DC23" s="603" t="s">
        <v>428</v>
      </c>
    </row>
    <row r="24" spans="1:107" ht="12.75" customHeight="1" x14ac:dyDescent="0.3">
      <c r="A24" s="936">
        <v>17</v>
      </c>
      <c r="B24" s="789" t="s">
        <v>4177</v>
      </c>
      <c r="C24" s="789"/>
      <c r="D24" s="789" t="s">
        <v>4170</v>
      </c>
      <c r="E24" s="962"/>
      <c r="F24" s="936">
        <v>47.366999999999997</v>
      </c>
      <c r="G24" s="936"/>
      <c r="H24" s="937">
        <v>2.4084152589004067E-36</v>
      </c>
      <c r="I24" s="937"/>
      <c r="J24" s="937">
        <v>9.9999999999999995E-21</v>
      </c>
      <c r="K24" s="937"/>
      <c r="L24" s="937"/>
      <c r="M24" s="937"/>
      <c r="N24" s="937"/>
      <c r="O24" s="937"/>
      <c r="P24" s="937"/>
      <c r="Q24" s="937">
        <v>9.9999999999999995E-21</v>
      </c>
      <c r="R24" s="937">
        <v>9.9999999999999995E-21</v>
      </c>
      <c r="S24" s="937">
        <v>9.9999999999999995E-21</v>
      </c>
      <c r="T24" s="937">
        <v>9.9999999999999995E-21</v>
      </c>
      <c r="U24" s="935"/>
      <c r="V24" s="965"/>
      <c r="W24" s="963">
        <v>30000</v>
      </c>
      <c r="X24" s="939">
        <f t="shared" si="7"/>
        <v>0.33333333333333331</v>
      </c>
      <c r="Y24" s="939">
        <f t="shared" si="7"/>
        <v>0.33333333333333331</v>
      </c>
      <c r="Z24" s="939">
        <f t="shared" si="7"/>
        <v>0.33333333333333331</v>
      </c>
      <c r="AA24" s="961"/>
      <c r="AB24" s="961">
        <v>10</v>
      </c>
      <c r="AC24" s="939"/>
      <c r="AD24" s="911">
        <v>5</v>
      </c>
      <c r="AE24" s="911">
        <v>4230</v>
      </c>
      <c r="AF24" s="911">
        <v>6.9000000000000004E-21</v>
      </c>
      <c r="AG24" s="971">
        <v>0.02</v>
      </c>
      <c r="AH24" s="971">
        <v>0.02</v>
      </c>
      <c r="AI24" s="911">
        <v>0.02</v>
      </c>
      <c r="AJ24" s="911">
        <v>0.02</v>
      </c>
      <c r="AK24" s="971">
        <v>1</v>
      </c>
      <c r="AL24" s="971">
        <v>1</v>
      </c>
      <c r="AM24" s="971">
        <v>1</v>
      </c>
      <c r="AN24" s="971">
        <v>1</v>
      </c>
      <c r="AO24" s="911">
        <v>0.33600000000000002</v>
      </c>
      <c r="AP24" s="911">
        <v>0.33600000000000002</v>
      </c>
      <c r="AQ24" s="911">
        <v>0.33600000000000002</v>
      </c>
      <c r="AR24" s="911">
        <v>0.33600000000000002</v>
      </c>
      <c r="AS24" s="911">
        <v>0.33600000000000002</v>
      </c>
      <c r="AT24" s="911">
        <v>0.33600000000000002</v>
      </c>
      <c r="AU24" s="971">
        <v>0.02</v>
      </c>
      <c r="AV24" s="971">
        <v>0.02</v>
      </c>
      <c r="AW24" s="911">
        <v>0.02</v>
      </c>
      <c r="AX24" s="911">
        <v>0.02</v>
      </c>
      <c r="AY24" s="971">
        <v>1</v>
      </c>
      <c r="AZ24" s="971">
        <v>1</v>
      </c>
      <c r="BA24" s="971">
        <v>1E-13</v>
      </c>
      <c r="BB24" s="971">
        <v>1E-13</v>
      </c>
      <c r="BC24" s="971">
        <v>1E-13</v>
      </c>
      <c r="BD24" s="971">
        <v>1E-13</v>
      </c>
      <c r="BE24" s="971">
        <v>1E-13</v>
      </c>
      <c r="BF24" s="971">
        <v>1E-13</v>
      </c>
      <c r="BG24" s="971">
        <v>1E-13</v>
      </c>
      <c r="BH24" s="971">
        <v>1E-13</v>
      </c>
      <c r="BI24" s="971">
        <v>1E-13</v>
      </c>
      <c r="BJ24" s="971">
        <v>1E-13</v>
      </c>
      <c r="BK24" s="971">
        <v>1E-13</v>
      </c>
      <c r="BL24" s="971">
        <v>1E-13</v>
      </c>
      <c r="BM24" s="971">
        <v>1E-13</v>
      </c>
      <c r="BN24" s="971">
        <v>1E-13</v>
      </c>
      <c r="BO24" s="971">
        <v>1E-13</v>
      </c>
      <c r="BP24" s="971">
        <v>1E-13</v>
      </c>
      <c r="BQ24" s="971">
        <v>1E-13</v>
      </c>
      <c r="BR24" s="971">
        <v>1E-13</v>
      </c>
      <c r="BS24" s="971">
        <v>1E-13</v>
      </c>
      <c r="BT24" s="971">
        <v>1E-13</v>
      </c>
      <c r="BU24" s="971">
        <v>1E-13</v>
      </c>
      <c r="BV24" s="971">
        <v>1E-13</v>
      </c>
      <c r="BW24" s="971">
        <v>1E-13</v>
      </c>
      <c r="BX24" s="971">
        <v>1E-13</v>
      </c>
      <c r="BY24" s="971">
        <v>1E-13</v>
      </c>
      <c r="BZ24" s="971">
        <v>1E-13</v>
      </c>
      <c r="CA24" s="971">
        <v>1E-13</v>
      </c>
      <c r="CB24" s="971">
        <v>1E-13</v>
      </c>
      <c r="CC24" s="971">
        <v>1E-13</v>
      </c>
      <c r="CD24" s="971">
        <v>1E-13</v>
      </c>
      <c r="CE24" s="971"/>
      <c r="CF24" s="971"/>
      <c r="CG24" s="971"/>
      <c r="CH24" s="971"/>
      <c r="CI24" s="971"/>
      <c r="CJ24" s="971"/>
      <c r="CK24" s="971"/>
      <c r="CL24" s="971"/>
      <c r="CM24" s="971"/>
      <c r="CN24" s="971"/>
      <c r="CO24" s="971"/>
      <c r="CP24" s="971"/>
      <c r="CQ24" s="971"/>
      <c r="CR24" s="971"/>
      <c r="CS24" s="971"/>
      <c r="CT24" s="971"/>
      <c r="CU24" s="971"/>
      <c r="CV24" s="971"/>
      <c r="CW24" s="971"/>
      <c r="CX24" s="971"/>
      <c r="CY24" s="971"/>
      <c r="CZ24" s="971"/>
      <c r="DA24" s="971"/>
      <c r="DC24" s="603" t="s">
        <v>430</v>
      </c>
    </row>
    <row r="25" spans="1:107" ht="12.75" customHeight="1" x14ac:dyDescent="0.3">
      <c r="A25" s="936"/>
      <c r="B25" s="789"/>
      <c r="C25" s="789"/>
      <c r="D25" s="789"/>
      <c r="E25" s="962"/>
      <c r="F25" s="936"/>
      <c r="G25" s="936"/>
      <c r="H25" s="937"/>
      <c r="I25" s="937"/>
      <c r="J25" s="937"/>
      <c r="K25" s="937"/>
      <c r="L25" s="937"/>
      <c r="M25" s="937"/>
      <c r="N25" s="937"/>
      <c r="O25" s="937"/>
      <c r="P25" s="937"/>
      <c r="Q25" s="937"/>
      <c r="R25" s="937"/>
      <c r="S25" s="937"/>
      <c r="T25" s="937"/>
      <c r="U25" s="935"/>
      <c r="V25" s="965"/>
      <c r="W25" s="963"/>
      <c r="X25" s="939"/>
      <c r="Y25" s="939"/>
      <c r="Z25" s="939"/>
      <c r="AA25" s="961"/>
      <c r="AB25" s="961"/>
      <c r="AC25" s="939"/>
      <c r="AD25" s="911"/>
      <c r="AE25" s="911"/>
      <c r="AF25" s="911"/>
      <c r="AG25" s="971"/>
      <c r="AH25" s="971"/>
      <c r="AI25" s="911"/>
      <c r="AJ25" s="911"/>
      <c r="AK25" s="971"/>
      <c r="AL25" s="971"/>
      <c r="AM25" s="971"/>
      <c r="AN25" s="971"/>
      <c r="AO25" s="911"/>
      <c r="AP25" s="911"/>
      <c r="AQ25" s="911"/>
      <c r="AR25" s="911"/>
      <c r="AS25" s="911"/>
      <c r="AT25" s="911"/>
      <c r="AU25" s="971"/>
      <c r="AV25" s="971"/>
      <c r="AW25" s="911"/>
      <c r="AX25" s="911"/>
      <c r="AY25" s="971"/>
      <c r="AZ25" s="971"/>
      <c r="BA25" s="971"/>
      <c r="BB25" s="971"/>
      <c r="BC25" s="971"/>
      <c r="BD25" s="971"/>
      <c r="BE25" s="971"/>
      <c r="BF25" s="971"/>
      <c r="BG25" s="971"/>
      <c r="BH25" s="971"/>
      <c r="BI25" s="971"/>
      <c r="BJ25" s="971"/>
      <c r="BK25" s="971"/>
      <c r="BL25" s="971"/>
      <c r="BM25" s="971"/>
      <c r="BN25" s="971"/>
      <c r="BO25" s="971"/>
      <c r="BP25" s="971"/>
      <c r="BQ25" s="971"/>
      <c r="BR25" s="971"/>
      <c r="BS25" s="971"/>
      <c r="BT25" s="971"/>
      <c r="BU25" s="971"/>
      <c r="BV25" s="971"/>
      <c r="BW25" s="971"/>
      <c r="BX25" s="971"/>
      <c r="BY25" s="971"/>
      <c r="BZ25" s="971"/>
      <c r="CA25" s="971"/>
      <c r="CB25" s="971"/>
      <c r="CC25" s="971"/>
      <c r="CD25" s="971"/>
      <c r="CE25" s="971"/>
      <c r="CF25" s="971"/>
      <c r="CG25" s="971"/>
      <c r="CH25" s="971"/>
      <c r="CI25" s="971"/>
      <c r="CJ25" s="971"/>
      <c r="CK25" s="971"/>
      <c r="CL25" s="971"/>
      <c r="CM25" s="971"/>
      <c r="CN25" s="971"/>
      <c r="CO25" s="971"/>
      <c r="CP25" s="971"/>
      <c r="CQ25" s="971"/>
      <c r="CR25" s="971"/>
      <c r="CS25" s="971"/>
      <c r="CT25" s="971"/>
      <c r="CU25" s="971"/>
      <c r="CV25" s="971"/>
      <c r="CW25" s="971"/>
      <c r="CX25" s="971"/>
      <c r="CY25" s="971"/>
      <c r="CZ25" s="971"/>
      <c r="DA25" s="971"/>
      <c r="DC25" s="603" t="s">
        <v>432</v>
      </c>
    </row>
    <row r="26" spans="1:107" ht="12.75" customHeight="1" x14ac:dyDescent="0.3">
      <c r="A26" s="936">
        <v>18</v>
      </c>
      <c r="B26" s="789"/>
      <c r="C26" s="789"/>
      <c r="D26" s="789"/>
      <c r="E26" s="962"/>
      <c r="F26" s="936"/>
      <c r="G26" s="936"/>
      <c r="H26" s="937"/>
      <c r="I26" s="937"/>
      <c r="J26" s="937"/>
      <c r="K26" s="937"/>
      <c r="L26" s="937"/>
      <c r="M26" s="937"/>
      <c r="N26" s="937"/>
      <c r="O26" s="937"/>
      <c r="P26" s="937"/>
      <c r="Q26" s="937"/>
      <c r="R26" s="937"/>
      <c r="S26" s="937"/>
      <c r="T26" s="937"/>
      <c r="U26" s="935"/>
      <c r="V26" s="965"/>
      <c r="W26" s="963"/>
      <c r="X26" s="939"/>
      <c r="Y26" s="939"/>
      <c r="Z26" s="939"/>
      <c r="AA26" s="961"/>
      <c r="AB26" s="961"/>
      <c r="AC26" s="939"/>
      <c r="AD26" s="911"/>
      <c r="AE26" s="911"/>
      <c r="AF26" s="911"/>
      <c r="AG26" s="971"/>
      <c r="AH26" s="971"/>
      <c r="AI26" s="911"/>
      <c r="AJ26" s="911"/>
      <c r="AK26" s="971"/>
      <c r="AL26" s="971"/>
      <c r="AM26" s="971"/>
      <c r="AN26" s="971"/>
      <c r="AO26" s="911"/>
      <c r="AP26" s="911"/>
      <c r="AQ26" s="911"/>
      <c r="AR26" s="911"/>
      <c r="AS26" s="911"/>
      <c r="AT26" s="911"/>
      <c r="AU26" s="971"/>
      <c r="AV26" s="971"/>
      <c r="AW26" s="911"/>
      <c r="AX26" s="911"/>
      <c r="AY26" s="971"/>
      <c r="AZ26" s="971"/>
      <c r="BA26" s="971"/>
      <c r="BB26" s="971"/>
      <c r="BC26" s="971"/>
      <c r="BD26" s="971"/>
      <c r="BE26" s="971"/>
      <c r="BF26" s="971"/>
      <c r="BG26" s="971"/>
      <c r="BH26" s="971"/>
      <c r="BI26" s="971"/>
      <c r="BJ26" s="971"/>
      <c r="BK26" s="971"/>
      <c r="BL26" s="971"/>
      <c r="BM26" s="971"/>
      <c r="BN26" s="971"/>
      <c r="BO26" s="971"/>
      <c r="BP26" s="971"/>
      <c r="BQ26" s="971"/>
      <c r="BR26" s="971"/>
      <c r="BS26" s="971"/>
      <c r="BT26" s="971"/>
      <c r="BU26" s="971"/>
      <c r="BV26" s="971"/>
      <c r="BW26" s="971"/>
      <c r="BX26" s="971"/>
      <c r="BY26" s="971"/>
      <c r="BZ26" s="971"/>
      <c r="CA26" s="971"/>
      <c r="CB26" s="971"/>
      <c r="CC26" s="971"/>
      <c r="CD26" s="971"/>
      <c r="CE26" s="971"/>
      <c r="CF26" s="971"/>
      <c r="CG26" s="971"/>
      <c r="CH26" s="971"/>
      <c r="CI26" s="971"/>
      <c r="CJ26" s="971"/>
      <c r="CK26" s="971"/>
      <c r="CL26" s="971"/>
      <c r="CM26" s="971"/>
      <c r="CN26" s="971"/>
      <c r="CO26" s="971"/>
      <c r="CP26" s="971"/>
      <c r="CQ26" s="971"/>
      <c r="CR26" s="971"/>
      <c r="CS26" s="971"/>
      <c r="CT26" s="971"/>
      <c r="CU26" s="971"/>
      <c r="CV26" s="971"/>
      <c r="CW26" s="971"/>
      <c r="CX26" s="971"/>
      <c r="CY26" s="971"/>
      <c r="CZ26" s="971"/>
      <c r="DA26" s="971"/>
      <c r="DC26" s="603" t="s">
        <v>434</v>
      </c>
    </row>
    <row r="27" spans="1:107" ht="12.75" customHeight="1" x14ac:dyDescent="0.3">
      <c r="A27" s="936">
        <v>19</v>
      </c>
      <c r="B27" s="789"/>
      <c r="C27" s="789"/>
      <c r="D27" s="789"/>
      <c r="E27" s="962"/>
      <c r="F27" s="936"/>
      <c r="G27" s="936"/>
      <c r="H27" s="937"/>
      <c r="I27" s="937"/>
      <c r="J27" s="937"/>
      <c r="K27" s="937"/>
      <c r="L27" s="937"/>
      <c r="M27" s="937"/>
      <c r="N27" s="937"/>
      <c r="O27" s="937"/>
      <c r="P27" s="937"/>
      <c r="Q27" s="937"/>
      <c r="R27" s="937"/>
      <c r="S27" s="937"/>
      <c r="T27" s="937"/>
      <c r="U27" s="935"/>
      <c r="V27" s="965"/>
      <c r="W27" s="963"/>
      <c r="X27" s="939"/>
      <c r="Y27" s="939"/>
      <c r="Z27" s="939"/>
      <c r="AA27" s="961"/>
      <c r="AB27" s="961"/>
      <c r="AC27" s="939"/>
      <c r="AD27" s="911"/>
      <c r="AE27" s="911"/>
      <c r="AF27" s="911"/>
      <c r="AG27" s="971"/>
      <c r="AH27" s="971"/>
      <c r="AI27" s="911"/>
      <c r="AJ27" s="911"/>
      <c r="AK27" s="971"/>
      <c r="AL27" s="971"/>
      <c r="AM27" s="971"/>
      <c r="AN27" s="971"/>
      <c r="AO27" s="911"/>
      <c r="AP27" s="911"/>
      <c r="AQ27" s="911"/>
      <c r="AR27" s="911"/>
      <c r="AS27" s="911"/>
      <c r="AT27" s="911"/>
      <c r="AU27" s="971"/>
      <c r="AV27" s="971"/>
      <c r="AW27" s="911"/>
      <c r="AX27" s="911"/>
      <c r="AY27" s="971"/>
      <c r="AZ27" s="971"/>
      <c r="BA27" s="971"/>
      <c r="BB27" s="971"/>
      <c r="BC27" s="971"/>
      <c r="BD27" s="971"/>
      <c r="BE27" s="971"/>
      <c r="BF27" s="971"/>
      <c r="BG27" s="971"/>
      <c r="BH27" s="971"/>
      <c r="BI27" s="971"/>
      <c r="BJ27" s="971"/>
      <c r="BK27" s="971"/>
      <c r="BL27" s="971"/>
      <c r="BM27" s="971"/>
      <c r="BN27" s="971"/>
      <c r="BO27" s="971"/>
      <c r="BP27" s="971"/>
      <c r="BQ27" s="971"/>
      <c r="BR27" s="971"/>
      <c r="BS27" s="971"/>
      <c r="BT27" s="971"/>
      <c r="BU27" s="971"/>
      <c r="BV27" s="971"/>
      <c r="BW27" s="971"/>
      <c r="BX27" s="971"/>
      <c r="BY27" s="971"/>
      <c r="BZ27" s="971"/>
      <c r="CA27" s="971"/>
      <c r="CB27" s="971"/>
      <c r="CC27" s="971"/>
      <c r="CD27" s="971"/>
      <c r="CE27" s="971"/>
      <c r="CF27" s="971"/>
      <c r="CG27" s="971"/>
      <c r="CH27" s="971"/>
      <c r="CI27" s="971"/>
      <c r="CJ27" s="971"/>
      <c r="CK27" s="971"/>
      <c r="CL27" s="971"/>
      <c r="CM27" s="971"/>
      <c r="CN27" s="971"/>
      <c r="CO27" s="971"/>
      <c r="CP27" s="971"/>
      <c r="CQ27" s="971"/>
      <c r="CR27" s="971"/>
      <c r="CS27" s="971"/>
      <c r="CT27" s="971"/>
      <c r="CU27" s="971"/>
      <c r="CV27" s="971"/>
      <c r="CW27" s="971"/>
      <c r="CX27" s="971"/>
      <c r="CY27" s="971"/>
      <c r="CZ27" s="971"/>
      <c r="DA27" s="971"/>
      <c r="DC27" s="603" t="s">
        <v>436</v>
      </c>
    </row>
    <row r="28" spans="1:107" ht="12.75" customHeight="1" x14ac:dyDescent="0.3">
      <c r="A28" s="936">
        <v>20</v>
      </c>
      <c r="B28" s="789"/>
      <c r="C28" s="789"/>
      <c r="D28" s="789"/>
      <c r="E28" s="962"/>
      <c r="F28" s="936"/>
      <c r="G28" s="936"/>
      <c r="H28" s="937"/>
      <c r="I28" s="937"/>
      <c r="J28" s="937"/>
      <c r="K28" s="937"/>
      <c r="L28" s="937"/>
      <c r="M28" s="937"/>
      <c r="N28" s="937"/>
      <c r="O28" s="937"/>
      <c r="P28" s="937"/>
      <c r="Q28" s="937"/>
      <c r="R28" s="937"/>
      <c r="S28" s="937"/>
      <c r="T28" s="937"/>
      <c r="U28" s="935"/>
      <c r="V28" s="965"/>
      <c r="W28" s="963"/>
      <c r="X28" s="939"/>
      <c r="Y28" s="939"/>
      <c r="Z28" s="939"/>
      <c r="AA28" s="961"/>
      <c r="AB28" s="961"/>
      <c r="AC28" s="939"/>
      <c r="AD28" s="911"/>
      <c r="AE28" s="911"/>
      <c r="AF28" s="911"/>
      <c r="AG28" s="971"/>
      <c r="AH28" s="971"/>
      <c r="AI28" s="911"/>
      <c r="AJ28" s="911"/>
      <c r="AK28" s="971"/>
      <c r="AL28" s="971"/>
      <c r="AM28" s="971"/>
      <c r="AN28" s="971"/>
      <c r="AO28" s="911"/>
      <c r="AP28" s="911"/>
      <c r="AQ28" s="911"/>
      <c r="AR28" s="911"/>
      <c r="AS28" s="911"/>
      <c r="AT28" s="911"/>
      <c r="AU28" s="971"/>
      <c r="AV28" s="971"/>
      <c r="AW28" s="911"/>
      <c r="AX28" s="911"/>
      <c r="AY28" s="971"/>
      <c r="AZ28" s="971"/>
      <c r="BA28" s="971"/>
      <c r="BB28" s="971"/>
      <c r="BC28" s="971"/>
      <c r="BD28" s="971"/>
      <c r="BE28" s="971"/>
      <c r="BF28" s="971"/>
      <c r="BG28" s="971"/>
      <c r="BH28" s="971"/>
      <c r="BI28" s="971"/>
      <c r="BJ28" s="971"/>
      <c r="BK28" s="971"/>
      <c r="BL28" s="971"/>
      <c r="BM28" s="971"/>
      <c r="BN28" s="971"/>
      <c r="BO28" s="971"/>
      <c r="BP28" s="971"/>
      <c r="BQ28" s="971"/>
      <c r="BR28" s="971"/>
      <c r="BS28" s="971"/>
      <c r="BT28" s="971"/>
      <c r="BU28" s="971"/>
      <c r="BV28" s="971"/>
      <c r="BW28" s="971"/>
      <c r="BX28" s="971"/>
      <c r="BY28" s="971"/>
      <c r="BZ28" s="971"/>
      <c r="CA28" s="971"/>
      <c r="CB28" s="971"/>
      <c r="CC28" s="971"/>
      <c r="CD28" s="971"/>
      <c r="CE28" s="971"/>
      <c r="CF28" s="971"/>
      <c r="CG28" s="971"/>
      <c r="CH28" s="971"/>
      <c r="CI28" s="971"/>
      <c r="CJ28" s="971"/>
      <c r="CK28" s="971"/>
      <c r="CL28" s="971"/>
      <c r="CM28" s="971"/>
      <c r="CN28" s="971"/>
      <c r="CO28" s="971"/>
      <c r="CP28" s="971"/>
      <c r="CQ28" s="971"/>
      <c r="CR28" s="971"/>
      <c r="CS28" s="971"/>
      <c r="CT28" s="971"/>
      <c r="CU28" s="971"/>
      <c r="CV28" s="971"/>
      <c r="CW28" s="971"/>
      <c r="CX28" s="971"/>
      <c r="CY28" s="971"/>
      <c r="CZ28" s="971"/>
      <c r="DA28" s="971"/>
      <c r="DC28" s="603" t="s">
        <v>438</v>
      </c>
    </row>
    <row r="29" spans="1:107" ht="12.75" customHeight="1" x14ac:dyDescent="0.3">
      <c r="A29" s="936"/>
      <c r="B29" s="789"/>
      <c r="C29" s="789"/>
      <c r="D29" s="789"/>
      <c r="E29" s="962"/>
      <c r="F29" s="936"/>
      <c r="G29" s="936"/>
      <c r="H29" s="937"/>
      <c r="I29" s="937"/>
      <c r="J29" s="937"/>
      <c r="K29" s="937"/>
      <c r="L29" s="937"/>
      <c r="M29" s="937"/>
      <c r="N29" s="937"/>
      <c r="O29" s="937"/>
      <c r="P29" s="937"/>
      <c r="Q29" s="937"/>
      <c r="R29" s="937"/>
      <c r="S29" s="937"/>
      <c r="T29" s="937"/>
      <c r="U29" s="935"/>
      <c r="V29" s="965"/>
      <c r="W29" s="963"/>
      <c r="X29" s="939"/>
      <c r="Y29" s="939"/>
      <c r="Z29" s="939"/>
      <c r="AA29" s="961"/>
      <c r="AB29" s="961"/>
      <c r="AC29" s="939"/>
      <c r="AD29" s="911"/>
      <c r="AE29" s="911"/>
      <c r="AF29" s="911"/>
      <c r="AG29" s="971"/>
      <c r="AH29" s="971"/>
      <c r="AI29" s="911"/>
      <c r="AJ29" s="911"/>
      <c r="AK29" s="971"/>
      <c r="AL29" s="971"/>
      <c r="AM29" s="971"/>
      <c r="AN29" s="971"/>
      <c r="AO29" s="911"/>
      <c r="AP29" s="911"/>
      <c r="AQ29" s="911"/>
      <c r="AR29" s="911"/>
      <c r="AS29" s="911"/>
      <c r="AT29" s="911"/>
      <c r="AU29" s="971"/>
      <c r="AV29" s="971"/>
      <c r="AW29" s="911"/>
      <c r="AX29" s="911"/>
      <c r="AY29" s="971"/>
      <c r="AZ29" s="971"/>
      <c r="BA29" s="971"/>
      <c r="BB29" s="971"/>
      <c r="BC29" s="971"/>
      <c r="BD29" s="971"/>
      <c r="BE29" s="971"/>
      <c r="BF29" s="971"/>
      <c r="BG29" s="971"/>
      <c r="BH29" s="971"/>
      <c r="BI29" s="971"/>
      <c r="BJ29" s="971"/>
      <c r="BK29" s="971"/>
      <c r="BL29" s="971"/>
      <c r="BM29" s="971"/>
      <c r="BN29" s="971"/>
      <c r="BO29" s="971"/>
      <c r="BP29" s="971"/>
      <c r="BQ29" s="971"/>
      <c r="BR29" s="971"/>
      <c r="BS29" s="971"/>
      <c r="BT29" s="971"/>
      <c r="BU29" s="971"/>
      <c r="BV29" s="971"/>
      <c r="BW29" s="971"/>
      <c r="BX29" s="971"/>
      <c r="BY29" s="971"/>
      <c r="BZ29" s="971"/>
      <c r="CA29" s="971"/>
      <c r="CB29" s="971"/>
      <c r="CC29" s="971"/>
      <c r="CD29" s="971"/>
      <c r="CE29" s="971"/>
      <c r="CF29" s="971"/>
      <c r="CG29" s="971"/>
      <c r="CH29" s="971"/>
      <c r="CI29" s="971"/>
      <c r="CJ29" s="971"/>
      <c r="CK29" s="971"/>
      <c r="CL29" s="971"/>
      <c r="CM29" s="971"/>
      <c r="CN29" s="971"/>
      <c r="CO29" s="971"/>
      <c r="CP29" s="971"/>
      <c r="CQ29" s="971"/>
      <c r="CR29" s="971"/>
      <c r="CS29" s="971"/>
      <c r="CT29" s="971"/>
      <c r="CU29" s="971"/>
      <c r="CV29" s="971"/>
      <c r="CW29" s="971"/>
      <c r="CX29" s="971"/>
      <c r="CY29" s="971"/>
      <c r="CZ29" s="971"/>
      <c r="DA29" s="971"/>
      <c r="DC29" s="603" t="s">
        <v>439</v>
      </c>
    </row>
    <row r="30" spans="1:107" ht="12.75" customHeight="1" x14ac:dyDescent="0.3">
      <c r="A30" s="936">
        <v>1007</v>
      </c>
      <c r="B30" s="790" t="s">
        <v>4178</v>
      </c>
      <c r="C30" s="789" t="s">
        <v>4173</v>
      </c>
      <c r="D30" s="789" t="s">
        <v>594</v>
      </c>
      <c r="E30" s="962"/>
      <c r="F30" s="936">
        <v>107.87</v>
      </c>
      <c r="G30" s="937"/>
      <c r="H30" s="937">
        <v>2.4084152589004067E-36</v>
      </c>
      <c r="I30" s="937"/>
      <c r="J30" s="937">
        <v>9.9999999999999995E-21</v>
      </c>
      <c r="K30" s="937"/>
      <c r="L30" s="937">
        <v>47500</v>
      </c>
      <c r="M30" s="937"/>
      <c r="N30" s="937"/>
      <c r="O30" s="937"/>
      <c r="P30" s="937"/>
      <c r="Q30" s="937">
        <v>9.9999999999999995E-21</v>
      </c>
      <c r="R30" s="937">
        <v>9.9999999999999995E-21</v>
      </c>
      <c r="S30" s="937">
        <v>9.9999999999999995E-21</v>
      </c>
      <c r="T30" s="937">
        <v>9.9999999999999995E-21</v>
      </c>
      <c r="U30" s="935"/>
      <c r="V30" s="935"/>
      <c r="W30" s="963">
        <v>30000</v>
      </c>
      <c r="X30" s="939">
        <f t="shared" ref="X30:Z56" si="8">1/3</f>
        <v>0.33333333333333331</v>
      </c>
      <c r="Y30" s="939">
        <f t="shared" si="8"/>
        <v>0.33333333333333331</v>
      </c>
      <c r="Z30" s="939">
        <f t="shared" si="8"/>
        <v>0.33333333333333331</v>
      </c>
      <c r="AA30" s="961"/>
      <c r="AB30" s="961">
        <v>1007</v>
      </c>
      <c r="AD30" s="781"/>
      <c r="AE30" s="608"/>
      <c r="AF30" s="779"/>
      <c r="DC30" s="603" t="s">
        <v>440</v>
      </c>
    </row>
    <row r="31" spans="1:107" ht="12.75" customHeight="1" x14ac:dyDescent="0.3">
      <c r="A31" s="936">
        <v>1008</v>
      </c>
      <c r="B31" s="790" t="s">
        <v>4179</v>
      </c>
      <c r="C31" s="789" t="s">
        <v>4180</v>
      </c>
      <c r="D31" s="789" t="s">
        <v>594</v>
      </c>
      <c r="E31" s="962"/>
      <c r="F31" s="936">
        <v>26.98</v>
      </c>
      <c r="G31" s="937"/>
      <c r="H31" s="937">
        <v>3.5055501931685987E-44</v>
      </c>
      <c r="I31" s="937"/>
      <c r="J31" s="937">
        <v>9.9999999999999995E-21</v>
      </c>
      <c r="K31" s="937"/>
      <c r="L31" s="937">
        <v>13328.649403946676</v>
      </c>
      <c r="M31" s="937"/>
      <c r="N31" s="937"/>
      <c r="O31" s="937"/>
      <c r="P31" s="937"/>
      <c r="Q31" s="937">
        <v>9.9999999999999995E-21</v>
      </c>
      <c r="R31" s="937">
        <v>9.9999999999999995E-21</v>
      </c>
      <c r="S31" s="937">
        <v>9.9999999999999995E-21</v>
      </c>
      <c r="T31" s="937">
        <v>9.9999999999999995E-21</v>
      </c>
      <c r="U31" s="935"/>
      <c r="V31" s="935"/>
      <c r="W31" s="963">
        <v>30000</v>
      </c>
      <c r="X31" s="939">
        <f t="shared" si="8"/>
        <v>0.33333333333333331</v>
      </c>
      <c r="Y31" s="939">
        <f t="shared" si="8"/>
        <v>0.33333333333333331</v>
      </c>
      <c r="Z31" s="939">
        <f t="shared" si="8"/>
        <v>0.33333333333333331</v>
      </c>
      <c r="AA31" s="961"/>
      <c r="AB31" s="961">
        <v>1008</v>
      </c>
      <c r="AD31" s="781"/>
      <c r="AE31" s="608"/>
      <c r="AF31" s="779"/>
    </row>
    <row r="32" spans="1:107" ht="12.75" customHeight="1" x14ac:dyDescent="0.3">
      <c r="A32" s="936">
        <v>1009</v>
      </c>
      <c r="B32" s="790" t="s">
        <v>4181</v>
      </c>
      <c r="C32" s="789" t="s">
        <v>4182</v>
      </c>
      <c r="D32" s="789" t="s">
        <v>594</v>
      </c>
      <c r="E32" s="962"/>
      <c r="F32" s="936">
        <v>74.921599999999998</v>
      </c>
      <c r="G32" s="937"/>
      <c r="H32" s="937"/>
      <c r="I32" s="937"/>
      <c r="J32" s="937">
        <v>9.9999999999999995E-21</v>
      </c>
      <c r="K32" s="937"/>
      <c r="L32" s="937">
        <v>3971.6411736214077</v>
      </c>
      <c r="M32" s="937"/>
      <c r="N32" s="937"/>
      <c r="O32" s="937"/>
      <c r="P32" s="937"/>
      <c r="Q32" s="937">
        <v>9.9999999999999995E-21</v>
      </c>
      <c r="R32" s="937">
        <v>9.9999999999999995E-21</v>
      </c>
      <c r="S32" s="937">
        <v>9.9999999999999995E-21</v>
      </c>
      <c r="T32" s="937">
        <v>9.9999999999999995E-21</v>
      </c>
      <c r="U32" s="935"/>
      <c r="V32" s="935"/>
      <c r="W32" s="963">
        <v>30000</v>
      </c>
      <c r="X32" s="939">
        <f t="shared" si="8"/>
        <v>0.33333333333333331</v>
      </c>
      <c r="Y32" s="939">
        <f t="shared" si="8"/>
        <v>0.33333333333333331</v>
      </c>
      <c r="Z32" s="939">
        <f t="shared" si="8"/>
        <v>0.33333333333333331</v>
      </c>
      <c r="AA32" s="961"/>
      <c r="AB32" s="961">
        <v>1009</v>
      </c>
      <c r="AD32" s="781"/>
      <c r="AE32" s="608"/>
      <c r="AF32" s="779"/>
    </row>
    <row r="33" spans="1:32" ht="12.75" customHeight="1" x14ac:dyDescent="0.3">
      <c r="A33" s="936">
        <v>1010</v>
      </c>
      <c r="B33" s="790" t="s">
        <v>4183</v>
      </c>
      <c r="C33" s="789" t="s">
        <v>4182</v>
      </c>
      <c r="D33" s="789" t="s">
        <v>594</v>
      </c>
      <c r="E33" s="962"/>
      <c r="F33" s="936">
        <v>74.921599999999998</v>
      </c>
      <c r="G33" s="937"/>
      <c r="H33" s="937"/>
      <c r="I33" s="937"/>
      <c r="J33" s="937">
        <v>9.9999999999999995E-21</v>
      </c>
      <c r="K33" s="937"/>
      <c r="L33" s="937">
        <v>3971.6411736214077</v>
      </c>
      <c r="M33" s="937"/>
      <c r="N33" s="937"/>
      <c r="O33" s="937"/>
      <c r="P33" s="937"/>
      <c r="Q33" s="937">
        <v>9.9999999999999995E-21</v>
      </c>
      <c r="R33" s="937">
        <v>9.9999999999999995E-21</v>
      </c>
      <c r="S33" s="937">
        <v>9.9999999999999995E-21</v>
      </c>
      <c r="T33" s="937">
        <v>9.9999999999999995E-21</v>
      </c>
      <c r="U33" s="935"/>
      <c r="V33" s="935"/>
      <c r="W33" s="963">
        <v>30000</v>
      </c>
      <c r="X33" s="939">
        <f t="shared" si="8"/>
        <v>0.33333333333333331</v>
      </c>
      <c r="Y33" s="939">
        <f t="shared" si="8"/>
        <v>0.33333333333333331</v>
      </c>
      <c r="Z33" s="939">
        <f t="shared" si="8"/>
        <v>0.33333333333333331</v>
      </c>
      <c r="AA33" s="961"/>
      <c r="AB33" s="961">
        <v>1010</v>
      </c>
      <c r="AD33" s="966"/>
      <c r="AE33" s="608"/>
      <c r="AF33" s="779"/>
    </row>
    <row r="34" spans="1:32" ht="12.75" customHeight="1" x14ac:dyDescent="0.3">
      <c r="A34" s="936">
        <v>1011</v>
      </c>
      <c r="B34" s="790" t="s">
        <v>4184</v>
      </c>
      <c r="C34" s="789" t="s">
        <v>4185</v>
      </c>
      <c r="D34" s="789" t="s">
        <v>594</v>
      </c>
      <c r="E34" s="962"/>
      <c r="F34" s="936">
        <v>137.33000000000001</v>
      </c>
      <c r="G34" s="937"/>
      <c r="H34" s="937">
        <v>4.3040812006100106E-19</v>
      </c>
      <c r="I34" s="937"/>
      <c r="J34" s="937">
        <v>9.9999999999999995E-21</v>
      </c>
      <c r="K34" s="937"/>
      <c r="L34" s="937">
        <v>45.15781779593015</v>
      </c>
      <c r="M34" s="937"/>
      <c r="N34" s="937"/>
      <c r="O34" s="937"/>
      <c r="P34" s="937"/>
      <c r="Q34" s="937">
        <v>9.9999999999999995E-21</v>
      </c>
      <c r="R34" s="937">
        <v>9.9999999999999995E-21</v>
      </c>
      <c r="S34" s="937">
        <v>9.9999999999999995E-21</v>
      </c>
      <c r="T34" s="937">
        <v>9.9999999999999995E-21</v>
      </c>
      <c r="U34" s="935"/>
      <c r="V34" s="935"/>
      <c r="W34" s="963">
        <v>30000</v>
      </c>
      <c r="X34" s="939">
        <f t="shared" si="8"/>
        <v>0.33333333333333331</v>
      </c>
      <c r="Y34" s="939">
        <f t="shared" si="8"/>
        <v>0.33333333333333331</v>
      </c>
      <c r="Z34" s="939">
        <f t="shared" si="8"/>
        <v>0.33333333333333331</v>
      </c>
      <c r="AA34" s="961"/>
      <c r="AB34" s="961">
        <v>1011</v>
      </c>
      <c r="AD34" s="966"/>
      <c r="AE34" s="608"/>
      <c r="AF34" s="779"/>
    </row>
    <row r="35" spans="1:32" ht="12.75" customHeight="1" x14ac:dyDescent="0.3">
      <c r="A35" s="936">
        <v>1012</v>
      </c>
      <c r="B35" s="790" t="s">
        <v>4186</v>
      </c>
      <c r="C35" s="789" t="s">
        <v>4187</v>
      </c>
      <c r="D35" s="789" t="s">
        <v>594</v>
      </c>
      <c r="E35" s="962"/>
      <c r="F35" s="936">
        <v>9.0121800000000007</v>
      </c>
      <c r="G35" s="937"/>
      <c r="H35" s="937">
        <v>1.070740126697043E-42</v>
      </c>
      <c r="I35" s="937"/>
      <c r="J35" s="937">
        <v>9.9999999999999995E-21</v>
      </c>
      <c r="K35" s="937"/>
      <c r="L35" s="937">
        <v>621494.61991248687</v>
      </c>
      <c r="M35" s="937"/>
      <c r="N35" s="937"/>
      <c r="O35" s="937"/>
      <c r="P35" s="937"/>
      <c r="Q35" s="937">
        <v>9.9999999999999995E-21</v>
      </c>
      <c r="R35" s="937">
        <v>9.9999999999999995E-21</v>
      </c>
      <c r="S35" s="937">
        <v>9.9999999999999995E-21</v>
      </c>
      <c r="T35" s="937">
        <v>9.9999999999999995E-21</v>
      </c>
      <c r="U35" s="935"/>
      <c r="V35" s="935"/>
      <c r="W35" s="963">
        <v>30000</v>
      </c>
      <c r="X35" s="939">
        <f t="shared" si="8"/>
        <v>0.33333333333333331</v>
      </c>
      <c r="Y35" s="939">
        <f t="shared" si="8"/>
        <v>0.33333333333333331</v>
      </c>
      <c r="Z35" s="939">
        <f t="shared" si="8"/>
        <v>0.33333333333333331</v>
      </c>
      <c r="AA35" s="961"/>
      <c r="AB35" s="961">
        <v>1012</v>
      </c>
      <c r="AD35" s="781"/>
      <c r="AE35" s="608"/>
      <c r="AF35" s="779"/>
    </row>
    <row r="36" spans="1:32" ht="12.75" customHeight="1" x14ac:dyDescent="0.3">
      <c r="A36" s="936">
        <v>1013</v>
      </c>
      <c r="B36" s="790" t="s">
        <v>4188</v>
      </c>
      <c r="C36" s="789" t="s">
        <v>4189</v>
      </c>
      <c r="D36" s="789" t="s">
        <v>594</v>
      </c>
      <c r="E36" s="962"/>
      <c r="F36" s="936">
        <v>112.41</v>
      </c>
      <c r="G36" s="937"/>
      <c r="H36" s="937">
        <v>1.454989960287752E-8</v>
      </c>
      <c r="I36" s="937"/>
      <c r="J36" s="937">
        <v>9.9999999999999995E-21</v>
      </c>
      <c r="K36" s="937"/>
      <c r="L36" s="937">
        <v>1541.7385257268772</v>
      </c>
      <c r="M36" s="937"/>
      <c r="N36" s="937"/>
      <c r="O36" s="937"/>
      <c r="P36" s="937"/>
      <c r="Q36" s="937">
        <v>9.9999999999999995E-21</v>
      </c>
      <c r="R36" s="937">
        <v>9.9999999999999995E-21</v>
      </c>
      <c r="S36" s="937">
        <v>9.9999999999999995E-21</v>
      </c>
      <c r="T36" s="937">
        <v>9.9999999999999995E-21</v>
      </c>
      <c r="U36" s="935"/>
      <c r="V36" s="935"/>
      <c r="W36" s="963">
        <v>30000</v>
      </c>
      <c r="X36" s="939">
        <f t="shared" si="8"/>
        <v>0.33333333333333331</v>
      </c>
      <c r="Y36" s="939">
        <f t="shared" si="8"/>
        <v>0.33333333333333331</v>
      </c>
      <c r="Z36" s="939">
        <f t="shared" si="8"/>
        <v>0.33333333333333331</v>
      </c>
      <c r="AA36" s="961"/>
      <c r="AB36" s="961">
        <v>1013</v>
      </c>
      <c r="AD36" s="781"/>
      <c r="AE36" s="608"/>
      <c r="AF36" s="779"/>
    </row>
    <row r="37" spans="1:32" ht="12.75" customHeight="1" x14ac:dyDescent="0.3">
      <c r="A37" s="936">
        <v>1014</v>
      </c>
      <c r="B37" s="790" t="s">
        <v>4190</v>
      </c>
      <c r="C37" s="789" t="s">
        <v>4191</v>
      </c>
      <c r="D37" s="789" t="s">
        <v>594</v>
      </c>
      <c r="E37" s="962"/>
      <c r="F37" s="936">
        <v>58.933199999999999</v>
      </c>
      <c r="G37" s="937"/>
      <c r="H37" s="937">
        <v>2.9837773958947626E-58</v>
      </c>
      <c r="I37" s="937"/>
      <c r="J37" s="937">
        <v>9.9999999999999995E-21</v>
      </c>
      <c r="K37" s="937"/>
      <c r="L37" s="937">
        <v>1833.3474017044932</v>
      </c>
      <c r="M37" s="937"/>
      <c r="N37" s="937"/>
      <c r="O37" s="937"/>
      <c r="P37" s="937"/>
      <c r="Q37" s="937">
        <v>9.9999999999999995E-21</v>
      </c>
      <c r="R37" s="937">
        <v>9.9999999999999995E-21</v>
      </c>
      <c r="S37" s="937">
        <v>9.9999999999999995E-21</v>
      </c>
      <c r="T37" s="937">
        <v>9.9999999999999995E-21</v>
      </c>
      <c r="U37" s="935"/>
      <c r="V37" s="935"/>
      <c r="W37" s="963">
        <v>30000</v>
      </c>
      <c r="X37" s="939">
        <f t="shared" si="8"/>
        <v>0.33333333333333331</v>
      </c>
      <c r="Y37" s="939">
        <f t="shared" si="8"/>
        <v>0.33333333333333331</v>
      </c>
      <c r="Z37" s="939">
        <f t="shared" si="8"/>
        <v>0.33333333333333331</v>
      </c>
      <c r="AA37" s="961"/>
      <c r="AB37" s="961">
        <v>1014</v>
      </c>
      <c r="AD37" s="966"/>
      <c r="AE37" s="608"/>
      <c r="AF37" s="779"/>
    </row>
    <row r="38" spans="1:32" ht="12.75" customHeight="1" x14ac:dyDescent="0.3">
      <c r="A38" s="936">
        <v>1015</v>
      </c>
      <c r="B38" s="790" t="s">
        <v>4192</v>
      </c>
      <c r="C38" s="789" t="s">
        <v>4193</v>
      </c>
      <c r="D38" s="789" t="s">
        <v>594</v>
      </c>
      <c r="E38" s="962"/>
      <c r="F38" s="936">
        <v>51.996000000000002</v>
      </c>
      <c r="G38" s="937"/>
      <c r="H38" s="937"/>
      <c r="I38" s="937"/>
      <c r="J38" s="937">
        <v>9.9999999999999995E-21</v>
      </c>
      <c r="K38" s="937"/>
      <c r="L38" s="937">
        <v>44741805.854611523</v>
      </c>
      <c r="M38" s="937"/>
      <c r="N38" s="937"/>
      <c r="O38" s="937"/>
      <c r="P38" s="937"/>
      <c r="Q38" s="937">
        <v>9.9999999999999995E-21</v>
      </c>
      <c r="R38" s="937">
        <v>9.9999999999999995E-21</v>
      </c>
      <c r="S38" s="937">
        <v>9.9999999999999995E-21</v>
      </c>
      <c r="T38" s="937">
        <v>9.9999999999999995E-21</v>
      </c>
      <c r="U38" s="935"/>
      <c r="V38" s="935"/>
      <c r="W38" s="963">
        <v>30000</v>
      </c>
      <c r="X38" s="939">
        <f t="shared" si="8"/>
        <v>0.33333333333333331</v>
      </c>
      <c r="Y38" s="939">
        <f t="shared" si="8"/>
        <v>0.33333333333333331</v>
      </c>
      <c r="Z38" s="939">
        <f t="shared" si="8"/>
        <v>0.33333333333333331</v>
      </c>
      <c r="AA38" s="961"/>
      <c r="AB38" s="961">
        <v>1015</v>
      </c>
      <c r="AD38" s="966"/>
      <c r="AE38" s="608"/>
      <c r="AF38" s="779"/>
    </row>
    <row r="39" spans="1:32" ht="12.75" customHeight="1" x14ac:dyDescent="0.3">
      <c r="A39" s="936">
        <v>1016</v>
      </c>
      <c r="B39" s="790" t="s">
        <v>4194</v>
      </c>
      <c r="C39" s="789" t="s">
        <v>4195</v>
      </c>
      <c r="D39" s="789" t="s">
        <v>594</v>
      </c>
      <c r="E39" s="962"/>
      <c r="F39" s="936">
        <v>51.996000000000002</v>
      </c>
      <c r="G39" s="937"/>
      <c r="H39" s="937"/>
      <c r="I39" s="937"/>
      <c r="J39" s="937">
        <v>9.9999999999999995E-21</v>
      </c>
      <c r="K39" s="937"/>
      <c r="L39" s="937">
        <v>7924.4659623055732</v>
      </c>
      <c r="M39" s="937"/>
      <c r="N39" s="937"/>
      <c r="O39" s="937"/>
      <c r="P39" s="937"/>
      <c r="Q39" s="937">
        <v>9.9999999999999995E-21</v>
      </c>
      <c r="R39" s="937">
        <v>9.9999999999999995E-21</v>
      </c>
      <c r="S39" s="937">
        <v>9.9999999999999995E-21</v>
      </c>
      <c r="T39" s="937">
        <v>9.9999999999999995E-21</v>
      </c>
      <c r="U39" s="935"/>
      <c r="V39" s="935"/>
      <c r="W39" s="963">
        <v>30000</v>
      </c>
      <c r="X39" s="939">
        <f t="shared" si="8"/>
        <v>0.33333333333333331</v>
      </c>
      <c r="Y39" s="939">
        <f t="shared" si="8"/>
        <v>0.33333333333333331</v>
      </c>
      <c r="Z39" s="939">
        <f t="shared" si="8"/>
        <v>0.33333333333333331</v>
      </c>
      <c r="AA39" s="961"/>
      <c r="AB39" s="961">
        <v>1016</v>
      </c>
      <c r="AD39" s="966"/>
      <c r="AE39" s="608"/>
      <c r="AF39" s="779"/>
    </row>
    <row r="40" spans="1:32" ht="12.75" customHeight="1" x14ac:dyDescent="0.3">
      <c r="A40" s="936">
        <v>1017</v>
      </c>
      <c r="B40" s="790" t="s">
        <v>4196</v>
      </c>
      <c r="C40" s="789" t="s">
        <v>4197</v>
      </c>
      <c r="D40" s="789" t="s">
        <v>594</v>
      </c>
      <c r="E40" s="962"/>
      <c r="F40" s="936">
        <v>132.91</v>
      </c>
      <c r="G40" s="937"/>
      <c r="H40" s="937">
        <v>2.1126797400753872E-4</v>
      </c>
      <c r="I40" s="937"/>
      <c r="J40" s="937">
        <v>9.9999999999999995E-21</v>
      </c>
      <c r="K40" s="937"/>
      <c r="L40" s="937">
        <v>9.001981404479741</v>
      </c>
      <c r="M40" s="937"/>
      <c r="N40" s="937"/>
      <c r="O40" s="937"/>
      <c r="P40" s="937"/>
      <c r="Q40" s="937">
        <v>9.9999999999999995E-21</v>
      </c>
      <c r="R40" s="937">
        <v>9.9999999999999995E-21</v>
      </c>
      <c r="S40" s="937">
        <v>9.9999999999999995E-21</v>
      </c>
      <c r="T40" s="937">
        <v>9.9999999999999995E-21</v>
      </c>
      <c r="U40" s="935"/>
      <c r="V40" s="935"/>
      <c r="W40" s="963">
        <v>30000</v>
      </c>
      <c r="X40" s="939">
        <f t="shared" si="8"/>
        <v>0.33333333333333331</v>
      </c>
      <c r="Y40" s="939">
        <f t="shared" si="8"/>
        <v>0.33333333333333331</v>
      </c>
      <c r="Z40" s="939">
        <f t="shared" si="8"/>
        <v>0.33333333333333331</v>
      </c>
      <c r="AA40" s="961"/>
      <c r="AB40" s="961">
        <v>1017</v>
      </c>
      <c r="AD40" s="966"/>
      <c r="AE40" s="608"/>
      <c r="AF40" s="779"/>
    </row>
    <row r="41" spans="1:32" ht="12.75" customHeight="1" x14ac:dyDescent="0.3">
      <c r="A41" s="936">
        <v>1018</v>
      </c>
      <c r="B41" s="790" t="s">
        <v>4198</v>
      </c>
      <c r="C41" s="789" t="s">
        <v>4199</v>
      </c>
      <c r="D41" s="789" t="s">
        <v>594</v>
      </c>
      <c r="E41" s="962"/>
      <c r="F41" s="936">
        <v>63.545999999999999</v>
      </c>
      <c r="G41" s="937"/>
      <c r="H41" s="937">
        <v>6.2883519005482815E-45</v>
      </c>
      <c r="I41" s="937"/>
      <c r="J41" s="937">
        <v>9.9999999999999995E-21</v>
      </c>
      <c r="K41" s="937"/>
      <c r="L41" s="937">
        <v>1317669.2061579451</v>
      </c>
      <c r="M41" s="937"/>
      <c r="N41" s="937"/>
      <c r="O41" s="937"/>
      <c r="P41" s="937"/>
      <c r="Q41" s="937">
        <v>9.9999999999999995E-21</v>
      </c>
      <c r="R41" s="937">
        <v>9.9999999999999995E-21</v>
      </c>
      <c r="S41" s="937">
        <v>9.9999999999999995E-21</v>
      </c>
      <c r="T41" s="937">
        <v>9.9999999999999995E-21</v>
      </c>
      <c r="U41" s="935"/>
      <c r="V41" s="935"/>
      <c r="W41" s="963">
        <v>30000</v>
      </c>
      <c r="X41" s="939">
        <f t="shared" si="8"/>
        <v>0.33333333333333331</v>
      </c>
      <c r="Y41" s="939">
        <f t="shared" si="8"/>
        <v>0.33333333333333331</v>
      </c>
      <c r="Z41" s="939">
        <f t="shared" si="8"/>
        <v>0.33333333333333331</v>
      </c>
      <c r="AA41" s="961"/>
      <c r="AB41" s="961">
        <v>1018</v>
      </c>
      <c r="AD41" s="781"/>
      <c r="AE41" s="608"/>
      <c r="AF41" s="779"/>
    </row>
    <row r="42" spans="1:32" ht="12.75" customHeight="1" x14ac:dyDescent="0.3">
      <c r="A42" s="936">
        <v>1019</v>
      </c>
      <c r="B42" s="790" t="s">
        <v>4200</v>
      </c>
      <c r="C42" s="789" t="s">
        <v>4201</v>
      </c>
      <c r="D42" s="789" t="s">
        <v>594</v>
      </c>
      <c r="E42" s="962"/>
      <c r="F42" s="936">
        <v>55.85</v>
      </c>
      <c r="G42" s="937"/>
      <c r="H42" s="937">
        <v>5.025727302876554E-55</v>
      </c>
      <c r="I42" s="937"/>
      <c r="J42" s="937">
        <v>9.9999999999999995E-21</v>
      </c>
      <c r="K42" s="937"/>
      <c r="L42" s="937">
        <v>423.53402768410797</v>
      </c>
      <c r="M42" s="937"/>
      <c r="N42" s="937"/>
      <c r="O42" s="937"/>
      <c r="P42" s="937"/>
      <c r="Q42" s="937">
        <v>9.9999999999999995E-21</v>
      </c>
      <c r="R42" s="937">
        <v>9.9999999999999995E-21</v>
      </c>
      <c r="S42" s="937">
        <v>9.9999999999999995E-21</v>
      </c>
      <c r="T42" s="937">
        <v>9.9999999999999995E-21</v>
      </c>
      <c r="U42" s="935"/>
      <c r="V42" s="935"/>
      <c r="W42" s="963">
        <v>30000</v>
      </c>
      <c r="X42" s="939">
        <f t="shared" si="8"/>
        <v>0.33333333333333331</v>
      </c>
      <c r="Y42" s="939">
        <f t="shared" si="8"/>
        <v>0.33333333333333331</v>
      </c>
      <c r="Z42" s="939">
        <f t="shared" si="8"/>
        <v>0.33333333333333331</v>
      </c>
      <c r="AA42" s="961"/>
      <c r="AB42" s="961">
        <v>1019</v>
      </c>
      <c r="AD42" s="781"/>
      <c r="AE42" s="608"/>
      <c r="AF42" s="779"/>
    </row>
    <row r="43" spans="1:32" ht="12.75" customHeight="1" x14ac:dyDescent="0.3">
      <c r="A43" s="936">
        <v>1020</v>
      </c>
      <c r="B43" s="790" t="s">
        <v>4202</v>
      </c>
      <c r="C43" s="789" t="s">
        <v>4201</v>
      </c>
      <c r="D43" s="789" t="s">
        <v>594</v>
      </c>
      <c r="E43" s="962"/>
      <c r="F43" s="936">
        <v>55.85</v>
      </c>
      <c r="G43" s="937"/>
      <c r="H43" s="937">
        <v>5.025727302876554E-55</v>
      </c>
      <c r="I43" s="937"/>
      <c r="J43" s="937">
        <v>9.9999999999999995E-21</v>
      </c>
      <c r="K43" s="937"/>
      <c r="L43" s="937">
        <v>1613634.9487338495</v>
      </c>
      <c r="M43" s="937"/>
      <c r="N43" s="937"/>
      <c r="O43" s="937"/>
      <c r="P43" s="937"/>
      <c r="Q43" s="937">
        <v>9.9999999999999995E-21</v>
      </c>
      <c r="R43" s="937">
        <v>9.9999999999999995E-21</v>
      </c>
      <c r="S43" s="937">
        <v>9.9999999999999995E-21</v>
      </c>
      <c r="T43" s="937">
        <v>9.9999999999999995E-21</v>
      </c>
      <c r="U43" s="935"/>
      <c r="V43" s="935"/>
      <c r="W43" s="963">
        <v>30000</v>
      </c>
      <c r="X43" s="939">
        <f t="shared" si="8"/>
        <v>0.33333333333333331</v>
      </c>
      <c r="Y43" s="939">
        <f t="shared" si="8"/>
        <v>0.33333333333333331</v>
      </c>
      <c r="Z43" s="939">
        <f t="shared" si="8"/>
        <v>0.33333333333333331</v>
      </c>
      <c r="AA43" s="961"/>
      <c r="AB43" s="961">
        <v>1020</v>
      </c>
      <c r="AD43" s="781"/>
      <c r="AE43" s="608"/>
      <c r="AF43" s="779"/>
    </row>
    <row r="44" spans="1:32" ht="12.75" customHeight="1" x14ac:dyDescent="0.3">
      <c r="A44" s="936">
        <v>1021</v>
      </c>
      <c r="B44" s="790" t="s">
        <v>4203</v>
      </c>
      <c r="C44" s="789" t="s">
        <v>4204</v>
      </c>
      <c r="D44" s="789" t="s">
        <v>594</v>
      </c>
      <c r="E44" s="962"/>
      <c r="F44" s="936">
        <v>200.59</v>
      </c>
      <c r="G44" s="937"/>
      <c r="H44" s="937">
        <v>0.26448691183005452</v>
      </c>
      <c r="I44" s="937"/>
      <c r="J44" s="937">
        <v>9.9999999999999995E-21</v>
      </c>
      <c r="K44" s="937"/>
      <c r="L44" s="937">
        <v>99763.115748444063</v>
      </c>
      <c r="M44" s="937"/>
      <c r="N44" s="937"/>
      <c r="O44" s="937"/>
      <c r="P44" s="937"/>
      <c r="Q44" s="937">
        <v>9.9999999999999995E-21</v>
      </c>
      <c r="R44" s="937">
        <v>9.9999999999999995E-21</v>
      </c>
      <c r="S44" s="937">
        <v>9.9999999999999995E-21</v>
      </c>
      <c r="T44" s="937">
        <v>9.9999999999999995E-21</v>
      </c>
      <c r="U44" s="935"/>
      <c r="V44" s="935"/>
      <c r="W44" s="963">
        <v>30000</v>
      </c>
      <c r="X44" s="939">
        <f t="shared" si="8"/>
        <v>0.33333333333333331</v>
      </c>
      <c r="Y44" s="939">
        <f t="shared" si="8"/>
        <v>0.33333333333333331</v>
      </c>
      <c r="Z44" s="939">
        <f t="shared" si="8"/>
        <v>0.33333333333333331</v>
      </c>
      <c r="AA44" s="961"/>
      <c r="AB44" s="961">
        <v>1021</v>
      </c>
      <c r="AD44" s="781"/>
      <c r="AE44" s="608"/>
      <c r="AF44" s="779"/>
    </row>
    <row r="45" spans="1:32" ht="12.75" customHeight="1" x14ac:dyDescent="0.3">
      <c r="A45" s="936">
        <v>1022</v>
      </c>
      <c r="B45" s="790" t="s">
        <v>4205</v>
      </c>
      <c r="C45" s="789" t="s">
        <v>4206</v>
      </c>
      <c r="D45" s="789" t="s">
        <v>594</v>
      </c>
      <c r="E45" s="962"/>
      <c r="F45" s="936">
        <v>54.94</v>
      </c>
      <c r="G45" s="937"/>
      <c r="H45" s="937"/>
      <c r="I45" s="937"/>
      <c r="J45" s="937">
        <v>9.9999999999999995E-21</v>
      </c>
      <c r="K45" s="937"/>
      <c r="L45" s="937">
        <v>2890.7153900116759</v>
      </c>
      <c r="M45" s="937"/>
      <c r="N45" s="937"/>
      <c r="O45" s="937"/>
      <c r="P45" s="937"/>
      <c r="Q45" s="937">
        <v>9.9999999999999995E-21</v>
      </c>
      <c r="R45" s="937">
        <v>9.9999999999999995E-21</v>
      </c>
      <c r="S45" s="937">
        <v>9.9999999999999995E-21</v>
      </c>
      <c r="T45" s="937">
        <v>9.9999999999999995E-21</v>
      </c>
      <c r="U45" s="935"/>
      <c r="V45" s="935"/>
      <c r="W45" s="963">
        <v>30000</v>
      </c>
      <c r="X45" s="939">
        <f t="shared" si="8"/>
        <v>0.33333333333333331</v>
      </c>
      <c r="Y45" s="939">
        <f t="shared" si="8"/>
        <v>0.33333333333333331</v>
      </c>
      <c r="Z45" s="939">
        <f t="shared" si="8"/>
        <v>0.33333333333333331</v>
      </c>
      <c r="AA45" s="961"/>
      <c r="AB45" s="961">
        <v>1022</v>
      </c>
      <c r="AD45" s="781"/>
      <c r="AE45" s="608"/>
      <c r="AF45" s="779"/>
    </row>
    <row r="46" spans="1:32" ht="12.75" customHeight="1" x14ac:dyDescent="0.3">
      <c r="A46" s="936">
        <v>1023</v>
      </c>
      <c r="B46" s="790" t="s">
        <v>4207</v>
      </c>
      <c r="C46" s="789" t="s">
        <v>4208</v>
      </c>
      <c r="D46" s="789" t="s">
        <v>594</v>
      </c>
      <c r="E46" s="962"/>
      <c r="F46" s="936">
        <v>95.94</v>
      </c>
      <c r="G46" s="937"/>
      <c r="H46" s="937"/>
      <c r="I46" s="937"/>
      <c r="J46" s="937">
        <v>9.9999999999999995E-21</v>
      </c>
      <c r="K46" s="937"/>
      <c r="L46" s="937">
        <v>12559.43215754793</v>
      </c>
      <c r="M46" s="937"/>
      <c r="N46" s="937"/>
      <c r="O46" s="937"/>
      <c r="P46" s="937"/>
      <c r="Q46" s="937">
        <v>9.9999999999999995E-21</v>
      </c>
      <c r="R46" s="937">
        <v>9.9999999999999995E-21</v>
      </c>
      <c r="S46" s="937">
        <v>9.9999999999999995E-21</v>
      </c>
      <c r="T46" s="937">
        <v>9.9999999999999995E-21</v>
      </c>
      <c r="U46" s="935"/>
      <c r="V46" s="935"/>
      <c r="W46" s="963">
        <v>30000</v>
      </c>
      <c r="X46" s="939">
        <f t="shared" si="8"/>
        <v>0.33333333333333331</v>
      </c>
      <c r="Y46" s="939">
        <f t="shared" si="8"/>
        <v>0.33333333333333331</v>
      </c>
      <c r="Z46" s="939">
        <f t="shared" si="8"/>
        <v>0.33333333333333331</v>
      </c>
      <c r="AA46" s="961"/>
      <c r="AB46" s="961">
        <v>1023</v>
      </c>
      <c r="AD46" s="781"/>
      <c r="AE46" s="608"/>
      <c r="AF46" s="779"/>
    </row>
    <row r="47" spans="1:32" ht="12.75" customHeight="1" x14ac:dyDescent="0.3">
      <c r="A47" s="936">
        <v>1024</v>
      </c>
      <c r="B47" s="790" t="s">
        <v>4209</v>
      </c>
      <c r="C47" s="789" t="s">
        <v>4210</v>
      </c>
      <c r="D47" s="789" t="s">
        <v>594</v>
      </c>
      <c r="E47" s="962"/>
      <c r="F47" s="936">
        <v>58.693399999999997</v>
      </c>
      <c r="G47" s="937"/>
      <c r="H47" s="937">
        <v>1.0606335149628644E-58</v>
      </c>
      <c r="I47" s="937"/>
      <c r="J47" s="937">
        <v>9.9999999999999995E-21</v>
      </c>
      <c r="K47" s="937"/>
      <c r="L47" s="937">
        <v>1210.0279673713412</v>
      </c>
      <c r="M47" s="937"/>
      <c r="N47" s="937"/>
      <c r="O47" s="937"/>
      <c r="P47" s="937"/>
      <c r="Q47" s="937">
        <v>9.9999999999999995E-21</v>
      </c>
      <c r="R47" s="937">
        <v>9.9999999999999995E-21</v>
      </c>
      <c r="S47" s="937">
        <v>9.9999999999999995E-21</v>
      </c>
      <c r="T47" s="937">
        <v>9.9999999999999995E-21</v>
      </c>
      <c r="U47" s="935"/>
      <c r="V47" s="935"/>
      <c r="W47" s="963">
        <v>30000</v>
      </c>
      <c r="X47" s="939">
        <f t="shared" si="8"/>
        <v>0.33333333333333331</v>
      </c>
      <c r="Y47" s="939">
        <f t="shared" si="8"/>
        <v>0.33333333333333331</v>
      </c>
      <c r="Z47" s="939">
        <f t="shared" si="8"/>
        <v>0.33333333333333331</v>
      </c>
      <c r="AA47" s="961"/>
      <c r="AB47" s="961">
        <v>1024</v>
      </c>
      <c r="AD47" s="966"/>
      <c r="AE47" s="608"/>
      <c r="AF47" s="779"/>
    </row>
    <row r="48" spans="1:32" ht="12.75" customHeight="1" x14ac:dyDescent="0.3">
      <c r="A48" s="936">
        <v>1025</v>
      </c>
      <c r="B48" s="790" t="s">
        <v>4211</v>
      </c>
      <c r="C48" s="789" t="s">
        <v>4212</v>
      </c>
      <c r="D48" s="789" t="s">
        <v>594</v>
      </c>
      <c r="E48" s="962"/>
      <c r="F48" s="936">
        <v>207.2</v>
      </c>
      <c r="G48" s="937"/>
      <c r="H48" s="937">
        <v>2.3955386353897258E-23</v>
      </c>
      <c r="I48" s="937"/>
      <c r="J48" s="937">
        <v>9.9999999999999995E-21</v>
      </c>
      <c r="K48" s="937"/>
      <c r="L48" s="937">
        <v>3741364.2432536432</v>
      </c>
      <c r="M48" s="937"/>
      <c r="N48" s="937"/>
      <c r="O48" s="937"/>
      <c r="P48" s="937"/>
      <c r="Q48" s="937">
        <v>9.9999999999999995E-21</v>
      </c>
      <c r="R48" s="937">
        <v>9.9999999999999995E-21</v>
      </c>
      <c r="S48" s="937">
        <v>9.9999999999999995E-21</v>
      </c>
      <c r="T48" s="937">
        <v>9.9999999999999995E-21</v>
      </c>
      <c r="U48" s="935"/>
      <c r="V48" s="935"/>
      <c r="W48" s="963">
        <v>30000</v>
      </c>
      <c r="X48" s="939">
        <f t="shared" si="8"/>
        <v>0.33333333333333331</v>
      </c>
      <c r="Y48" s="939">
        <f t="shared" si="8"/>
        <v>0.33333333333333331</v>
      </c>
      <c r="Z48" s="939">
        <f t="shared" si="8"/>
        <v>0.33333333333333331</v>
      </c>
      <c r="AA48" s="961"/>
      <c r="AB48" s="961">
        <v>1025</v>
      </c>
      <c r="AD48" s="966"/>
      <c r="AE48" s="608"/>
      <c r="AF48" s="779"/>
    </row>
    <row r="49" spans="1:32" ht="12.75" customHeight="1" x14ac:dyDescent="0.3">
      <c r="A49" s="936">
        <v>1026</v>
      </c>
      <c r="B49" s="790" t="s">
        <v>4213</v>
      </c>
      <c r="C49" s="789" t="s">
        <v>4214</v>
      </c>
      <c r="D49" s="789" t="s">
        <v>594</v>
      </c>
      <c r="E49" s="962"/>
      <c r="F49" s="936">
        <v>121.76</v>
      </c>
      <c r="G49" s="937"/>
      <c r="H49" s="937"/>
      <c r="I49" s="937"/>
      <c r="J49" s="937">
        <v>9.9999999999999995E-21</v>
      </c>
      <c r="K49" s="937"/>
      <c r="L49" s="937">
        <v>2500</v>
      </c>
      <c r="M49" s="937"/>
      <c r="N49" s="937"/>
      <c r="O49" s="937"/>
      <c r="P49" s="937"/>
      <c r="Q49" s="937">
        <v>9.9999999999999995E-21</v>
      </c>
      <c r="R49" s="937">
        <v>9.9999999999999995E-21</v>
      </c>
      <c r="S49" s="937">
        <v>9.9999999999999995E-21</v>
      </c>
      <c r="T49" s="937">
        <v>9.9999999999999995E-21</v>
      </c>
      <c r="U49" s="935"/>
      <c r="V49" s="935"/>
      <c r="W49" s="963">
        <v>30000</v>
      </c>
      <c r="X49" s="939">
        <f t="shared" si="8"/>
        <v>0.33333333333333331</v>
      </c>
      <c r="Y49" s="939">
        <f t="shared" si="8"/>
        <v>0.33333333333333331</v>
      </c>
      <c r="Z49" s="939">
        <f t="shared" si="8"/>
        <v>0.33333333333333331</v>
      </c>
      <c r="AA49" s="961"/>
      <c r="AB49" s="961">
        <v>1026</v>
      </c>
      <c r="AD49" s="781"/>
      <c r="AE49" s="608"/>
      <c r="AF49" s="779"/>
    </row>
    <row r="50" spans="1:32" ht="12.75" customHeight="1" x14ac:dyDescent="0.3">
      <c r="A50" s="936">
        <v>1027</v>
      </c>
      <c r="B50" s="790" t="s">
        <v>4215</v>
      </c>
      <c r="C50" s="789" t="s">
        <v>4214</v>
      </c>
      <c r="D50" s="789" t="s">
        <v>594</v>
      </c>
      <c r="E50" s="962"/>
      <c r="F50" s="936">
        <v>121.76</v>
      </c>
      <c r="G50" s="937"/>
      <c r="H50" s="937"/>
      <c r="I50" s="937"/>
      <c r="J50" s="937">
        <v>9.9999999999999995E-21</v>
      </c>
      <c r="K50" s="937"/>
      <c r="L50" s="937">
        <v>2500</v>
      </c>
      <c r="M50" s="937"/>
      <c r="N50" s="937"/>
      <c r="O50" s="937"/>
      <c r="P50" s="937"/>
      <c r="Q50" s="937">
        <v>9.9999999999999995E-21</v>
      </c>
      <c r="R50" s="937">
        <v>9.9999999999999995E-21</v>
      </c>
      <c r="S50" s="937">
        <v>9.9999999999999995E-21</v>
      </c>
      <c r="T50" s="937">
        <v>9.9999999999999995E-21</v>
      </c>
      <c r="U50" s="935"/>
      <c r="V50" s="935"/>
      <c r="W50" s="963">
        <v>30000</v>
      </c>
      <c r="X50" s="939">
        <f t="shared" si="8"/>
        <v>0.33333333333333331</v>
      </c>
      <c r="Y50" s="939">
        <f t="shared" si="8"/>
        <v>0.33333333333333331</v>
      </c>
      <c r="Z50" s="939">
        <f t="shared" si="8"/>
        <v>0.33333333333333331</v>
      </c>
      <c r="AA50" s="961"/>
      <c r="AB50" s="961">
        <v>1027</v>
      </c>
      <c r="AD50" s="781"/>
      <c r="AE50" s="608"/>
      <c r="AF50" s="779"/>
    </row>
    <row r="51" spans="1:32" ht="12.75" customHeight="1" x14ac:dyDescent="0.3">
      <c r="A51" s="936">
        <v>1028</v>
      </c>
      <c r="B51" s="790" t="s">
        <v>4216</v>
      </c>
      <c r="C51" s="789" t="s">
        <v>4217</v>
      </c>
      <c r="D51" s="789" t="s">
        <v>594</v>
      </c>
      <c r="E51" s="962"/>
      <c r="F51" s="936">
        <v>78.959999999999994</v>
      </c>
      <c r="G51" s="937"/>
      <c r="H51" s="937"/>
      <c r="I51" s="937"/>
      <c r="J51" s="937">
        <v>9.9999999999999995E-21</v>
      </c>
      <c r="K51" s="937"/>
      <c r="L51" s="937">
        <v>12559.43215754793</v>
      </c>
      <c r="M51" s="937"/>
      <c r="N51" s="937"/>
      <c r="O51" s="937"/>
      <c r="P51" s="937"/>
      <c r="Q51" s="937">
        <v>9.9999999999999995E-21</v>
      </c>
      <c r="R51" s="937">
        <v>9.9999999999999995E-21</v>
      </c>
      <c r="S51" s="937">
        <v>9.9999999999999995E-21</v>
      </c>
      <c r="T51" s="937">
        <v>9.9999999999999995E-21</v>
      </c>
      <c r="U51" s="935"/>
      <c r="V51" s="935"/>
      <c r="W51" s="963">
        <v>30000</v>
      </c>
      <c r="X51" s="939">
        <f t="shared" si="8"/>
        <v>0.33333333333333331</v>
      </c>
      <c r="Y51" s="939">
        <f t="shared" si="8"/>
        <v>0.33333333333333331</v>
      </c>
      <c r="Z51" s="939">
        <f t="shared" si="8"/>
        <v>0.33333333333333331</v>
      </c>
      <c r="AA51" s="961"/>
      <c r="AB51" s="961">
        <v>1028</v>
      </c>
      <c r="AD51" s="966"/>
      <c r="AE51" s="608"/>
      <c r="AF51" s="779"/>
    </row>
    <row r="52" spans="1:32" ht="12.75" customHeight="1" x14ac:dyDescent="0.3">
      <c r="A52" s="936">
        <v>1029</v>
      </c>
      <c r="B52" s="790" t="s">
        <v>4218</v>
      </c>
      <c r="C52" s="789" t="s">
        <v>4219</v>
      </c>
      <c r="D52" s="789" t="s">
        <v>594</v>
      </c>
      <c r="E52" s="962"/>
      <c r="F52" s="936">
        <v>118.69</v>
      </c>
      <c r="G52" s="937"/>
      <c r="H52" s="937">
        <v>6.9813053852734295E-42</v>
      </c>
      <c r="I52" s="937"/>
      <c r="J52" s="937">
        <v>9.9999999999999995E-21</v>
      </c>
      <c r="K52" s="937"/>
      <c r="L52" s="937">
        <v>39716.411736214119</v>
      </c>
      <c r="M52" s="937"/>
      <c r="N52" s="937"/>
      <c r="O52" s="937"/>
      <c r="P52" s="937"/>
      <c r="Q52" s="937">
        <v>9.9999999999999995E-21</v>
      </c>
      <c r="R52" s="937">
        <v>9.9999999999999995E-21</v>
      </c>
      <c r="S52" s="937">
        <v>9.9999999999999995E-21</v>
      </c>
      <c r="T52" s="937">
        <v>9.9999999999999995E-21</v>
      </c>
      <c r="U52" s="935"/>
      <c r="V52" s="935"/>
      <c r="W52" s="963">
        <v>30000</v>
      </c>
      <c r="X52" s="939">
        <f t="shared" si="8"/>
        <v>0.33333333333333331</v>
      </c>
      <c r="Y52" s="939">
        <f t="shared" si="8"/>
        <v>0.33333333333333331</v>
      </c>
      <c r="Z52" s="939">
        <f t="shared" si="8"/>
        <v>0.33333333333333331</v>
      </c>
      <c r="AA52" s="961"/>
      <c r="AB52" s="961">
        <v>1029</v>
      </c>
      <c r="AD52" s="966"/>
      <c r="AE52" s="608"/>
      <c r="AF52" s="779"/>
    </row>
    <row r="53" spans="1:32" ht="12.75" customHeight="1" x14ac:dyDescent="0.3">
      <c r="A53" s="936">
        <v>1030</v>
      </c>
      <c r="B53" s="790" t="s">
        <v>4220</v>
      </c>
      <c r="C53" s="789" t="s">
        <v>4221</v>
      </c>
      <c r="D53" s="789" t="s">
        <v>594</v>
      </c>
      <c r="E53" s="962"/>
      <c r="F53" s="936">
        <v>87.62</v>
      </c>
      <c r="G53" s="937"/>
      <c r="H53" s="937"/>
      <c r="I53" s="937"/>
      <c r="J53" s="937">
        <v>9.9999999999999995E-21</v>
      </c>
      <c r="K53" s="937"/>
      <c r="L53" s="937">
        <v>751.59373449939994</v>
      </c>
      <c r="M53" s="937"/>
      <c r="N53" s="937"/>
      <c r="O53" s="937"/>
      <c r="P53" s="937"/>
      <c r="Q53" s="937">
        <v>9.9999999999999995E-21</v>
      </c>
      <c r="R53" s="937">
        <v>9.9999999999999995E-21</v>
      </c>
      <c r="S53" s="937">
        <v>9.9999999999999995E-21</v>
      </c>
      <c r="T53" s="937">
        <v>9.9999999999999995E-21</v>
      </c>
      <c r="U53" s="935"/>
      <c r="V53" s="935"/>
      <c r="W53" s="963">
        <v>30000</v>
      </c>
      <c r="X53" s="939">
        <f t="shared" si="8"/>
        <v>0.33333333333333331</v>
      </c>
      <c r="Y53" s="939">
        <f t="shared" si="8"/>
        <v>0.33333333333333331</v>
      </c>
      <c r="Z53" s="939">
        <f t="shared" si="8"/>
        <v>0.33333333333333331</v>
      </c>
      <c r="AA53" s="961"/>
      <c r="AB53" s="961">
        <v>1030</v>
      </c>
      <c r="AD53" s="966"/>
      <c r="AE53" s="608"/>
      <c r="AF53" s="779"/>
    </row>
    <row r="54" spans="1:32" ht="12.75" customHeight="1" x14ac:dyDescent="0.3">
      <c r="A54" s="936">
        <v>1031</v>
      </c>
      <c r="B54" s="790" t="s">
        <v>4222</v>
      </c>
      <c r="C54" s="789" t="s">
        <v>4223</v>
      </c>
      <c r="D54" s="789" t="s">
        <v>594</v>
      </c>
      <c r="E54" s="962"/>
      <c r="F54" s="936">
        <v>204.38300000000001</v>
      </c>
      <c r="G54" s="937"/>
      <c r="H54" s="937">
        <v>9.0047174941122605E-21</v>
      </c>
      <c r="I54" s="937"/>
      <c r="J54" s="937">
        <v>9.9999999999999995E-21</v>
      </c>
      <c r="K54" s="937"/>
      <c r="L54" s="937">
        <v>6294.6270589708356</v>
      </c>
      <c r="M54" s="937"/>
      <c r="N54" s="937"/>
      <c r="O54" s="937"/>
      <c r="P54" s="937"/>
      <c r="Q54" s="937">
        <v>9.9999999999999995E-21</v>
      </c>
      <c r="R54" s="937">
        <v>9.9999999999999995E-21</v>
      </c>
      <c r="S54" s="937">
        <v>9.9999999999999995E-21</v>
      </c>
      <c r="T54" s="937">
        <v>9.9999999999999995E-21</v>
      </c>
      <c r="U54" s="935"/>
      <c r="V54" s="935"/>
      <c r="W54" s="963">
        <v>30000</v>
      </c>
      <c r="X54" s="939">
        <f t="shared" si="8"/>
        <v>0.33333333333333331</v>
      </c>
      <c r="Y54" s="939">
        <f t="shared" si="8"/>
        <v>0.33333333333333331</v>
      </c>
      <c r="Z54" s="939">
        <f t="shared" si="8"/>
        <v>0.33333333333333331</v>
      </c>
      <c r="AA54" s="961"/>
      <c r="AB54" s="961">
        <v>1031</v>
      </c>
      <c r="AD54" s="966"/>
      <c r="AE54" s="608"/>
      <c r="AF54" s="779"/>
    </row>
    <row r="55" spans="1:32" ht="12.75" customHeight="1" x14ac:dyDescent="0.3">
      <c r="A55" s="936">
        <v>1032</v>
      </c>
      <c r="B55" s="790" t="s">
        <v>4224</v>
      </c>
      <c r="C55" s="789" t="s">
        <v>4225</v>
      </c>
      <c r="D55" s="789" t="s">
        <v>594</v>
      </c>
      <c r="E55" s="962"/>
      <c r="F55" s="936">
        <v>50.941000000000003</v>
      </c>
      <c r="G55" s="937"/>
      <c r="H55" s="937">
        <v>1.1153510093102885E-72</v>
      </c>
      <c r="I55" s="937"/>
      <c r="J55" s="937">
        <v>9.9999999999999995E-21</v>
      </c>
      <c r="K55" s="937"/>
      <c r="L55" s="937">
        <v>2505.9361681363662</v>
      </c>
      <c r="M55" s="937"/>
      <c r="N55" s="937"/>
      <c r="O55" s="937"/>
      <c r="P55" s="937"/>
      <c r="Q55" s="937">
        <v>9.9999999999999995E-21</v>
      </c>
      <c r="R55" s="937">
        <v>9.9999999999999995E-21</v>
      </c>
      <c r="S55" s="937">
        <v>9.9999999999999995E-21</v>
      </c>
      <c r="T55" s="937">
        <v>9.9999999999999995E-21</v>
      </c>
      <c r="U55" s="935"/>
      <c r="V55" s="935"/>
      <c r="W55" s="963">
        <v>30000</v>
      </c>
      <c r="X55" s="939">
        <f t="shared" si="8"/>
        <v>0.33333333333333331</v>
      </c>
      <c r="Y55" s="939">
        <f t="shared" si="8"/>
        <v>0.33333333333333331</v>
      </c>
      <c r="Z55" s="939">
        <f t="shared" si="8"/>
        <v>0.33333333333333331</v>
      </c>
      <c r="AA55" s="961"/>
      <c r="AB55" s="961">
        <v>1032</v>
      </c>
      <c r="AD55" s="966"/>
      <c r="AE55" s="608"/>
      <c r="AF55" s="779"/>
    </row>
    <row r="56" spans="1:32" ht="12.75" customHeight="1" thickBot="1" x14ac:dyDescent="0.35">
      <c r="A56" s="972">
        <v>1033</v>
      </c>
      <c r="B56" s="973" t="s">
        <v>4226</v>
      </c>
      <c r="C56" s="974" t="s">
        <v>4227</v>
      </c>
      <c r="D56" s="974" t="s">
        <v>594</v>
      </c>
      <c r="E56" s="975"/>
      <c r="F56" s="972">
        <v>65.38</v>
      </c>
      <c r="G56" s="976"/>
      <c r="H56" s="976">
        <v>1.9969597156785102E-11</v>
      </c>
      <c r="I56" s="976"/>
      <c r="J56" s="976">
        <v>9.9999999999999995E-21</v>
      </c>
      <c r="K56" s="976"/>
      <c r="L56" s="976">
        <v>2807.9188845538101</v>
      </c>
      <c r="M56" s="976"/>
      <c r="N56" s="976"/>
      <c r="O56" s="976"/>
      <c r="P56" s="976"/>
      <c r="Q56" s="976">
        <v>9.9999999999999995E-21</v>
      </c>
      <c r="R56" s="976">
        <v>9.9999999999999995E-21</v>
      </c>
      <c r="S56" s="976">
        <v>9.9999999999999995E-21</v>
      </c>
      <c r="T56" s="976">
        <v>9.9999999999999995E-21</v>
      </c>
      <c r="U56" s="977"/>
      <c r="V56" s="977"/>
      <c r="W56" s="978">
        <v>30000</v>
      </c>
      <c r="X56" s="979">
        <f t="shared" si="8"/>
        <v>0.33333333333333331</v>
      </c>
      <c r="Y56" s="979">
        <f t="shared" si="8"/>
        <v>0.33333333333333331</v>
      </c>
      <c r="Z56" s="979">
        <f t="shared" si="8"/>
        <v>0.33333333333333331</v>
      </c>
      <c r="AA56" s="961"/>
      <c r="AB56" s="961">
        <v>1033</v>
      </c>
      <c r="AD56" s="966"/>
      <c r="AE56" s="608"/>
      <c r="AF56" s="779"/>
    </row>
    <row r="57" spans="1:32" ht="12.75" customHeight="1" x14ac:dyDescent="0.3">
      <c r="A57" s="936"/>
      <c r="B57" s="790"/>
      <c r="C57" s="789"/>
      <c r="D57" s="789"/>
      <c r="E57" s="962"/>
      <c r="F57" s="936"/>
      <c r="G57" s="937"/>
      <c r="H57" s="937"/>
      <c r="I57" s="937"/>
      <c r="J57" s="937"/>
      <c r="K57" s="937"/>
      <c r="L57" s="937"/>
      <c r="M57" s="937"/>
      <c r="N57" s="937"/>
      <c r="O57" s="937"/>
      <c r="P57" s="937"/>
      <c r="Q57" s="937"/>
      <c r="R57" s="937"/>
      <c r="S57" s="937"/>
      <c r="T57" s="937"/>
      <c r="U57" s="935"/>
      <c r="V57" s="935"/>
      <c r="W57" s="963"/>
      <c r="X57" s="939"/>
      <c r="Y57" s="939"/>
      <c r="Z57" s="939"/>
      <c r="AA57" s="778"/>
      <c r="AB57" s="778"/>
      <c r="AD57" s="966"/>
      <c r="AE57" s="608"/>
      <c r="AF57" s="779"/>
    </row>
    <row r="58" spans="1:32" ht="12.75" customHeight="1" x14ac:dyDescent="0.3">
      <c r="A58" s="778"/>
      <c r="D58" s="778"/>
      <c r="E58" s="778"/>
      <c r="F58" s="778"/>
      <c r="G58" s="778"/>
      <c r="H58" s="778"/>
      <c r="I58" s="778"/>
      <c r="J58" s="778"/>
      <c r="K58" s="778"/>
      <c r="L58" s="778"/>
      <c r="M58" s="778"/>
      <c r="N58" s="778"/>
      <c r="O58" s="778"/>
      <c r="P58" s="778"/>
      <c r="Q58" s="778"/>
      <c r="R58" s="778"/>
      <c r="S58" s="778"/>
      <c r="T58" s="778"/>
      <c r="U58" s="778"/>
      <c r="V58" s="778"/>
      <c r="W58" s="778"/>
      <c r="X58" s="778"/>
      <c r="Y58" s="778"/>
      <c r="Z58" s="778"/>
      <c r="AA58" s="778"/>
      <c r="AB58" s="778"/>
      <c r="AD58" s="966"/>
      <c r="AE58" s="608"/>
      <c r="AF58" s="779"/>
    </row>
    <row r="59" spans="1:32" ht="12.75" customHeight="1" x14ac:dyDescent="0.3">
      <c r="A59" s="778"/>
      <c r="C59" s="778"/>
      <c r="D59" s="778"/>
      <c r="E59" s="778"/>
      <c r="F59" s="778"/>
      <c r="G59" s="778"/>
      <c r="H59" s="778"/>
      <c r="I59" s="778"/>
      <c r="J59" s="778"/>
      <c r="K59" s="778"/>
      <c r="L59" s="778"/>
      <c r="M59" s="778"/>
      <c r="N59" s="778"/>
      <c r="O59" s="778"/>
      <c r="P59" s="778"/>
      <c r="Q59" s="778"/>
      <c r="R59" s="778"/>
      <c r="S59" s="778"/>
      <c r="T59" s="778"/>
      <c r="U59" s="778"/>
      <c r="V59" s="778"/>
      <c r="W59" s="778"/>
      <c r="X59" s="778"/>
      <c r="Y59" s="778"/>
      <c r="Z59" s="778"/>
      <c r="AA59" s="778"/>
      <c r="AB59" s="778"/>
      <c r="AD59" s="966"/>
      <c r="AE59" s="608"/>
      <c r="AF59" s="779"/>
    </row>
    <row r="60" spans="1:32" ht="12.75" customHeight="1" x14ac:dyDescent="0.3">
      <c r="A60" s="778"/>
      <c r="C60" s="778"/>
      <c r="D60" s="778"/>
      <c r="E60" s="778"/>
      <c r="F60" s="778"/>
      <c r="G60" s="778"/>
      <c r="H60" s="778"/>
      <c r="I60" s="778"/>
      <c r="J60" s="778"/>
      <c r="K60" s="778"/>
      <c r="L60" s="778"/>
      <c r="M60" s="778"/>
      <c r="N60" s="778"/>
      <c r="O60" s="778"/>
      <c r="P60" s="778"/>
      <c r="Q60" s="778"/>
      <c r="R60" s="778"/>
      <c r="S60" s="778"/>
      <c r="T60" s="778"/>
      <c r="U60" s="778"/>
      <c r="V60" s="778"/>
      <c r="W60" s="778"/>
      <c r="X60" s="778"/>
      <c r="Y60" s="778"/>
      <c r="Z60" s="778"/>
      <c r="AA60" s="778"/>
      <c r="AB60" s="778"/>
      <c r="AD60" s="966"/>
      <c r="AE60" s="608"/>
      <c r="AF60" s="779"/>
    </row>
    <row r="61" spans="1:32" ht="12.75" customHeight="1" x14ac:dyDescent="0.3">
      <c r="A61" s="778"/>
      <c r="C61" s="778"/>
      <c r="D61" s="778"/>
      <c r="E61" s="778"/>
      <c r="F61" s="778"/>
      <c r="G61" s="778"/>
      <c r="H61" s="778"/>
      <c r="I61" s="778"/>
      <c r="J61" s="778"/>
      <c r="K61" s="778"/>
      <c r="L61" s="778"/>
      <c r="M61" s="778"/>
      <c r="N61" s="778"/>
      <c r="O61" s="778"/>
      <c r="P61" s="778"/>
      <c r="Q61" s="778"/>
      <c r="R61" s="778"/>
      <c r="S61" s="778"/>
      <c r="T61" s="778"/>
      <c r="U61" s="778"/>
      <c r="V61" s="778"/>
      <c r="W61" s="778"/>
      <c r="X61" s="778"/>
      <c r="Y61" s="778"/>
      <c r="Z61" s="778"/>
      <c r="AA61" s="778"/>
      <c r="AB61" s="778"/>
      <c r="AD61" s="966"/>
      <c r="AE61" s="608"/>
      <c r="AF61" s="779"/>
    </row>
    <row r="62" spans="1:32" ht="12.75" customHeight="1" x14ac:dyDescent="0.3">
      <c r="A62" s="778"/>
      <c r="C62" s="778"/>
      <c r="D62" s="778"/>
      <c r="E62" s="778"/>
      <c r="F62" s="778"/>
      <c r="G62" s="778"/>
      <c r="H62" s="778"/>
      <c r="I62" s="778"/>
      <c r="J62" s="778"/>
      <c r="K62" s="778"/>
      <c r="L62" s="778"/>
      <c r="M62" s="778"/>
      <c r="N62" s="778"/>
      <c r="O62" s="778"/>
      <c r="P62" s="778"/>
      <c r="Q62" s="778"/>
      <c r="R62" s="778"/>
      <c r="S62" s="778"/>
      <c r="T62" s="778"/>
      <c r="U62" s="778"/>
      <c r="V62" s="778"/>
      <c r="W62" s="778"/>
      <c r="X62" s="778"/>
      <c r="Y62" s="778"/>
      <c r="Z62" s="778"/>
      <c r="AA62" s="778"/>
      <c r="AB62" s="778"/>
      <c r="AD62" s="966"/>
      <c r="AE62" s="608"/>
      <c r="AF62" s="779"/>
    </row>
    <row r="63" spans="1:32" ht="12.75" customHeight="1" x14ac:dyDescent="0.3">
      <c r="A63" s="778"/>
      <c r="C63" s="778"/>
      <c r="D63" s="778"/>
      <c r="E63" s="778"/>
      <c r="F63" s="778"/>
      <c r="G63" s="778"/>
      <c r="H63" s="778"/>
      <c r="I63" s="778"/>
      <c r="J63" s="778"/>
      <c r="K63" s="778"/>
      <c r="L63" s="778"/>
      <c r="M63" s="778"/>
      <c r="N63" s="778"/>
      <c r="O63" s="778"/>
      <c r="P63" s="778"/>
      <c r="Q63" s="778"/>
      <c r="R63" s="778"/>
      <c r="S63" s="778"/>
      <c r="T63" s="778"/>
      <c r="U63" s="778"/>
      <c r="V63" s="778"/>
      <c r="W63" s="778"/>
      <c r="X63" s="778"/>
      <c r="Y63" s="778"/>
      <c r="Z63" s="778"/>
      <c r="AA63" s="778"/>
      <c r="AB63" s="778"/>
      <c r="AD63" s="966"/>
      <c r="AE63" s="608"/>
      <c r="AF63" s="779"/>
    </row>
    <row r="64" spans="1:32" ht="12.75" customHeight="1" x14ac:dyDescent="0.3">
      <c r="A64" s="778"/>
      <c r="C64" s="778"/>
      <c r="D64" s="778"/>
      <c r="E64" s="778"/>
      <c r="F64" s="778"/>
      <c r="G64" s="778"/>
      <c r="H64" s="778"/>
      <c r="I64" s="778"/>
      <c r="J64" s="778"/>
      <c r="K64" s="778"/>
      <c r="L64" s="778"/>
      <c r="M64" s="778"/>
      <c r="N64" s="778"/>
      <c r="O64" s="778"/>
      <c r="P64" s="778"/>
      <c r="Q64" s="778"/>
      <c r="R64" s="778"/>
      <c r="S64" s="778"/>
      <c r="T64" s="778"/>
      <c r="U64" s="778"/>
      <c r="V64" s="778"/>
      <c r="W64" s="778"/>
      <c r="X64" s="778"/>
      <c r="Y64" s="778"/>
      <c r="Z64" s="778"/>
      <c r="AA64" s="778"/>
      <c r="AB64" s="778"/>
      <c r="AD64" s="966"/>
      <c r="AE64" s="608"/>
      <c r="AF64" s="779"/>
    </row>
    <row r="65" spans="1:32" ht="12.75" customHeight="1" x14ac:dyDescent="0.3">
      <c r="A65" s="778"/>
      <c r="C65" s="778"/>
      <c r="D65" s="778"/>
      <c r="E65" s="778"/>
      <c r="F65" s="778"/>
      <c r="G65" s="778"/>
      <c r="H65" s="778"/>
      <c r="I65" s="778"/>
      <c r="J65" s="778"/>
      <c r="K65" s="778"/>
      <c r="L65" s="778"/>
      <c r="M65" s="778"/>
      <c r="N65" s="778"/>
      <c r="O65" s="778"/>
      <c r="P65" s="778"/>
      <c r="Q65" s="778"/>
      <c r="R65" s="778"/>
      <c r="S65" s="778"/>
      <c r="T65" s="778"/>
      <c r="U65" s="778"/>
      <c r="V65" s="778"/>
      <c r="W65" s="778"/>
      <c r="X65" s="778"/>
      <c r="Y65" s="778"/>
      <c r="Z65" s="778"/>
      <c r="AA65" s="778"/>
      <c r="AB65" s="778"/>
      <c r="AD65" s="966"/>
      <c r="AE65" s="608"/>
      <c r="AF65" s="779"/>
    </row>
    <row r="66" spans="1:32" ht="12.75" customHeight="1" x14ac:dyDescent="0.3">
      <c r="A66" s="778"/>
      <c r="C66" s="778"/>
      <c r="D66" s="778"/>
      <c r="E66" s="778"/>
      <c r="F66" s="778"/>
      <c r="G66" s="778"/>
      <c r="H66" s="778"/>
      <c r="I66" s="778"/>
      <c r="J66" s="778"/>
      <c r="K66" s="778"/>
      <c r="L66" s="778"/>
      <c r="M66" s="778"/>
      <c r="N66" s="778"/>
      <c r="O66" s="778"/>
      <c r="P66" s="778"/>
      <c r="Q66" s="778"/>
      <c r="R66" s="778"/>
      <c r="S66" s="778"/>
      <c r="T66" s="778"/>
      <c r="U66" s="778"/>
      <c r="V66" s="778"/>
      <c r="W66" s="778"/>
      <c r="X66" s="778"/>
      <c r="Y66" s="778"/>
      <c r="Z66" s="778"/>
      <c r="AA66" s="778"/>
      <c r="AB66" s="778"/>
      <c r="AD66" s="966"/>
      <c r="AE66" s="608"/>
      <c r="AF66" s="779"/>
    </row>
    <row r="67" spans="1:32" ht="12.75" customHeight="1" x14ac:dyDescent="0.3">
      <c r="A67" s="778"/>
      <c r="C67" s="778"/>
      <c r="D67" s="778"/>
      <c r="E67" s="778"/>
      <c r="F67" s="778"/>
      <c r="G67" s="778"/>
      <c r="H67" s="778"/>
      <c r="I67" s="778"/>
      <c r="J67" s="778"/>
      <c r="K67" s="778"/>
      <c r="L67" s="778"/>
      <c r="M67" s="778"/>
      <c r="N67" s="778"/>
      <c r="O67" s="778"/>
      <c r="P67" s="778"/>
      <c r="Q67" s="778"/>
      <c r="R67" s="778"/>
      <c r="S67" s="778"/>
      <c r="T67" s="778"/>
      <c r="U67" s="778"/>
      <c r="V67" s="778"/>
      <c r="W67" s="778"/>
      <c r="X67" s="778"/>
      <c r="Y67" s="778"/>
      <c r="Z67" s="778"/>
      <c r="AA67" s="778"/>
      <c r="AB67" s="778"/>
      <c r="AD67" s="966"/>
      <c r="AE67" s="608"/>
      <c r="AF67" s="779"/>
    </row>
    <row r="68" spans="1:32" ht="12.75" customHeight="1" x14ac:dyDescent="0.3">
      <c r="A68" s="778"/>
      <c r="C68" s="778"/>
      <c r="D68" s="778"/>
      <c r="E68" s="778"/>
      <c r="F68" s="778"/>
      <c r="G68" s="778"/>
      <c r="H68" s="778"/>
      <c r="I68" s="778"/>
      <c r="J68" s="778"/>
      <c r="K68" s="778"/>
      <c r="L68" s="778"/>
      <c r="M68" s="778"/>
      <c r="N68" s="778"/>
      <c r="O68" s="778"/>
      <c r="P68" s="778"/>
      <c r="Q68" s="778"/>
      <c r="R68" s="778"/>
      <c r="S68" s="778"/>
      <c r="T68" s="778"/>
      <c r="U68" s="778"/>
      <c r="V68" s="778"/>
      <c r="W68" s="778"/>
      <c r="X68" s="778"/>
      <c r="Y68" s="778"/>
      <c r="Z68" s="778"/>
      <c r="AA68" s="778"/>
      <c r="AB68" s="778"/>
      <c r="AD68" s="966"/>
      <c r="AE68" s="608"/>
      <c r="AF68" s="779"/>
    </row>
    <row r="69" spans="1:32" ht="12.75" customHeight="1" x14ac:dyDescent="0.3">
      <c r="A69" s="778"/>
      <c r="C69" s="778"/>
      <c r="D69" s="778"/>
      <c r="E69" s="778"/>
      <c r="F69" s="778"/>
      <c r="G69" s="778"/>
      <c r="H69" s="778"/>
      <c r="I69" s="778"/>
      <c r="J69" s="778"/>
      <c r="K69" s="778"/>
      <c r="L69" s="778"/>
      <c r="M69" s="778"/>
      <c r="N69" s="778"/>
      <c r="O69" s="778"/>
      <c r="P69" s="778"/>
      <c r="Q69" s="778"/>
      <c r="R69" s="778"/>
      <c r="S69" s="778"/>
      <c r="T69" s="778"/>
      <c r="U69" s="778"/>
      <c r="V69" s="778"/>
      <c r="W69" s="778"/>
      <c r="X69" s="778"/>
      <c r="Y69" s="778"/>
      <c r="Z69" s="778"/>
      <c r="AA69" s="778"/>
      <c r="AB69" s="778"/>
      <c r="AD69" s="966"/>
      <c r="AE69" s="608"/>
      <c r="AF69" s="779"/>
    </row>
    <row r="70" spans="1:32" ht="12.75" customHeight="1" x14ac:dyDescent="0.3">
      <c r="A70" s="778"/>
      <c r="C70" s="778"/>
      <c r="D70" s="778"/>
      <c r="E70" s="778"/>
      <c r="F70" s="778"/>
      <c r="G70" s="778"/>
      <c r="H70" s="778"/>
      <c r="I70" s="778"/>
      <c r="J70" s="778"/>
      <c r="K70" s="778"/>
      <c r="L70" s="778"/>
      <c r="M70" s="778"/>
      <c r="N70" s="778"/>
      <c r="O70" s="778"/>
      <c r="P70" s="778"/>
      <c r="Q70" s="778"/>
      <c r="R70" s="778"/>
      <c r="S70" s="778"/>
      <c r="T70" s="778"/>
      <c r="U70" s="778"/>
      <c r="V70" s="778"/>
      <c r="W70" s="778"/>
      <c r="X70" s="778"/>
      <c r="Y70" s="778"/>
      <c r="Z70" s="778"/>
      <c r="AA70" s="778"/>
      <c r="AB70" s="778"/>
      <c r="AD70" s="966"/>
    </row>
    <row r="71" spans="1:32" ht="12.75" customHeight="1" x14ac:dyDescent="0.3">
      <c r="A71" s="778"/>
      <c r="C71" s="778"/>
      <c r="D71" s="778"/>
      <c r="E71" s="778"/>
      <c r="F71" s="778"/>
      <c r="G71" s="778"/>
      <c r="H71" s="778"/>
      <c r="I71" s="778"/>
      <c r="J71" s="778"/>
      <c r="K71" s="778"/>
      <c r="L71" s="778"/>
      <c r="M71" s="778"/>
      <c r="N71" s="778"/>
      <c r="O71" s="778"/>
      <c r="P71" s="778"/>
      <c r="Q71" s="778"/>
      <c r="R71" s="778"/>
      <c r="S71" s="778"/>
      <c r="T71" s="778"/>
      <c r="U71" s="778"/>
      <c r="V71" s="778"/>
      <c r="W71" s="778"/>
      <c r="X71" s="778"/>
      <c r="Y71" s="778"/>
      <c r="Z71" s="778"/>
      <c r="AA71" s="778"/>
      <c r="AB71" s="778"/>
      <c r="AD71" s="966"/>
    </row>
    <row r="72" spans="1:32" ht="12.75" customHeight="1" x14ac:dyDescent="0.3">
      <c r="A72" s="778"/>
      <c r="C72" s="778"/>
      <c r="D72" s="778"/>
      <c r="E72" s="778"/>
      <c r="F72" s="778"/>
      <c r="G72" s="778"/>
      <c r="H72" s="778"/>
      <c r="I72" s="778"/>
      <c r="J72" s="778"/>
      <c r="K72" s="778"/>
      <c r="L72" s="778"/>
      <c r="M72" s="778"/>
      <c r="N72" s="778"/>
      <c r="O72" s="778"/>
      <c r="P72" s="778"/>
      <c r="Q72" s="778"/>
      <c r="R72" s="778"/>
      <c r="S72" s="778"/>
      <c r="T72" s="778"/>
      <c r="U72" s="778"/>
      <c r="V72" s="778"/>
      <c r="W72" s="778"/>
      <c r="X72" s="778"/>
      <c r="Y72" s="778"/>
      <c r="Z72" s="778"/>
      <c r="AA72" s="778"/>
      <c r="AB72" s="778"/>
      <c r="AD72" s="966"/>
    </row>
    <row r="73" spans="1:32" ht="12.75" customHeight="1" x14ac:dyDescent="0.3">
      <c r="A73" s="778"/>
      <c r="C73" s="778"/>
      <c r="D73" s="778"/>
      <c r="E73" s="778"/>
      <c r="F73" s="778"/>
      <c r="G73" s="778"/>
      <c r="H73" s="778"/>
      <c r="I73" s="778"/>
      <c r="J73" s="778"/>
      <c r="K73" s="778"/>
      <c r="L73" s="778"/>
      <c r="M73" s="778"/>
      <c r="N73" s="778"/>
      <c r="O73" s="778"/>
      <c r="P73" s="778"/>
      <c r="Q73" s="778"/>
      <c r="R73" s="778"/>
      <c r="S73" s="778"/>
      <c r="T73" s="778"/>
      <c r="U73" s="778"/>
      <c r="V73" s="778"/>
      <c r="W73" s="778"/>
      <c r="X73" s="778"/>
      <c r="Y73" s="778"/>
      <c r="Z73" s="778"/>
      <c r="AA73" s="778"/>
      <c r="AB73" s="778"/>
      <c r="AD73" s="966"/>
    </row>
    <row r="74" spans="1:32" ht="12.75" customHeight="1" x14ac:dyDescent="0.3">
      <c r="A74" s="778"/>
      <c r="C74" s="778"/>
      <c r="D74" s="778"/>
      <c r="E74" s="778"/>
      <c r="F74" s="778"/>
      <c r="G74" s="778"/>
      <c r="H74" s="778"/>
      <c r="I74" s="778"/>
      <c r="J74" s="778"/>
      <c r="K74" s="778"/>
      <c r="L74" s="778"/>
      <c r="M74" s="778"/>
      <c r="N74" s="778"/>
      <c r="O74" s="778"/>
      <c r="P74" s="778"/>
      <c r="Q74" s="778"/>
      <c r="R74" s="778"/>
      <c r="S74" s="778"/>
      <c r="T74" s="778"/>
      <c r="U74" s="778"/>
      <c r="V74" s="778"/>
      <c r="W74" s="778"/>
      <c r="X74" s="778"/>
      <c r="Y74" s="778"/>
      <c r="Z74" s="778"/>
      <c r="AA74" s="778"/>
      <c r="AB74" s="778"/>
      <c r="AD74" s="966"/>
    </row>
    <row r="75" spans="1:32" ht="12.75" customHeight="1" x14ac:dyDescent="0.3">
      <c r="A75" s="778"/>
      <c r="C75" s="778"/>
      <c r="D75" s="778"/>
      <c r="E75" s="778"/>
      <c r="F75" s="778"/>
      <c r="G75" s="778"/>
      <c r="H75" s="778"/>
      <c r="I75" s="778"/>
      <c r="J75" s="778"/>
      <c r="K75" s="778"/>
      <c r="L75" s="778"/>
      <c r="M75" s="778"/>
      <c r="N75" s="778"/>
      <c r="O75" s="778"/>
      <c r="P75" s="778"/>
      <c r="Q75" s="778"/>
      <c r="R75" s="778"/>
      <c r="S75" s="778"/>
      <c r="T75" s="778"/>
      <c r="U75" s="778"/>
      <c r="V75" s="778"/>
      <c r="W75" s="778"/>
      <c r="X75" s="778"/>
      <c r="Y75" s="778"/>
      <c r="Z75" s="778"/>
      <c r="AA75" s="778"/>
      <c r="AB75" s="778"/>
      <c r="AD75" s="966"/>
    </row>
    <row r="76" spans="1:32" ht="12.75" customHeight="1" x14ac:dyDescent="0.3">
      <c r="A76" s="778"/>
      <c r="C76" s="778"/>
      <c r="D76" s="778"/>
      <c r="E76" s="778"/>
      <c r="F76" s="778"/>
      <c r="G76" s="778"/>
      <c r="H76" s="778"/>
      <c r="I76" s="778"/>
      <c r="J76" s="778"/>
      <c r="K76" s="778"/>
      <c r="L76" s="778"/>
      <c r="M76" s="778"/>
      <c r="N76" s="778"/>
      <c r="O76" s="778"/>
      <c r="P76" s="778"/>
      <c r="Q76" s="778"/>
      <c r="R76" s="778"/>
      <c r="S76" s="778"/>
      <c r="T76" s="778"/>
      <c r="U76" s="778"/>
      <c r="V76" s="778"/>
      <c r="W76" s="778"/>
      <c r="X76" s="778"/>
      <c r="Y76" s="778"/>
      <c r="Z76" s="778"/>
      <c r="AA76" s="778"/>
      <c r="AB76" s="778"/>
      <c r="AD76" s="966"/>
    </row>
    <row r="77" spans="1:32" ht="12.75" customHeight="1" x14ac:dyDescent="0.3">
      <c r="A77" s="778"/>
      <c r="C77" s="778"/>
      <c r="D77" s="778"/>
      <c r="E77" s="778"/>
      <c r="F77" s="778"/>
      <c r="G77" s="778"/>
      <c r="H77" s="778"/>
      <c r="I77" s="778"/>
      <c r="J77" s="778"/>
      <c r="K77" s="778"/>
      <c r="L77" s="778"/>
      <c r="M77" s="778"/>
      <c r="N77" s="778"/>
      <c r="O77" s="778"/>
      <c r="P77" s="778"/>
      <c r="Q77" s="778"/>
      <c r="R77" s="778"/>
      <c r="S77" s="778"/>
      <c r="T77" s="778"/>
      <c r="U77" s="778"/>
      <c r="V77" s="778"/>
      <c r="W77" s="778"/>
      <c r="X77" s="778"/>
      <c r="Y77" s="778"/>
      <c r="Z77" s="778"/>
      <c r="AA77" s="778"/>
      <c r="AB77" s="778"/>
      <c r="AD77" s="966"/>
    </row>
    <row r="78" spans="1:32" ht="12.75" customHeight="1" x14ac:dyDescent="0.3">
      <c r="A78" s="778"/>
      <c r="C78" s="778"/>
      <c r="D78" s="778"/>
      <c r="E78" s="778"/>
      <c r="F78" s="778"/>
      <c r="G78" s="778"/>
      <c r="H78" s="778"/>
      <c r="I78" s="778"/>
      <c r="J78" s="778"/>
      <c r="K78" s="778"/>
      <c r="L78" s="778"/>
      <c r="M78" s="778"/>
      <c r="N78" s="778"/>
      <c r="O78" s="778"/>
      <c r="P78" s="778"/>
      <c r="Q78" s="778"/>
      <c r="R78" s="778"/>
      <c r="S78" s="778"/>
      <c r="T78" s="778"/>
      <c r="U78" s="778"/>
      <c r="V78" s="778"/>
      <c r="W78" s="778"/>
      <c r="X78" s="778"/>
      <c r="Y78" s="778"/>
      <c r="Z78" s="778"/>
      <c r="AA78" s="778"/>
      <c r="AB78" s="778"/>
      <c r="AD78" s="966"/>
    </row>
    <row r="79" spans="1:32" ht="12.75" customHeight="1" x14ac:dyDescent="0.3">
      <c r="A79" s="778"/>
      <c r="C79" s="778"/>
      <c r="D79" s="778"/>
      <c r="E79" s="778"/>
      <c r="F79" s="778"/>
      <c r="G79" s="778"/>
      <c r="H79" s="778"/>
      <c r="I79" s="778"/>
      <c r="J79" s="778"/>
      <c r="K79" s="778"/>
      <c r="L79" s="778"/>
      <c r="M79" s="778"/>
      <c r="N79" s="778"/>
      <c r="O79" s="778"/>
      <c r="P79" s="778"/>
      <c r="Q79" s="778"/>
      <c r="R79" s="778"/>
      <c r="S79" s="778"/>
      <c r="T79" s="778"/>
      <c r="U79" s="778"/>
      <c r="V79" s="778"/>
      <c r="W79" s="778"/>
      <c r="X79" s="778"/>
      <c r="Y79" s="778"/>
      <c r="Z79" s="778"/>
      <c r="AA79" s="778"/>
      <c r="AB79" s="778"/>
      <c r="AD79" s="966"/>
    </row>
    <row r="80" spans="1:32" ht="12.75" customHeight="1" x14ac:dyDescent="0.3">
      <c r="A80" s="778"/>
      <c r="C80" s="778"/>
      <c r="D80" s="778"/>
      <c r="E80" s="778"/>
      <c r="F80" s="778"/>
      <c r="G80" s="778"/>
      <c r="H80" s="778"/>
      <c r="I80" s="778"/>
      <c r="J80" s="778"/>
      <c r="K80" s="778"/>
      <c r="L80" s="778"/>
      <c r="M80" s="778"/>
      <c r="N80" s="778"/>
      <c r="O80" s="778"/>
      <c r="P80" s="778"/>
      <c r="Q80" s="778"/>
      <c r="R80" s="778"/>
      <c r="S80" s="778"/>
      <c r="T80" s="778"/>
      <c r="U80" s="778"/>
      <c r="V80" s="778"/>
      <c r="W80" s="778"/>
      <c r="X80" s="778"/>
      <c r="Y80" s="778"/>
      <c r="Z80" s="778"/>
      <c r="AA80" s="778"/>
      <c r="AB80" s="778"/>
      <c r="AD80" s="966"/>
    </row>
    <row r="81" spans="1:30" ht="12.75" customHeight="1" x14ac:dyDescent="0.3">
      <c r="A81" s="778"/>
      <c r="C81" s="778"/>
      <c r="D81" s="778"/>
      <c r="E81" s="778"/>
      <c r="F81" s="778"/>
      <c r="G81" s="778"/>
      <c r="H81" s="778"/>
      <c r="I81" s="778"/>
      <c r="J81" s="778"/>
      <c r="K81" s="778"/>
      <c r="L81" s="778"/>
      <c r="M81" s="778"/>
      <c r="N81" s="778"/>
      <c r="O81" s="778"/>
      <c r="P81" s="778"/>
      <c r="Q81" s="778"/>
      <c r="R81" s="778"/>
      <c r="S81" s="778"/>
      <c r="T81" s="778"/>
      <c r="U81" s="778"/>
      <c r="V81" s="778"/>
      <c r="W81" s="778"/>
      <c r="X81" s="778"/>
      <c r="Y81" s="778"/>
      <c r="Z81" s="778"/>
      <c r="AA81" s="778"/>
      <c r="AB81" s="778"/>
      <c r="AD81" s="966"/>
    </row>
    <row r="82" spans="1:30" ht="12.75" customHeight="1" x14ac:dyDescent="0.3">
      <c r="A82" s="778"/>
      <c r="C82" s="778"/>
      <c r="D82" s="778"/>
      <c r="E82" s="778"/>
      <c r="F82" s="778"/>
      <c r="G82" s="778"/>
      <c r="H82" s="778"/>
      <c r="I82" s="778"/>
      <c r="J82" s="778"/>
      <c r="K82" s="778"/>
      <c r="L82" s="778"/>
      <c r="M82" s="778"/>
      <c r="N82" s="778"/>
      <c r="O82" s="778"/>
      <c r="P82" s="778"/>
      <c r="Q82" s="778"/>
      <c r="R82" s="778"/>
      <c r="S82" s="778"/>
      <c r="T82" s="778"/>
      <c r="U82" s="778"/>
      <c r="V82" s="778"/>
      <c r="W82" s="778"/>
      <c r="X82" s="778"/>
      <c r="Y82" s="778"/>
      <c r="Z82" s="778"/>
      <c r="AA82" s="778"/>
      <c r="AB82" s="778"/>
      <c r="AD82" s="966"/>
    </row>
    <row r="83" spans="1:30" ht="12.75" customHeight="1" x14ac:dyDescent="0.3">
      <c r="A83" s="778"/>
      <c r="C83" s="778"/>
      <c r="D83" s="778"/>
      <c r="E83" s="778"/>
      <c r="F83" s="778"/>
      <c r="G83" s="778"/>
      <c r="H83" s="778"/>
      <c r="I83" s="778"/>
      <c r="J83" s="778"/>
      <c r="K83" s="778"/>
      <c r="L83" s="778"/>
      <c r="M83" s="778"/>
      <c r="N83" s="778"/>
      <c r="O83" s="778"/>
      <c r="P83" s="778"/>
      <c r="Q83" s="778"/>
      <c r="R83" s="778"/>
      <c r="S83" s="778"/>
      <c r="T83" s="778"/>
      <c r="U83" s="778"/>
      <c r="V83" s="778"/>
      <c r="W83" s="778"/>
      <c r="X83" s="778"/>
      <c r="Y83" s="778"/>
      <c r="Z83" s="778"/>
      <c r="AA83" s="778"/>
      <c r="AB83" s="778"/>
    </row>
    <row r="84" spans="1:30" ht="12.75" customHeight="1" x14ac:dyDescent="0.3">
      <c r="A84" s="778"/>
      <c r="C84" s="778"/>
      <c r="D84" s="778"/>
      <c r="E84" s="778"/>
      <c r="F84" s="778"/>
      <c r="G84" s="778"/>
      <c r="H84" s="778"/>
      <c r="I84" s="778"/>
      <c r="J84" s="778"/>
      <c r="K84" s="778"/>
      <c r="L84" s="778"/>
      <c r="M84" s="778"/>
      <c r="N84" s="778"/>
      <c r="O84" s="778"/>
      <c r="P84" s="778"/>
      <c r="Q84" s="778"/>
      <c r="R84" s="778"/>
      <c r="S84" s="778"/>
      <c r="T84" s="778"/>
      <c r="U84" s="778"/>
      <c r="V84" s="778"/>
      <c r="W84" s="778"/>
      <c r="X84" s="778"/>
      <c r="Y84" s="778"/>
      <c r="Z84" s="778"/>
      <c r="AA84" s="778"/>
      <c r="AB84" s="778"/>
    </row>
    <row r="85" spans="1:30" ht="12.75" customHeight="1" x14ac:dyDescent="0.3">
      <c r="A85" s="778"/>
      <c r="C85" s="778"/>
      <c r="D85" s="778"/>
      <c r="E85" s="778"/>
      <c r="F85" s="778"/>
      <c r="G85" s="778"/>
      <c r="H85" s="778"/>
      <c r="I85" s="778"/>
      <c r="J85" s="778"/>
      <c r="K85" s="778"/>
      <c r="L85" s="778"/>
      <c r="M85" s="778"/>
      <c r="N85" s="778"/>
      <c r="O85" s="778"/>
      <c r="P85" s="778"/>
      <c r="Q85" s="778"/>
      <c r="R85" s="778"/>
      <c r="S85" s="778"/>
      <c r="T85" s="778"/>
      <c r="U85" s="778"/>
      <c r="V85" s="778"/>
      <c r="W85" s="778"/>
      <c r="X85" s="778"/>
      <c r="Y85" s="778"/>
      <c r="Z85" s="778"/>
      <c r="AA85" s="778"/>
      <c r="AB85" s="778"/>
    </row>
    <row r="86" spans="1:30" ht="12.75" customHeight="1" x14ac:dyDescent="0.3">
      <c r="A86" s="778"/>
      <c r="C86" s="778"/>
      <c r="D86" s="778"/>
      <c r="E86" s="778"/>
      <c r="F86" s="778"/>
      <c r="G86" s="778"/>
      <c r="H86" s="778"/>
      <c r="I86" s="778"/>
      <c r="J86" s="778"/>
      <c r="K86" s="778"/>
      <c r="L86" s="778"/>
      <c r="M86" s="778"/>
      <c r="N86" s="778"/>
      <c r="O86" s="778"/>
      <c r="P86" s="778"/>
      <c r="Q86" s="778"/>
      <c r="R86" s="778"/>
      <c r="S86" s="778"/>
      <c r="T86" s="778"/>
      <c r="U86" s="778"/>
      <c r="V86" s="778"/>
      <c r="W86" s="778"/>
      <c r="X86" s="778"/>
      <c r="Y86" s="778"/>
      <c r="Z86" s="778"/>
      <c r="AA86" s="778"/>
      <c r="AB86" s="778"/>
    </row>
    <row r="87" spans="1:30" ht="12.75" customHeight="1" x14ac:dyDescent="0.3">
      <c r="A87" s="778"/>
      <c r="C87" s="778"/>
      <c r="D87" s="778"/>
      <c r="E87" s="778"/>
      <c r="F87" s="778"/>
      <c r="G87" s="778"/>
      <c r="H87" s="778"/>
      <c r="I87" s="778"/>
      <c r="J87" s="778"/>
      <c r="K87" s="778"/>
      <c r="L87" s="778"/>
      <c r="M87" s="778"/>
      <c r="N87" s="778"/>
      <c r="O87" s="778"/>
      <c r="P87" s="778"/>
      <c r="Q87" s="778"/>
      <c r="R87" s="778"/>
      <c r="S87" s="778"/>
      <c r="T87" s="778"/>
      <c r="U87" s="778"/>
      <c r="V87" s="778"/>
      <c r="W87" s="778"/>
      <c r="X87" s="778"/>
      <c r="Y87" s="778"/>
      <c r="Z87" s="778"/>
      <c r="AA87" s="778"/>
      <c r="AB87" s="778"/>
    </row>
    <row r="88" spans="1:30" ht="12.75" customHeight="1" x14ac:dyDescent="0.3">
      <c r="A88" s="778"/>
      <c r="C88" s="778"/>
      <c r="D88" s="778"/>
      <c r="E88" s="778"/>
      <c r="F88" s="778"/>
      <c r="G88" s="778"/>
      <c r="H88" s="778"/>
      <c r="I88" s="778"/>
      <c r="J88" s="778"/>
      <c r="K88" s="778"/>
      <c r="L88" s="778"/>
      <c r="M88" s="778"/>
      <c r="N88" s="778"/>
      <c r="O88" s="778"/>
      <c r="P88" s="778"/>
      <c r="Q88" s="778"/>
      <c r="R88" s="778"/>
      <c r="S88" s="778"/>
      <c r="T88" s="778"/>
      <c r="U88" s="778"/>
      <c r="V88" s="778"/>
      <c r="W88" s="778"/>
      <c r="X88" s="778"/>
      <c r="Y88" s="778"/>
      <c r="Z88" s="778"/>
      <c r="AA88" s="778"/>
      <c r="AB88" s="778"/>
    </row>
    <row r="89" spans="1:30" ht="12.75" customHeight="1" x14ac:dyDescent="0.3">
      <c r="A89" s="778"/>
      <c r="C89" s="778"/>
      <c r="D89" s="778"/>
      <c r="E89" s="778"/>
      <c r="F89" s="778"/>
      <c r="G89" s="778"/>
      <c r="H89" s="778"/>
      <c r="I89" s="778"/>
      <c r="J89" s="778"/>
      <c r="K89" s="778"/>
      <c r="L89" s="778"/>
      <c r="M89" s="778"/>
      <c r="N89" s="778"/>
      <c r="O89" s="778"/>
      <c r="P89" s="778"/>
      <c r="Q89" s="778"/>
      <c r="R89" s="778"/>
      <c r="S89" s="778"/>
      <c r="T89" s="778"/>
      <c r="U89" s="778"/>
      <c r="V89" s="778"/>
      <c r="W89" s="778"/>
      <c r="X89" s="778"/>
      <c r="Y89" s="778"/>
      <c r="Z89" s="778"/>
      <c r="AA89" s="778"/>
      <c r="AB89" s="778"/>
    </row>
    <row r="90" spans="1:30" ht="12.75" customHeight="1" x14ac:dyDescent="0.3">
      <c r="A90" s="778"/>
      <c r="C90" s="778"/>
      <c r="D90" s="778"/>
      <c r="E90" s="778"/>
      <c r="F90" s="778"/>
      <c r="G90" s="778"/>
      <c r="H90" s="778"/>
      <c r="I90" s="778"/>
      <c r="J90" s="778"/>
      <c r="K90" s="778"/>
      <c r="L90" s="778"/>
      <c r="M90" s="778"/>
      <c r="N90" s="778"/>
      <c r="O90" s="778"/>
      <c r="P90" s="778"/>
      <c r="Q90" s="778"/>
      <c r="R90" s="778"/>
      <c r="S90" s="778"/>
      <c r="T90" s="778"/>
      <c r="U90" s="778"/>
      <c r="V90" s="778"/>
      <c r="W90" s="778"/>
      <c r="X90" s="778"/>
      <c r="Y90" s="778"/>
      <c r="Z90" s="778"/>
      <c r="AA90" s="778"/>
      <c r="AB90" s="778"/>
    </row>
    <row r="91" spans="1:30" ht="12.75" customHeight="1" x14ac:dyDescent="0.3">
      <c r="A91" s="778"/>
      <c r="C91" s="778"/>
      <c r="D91" s="778"/>
      <c r="E91" s="778"/>
      <c r="F91" s="778"/>
      <c r="G91" s="778"/>
      <c r="H91" s="778"/>
      <c r="I91" s="778"/>
      <c r="J91" s="778"/>
      <c r="K91" s="778"/>
      <c r="L91" s="778"/>
      <c r="M91" s="778"/>
      <c r="N91" s="778"/>
      <c r="O91" s="778"/>
      <c r="P91" s="778"/>
      <c r="Q91" s="778"/>
      <c r="R91" s="778"/>
      <c r="S91" s="778"/>
      <c r="T91" s="778"/>
      <c r="U91" s="778"/>
      <c r="V91" s="778"/>
      <c r="W91" s="778"/>
      <c r="X91" s="778"/>
      <c r="Y91" s="778"/>
      <c r="Z91" s="778"/>
      <c r="AA91" s="778"/>
      <c r="AB91" s="778"/>
    </row>
    <row r="92" spans="1:30" ht="12.75" customHeight="1" x14ac:dyDescent="0.3">
      <c r="A92" s="778"/>
      <c r="C92" s="778"/>
      <c r="D92" s="778"/>
      <c r="E92" s="778"/>
      <c r="F92" s="778"/>
      <c r="G92" s="778"/>
      <c r="H92" s="778"/>
      <c r="I92" s="778"/>
      <c r="J92" s="778"/>
      <c r="K92" s="778"/>
      <c r="L92" s="778"/>
      <c r="M92" s="778"/>
      <c r="N92" s="778"/>
      <c r="O92" s="778"/>
      <c r="P92" s="778"/>
      <c r="Q92" s="778"/>
      <c r="R92" s="778"/>
      <c r="S92" s="778"/>
      <c r="T92" s="778"/>
      <c r="U92" s="778"/>
      <c r="V92" s="778"/>
      <c r="W92" s="778"/>
      <c r="X92" s="778"/>
      <c r="Y92" s="778"/>
      <c r="Z92" s="778"/>
      <c r="AA92" s="778"/>
      <c r="AB92" s="778"/>
    </row>
    <row r="93" spans="1:30" ht="12.75" customHeight="1" x14ac:dyDescent="0.3">
      <c r="A93" s="778"/>
      <c r="C93" s="778"/>
      <c r="D93" s="778"/>
      <c r="E93" s="778"/>
      <c r="F93" s="778"/>
      <c r="G93" s="778"/>
      <c r="H93" s="778"/>
      <c r="I93" s="778"/>
      <c r="J93" s="778"/>
      <c r="K93" s="778"/>
      <c r="L93" s="778"/>
      <c r="M93" s="778"/>
      <c r="N93" s="778"/>
      <c r="O93" s="778"/>
      <c r="P93" s="778"/>
      <c r="Q93" s="778"/>
      <c r="R93" s="778"/>
      <c r="S93" s="778"/>
      <c r="T93" s="778"/>
      <c r="U93" s="778"/>
      <c r="V93" s="778"/>
      <c r="W93" s="778"/>
      <c r="X93" s="778"/>
      <c r="Y93" s="778"/>
      <c r="Z93" s="778"/>
      <c r="AA93" s="778"/>
      <c r="AB93" s="778"/>
    </row>
    <row r="94" spans="1:30" ht="12.75" customHeight="1" x14ac:dyDescent="0.3">
      <c r="A94" s="778"/>
      <c r="C94" s="778"/>
      <c r="D94" s="778"/>
      <c r="E94" s="778"/>
      <c r="F94" s="778"/>
      <c r="G94" s="778"/>
      <c r="H94" s="778"/>
      <c r="I94" s="778"/>
      <c r="J94" s="778"/>
      <c r="K94" s="778"/>
      <c r="L94" s="778"/>
      <c r="M94" s="778"/>
      <c r="N94" s="778"/>
      <c r="O94" s="778"/>
      <c r="P94" s="778"/>
      <c r="Q94" s="778"/>
      <c r="R94" s="778"/>
      <c r="S94" s="778"/>
      <c r="T94" s="778"/>
      <c r="U94" s="778"/>
      <c r="V94" s="778"/>
      <c r="W94" s="778"/>
      <c r="X94" s="778"/>
      <c r="Y94" s="778"/>
      <c r="Z94" s="778"/>
      <c r="AA94" s="778"/>
      <c r="AB94" s="778"/>
    </row>
    <row r="95" spans="1:30" ht="12.75" customHeight="1" x14ac:dyDescent="0.3">
      <c r="A95" s="778"/>
      <c r="C95" s="778"/>
      <c r="D95" s="778"/>
      <c r="E95" s="778"/>
      <c r="F95" s="778"/>
      <c r="G95" s="778"/>
      <c r="H95" s="778"/>
      <c r="I95" s="778"/>
      <c r="J95" s="778"/>
      <c r="K95" s="778"/>
      <c r="L95" s="778"/>
      <c r="M95" s="778"/>
      <c r="N95" s="778"/>
      <c r="O95" s="778"/>
      <c r="P95" s="778"/>
      <c r="Q95" s="778"/>
      <c r="R95" s="778"/>
      <c r="S95" s="778"/>
      <c r="T95" s="778"/>
      <c r="U95" s="778"/>
      <c r="V95" s="778"/>
      <c r="W95" s="778"/>
      <c r="X95" s="778"/>
      <c r="Y95" s="778"/>
      <c r="Z95" s="778"/>
      <c r="AA95" s="778"/>
      <c r="AB95" s="778"/>
    </row>
    <row r="96" spans="1:30" ht="12.75" customHeight="1" x14ac:dyDescent="0.3">
      <c r="A96" s="778"/>
      <c r="C96" s="778"/>
      <c r="D96" s="778"/>
      <c r="E96" s="778"/>
      <c r="F96" s="778"/>
      <c r="G96" s="778"/>
      <c r="H96" s="778"/>
      <c r="I96" s="778"/>
      <c r="J96" s="778"/>
      <c r="K96" s="778"/>
      <c r="L96" s="778"/>
      <c r="M96" s="778"/>
      <c r="N96" s="778"/>
      <c r="O96" s="778"/>
      <c r="P96" s="778"/>
      <c r="Q96" s="778"/>
      <c r="R96" s="778"/>
      <c r="S96" s="778"/>
      <c r="T96" s="778"/>
      <c r="U96" s="778"/>
      <c r="V96" s="778"/>
      <c r="W96" s="778"/>
      <c r="X96" s="778"/>
      <c r="Y96" s="778"/>
      <c r="Z96" s="778"/>
      <c r="AA96" s="778"/>
      <c r="AB96" s="778"/>
    </row>
    <row r="97" s="778" customFormat="1" ht="12.75" customHeight="1" x14ac:dyDescent="0.3"/>
    <row r="98" s="778" customFormat="1" ht="12.75" customHeight="1" x14ac:dyDescent="0.3"/>
    <row r="99" s="778" customFormat="1" ht="12.75" customHeight="1" x14ac:dyDescent="0.3"/>
    <row r="100" s="778" customFormat="1" ht="12.75" customHeight="1" x14ac:dyDescent="0.3"/>
    <row r="101" s="778" customFormat="1" ht="12.75" customHeight="1" x14ac:dyDescent="0.3"/>
    <row r="102" s="778" customFormat="1" ht="12.75" customHeight="1" x14ac:dyDescent="0.3"/>
    <row r="103" s="778" customFormat="1" ht="12.75" customHeight="1" x14ac:dyDescent="0.3"/>
    <row r="104" s="778" customFormat="1" ht="12.75" customHeight="1" x14ac:dyDescent="0.3"/>
    <row r="105" s="778" customFormat="1" ht="12.75" customHeight="1" x14ac:dyDescent="0.3"/>
    <row r="106" s="778" customFormat="1" ht="12.75" customHeight="1" x14ac:dyDescent="0.3"/>
    <row r="107" s="778" customFormat="1" ht="12.75" customHeight="1" x14ac:dyDescent="0.3"/>
    <row r="108" s="778" customFormat="1" ht="12.75" customHeight="1" x14ac:dyDescent="0.3"/>
    <row r="109" s="778" customFormat="1" ht="12.75" customHeight="1" x14ac:dyDescent="0.3"/>
    <row r="110" s="778" customFormat="1" ht="12.75" customHeight="1" x14ac:dyDescent="0.3"/>
    <row r="111" s="778" customFormat="1" ht="12.75" customHeight="1" x14ac:dyDescent="0.3"/>
    <row r="112" s="778" customFormat="1" ht="12.75" customHeight="1" x14ac:dyDescent="0.3"/>
    <row r="113" s="778" customFormat="1" ht="12.75" customHeight="1" x14ac:dyDescent="0.3"/>
    <row r="114" s="778" customFormat="1" ht="12.75" customHeight="1" x14ac:dyDescent="0.3"/>
    <row r="115" s="778" customFormat="1" ht="12.75" customHeight="1" x14ac:dyDescent="0.3"/>
    <row r="116" s="778" customFormat="1" ht="12.75" customHeight="1" x14ac:dyDescent="0.3"/>
    <row r="117" s="778" customFormat="1" ht="12.75" customHeight="1" x14ac:dyDescent="0.3"/>
    <row r="118" s="778" customFormat="1" ht="12.75" customHeight="1" x14ac:dyDescent="0.3"/>
    <row r="119" s="778" customFormat="1" ht="12.75" customHeight="1" x14ac:dyDescent="0.3"/>
    <row r="120" s="778" customFormat="1" ht="12.75" customHeight="1" x14ac:dyDescent="0.3"/>
    <row r="121" s="778" customFormat="1" ht="12.75" customHeight="1" x14ac:dyDescent="0.3"/>
    <row r="122" s="778" customFormat="1" ht="12.75" customHeight="1" x14ac:dyDescent="0.3"/>
    <row r="123" s="778" customFormat="1" ht="12.75" customHeight="1" x14ac:dyDescent="0.3"/>
    <row r="124" s="778" customFormat="1" ht="12.75" customHeight="1" x14ac:dyDescent="0.3"/>
    <row r="125" s="778" customFormat="1" ht="12.75" customHeight="1" x14ac:dyDescent="0.3"/>
    <row r="126" s="778" customFormat="1" ht="12.75" customHeight="1" x14ac:dyDescent="0.3"/>
    <row r="127" s="778" customFormat="1" ht="12.75" customHeight="1" x14ac:dyDescent="0.3"/>
    <row r="128" s="778" customFormat="1" ht="12.75" customHeight="1" x14ac:dyDescent="0.3"/>
    <row r="129" s="778" customFormat="1" ht="12.75" customHeight="1" x14ac:dyDescent="0.3"/>
    <row r="130" s="778" customFormat="1" ht="12.75" customHeight="1" x14ac:dyDescent="0.3"/>
    <row r="131" s="778" customFormat="1" ht="12.75" customHeight="1" x14ac:dyDescent="0.3"/>
    <row r="132" s="778" customFormat="1" ht="12.75" customHeight="1" x14ac:dyDescent="0.3"/>
    <row r="133" s="778" customFormat="1" ht="12.75" customHeight="1" x14ac:dyDescent="0.3"/>
    <row r="134" s="778" customFormat="1" ht="12.75" customHeight="1" x14ac:dyDescent="0.3"/>
    <row r="135" s="778" customFormat="1" ht="12.75" customHeight="1" x14ac:dyDescent="0.3"/>
    <row r="136" s="778" customFormat="1" ht="12.75" customHeight="1" x14ac:dyDescent="0.3"/>
    <row r="137" s="778" customFormat="1" ht="12.75" customHeight="1" x14ac:dyDescent="0.3"/>
    <row r="138" s="778" customFormat="1" ht="12.75" customHeight="1" x14ac:dyDescent="0.3"/>
    <row r="139" s="778" customFormat="1" ht="12.75" customHeight="1" x14ac:dyDescent="0.3"/>
    <row r="140" s="778" customFormat="1" ht="12.75" customHeight="1" x14ac:dyDescent="0.3"/>
    <row r="141" s="778" customFormat="1" ht="12.75" customHeight="1" x14ac:dyDescent="0.3"/>
    <row r="142" s="778" customFormat="1" ht="12.75" customHeight="1" x14ac:dyDescent="0.3"/>
    <row r="143" s="778" customFormat="1" ht="12.75" customHeight="1" x14ac:dyDescent="0.3"/>
    <row r="144" s="778" customFormat="1" ht="12.75" customHeight="1" x14ac:dyDescent="0.3"/>
    <row r="145" s="778" customFormat="1" ht="12.75" customHeight="1" x14ac:dyDescent="0.3"/>
    <row r="146" s="778" customFormat="1" ht="12.75" customHeight="1" x14ac:dyDescent="0.3"/>
    <row r="147" s="778" customFormat="1" ht="12.75" customHeight="1" x14ac:dyDescent="0.3"/>
    <row r="148" s="778" customFormat="1" ht="12.75" customHeight="1" x14ac:dyDescent="0.3"/>
    <row r="149" s="778" customFormat="1" ht="12.75" customHeight="1" x14ac:dyDescent="0.3"/>
    <row r="150" s="778" customFormat="1" ht="12.75" customHeight="1" x14ac:dyDescent="0.3"/>
    <row r="151" s="778" customFormat="1" ht="12.75" customHeight="1" x14ac:dyDescent="0.3"/>
    <row r="152" s="778" customFormat="1" ht="12.75" customHeight="1" x14ac:dyDescent="0.3"/>
    <row r="153" s="778" customFormat="1" ht="12.75" customHeight="1" x14ac:dyDescent="0.3"/>
    <row r="154" s="778" customFormat="1" ht="12.75" customHeight="1" x14ac:dyDescent="0.3"/>
    <row r="155" s="778" customFormat="1" ht="12.75" customHeight="1" x14ac:dyDescent="0.3"/>
    <row r="156" s="778" customFormat="1" ht="12.75" customHeight="1" x14ac:dyDescent="0.3"/>
    <row r="157" s="778" customFormat="1" ht="12.75" customHeight="1" x14ac:dyDescent="0.3"/>
    <row r="158" s="778" customFormat="1" ht="12.75" customHeight="1" x14ac:dyDescent="0.3"/>
    <row r="159" s="778" customFormat="1" ht="12.75" customHeight="1" x14ac:dyDescent="0.3"/>
    <row r="160" s="778" customFormat="1" ht="12.75" customHeight="1" x14ac:dyDescent="0.3"/>
    <row r="161" s="778" customFormat="1" ht="12.75" customHeight="1" x14ac:dyDescent="0.3"/>
    <row r="162" s="778" customFormat="1" ht="12.75" customHeight="1" x14ac:dyDescent="0.3"/>
    <row r="163" s="778" customFormat="1" ht="12.75" customHeight="1" x14ac:dyDescent="0.3"/>
    <row r="164" s="778" customFormat="1" ht="12.75" customHeight="1" x14ac:dyDescent="0.3"/>
    <row r="165" s="778" customFormat="1" ht="12.75" customHeight="1" x14ac:dyDescent="0.3"/>
    <row r="166" s="778" customFormat="1" ht="12.75" customHeight="1" x14ac:dyDescent="0.3"/>
    <row r="167" s="778" customFormat="1" ht="12.75" customHeight="1" x14ac:dyDescent="0.3"/>
    <row r="168" s="778" customFormat="1" ht="12.75" customHeight="1" x14ac:dyDescent="0.3"/>
    <row r="169" s="778" customFormat="1" ht="12.75" customHeight="1" x14ac:dyDescent="0.3"/>
    <row r="170" s="778" customFormat="1" ht="12.75" customHeight="1" x14ac:dyDescent="0.3"/>
    <row r="171" s="778" customFormat="1" ht="12.75" customHeight="1" x14ac:dyDescent="0.3"/>
    <row r="172" s="778" customFormat="1" ht="12.75" customHeight="1" x14ac:dyDescent="0.3"/>
    <row r="173" s="778" customFormat="1" ht="12.75" customHeight="1" x14ac:dyDescent="0.3"/>
    <row r="174" s="778" customFormat="1" ht="12.75" customHeight="1" x14ac:dyDescent="0.3"/>
    <row r="175" s="778" customFormat="1" ht="12.75" customHeight="1" x14ac:dyDescent="0.3"/>
    <row r="176" s="778" customFormat="1" ht="12.75" customHeight="1" x14ac:dyDescent="0.3"/>
    <row r="177" s="778" customFormat="1" ht="12.75" customHeight="1" x14ac:dyDescent="0.3"/>
    <row r="178" s="778" customFormat="1" ht="12.75" customHeight="1" x14ac:dyDescent="0.3"/>
    <row r="179" s="778" customFormat="1" ht="12.75" customHeight="1" x14ac:dyDescent="0.3"/>
    <row r="180" s="778" customFormat="1" ht="12.75" customHeight="1" x14ac:dyDescent="0.3"/>
    <row r="181" s="778" customFormat="1" ht="12.75" customHeight="1" x14ac:dyDescent="0.3"/>
    <row r="182" s="778" customFormat="1" ht="12.75" customHeight="1" x14ac:dyDescent="0.3"/>
    <row r="183" s="778" customFormat="1" ht="12.75" customHeight="1" x14ac:dyDescent="0.3"/>
    <row r="184" s="778" customFormat="1" ht="12.75" customHeight="1" x14ac:dyDescent="0.3"/>
    <row r="185" s="778" customFormat="1" ht="12.75" customHeight="1" x14ac:dyDescent="0.3"/>
    <row r="186" s="778" customFormat="1" ht="12.75" customHeight="1" x14ac:dyDescent="0.3"/>
    <row r="187" s="778" customFormat="1" ht="12.75" customHeight="1" x14ac:dyDescent="0.3"/>
    <row r="188" s="778" customFormat="1" ht="12.75" customHeight="1" x14ac:dyDescent="0.3"/>
    <row r="189" s="778" customFormat="1" ht="12.75" customHeight="1" x14ac:dyDescent="0.3"/>
    <row r="190" s="778" customFormat="1" ht="12.75" customHeight="1" x14ac:dyDescent="0.3"/>
    <row r="191" s="778" customFormat="1" ht="12.75" customHeight="1" x14ac:dyDescent="0.3"/>
    <row r="192" s="778" customFormat="1" ht="12.75" customHeight="1" x14ac:dyDescent="0.3"/>
    <row r="193" s="778" customFormat="1" ht="12.75" customHeight="1" x14ac:dyDescent="0.3"/>
    <row r="194" s="778" customFormat="1" ht="12.75" customHeight="1" x14ac:dyDescent="0.3"/>
    <row r="195" s="778" customFormat="1" ht="12.75" customHeight="1" x14ac:dyDescent="0.3"/>
    <row r="196" s="778" customFormat="1" ht="12.75" customHeight="1" x14ac:dyDescent="0.3"/>
    <row r="197" s="778" customFormat="1" ht="12.75" customHeight="1" x14ac:dyDescent="0.3"/>
    <row r="198" s="778" customFormat="1" ht="12.75" customHeight="1" x14ac:dyDescent="0.3"/>
    <row r="199" s="778" customFormat="1" ht="12.75" customHeight="1" x14ac:dyDescent="0.3"/>
    <row r="200" s="778" customFormat="1" ht="12.75" customHeight="1" x14ac:dyDescent="0.3"/>
    <row r="201" s="778" customFormat="1" ht="12.75" customHeight="1" x14ac:dyDescent="0.3"/>
    <row r="202" s="778" customFormat="1" ht="12.75" customHeight="1" x14ac:dyDescent="0.3"/>
    <row r="203" s="778" customFormat="1" ht="12.75" customHeight="1" x14ac:dyDescent="0.3"/>
    <row r="204" s="778" customFormat="1" ht="12.75" customHeight="1" x14ac:dyDescent="0.3"/>
    <row r="205" s="778" customFormat="1" ht="12.75" customHeight="1" x14ac:dyDescent="0.3"/>
    <row r="206" s="778" customFormat="1" ht="12.75" customHeight="1" x14ac:dyDescent="0.3"/>
    <row r="207" s="778" customFormat="1" ht="12.75" customHeight="1" x14ac:dyDescent="0.3"/>
    <row r="208" s="778" customFormat="1" ht="12.75" customHeight="1" x14ac:dyDescent="0.3"/>
    <row r="209" s="778" customFormat="1" ht="12.75" customHeight="1" x14ac:dyDescent="0.3"/>
    <row r="210" s="778" customFormat="1" ht="12.75" customHeight="1" x14ac:dyDescent="0.3"/>
    <row r="211" s="778" customFormat="1" ht="12.75" customHeight="1" x14ac:dyDescent="0.3"/>
    <row r="212" s="778" customFormat="1" ht="12.75" customHeight="1" x14ac:dyDescent="0.3"/>
    <row r="213" s="778" customFormat="1" ht="12.75" customHeight="1" x14ac:dyDescent="0.3"/>
    <row r="214" s="778" customFormat="1" ht="12.75" customHeight="1" x14ac:dyDescent="0.3"/>
    <row r="215" s="778" customFormat="1" ht="12.75" customHeight="1" x14ac:dyDescent="0.3"/>
    <row r="216" s="778" customFormat="1" ht="12.75" customHeight="1" x14ac:dyDescent="0.3"/>
    <row r="217" s="778" customFormat="1" ht="12.75" customHeight="1" x14ac:dyDescent="0.3"/>
    <row r="218" s="778" customFormat="1" ht="12.75" customHeight="1" x14ac:dyDescent="0.3"/>
    <row r="219" s="778" customFormat="1" ht="12.75" customHeight="1" x14ac:dyDescent="0.3"/>
    <row r="220" s="778" customFormat="1" ht="12.75" customHeight="1" x14ac:dyDescent="0.3"/>
    <row r="221" s="778" customFormat="1" ht="12.75" customHeight="1" x14ac:dyDescent="0.3"/>
    <row r="222" s="778" customFormat="1" ht="12.75" customHeight="1" x14ac:dyDescent="0.3"/>
    <row r="223" s="778" customFormat="1" ht="12.75" customHeight="1" x14ac:dyDescent="0.3"/>
    <row r="224" s="778" customFormat="1" ht="12.75" customHeight="1" x14ac:dyDescent="0.3"/>
    <row r="225" s="778" customFormat="1" ht="12.75" customHeight="1" x14ac:dyDescent="0.3"/>
    <row r="226" s="778" customFormat="1" ht="12.75" customHeight="1" x14ac:dyDescent="0.3"/>
    <row r="227" s="778" customFormat="1" ht="12.75" customHeight="1" x14ac:dyDescent="0.3"/>
    <row r="228" s="778" customFormat="1" ht="12.75" customHeight="1" x14ac:dyDescent="0.3"/>
    <row r="229" s="778" customFormat="1" ht="12.75" customHeight="1" x14ac:dyDescent="0.3"/>
    <row r="230" s="778" customFormat="1" ht="12.75" customHeight="1" x14ac:dyDescent="0.3"/>
    <row r="231" s="778" customFormat="1" ht="12.75" customHeight="1" x14ac:dyDescent="0.3"/>
    <row r="232" s="778" customFormat="1" ht="12.75" customHeight="1" x14ac:dyDescent="0.3"/>
    <row r="233" s="778" customFormat="1" ht="12.75" customHeight="1" x14ac:dyDescent="0.3"/>
    <row r="234" s="778" customFormat="1" ht="12.75" customHeight="1" x14ac:dyDescent="0.3"/>
    <row r="235" s="778" customFormat="1" ht="12.75" customHeight="1" x14ac:dyDescent="0.3"/>
    <row r="236" s="778" customFormat="1" ht="12.75" customHeight="1" x14ac:dyDescent="0.3"/>
    <row r="237" s="778" customFormat="1" ht="12.75" customHeight="1" x14ac:dyDescent="0.3"/>
    <row r="238" s="778" customFormat="1" ht="12.75" customHeight="1" x14ac:dyDescent="0.3"/>
    <row r="239" s="778" customFormat="1" ht="12.75" customHeight="1" x14ac:dyDescent="0.3"/>
    <row r="240" s="778" customFormat="1" ht="12.75" customHeight="1" x14ac:dyDescent="0.3"/>
    <row r="241" s="778" customFormat="1" ht="12.75" customHeight="1" x14ac:dyDescent="0.3"/>
    <row r="242" s="778" customFormat="1" ht="12.75" customHeight="1" x14ac:dyDescent="0.3"/>
    <row r="243" s="778" customFormat="1" ht="12.75" customHeight="1" x14ac:dyDescent="0.3"/>
    <row r="244" s="778" customFormat="1" ht="12.75" customHeight="1" x14ac:dyDescent="0.3"/>
    <row r="245" s="778" customFormat="1" ht="12.75" customHeight="1" x14ac:dyDescent="0.3"/>
    <row r="246" s="778" customFormat="1" ht="12.75" customHeight="1" x14ac:dyDescent="0.3"/>
    <row r="247" s="778" customFormat="1" ht="12.75" customHeight="1" x14ac:dyDescent="0.3"/>
    <row r="248" s="778" customFormat="1" ht="12.75" customHeight="1" x14ac:dyDescent="0.3"/>
    <row r="249" s="778" customFormat="1" ht="12.75" customHeight="1" x14ac:dyDescent="0.3"/>
    <row r="250" s="778" customFormat="1" ht="12.75" customHeight="1" x14ac:dyDescent="0.3"/>
    <row r="251" s="778" customFormat="1" ht="12.75" customHeight="1" x14ac:dyDescent="0.3"/>
    <row r="252" s="778" customFormat="1" ht="12.75" customHeight="1" x14ac:dyDescent="0.3"/>
    <row r="253" s="778" customFormat="1" ht="12.75" customHeight="1" x14ac:dyDescent="0.3"/>
    <row r="254" s="778" customFormat="1" ht="12.75" customHeight="1" x14ac:dyDescent="0.3"/>
    <row r="255" s="778" customFormat="1" ht="12.75" customHeight="1" x14ac:dyDescent="0.3"/>
    <row r="256" s="778" customFormat="1" ht="12.75" customHeight="1" x14ac:dyDescent="0.3"/>
    <row r="257" s="778" customFormat="1" ht="12.75" customHeight="1" x14ac:dyDescent="0.3"/>
    <row r="258" s="778" customFormat="1" ht="12.75" customHeight="1" x14ac:dyDescent="0.3"/>
    <row r="259" s="778" customFormat="1" ht="12.75" customHeight="1" x14ac:dyDescent="0.3"/>
    <row r="260" s="778" customFormat="1" ht="12.75" customHeight="1" x14ac:dyDescent="0.3"/>
    <row r="261" s="778" customFormat="1" ht="12.75" customHeight="1" x14ac:dyDescent="0.3"/>
    <row r="262" s="778" customFormat="1" ht="12.75" customHeight="1" x14ac:dyDescent="0.3"/>
    <row r="263" s="778" customFormat="1" ht="12.75" customHeight="1" x14ac:dyDescent="0.3"/>
    <row r="264" s="778" customFormat="1" ht="12.75" customHeight="1" x14ac:dyDescent="0.3"/>
    <row r="265" s="778" customFormat="1" ht="12.75" customHeight="1" x14ac:dyDescent="0.3"/>
    <row r="266" s="778" customFormat="1" ht="12.75" customHeight="1" x14ac:dyDescent="0.3"/>
    <row r="267" s="778" customFormat="1" ht="12.75" customHeight="1" x14ac:dyDescent="0.3"/>
    <row r="268" s="778" customFormat="1" ht="12.75" customHeight="1" x14ac:dyDescent="0.3"/>
    <row r="269" s="778" customFormat="1" ht="12.75" customHeight="1" x14ac:dyDescent="0.3"/>
    <row r="270" s="778" customFormat="1" ht="12.75" customHeight="1" x14ac:dyDescent="0.3"/>
    <row r="271" s="778" customFormat="1" ht="12.75" customHeight="1" x14ac:dyDescent="0.3"/>
    <row r="272" s="778" customFormat="1" ht="12.75" customHeight="1" x14ac:dyDescent="0.3"/>
    <row r="273" s="778" customFormat="1" ht="12.75" customHeight="1" x14ac:dyDescent="0.3"/>
    <row r="274" s="778" customFormat="1" ht="12.75" customHeight="1" x14ac:dyDescent="0.3"/>
    <row r="275" s="778" customFormat="1" ht="12.75" customHeight="1" x14ac:dyDescent="0.3"/>
    <row r="276" s="778" customFormat="1" ht="12.75" customHeight="1" x14ac:dyDescent="0.3"/>
    <row r="277" s="778" customFormat="1" ht="12.75" customHeight="1" x14ac:dyDescent="0.3"/>
    <row r="278" s="778" customFormat="1" ht="12.75" customHeight="1" x14ac:dyDescent="0.3"/>
    <row r="279" s="778" customFormat="1" ht="12.75" customHeight="1" x14ac:dyDescent="0.3"/>
    <row r="280" s="778" customFormat="1" ht="12.75" customHeight="1" x14ac:dyDescent="0.3"/>
    <row r="281" s="778" customFormat="1" ht="12.75" customHeight="1" x14ac:dyDescent="0.3"/>
    <row r="282" s="778" customFormat="1" ht="12.75" customHeight="1" x14ac:dyDescent="0.3"/>
    <row r="283" s="778" customFormat="1" ht="12.75" customHeight="1" x14ac:dyDescent="0.3"/>
    <row r="284" s="778" customFormat="1" ht="12.75" customHeight="1" x14ac:dyDescent="0.3"/>
    <row r="285" s="778" customFormat="1" ht="12.75" customHeight="1" x14ac:dyDescent="0.3"/>
    <row r="286" s="778" customFormat="1" ht="12.75" customHeight="1" x14ac:dyDescent="0.3"/>
    <row r="287" s="778" customFormat="1" ht="12.75" customHeight="1" x14ac:dyDescent="0.3"/>
    <row r="288" s="778" customFormat="1" ht="12.75" customHeight="1" x14ac:dyDescent="0.3"/>
    <row r="289" s="778" customFormat="1" ht="12.75" customHeight="1" x14ac:dyDescent="0.3"/>
    <row r="290" s="778" customFormat="1" ht="12.75" customHeight="1" x14ac:dyDescent="0.3"/>
    <row r="291" s="778" customFormat="1" ht="12.75" customHeight="1" x14ac:dyDescent="0.3"/>
    <row r="292" s="778" customFormat="1" ht="12.75" customHeight="1" x14ac:dyDescent="0.3"/>
    <row r="293" s="778" customFormat="1" ht="12.75" customHeight="1" x14ac:dyDescent="0.3"/>
    <row r="294" s="778" customFormat="1" ht="12.75" customHeight="1" x14ac:dyDescent="0.3"/>
    <row r="295" s="778" customFormat="1" ht="12.75" customHeight="1" x14ac:dyDescent="0.3"/>
    <row r="296" s="778" customFormat="1" ht="12.75" customHeight="1" x14ac:dyDescent="0.3"/>
    <row r="297" s="778" customFormat="1" ht="12.75" customHeight="1" x14ac:dyDescent="0.3"/>
    <row r="298" s="778" customFormat="1" ht="12.75" customHeight="1" x14ac:dyDescent="0.3"/>
    <row r="299" s="778" customFormat="1" ht="12.75" customHeight="1" x14ac:dyDescent="0.3"/>
    <row r="300" s="778" customFormat="1" ht="12.75" customHeight="1" x14ac:dyDescent="0.3"/>
    <row r="301" s="778" customFormat="1" ht="12.75" customHeight="1" x14ac:dyDescent="0.3"/>
    <row r="302" s="778" customFormat="1" ht="12.75" customHeight="1" x14ac:dyDescent="0.3"/>
    <row r="303" s="778" customFormat="1" ht="12.75" customHeight="1" x14ac:dyDescent="0.3"/>
    <row r="304" s="778" customFormat="1" ht="12.75" customHeight="1" x14ac:dyDescent="0.3"/>
    <row r="305" s="778" customFormat="1" ht="12.75" customHeight="1" x14ac:dyDescent="0.3"/>
    <row r="306" s="778" customFormat="1" ht="12.75" customHeight="1" x14ac:dyDescent="0.3"/>
    <row r="307" s="778" customFormat="1" ht="12.75" customHeight="1" x14ac:dyDescent="0.3"/>
    <row r="308" s="778" customFormat="1" ht="12.75" customHeight="1" x14ac:dyDescent="0.3"/>
    <row r="309" s="778" customFormat="1" ht="12.75" customHeight="1" x14ac:dyDescent="0.3"/>
    <row r="310" s="778" customFormat="1" ht="12.75" customHeight="1" x14ac:dyDescent="0.3"/>
    <row r="311" s="778" customFormat="1" ht="12.75" customHeight="1" x14ac:dyDescent="0.3"/>
    <row r="312" s="778" customFormat="1" ht="12.75" customHeight="1" x14ac:dyDescent="0.3"/>
    <row r="313" s="778" customFormat="1" ht="12.75" customHeight="1" x14ac:dyDescent="0.3"/>
    <row r="314" s="778" customFormat="1" ht="12.75" customHeight="1" x14ac:dyDescent="0.3"/>
    <row r="315" s="778" customFormat="1" ht="12.75" customHeight="1" x14ac:dyDescent="0.3"/>
    <row r="316" s="778" customFormat="1" ht="12.75" customHeight="1" x14ac:dyDescent="0.3"/>
    <row r="317" s="778" customFormat="1" ht="12.75" customHeight="1" x14ac:dyDescent="0.3"/>
    <row r="318" s="778" customFormat="1" ht="12.75" customHeight="1" x14ac:dyDescent="0.3"/>
    <row r="319" s="778" customFormat="1" ht="12.75" customHeight="1" x14ac:dyDescent="0.3"/>
    <row r="320" s="778" customFormat="1" ht="12.75" customHeight="1" x14ac:dyDescent="0.3"/>
    <row r="321" s="778" customFormat="1" ht="12.75" customHeight="1" x14ac:dyDescent="0.3"/>
    <row r="322" s="778" customFormat="1" ht="12.75" customHeight="1" x14ac:dyDescent="0.3"/>
    <row r="323" s="778" customFormat="1" ht="12.75" customHeight="1" x14ac:dyDescent="0.3"/>
    <row r="324" s="778" customFormat="1" ht="12.75" customHeight="1" x14ac:dyDescent="0.3"/>
    <row r="325" s="778" customFormat="1" ht="12.75" customHeight="1" x14ac:dyDescent="0.3"/>
    <row r="326" s="778" customFormat="1" ht="12.75" customHeight="1" x14ac:dyDescent="0.3"/>
    <row r="327" s="778" customFormat="1" ht="12.75" customHeight="1" x14ac:dyDescent="0.3"/>
    <row r="328" s="778" customFormat="1" ht="12.75" customHeight="1" x14ac:dyDescent="0.3"/>
    <row r="329" s="778" customFormat="1" ht="12.75" customHeight="1" x14ac:dyDescent="0.3"/>
    <row r="330" s="778" customFormat="1" ht="12.75" customHeight="1" x14ac:dyDescent="0.3"/>
    <row r="331" s="778" customFormat="1" ht="12.75" customHeight="1" x14ac:dyDescent="0.3"/>
    <row r="332" s="778" customFormat="1" ht="12.75" customHeight="1" x14ac:dyDescent="0.3"/>
    <row r="333" s="778" customFormat="1" ht="12.75" customHeight="1" x14ac:dyDescent="0.3"/>
    <row r="334" s="778" customFormat="1" ht="12.75" customHeight="1" x14ac:dyDescent="0.3"/>
    <row r="335" s="778" customFormat="1" ht="12.75" customHeight="1" x14ac:dyDescent="0.3"/>
    <row r="336" s="778" customFormat="1" ht="12.75" customHeight="1" x14ac:dyDescent="0.3"/>
    <row r="337" s="778" customFormat="1" ht="12.75" customHeight="1" x14ac:dyDescent="0.3"/>
    <row r="338" s="778" customFormat="1" ht="12.75" customHeight="1" x14ac:dyDescent="0.3"/>
    <row r="339" s="778" customFormat="1" ht="12.75" customHeight="1" x14ac:dyDescent="0.3"/>
    <row r="340" s="778" customFormat="1" ht="12.75" customHeight="1" x14ac:dyDescent="0.3"/>
    <row r="341" s="778" customFormat="1" ht="12.75" customHeight="1" x14ac:dyDescent="0.3"/>
    <row r="342" s="778" customFormat="1" ht="12.75" customHeight="1" x14ac:dyDescent="0.3"/>
    <row r="343" s="778" customFormat="1" ht="12.75" customHeight="1" x14ac:dyDescent="0.3"/>
    <row r="344" s="778" customFormat="1" ht="12.75" customHeight="1" x14ac:dyDescent="0.3"/>
    <row r="345" s="778" customFormat="1" ht="12.75" customHeight="1" x14ac:dyDescent="0.3"/>
    <row r="346" s="778" customFormat="1" ht="12.75" customHeight="1" x14ac:dyDescent="0.3"/>
    <row r="347" s="778" customFormat="1" ht="12.75" customHeight="1" x14ac:dyDescent="0.3"/>
    <row r="348" s="778" customFormat="1" ht="12.75" customHeight="1" x14ac:dyDescent="0.3"/>
    <row r="349" s="778" customFormat="1" ht="12.75" customHeight="1" x14ac:dyDescent="0.3"/>
    <row r="350" s="778" customFormat="1" ht="12.75" customHeight="1" x14ac:dyDescent="0.3"/>
    <row r="351" s="778" customFormat="1" ht="12.75" customHeight="1" x14ac:dyDescent="0.3"/>
    <row r="352" s="778" customFormat="1" ht="12.75" customHeight="1" x14ac:dyDescent="0.3"/>
    <row r="353" s="778" customFormat="1" ht="12.75" customHeight="1" x14ac:dyDescent="0.3"/>
    <row r="354" s="778" customFormat="1" ht="12.75" customHeight="1" x14ac:dyDescent="0.3"/>
    <row r="355" s="778" customFormat="1" ht="12.75" customHeight="1" x14ac:dyDescent="0.3"/>
    <row r="356" s="778" customFormat="1" ht="12.75" customHeight="1" x14ac:dyDescent="0.3"/>
    <row r="357" s="778" customFormat="1" ht="12.75" customHeight="1" x14ac:dyDescent="0.3"/>
    <row r="358" s="778" customFormat="1" ht="12.75" customHeight="1" x14ac:dyDescent="0.3"/>
    <row r="359" s="778" customFormat="1" ht="12.75" customHeight="1" x14ac:dyDescent="0.3"/>
    <row r="360" s="778" customFormat="1" ht="12.75" customHeight="1" x14ac:dyDescent="0.3"/>
    <row r="361" s="778" customFormat="1" ht="12.75" customHeight="1" x14ac:dyDescent="0.3"/>
    <row r="362" s="778" customFormat="1" ht="12.75" customHeight="1" x14ac:dyDescent="0.3"/>
    <row r="363" s="778" customFormat="1" ht="12.75" customHeight="1" x14ac:dyDescent="0.3"/>
    <row r="364" s="778" customFormat="1" ht="12.75" customHeight="1" x14ac:dyDescent="0.3"/>
    <row r="365" s="778" customFormat="1" ht="12.75" customHeight="1" x14ac:dyDescent="0.3"/>
    <row r="366" s="778" customFormat="1" ht="12.75" customHeight="1" x14ac:dyDescent="0.3"/>
    <row r="367" s="778" customFormat="1" ht="12.75" customHeight="1" x14ac:dyDescent="0.3"/>
    <row r="368" s="778" customFormat="1" ht="12.75" customHeight="1" x14ac:dyDescent="0.3"/>
    <row r="369" s="778" customFormat="1" ht="12.75" customHeight="1" x14ac:dyDescent="0.3"/>
    <row r="370" s="778" customFormat="1" ht="12.75" customHeight="1" x14ac:dyDescent="0.3"/>
    <row r="371" s="778" customFormat="1" ht="12.75" customHeight="1" x14ac:dyDescent="0.3"/>
    <row r="372" s="778" customFormat="1" ht="12.75" customHeight="1" x14ac:dyDescent="0.3"/>
    <row r="373" s="778" customFormat="1" ht="12.75" customHeight="1" x14ac:dyDescent="0.3"/>
    <row r="374" s="778" customFormat="1" ht="12.75" customHeight="1" x14ac:dyDescent="0.3"/>
    <row r="375" s="778" customFormat="1" ht="12.75" customHeight="1" x14ac:dyDescent="0.3"/>
    <row r="376" s="778" customFormat="1" ht="12.75" customHeight="1" x14ac:dyDescent="0.3"/>
    <row r="377" s="778" customFormat="1" ht="12.75" customHeight="1" x14ac:dyDescent="0.3"/>
    <row r="378" s="778" customFormat="1" ht="12.75" customHeight="1" x14ac:dyDescent="0.3"/>
    <row r="379" s="778" customFormat="1" ht="12.75" customHeight="1" x14ac:dyDescent="0.3"/>
    <row r="380" s="778" customFormat="1" ht="12.75" customHeight="1" x14ac:dyDescent="0.3"/>
    <row r="381" s="778" customFormat="1" ht="12.75" customHeight="1" x14ac:dyDescent="0.3"/>
    <row r="382" s="778" customFormat="1" ht="12.75" customHeight="1" x14ac:dyDescent="0.3"/>
    <row r="383" s="778" customFormat="1" ht="12.75" customHeight="1" x14ac:dyDescent="0.3"/>
    <row r="384" s="778" customFormat="1" ht="12.75" customHeight="1" x14ac:dyDescent="0.3"/>
    <row r="385" s="778" customFormat="1" ht="12.75" customHeight="1" x14ac:dyDescent="0.3"/>
    <row r="386" s="778" customFormat="1" ht="12.75" customHeight="1" x14ac:dyDescent="0.3"/>
    <row r="387" s="778" customFormat="1" ht="12.75" customHeight="1" x14ac:dyDescent="0.3"/>
    <row r="388" s="778" customFormat="1" ht="12.75" customHeight="1" x14ac:dyDescent="0.3"/>
    <row r="389" s="778" customFormat="1" ht="12.75" customHeight="1" x14ac:dyDescent="0.3"/>
    <row r="390" s="778" customFormat="1" ht="12.75" customHeight="1" x14ac:dyDescent="0.3"/>
    <row r="391" s="778" customFormat="1" ht="12.75" customHeight="1" x14ac:dyDescent="0.3"/>
    <row r="392" s="778" customFormat="1" ht="12.75" customHeight="1" x14ac:dyDescent="0.3"/>
    <row r="393" s="778" customFormat="1" ht="12.75" customHeight="1" x14ac:dyDescent="0.3"/>
    <row r="394" s="778" customFormat="1" ht="12.75" customHeight="1" x14ac:dyDescent="0.3"/>
    <row r="395" s="778" customFormat="1" ht="12.75" customHeight="1" x14ac:dyDescent="0.3"/>
    <row r="396" s="778" customFormat="1" ht="12.75" customHeight="1" x14ac:dyDescent="0.3"/>
    <row r="397" s="778" customFormat="1" ht="12.75" customHeight="1" x14ac:dyDescent="0.3"/>
    <row r="398" s="778" customFormat="1" ht="12.75" customHeight="1" x14ac:dyDescent="0.3"/>
    <row r="399" s="778" customFormat="1" ht="12.75" customHeight="1" x14ac:dyDescent="0.3"/>
    <row r="400" s="778" customFormat="1" ht="12.75" customHeight="1" x14ac:dyDescent="0.3"/>
    <row r="401" s="778" customFormat="1" ht="12.75" customHeight="1" x14ac:dyDescent="0.3"/>
    <row r="402" s="778" customFormat="1" ht="12.75" customHeight="1" x14ac:dyDescent="0.3"/>
    <row r="403" s="778" customFormat="1" ht="12.75" customHeight="1" x14ac:dyDescent="0.3"/>
    <row r="404" s="778" customFormat="1" ht="12.75" customHeight="1" x14ac:dyDescent="0.3"/>
    <row r="405" s="778" customFormat="1" ht="12.75" customHeight="1" x14ac:dyDescent="0.3"/>
    <row r="406" s="778" customFormat="1" ht="12.75" customHeight="1" x14ac:dyDescent="0.3"/>
    <row r="407" s="778" customFormat="1" ht="12.75" customHeight="1" x14ac:dyDescent="0.3"/>
    <row r="408" s="778" customFormat="1" ht="12.75" customHeight="1" x14ac:dyDescent="0.3"/>
    <row r="409" s="778" customFormat="1" ht="12.75" customHeight="1" x14ac:dyDescent="0.3"/>
    <row r="410" s="778" customFormat="1" ht="12.75" customHeight="1" x14ac:dyDescent="0.3"/>
    <row r="411" s="778" customFormat="1" ht="12.75" customHeight="1" x14ac:dyDescent="0.3"/>
    <row r="412" s="778" customFormat="1" ht="12.75" customHeight="1" x14ac:dyDescent="0.3"/>
    <row r="413" s="778" customFormat="1" ht="12.75" customHeight="1" x14ac:dyDescent="0.3"/>
    <row r="414" s="778" customFormat="1" ht="12.75" customHeight="1" x14ac:dyDescent="0.3"/>
    <row r="415" s="778" customFormat="1" ht="12.75" customHeight="1" x14ac:dyDescent="0.3"/>
    <row r="416" s="778" customFormat="1" ht="12.75" customHeight="1" x14ac:dyDescent="0.3"/>
    <row r="417" s="778" customFormat="1" ht="12.75" customHeight="1" x14ac:dyDescent="0.3"/>
    <row r="418" s="778" customFormat="1" ht="12.75" customHeight="1" x14ac:dyDescent="0.3"/>
    <row r="419" s="778" customFormat="1" ht="12.75" customHeight="1" x14ac:dyDescent="0.3"/>
    <row r="420" s="778" customFormat="1" ht="12.75" customHeight="1" x14ac:dyDescent="0.3"/>
    <row r="421" s="778" customFormat="1" ht="12.75" customHeight="1" x14ac:dyDescent="0.3"/>
    <row r="422" s="778" customFormat="1" ht="12.75" customHeight="1" x14ac:dyDescent="0.3"/>
    <row r="423" s="778" customFormat="1" ht="12.75" customHeight="1" x14ac:dyDescent="0.3"/>
    <row r="424" s="778" customFormat="1" ht="12.75" customHeight="1" x14ac:dyDescent="0.3"/>
    <row r="425" s="778" customFormat="1" ht="12.75" customHeight="1" x14ac:dyDescent="0.3"/>
    <row r="426" s="778" customFormat="1" ht="12.75" customHeight="1" x14ac:dyDescent="0.3"/>
    <row r="427" s="778" customFormat="1" ht="12.75" customHeight="1" x14ac:dyDescent="0.3"/>
    <row r="428" s="778" customFormat="1" ht="12.75" customHeight="1" x14ac:dyDescent="0.3"/>
    <row r="429" s="778" customFormat="1" ht="12.75" customHeight="1" x14ac:dyDescent="0.3"/>
    <row r="430" s="778" customFormat="1" ht="12.75" customHeight="1" x14ac:dyDescent="0.3"/>
    <row r="431" s="778" customFormat="1" ht="12.75" customHeight="1" x14ac:dyDescent="0.3"/>
    <row r="432" s="778" customFormat="1" ht="12.75" customHeight="1" x14ac:dyDescent="0.3"/>
    <row r="433" s="778" customFormat="1" ht="12.75" customHeight="1" x14ac:dyDescent="0.3"/>
    <row r="434" s="778" customFormat="1" ht="12.75" customHeight="1" x14ac:dyDescent="0.3"/>
    <row r="435" s="778" customFormat="1" ht="12.75" customHeight="1" x14ac:dyDescent="0.3"/>
    <row r="436" s="778" customFormat="1" ht="12.75" customHeight="1" x14ac:dyDescent="0.3"/>
    <row r="437" s="778" customFormat="1" ht="12.75" customHeight="1" x14ac:dyDescent="0.3"/>
    <row r="438" s="778" customFormat="1" ht="12.75" customHeight="1" x14ac:dyDescent="0.3"/>
    <row r="439" s="778" customFormat="1" ht="12.75" customHeight="1" x14ac:dyDescent="0.3"/>
    <row r="440" s="778" customFormat="1" ht="12.75" customHeight="1" x14ac:dyDescent="0.3"/>
    <row r="441" s="778" customFormat="1" ht="12.75" customHeight="1" x14ac:dyDescent="0.3"/>
    <row r="442" s="778" customFormat="1" ht="12.75" customHeight="1" x14ac:dyDescent="0.3"/>
    <row r="443" s="778" customFormat="1" ht="12.75" customHeight="1" x14ac:dyDescent="0.3"/>
    <row r="444" s="778" customFormat="1" ht="12.75" customHeight="1" x14ac:dyDescent="0.3"/>
    <row r="445" s="778" customFormat="1" ht="12.75" customHeight="1" x14ac:dyDescent="0.3"/>
    <row r="446" s="778" customFormat="1" ht="12.75" customHeight="1" x14ac:dyDescent="0.3"/>
    <row r="447" s="778" customFormat="1" ht="12.75" customHeight="1" x14ac:dyDescent="0.3"/>
    <row r="448" s="778" customFormat="1" ht="12.75" customHeight="1" x14ac:dyDescent="0.3"/>
    <row r="449" s="778" customFormat="1" ht="12.75" customHeight="1" x14ac:dyDescent="0.3"/>
    <row r="450" s="778" customFormat="1" ht="12.75" customHeight="1" x14ac:dyDescent="0.3"/>
    <row r="451" s="778" customFormat="1" ht="12.75" customHeight="1" x14ac:dyDescent="0.3"/>
    <row r="452" s="778" customFormat="1" ht="12.75" customHeight="1" x14ac:dyDescent="0.3"/>
    <row r="453" s="778" customFormat="1" ht="12.75" customHeight="1" x14ac:dyDescent="0.3"/>
    <row r="454" s="778" customFormat="1" ht="12.75" customHeight="1" x14ac:dyDescent="0.3"/>
    <row r="455" s="778" customFormat="1" ht="12.75" customHeight="1" x14ac:dyDescent="0.3"/>
    <row r="456" s="778" customFormat="1" ht="12.75" customHeight="1" x14ac:dyDescent="0.3"/>
    <row r="457" s="778" customFormat="1" ht="12.75" customHeight="1" x14ac:dyDescent="0.3"/>
    <row r="458" s="778" customFormat="1" ht="12.75" customHeight="1" x14ac:dyDescent="0.3"/>
    <row r="459" s="778" customFormat="1" ht="12.75" customHeight="1" x14ac:dyDescent="0.3"/>
    <row r="460" s="778" customFormat="1" ht="12.75" customHeight="1" x14ac:dyDescent="0.3"/>
    <row r="461" s="778" customFormat="1" ht="12.75" customHeight="1" x14ac:dyDescent="0.3"/>
    <row r="462" s="778" customFormat="1" ht="12.75" customHeight="1" x14ac:dyDescent="0.3"/>
    <row r="463" s="778" customFormat="1" ht="12.75" customHeight="1" x14ac:dyDescent="0.3"/>
    <row r="464" s="778" customFormat="1" ht="12.75" customHeight="1" x14ac:dyDescent="0.3"/>
    <row r="465" s="778" customFormat="1" ht="12.75" customHeight="1" x14ac:dyDescent="0.3"/>
    <row r="466" s="778" customFormat="1" ht="12.75" customHeight="1" x14ac:dyDescent="0.3"/>
    <row r="467" s="778" customFormat="1" ht="12.75" customHeight="1" x14ac:dyDescent="0.3"/>
    <row r="468" s="778" customFormat="1" ht="12.75" customHeight="1" x14ac:dyDescent="0.3"/>
    <row r="469" s="778" customFormat="1" ht="12.75" customHeight="1" x14ac:dyDescent="0.3"/>
    <row r="470" s="778" customFormat="1" ht="12.75" customHeight="1" x14ac:dyDescent="0.3"/>
    <row r="471" s="778" customFormat="1" ht="12.75" customHeight="1" x14ac:dyDescent="0.3"/>
    <row r="472" s="778" customFormat="1" ht="12.75" customHeight="1" x14ac:dyDescent="0.3"/>
    <row r="473" s="778" customFormat="1" ht="12.75" customHeight="1" x14ac:dyDescent="0.3"/>
    <row r="474" s="778" customFormat="1" ht="12.75" customHeight="1" x14ac:dyDescent="0.3"/>
    <row r="475" s="778" customFormat="1" ht="12.75" customHeight="1" x14ac:dyDescent="0.3"/>
    <row r="476" s="778" customFormat="1" ht="12.75" customHeight="1" x14ac:dyDescent="0.3"/>
    <row r="477" s="778" customFormat="1" ht="12.75" customHeight="1" x14ac:dyDescent="0.3"/>
    <row r="478" s="778" customFormat="1" ht="12.75" customHeight="1" x14ac:dyDescent="0.3"/>
    <row r="479" s="778" customFormat="1" ht="12.75" customHeight="1" x14ac:dyDescent="0.3"/>
    <row r="480" s="778" customFormat="1" ht="12.75" customHeight="1" x14ac:dyDescent="0.3"/>
    <row r="481" s="778" customFormat="1" ht="12.75" customHeight="1" x14ac:dyDescent="0.3"/>
    <row r="482" s="778" customFormat="1" ht="12.75" customHeight="1" x14ac:dyDescent="0.3"/>
    <row r="483" s="778" customFormat="1" ht="12.75" customHeight="1" x14ac:dyDescent="0.3"/>
    <row r="484" s="778" customFormat="1" ht="12.75" customHeight="1" x14ac:dyDescent="0.3"/>
    <row r="485" s="778" customFormat="1" ht="12.75" customHeight="1" x14ac:dyDescent="0.3"/>
    <row r="486" s="778" customFormat="1" ht="12.75" customHeight="1" x14ac:dyDescent="0.3"/>
    <row r="487" s="778" customFormat="1" ht="12.75" customHeight="1" x14ac:dyDescent="0.3"/>
    <row r="488" s="778" customFormat="1" ht="12.75" customHeight="1" x14ac:dyDescent="0.3"/>
    <row r="489" s="778" customFormat="1" ht="12.75" customHeight="1" x14ac:dyDescent="0.3"/>
    <row r="490" s="778" customFormat="1" ht="12.75" customHeight="1" x14ac:dyDescent="0.3"/>
    <row r="491" s="778" customFormat="1" ht="12.75" customHeight="1" x14ac:dyDescent="0.3"/>
    <row r="492" s="778" customFormat="1" ht="12.75" customHeight="1" x14ac:dyDescent="0.3"/>
    <row r="493" s="778" customFormat="1" ht="12.75" customHeight="1" x14ac:dyDescent="0.3"/>
    <row r="494" s="778" customFormat="1" ht="12.75" customHeight="1" x14ac:dyDescent="0.3"/>
    <row r="495" s="778" customFormat="1" ht="12.75" customHeight="1" x14ac:dyDescent="0.3"/>
    <row r="496" s="778" customFormat="1" ht="12.75" customHeight="1" x14ac:dyDescent="0.3"/>
    <row r="497" s="778" customFormat="1" ht="12.75" customHeight="1" x14ac:dyDescent="0.3"/>
    <row r="498" s="778" customFormat="1" ht="12.75" customHeight="1" x14ac:dyDescent="0.3"/>
    <row r="499" s="778" customFormat="1" ht="12.75" customHeight="1" x14ac:dyDescent="0.3"/>
    <row r="500" s="778" customFormat="1" ht="12.75" customHeight="1" x14ac:dyDescent="0.3"/>
    <row r="501" s="778" customFormat="1" ht="12.75" customHeight="1" x14ac:dyDescent="0.3"/>
    <row r="502" s="778" customFormat="1" ht="12.75" customHeight="1" x14ac:dyDescent="0.3"/>
    <row r="503" s="778" customFormat="1" ht="12.75" customHeight="1" x14ac:dyDescent="0.3"/>
    <row r="504" s="778" customFormat="1" ht="12.75" customHeight="1" x14ac:dyDescent="0.3"/>
    <row r="505" s="778" customFormat="1" ht="12.75" customHeight="1" x14ac:dyDescent="0.3"/>
    <row r="506" s="778" customFormat="1" ht="12.75" customHeight="1" x14ac:dyDescent="0.3"/>
    <row r="507" s="778" customFormat="1" ht="12.75" customHeight="1" x14ac:dyDescent="0.3"/>
    <row r="508" s="778" customFormat="1" ht="12.75" customHeight="1" x14ac:dyDescent="0.3"/>
    <row r="509" s="778" customFormat="1" ht="12.75" customHeight="1" x14ac:dyDescent="0.3"/>
    <row r="510" s="778" customFormat="1" ht="12.75" customHeight="1" x14ac:dyDescent="0.3"/>
    <row r="511" s="778" customFormat="1" ht="12.75" customHeight="1" x14ac:dyDescent="0.3"/>
    <row r="512" s="778" customFormat="1" ht="12.75" customHeight="1" x14ac:dyDescent="0.3"/>
    <row r="513" s="778" customFormat="1" ht="12.75" customHeight="1" x14ac:dyDescent="0.3"/>
    <row r="514" s="778" customFormat="1" ht="12.75" customHeight="1" x14ac:dyDescent="0.3"/>
    <row r="515" s="778" customFormat="1" ht="12.75" customHeight="1" x14ac:dyDescent="0.3"/>
    <row r="516" s="778" customFormat="1" ht="12.75" customHeight="1" x14ac:dyDescent="0.3"/>
    <row r="517" s="778" customFormat="1" ht="12.75" customHeight="1" x14ac:dyDescent="0.3"/>
    <row r="518" s="778" customFormat="1" ht="12.75" customHeight="1" x14ac:dyDescent="0.3"/>
    <row r="519" s="778" customFormat="1" ht="12.75" customHeight="1" x14ac:dyDescent="0.3"/>
    <row r="520" s="778" customFormat="1" ht="12.75" customHeight="1" x14ac:dyDescent="0.3"/>
    <row r="521" s="778" customFormat="1" ht="12.75" customHeight="1" x14ac:dyDescent="0.3"/>
    <row r="522" s="778" customFormat="1" ht="12.75" customHeight="1" x14ac:dyDescent="0.3"/>
    <row r="523" s="778" customFormat="1" ht="12.75" customHeight="1" x14ac:dyDescent="0.3"/>
    <row r="524" s="778" customFormat="1" ht="12.75" customHeight="1" x14ac:dyDescent="0.3"/>
    <row r="525" s="778" customFormat="1" ht="12.75" customHeight="1" x14ac:dyDescent="0.3"/>
    <row r="526" s="778" customFormat="1" ht="12.75" customHeight="1" x14ac:dyDescent="0.3"/>
    <row r="527" s="778" customFormat="1" ht="12.75" customHeight="1" x14ac:dyDescent="0.3"/>
    <row r="528" s="778" customFormat="1" ht="12.75" customHeight="1" x14ac:dyDescent="0.3"/>
    <row r="529" s="778" customFormat="1" ht="12.75" customHeight="1" x14ac:dyDescent="0.3"/>
    <row r="530" s="778" customFormat="1" ht="12.75" customHeight="1" x14ac:dyDescent="0.3"/>
    <row r="531" s="778" customFormat="1" ht="12.75" customHeight="1" x14ac:dyDescent="0.3"/>
    <row r="532" s="778" customFormat="1" ht="12.75" customHeight="1" x14ac:dyDescent="0.3"/>
    <row r="533" s="778" customFormat="1" ht="12.75" customHeight="1" x14ac:dyDescent="0.3"/>
    <row r="534" s="778" customFormat="1" ht="12.75" customHeight="1" x14ac:dyDescent="0.3"/>
    <row r="535" s="778" customFormat="1" ht="12.75" customHeight="1" x14ac:dyDescent="0.3"/>
    <row r="536" s="778" customFormat="1" ht="12.75" customHeight="1" x14ac:dyDescent="0.3"/>
    <row r="537" s="778" customFormat="1" ht="12.75" customHeight="1" x14ac:dyDescent="0.3"/>
    <row r="538" s="778" customFormat="1" ht="12.75" customHeight="1" x14ac:dyDescent="0.3"/>
    <row r="539" s="778" customFormat="1" ht="12.75" customHeight="1" x14ac:dyDescent="0.3"/>
    <row r="540" s="778" customFormat="1" ht="12.75" customHeight="1" x14ac:dyDescent="0.3"/>
    <row r="541" s="778" customFormat="1" ht="12.75" customHeight="1" x14ac:dyDescent="0.3"/>
    <row r="542" s="778" customFormat="1" ht="12.75" customHeight="1" x14ac:dyDescent="0.3"/>
    <row r="543" s="778" customFormat="1" ht="12.75" customHeight="1" x14ac:dyDescent="0.3"/>
    <row r="544" s="778" customFormat="1" ht="12.75" customHeight="1" x14ac:dyDescent="0.3"/>
    <row r="545" s="778" customFormat="1" ht="12.75" customHeight="1" x14ac:dyDescent="0.3"/>
    <row r="546" s="778" customFormat="1" ht="12.75" customHeight="1" x14ac:dyDescent="0.3"/>
    <row r="547" s="778" customFormat="1" ht="12.75" customHeight="1" x14ac:dyDescent="0.3"/>
    <row r="548" s="778" customFormat="1" ht="12.75" customHeight="1" x14ac:dyDescent="0.3"/>
    <row r="549" s="778" customFormat="1" ht="12.75" customHeight="1" x14ac:dyDescent="0.3"/>
    <row r="550" s="778" customFormat="1" ht="12.75" customHeight="1" x14ac:dyDescent="0.3"/>
    <row r="551" s="778" customFormat="1" ht="12.75" customHeight="1" x14ac:dyDescent="0.3"/>
    <row r="552" s="778" customFormat="1" ht="12.75" customHeight="1" x14ac:dyDescent="0.3"/>
    <row r="553" s="778" customFormat="1" ht="12.75" customHeight="1" x14ac:dyDescent="0.3"/>
    <row r="554" s="778" customFormat="1" ht="12.75" customHeight="1" x14ac:dyDescent="0.3"/>
    <row r="555" s="778" customFormat="1" ht="12.75" customHeight="1" x14ac:dyDescent="0.3"/>
    <row r="556" s="778" customFormat="1" ht="12.75" customHeight="1" x14ac:dyDescent="0.3"/>
    <row r="557" s="778" customFormat="1" ht="12.75" customHeight="1" x14ac:dyDescent="0.3"/>
    <row r="558" s="778" customFormat="1" ht="12.75" customHeight="1" x14ac:dyDescent="0.3"/>
    <row r="559" s="778" customFormat="1" ht="12.75" customHeight="1" x14ac:dyDescent="0.3"/>
    <row r="560" s="778" customFormat="1" ht="12.75" customHeight="1" x14ac:dyDescent="0.3"/>
    <row r="561" s="778" customFormat="1" ht="12.75" customHeight="1" x14ac:dyDescent="0.3"/>
    <row r="562" s="778" customFormat="1" ht="12.75" customHeight="1" x14ac:dyDescent="0.3"/>
    <row r="563" s="778" customFormat="1" ht="12.75" customHeight="1" x14ac:dyDescent="0.3"/>
    <row r="564" s="778" customFormat="1" ht="12.75" customHeight="1" x14ac:dyDescent="0.3"/>
    <row r="565" s="778" customFormat="1" ht="12.75" customHeight="1" x14ac:dyDescent="0.3"/>
    <row r="566" s="778" customFormat="1" ht="12.75" customHeight="1" x14ac:dyDescent="0.3"/>
    <row r="567" s="778" customFormat="1" ht="12.75" customHeight="1" x14ac:dyDescent="0.3"/>
    <row r="568" s="778" customFormat="1" ht="12.75" customHeight="1" x14ac:dyDescent="0.3"/>
    <row r="569" s="778" customFormat="1" ht="12.75" customHeight="1" x14ac:dyDescent="0.3"/>
    <row r="570" s="778" customFormat="1" ht="12.75" customHeight="1" x14ac:dyDescent="0.3"/>
    <row r="571" s="778" customFormat="1" ht="12.75" customHeight="1" x14ac:dyDescent="0.3"/>
    <row r="572" s="778" customFormat="1" ht="12.75" customHeight="1" x14ac:dyDescent="0.3"/>
    <row r="573" s="778" customFormat="1" ht="12.75" customHeight="1" x14ac:dyDescent="0.3"/>
    <row r="574" s="778" customFormat="1" ht="12.75" customHeight="1" x14ac:dyDescent="0.3"/>
    <row r="575" s="778" customFormat="1" ht="12.75" customHeight="1" x14ac:dyDescent="0.3"/>
    <row r="576" s="778" customFormat="1" ht="12.75" customHeight="1" x14ac:dyDescent="0.3"/>
    <row r="577" s="778" customFormat="1" ht="12.75" customHeight="1" x14ac:dyDescent="0.3"/>
    <row r="578" s="778" customFormat="1" ht="12.75" customHeight="1" x14ac:dyDescent="0.3"/>
    <row r="579" s="778" customFormat="1" ht="12.75" customHeight="1" x14ac:dyDescent="0.3"/>
    <row r="580" s="778" customFormat="1" ht="12.75" customHeight="1" x14ac:dyDescent="0.3"/>
    <row r="581" s="778" customFormat="1" ht="12.75" customHeight="1" x14ac:dyDescent="0.3"/>
    <row r="582" s="778" customFormat="1" ht="12.75" customHeight="1" x14ac:dyDescent="0.3"/>
    <row r="583" s="778" customFormat="1" ht="12.75" customHeight="1" x14ac:dyDescent="0.3"/>
    <row r="584" s="778" customFormat="1" ht="12.75" customHeight="1" x14ac:dyDescent="0.3"/>
    <row r="585" s="778" customFormat="1" ht="12.75" customHeight="1" x14ac:dyDescent="0.3"/>
    <row r="586" s="778" customFormat="1" ht="12.75" customHeight="1" x14ac:dyDescent="0.3"/>
    <row r="587" s="778" customFormat="1" ht="12.75" customHeight="1" x14ac:dyDescent="0.3"/>
    <row r="588" s="778" customFormat="1" ht="12.75" customHeight="1" x14ac:dyDescent="0.3"/>
    <row r="589" s="778" customFormat="1" ht="12.75" customHeight="1" x14ac:dyDescent="0.3"/>
    <row r="590" s="778" customFormat="1" ht="12.75" customHeight="1" x14ac:dyDescent="0.3"/>
    <row r="591" s="778" customFormat="1" ht="12.75" customHeight="1" x14ac:dyDescent="0.3"/>
    <row r="592" s="778" customFormat="1" ht="12.75" customHeight="1" x14ac:dyDescent="0.3"/>
    <row r="593" s="778" customFormat="1" ht="12.75" customHeight="1" x14ac:dyDescent="0.3"/>
    <row r="594" s="778" customFormat="1" ht="12.75" customHeight="1" x14ac:dyDescent="0.3"/>
    <row r="595" s="778" customFormat="1" ht="12.75" customHeight="1" x14ac:dyDescent="0.3"/>
    <row r="596" s="778" customFormat="1" ht="12.75" customHeight="1" x14ac:dyDescent="0.3"/>
    <row r="597" s="778" customFormat="1" ht="12.75" customHeight="1" x14ac:dyDescent="0.3"/>
    <row r="598" s="778" customFormat="1" ht="12.75" customHeight="1" x14ac:dyDescent="0.3"/>
    <row r="599" s="778" customFormat="1" ht="12.75" customHeight="1" x14ac:dyDescent="0.3"/>
    <row r="600" s="778" customFormat="1" ht="12.75" customHeight="1" x14ac:dyDescent="0.3"/>
    <row r="601" s="778" customFormat="1" ht="12.75" customHeight="1" x14ac:dyDescent="0.3"/>
    <row r="602" s="778" customFormat="1" ht="12.75" customHeight="1" x14ac:dyDescent="0.3"/>
    <row r="603" s="778" customFormat="1" ht="12.75" customHeight="1" x14ac:dyDescent="0.3"/>
    <row r="604" s="778" customFormat="1" ht="12.75" customHeight="1" x14ac:dyDescent="0.3"/>
    <row r="605" s="778" customFormat="1" ht="12.75" customHeight="1" x14ac:dyDescent="0.3"/>
    <row r="606" s="778" customFormat="1" ht="12.75" customHeight="1" x14ac:dyDescent="0.3"/>
    <row r="607" s="778" customFormat="1" ht="12.75" customHeight="1" x14ac:dyDescent="0.3"/>
    <row r="608" s="778" customFormat="1" ht="12.75" customHeight="1" x14ac:dyDescent="0.3"/>
    <row r="609" s="778" customFormat="1" ht="12.75" customHeight="1" x14ac:dyDescent="0.3"/>
    <row r="610" s="778" customFormat="1" ht="12.75" customHeight="1" x14ac:dyDescent="0.3"/>
    <row r="611" s="778" customFormat="1" ht="12.75" customHeight="1" x14ac:dyDescent="0.3"/>
    <row r="612" s="778" customFormat="1" ht="12.75" customHeight="1" x14ac:dyDescent="0.3"/>
    <row r="613" s="778" customFormat="1" ht="12.75" customHeight="1" x14ac:dyDescent="0.3"/>
    <row r="614" s="778" customFormat="1" ht="12.75" customHeight="1" x14ac:dyDescent="0.3"/>
    <row r="615" s="778" customFormat="1" ht="12.75" customHeight="1" x14ac:dyDescent="0.3"/>
    <row r="616" s="778" customFormat="1" ht="12.75" customHeight="1" x14ac:dyDescent="0.3"/>
    <row r="617" s="778" customFormat="1" ht="12.75" customHeight="1" x14ac:dyDescent="0.3"/>
    <row r="618" s="778" customFormat="1" ht="12.75" customHeight="1" x14ac:dyDescent="0.3"/>
    <row r="619" s="778" customFormat="1" ht="12.75" customHeight="1" x14ac:dyDescent="0.3"/>
    <row r="620" s="778" customFormat="1" ht="12.75" customHeight="1" x14ac:dyDescent="0.3"/>
    <row r="621" s="778" customFormat="1" ht="12.75" customHeight="1" x14ac:dyDescent="0.3"/>
    <row r="622" s="778" customFormat="1" ht="12.75" customHeight="1" x14ac:dyDescent="0.3"/>
    <row r="623" s="778" customFormat="1" ht="12.75" customHeight="1" x14ac:dyDescent="0.3"/>
    <row r="624" s="778" customFormat="1" ht="12.75" customHeight="1" x14ac:dyDescent="0.3"/>
    <row r="625" s="778" customFormat="1" ht="12.75" customHeight="1" x14ac:dyDescent="0.3"/>
    <row r="626" s="778" customFormat="1" ht="12.75" customHeight="1" x14ac:dyDescent="0.3"/>
    <row r="627" s="778" customFormat="1" ht="12.75" customHeight="1" x14ac:dyDescent="0.3"/>
    <row r="628" s="778" customFormat="1" ht="12.75" customHeight="1" x14ac:dyDescent="0.3"/>
    <row r="629" s="778" customFormat="1" ht="12.75" customHeight="1" x14ac:dyDescent="0.3"/>
    <row r="630" s="778" customFormat="1" ht="12.75" customHeight="1" x14ac:dyDescent="0.3"/>
    <row r="631" s="778" customFormat="1" ht="12.75" customHeight="1" x14ac:dyDescent="0.3"/>
    <row r="632" s="778" customFormat="1" ht="12.75" customHeight="1" x14ac:dyDescent="0.3"/>
    <row r="633" s="778" customFormat="1" ht="12.75" customHeight="1" x14ac:dyDescent="0.3"/>
    <row r="634" s="778" customFormat="1" ht="12.75" customHeight="1" x14ac:dyDescent="0.3"/>
    <row r="635" s="778" customFormat="1" ht="12.75" customHeight="1" x14ac:dyDescent="0.3"/>
    <row r="636" s="778" customFormat="1" ht="12.75" customHeight="1" x14ac:dyDescent="0.3"/>
    <row r="637" s="778" customFormat="1" ht="12.75" customHeight="1" x14ac:dyDescent="0.3"/>
    <row r="638" s="778" customFormat="1" ht="12.75" customHeight="1" x14ac:dyDescent="0.3"/>
    <row r="639" s="778" customFormat="1" ht="12.75" customHeight="1" x14ac:dyDescent="0.3"/>
    <row r="640" s="778" customFormat="1" ht="12.75" customHeight="1" x14ac:dyDescent="0.3"/>
    <row r="641" s="778" customFormat="1" ht="12.75" customHeight="1" x14ac:dyDescent="0.3"/>
    <row r="642" s="778" customFormat="1" ht="12.75" customHeight="1" x14ac:dyDescent="0.3"/>
    <row r="643" s="778" customFormat="1" ht="12.75" customHeight="1" x14ac:dyDescent="0.3"/>
    <row r="644" s="778" customFormat="1" ht="12.75" customHeight="1" x14ac:dyDescent="0.3"/>
    <row r="645" s="778" customFormat="1" ht="12.75" customHeight="1" x14ac:dyDescent="0.3"/>
    <row r="646" s="778" customFormat="1" ht="12.75" customHeight="1" x14ac:dyDescent="0.3"/>
    <row r="647" s="778" customFormat="1" ht="12.75" customHeight="1" x14ac:dyDescent="0.3"/>
    <row r="648" s="778" customFormat="1" ht="12.75" customHeight="1" x14ac:dyDescent="0.3"/>
    <row r="649" s="778" customFormat="1" ht="12.75" customHeight="1" x14ac:dyDescent="0.3"/>
    <row r="650" s="778" customFormat="1" ht="12.75" customHeight="1" x14ac:dyDescent="0.3"/>
    <row r="651" s="778" customFormat="1" ht="12.75" customHeight="1" x14ac:dyDescent="0.3"/>
    <row r="652" s="778" customFormat="1" ht="12.75" customHeight="1" x14ac:dyDescent="0.3"/>
    <row r="653" s="778" customFormat="1" ht="12.75" customHeight="1" x14ac:dyDescent="0.3"/>
    <row r="654" s="778" customFormat="1" ht="12.75" customHeight="1" x14ac:dyDescent="0.3"/>
    <row r="655" s="778" customFormat="1" ht="12.75" customHeight="1" x14ac:dyDescent="0.3"/>
    <row r="656" s="778" customFormat="1" ht="12.75" customHeight="1" x14ac:dyDescent="0.3"/>
    <row r="657" s="778" customFormat="1" ht="12.75" customHeight="1" x14ac:dyDescent="0.3"/>
    <row r="658" s="778" customFormat="1" ht="12.75" customHeight="1" x14ac:dyDescent="0.3"/>
    <row r="659" s="778" customFormat="1" ht="12.75" customHeight="1" x14ac:dyDescent="0.3"/>
    <row r="660" s="778" customFormat="1" ht="12.75" customHeight="1" x14ac:dyDescent="0.3"/>
    <row r="661" s="778" customFormat="1" ht="12.75" customHeight="1" x14ac:dyDescent="0.3"/>
    <row r="662" s="778" customFormat="1" ht="12.75" customHeight="1" x14ac:dyDescent="0.3"/>
    <row r="663" s="778" customFormat="1" ht="12.75" customHeight="1" x14ac:dyDescent="0.3"/>
    <row r="664" s="778" customFormat="1" ht="12.75" customHeight="1" x14ac:dyDescent="0.3"/>
    <row r="665" s="778" customFormat="1" ht="12.75" customHeight="1" x14ac:dyDescent="0.3"/>
    <row r="666" s="778" customFormat="1" ht="12.75" customHeight="1" x14ac:dyDescent="0.3"/>
    <row r="667" s="778" customFormat="1" ht="12.75" customHeight="1" x14ac:dyDescent="0.3"/>
    <row r="668" s="778" customFormat="1" ht="12.75" customHeight="1" x14ac:dyDescent="0.3"/>
    <row r="669" s="778" customFormat="1" ht="12.75" customHeight="1" x14ac:dyDescent="0.3"/>
    <row r="670" s="778" customFormat="1" ht="12.75" customHeight="1" x14ac:dyDescent="0.3"/>
    <row r="671" s="778" customFormat="1" ht="12.75" customHeight="1" x14ac:dyDescent="0.3"/>
    <row r="672" s="778" customFormat="1" ht="12.75" customHeight="1" x14ac:dyDescent="0.3"/>
    <row r="673" s="778" customFormat="1" ht="12.75" customHeight="1" x14ac:dyDescent="0.3"/>
    <row r="674" s="778" customFormat="1" ht="12.75" customHeight="1" x14ac:dyDescent="0.3"/>
    <row r="675" s="778" customFormat="1" ht="12.75" customHeight="1" x14ac:dyDescent="0.3"/>
    <row r="676" s="778" customFormat="1" ht="12.75" customHeight="1" x14ac:dyDescent="0.3"/>
    <row r="677" s="778" customFormat="1" ht="12.75" customHeight="1" x14ac:dyDescent="0.3"/>
    <row r="678" s="778" customFormat="1" ht="12.75" customHeight="1" x14ac:dyDescent="0.3"/>
    <row r="679" s="778" customFormat="1" ht="12.75" customHeight="1" x14ac:dyDescent="0.3"/>
    <row r="680" s="778" customFormat="1" ht="12.75" customHeight="1" x14ac:dyDescent="0.3"/>
    <row r="681" s="778" customFormat="1" ht="12.75" customHeight="1" x14ac:dyDescent="0.3"/>
    <row r="682" s="778" customFormat="1" ht="12.75" customHeight="1" x14ac:dyDescent="0.3"/>
    <row r="683" s="778" customFormat="1" ht="12.75" customHeight="1" x14ac:dyDescent="0.3"/>
    <row r="684" s="778" customFormat="1" ht="12.75" customHeight="1" x14ac:dyDescent="0.3"/>
    <row r="685" s="778" customFormat="1" ht="12.75" customHeight="1" x14ac:dyDescent="0.3"/>
    <row r="686" s="778" customFormat="1" ht="12.75" customHeight="1" x14ac:dyDescent="0.3"/>
    <row r="687" s="778" customFormat="1" ht="12.75" customHeight="1" x14ac:dyDescent="0.3"/>
    <row r="688" s="778" customFormat="1" ht="12.75" customHeight="1" x14ac:dyDescent="0.3"/>
    <row r="689" s="778" customFormat="1" ht="12.75" customHeight="1" x14ac:dyDescent="0.3"/>
    <row r="690" s="778" customFormat="1" ht="12.75" customHeight="1" x14ac:dyDescent="0.3"/>
    <row r="691" s="778" customFormat="1" ht="12.75" customHeight="1" x14ac:dyDescent="0.3"/>
    <row r="692" s="778" customFormat="1" ht="12.75" customHeight="1" x14ac:dyDescent="0.3"/>
    <row r="693" s="778" customFormat="1" ht="12.75" customHeight="1" x14ac:dyDescent="0.3"/>
    <row r="694" s="778" customFormat="1" ht="12.75" customHeight="1" x14ac:dyDescent="0.3"/>
    <row r="695" s="778" customFormat="1" ht="12.75" customHeight="1" x14ac:dyDescent="0.3"/>
    <row r="696" s="778" customFormat="1" ht="12.75" customHeight="1" x14ac:dyDescent="0.3"/>
    <row r="697" s="778" customFormat="1" ht="12.75" customHeight="1" x14ac:dyDescent="0.3"/>
    <row r="698" s="778" customFormat="1" ht="12.75" customHeight="1" x14ac:dyDescent="0.3"/>
    <row r="699" s="778" customFormat="1" ht="12.75" customHeight="1" x14ac:dyDescent="0.3"/>
    <row r="700" s="778" customFormat="1" ht="12.75" customHeight="1" x14ac:dyDescent="0.3"/>
    <row r="701" s="778" customFormat="1" ht="12.75" customHeight="1" x14ac:dyDescent="0.3"/>
    <row r="702" s="778" customFormat="1" ht="12.75" customHeight="1" x14ac:dyDescent="0.3"/>
    <row r="703" s="778" customFormat="1" ht="12.75" customHeight="1" x14ac:dyDescent="0.3"/>
    <row r="704" s="778" customFormat="1" ht="12.75" customHeight="1" x14ac:dyDescent="0.3"/>
    <row r="705" s="778" customFormat="1" ht="12.75" customHeight="1" x14ac:dyDescent="0.3"/>
    <row r="706" s="778" customFormat="1" ht="12.75" customHeight="1" x14ac:dyDescent="0.3"/>
    <row r="707" s="778" customFormat="1" ht="12.75" customHeight="1" x14ac:dyDescent="0.3"/>
    <row r="708" s="778" customFormat="1" ht="12.75" customHeight="1" x14ac:dyDescent="0.3"/>
    <row r="709" s="778" customFormat="1" ht="12.75" customHeight="1" x14ac:dyDescent="0.3"/>
    <row r="710" s="778" customFormat="1" ht="12.75" customHeight="1" x14ac:dyDescent="0.3"/>
    <row r="711" s="778" customFormat="1" ht="12.75" customHeight="1" x14ac:dyDescent="0.3"/>
    <row r="712" s="778" customFormat="1" ht="12.75" customHeight="1" x14ac:dyDescent="0.3"/>
    <row r="713" s="778" customFormat="1" ht="12.75" customHeight="1" x14ac:dyDescent="0.3"/>
    <row r="714" s="778" customFormat="1" ht="12.75" customHeight="1" x14ac:dyDescent="0.3"/>
    <row r="715" s="778" customFormat="1" ht="12.75" customHeight="1" x14ac:dyDescent="0.3"/>
    <row r="716" s="778" customFormat="1" ht="12.75" customHeight="1" x14ac:dyDescent="0.3"/>
    <row r="717" s="778" customFormat="1" ht="12.75" customHeight="1" x14ac:dyDescent="0.3"/>
    <row r="718" s="778" customFormat="1" ht="12.75" customHeight="1" x14ac:dyDescent="0.3"/>
    <row r="719" s="778" customFormat="1" ht="12.75" customHeight="1" x14ac:dyDescent="0.3"/>
    <row r="720" s="778" customFormat="1" ht="12.75" customHeight="1" x14ac:dyDescent="0.3"/>
    <row r="721" s="778" customFormat="1" ht="12.75" customHeight="1" x14ac:dyDescent="0.3"/>
    <row r="722" s="778" customFormat="1" ht="12.75" customHeight="1" x14ac:dyDescent="0.3"/>
    <row r="723" s="778" customFormat="1" ht="12.75" customHeight="1" x14ac:dyDescent="0.3"/>
    <row r="724" s="778" customFormat="1" ht="12.75" customHeight="1" x14ac:dyDescent="0.3"/>
    <row r="725" s="778" customFormat="1" ht="12.75" customHeight="1" x14ac:dyDescent="0.3"/>
    <row r="726" s="778" customFormat="1" ht="12.75" customHeight="1" x14ac:dyDescent="0.3"/>
    <row r="727" s="778" customFormat="1" ht="12.75" customHeight="1" x14ac:dyDescent="0.3"/>
    <row r="728" s="778" customFormat="1" ht="12.75" customHeight="1" x14ac:dyDescent="0.3"/>
    <row r="729" s="778" customFormat="1" ht="12.75" customHeight="1" x14ac:dyDescent="0.3"/>
    <row r="730" s="778" customFormat="1" ht="12.75" customHeight="1" x14ac:dyDescent="0.3"/>
    <row r="731" s="778" customFormat="1" ht="12.75" customHeight="1" x14ac:dyDescent="0.3"/>
    <row r="732" s="778" customFormat="1" ht="12.75" customHeight="1" x14ac:dyDescent="0.3"/>
    <row r="733" s="778" customFormat="1" ht="12.75" customHeight="1" x14ac:dyDescent="0.3"/>
    <row r="734" s="778" customFormat="1" ht="12.75" customHeight="1" x14ac:dyDescent="0.3"/>
    <row r="735" s="778" customFormat="1" ht="12.75" customHeight="1" x14ac:dyDescent="0.3"/>
    <row r="736" s="778" customFormat="1" ht="12.75" customHeight="1" x14ac:dyDescent="0.3"/>
    <row r="737" s="778" customFormat="1" ht="12.75" customHeight="1" x14ac:dyDescent="0.3"/>
    <row r="738" s="778" customFormat="1" ht="12.75" customHeight="1" x14ac:dyDescent="0.3"/>
    <row r="739" s="778" customFormat="1" ht="12.75" customHeight="1" x14ac:dyDescent="0.3"/>
    <row r="740" s="778" customFormat="1" ht="12.75" customHeight="1" x14ac:dyDescent="0.3"/>
    <row r="741" s="778" customFormat="1" ht="12.75" customHeight="1" x14ac:dyDescent="0.3"/>
    <row r="742" s="778" customFormat="1" ht="12.75" customHeight="1" x14ac:dyDescent="0.3"/>
    <row r="743" s="778" customFormat="1" ht="12.75" customHeight="1" x14ac:dyDescent="0.3"/>
    <row r="744" s="778" customFormat="1" ht="12.75" customHeight="1" x14ac:dyDescent="0.3"/>
    <row r="745" s="778" customFormat="1" ht="12.75" customHeight="1" x14ac:dyDescent="0.3"/>
    <row r="746" s="778" customFormat="1" ht="12.75" customHeight="1" x14ac:dyDescent="0.3"/>
    <row r="747" s="778" customFormat="1" ht="12.75" customHeight="1" x14ac:dyDescent="0.3"/>
    <row r="748" s="778" customFormat="1" ht="12.75" customHeight="1" x14ac:dyDescent="0.3"/>
    <row r="749" s="778" customFormat="1" ht="12.75" customHeight="1" x14ac:dyDescent="0.3"/>
    <row r="750" s="778" customFormat="1" ht="12.75" customHeight="1" x14ac:dyDescent="0.3"/>
    <row r="751" s="778" customFormat="1" ht="12.75" customHeight="1" x14ac:dyDescent="0.3"/>
    <row r="752" s="778" customFormat="1" ht="12.75" customHeight="1" x14ac:dyDescent="0.3"/>
    <row r="753" s="778" customFormat="1" ht="12.75" customHeight="1" x14ac:dyDescent="0.3"/>
    <row r="754" s="778" customFormat="1" ht="12.75" customHeight="1" x14ac:dyDescent="0.3"/>
    <row r="755" s="778" customFormat="1" ht="12.75" customHeight="1" x14ac:dyDescent="0.3"/>
    <row r="756" s="778" customFormat="1" ht="12.75" customHeight="1" x14ac:dyDescent="0.3"/>
    <row r="757" s="778" customFormat="1" ht="12.75" customHeight="1" x14ac:dyDescent="0.3"/>
    <row r="758" s="778" customFormat="1" ht="12.75" customHeight="1" x14ac:dyDescent="0.3"/>
    <row r="759" s="778" customFormat="1" ht="12.75" customHeight="1" x14ac:dyDescent="0.3"/>
    <row r="760" s="778" customFormat="1" ht="12.75" customHeight="1" x14ac:dyDescent="0.3"/>
    <row r="761" s="778" customFormat="1" ht="12.75" customHeight="1" x14ac:dyDescent="0.3"/>
    <row r="762" s="778" customFormat="1" ht="12.75" customHeight="1" x14ac:dyDescent="0.3"/>
    <row r="763" s="778" customFormat="1" ht="12.75" customHeight="1" x14ac:dyDescent="0.3"/>
    <row r="764" s="778" customFormat="1" ht="12.75" customHeight="1" x14ac:dyDescent="0.3"/>
    <row r="765" s="778" customFormat="1" ht="12.75" customHeight="1" x14ac:dyDescent="0.3"/>
    <row r="766" s="778" customFormat="1" ht="12.75" customHeight="1" x14ac:dyDescent="0.3"/>
    <row r="767" s="778" customFormat="1" ht="12.75" customHeight="1" x14ac:dyDescent="0.3"/>
    <row r="768" s="778" customFormat="1" ht="12.75" customHeight="1" x14ac:dyDescent="0.3"/>
    <row r="769" s="778" customFormat="1" ht="12.75" customHeight="1" x14ac:dyDescent="0.3"/>
    <row r="770" s="778" customFormat="1" ht="12.75" customHeight="1" x14ac:dyDescent="0.3"/>
    <row r="771" s="778" customFormat="1" ht="12.75" customHeight="1" x14ac:dyDescent="0.3"/>
    <row r="772" s="778" customFormat="1" ht="12.75" customHeight="1" x14ac:dyDescent="0.3"/>
    <row r="773" s="778" customFormat="1" ht="12.75" customHeight="1" x14ac:dyDescent="0.3"/>
    <row r="774" s="778" customFormat="1" ht="12.75" customHeight="1" x14ac:dyDescent="0.3"/>
    <row r="775" s="778" customFormat="1" ht="12.75" customHeight="1" x14ac:dyDescent="0.3"/>
    <row r="776" s="778" customFormat="1" ht="12.75" customHeight="1" x14ac:dyDescent="0.3"/>
    <row r="777" s="778" customFormat="1" ht="12.75" customHeight="1" x14ac:dyDescent="0.3"/>
    <row r="778" s="778" customFormat="1" ht="12.75" customHeight="1" x14ac:dyDescent="0.3"/>
    <row r="779" s="778" customFormat="1" ht="12.75" customHeight="1" x14ac:dyDescent="0.3"/>
    <row r="780" s="778" customFormat="1" ht="12.75" customHeight="1" x14ac:dyDescent="0.3"/>
    <row r="781" s="778" customFormat="1" ht="12.75" customHeight="1" x14ac:dyDescent="0.3"/>
    <row r="782" s="778" customFormat="1" ht="12.75" customHeight="1" x14ac:dyDescent="0.3"/>
    <row r="783" s="778" customFormat="1" ht="12.75" customHeight="1" x14ac:dyDescent="0.3"/>
    <row r="784" s="778" customFormat="1" ht="12.75" customHeight="1" x14ac:dyDescent="0.3"/>
    <row r="785" s="778" customFormat="1" ht="12.75" customHeight="1" x14ac:dyDescent="0.3"/>
    <row r="786" s="778" customFormat="1" ht="12.75" customHeight="1" x14ac:dyDescent="0.3"/>
    <row r="787" s="778" customFormat="1" ht="12.75" customHeight="1" x14ac:dyDescent="0.3"/>
    <row r="788" s="778" customFormat="1" ht="12.75" customHeight="1" x14ac:dyDescent="0.3"/>
    <row r="789" s="778" customFormat="1" ht="12.75" customHeight="1" x14ac:dyDescent="0.3"/>
    <row r="790" s="778" customFormat="1" ht="12.75" customHeight="1" x14ac:dyDescent="0.3"/>
    <row r="791" s="778" customFormat="1" ht="12.75" customHeight="1" x14ac:dyDescent="0.3"/>
    <row r="792" s="778" customFormat="1" ht="12.75" customHeight="1" x14ac:dyDescent="0.3"/>
    <row r="793" s="778" customFormat="1" ht="12.75" customHeight="1" x14ac:dyDescent="0.3"/>
    <row r="794" s="778" customFormat="1" ht="12.75" customHeight="1" x14ac:dyDescent="0.3"/>
    <row r="795" s="778" customFormat="1" ht="12.75" customHeight="1" x14ac:dyDescent="0.3"/>
    <row r="796" s="778" customFormat="1" ht="12.75" customHeight="1" x14ac:dyDescent="0.3"/>
    <row r="797" s="778" customFormat="1" ht="12.75" customHeight="1" x14ac:dyDescent="0.3"/>
    <row r="798" s="778" customFormat="1" ht="12.75" customHeight="1" x14ac:dyDescent="0.3"/>
    <row r="799" s="778" customFormat="1" ht="12.75" customHeight="1" x14ac:dyDescent="0.3"/>
    <row r="800" s="778" customFormat="1" ht="12.75" customHeight="1" x14ac:dyDescent="0.3"/>
    <row r="801" s="778" customFormat="1" ht="12.75" customHeight="1" x14ac:dyDescent="0.3"/>
    <row r="802" s="778" customFormat="1" ht="12.75" customHeight="1" x14ac:dyDescent="0.3"/>
    <row r="803" s="778" customFormat="1" ht="12.75" customHeight="1" x14ac:dyDescent="0.3"/>
    <row r="804" s="778" customFormat="1" ht="12.75" customHeight="1" x14ac:dyDescent="0.3"/>
    <row r="805" s="778" customFormat="1" ht="12.75" customHeight="1" x14ac:dyDescent="0.3"/>
    <row r="806" s="778" customFormat="1" ht="12.75" customHeight="1" x14ac:dyDescent="0.3"/>
    <row r="807" s="778" customFormat="1" ht="12.75" customHeight="1" x14ac:dyDescent="0.3"/>
    <row r="808" s="778" customFormat="1" ht="12.75" customHeight="1" x14ac:dyDescent="0.3"/>
    <row r="809" s="778" customFormat="1" ht="12.75" customHeight="1" x14ac:dyDescent="0.3"/>
    <row r="810" s="778" customFormat="1" ht="12.75" customHeight="1" x14ac:dyDescent="0.3"/>
    <row r="811" s="778" customFormat="1" ht="12.75" customHeight="1" x14ac:dyDescent="0.3"/>
    <row r="812" s="778" customFormat="1" ht="12.75" customHeight="1" x14ac:dyDescent="0.3"/>
    <row r="813" s="778" customFormat="1" ht="12.75" customHeight="1" x14ac:dyDescent="0.3"/>
    <row r="814" s="778" customFormat="1" ht="12.75" customHeight="1" x14ac:dyDescent="0.3"/>
    <row r="815" s="778" customFormat="1" ht="12.75" customHeight="1" x14ac:dyDescent="0.3"/>
    <row r="816" s="778" customFormat="1" ht="12.75" customHeight="1" x14ac:dyDescent="0.3"/>
    <row r="817" s="778" customFormat="1" ht="12.75" customHeight="1" x14ac:dyDescent="0.3"/>
    <row r="818" s="778" customFormat="1" ht="12.75" customHeight="1" x14ac:dyDescent="0.3"/>
    <row r="819" s="778" customFormat="1" ht="12.75" customHeight="1" x14ac:dyDescent="0.3"/>
    <row r="820" s="778" customFormat="1" ht="12.75" customHeight="1" x14ac:dyDescent="0.3"/>
    <row r="821" s="778" customFormat="1" ht="12.75" customHeight="1" x14ac:dyDescent="0.3"/>
    <row r="822" s="778" customFormat="1" ht="12.75" customHeight="1" x14ac:dyDescent="0.3"/>
    <row r="823" s="778" customFormat="1" ht="12.75" customHeight="1" x14ac:dyDescent="0.3"/>
    <row r="824" s="778" customFormat="1" ht="12.75" customHeight="1" x14ac:dyDescent="0.3"/>
    <row r="825" s="778" customFormat="1" ht="12.75" customHeight="1" x14ac:dyDescent="0.3"/>
    <row r="826" s="778" customFormat="1" ht="12.75" customHeight="1" x14ac:dyDescent="0.3"/>
    <row r="827" s="778" customFormat="1" ht="12.75" customHeight="1" x14ac:dyDescent="0.3"/>
    <row r="828" s="778" customFormat="1" ht="12.75" customHeight="1" x14ac:dyDescent="0.3"/>
    <row r="829" s="778" customFormat="1" ht="12.75" customHeight="1" x14ac:dyDescent="0.3"/>
    <row r="830" s="778" customFormat="1" ht="12.75" customHeight="1" x14ac:dyDescent="0.3"/>
    <row r="831" s="778" customFormat="1" ht="12.75" customHeight="1" x14ac:dyDescent="0.3"/>
    <row r="832" s="778" customFormat="1" ht="12.75" customHeight="1" x14ac:dyDescent="0.3"/>
    <row r="833" s="778" customFormat="1" ht="12.75" customHeight="1" x14ac:dyDescent="0.3"/>
    <row r="834" s="778" customFormat="1" ht="12.75" customHeight="1" x14ac:dyDescent="0.3"/>
    <row r="835" s="778" customFormat="1" ht="12.75" customHeight="1" x14ac:dyDescent="0.3"/>
    <row r="836" s="778" customFormat="1" ht="12.75" customHeight="1" x14ac:dyDescent="0.3"/>
    <row r="837" s="778" customFormat="1" ht="12.75" customHeight="1" x14ac:dyDescent="0.3"/>
    <row r="838" s="778" customFormat="1" ht="12.75" customHeight="1" x14ac:dyDescent="0.3"/>
    <row r="839" s="778" customFormat="1" ht="12.75" customHeight="1" x14ac:dyDescent="0.3"/>
    <row r="840" s="778" customFormat="1" ht="12.75" customHeight="1" x14ac:dyDescent="0.3"/>
    <row r="841" s="778" customFormat="1" ht="12.75" customHeight="1" x14ac:dyDescent="0.3"/>
    <row r="842" s="778" customFormat="1" ht="12.75" customHeight="1" x14ac:dyDescent="0.3"/>
    <row r="843" s="778" customFormat="1" ht="12.75" customHeight="1" x14ac:dyDescent="0.3"/>
    <row r="844" s="778" customFormat="1" ht="12.75" customHeight="1" x14ac:dyDescent="0.3"/>
    <row r="845" s="778" customFormat="1" ht="12.75" customHeight="1" x14ac:dyDescent="0.3"/>
    <row r="846" s="778" customFormat="1" ht="12.75" customHeight="1" x14ac:dyDescent="0.3"/>
    <row r="847" s="778" customFormat="1" ht="12.75" customHeight="1" x14ac:dyDescent="0.3"/>
    <row r="848" s="778" customFormat="1" ht="12.75" customHeight="1" x14ac:dyDescent="0.3"/>
    <row r="849" s="778" customFormat="1" ht="12.75" customHeight="1" x14ac:dyDescent="0.3"/>
    <row r="850" s="778" customFormat="1" ht="12.75" customHeight="1" x14ac:dyDescent="0.3"/>
    <row r="851" s="778" customFormat="1" ht="12.75" customHeight="1" x14ac:dyDescent="0.3"/>
    <row r="852" s="778" customFormat="1" ht="12.75" customHeight="1" x14ac:dyDescent="0.3"/>
    <row r="853" s="778" customFormat="1" ht="12.75" customHeight="1" x14ac:dyDescent="0.3"/>
    <row r="854" s="778" customFormat="1" ht="12.75" customHeight="1" x14ac:dyDescent="0.3"/>
    <row r="855" s="778" customFormat="1" ht="12.75" customHeight="1" x14ac:dyDescent="0.3"/>
    <row r="856" s="778" customFormat="1" ht="12.75" customHeight="1" x14ac:dyDescent="0.3"/>
    <row r="857" s="778" customFormat="1" ht="12.75" customHeight="1" x14ac:dyDescent="0.3"/>
    <row r="858" s="778" customFormat="1" ht="12.75" customHeight="1" x14ac:dyDescent="0.3"/>
    <row r="859" s="778" customFormat="1" ht="12.75" customHeight="1" x14ac:dyDescent="0.3"/>
    <row r="860" s="778" customFormat="1" ht="12.75" customHeight="1" x14ac:dyDescent="0.3"/>
    <row r="861" s="778" customFormat="1" ht="12.75" customHeight="1" x14ac:dyDescent="0.3"/>
    <row r="862" s="778" customFormat="1" ht="12.75" customHeight="1" x14ac:dyDescent="0.3"/>
    <row r="863" s="778" customFormat="1" ht="12.75" customHeight="1" x14ac:dyDescent="0.3"/>
    <row r="864" s="778" customFormat="1" ht="12.75" customHeight="1" x14ac:dyDescent="0.3"/>
    <row r="865" s="778" customFormat="1" ht="12.75" customHeight="1" x14ac:dyDescent="0.3"/>
    <row r="866" s="778" customFormat="1" ht="12.75" customHeight="1" x14ac:dyDescent="0.3"/>
    <row r="867" s="778" customFormat="1" ht="12.75" customHeight="1" x14ac:dyDescent="0.3"/>
    <row r="868" s="778" customFormat="1" ht="12.75" customHeight="1" x14ac:dyDescent="0.3"/>
    <row r="869" s="778" customFormat="1" ht="12.75" customHeight="1" x14ac:dyDescent="0.3"/>
    <row r="870" s="778" customFormat="1" ht="12.75" customHeight="1" x14ac:dyDescent="0.3"/>
    <row r="871" s="778" customFormat="1" ht="12.75" customHeight="1" x14ac:dyDescent="0.3"/>
    <row r="872" s="778" customFormat="1" ht="12.75" customHeight="1" x14ac:dyDescent="0.3"/>
    <row r="873" s="778" customFormat="1" ht="12.75" customHeight="1" x14ac:dyDescent="0.3"/>
    <row r="874" s="778" customFormat="1" ht="12.75" customHeight="1" x14ac:dyDescent="0.3"/>
    <row r="875" s="778" customFormat="1" ht="12.75" customHeight="1" x14ac:dyDescent="0.3"/>
    <row r="876" s="778" customFormat="1" ht="12.75" customHeight="1" x14ac:dyDescent="0.3"/>
    <row r="877" s="778" customFormat="1" ht="12.75" customHeight="1" x14ac:dyDescent="0.3"/>
    <row r="878" s="778" customFormat="1" ht="12.75" customHeight="1" x14ac:dyDescent="0.3"/>
    <row r="879" s="778" customFormat="1" ht="12.75" customHeight="1" x14ac:dyDescent="0.3"/>
    <row r="880" s="778" customFormat="1" ht="12.75" customHeight="1" x14ac:dyDescent="0.3"/>
    <row r="881" s="778" customFormat="1" ht="12.75" customHeight="1" x14ac:dyDescent="0.3"/>
    <row r="882" s="778" customFormat="1" ht="12.75" customHeight="1" x14ac:dyDescent="0.3"/>
    <row r="883" s="778" customFormat="1" ht="12.75" customHeight="1" x14ac:dyDescent="0.3"/>
    <row r="884" s="778" customFormat="1" ht="12.75" customHeight="1" x14ac:dyDescent="0.3"/>
    <row r="885" s="778" customFormat="1" ht="12.75" customHeight="1" x14ac:dyDescent="0.3"/>
    <row r="886" s="778" customFormat="1" ht="12.75" customHeight="1" x14ac:dyDescent="0.3"/>
    <row r="887" s="778" customFormat="1" ht="12.75" customHeight="1" x14ac:dyDescent="0.3"/>
    <row r="888" s="778" customFormat="1" ht="12.75" customHeight="1" x14ac:dyDescent="0.3"/>
    <row r="889" s="778" customFormat="1" ht="12.75" customHeight="1" x14ac:dyDescent="0.3"/>
    <row r="890" s="778" customFormat="1" ht="12.75" customHeight="1" x14ac:dyDescent="0.3"/>
    <row r="891" s="778" customFormat="1" ht="12.75" customHeight="1" x14ac:dyDescent="0.3"/>
    <row r="892" s="778" customFormat="1" ht="12.75" customHeight="1" x14ac:dyDescent="0.3"/>
    <row r="893" s="778" customFormat="1" ht="12.75" customHeight="1" x14ac:dyDescent="0.3"/>
    <row r="894" s="778" customFormat="1" ht="12.75" customHeight="1" x14ac:dyDescent="0.3"/>
    <row r="895" s="778" customFormat="1" ht="12.75" customHeight="1" x14ac:dyDescent="0.3"/>
    <row r="896" s="778" customFormat="1" ht="12.75" customHeight="1" x14ac:dyDescent="0.3"/>
    <row r="897" s="778" customFormat="1" ht="12.75" customHeight="1" x14ac:dyDescent="0.3"/>
    <row r="898" s="778" customFormat="1" ht="12.75" customHeight="1" x14ac:dyDescent="0.3"/>
    <row r="899" s="778" customFormat="1" ht="12.75" customHeight="1" x14ac:dyDescent="0.3"/>
    <row r="900" s="778" customFormat="1" ht="12.75" customHeight="1" x14ac:dyDescent="0.3"/>
    <row r="901" s="778" customFormat="1" ht="12.75" customHeight="1" x14ac:dyDescent="0.3"/>
    <row r="902" s="778" customFormat="1" ht="12.75" customHeight="1" x14ac:dyDescent="0.3"/>
    <row r="903" s="778" customFormat="1" ht="12.75" customHeight="1" x14ac:dyDescent="0.3"/>
    <row r="904" s="778" customFormat="1" ht="12.75" customHeight="1" x14ac:dyDescent="0.3"/>
    <row r="905" s="778" customFormat="1" ht="12.75" customHeight="1" x14ac:dyDescent="0.3"/>
    <row r="906" s="778" customFormat="1" ht="12.75" customHeight="1" x14ac:dyDescent="0.3"/>
    <row r="907" s="778" customFormat="1" ht="12.75" customHeight="1" x14ac:dyDescent="0.3"/>
    <row r="908" s="778" customFormat="1" ht="12.75" customHeight="1" x14ac:dyDescent="0.3"/>
    <row r="909" s="778" customFormat="1" ht="12.75" customHeight="1" x14ac:dyDescent="0.3"/>
    <row r="910" s="778" customFormat="1" ht="12.75" customHeight="1" x14ac:dyDescent="0.3"/>
    <row r="911" s="778" customFormat="1" ht="12.75" customHeight="1" x14ac:dyDescent="0.3"/>
    <row r="912" s="778" customFormat="1" ht="12.75" customHeight="1" x14ac:dyDescent="0.3"/>
    <row r="913" s="778" customFormat="1" ht="12.75" customHeight="1" x14ac:dyDescent="0.3"/>
    <row r="914" s="778" customFormat="1" ht="12.75" customHeight="1" x14ac:dyDescent="0.3"/>
    <row r="915" s="778" customFormat="1" ht="12.75" customHeight="1" x14ac:dyDescent="0.3"/>
    <row r="916" s="778" customFormat="1" ht="12.75" customHeight="1" x14ac:dyDescent="0.3"/>
    <row r="917" s="778" customFormat="1" ht="12.75" customHeight="1" x14ac:dyDescent="0.3"/>
    <row r="918" s="778" customFormat="1" ht="12.75" customHeight="1" x14ac:dyDescent="0.3"/>
    <row r="919" s="778" customFormat="1" ht="12.75" customHeight="1" x14ac:dyDescent="0.3"/>
    <row r="920" s="778" customFormat="1" ht="12.75" customHeight="1" x14ac:dyDescent="0.3"/>
    <row r="921" s="778" customFormat="1" ht="12.75" customHeight="1" x14ac:dyDescent="0.3"/>
    <row r="922" s="778" customFormat="1" ht="12.75" customHeight="1" x14ac:dyDescent="0.3"/>
    <row r="923" s="778" customFormat="1" ht="12.75" customHeight="1" x14ac:dyDescent="0.3"/>
    <row r="924" s="778" customFormat="1" ht="12.75" customHeight="1" x14ac:dyDescent="0.3"/>
    <row r="925" s="778" customFormat="1" ht="12.75" customHeight="1" x14ac:dyDescent="0.3"/>
    <row r="926" s="778" customFormat="1" ht="12.75" customHeight="1" x14ac:dyDescent="0.3"/>
    <row r="927" s="778" customFormat="1" ht="12.75" customHeight="1" x14ac:dyDescent="0.3"/>
    <row r="928" s="778" customFormat="1" ht="12.75" customHeight="1" x14ac:dyDescent="0.3"/>
    <row r="929" s="778" customFormat="1" ht="12.75" customHeight="1" x14ac:dyDescent="0.3"/>
    <row r="930" s="778" customFormat="1" ht="12.75" customHeight="1" x14ac:dyDescent="0.3"/>
    <row r="931" s="778" customFormat="1" ht="12.75" customHeight="1" x14ac:dyDescent="0.3"/>
    <row r="932" s="778" customFormat="1" ht="12.75" customHeight="1" x14ac:dyDescent="0.3"/>
    <row r="933" s="778" customFormat="1" ht="12.75" customHeight="1" x14ac:dyDescent="0.3"/>
    <row r="934" s="778" customFormat="1" ht="12.75" customHeight="1" x14ac:dyDescent="0.3"/>
    <row r="935" s="778" customFormat="1" ht="12.75" customHeight="1" x14ac:dyDescent="0.3"/>
    <row r="936" s="778" customFormat="1" ht="12.75" customHeight="1" x14ac:dyDescent="0.3"/>
    <row r="937" s="778" customFormat="1" ht="12.75" customHeight="1" x14ac:dyDescent="0.3"/>
    <row r="938" s="778" customFormat="1" ht="12.75" customHeight="1" x14ac:dyDescent="0.3"/>
    <row r="939" s="778" customFormat="1" ht="12.75" customHeight="1" x14ac:dyDescent="0.3"/>
    <row r="940" s="778" customFormat="1" ht="12.75" customHeight="1" x14ac:dyDescent="0.3"/>
    <row r="941" s="778" customFormat="1" ht="12.75" customHeight="1" x14ac:dyDescent="0.3"/>
    <row r="942" s="778" customFormat="1" ht="12.75" customHeight="1" x14ac:dyDescent="0.3"/>
    <row r="943" s="778" customFormat="1" ht="12.75" customHeight="1" x14ac:dyDescent="0.3"/>
    <row r="944" s="778" customFormat="1" ht="12.75" customHeight="1" x14ac:dyDescent="0.3"/>
    <row r="945" s="778" customFormat="1" ht="12.75" customHeight="1" x14ac:dyDescent="0.3"/>
    <row r="946" s="778" customFormat="1" ht="12.75" customHeight="1" x14ac:dyDescent="0.3"/>
    <row r="947" s="778" customFormat="1" ht="12.75" customHeight="1" x14ac:dyDescent="0.3"/>
    <row r="948" s="778" customFormat="1" ht="12.75" customHeight="1" x14ac:dyDescent="0.3"/>
    <row r="949" s="778" customFormat="1" ht="12.75" customHeight="1" x14ac:dyDescent="0.3"/>
    <row r="950" s="778" customFormat="1" ht="12.75" customHeight="1" x14ac:dyDescent="0.3"/>
    <row r="951" s="778" customFormat="1" ht="12.75" customHeight="1" x14ac:dyDescent="0.3"/>
    <row r="952" s="778" customFormat="1" ht="12.75" customHeight="1" x14ac:dyDescent="0.3"/>
    <row r="953" s="778" customFormat="1" ht="12.75" customHeight="1" x14ac:dyDescent="0.3"/>
    <row r="954" s="778" customFormat="1" ht="12.75" customHeight="1" x14ac:dyDescent="0.3"/>
    <row r="955" s="778" customFormat="1" ht="12.75" customHeight="1" x14ac:dyDescent="0.3"/>
    <row r="956" s="778" customFormat="1" ht="12.75" customHeight="1" x14ac:dyDescent="0.3"/>
    <row r="957" s="778" customFormat="1" ht="12.75" customHeight="1" x14ac:dyDescent="0.3"/>
    <row r="958" s="778" customFormat="1" ht="12.75" customHeight="1" x14ac:dyDescent="0.3"/>
    <row r="959" s="778" customFormat="1" ht="12.75" customHeight="1" x14ac:dyDescent="0.3"/>
    <row r="960" s="778" customFormat="1" ht="12.75" customHeight="1" x14ac:dyDescent="0.3"/>
    <row r="961" s="778" customFormat="1" ht="12.75" customHeight="1" x14ac:dyDescent="0.3"/>
    <row r="962" s="778" customFormat="1" ht="12.75" customHeight="1" x14ac:dyDescent="0.3"/>
    <row r="963" s="778" customFormat="1" ht="12.75" customHeight="1" x14ac:dyDescent="0.3"/>
    <row r="964" s="778" customFormat="1" ht="12.75" customHeight="1" x14ac:dyDescent="0.3"/>
    <row r="965" s="778" customFormat="1" ht="12.75" customHeight="1" x14ac:dyDescent="0.3"/>
    <row r="966" s="778" customFormat="1" ht="12.75" customHeight="1" x14ac:dyDescent="0.3"/>
    <row r="967" s="778" customFormat="1" ht="12.75" customHeight="1" x14ac:dyDescent="0.3"/>
    <row r="968" s="778" customFormat="1" ht="12.75" customHeight="1" x14ac:dyDescent="0.3"/>
    <row r="969" s="778" customFormat="1" ht="12.75" customHeight="1" x14ac:dyDescent="0.3"/>
    <row r="970" s="778" customFormat="1" ht="12.75" customHeight="1" x14ac:dyDescent="0.3"/>
    <row r="971" s="778" customFormat="1" ht="12.75" customHeight="1" x14ac:dyDescent="0.3"/>
    <row r="972" s="778" customFormat="1" ht="12.75" customHeight="1" x14ac:dyDescent="0.3"/>
    <row r="973" s="778" customFormat="1" ht="12.75" customHeight="1" x14ac:dyDescent="0.3"/>
    <row r="974" s="778" customFormat="1" ht="12.75" customHeight="1" x14ac:dyDescent="0.3"/>
    <row r="975" s="778" customFormat="1" ht="12.75" customHeight="1" x14ac:dyDescent="0.3"/>
    <row r="976" s="778" customFormat="1" ht="12.75" customHeight="1" x14ac:dyDescent="0.3"/>
    <row r="977" s="778" customFormat="1" ht="12.75" customHeight="1" x14ac:dyDescent="0.3"/>
    <row r="978" s="778" customFormat="1" ht="12.75" customHeight="1" x14ac:dyDescent="0.3"/>
    <row r="979" s="778" customFormat="1" ht="12.75" customHeight="1" x14ac:dyDescent="0.3"/>
    <row r="980" s="778" customFormat="1" ht="12.75" customHeight="1" x14ac:dyDescent="0.3"/>
    <row r="981" s="778" customFormat="1" ht="12.75" customHeight="1" x14ac:dyDescent="0.3"/>
    <row r="982" s="778" customFormat="1" ht="12.75" customHeight="1" x14ac:dyDescent="0.3"/>
    <row r="983" s="778" customFormat="1" ht="12.75" customHeight="1" x14ac:dyDescent="0.3"/>
    <row r="984" s="778" customFormat="1" ht="12.75" customHeight="1" x14ac:dyDescent="0.3"/>
    <row r="985" s="778" customFormat="1" ht="12.75" customHeight="1" x14ac:dyDescent="0.3"/>
    <row r="986" s="778" customFormat="1" ht="12.75" customHeight="1" x14ac:dyDescent="0.3"/>
    <row r="987" s="778" customFormat="1" ht="12.75" customHeight="1" x14ac:dyDescent="0.3"/>
    <row r="988" s="778" customFormat="1" ht="12.75" customHeight="1" x14ac:dyDescent="0.3"/>
    <row r="989" s="778" customFormat="1" ht="12.75" customHeight="1" x14ac:dyDescent="0.3"/>
    <row r="990" s="778" customFormat="1" ht="12.75" customHeight="1" x14ac:dyDescent="0.3"/>
    <row r="991" s="778" customFormat="1" ht="12.75" customHeight="1" x14ac:dyDescent="0.3"/>
    <row r="992" s="778" customFormat="1" ht="12.75" customHeight="1" x14ac:dyDescent="0.3"/>
    <row r="993" s="778" customFormat="1" ht="12.75" customHeight="1" x14ac:dyDescent="0.3"/>
    <row r="994" s="778" customFormat="1" ht="12.75" customHeight="1" x14ac:dyDescent="0.3"/>
    <row r="995" s="778" customFormat="1" ht="12.75" customHeight="1" x14ac:dyDescent="0.3"/>
    <row r="996" s="778" customFormat="1" ht="12.75" customHeight="1" x14ac:dyDescent="0.3"/>
    <row r="997" s="778" customFormat="1" ht="12.75" customHeight="1" x14ac:dyDescent="0.3"/>
    <row r="998" s="778" customFormat="1" ht="12.75" customHeight="1" x14ac:dyDescent="0.3"/>
    <row r="999" s="778" customFormat="1" ht="12.75" customHeight="1" x14ac:dyDescent="0.3"/>
    <row r="1000" s="778" customFormat="1" ht="12.75" customHeight="1" x14ac:dyDescent="0.3"/>
    <row r="1001" s="778" customFormat="1" ht="12.75" customHeight="1" x14ac:dyDescent="0.3"/>
    <row r="1002" s="778" customFormat="1" ht="12.75" customHeight="1" x14ac:dyDescent="0.3"/>
    <row r="1003" s="778" customFormat="1" ht="12.75" customHeight="1" x14ac:dyDescent="0.3"/>
    <row r="1004" s="778" customFormat="1" ht="12.75" customHeight="1" x14ac:dyDescent="0.3"/>
    <row r="1005" s="778" customFormat="1" ht="12.75" customHeight="1" x14ac:dyDescent="0.3"/>
    <row r="1006" s="778" customFormat="1" ht="12.75" customHeight="1" x14ac:dyDescent="0.3"/>
    <row r="1007" s="778" customFormat="1" ht="12.75" customHeight="1" x14ac:dyDescent="0.3"/>
    <row r="1008" s="778" customFormat="1" ht="12.75" customHeight="1" x14ac:dyDescent="0.3"/>
    <row r="1009" s="778" customFormat="1" ht="12.75" customHeight="1" x14ac:dyDescent="0.3"/>
    <row r="1010" s="778" customFormat="1" ht="12.75" customHeight="1" x14ac:dyDescent="0.3"/>
    <row r="1011" s="778" customFormat="1" ht="12.75" customHeight="1" x14ac:dyDescent="0.3"/>
    <row r="1012" s="778" customFormat="1" ht="12.75" customHeight="1" x14ac:dyDescent="0.3"/>
    <row r="1013" s="778" customFormat="1" ht="12.75" customHeight="1" x14ac:dyDescent="0.3"/>
    <row r="1014" s="778" customFormat="1" ht="12.75" customHeight="1" x14ac:dyDescent="0.3"/>
    <row r="1015" s="778" customFormat="1" ht="12.75" customHeight="1" x14ac:dyDescent="0.3"/>
    <row r="1016" s="778" customFormat="1" ht="12.75" customHeight="1" x14ac:dyDescent="0.3"/>
    <row r="1017" s="778" customFormat="1" ht="12.75" customHeight="1" x14ac:dyDescent="0.3"/>
    <row r="1018" s="778" customFormat="1" ht="12.75" customHeight="1" x14ac:dyDescent="0.3"/>
    <row r="1019" s="778" customFormat="1" ht="12.75" customHeight="1" x14ac:dyDescent="0.3"/>
    <row r="1020" s="778" customFormat="1" ht="12.75" customHeight="1" x14ac:dyDescent="0.3"/>
    <row r="1021" s="778" customFormat="1" ht="12.75" customHeight="1" x14ac:dyDescent="0.3"/>
    <row r="1022" s="778" customFormat="1" ht="12.75" customHeight="1" x14ac:dyDescent="0.3"/>
    <row r="1023" s="778" customFormat="1" ht="12.75" customHeight="1" x14ac:dyDescent="0.3"/>
    <row r="1024" s="778" customFormat="1" ht="12.75" customHeight="1" x14ac:dyDescent="0.3"/>
    <row r="1025" s="778" customFormat="1" ht="12.75" customHeight="1" x14ac:dyDescent="0.3"/>
    <row r="1026" s="778" customFormat="1" ht="12.75" customHeight="1" x14ac:dyDescent="0.3"/>
    <row r="1027" s="778" customFormat="1" ht="12.75" customHeight="1" x14ac:dyDescent="0.3"/>
    <row r="1028" s="778" customFormat="1" ht="12.75" customHeight="1" x14ac:dyDescent="0.3"/>
    <row r="1029" s="778" customFormat="1" ht="12.75" customHeight="1" x14ac:dyDescent="0.3"/>
    <row r="1030" s="778" customFormat="1" ht="12.75" customHeight="1" x14ac:dyDescent="0.3"/>
    <row r="1031" s="778" customFormat="1" ht="12.75" customHeight="1" x14ac:dyDescent="0.3"/>
    <row r="1032" s="778" customFormat="1" ht="12.75" customHeight="1" x14ac:dyDescent="0.3"/>
    <row r="1033" s="778" customFormat="1" ht="12.75" customHeight="1" x14ac:dyDescent="0.3"/>
    <row r="1034" s="778" customFormat="1" ht="12.75" customHeight="1" x14ac:dyDescent="0.3"/>
    <row r="1035" s="778" customFormat="1" ht="12.75" customHeight="1" x14ac:dyDescent="0.3"/>
    <row r="1036" s="778" customFormat="1" ht="12.75" customHeight="1" x14ac:dyDescent="0.3"/>
    <row r="1037" s="778" customFormat="1" ht="12.75" customHeight="1" x14ac:dyDescent="0.3"/>
    <row r="1038" s="778" customFormat="1" ht="12.75" customHeight="1" x14ac:dyDescent="0.3"/>
    <row r="1039" s="778" customFormat="1" ht="12.75" customHeight="1" x14ac:dyDescent="0.3"/>
    <row r="1040" s="778" customFormat="1" ht="12.75" customHeight="1" x14ac:dyDescent="0.3"/>
    <row r="1041" s="778" customFormat="1" ht="12.75" customHeight="1" x14ac:dyDescent="0.3"/>
    <row r="1042" s="778" customFormat="1" ht="12.75" customHeight="1" x14ac:dyDescent="0.3"/>
    <row r="1043" s="778" customFormat="1" ht="12.75" customHeight="1" x14ac:dyDescent="0.3"/>
    <row r="1044" s="778" customFormat="1" ht="12.75" customHeight="1" x14ac:dyDescent="0.3"/>
    <row r="1045" s="778" customFormat="1" ht="12.75" customHeight="1" x14ac:dyDescent="0.3"/>
    <row r="1046" s="778" customFormat="1" ht="12.75" customHeight="1" x14ac:dyDescent="0.3"/>
    <row r="1047" s="778" customFormat="1" ht="12.75" customHeight="1" x14ac:dyDescent="0.3"/>
    <row r="1048" s="778" customFormat="1" ht="12.75" customHeight="1" x14ac:dyDescent="0.3"/>
    <row r="1049" s="778" customFormat="1" ht="12.75" customHeight="1" x14ac:dyDescent="0.3"/>
    <row r="1050" s="778" customFormat="1" ht="12.75" customHeight="1" x14ac:dyDescent="0.3"/>
    <row r="1051" s="778" customFormat="1" ht="12.75" customHeight="1" x14ac:dyDescent="0.3"/>
    <row r="1052" s="778" customFormat="1" ht="12.75" customHeight="1" x14ac:dyDescent="0.3"/>
    <row r="1053" s="778" customFormat="1" ht="12.75" customHeight="1" x14ac:dyDescent="0.3"/>
    <row r="1054" s="778" customFormat="1" ht="12.75" customHeight="1" x14ac:dyDescent="0.3"/>
    <row r="1055" s="778" customFormat="1" ht="12.75" customHeight="1" x14ac:dyDescent="0.3"/>
    <row r="1056" s="778" customFormat="1" ht="12.75" customHeight="1" x14ac:dyDescent="0.3"/>
    <row r="1057" s="778" customFormat="1" ht="12.75" customHeight="1" x14ac:dyDescent="0.3"/>
    <row r="1058" s="778" customFormat="1" ht="12.75" customHeight="1" x14ac:dyDescent="0.3"/>
    <row r="1059" s="778" customFormat="1" ht="12.75" customHeight="1" x14ac:dyDescent="0.3"/>
    <row r="1060" s="778" customFormat="1" ht="12.75" customHeight="1" x14ac:dyDescent="0.3"/>
    <row r="1061" s="778" customFormat="1" ht="12.75" customHeight="1" x14ac:dyDescent="0.3"/>
    <row r="1062" s="778" customFormat="1" ht="12.75" customHeight="1" x14ac:dyDescent="0.3"/>
    <row r="1063" s="778" customFormat="1" ht="12.75" customHeight="1" x14ac:dyDescent="0.3"/>
    <row r="1064" s="778" customFormat="1" ht="12.75" customHeight="1" x14ac:dyDescent="0.3"/>
    <row r="1065" s="778" customFormat="1" ht="12.75" customHeight="1" x14ac:dyDescent="0.3"/>
    <row r="1066" s="778" customFormat="1" ht="12.75" customHeight="1" x14ac:dyDescent="0.3"/>
    <row r="1067" s="778" customFormat="1" ht="12.75" customHeight="1" x14ac:dyDescent="0.3"/>
    <row r="1068" s="778" customFormat="1" ht="12.75" customHeight="1" x14ac:dyDescent="0.3"/>
    <row r="1069" s="778" customFormat="1" ht="12.75" customHeight="1" x14ac:dyDescent="0.3"/>
    <row r="1070" s="778" customFormat="1" ht="12.75" customHeight="1" x14ac:dyDescent="0.3"/>
    <row r="1071" s="778" customFormat="1" ht="12.75" customHeight="1" x14ac:dyDescent="0.3"/>
    <row r="1072" s="778" customFormat="1" ht="12.75" customHeight="1" x14ac:dyDescent="0.3"/>
    <row r="1073" s="778" customFormat="1" ht="12.75" customHeight="1" x14ac:dyDescent="0.3"/>
    <row r="1074" s="778" customFormat="1" ht="12.75" customHeight="1" x14ac:dyDescent="0.3"/>
    <row r="1075" s="778" customFormat="1" ht="12.75" customHeight="1" x14ac:dyDescent="0.3"/>
    <row r="1076" s="778" customFormat="1" ht="12.75" customHeight="1" x14ac:dyDescent="0.3"/>
    <row r="1077" s="778" customFormat="1" ht="12.75" customHeight="1" x14ac:dyDescent="0.3"/>
    <row r="1078" s="778" customFormat="1" ht="12.75" customHeight="1" x14ac:dyDescent="0.3"/>
    <row r="1079" s="778" customFormat="1" ht="12.75" customHeight="1" x14ac:dyDescent="0.3"/>
    <row r="1080" s="778" customFormat="1" ht="12.75" customHeight="1" x14ac:dyDescent="0.3"/>
    <row r="1081" s="778" customFormat="1" ht="12.75" customHeight="1" x14ac:dyDescent="0.3"/>
    <row r="1082" s="778" customFormat="1" ht="12.75" customHeight="1" x14ac:dyDescent="0.3"/>
    <row r="1083" s="778" customFormat="1" ht="12.75" customHeight="1" x14ac:dyDescent="0.3"/>
    <row r="1084" s="778" customFormat="1" ht="12.75" customHeight="1" x14ac:dyDescent="0.3"/>
    <row r="1085" s="778" customFormat="1" ht="12.75" customHeight="1" x14ac:dyDescent="0.3"/>
    <row r="1086" s="778" customFormat="1" ht="12.75" customHeight="1" x14ac:dyDescent="0.3"/>
    <row r="1087" s="778" customFormat="1" ht="12.75" customHeight="1" x14ac:dyDescent="0.3"/>
    <row r="1088" s="778" customFormat="1" ht="12.75" customHeight="1" x14ac:dyDescent="0.3"/>
    <row r="1089" s="778" customFormat="1" ht="12.75" customHeight="1" x14ac:dyDescent="0.3"/>
    <row r="1090" s="778" customFormat="1" ht="12.75" customHeight="1" x14ac:dyDescent="0.3"/>
    <row r="1091" s="778" customFormat="1" ht="12.75" customHeight="1" x14ac:dyDescent="0.3"/>
    <row r="1092" s="778" customFormat="1" ht="12.75" customHeight="1" x14ac:dyDescent="0.3"/>
    <row r="1093" s="778" customFormat="1" ht="12.75" customHeight="1" x14ac:dyDescent="0.3"/>
    <row r="1094" s="778" customFormat="1" ht="12.75" customHeight="1" x14ac:dyDescent="0.3"/>
    <row r="1095" s="778" customFormat="1" ht="12.75" customHeight="1" x14ac:dyDescent="0.3"/>
    <row r="1096" s="778" customFormat="1" ht="12.75" customHeight="1" x14ac:dyDescent="0.3"/>
    <row r="1097" s="778" customFormat="1" ht="12.75" customHeight="1" x14ac:dyDescent="0.3"/>
    <row r="1098" s="778" customFormat="1" ht="12.75" customHeight="1" x14ac:dyDescent="0.3"/>
    <row r="1099" s="778" customFormat="1" ht="12.75" customHeight="1" x14ac:dyDescent="0.3"/>
    <row r="1100" s="778" customFormat="1" ht="12.75" customHeight="1" x14ac:dyDescent="0.3"/>
    <row r="1101" s="778" customFormat="1" ht="12.75" customHeight="1" x14ac:dyDescent="0.3"/>
    <row r="1102" s="778" customFormat="1" ht="12.75" customHeight="1" x14ac:dyDescent="0.3"/>
    <row r="1103" s="778" customFormat="1" ht="12.75" customHeight="1" x14ac:dyDescent="0.3"/>
    <row r="1104" s="778" customFormat="1" ht="12.75" customHeight="1" x14ac:dyDescent="0.3"/>
    <row r="1105" s="778" customFormat="1" ht="12.75" customHeight="1" x14ac:dyDescent="0.3"/>
    <row r="1106" s="778" customFormat="1" ht="12.75" customHeight="1" x14ac:dyDescent="0.3"/>
    <row r="1107" s="778" customFormat="1" ht="12.75" customHeight="1" x14ac:dyDescent="0.3"/>
    <row r="1108" s="778" customFormat="1" ht="12.75" customHeight="1" x14ac:dyDescent="0.3"/>
    <row r="1109" s="778" customFormat="1" ht="12.75" customHeight="1" x14ac:dyDescent="0.3"/>
    <row r="1110" s="778" customFormat="1" ht="12.75" customHeight="1" x14ac:dyDescent="0.3"/>
    <row r="1111" s="778" customFormat="1" ht="12.75" customHeight="1" x14ac:dyDescent="0.3"/>
    <row r="1112" s="778" customFormat="1" ht="12.75" customHeight="1" x14ac:dyDescent="0.3"/>
    <row r="1113" s="778" customFormat="1" ht="12.75" customHeight="1" x14ac:dyDescent="0.3"/>
    <row r="1114" s="778" customFormat="1" ht="12.75" customHeight="1" x14ac:dyDescent="0.3"/>
    <row r="1115" s="778" customFormat="1" ht="12.75" customHeight="1" x14ac:dyDescent="0.3"/>
    <row r="1116" s="778" customFormat="1" ht="12.75" customHeight="1" x14ac:dyDescent="0.3"/>
    <row r="1117" s="778" customFormat="1" ht="12.75" customHeight="1" x14ac:dyDescent="0.3"/>
    <row r="1118" s="778" customFormat="1" ht="12.75" customHeight="1" x14ac:dyDescent="0.3"/>
    <row r="1119" s="778" customFormat="1" ht="12.75" customHeight="1" x14ac:dyDescent="0.3"/>
    <row r="1120" s="778" customFormat="1" ht="12.75" customHeight="1" x14ac:dyDescent="0.3"/>
    <row r="1121" s="778" customFormat="1" ht="12.75" customHeight="1" x14ac:dyDescent="0.3"/>
    <row r="1122" s="778" customFormat="1" ht="12.75" customHeight="1" x14ac:dyDescent="0.3"/>
    <row r="1123" s="778" customFormat="1" ht="12.75" customHeight="1" x14ac:dyDescent="0.3"/>
    <row r="1124" s="778" customFormat="1" ht="12.75" customHeight="1" x14ac:dyDescent="0.3"/>
    <row r="1125" s="778" customFormat="1" ht="12.75" customHeight="1" x14ac:dyDescent="0.3"/>
    <row r="1126" s="778" customFormat="1" ht="12.75" customHeight="1" x14ac:dyDescent="0.3"/>
    <row r="1127" s="778" customFormat="1" ht="12.75" customHeight="1" x14ac:dyDescent="0.3"/>
    <row r="1128" s="778" customFormat="1" ht="12.75" customHeight="1" x14ac:dyDescent="0.3"/>
    <row r="1129" s="778" customFormat="1" ht="12.75" customHeight="1" x14ac:dyDescent="0.3"/>
    <row r="1130" s="778" customFormat="1" ht="12.75" customHeight="1" x14ac:dyDescent="0.3"/>
    <row r="1131" s="778" customFormat="1" ht="12.75" customHeight="1" x14ac:dyDescent="0.3"/>
    <row r="1132" s="778" customFormat="1" ht="12.75" customHeight="1" x14ac:dyDescent="0.3"/>
    <row r="1133" s="778" customFormat="1" ht="12.75" customHeight="1" x14ac:dyDescent="0.3"/>
    <row r="1134" s="778" customFormat="1" ht="12.75" customHeight="1" x14ac:dyDescent="0.3"/>
    <row r="1135" s="778" customFormat="1" ht="12.75" customHeight="1" x14ac:dyDescent="0.3"/>
    <row r="1136" s="778" customFormat="1" ht="12.75" customHeight="1" x14ac:dyDescent="0.3"/>
    <row r="1137" s="778" customFormat="1" ht="12.75" customHeight="1" x14ac:dyDescent="0.3"/>
    <row r="1138" s="778" customFormat="1" ht="12.75" customHeight="1" x14ac:dyDescent="0.3"/>
    <row r="1139" s="778" customFormat="1" ht="12.75" customHeight="1" x14ac:dyDescent="0.3"/>
    <row r="1140" s="778" customFormat="1" ht="12.75" customHeight="1" x14ac:dyDescent="0.3"/>
    <row r="1141" s="778" customFormat="1" ht="12.75" customHeight="1" x14ac:dyDescent="0.3"/>
    <row r="1142" s="778" customFormat="1" ht="12.75" customHeight="1" x14ac:dyDescent="0.3"/>
    <row r="1143" s="778" customFormat="1" ht="12.75" customHeight="1" x14ac:dyDescent="0.3"/>
    <row r="1144" s="778" customFormat="1" ht="12.75" customHeight="1" x14ac:dyDescent="0.3"/>
    <row r="1145" s="778" customFormat="1" ht="12.75" customHeight="1" x14ac:dyDescent="0.3"/>
    <row r="1146" s="778" customFormat="1" ht="12.75" customHeight="1" x14ac:dyDescent="0.3"/>
    <row r="1147" s="778" customFormat="1" ht="12.75" customHeight="1" x14ac:dyDescent="0.3"/>
    <row r="1148" s="778" customFormat="1" ht="12.75" customHeight="1" x14ac:dyDescent="0.3"/>
    <row r="1149" s="778" customFormat="1" ht="12.75" customHeight="1" x14ac:dyDescent="0.3"/>
    <row r="1150" s="778" customFormat="1" ht="12.75" customHeight="1" x14ac:dyDescent="0.3"/>
    <row r="1151" s="778" customFormat="1" ht="12.75" customHeight="1" x14ac:dyDescent="0.3"/>
    <row r="1152" s="778" customFormat="1" ht="12.75" customHeight="1" x14ac:dyDescent="0.3"/>
    <row r="1153" s="778" customFormat="1" ht="12.75" customHeight="1" x14ac:dyDescent="0.3"/>
    <row r="1154" s="778" customFormat="1" ht="12.75" customHeight="1" x14ac:dyDescent="0.3"/>
    <row r="1155" s="778" customFormat="1" ht="12.75" customHeight="1" x14ac:dyDescent="0.3"/>
    <row r="1156" s="778" customFormat="1" ht="12.75" customHeight="1" x14ac:dyDescent="0.3"/>
    <row r="1157" s="778" customFormat="1" ht="12.75" customHeight="1" x14ac:dyDescent="0.3"/>
    <row r="1158" s="778" customFormat="1" ht="12.75" customHeight="1" x14ac:dyDescent="0.3"/>
    <row r="1159" s="778" customFormat="1" ht="12.75" customHeight="1" x14ac:dyDescent="0.3"/>
    <row r="1160" s="778" customFormat="1" ht="12.75" customHeight="1" x14ac:dyDescent="0.3"/>
    <row r="1161" s="778" customFormat="1" ht="12.75" customHeight="1" x14ac:dyDescent="0.3"/>
    <row r="1162" s="778" customFormat="1" ht="12.75" customHeight="1" x14ac:dyDescent="0.3"/>
    <row r="1163" s="778" customFormat="1" ht="12.75" customHeight="1" x14ac:dyDescent="0.3"/>
    <row r="1164" s="778" customFormat="1" ht="12.75" customHeight="1" x14ac:dyDescent="0.3"/>
    <row r="1165" s="778" customFormat="1" ht="12.75" customHeight="1" x14ac:dyDescent="0.3"/>
    <row r="1166" s="778" customFormat="1" ht="12.75" customHeight="1" x14ac:dyDescent="0.3"/>
    <row r="1167" s="778" customFormat="1" ht="12.75" customHeight="1" x14ac:dyDescent="0.3"/>
    <row r="1168" s="778" customFormat="1" ht="12.75" customHeight="1" x14ac:dyDescent="0.3"/>
    <row r="1169" s="778" customFormat="1" ht="12.75" customHeight="1" x14ac:dyDescent="0.3"/>
    <row r="1170" s="778" customFormat="1" ht="12.75" customHeight="1" x14ac:dyDescent="0.3"/>
    <row r="1171" s="778" customFormat="1" ht="12.75" customHeight="1" x14ac:dyDescent="0.3"/>
    <row r="1172" s="778" customFormat="1" ht="12.75" customHeight="1" x14ac:dyDescent="0.3"/>
    <row r="1173" s="778" customFormat="1" ht="12.75" customHeight="1" x14ac:dyDescent="0.3"/>
    <row r="1174" s="778" customFormat="1" ht="12.75" customHeight="1" x14ac:dyDescent="0.3"/>
    <row r="1175" s="778" customFormat="1" ht="12.75" customHeight="1" x14ac:dyDescent="0.3"/>
    <row r="1176" s="778" customFormat="1" ht="12.75" customHeight="1" x14ac:dyDescent="0.3"/>
    <row r="1177" s="778" customFormat="1" ht="12.75" customHeight="1" x14ac:dyDescent="0.3"/>
    <row r="1178" s="778" customFormat="1" ht="12.75" customHeight="1" x14ac:dyDescent="0.3"/>
    <row r="1179" s="778" customFormat="1" ht="12.75" customHeight="1" x14ac:dyDescent="0.3"/>
    <row r="1180" s="778" customFormat="1" ht="12.75" customHeight="1" x14ac:dyDescent="0.3"/>
    <row r="1181" s="778" customFormat="1" ht="12.75" customHeight="1" x14ac:dyDescent="0.3"/>
    <row r="1182" s="778" customFormat="1" ht="12.75" customHeight="1" x14ac:dyDescent="0.3"/>
    <row r="1183" s="778" customFormat="1" ht="12.75" customHeight="1" x14ac:dyDescent="0.3"/>
    <row r="1184" s="778" customFormat="1" ht="12.75" customHeight="1" x14ac:dyDescent="0.3"/>
    <row r="1185" s="778" customFormat="1" ht="12.75" customHeight="1" x14ac:dyDescent="0.3"/>
    <row r="1186" s="778" customFormat="1" ht="12.75" customHeight="1" x14ac:dyDescent="0.3"/>
    <row r="1187" s="778" customFormat="1" ht="12.75" customHeight="1" x14ac:dyDescent="0.3"/>
    <row r="1188" s="778" customFormat="1" ht="12.75" customHeight="1" x14ac:dyDescent="0.3"/>
    <row r="1189" s="778" customFormat="1" ht="12.75" customHeight="1" x14ac:dyDescent="0.3"/>
    <row r="1190" s="778" customFormat="1" ht="12.75" customHeight="1" x14ac:dyDescent="0.3"/>
    <row r="1191" s="778" customFormat="1" ht="12.75" customHeight="1" x14ac:dyDescent="0.3"/>
    <row r="1192" s="778" customFormat="1" ht="12.75" customHeight="1" x14ac:dyDescent="0.3"/>
    <row r="1193" s="778" customFormat="1" ht="12.75" customHeight="1" x14ac:dyDescent="0.3"/>
    <row r="1194" s="778" customFormat="1" ht="12.75" customHeight="1" x14ac:dyDescent="0.3"/>
    <row r="1195" s="778" customFormat="1" ht="12.75" customHeight="1" x14ac:dyDescent="0.3"/>
    <row r="1196" s="778" customFormat="1" ht="12.75" customHeight="1" x14ac:dyDescent="0.3"/>
    <row r="1197" s="778" customFormat="1" ht="12.75" customHeight="1" x14ac:dyDescent="0.3"/>
    <row r="1198" s="778" customFormat="1" ht="12.75" customHeight="1" x14ac:dyDescent="0.3"/>
    <row r="1199" s="778" customFormat="1" ht="12.75" customHeight="1" x14ac:dyDescent="0.3"/>
    <row r="1200" s="778" customFormat="1" ht="12.75" customHeight="1" x14ac:dyDescent="0.3"/>
    <row r="1201" s="778" customFormat="1" ht="12.75" customHeight="1" x14ac:dyDescent="0.3"/>
    <row r="1202" s="778" customFormat="1" ht="12.75" customHeight="1" x14ac:dyDescent="0.3"/>
    <row r="1203" s="778" customFormat="1" ht="12.75" customHeight="1" x14ac:dyDescent="0.3"/>
    <row r="1204" s="778" customFormat="1" ht="12.75" customHeight="1" x14ac:dyDescent="0.3"/>
    <row r="1205" s="778" customFormat="1" ht="12.75" customHeight="1" x14ac:dyDescent="0.3"/>
    <row r="1206" s="778" customFormat="1" ht="12.75" customHeight="1" x14ac:dyDescent="0.3"/>
    <row r="1207" s="778" customFormat="1" ht="12.75" customHeight="1" x14ac:dyDescent="0.3"/>
    <row r="1208" s="778" customFormat="1" ht="12.75" customHeight="1" x14ac:dyDescent="0.3"/>
    <row r="1209" s="778" customFormat="1" ht="12.75" customHeight="1" x14ac:dyDescent="0.3"/>
    <row r="1210" s="778" customFormat="1" ht="12.75" customHeight="1" x14ac:dyDescent="0.3"/>
    <row r="1211" s="778" customFormat="1" ht="12.75" customHeight="1" x14ac:dyDescent="0.3"/>
    <row r="1212" s="778" customFormat="1" ht="12.75" customHeight="1" x14ac:dyDescent="0.3"/>
    <row r="1213" s="778" customFormat="1" ht="12.75" customHeight="1" x14ac:dyDescent="0.3"/>
    <row r="1214" s="778" customFormat="1" ht="12.75" customHeight="1" x14ac:dyDescent="0.3"/>
    <row r="1215" s="778" customFormat="1" ht="12.75" customHeight="1" x14ac:dyDescent="0.3"/>
    <row r="1216" s="778" customFormat="1" ht="12.75" customHeight="1" x14ac:dyDescent="0.3"/>
    <row r="1217" s="778" customFormat="1" ht="12.75" customHeight="1" x14ac:dyDescent="0.3"/>
    <row r="1218" s="778" customFormat="1" ht="12.75" customHeight="1" x14ac:dyDescent="0.3"/>
    <row r="1219" s="778" customFormat="1" ht="12.75" customHeight="1" x14ac:dyDescent="0.3"/>
    <row r="1220" s="778" customFormat="1" ht="12.75" customHeight="1" x14ac:dyDescent="0.3"/>
    <row r="1221" s="778" customFormat="1" ht="12.75" customHeight="1" x14ac:dyDescent="0.3"/>
    <row r="1222" s="778" customFormat="1" ht="12.75" customHeight="1" x14ac:dyDescent="0.3"/>
    <row r="1223" s="778" customFormat="1" ht="12.75" customHeight="1" x14ac:dyDescent="0.3"/>
    <row r="1224" s="778" customFormat="1" ht="12.75" customHeight="1" x14ac:dyDescent="0.3"/>
    <row r="1225" s="778" customFormat="1" ht="12.75" customHeight="1" x14ac:dyDescent="0.3"/>
    <row r="1226" s="778" customFormat="1" ht="12.75" customHeight="1" x14ac:dyDescent="0.3"/>
    <row r="1227" s="778" customFormat="1" ht="12.75" customHeight="1" x14ac:dyDescent="0.3"/>
    <row r="1228" s="778" customFormat="1" ht="12.75" customHeight="1" x14ac:dyDescent="0.3"/>
    <row r="1229" s="778" customFormat="1" ht="12.75" customHeight="1" x14ac:dyDescent="0.3"/>
    <row r="1230" s="778" customFormat="1" ht="12.75" customHeight="1" x14ac:dyDescent="0.3"/>
    <row r="1231" s="778" customFormat="1" ht="12.75" customHeight="1" x14ac:dyDescent="0.3"/>
    <row r="1232" s="778" customFormat="1" ht="12.75" customHeight="1" x14ac:dyDescent="0.3"/>
    <row r="1233" s="778" customFormat="1" ht="12.75" customHeight="1" x14ac:dyDescent="0.3"/>
    <row r="1234" s="778" customFormat="1" ht="12.75" customHeight="1" x14ac:dyDescent="0.3"/>
    <row r="1235" s="778" customFormat="1" ht="12.75" customHeight="1" x14ac:dyDescent="0.3"/>
    <row r="1236" s="778" customFormat="1" ht="12.75" customHeight="1" x14ac:dyDescent="0.3"/>
    <row r="1237" s="778" customFormat="1" ht="12.75" customHeight="1" x14ac:dyDescent="0.3"/>
    <row r="1238" s="778" customFormat="1" ht="12.75" customHeight="1" x14ac:dyDescent="0.3"/>
    <row r="1239" s="778" customFormat="1" ht="12.75" customHeight="1" x14ac:dyDescent="0.3"/>
    <row r="1240" s="778" customFormat="1" ht="12.75" customHeight="1" x14ac:dyDescent="0.3"/>
    <row r="1241" s="778" customFormat="1" ht="12.75" customHeight="1" x14ac:dyDescent="0.3"/>
    <row r="1242" s="778" customFormat="1" ht="12.75" customHeight="1" x14ac:dyDescent="0.3"/>
    <row r="1243" s="778" customFormat="1" ht="12.75" customHeight="1" x14ac:dyDescent="0.3"/>
    <row r="1244" s="778" customFormat="1" ht="12.75" customHeight="1" x14ac:dyDescent="0.3"/>
    <row r="1245" s="778" customFormat="1" ht="12.75" customHeight="1" x14ac:dyDescent="0.3"/>
    <row r="1246" s="778" customFormat="1" ht="12.75" customHeight="1" x14ac:dyDescent="0.3"/>
    <row r="1247" s="778" customFormat="1" ht="12.75" customHeight="1" x14ac:dyDescent="0.3"/>
    <row r="1248" s="778" customFormat="1" ht="12.75" customHeight="1" x14ac:dyDescent="0.3"/>
    <row r="1249" s="778" customFormat="1" ht="12.75" customHeight="1" x14ac:dyDescent="0.3"/>
    <row r="1250" s="778" customFormat="1" ht="12.75" customHeight="1" x14ac:dyDescent="0.3"/>
    <row r="1251" s="778" customFormat="1" ht="12.75" customHeight="1" x14ac:dyDescent="0.3"/>
    <row r="1252" s="778" customFormat="1" ht="12.75" customHeight="1" x14ac:dyDescent="0.3"/>
    <row r="1253" s="778" customFormat="1" ht="12.75" customHeight="1" x14ac:dyDescent="0.3"/>
    <row r="1254" s="778" customFormat="1" ht="12.75" customHeight="1" x14ac:dyDescent="0.3"/>
    <row r="1255" s="778" customFormat="1" ht="12.75" customHeight="1" x14ac:dyDescent="0.3"/>
    <row r="1256" s="778" customFormat="1" ht="12.75" customHeight="1" x14ac:dyDescent="0.3"/>
    <row r="1257" s="778" customFormat="1" ht="12.75" customHeight="1" x14ac:dyDescent="0.3"/>
    <row r="1258" s="778" customFormat="1" ht="12.75" customHeight="1" x14ac:dyDescent="0.3"/>
    <row r="1259" s="778" customFormat="1" ht="12.75" customHeight="1" x14ac:dyDescent="0.3"/>
    <row r="1260" s="778" customFormat="1" ht="12.75" customHeight="1" x14ac:dyDescent="0.3"/>
    <row r="1261" s="778" customFormat="1" ht="12.75" customHeight="1" x14ac:dyDescent="0.3"/>
    <row r="1262" s="778" customFormat="1" ht="12.75" customHeight="1" x14ac:dyDescent="0.3"/>
    <row r="1263" s="778" customFormat="1" ht="12.75" customHeight="1" x14ac:dyDescent="0.3"/>
    <row r="1264" s="778" customFormat="1" ht="12.75" customHeight="1" x14ac:dyDescent="0.3"/>
    <row r="1265" s="778" customFormat="1" ht="12.75" customHeight="1" x14ac:dyDescent="0.3"/>
    <row r="1266" s="778" customFormat="1" ht="12.75" customHeight="1" x14ac:dyDescent="0.3"/>
    <row r="1267" s="778" customFormat="1" ht="12.75" customHeight="1" x14ac:dyDescent="0.3"/>
    <row r="1268" s="778" customFormat="1" ht="12.75" customHeight="1" x14ac:dyDescent="0.3"/>
    <row r="1269" s="778" customFormat="1" ht="12.75" customHeight="1" x14ac:dyDescent="0.3"/>
    <row r="1270" s="778" customFormat="1" ht="12.75" customHeight="1" x14ac:dyDescent="0.3"/>
    <row r="1271" s="778" customFormat="1" ht="12.75" customHeight="1" x14ac:dyDescent="0.3"/>
    <row r="1272" s="778" customFormat="1" ht="12.75" customHeight="1" x14ac:dyDescent="0.3"/>
    <row r="1273" s="778" customFormat="1" ht="12.75" customHeight="1" x14ac:dyDescent="0.3"/>
    <row r="1274" s="778" customFormat="1" ht="12.75" customHeight="1" x14ac:dyDescent="0.3"/>
    <row r="1275" s="778" customFormat="1" ht="12.75" customHeight="1" x14ac:dyDescent="0.3"/>
    <row r="1276" s="778" customFormat="1" ht="12.75" customHeight="1" x14ac:dyDescent="0.3"/>
    <row r="1277" s="778" customFormat="1" ht="12.75" customHeight="1" x14ac:dyDescent="0.3"/>
    <row r="1278" s="778" customFormat="1" ht="12.75" customHeight="1" x14ac:dyDescent="0.3"/>
    <row r="1279" s="778" customFormat="1" ht="12.75" customHeight="1" x14ac:dyDescent="0.3"/>
    <row r="1280" s="778" customFormat="1" ht="12.75" customHeight="1" x14ac:dyDescent="0.3"/>
    <row r="1281" s="778" customFormat="1" ht="12.75" customHeight="1" x14ac:dyDescent="0.3"/>
    <row r="1282" s="778" customFormat="1" ht="12.75" customHeight="1" x14ac:dyDescent="0.3"/>
    <row r="1283" s="778" customFormat="1" ht="12.75" customHeight="1" x14ac:dyDescent="0.3"/>
    <row r="1284" s="778" customFormat="1" ht="12.75" customHeight="1" x14ac:dyDescent="0.3"/>
    <row r="1285" s="778" customFormat="1" ht="12.75" customHeight="1" x14ac:dyDescent="0.3"/>
    <row r="1286" s="778" customFormat="1" ht="12.75" customHeight="1" x14ac:dyDescent="0.3"/>
    <row r="1287" s="778" customFormat="1" ht="12.75" customHeight="1" x14ac:dyDescent="0.3"/>
    <row r="1288" s="778" customFormat="1" ht="12.75" customHeight="1" x14ac:dyDescent="0.3"/>
    <row r="1289" s="778" customFormat="1" ht="12.75" customHeight="1" x14ac:dyDescent="0.3"/>
    <row r="1290" s="778" customFormat="1" ht="12.75" customHeight="1" x14ac:dyDescent="0.3"/>
    <row r="1291" s="778" customFormat="1" ht="12.75" customHeight="1" x14ac:dyDescent="0.3"/>
    <row r="1292" s="778" customFormat="1" ht="12.75" customHeight="1" x14ac:dyDescent="0.3"/>
    <row r="1293" s="778" customFormat="1" ht="12.75" customHeight="1" x14ac:dyDescent="0.3"/>
    <row r="1294" s="778" customFormat="1" ht="12.75" customHeight="1" x14ac:dyDescent="0.3"/>
    <row r="1295" s="778" customFormat="1" ht="12.75" customHeight="1" x14ac:dyDescent="0.3"/>
    <row r="1296" s="778" customFormat="1" ht="12.75" customHeight="1" x14ac:dyDescent="0.3"/>
    <row r="1297" s="778" customFormat="1" ht="12.75" customHeight="1" x14ac:dyDescent="0.3"/>
    <row r="1298" s="778" customFormat="1" ht="12.75" customHeight="1" x14ac:dyDescent="0.3"/>
    <row r="1299" s="778" customFormat="1" ht="12.75" customHeight="1" x14ac:dyDescent="0.3"/>
    <row r="1300" s="778" customFormat="1" ht="12.75" customHeight="1" x14ac:dyDescent="0.3"/>
    <row r="1301" s="778" customFormat="1" ht="12.75" customHeight="1" x14ac:dyDescent="0.3"/>
    <row r="1302" s="778" customFormat="1" ht="12.75" customHeight="1" x14ac:dyDescent="0.3"/>
    <row r="1303" s="778" customFormat="1" ht="12.75" customHeight="1" x14ac:dyDescent="0.3"/>
    <row r="1304" s="778" customFormat="1" ht="12.75" customHeight="1" x14ac:dyDescent="0.3"/>
    <row r="1305" s="778" customFormat="1" ht="12.75" customHeight="1" x14ac:dyDescent="0.3"/>
    <row r="1306" s="778" customFormat="1" ht="12.75" customHeight="1" x14ac:dyDescent="0.3"/>
    <row r="1307" s="778" customFormat="1" ht="12.75" customHeight="1" x14ac:dyDescent="0.3"/>
    <row r="1308" s="778" customFormat="1" ht="12.75" customHeight="1" x14ac:dyDescent="0.3"/>
    <row r="1309" s="778" customFormat="1" ht="12.75" customHeight="1" x14ac:dyDescent="0.3"/>
    <row r="1310" s="778" customFormat="1" ht="12.75" customHeight="1" x14ac:dyDescent="0.3"/>
    <row r="1311" s="778" customFormat="1" ht="12.75" customHeight="1" x14ac:dyDescent="0.3"/>
    <row r="1312" s="778" customFormat="1" ht="12.75" customHeight="1" x14ac:dyDescent="0.3"/>
    <row r="1313" s="778" customFormat="1" ht="12.75" customHeight="1" x14ac:dyDescent="0.3"/>
    <row r="1314" s="778" customFormat="1" ht="12.75" customHeight="1" x14ac:dyDescent="0.3"/>
    <row r="1315" s="778" customFormat="1" ht="12.75" customHeight="1" x14ac:dyDescent="0.3"/>
    <row r="1316" s="778" customFormat="1" ht="12.75" customHeight="1" x14ac:dyDescent="0.3"/>
    <row r="1317" s="778" customFormat="1" ht="12.75" customHeight="1" x14ac:dyDescent="0.3"/>
    <row r="1318" s="778" customFormat="1" ht="12.75" customHeight="1" x14ac:dyDescent="0.3"/>
    <row r="1319" s="778" customFormat="1" ht="12.75" customHeight="1" x14ac:dyDescent="0.3"/>
    <row r="1320" s="778" customFormat="1" ht="12.75" customHeight="1" x14ac:dyDescent="0.3"/>
    <row r="1321" s="778" customFormat="1" ht="12.75" customHeight="1" x14ac:dyDescent="0.3"/>
    <row r="1322" s="778" customFormat="1" ht="12.75" customHeight="1" x14ac:dyDescent="0.3"/>
    <row r="1323" s="778" customFormat="1" ht="12.75" customHeight="1" x14ac:dyDescent="0.3"/>
    <row r="1324" s="778" customFormat="1" ht="12.75" customHeight="1" x14ac:dyDescent="0.3"/>
    <row r="1325" s="778" customFormat="1" ht="12.75" customHeight="1" x14ac:dyDescent="0.3"/>
    <row r="1326" s="778" customFormat="1" ht="12.75" customHeight="1" x14ac:dyDescent="0.3"/>
    <row r="1327" s="778" customFormat="1" ht="12.75" customHeight="1" x14ac:dyDescent="0.3"/>
    <row r="1328" s="778" customFormat="1" ht="12.75" customHeight="1" x14ac:dyDescent="0.3"/>
    <row r="1329" s="778" customFormat="1" ht="12.75" customHeight="1" x14ac:dyDescent="0.3"/>
    <row r="1330" s="778" customFormat="1" ht="12.75" customHeight="1" x14ac:dyDescent="0.3"/>
    <row r="1331" s="778" customFormat="1" ht="12.75" customHeight="1" x14ac:dyDescent="0.3"/>
    <row r="1332" s="778" customFormat="1" ht="12.75" customHeight="1" x14ac:dyDescent="0.3"/>
    <row r="1333" s="778" customFormat="1" ht="12.75" customHeight="1" x14ac:dyDescent="0.3"/>
    <row r="1334" s="778" customFormat="1" ht="12.75" customHeight="1" x14ac:dyDescent="0.3"/>
    <row r="1335" s="778" customFormat="1" ht="12.75" customHeight="1" x14ac:dyDescent="0.3"/>
    <row r="1336" s="778" customFormat="1" ht="12.75" customHeight="1" x14ac:dyDescent="0.3"/>
    <row r="1337" s="778" customFormat="1" ht="12.75" customHeight="1" x14ac:dyDescent="0.3"/>
    <row r="1338" s="778" customFormat="1" ht="12.75" customHeight="1" x14ac:dyDescent="0.3"/>
    <row r="1339" s="778" customFormat="1" ht="12.75" customHeight="1" x14ac:dyDescent="0.3"/>
    <row r="1340" s="778" customFormat="1" ht="12.75" customHeight="1" x14ac:dyDescent="0.3"/>
    <row r="1341" s="778" customFormat="1" ht="12.75" customHeight="1" x14ac:dyDescent="0.3"/>
    <row r="1342" s="778" customFormat="1" ht="12.75" customHeight="1" x14ac:dyDescent="0.3"/>
    <row r="1343" s="778" customFormat="1" ht="12.75" customHeight="1" x14ac:dyDescent="0.3"/>
    <row r="1344" s="778" customFormat="1" ht="12.75" customHeight="1" x14ac:dyDescent="0.3"/>
    <row r="1345" s="778" customFormat="1" ht="12.75" customHeight="1" x14ac:dyDescent="0.3"/>
    <row r="1346" s="778" customFormat="1" ht="12.75" customHeight="1" x14ac:dyDescent="0.3"/>
    <row r="1347" s="778" customFormat="1" ht="12.75" customHeight="1" x14ac:dyDescent="0.3"/>
    <row r="1348" s="778" customFormat="1" ht="12.75" customHeight="1" x14ac:dyDescent="0.3"/>
    <row r="1349" s="778" customFormat="1" ht="12.75" customHeight="1" x14ac:dyDescent="0.3"/>
    <row r="1350" s="778" customFormat="1" ht="12.75" customHeight="1" x14ac:dyDescent="0.3"/>
    <row r="1351" s="778" customFormat="1" ht="12.75" customHeight="1" x14ac:dyDescent="0.3"/>
    <row r="1352" s="778" customFormat="1" ht="12.75" customHeight="1" x14ac:dyDescent="0.3"/>
    <row r="1353" s="778" customFormat="1" ht="12.75" customHeight="1" x14ac:dyDescent="0.3"/>
    <row r="1354" s="778" customFormat="1" ht="12.75" customHeight="1" x14ac:dyDescent="0.3"/>
    <row r="1355" s="778" customFormat="1" ht="12.75" customHeight="1" x14ac:dyDescent="0.3"/>
    <row r="1356" s="778" customFormat="1" ht="12.75" customHeight="1" x14ac:dyDescent="0.3"/>
    <row r="1357" s="778" customFormat="1" ht="12.75" customHeight="1" x14ac:dyDescent="0.3"/>
    <row r="1358" s="778" customFormat="1" ht="12.75" customHeight="1" x14ac:dyDescent="0.3"/>
    <row r="1359" s="778" customFormat="1" ht="12.75" customHeight="1" x14ac:dyDescent="0.3"/>
    <row r="1360" s="778" customFormat="1" ht="12.75" customHeight="1" x14ac:dyDescent="0.3"/>
    <row r="1361" s="778" customFormat="1" ht="12.75" customHeight="1" x14ac:dyDescent="0.3"/>
    <row r="1362" s="778" customFormat="1" ht="12.75" customHeight="1" x14ac:dyDescent="0.3"/>
    <row r="1363" s="778" customFormat="1" ht="12.75" customHeight="1" x14ac:dyDescent="0.3"/>
    <row r="1364" s="778" customFormat="1" ht="12.75" customHeight="1" x14ac:dyDescent="0.3"/>
    <row r="1365" s="778" customFormat="1" ht="12.75" customHeight="1" x14ac:dyDescent="0.3"/>
    <row r="1366" s="778" customFormat="1" ht="12.75" customHeight="1" x14ac:dyDescent="0.3"/>
    <row r="1367" s="778" customFormat="1" ht="12.75" customHeight="1" x14ac:dyDescent="0.3"/>
    <row r="1368" s="778" customFormat="1" ht="12.75" customHeight="1" x14ac:dyDescent="0.3"/>
    <row r="1369" s="778" customFormat="1" ht="12.75" customHeight="1" x14ac:dyDescent="0.3"/>
    <row r="1370" s="778" customFormat="1" ht="12.75" customHeight="1" x14ac:dyDescent="0.3"/>
    <row r="1371" s="778" customFormat="1" ht="12.75" customHeight="1" x14ac:dyDescent="0.3"/>
    <row r="1372" s="778" customFormat="1" ht="12.75" customHeight="1" x14ac:dyDescent="0.3"/>
    <row r="1373" s="778" customFormat="1" ht="12.75" customHeight="1" x14ac:dyDescent="0.3"/>
    <row r="1374" s="778" customFormat="1" ht="12.75" customHeight="1" x14ac:dyDescent="0.3"/>
    <row r="1375" s="778" customFormat="1" ht="12.75" customHeight="1" x14ac:dyDescent="0.3"/>
    <row r="1376" s="778" customFormat="1" ht="12.75" customHeight="1" x14ac:dyDescent="0.3"/>
    <row r="1377" s="778" customFormat="1" ht="12.75" customHeight="1" x14ac:dyDescent="0.3"/>
    <row r="1378" s="778" customFormat="1" ht="12.75" customHeight="1" x14ac:dyDescent="0.3"/>
    <row r="1379" s="778" customFormat="1" ht="12.75" customHeight="1" x14ac:dyDescent="0.3"/>
    <row r="1380" s="778" customFormat="1" ht="12.75" customHeight="1" x14ac:dyDescent="0.3"/>
    <row r="1381" s="778" customFormat="1" ht="12.75" customHeight="1" x14ac:dyDescent="0.3"/>
    <row r="1382" s="778" customFormat="1" ht="12.75" customHeight="1" x14ac:dyDescent="0.3"/>
    <row r="1383" s="778" customFormat="1" ht="12.75" customHeight="1" x14ac:dyDescent="0.3"/>
    <row r="1384" s="778" customFormat="1" ht="12.75" customHeight="1" x14ac:dyDescent="0.3"/>
    <row r="1385" s="778" customFormat="1" ht="12.75" customHeight="1" x14ac:dyDescent="0.3"/>
    <row r="1386" s="778" customFormat="1" ht="12.75" customHeight="1" x14ac:dyDescent="0.3"/>
    <row r="1387" s="778" customFormat="1" ht="12.75" customHeight="1" x14ac:dyDescent="0.3"/>
    <row r="1388" s="778" customFormat="1" ht="12.75" customHeight="1" x14ac:dyDescent="0.3"/>
    <row r="1389" s="778" customFormat="1" ht="12.75" customHeight="1" x14ac:dyDescent="0.3"/>
    <row r="1390" s="778" customFormat="1" ht="12.75" customHeight="1" x14ac:dyDescent="0.3"/>
    <row r="1391" s="778" customFormat="1" ht="12.75" customHeight="1" x14ac:dyDescent="0.3"/>
    <row r="1392" s="778" customFormat="1" ht="12.75" customHeight="1" x14ac:dyDescent="0.3"/>
    <row r="1393" s="778" customFormat="1" ht="12.75" customHeight="1" x14ac:dyDescent="0.3"/>
    <row r="1394" s="778" customFormat="1" ht="12.75" customHeight="1" x14ac:dyDescent="0.3"/>
    <row r="1395" s="778" customFormat="1" ht="12.75" customHeight="1" x14ac:dyDescent="0.3"/>
    <row r="1396" s="778" customFormat="1" ht="12.75" customHeight="1" x14ac:dyDescent="0.3"/>
    <row r="1397" s="778" customFormat="1" ht="12.75" customHeight="1" x14ac:dyDescent="0.3"/>
    <row r="1398" s="778" customFormat="1" ht="12.75" customHeight="1" x14ac:dyDescent="0.3"/>
    <row r="1399" s="778" customFormat="1" ht="12.75" customHeight="1" x14ac:dyDescent="0.3"/>
    <row r="1400" s="778" customFormat="1" ht="12.75" customHeight="1" x14ac:dyDescent="0.3"/>
    <row r="1401" s="778" customFormat="1" ht="12.75" customHeight="1" x14ac:dyDescent="0.3"/>
    <row r="1402" s="778" customFormat="1" ht="12.75" customHeight="1" x14ac:dyDescent="0.3"/>
    <row r="1403" s="778" customFormat="1" ht="12.75" customHeight="1" x14ac:dyDescent="0.3"/>
    <row r="1404" s="778" customFormat="1" ht="12.75" customHeight="1" x14ac:dyDescent="0.3"/>
    <row r="1405" s="778" customFormat="1" ht="12.75" customHeight="1" x14ac:dyDescent="0.3"/>
    <row r="1406" s="778" customFormat="1" ht="12.75" customHeight="1" x14ac:dyDescent="0.3"/>
    <row r="1407" s="778" customFormat="1" ht="12.75" customHeight="1" x14ac:dyDescent="0.3"/>
    <row r="1408" s="778" customFormat="1" ht="12.75" customHeight="1" x14ac:dyDescent="0.3"/>
    <row r="1409" s="778" customFormat="1" ht="12.75" customHeight="1" x14ac:dyDescent="0.3"/>
    <row r="1410" s="778" customFormat="1" ht="12.75" customHeight="1" x14ac:dyDescent="0.3"/>
    <row r="1411" s="778" customFormat="1" ht="12.75" customHeight="1" x14ac:dyDescent="0.3"/>
    <row r="1412" s="778" customFormat="1" ht="12.75" customHeight="1" x14ac:dyDescent="0.3"/>
    <row r="1413" s="778" customFormat="1" ht="12.75" customHeight="1" x14ac:dyDescent="0.3"/>
    <row r="1414" s="778" customFormat="1" ht="12.75" customHeight="1" x14ac:dyDescent="0.3"/>
    <row r="1415" s="778" customFormat="1" ht="12.75" customHeight="1" x14ac:dyDescent="0.3"/>
    <row r="1416" s="778" customFormat="1" ht="12.75" customHeight="1" x14ac:dyDescent="0.3"/>
    <row r="1417" s="778" customFormat="1" ht="12.75" customHeight="1" x14ac:dyDescent="0.3"/>
    <row r="1418" s="778" customFormat="1" ht="12.75" customHeight="1" x14ac:dyDescent="0.3"/>
    <row r="1419" s="778" customFormat="1" ht="12.75" customHeight="1" x14ac:dyDescent="0.3"/>
    <row r="1420" s="778" customFormat="1" ht="12.75" customHeight="1" x14ac:dyDescent="0.3"/>
    <row r="1421" s="778" customFormat="1" ht="12.75" customHeight="1" x14ac:dyDescent="0.3"/>
    <row r="1422" s="778" customFormat="1" ht="12.75" customHeight="1" x14ac:dyDescent="0.3"/>
    <row r="1423" s="778" customFormat="1" ht="12.75" customHeight="1" x14ac:dyDescent="0.3"/>
    <row r="1424" s="778" customFormat="1" ht="12.75" customHeight="1" x14ac:dyDescent="0.3"/>
    <row r="1425" s="778" customFormat="1" ht="12.75" customHeight="1" x14ac:dyDescent="0.3"/>
    <row r="1426" s="778" customFormat="1" ht="12.75" customHeight="1" x14ac:dyDescent="0.3"/>
    <row r="1427" s="778" customFormat="1" ht="12.75" customHeight="1" x14ac:dyDescent="0.3"/>
    <row r="1428" s="778" customFormat="1" ht="12.75" customHeight="1" x14ac:dyDescent="0.3"/>
    <row r="1429" s="778" customFormat="1" ht="12.75" customHeight="1" x14ac:dyDescent="0.3"/>
    <row r="1430" s="778" customFormat="1" ht="12.75" customHeight="1" x14ac:dyDescent="0.3"/>
    <row r="1431" s="778" customFormat="1" ht="12.75" customHeight="1" x14ac:dyDescent="0.3"/>
    <row r="1432" s="778" customFormat="1" ht="12.75" customHeight="1" x14ac:dyDescent="0.3"/>
    <row r="1433" s="778" customFormat="1" ht="12.75" customHeight="1" x14ac:dyDescent="0.3"/>
    <row r="1434" s="778" customFormat="1" ht="12.75" customHeight="1" x14ac:dyDescent="0.3"/>
    <row r="1435" s="778" customFormat="1" ht="12.75" customHeight="1" x14ac:dyDescent="0.3"/>
    <row r="1436" s="778" customFormat="1" ht="12.75" customHeight="1" x14ac:dyDescent="0.3"/>
    <row r="1437" s="778" customFormat="1" ht="12.75" customHeight="1" x14ac:dyDescent="0.3"/>
    <row r="1438" s="778" customFormat="1" ht="12.75" customHeight="1" x14ac:dyDescent="0.3"/>
    <row r="1439" s="778" customFormat="1" ht="12.75" customHeight="1" x14ac:dyDescent="0.3"/>
    <row r="1440" s="778" customFormat="1" ht="12.75" customHeight="1" x14ac:dyDescent="0.3"/>
    <row r="1441" s="778" customFormat="1" ht="12.75" customHeight="1" x14ac:dyDescent="0.3"/>
    <row r="1442" s="778" customFormat="1" ht="12.75" customHeight="1" x14ac:dyDescent="0.3"/>
    <row r="1443" s="778" customFormat="1" ht="12.75" customHeight="1" x14ac:dyDescent="0.3"/>
    <row r="1444" s="778" customFormat="1" ht="12.75" customHeight="1" x14ac:dyDescent="0.3"/>
    <row r="1445" s="778" customFormat="1" ht="12.75" customHeight="1" x14ac:dyDescent="0.3"/>
    <row r="1446" s="778" customFormat="1" ht="12.75" customHeight="1" x14ac:dyDescent="0.3"/>
    <row r="1447" s="778" customFormat="1" ht="12.75" customHeight="1" x14ac:dyDescent="0.3"/>
    <row r="1448" s="778" customFormat="1" ht="12.75" customHeight="1" x14ac:dyDescent="0.3"/>
    <row r="1449" s="778" customFormat="1" ht="12.75" customHeight="1" x14ac:dyDescent="0.3"/>
    <row r="1450" s="778" customFormat="1" ht="12.75" customHeight="1" x14ac:dyDescent="0.3"/>
    <row r="1451" s="778" customFormat="1" ht="12.75" customHeight="1" x14ac:dyDescent="0.3"/>
    <row r="1452" s="778" customFormat="1" ht="12.75" customHeight="1" x14ac:dyDescent="0.3"/>
    <row r="1453" s="778" customFormat="1" ht="12.75" customHeight="1" x14ac:dyDescent="0.3"/>
    <row r="1454" s="778" customFormat="1" ht="12.75" customHeight="1" x14ac:dyDescent="0.3"/>
    <row r="1455" s="778" customFormat="1" ht="12.75" customHeight="1" x14ac:dyDescent="0.3"/>
    <row r="1456" s="778" customFormat="1" ht="12.75" customHeight="1" x14ac:dyDescent="0.3"/>
    <row r="1457" s="778" customFormat="1" ht="12.75" customHeight="1" x14ac:dyDescent="0.3"/>
    <row r="1458" s="778" customFormat="1" ht="12.75" customHeight="1" x14ac:dyDescent="0.3"/>
    <row r="1459" s="778" customFormat="1" ht="12.75" customHeight="1" x14ac:dyDescent="0.3"/>
    <row r="1460" s="778" customFormat="1" ht="12.75" customHeight="1" x14ac:dyDescent="0.3"/>
    <row r="1461" s="778" customFormat="1" ht="12.75" customHeight="1" x14ac:dyDescent="0.3"/>
    <row r="1462" s="778" customFormat="1" ht="12.75" customHeight="1" x14ac:dyDescent="0.3"/>
    <row r="1463" s="778" customFormat="1" ht="12.75" customHeight="1" x14ac:dyDescent="0.3"/>
    <row r="1464" s="778" customFormat="1" ht="12.75" customHeight="1" x14ac:dyDescent="0.3"/>
    <row r="1465" s="778" customFormat="1" ht="12.75" customHeight="1" x14ac:dyDescent="0.3"/>
    <row r="1466" s="778" customFormat="1" ht="12.75" customHeight="1" x14ac:dyDescent="0.3"/>
    <row r="1467" s="778" customFormat="1" ht="12.75" customHeight="1" x14ac:dyDescent="0.3"/>
    <row r="1468" s="778" customFormat="1" ht="12.75" customHeight="1" x14ac:dyDescent="0.3"/>
    <row r="1469" s="778" customFormat="1" ht="12.75" customHeight="1" x14ac:dyDescent="0.3"/>
    <row r="1470" s="778" customFormat="1" ht="12.75" customHeight="1" x14ac:dyDescent="0.3"/>
    <row r="1471" s="778" customFormat="1" ht="12.75" customHeight="1" x14ac:dyDescent="0.3"/>
    <row r="1472" s="778" customFormat="1" ht="12.75" customHeight="1" x14ac:dyDescent="0.3"/>
    <row r="1473" s="778" customFormat="1" ht="12.75" customHeight="1" x14ac:dyDescent="0.3"/>
    <row r="1474" s="778" customFormat="1" ht="12.75" customHeight="1" x14ac:dyDescent="0.3"/>
    <row r="1475" s="778" customFormat="1" ht="12.75" customHeight="1" x14ac:dyDescent="0.3"/>
    <row r="1476" s="778" customFormat="1" ht="12.75" customHeight="1" x14ac:dyDescent="0.3"/>
    <row r="1477" s="778" customFormat="1" ht="12.75" customHeight="1" x14ac:dyDescent="0.3"/>
    <row r="1478" s="778" customFormat="1" ht="12.75" customHeight="1" x14ac:dyDescent="0.3"/>
    <row r="1479" s="778" customFormat="1" ht="12.75" customHeight="1" x14ac:dyDescent="0.3"/>
    <row r="1480" s="778" customFormat="1" ht="12.75" customHeight="1" x14ac:dyDescent="0.3"/>
    <row r="1481" s="778" customFormat="1" ht="12.75" customHeight="1" x14ac:dyDescent="0.3"/>
    <row r="1482" s="778" customFormat="1" ht="12.75" customHeight="1" x14ac:dyDescent="0.3"/>
    <row r="1483" s="778" customFormat="1" ht="12.75" customHeight="1" x14ac:dyDescent="0.3"/>
    <row r="1484" s="778" customFormat="1" ht="12.75" customHeight="1" x14ac:dyDescent="0.3"/>
    <row r="1485" s="778" customFormat="1" ht="12.75" customHeight="1" x14ac:dyDescent="0.3"/>
    <row r="1486" s="778" customFormat="1" ht="12.75" customHeight="1" x14ac:dyDescent="0.3"/>
    <row r="1487" s="778" customFormat="1" ht="12.75" customHeight="1" x14ac:dyDescent="0.3"/>
    <row r="1488" s="778" customFormat="1" ht="12.75" customHeight="1" x14ac:dyDescent="0.3"/>
    <row r="1489" s="778" customFormat="1" ht="12.75" customHeight="1" x14ac:dyDescent="0.3"/>
    <row r="1490" s="778" customFormat="1" ht="12.75" customHeight="1" x14ac:dyDescent="0.3"/>
    <row r="1491" s="778" customFormat="1" ht="12.75" customHeight="1" x14ac:dyDescent="0.3"/>
    <row r="1492" s="778" customFormat="1" ht="12.75" customHeight="1" x14ac:dyDescent="0.3"/>
    <row r="1493" s="778" customFormat="1" ht="12.75" customHeight="1" x14ac:dyDescent="0.3"/>
    <row r="1494" s="778" customFormat="1" ht="12.75" customHeight="1" x14ac:dyDescent="0.3"/>
    <row r="1495" s="778" customFormat="1" ht="12.75" customHeight="1" x14ac:dyDescent="0.3"/>
    <row r="1496" s="778" customFormat="1" ht="12.75" customHeight="1" x14ac:dyDescent="0.3"/>
    <row r="1497" s="778" customFormat="1" ht="12.75" customHeight="1" x14ac:dyDescent="0.3"/>
    <row r="1498" s="778" customFormat="1" ht="12.75" customHeight="1" x14ac:dyDescent="0.3"/>
    <row r="1499" s="778" customFormat="1" ht="12.75" customHeight="1" x14ac:dyDescent="0.3"/>
    <row r="1500" s="778" customFormat="1" ht="12.75" customHeight="1" x14ac:dyDescent="0.3"/>
    <row r="1501" s="778" customFormat="1" ht="12.75" customHeight="1" x14ac:dyDescent="0.3"/>
    <row r="1502" s="778" customFormat="1" ht="12.75" customHeight="1" x14ac:dyDescent="0.3"/>
    <row r="1503" s="778" customFormat="1" ht="12.75" customHeight="1" x14ac:dyDescent="0.3"/>
    <row r="1504" s="778" customFormat="1" ht="12.75" customHeight="1" x14ac:dyDescent="0.3"/>
    <row r="1505" s="778" customFormat="1" ht="12.75" customHeight="1" x14ac:dyDescent="0.3"/>
    <row r="1506" s="778" customFormat="1" ht="12.75" customHeight="1" x14ac:dyDescent="0.3"/>
    <row r="1507" s="778" customFormat="1" ht="12.75" customHeight="1" x14ac:dyDescent="0.3"/>
    <row r="1508" s="778" customFormat="1" ht="12.75" customHeight="1" x14ac:dyDescent="0.3"/>
    <row r="1509" s="778" customFormat="1" ht="12.75" customHeight="1" x14ac:dyDescent="0.3"/>
    <row r="1510" s="778" customFormat="1" ht="12.75" customHeight="1" x14ac:dyDescent="0.3"/>
    <row r="1511" s="778" customFormat="1" ht="12.75" customHeight="1" x14ac:dyDescent="0.3"/>
    <row r="1512" s="778" customFormat="1" ht="12.75" customHeight="1" x14ac:dyDescent="0.3"/>
    <row r="1513" s="778" customFormat="1" ht="12.75" customHeight="1" x14ac:dyDescent="0.3"/>
    <row r="1514" s="778" customFormat="1" ht="12.75" customHeight="1" x14ac:dyDescent="0.3"/>
    <row r="1515" s="778" customFormat="1" ht="12.75" customHeight="1" x14ac:dyDescent="0.3"/>
    <row r="1516" s="778" customFormat="1" ht="12.75" customHeight="1" x14ac:dyDescent="0.3"/>
    <row r="1517" s="778" customFormat="1" ht="12.75" customHeight="1" x14ac:dyDescent="0.3"/>
    <row r="1518" s="778" customFormat="1" ht="12.75" customHeight="1" x14ac:dyDescent="0.3"/>
    <row r="1519" s="778" customFormat="1" ht="12.75" customHeight="1" x14ac:dyDescent="0.3"/>
    <row r="1520" s="778" customFormat="1" ht="12.75" customHeight="1" x14ac:dyDescent="0.3"/>
    <row r="1521" s="778" customFormat="1" ht="12.75" customHeight="1" x14ac:dyDescent="0.3"/>
    <row r="1522" s="778" customFormat="1" ht="12.75" customHeight="1" x14ac:dyDescent="0.3"/>
    <row r="1523" s="778" customFormat="1" ht="12.75" customHeight="1" x14ac:dyDescent="0.3"/>
    <row r="1524" s="778" customFormat="1" ht="12.75" customHeight="1" x14ac:dyDescent="0.3"/>
    <row r="1525" s="778" customFormat="1" ht="12.75" customHeight="1" x14ac:dyDescent="0.3"/>
    <row r="1526" s="778" customFormat="1" ht="12.75" customHeight="1" x14ac:dyDescent="0.3"/>
    <row r="1527" s="778" customFormat="1" ht="12.75" customHeight="1" x14ac:dyDescent="0.3"/>
    <row r="1528" s="778" customFormat="1" ht="12.75" customHeight="1" x14ac:dyDescent="0.3"/>
    <row r="1529" s="778" customFormat="1" ht="12.75" customHeight="1" x14ac:dyDescent="0.3"/>
    <row r="1530" s="778" customFormat="1" ht="12.75" customHeight="1" x14ac:dyDescent="0.3"/>
    <row r="1531" s="778" customFormat="1" ht="12.75" customHeight="1" x14ac:dyDescent="0.3"/>
    <row r="1532" s="778" customFormat="1" ht="12.75" customHeight="1" x14ac:dyDescent="0.3"/>
    <row r="1533" s="778" customFormat="1" ht="12.75" customHeight="1" x14ac:dyDescent="0.3"/>
    <row r="1534" s="778" customFormat="1" ht="12.75" customHeight="1" x14ac:dyDescent="0.3"/>
    <row r="1535" s="778" customFormat="1" ht="12.75" customHeight="1" x14ac:dyDescent="0.3"/>
    <row r="1536" s="778" customFormat="1" ht="12.75" customHeight="1" x14ac:dyDescent="0.3"/>
    <row r="1537" s="778" customFormat="1" ht="12.75" customHeight="1" x14ac:dyDescent="0.3"/>
    <row r="1538" s="778" customFormat="1" ht="12.75" customHeight="1" x14ac:dyDescent="0.3"/>
    <row r="1539" s="778" customFormat="1" ht="12.75" customHeight="1" x14ac:dyDescent="0.3"/>
    <row r="1540" s="778" customFormat="1" ht="12.75" customHeight="1" x14ac:dyDescent="0.3"/>
    <row r="1541" s="778" customFormat="1" ht="12.75" customHeight="1" x14ac:dyDescent="0.3"/>
    <row r="1542" s="778" customFormat="1" ht="12.75" customHeight="1" x14ac:dyDescent="0.3"/>
    <row r="1543" s="778" customFormat="1" ht="12.75" customHeight="1" x14ac:dyDescent="0.3"/>
    <row r="1544" s="778" customFormat="1" ht="12.75" customHeight="1" x14ac:dyDescent="0.3"/>
    <row r="1545" s="778" customFormat="1" ht="12.75" customHeight="1" x14ac:dyDescent="0.3"/>
    <row r="1546" s="778" customFormat="1" ht="12.75" customHeight="1" x14ac:dyDescent="0.3"/>
    <row r="1547" s="778" customFormat="1" ht="12.75" customHeight="1" x14ac:dyDescent="0.3"/>
    <row r="1548" s="778" customFormat="1" ht="12.75" customHeight="1" x14ac:dyDescent="0.3"/>
    <row r="1549" s="778" customFormat="1" ht="12.75" customHeight="1" x14ac:dyDescent="0.3"/>
    <row r="1550" s="778" customFormat="1" ht="12.75" customHeight="1" x14ac:dyDescent="0.3"/>
    <row r="1551" s="778" customFormat="1" ht="12.75" customHeight="1" x14ac:dyDescent="0.3"/>
    <row r="1552" s="778" customFormat="1" ht="12.75" customHeight="1" x14ac:dyDescent="0.3"/>
    <row r="1553" s="778" customFormat="1" ht="12.75" customHeight="1" x14ac:dyDescent="0.3"/>
    <row r="1554" s="778" customFormat="1" ht="12.75" customHeight="1" x14ac:dyDescent="0.3"/>
    <row r="1555" s="778" customFormat="1" ht="12.75" customHeight="1" x14ac:dyDescent="0.3"/>
    <row r="1556" s="778" customFormat="1" ht="12.75" customHeight="1" x14ac:dyDescent="0.3"/>
    <row r="1557" s="778" customFormat="1" ht="12.75" customHeight="1" x14ac:dyDescent="0.3"/>
    <row r="1558" s="778" customFormat="1" ht="12.75" customHeight="1" x14ac:dyDescent="0.3"/>
    <row r="1559" s="778" customFormat="1" ht="12.75" customHeight="1" x14ac:dyDescent="0.3"/>
    <row r="1560" s="778" customFormat="1" ht="12.75" customHeight="1" x14ac:dyDescent="0.3"/>
    <row r="1561" s="778" customFormat="1" ht="12.75" customHeight="1" x14ac:dyDescent="0.3"/>
    <row r="1562" s="778" customFormat="1" ht="12.75" customHeight="1" x14ac:dyDescent="0.3"/>
    <row r="1563" s="778" customFormat="1" ht="12.75" customHeight="1" x14ac:dyDescent="0.3"/>
    <row r="1564" s="778" customFormat="1" ht="12.75" customHeight="1" x14ac:dyDescent="0.3"/>
    <row r="1565" s="778" customFormat="1" ht="12.75" customHeight="1" x14ac:dyDescent="0.3"/>
    <row r="1566" s="778" customFormat="1" ht="12.75" customHeight="1" x14ac:dyDescent="0.3"/>
    <row r="1567" s="778" customFormat="1" ht="12.75" customHeight="1" x14ac:dyDescent="0.3"/>
    <row r="1568" s="778" customFormat="1" ht="12.75" customHeight="1" x14ac:dyDescent="0.3"/>
    <row r="1569" s="778" customFormat="1" ht="12.75" customHeight="1" x14ac:dyDescent="0.3"/>
    <row r="1570" s="778" customFormat="1" ht="12.75" customHeight="1" x14ac:dyDescent="0.3"/>
    <row r="1571" s="778" customFormat="1" ht="12.75" customHeight="1" x14ac:dyDescent="0.3"/>
    <row r="1572" s="778" customFormat="1" ht="12.75" customHeight="1" x14ac:dyDescent="0.3"/>
    <row r="1573" s="778" customFormat="1" ht="12.75" customHeight="1" x14ac:dyDescent="0.3"/>
    <row r="1574" s="778" customFormat="1" ht="12.75" customHeight="1" x14ac:dyDescent="0.3"/>
    <row r="1575" s="778" customFormat="1" ht="12.75" customHeight="1" x14ac:dyDescent="0.3"/>
    <row r="1576" s="778" customFormat="1" ht="12.75" customHeight="1" x14ac:dyDescent="0.3"/>
    <row r="1577" s="778" customFormat="1" ht="12.75" customHeight="1" x14ac:dyDescent="0.3"/>
    <row r="1578" s="778" customFormat="1" ht="12.75" customHeight="1" x14ac:dyDescent="0.3"/>
    <row r="1579" s="778" customFormat="1" ht="12.75" customHeight="1" x14ac:dyDescent="0.3"/>
    <row r="1580" s="778" customFormat="1" ht="12.75" customHeight="1" x14ac:dyDescent="0.3"/>
    <row r="1581" s="778" customFormat="1" ht="12.75" customHeight="1" x14ac:dyDescent="0.3"/>
    <row r="1582" s="778" customFormat="1" ht="12.75" customHeight="1" x14ac:dyDescent="0.3"/>
    <row r="1583" s="778" customFormat="1" ht="12.75" customHeight="1" x14ac:dyDescent="0.3"/>
    <row r="1584" s="778" customFormat="1" ht="12.75" customHeight="1" x14ac:dyDescent="0.3"/>
    <row r="1585" s="778" customFormat="1" ht="12.75" customHeight="1" x14ac:dyDescent="0.3"/>
    <row r="1586" s="778" customFormat="1" ht="12.75" customHeight="1" x14ac:dyDescent="0.3"/>
    <row r="1587" s="778" customFormat="1" ht="12.75" customHeight="1" x14ac:dyDescent="0.3"/>
    <row r="1588" s="778" customFormat="1" ht="12.75" customHeight="1" x14ac:dyDescent="0.3"/>
    <row r="1589" s="778" customFormat="1" ht="12.75" customHeight="1" x14ac:dyDescent="0.3"/>
    <row r="1590" s="778" customFormat="1" ht="12.75" customHeight="1" x14ac:dyDescent="0.3"/>
    <row r="1591" s="778" customFormat="1" ht="12.75" customHeight="1" x14ac:dyDescent="0.3"/>
    <row r="1592" s="778" customFormat="1" ht="12.75" customHeight="1" x14ac:dyDescent="0.3"/>
    <row r="1593" s="778" customFormat="1" ht="12.75" customHeight="1" x14ac:dyDescent="0.3"/>
    <row r="1594" s="778" customFormat="1" ht="12.75" customHeight="1" x14ac:dyDescent="0.3"/>
    <row r="1595" s="778" customFormat="1" ht="12.75" customHeight="1" x14ac:dyDescent="0.3"/>
    <row r="1596" s="778" customFormat="1" ht="12.75" customHeight="1" x14ac:dyDescent="0.3"/>
    <row r="1597" s="778" customFormat="1" ht="12.75" customHeight="1" x14ac:dyDescent="0.3"/>
    <row r="1598" s="778" customFormat="1" ht="12.75" customHeight="1" x14ac:dyDescent="0.3"/>
    <row r="1599" s="778" customFormat="1" ht="12.75" customHeight="1" x14ac:dyDescent="0.3"/>
    <row r="1600" s="778" customFormat="1" ht="12.75" customHeight="1" x14ac:dyDescent="0.3"/>
    <row r="1601" s="778" customFormat="1" ht="12.75" customHeight="1" x14ac:dyDescent="0.3"/>
    <row r="1602" s="778" customFormat="1" ht="12.75" customHeight="1" x14ac:dyDescent="0.3"/>
    <row r="1603" s="778" customFormat="1" ht="12.75" customHeight="1" x14ac:dyDescent="0.3"/>
    <row r="1604" s="778" customFormat="1" ht="12.75" customHeight="1" x14ac:dyDescent="0.3"/>
    <row r="1605" s="778" customFormat="1" ht="12.75" customHeight="1" x14ac:dyDescent="0.3"/>
    <row r="1606" s="778" customFormat="1" ht="12.75" customHeight="1" x14ac:dyDescent="0.3"/>
    <row r="1607" s="778" customFormat="1" ht="12.75" customHeight="1" x14ac:dyDescent="0.3"/>
    <row r="1608" s="778" customFormat="1" ht="12.75" customHeight="1" x14ac:dyDescent="0.3"/>
    <row r="1609" s="778" customFormat="1" ht="12.75" customHeight="1" x14ac:dyDescent="0.3"/>
    <row r="1610" s="778" customFormat="1" ht="12.75" customHeight="1" x14ac:dyDescent="0.3"/>
    <row r="1611" s="778" customFormat="1" ht="12.75" customHeight="1" x14ac:dyDescent="0.3"/>
    <row r="1612" s="778" customFormat="1" ht="12.75" customHeight="1" x14ac:dyDescent="0.3"/>
    <row r="1613" s="778" customFormat="1" ht="12.75" customHeight="1" x14ac:dyDescent="0.3"/>
    <row r="1614" s="778" customFormat="1" ht="12.75" customHeight="1" x14ac:dyDescent="0.3"/>
    <row r="1615" s="778" customFormat="1" ht="12.75" customHeight="1" x14ac:dyDescent="0.3"/>
    <row r="1616" s="778" customFormat="1" ht="12.75" customHeight="1" x14ac:dyDescent="0.3"/>
    <row r="1617" s="778" customFormat="1" ht="12.75" customHeight="1" x14ac:dyDescent="0.3"/>
    <row r="1618" s="778" customFormat="1" ht="12.75" customHeight="1" x14ac:dyDescent="0.3"/>
    <row r="1619" s="778" customFormat="1" ht="12.75" customHeight="1" x14ac:dyDescent="0.3"/>
    <row r="1620" s="778" customFormat="1" ht="12.75" customHeight="1" x14ac:dyDescent="0.3"/>
    <row r="1621" s="778" customFormat="1" ht="12.75" customHeight="1" x14ac:dyDescent="0.3"/>
    <row r="1622" s="778" customFormat="1" ht="12.75" customHeight="1" x14ac:dyDescent="0.3"/>
    <row r="1623" s="778" customFormat="1" ht="12.75" customHeight="1" x14ac:dyDescent="0.3"/>
    <row r="1624" s="778" customFormat="1" ht="12.75" customHeight="1" x14ac:dyDescent="0.3"/>
    <row r="1625" s="778" customFormat="1" ht="12.75" customHeight="1" x14ac:dyDescent="0.3"/>
    <row r="1626" s="778" customFormat="1" ht="12.75" customHeight="1" x14ac:dyDescent="0.3"/>
    <row r="1627" s="778" customFormat="1" ht="12.75" customHeight="1" x14ac:dyDescent="0.3"/>
    <row r="1628" s="778" customFormat="1" ht="12.75" customHeight="1" x14ac:dyDescent="0.3"/>
    <row r="1629" s="778" customFormat="1" ht="12.75" customHeight="1" x14ac:dyDescent="0.3"/>
    <row r="1630" s="778" customFormat="1" ht="12.75" customHeight="1" x14ac:dyDescent="0.3"/>
    <row r="1631" s="778" customFormat="1" ht="12.75" customHeight="1" x14ac:dyDescent="0.3"/>
    <row r="1632" s="778" customFormat="1" ht="12.75" customHeight="1" x14ac:dyDescent="0.3"/>
    <row r="1633" s="778" customFormat="1" ht="12.75" customHeight="1" x14ac:dyDescent="0.3"/>
    <row r="1634" s="778" customFormat="1" ht="12.75" customHeight="1" x14ac:dyDescent="0.3"/>
    <row r="1635" s="778" customFormat="1" ht="12.75" customHeight="1" x14ac:dyDescent="0.3"/>
    <row r="1636" s="778" customFormat="1" ht="12.75" customHeight="1" x14ac:dyDescent="0.3"/>
    <row r="1637" s="778" customFormat="1" ht="12.75" customHeight="1" x14ac:dyDescent="0.3"/>
    <row r="1638" s="778" customFormat="1" ht="12.75" customHeight="1" x14ac:dyDescent="0.3"/>
    <row r="1639" s="778" customFormat="1" ht="12.75" customHeight="1" x14ac:dyDescent="0.3"/>
    <row r="1640" s="778" customFormat="1" ht="12.75" customHeight="1" x14ac:dyDescent="0.3"/>
    <row r="1641" s="778" customFormat="1" ht="12.75" customHeight="1" x14ac:dyDescent="0.3"/>
    <row r="1642" s="778" customFormat="1" ht="12.75" customHeight="1" x14ac:dyDescent="0.3"/>
    <row r="1643" s="778" customFormat="1" ht="12.75" customHeight="1" x14ac:dyDescent="0.3"/>
    <row r="1644" s="778" customFormat="1" ht="12.75" customHeight="1" x14ac:dyDescent="0.3"/>
    <row r="1645" s="778" customFormat="1" ht="12.75" customHeight="1" x14ac:dyDescent="0.3"/>
    <row r="1646" s="778" customFormat="1" ht="12.75" customHeight="1" x14ac:dyDescent="0.3"/>
    <row r="1647" s="778" customFormat="1" ht="12.75" customHeight="1" x14ac:dyDescent="0.3"/>
    <row r="1648" s="778" customFormat="1" ht="12.75" customHeight="1" x14ac:dyDescent="0.3"/>
    <row r="1649" s="778" customFormat="1" ht="12.75" customHeight="1" x14ac:dyDescent="0.3"/>
    <row r="1650" s="778" customFormat="1" ht="12.75" customHeight="1" x14ac:dyDescent="0.3"/>
    <row r="1651" s="778" customFormat="1" ht="12.75" customHeight="1" x14ac:dyDescent="0.3"/>
    <row r="1652" s="778" customFormat="1" ht="12.75" customHeight="1" x14ac:dyDescent="0.3"/>
    <row r="1653" s="778" customFormat="1" ht="12.75" customHeight="1" x14ac:dyDescent="0.3"/>
    <row r="1654" s="778" customFormat="1" ht="12.75" customHeight="1" x14ac:dyDescent="0.3"/>
    <row r="1655" s="778" customFormat="1" ht="12.75" customHeight="1" x14ac:dyDescent="0.3"/>
    <row r="1656" s="778" customFormat="1" ht="12.75" customHeight="1" x14ac:dyDescent="0.3"/>
    <row r="1657" s="778" customFormat="1" ht="12.75" customHeight="1" x14ac:dyDescent="0.3"/>
    <row r="1658" s="778" customFormat="1" ht="12.75" customHeight="1" x14ac:dyDescent="0.3"/>
    <row r="1659" s="778" customFormat="1" ht="12.75" customHeight="1" x14ac:dyDescent="0.3"/>
    <row r="1660" s="778" customFormat="1" ht="12.75" customHeight="1" x14ac:dyDescent="0.3"/>
    <row r="1661" s="778" customFormat="1" ht="12.75" customHeight="1" x14ac:dyDescent="0.3"/>
    <row r="1662" s="778" customFormat="1" ht="12.75" customHeight="1" x14ac:dyDescent="0.3"/>
    <row r="1663" s="778" customFormat="1" ht="12.75" customHeight="1" x14ac:dyDescent="0.3"/>
    <row r="1664" s="778" customFormat="1" ht="12.75" customHeight="1" x14ac:dyDescent="0.3"/>
    <row r="1665" s="778" customFormat="1" ht="12.75" customHeight="1" x14ac:dyDescent="0.3"/>
    <row r="1666" s="778" customFormat="1" ht="12.75" customHeight="1" x14ac:dyDescent="0.3"/>
    <row r="1667" s="778" customFormat="1" ht="12.75" customHeight="1" x14ac:dyDescent="0.3"/>
    <row r="1668" s="778" customFormat="1" ht="12.75" customHeight="1" x14ac:dyDescent="0.3"/>
    <row r="1669" s="778" customFormat="1" ht="12.75" customHeight="1" x14ac:dyDescent="0.3"/>
    <row r="1670" s="778" customFormat="1" ht="12.75" customHeight="1" x14ac:dyDescent="0.3"/>
    <row r="1671" s="778" customFormat="1" ht="12.75" customHeight="1" x14ac:dyDescent="0.3"/>
    <row r="1672" s="778" customFormat="1" ht="12.75" customHeight="1" x14ac:dyDescent="0.3"/>
    <row r="1673" s="778" customFormat="1" ht="12.75" customHeight="1" x14ac:dyDescent="0.3"/>
    <row r="1674" s="778" customFormat="1" ht="12.75" customHeight="1" x14ac:dyDescent="0.3"/>
    <row r="1675" s="778" customFormat="1" ht="12.75" customHeight="1" x14ac:dyDescent="0.3"/>
    <row r="1676" s="778" customFormat="1" ht="12.75" customHeight="1" x14ac:dyDescent="0.3"/>
    <row r="1677" s="778" customFormat="1" ht="12.75" customHeight="1" x14ac:dyDescent="0.3"/>
    <row r="1678" s="778" customFormat="1" ht="12.75" customHeight="1" x14ac:dyDescent="0.3"/>
    <row r="1679" s="778" customFormat="1" ht="12.75" customHeight="1" x14ac:dyDescent="0.3"/>
    <row r="1680" s="778" customFormat="1" ht="12.75" customHeight="1" x14ac:dyDescent="0.3"/>
    <row r="1681" s="778" customFormat="1" ht="12.75" customHeight="1" x14ac:dyDescent="0.3"/>
    <row r="1682" s="778" customFormat="1" ht="12.75" customHeight="1" x14ac:dyDescent="0.3"/>
    <row r="1683" s="778" customFormat="1" ht="12.75" customHeight="1" x14ac:dyDescent="0.3"/>
    <row r="1684" s="778" customFormat="1" ht="12.75" customHeight="1" x14ac:dyDescent="0.3"/>
    <row r="1685" s="778" customFormat="1" ht="12.75" customHeight="1" x14ac:dyDescent="0.3"/>
    <row r="1686" s="778" customFormat="1" ht="12.75" customHeight="1" x14ac:dyDescent="0.3"/>
    <row r="1687" s="778" customFormat="1" ht="12.75" customHeight="1" x14ac:dyDescent="0.3"/>
    <row r="1688" s="778" customFormat="1" ht="12.75" customHeight="1" x14ac:dyDescent="0.3"/>
    <row r="1689" s="778" customFormat="1" ht="12.75" customHeight="1" x14ac:dyDescent="0.3"/>
    <row r="1690" s="778" customFormat="1" ht="12.75" customHeight="1" x14ac:dyDescent="0.3"/>
    <row r="1691" s="778" customFormat="1" ht="12.75" customHeight="1" x14ac:dyDescent="0.3"/>
    <row r="1692" s="778" customFormat="1" ht="12.75" customHeight="1" x14ac:dyDescent="0.3"/>
    <row r="1693" s="778" customFormat="1" ht="12.75" customHeight="1" x14ac:dyDescent="0.3"/>
    <row r="1694" s="778" customFormat="1" ht="12.75" customHeight="1" x14ac:dyDescent="0.3"/>
    <row r="1695" s="778" customFormat="1" ht="12.75" customHeight="1" x14ac:dyDescent="0.3"/>
    <row r="1696" s="778" customFormat="1" ht="12.75" customHeight="1" x14ac:dyDescent="0.3"/>
    <row r="1697" s="778" customFormat="1" ht="12.75" customHeight="1" x14ac:dyDescent="0.3"/>
    <row r="1698" s="778" customFormat="1" ht="12.75" customHeight="1" x14ac:dyDescent="0.3"/>
    <row r="1699" s="778" customFormat="1" ht="12.75" customHeight="1" x14ac:dyDescent="0.3"/>
    <row r="1700" s="778" customFormat="1" ht="12.75" customHeight="1" x14ac:dyDescent="0.3"/>
    <row r="1701" s="778" customFormat="1" ht="12.75" customHeight="1" x14ac:dyDescent="0.3"/>
    <row r="1702" s="778" customFormat="1" ht="12.75" customHeight="1" x14ac:dyDescent="0.3"/>
    <row r="1703" s="778" customFormat="1" ht="12.75" customHeight="1" x14ac:dyDescent="0.3"/>
    <row r="1704" s="778" customFormat="1" ht="12.75" customHeight="1" x14ac:dyDescent="0.3"/>
    <row r="1705" s="778" customFormat="1" ht="12.75" customHeight="1" x14ac:dyDescent="0.3"/>
    <row r="1706" s="778" customFormat="1" ht="12.75" customHeight="1" x14ac:dyDescent="0.3"/>
    <row r="1707" s="778" customFormat="1" ht="12.75" customHeight="1" x14ac:dyDescent="0.3"/>
    <row r="1708" s="778" customFormat="1" ht="12.75" customHeight="1" x14ac:dyDescent="0.3"/>
    <row r="1709" s="778" customFormat="1" ht="12.75" customHeight="1" x14ac:dyDescent="0.3"/>
    <row r="1710" s="778" customFormat="1" ht="12.75" customHeight="1" x14ac:dyDescent="0.3"/>
    <row r="1711" s="778" customFormat="1" ht="12.75" customHeight="1" x14ac:dyDescent="0.3"/>
    <row r="1712" s="778" customFormat="1" ht="12.75" customHeight="1" x14ac:dyDescent="0.3"/>
    <row r="1713" s="778" customFormat="1" ht="12.75" customHeight="1" x14ac:dyDescent="0.3"/>
    <row r="1714" s="778" customFormat="1" ht="12.75" customHeight="1" x14ac:dyDescent="0.3"/>
    <row r="1715" s="778" customFormat="1" ht="12.75" customHeight="1" x14ac:dyDescent="0.3"/>
    <row r="1716" s="778" customFormat="1" ht="12.75" customHeight="1" x14ac:dyDescent="0.3"/>
    <row r="1717" s="778" customFormat="1" ht="12.75" customHeight="1" x14ac:dyDescent="0.3"/>
    <row r="1718" s="778" customFormat="1" ht="12.75" customHeight="1" x14ac:dyDescent="0.3"/>
    <row r="1719" s="778" customFormat="1" ht="12.75" customHeight="1" x14ac:dyDescent="0.3"/>
    <row r="1720" s="778" customFormat="1" ht="12.75" customHeight="1" x14ac:dyDescent="0.3"/>
    <row r="1721" s="778" customFormat="1" ht="12.75" customHeight="1" x14ac:dyDescent="0.3"/>
    <row r="1722" s="778" customFormat="1" ht="12.75" customHeight="1" x14ac:dyDescent="0.3"/>
    <row r="1723" s="778" customFormat="1" ht="12.75" customHeight="1" x14ac:dyDescent="0.3"/>
    <row r="1724" s="778" customFormat="1" ht="12.75" customHeight="1" x14ac:dyDescent="0.3"/>
    <row r="1725" s="778" customFormat="1" ht="12.75" customHeight="1" x14ac:dyDescent="0.3"/>
    <row r="1726" s="778" customFormat="1" ht="12.75" customHeight="1" x14ac:dyDescent="0.3"/>
    <row r="1727" s="778" customFormat="1" ht="12.75" customHeight="1" x14ac:dyDescent="0.3"/>
    <row r="1728" s="778" customFormat="1" ht="12.75" customHeight="1" x14ac:dyDescent="0.3"/>
    <row r="1729" s="778" customFormat="1" ht="12.75" customHeight="1" x14ac:dyDescent="0.3"/>
    <row r="1730" s="778" customFormat="1" ht="12.75" customHeight="1" x14ac:dyDescent="0.3"/>
    <row r="1731" s="778" customFormat="1" ht="12.75" customHeight="1" x14ac:dyDescent="0.3"/>
    <row r="1732" s="778" customFormat="1" ht="12.75" customHeight="1" x14ac:dyDescent="0.3"/>
    <row r="1733" s="778" customFormat="1" ht="12.75" customHeight="1" x14ac:dyDescent="0.3"/>
    <row r="1734" s="778" customFormat="1" ht="12.75" customHeight="1" x14ac:dyDescent="0.3"/>
    <row r="1735" s="778" customFormat="1" ht="12.75" customHeight="1" x14ac:dyDescent="0.3"/>
    <row r="1736" s="778" customFormat="1" ht="12.75" customHeight="1" x14ac:dyDescent="0.3"/>
    <row r="1737" s="778" customFormat="1" ht="12.75" customHeight="1" x14ac:dyDescent="0.3"/>
    <row r="1738" s="778" customFormat="1" ht="12.75" customHeight="1" x14ac:dyDescent="0.3"/>
    <row r="1739" s="778" customFormat="1" ht="12.75" customHeight="1" x14ac:dyDescent="0.3"/>
    <row r="1740" s="778" customFormat="1" ht="12.75" customHeight="1" x14ac:dyDescent="0.3"/>
    <row r="1741" s="778" customFormat="1" ht="12.75" customHeight="1" x14ac:dyDescent="0.3"/>
    <row r="1742" s="778" customFormat="1" ht="12.75" customHeight="1" x14ac:dyDescent="0.3"/>
    <row r="1743" s="778" customFormat="1" ht="12.75" customHeight="1" x14ac:dyDescent="0.3"/>
    <row r="1744" s="778" customFormat="1" ht="12.75" customHeight="1" x14ac:dyDescent="0.3"/>
    <row r="1745" s="778" customFormat="1" ht="12.75" customHeight="1" x14ac:dyDescent="0.3"/>
    <row r="1746" s="778" customFormat="1" ht="12.75" customHeight="1" x14ac:dyDescent="0.3"/>
    <row r="1747" s="778" customFormat="1" ht="12.75" customHeight="1" x14ac:dyDescent="0.3"/>
    <row r="1748" s="778" customFormat="1" ht="12.75" customHeight="1" x14ac:dyDescent="0.3"/>
    <row r="1749" s="778" customFormat="1" ht="12.75" customHeight="1" x14ac:dyDescent="0.3"/>
    <row r="1750" s="778" customFormat="1" ht="12.75" customHeight="1" x14ac:dyDescent="0.3"/>
    <row r="1751" s="778" customFormat="1" ht="12.75" customHeight="1" x14ac:dyDescent="0.3"/>
    <row r="1752" s="778" customFormat="1" ht="12.75" customHeight="1" x14ac:dyDescent="0.3"/>
    <row r="1753" s="778" customFormat="1" ht="12.75" customHeight="1" x14ac:dyDescent="0.3"/>
    <row r="1754" s="778" customFormat="1" ht="12.75" customHeight="1" x14ac:dyDescent="0.3"/>
    <row r="1755" s="778" customFormat="1" ht="12.75" customHeight="1" x14ac:dyDescent="0.3"/>
    <row r="1756" s="778" customFormat="1" ht="12.75" customHeight="1" x14ac:dyDescent="0.3"/>
    <row r="1757" s="778" customFormat="1" ht="12.75" customHeight="1" x14ac:dyDescent="0.3"/>
    <row r="1758" s="778" customFormat="1" ht="12.75" customHeight="1" x14ac:dyDescent="0.3"/>
    <row r="1759" s="778" customFormat="1" ht="12.75" customHeight="1" x14ac:dyDescent="0.3"/>
    <row r="1760" s="778" customFormat="1" ht="12.75" customHeight="1" x14ac:dyDescent="0.3"/>
    <row r="1761" s="778" customFormat="1" ht="12.75" customHeight="1" x14ac:dyDescent="0.3"/>
    <row r="1762" s="778" customFormat="1" ht="12.75" customHeight="1" x14ac:dyDescent="0.3"/>
    <row r="1763" s="778" customFormat="1" ht="12.75" customHeight="1" x14ac:dyDescent="0.3"/>
    <row r="1764" s="778" customFormat="1" ht="12.75" customHeight="1" x14ac:dyDescent="0.3"/>
    <row r="1765" s="778" customFormat="1" ht="12.75" customHeight="1" x14ac:dyDescent="0.3"/>
    <row r="1766" s="778" customFormat="1" ht="12.75" customHeight="1" x14ac:dyDescent="0.3"/>
    <row r="1767" s="778" customFormat="1" ht="12.75" customHeight="1" x14ac:dyDescent="0.3"/>
    <row r="1768" s="778" customFormat="1" ht="12.75" customHeight="1" x14ac:dyDescent="0.3"/>
    <row r="1769" s="778" customFormat="1" ht="12.75" customHeight="1" x14ac:dyDescent="0.3"/>
    <row r="1770" s="778" customFormat="1" ht="12.75" customHeight="1" x14ac:dyDescent="0.3"/>
    <row r="1771" s="778" customFormat="1" ht="12.75" customHeight="1" x14ac:dyDescent="0.3"/>
    <row r="1772" s="778" customFormat="1" ht="12.75" customHeight="1" x14ac:dyDescent="0.3"/>
    <row r="1773" s="778" customFormat="1" ht="12.75" customHeight="1" x14ac:dyDescent="0.3"/>
    <row r="1774" s="778" customFormat="1" ht="12.75" customHeight="1" x14ac:dyDescent="0.3"/>
    <row r="1775" s="778" customFormat="1" ht="12.75" customHeight="1" x14ac:dyDescent="0.3"/>
    <row r="1776" s="778" customFormat="1" ht="12.75" customHeight="1" x14ac:dyDescent="0.3"/>
    <row r="1777" s="778" customFormat="1" ht="12.75" customHeight="1" x14ac:dyDescent="0.3"/>
    <row r="1778" s="778" customFormat="1" ht="12.75" customHeight="1" x14ac:dyDescent="0.3"/>
    <row r="1779" s="778" customFormat="1" ht="12.75" customHeight="1" x14ac:dyDescent="0.3"/>
    <row r="1780" s="778" customFormat="1" ht="12.75" customHeight="1" x14ac:dyDescent="0.3"/>
    <row r="1781" s="778" customFormat="1" ht="12.75" customHeight="1" x14ac:dyDescent="0.3"/>
    <row r="1782" s="778" customFormat="1" ht="12.75" customHeight="1" x14ac:dyDescent="0.3"/>
    <row r="1783" s="778" customFormat="1" ht="12.75" customHeight="1" x14ac:dyDescent="0.3"/>
    <row r="1784" s="778" customFormat="1" ht="12.75" customHeight="1" x14ac:dyDescent="0.3"/>
    <row r="1785" s="778" customFormat="1" ht="12.75" customHeight="1" x14ac:dyDescent="0.3"/>
    <row r="1786" s="778" customFormat="1" ht="12.75" customHeight="1" x14ac:dyDescent="0.3"/>
    <row r="1787" s="778" customFormat="1" ht="12.75" customHeight="1" x14ac:dyDescent="0.3"/>
    <row r="1788" s="778" customFormat="1" ht="12.75" customHeight="1" x14ac:dyDescent="0.3"/>
    <row r="1789" s="778" customFormat="1" ht="12.75" customHeight="1" x14ac:dyDescent="0.3"/>
    <row r="1790" s="778" customFormat="1" ht="12.75" customHeight="1" x14ac:dyDescent="0.3"/>
    <row r="1791" s="778" customFormat="1" ht="12.75" customHeight="1" x14ac:dyDescent="0.3"/>
    <row r="1792" s="778" customFormat="1" ht="12.75" customHeight="1" x14ac:dyDescent="0.3"/>
    <row r="1793" s="778" customFormat="1" ht="12.75" customHeight="1" x14ac:dyDescent="0.3"/>
    <row r="1794" s="778" customFormat="1" ht="12.75" customHeight="1" x14ac:dyDescent="0.3"/>
    <row r="1795" s="778" customFormat="1" ht="12.75" customHeight="1" x14ac:dyDescent="0.3"/>
    <row r="1796" s="778" customFormat="1" ht="12.75" customHeight="1" x14ac:dyDescent="0.3"/>
    <row r="1797" s="778" customFormat="1" ht="12.75" customHeight="1" x14ac:dyDescent="0.3"/>
    <row r="1798" s="778" customFormat="1" ht="12.75" customHeight="1" x14ac:dyDescent="0.3"/>
    <row r="1799" s="778" customFormat="1" ht="12.75" customHeight="1" x14ac:dyDescent="0.3"/>
    <row r="1800" s="778" customFormat="1" ht="12.75" customHeight="1" x14ac:dyDescent="0.3"/>
    <row r="1801" s="778" customFormat="1" ht="12.75" customHeight="1" x14ac:dyDescent="0.3"/>
    <row r="1802" s="778" customFormat="1" ht="12.75" customHeight="1" x14ac:dyDescent="0.3"/>
    <row r="1803" s="778" customFormat="1" ht="12.75" customHeight="1" x14ac:dyDescent="0.3"/>
    <row r="1804" s="778" customFormat="1" ht="12.75" customHeight="1" x14ac:dyDescent="0.3"/>
    <row r="1805" s="778" customFormat="1" ht="12.75" customHeight="1" x14ac:dyDescent="0.3"/>
    <row r="1806" s="778" customFormat="1" ht="12.75" customHeight="1" x14ac:dyDescent="0.3"/>
    <row r="1807" s="778" customFormat="1" ht="12.75" customHeight="1" x14ac:dyDescent="0.3"/>
    <row r="1808" s="778" customFormat="1" ht="12.75" customHeight="1" x14ac:dyDescent="0.3"/>
    <row r="1809" s="778" customFormat="1" ht="12.75" customHeight="1" x14ac:dyDescent="0.3"/>
    <row r="1810" s="778" customFormat="1" ht="12.75" customHeight="1" x14ac:dyDescent="0.3"/>
    <row r="1811" s="778" customFormat="1" ht="12.75" customHeight="1" x14ac:dyDescent="0.3"/>
    <row r="1812" s="778" customFormat="1" ht="12.75" customHeight="1" x14ac:dyDescent="0.3"/>
    <row r="1813" s="778" customFormat="1" ht="12.75" customHeight="1" x14ac:dyDescent="0.3"/>
    <row r="1814" s="778" customFormat="1" ht="12.75" customHeight="1" x14ac:dyDescent="0.3"/>
    <row r="1815" s="778" customFormat="1" ht="12.75" customHeight="1" x14ac:dyDescent="0.3"/>
    <row r="1816" s="778" customFormat="1" ht="12.75" customHeight="1" x14ac:dyDescent="0.3"/>
    <row r="1817" s="778" customFormat="1" ht="12.75" customHeight="1" x14ac:dyDescent="0.3"/>
    <row r="1818" s="778" customFormat="1" ht="12.75" customHeight="1" x14ac:dyDescent="0.3"/>
    <row r="1819" s="778" customFormat="1" ht="12.75" customHeight="1" x14ac:dyDescent="0.3"/>
    <row r="1820" s="778" customFormat="1" ht="12.75" customHeight="1" x14ac:dyDescent="0.3"/>
    <row r="1821" s="778" customFormat="1" ht="12.75" customHeight="1" x14ac:dyDescent="0.3"/>
    <row r="1822" s="778" customFormat="1" ht="12.75" customHeight="1" x14ac:dyDescent="0.3"/>
    <row r="1823" s="778" customFormat="1" ht="12.75" customHeight="1" x14ac:dyDescent="0.3"/>
    <row r="1824" s="778" customFormat="1" ht="12.75" customHeight="1" x14ac:dyDescent="0.3"/>
    <row r="1825" s="778" customFormat="1" ht="12.75" customHeight="1" x14ac:dyDescent="0.3"/>
    <row r="1826" s="778" customFormat="1" ht="12.75" customHeight="1" x14ac:dyDescent="0.3"/>
    <row r="1827" s="778" customFormat="1" ht="12.75" customHeight="1" x14ac:dyDescent="0.3"/>
    <row r="1828" s="778" customFormat="1" ht="12.75" customHeight="1" x14ac:dyDescent="0.3"/>
    <row r="1829" s="778" customFormat="1" ht="12.75" customHeight="1" x14ac:dyDescent="0.3"/>
    <row r="1830" s="778" customFormat="1" ht="12.75" customHeight="1" x14ac:dyDescent="0.3"/>
    <row r="1831" s="778" customFormat="1" ht="12.75" customHeight="1" x14ac:dyDescent="0.3"/>
    <row r="1832" s="778" customFormat="1" ht="12.75" customHeight="1" x14ac:dyDescent="0.3"/>
    <row r="1833" s="778" customFormat="1" ht="12.75" customHeight="1" x14ac:dyDescent="0.3"/>
    <row r="1834" s="778" customFormat="1" ht="12.75" customHeight="1" x14ac:dyDescent="0.3"/>
    <row r="1835" s="778" customFormat="1" ht="12.75" customHeight="1" x14ac:dyDescent="0.3"/>
    <row r="1836" s="778" customFormat="1" ht="12.75" customHeight="1" x14ac:dyDescent="0.3"/>
    <row r="1837" s="778" customFormat="1" ht="12.75" customHeight="1" x14ac:dyDescent="0.3"/>
    <row r="1838" s="778" customFormat="1" ht="12.75" customHeight="1" x14ac:dyDescent="0.3"/>
    <row r="1839" s="778" customFormat="1" ht="12.75" customHeight="1" x14ac:dyDescent="0.3"/>
    <row r="1840" s="778" customFormat="1" ht="12.75" customHeight="1" x14ac:dyDescent="0.3"/>
    <row r="1841" s="778" customFormat="1" ht="12.75" customHeight="1" x14ac:dyDescent="0.3"/>
    <row r="1842" s="778" customFormat="1" ht="12.75" customHeight="1" x14ac:dyDescent="0.3"/>
    <row r="1843" s="778" customFormat="1" ht="12.75" customHeight="1" x14ac:dyDescent="0.3"/>
    <row r="1844" s="778" customFormat="1" ht="12.75" customHeight="1" x14ac:dyDescent="0.3"/>
    <row r="1845" s="778" customFormat="1" ht="12.75" customHeight="1" x14ac:dyDescent="0.3"/>
    <row r="1846" s="778" customFormat="1" ht="12.75" customHeight="1" x14ac:dyDescent="0.3"/>
    <row r="1847" s="778" customFormat="1" ht="12.75" customHeight="1" x14ac:dyDescent="0.3"/>
    <row r="1848" s="778" customFormat="1" ht="12.75" customHeight="1" x14ac:dyDescent="0.3"/>
    <row r="1849" s="778" customFormat="1" ht="12.75" customHeight="1" x14ac:dyDescent="0.3"/>
    <row r="1850" s="778" customFormat="1" ht="12.75" customHeight="1" x14ac:dyDescent="0.3"/>
    <row r="1851" s="778" customFormat="1" ht="12.75" customHeight="1" x14ac:dyDescent="0.3"/>
    <row r="1852" s="778" customFormat="1" ht="12.75" customHeight="1" x14ac:dyDescent="0.3"/>
    <row r="1853" s="778" customFormat="1" ht="12.75" customHeight="1" x14ac:dyDescent="0.3"/>
    <row r="1854" s="778" customFormat="1" ht="12.75" customHeight="1" x14ac:dyDescent="0.3"/>
    <row r="1855" s="778" customFormat="1" ht="12.75" customHeight="1" x14ac:dyDescent="0.3"/>
    <row r="1856" s="778" customFormat="1" ht="12.75" customHeight="1" x14ac:dyDescent="0.3"/>
    <row r="1857" s="778" customFormat="1" ht="12.75" customHeight="1" x14ac:dyDescent="0.3"/>
    <row r="1858" s="778" customFormat="1" ht="12.75" customHeight="1" x14ac:dyDescent="0.3"/>
    <row r="1859" s="778" customFormat="1" ht="12.75" customHeight="1" x14ac:dyDescent="0.3"/>
    <row r="1860" s="778" customFormat="1" ht="12.75" customHeight="1" x14ac:dyDescent="0.3"/>
    <row r="1861" s="778" customFormat="1" ht="12.75" customHeight="1" x14ac:dyDescent="0.3"/>
    <row r="1862" s="778" customFormat="1" ht="12.75" customHeight="1" x14ac:dyDescent="0.3"/>
    <row r="1863" s="778" customFormat="1" ht="12.75" customHeight="1" x14ac:dyDescent="0.3"/>
    <row r="1864" s="778" customFormat="1" ht="12.75" customHeight="1" x14ac:dyDescent="0.3"/>
    <row r="1865" s="778" customFormat="1" ht="12.75" customHeight="1" x14ac:dyDescent="0.3"/>
    <row r="1866" s="778" customFormat="1" ht="12.75" customHeight="1" x14ac:dyDescent="0.3"/>
    <row r="1867" s="778" customFormat="1" ht="12.75" customHeight="1" x14ac:dyDescent="0.3"/>
    <row r="1868" s="778" customFormat="1" ht="12.75" customHeight="1" x14ac:dyDescent="0.3"/>
    <row r="1869" s="778" customFormat="1" ht="12.75" customHeight="1" x14ac:dyDescent="0.3"/>
    <row r="1870" s="778" customFormat="1" ht="12.75" customHeight="1" x14ac:dyDescent="0.3"/>
    <row r="1871" s="778" customFormat="1" ht="12.75" customHeight="1" x14ac:dyDescent="0.3"/>
    <row r="1872" s="778" customFormat="1" ht="12.75" customHeight="1" x14ac:dyDescent="0.3"/>
    <row r="1873" s="778" customFormat="1" ht="12.75" customHeight="1" x14ac:dyDescent="0.3"/>
    <row r="1874" s="778" customFormat="1" ht="12.75" customHeight="1" x14ac:dyDescent="0.3"/>
    <row r="1875" s="778" customFormat="1" ht="12.75" customHeight="1" x14ac:dyDescent="0.3"/>
    <row r="1876" s="778" customFormat="1" ht="12.75" customHeight="1" x14ac:dyDescent="0.3"/>
    <row r="1877" s="778" customFormat="1" ht="12.75" customHeight="1" x14ac:dyDescent="0.3"/>
    <row r="1878" s="778" customFormat="1" ht="12.75" customHeight="1" x14ac:dyDescent="0.3"/>
    <row r="1879" s="778" customFormat="1" ht="12.75" customHeight="1" x14ac:dyDescent="0.3"/>
    <row r="1880" s="778" customFormat="1" ht="12.75" customHeight="1" x14ac:dyDescent="0.3"/>
    <row r="1881" s="778" customFormat="1" ht="12.75" customHeight="1" x14ac:dyDescent="0.3"/>
    <row r="1882" s="778" customFormat="1" ht="12.75" customHeight="1" x14ac:dyDescent="0.3"/>
    <row r="1883" s="778" customFormat="1" ht="12.75" customHeight="1" x14ac:dyDescent="0.3"/>
    <row r="1884" s="778" customFormat="1" ht="12.75" customHeight="1" x14ac:dyDescent="0.3"/>
    <row r="1885" s="778" customFormat="1" ht="12.75" customHeight="1" x14ac:dyDescent="0.3"/>
    <row r="1886" s="778" customFormat="1" ht="12.75" customHeight="1" x14ac:dyDescent="0.3"/>
    <row r="1887" s="778" customFormat="1" ht="12.75" customHeight="1" x14ac:dyDescent="0.3"/>
    <row r="1888" s="778" customFormat="1" ht="12.75" customHeight="1" x14ac:dyDescent="0.3"/>
    <row r="1889" s="778" customFormat="1" ht="12.75" customHeight="1" x14ac:dyDescent="0.3"/>
    <row r="1890" s="778" customFormat="1" ht="12.75" customHeight="1" x14ac:dyDescent="0.3"/>
    <row r="1891" s="778" customFormat="1" ht="12.75" customHeight="1" x14ac:dyDescent="0.3"/>
    <row r="1892" s="778" customFormat="1" ht="12.75" customHeight="1" x14ac:dyDescent="0.3"/>
    <row r="1893" s="778" customFormat="1" ht="12.75" customHeight="1" x14ac:dyDescent="0.3"/>
    <row r="1894" s="778" customFormat="1" ht="12.75" customHeight="1" x14ac:dyDescent="0.3"/>
    <row r="1895" s="778" customFormat="1" ht="12.75" customHeight="1" x14ac:dyDescent="0.3"/>
    <row r="1896" s="778" customFormat="1" ht="12.75" customHeight="1" x14ac:dyDescent="0.3"/>
    <row r="1897" s="778" customFormat="1" ht="12.75" customHeight="1" x14ac:dyDescent="0.3"/>
    <row r="1898" s="778" customFormat="1" ht="12.75" customHeight="1" x14ac:dyDescent="0.3"/>
    <row r="1899" s="778" customFormat="1" ht="12.75" customHeight="1" x14ac:dyDescent="0.3"/>
    <row r="1900" s="778" customFormat="1" ht="12.75" customHeight="1" x14ac:dyDescent="0.3"/>
    <row r="1901" s="778" customFormat="1" ht="12.75" customHeight="1" x14ac:dyDescent="0.3"/>
    <row r="1902" s="778" customFormat="1" ht="12.75" customHeight="1" x14ac:dyDescent="0.3"/>
    <row r="1903" s="778" customFormat="1" ht="12.75" customHeight="1" x14ac:dyDescent="0.3"/>
    <row r="1904" s="778" customFormat="1" ht="12.75" customHeight="1" x14ac:dyDescent="0.3"/>
    <row r="1905" s="778" customFormat="1" ht="12.75" customHeight="1" x14ac:dyDescent="0.3"/>
    <row r="1906" s="778" customFormat="1" ht="12.75" customHeight="1" x14ac:dyDescent="0.3"/>
    <row r="1907" s="778" customFormat="1" ht="12.75" customHeight="1" x14ac:dyDescent="0.3"/>
    <row r="1908" s="778" customFormat="1" ht="12.75" customHeight="1" x14ac:dyDescent="0.3"/>
    <row r="1909" s="778" customFormat="1" ht="12.75" customHeight="1" x14ac:dyDescent="0.3"/>
    <row r="1910" s="778" customFormat="1" ht="12.75" customHeight="1" x14ac:dyDescent="0.3"/>
    <row r="1911" s="778" customFormat="1" ht="12.75" customHeight="1" x14ac:dyDescent="0.3"/>
    <row r="1912" s="778" customFormat="1" ht="12.75" customHeight="1" x14ac:dyDescent="0.3"/>
    <row r="1913" s="778" customFormat="1" ht="12.75" customHeight="1" x14ac:dyDescent="0.3"/>
    <row r="1914" s="778" customFormat="1" ht="12.75" customHeight="1" x14ac:dyDescent="0.3"/>
    <row r="1915" s="778" customFormat="1" ht="12.75" customHeight="1" x14ac:dyDescent="0.3"/>
    <row r="1916" s="778" customFormat="1" ht="12.75" customHeight="1" x14ac:dyDescent="0.3"/>
    <row r="1917" s="778" customFormat="1" ht="12.75" customHeight="1" x14ac:dyDescent="0.3"/>
    <row r="1918" s="778" customFormat="1" ht="12.75" customHeight="1" x14ac:dyDescent="0.3"/>
    <row r="1919" s="778" customFormat="1" ht="12.75" customHeight="1" x14ac:dyDescent="0.3"/>
    <row r="1920" s="778" customFormat="1" ht="12.75" customHeight="1" x14ac:dyDescent="0.3"/>
    <row r="1921" s="778" customFormat="1" ht="12.75" customHeight="1" x14ac:dyDescent="0.3"/>
    <row r="1922" s="778" customFormat="1" ht="12.75" customHeight="1" x14ac:dyDescent="0.3"/>
    <row r="1923" s="778" customFormat="1" ht="12.75" customHeight="1" x14ac:dyDescent="0.3"/>
    <row r="1924" s="778" customFormat="1" ht="12.75" customHeight="1" x14ac:dyDescent="0.3"/>
    <row r="1925" s="778" customFormat="1" ht="12.75" customHeight="1" x14ac:dyDescent="0.3"/>
    <row r="1926" s="778" customFormat="1" ht="12.75" customHeight="1" x14ac:dyDescent="0.3"/>
    <row r="1927" s="778" customFormat="1" ht="12.75" customHeight="1" x14ac:dyDescent="0.3"/>
    <row r="1928" s="778" customFormat="1" ht="12.75" customHeight="1" x14ac:dyDescent="0.3"/>
    <row r="1929" s="778" customFormat="1" ht="12.75" customHeight="1" x14ac:dyDescent="0.3"/>
    <row r="1930" s="778" customFormat="1" ht="12.75" customHeight="1" x14ac:dyDescent="0.3"/>
    <row r="1931" s="778" customFormat="1" ht="12.75" customHeight="1" x14ac:dyDescent="0.3"/>
    <row r="1932" s="778" customFormat="1" ht="12.75" customHeight="1" x14ac:dyDescent="0.3"/>
    <row r="1933" s="778" customFormat="1" ht="12.75" customHeight="1" x14ac:dyDescent="0.3"/>
    <row r="1934" s="778" customFormat="1" ht="12.75" customHeight="1" x14ac:dyDescent="0.3"/>
    <row r="1935" s="778" customFormat="1" ht="12.75" customHeight="1" x14ac:dyDescent="0.3"/>
    <row r="1936" s="778" customFormat="1" ht="12.75" customHeight="1" x14ac:dyDescent="0.3"/>
    <row r="1937" s="778" customFormat="1" ht="12.75" customHeight="1" x14ac:dyDescent="0.3"/>
    <row r="1938" s="778" customFormat="1" ht="12.75" customHeight="1" x14ac:dyDescent="0.3"/>
    <row r="1939" s="778" customFormat="1" ht="12.75" customHeight="1" x14ac:dyDescent="0.3"/>
    <row r="1940" s="778" customFormat="1" ht="12.75" customHeight="1" x14ac:dyDescent="0.3"/>
    <row r="1941" s="778" customFormat="1" ht="12.75" customHeight="1" x14ac:dyDescent="0.3"/>
    <row r="1942" s="778" customFormat="1" ht="12.75" customHeight="1" x14ac:dyDescent="0.3"/>
    <row r="1943" s="778" customFormat="1" ht="12.75" customHeight="1" x14ac:dyDescent="0.3"/>
    <row r="1944" s="778" customFormat="1" ht="12.75" customHeight="1" x14ac:dyDescent="0.3"/>
    <row r="1945" s="778" customFormat="1" ht="12.75" customHeight="1" x14ac:dyDescent="0.3"/>
    <row r="1946" s="778" customFormat="1" ht="12.75" customHeight="1" x14ac:dyDescent="0.3"/>
    <row r="1947" s="778" customFormat="1" ht="12.75" customHeight="1" x14ac:dyDescent="0.3"/>
    <row r="1948" s="778" customFormat="1" ht="12.75" customHeight="1" x14ac:dyDescent="0.3"/>
    <row r="1949" s="778" customFormat="1" ht="12.75" customHeight="1" x14ac:dyDescent="0.3"/>
    <row r="1950" s="778" customFormat="1" ht="12.75" customHeight="1" x14ac:dyDescent="0.3"/>
    <row r="1951" s="778" customFormat="1" ht="12.75" customHeight="1" x14ac:dyDescent="0.3"/>
    <row r="1952" s="778" customFormat="1" ht="12.75" customHeight="1" x14ac:dyDescent="0.3"/>
    <row r="1953" s="778" customFormat="1" ht="12.75" customHeight="1" x14ac:dyDescent="0.3"/>
    <row r="1954" s="778" customFormat="1" ht="12.75" customHeight="1" x14ac:dyDescent="0.3"/>
    <row r="1955" s="778" customFormat="1" ht="12.75" customHeight="1" x14ac:dyDescent="0.3"/>
    <row r="1956" s="778" customFormat="1" ht="12.75" customHeight="1" x14ac:dyDescent="0.3"/>
    <row r="1957" s="778" customFormat="1" ht="12.75" customHeight="1" x14ac:dyDescent="0.3"/>
    <row r="1958" s="778" customFormat="1" ht="12.75" customHeight="1" x14ac:dyDescent="0.3"/>
    <row r="1959" s="778" customFormat="1" ht="12.75" customHeight="1" x14ac:dyDescent="0.3"/>
    <row r="1960" s="778" customFormat="1" ht="12.75" customHeight="1" x14ac:dyDescent="0.3"/>
    <row r="1961" s="778" customFormat="1" ht="12.75" customHeight="1" x14ac:dyDescent="0.3"/>
    <row r="1962" s="778" customFormat="1" ht="12.75" customHeight="1" x14ac:dyDescent="0.3"/>
    <row r="1963" s="778" customFormat="1" ht="12.75" customHeight="1" x14ac:dyDescent="0.3"/>
    <row r="1964" s="778" customFormat="1" ht="12.75" customHeight="1" x14ac:dyDescent="0.3"/>
    <row r="1965" s="778" customFormat="1" ht="12.75" customHeight="1" x14ac:dyDescent="0.3"/>
    <row r="1966" s="778" customFormat="1" ht="12.75" customHeight="1" x14ac:dyDescent="0.3"/>
    <row r="1967" s="778" customFormat="1" ht="12.75" customHeight="1" x14ac:dyDescent="0.3"/>
    <row r="1968" s="778" customFormat="1" ht="12.75" customHeight="1" x14ac:dyDescent="0.3"/>
    <row r="1969" s="778" customFormat="1" ht="12.75" customHeight="1" x14ac:dyDescent="0.3"/>
    <row r="1970" s="778" customFormat="1" ht="12.75" customHeight="1" x14ac:dyDescent="0.3"/>
    <row r="1971" s="778" customFormat="1" ht="12.75" customHeight="1" x14ac:dyDescent="0.3"/>
    <row r="1972" s="778" customFormat="1" ht="12.75" customHeight="1" x14ac:dyDescent="0.3"/>
    <row r="1973" s="778" customFormat="1" ht="12.75" customHeight="1" x14ac:dyDescent="0.3"/>
    <row r="1974" s="778" customFormat="1" ht="12.75" customHeight="1" x14ac:dyDescent="0.3"/>
    <row r="1975" s="778" customFormat="1" ht="12.75" customHeight="1" x14ac:dyDescent="0.3"/>
    <row r="1976" s="778" customFormat="1" ht="12.75" customHeight="1" x14ac:dyDescent="0.3"/>
    <row r="1977" s="778" customFormat="1" ht="12.75" customHeight="1" x14ac:dyDescent="0.3"/>
    <row r="1978" s="778" customFormat="1" ht="12.75" customHeight="1" x14ac:dyDescent="0.3"/>
    <row r="1979" s="778" customFormat="1" ht="12.75" customHeight="1" x14ac:dyDescent="0.3"/>
    <row r="1980" s="778" customFormat="1" ht="12.75" customHeight="1" x14ac:dyDescent="0.3"/>
    <row r="1981" s="778" customFormat="1" ht="12.75" customHeight="1" x14ac:dyDescent="0.3"/>
    <row r="1982" s="778" customFormat="1" ht="12.75" customHeight="1" x14ac:dyDescent="0.3"/>
    <row r="1983" s="778" customFormat="1" ht="12.75" customHeight="1" x14ac:dyDescent="0.3"/>
    <row r="1984" s="778" customFormat="1" ht="12.75" customHeight="1" x14ac:dyDescent="0.3"/>
    <row r="1985" s="778" customFormat="1" ht="12.75" customHeight="1" x14ac:dyDescent="0.3"/>
    <row r="1986" s="778" customFormat="1" ht="12.75" customHeight="1" x14ac:dyDescent="0.3"/>
    <row r="1987" s="778" customFormat="1" ht="12.75" customHeight="1" x14ac:dyDescent="0.3"/>
    <row r="1988" s="778" customFormat="1" ht="12.75" customHeight="1" x14ac:dyDescent="0.3"/>
    <row r="1989" s="778" customFormat="1" ht="12.75" customHeight="1" x14ac:dyDescent="0.3"/>
    <row r="1990" s="778" customFormat="1" ht="12.75" customHeight="1" x14ac:dyDescent="0.3"/>
    <row r="1991" s="778" customFormat="1" ht="12.75" customHeight="1" x14ac:dyDescent="0.3"/>
    <row r="1992" s="778" customFormat="1" ht="12.75" customHeight="1" x14ac:dyDescent="0.3"/>
    <row r="1993" s="778" customFormat="1" ht="12.75" customHeight="1" x14ac:dyDescent="0.3"/>
    <row r="1994" s="778" customFormat="1" ht="12.75" customHeight="1" x14ac:dyDescent="0.3"/>
    <row r="1995" s="778" customFormat="1" ht="12.75" customHeight="1" x14ac:dyDescent="0.3"/>
    <row r="1996" s="778" customFormat="1" ht="12.75" customHeight="1" x14ac:dyDescent="0.3"/>
    <row r="1997" s="778" customFormat="1" ht="12.75" customHeight="1" x14ac:dyDescent="0.3"/>
    <row r="1998" s="778" customFormat="1" ht="12.75" customHeight="1" x14ac:dyDescent="0.3"/>
    <row r="1999" s="778" customFormat="1" ht="12.75" customHeight="1" x14ac:dyDescent="0.3"/>
    <row r="2000" s="778" customFormat="1" ht="12.75" customHeight="1" x14ac:dyDescent="0.3"/>
    <row r="2001" s="778" customFormat="1" ht="12.75" customHeight="1" x14ac:dyDescent="0.3"/>
    <row r="2002" s="778" customFormat="1" ht="12.75" customHeight="1" x14ac:dyDescent="0.3"/>
    <row r="2003" s="778" customFormat="1" ht="12.75" customHeight="1" x14ac:dyDescent="0.3"/>
    <row r="2004" s="778" customFormat="1" ht="12.75" customHeight="1" x14ac:dyDescent="0.3"/>
    <row r="2005" s="778" customFormat="1" ht="12.75" customHeight="1" x14ac:dyDescent="0.3"/>
    <row r="2006" s="778" customFormat="1" ht="12.75" customHeight="1" x14ac:dyDescent="0.3"/>
    <row r="2007" s="778" customFormat="1" ht="12.75" customHeight="1" x14ac:dyDescent="0.3"/>
    <row r="2008" s="778" customFormat="1" ht="12.75" customHeight="1" x14ac:dyDescent="0.3"/>
    <row r="2009" s="778" customFormat="1" ht="12.75" customHeight="1" x14ac:dyDescent="0.3"/>
    <row r="2010" s="778" customFormat="1" ht="12.75" customHeight="1" x14ac:dyDescent="0.3"/>
    <row r="2011" s="778" customFormat="1" ht="12.75" customHeight="1" x14ac:dyDescent="0.3"/>
    <row r="2012" s="778" customFormat="1" ht="12.75" customHeight="1" x14ac:dyDescent="0.3"/>
    <row r="2013" s="778" customFormat="1" ht="12.75" customHeight="1" x14ac:dyDescent="0.3"/>
    <row r="2014" s="778" customFormat="1" ht="12.75" customHeight="1" x14ac:dyDescent="0.3"/>
    <row r="2015" s="778" customFormat="1" ht="12.75" customHeight="1" x14ac:dyDescent="0.3"/>
    <row r="2016" s="778" customFormat="1" ht="12.75" customHeight="1" x14ac:dyDescent="0.3"/>
    <row r="2017" s="778" customFormat="1" ht="12.75" customHeight="1" x14ac:dyDescent="0.3"/>
    <row r="2018" s="778" customFormat="1" ht="12.75" customHeight="1" x14ac:dyDescent="0.3"/>
    <row r="2019" s="778" customFormat="1" ht="12.75" customHeight="1" x14ac:dyDescent="0.3"/>
    <row r="2020" s="778" customFormat="1" ht="12.75" customHeight="1" x14ac:dyDescent="0.3"/>
    <row r="2021" s="778" customFormat="1" ht="12.75" customHeight="1" x14ac:dyDescent="0.3"/>
    <row r="2022" s="778" customFormat="1" ht="12.75" customHeight="1" x14ac:dyDescent="0.3"/>
    <row r="2023" s="778" customFormat="1" ht="12.75" customHeight="1" x14ac:dyDescent="0.3"/>
    <row r="2024" s="778" customFormat="1" ht="12.75" customHeight="1" x14ac:dyDescent="0.3"/>
    <row r="2025" s="778" customFormat="1" ht="12.75" customHeight="1" x14ac:dyDescent="0.3"/>
    <row r="2026" s="778" customFormat="1" ht="12.75" customHeight="1" x14ac:dyDescent="0.3"/>
    <row r="2027" s="778" customFormat="1" ht="12.75" customHeight="1" x14ac:dyDescent="0.3"/>
    <row r="2028" s="778" customFormat="1" ht="12.75" customHeight="1" x14ac:dyDescent="0.3"/>
    <row r="2029" s="778" customFormat="1" ht="12.75" customHeight="1" x14ac:dyDescent="0.3"/>
    <row r="2030" s="778" customFormat="1" ht="12.75" customHeight="1" x14ac:dyDescent="0.3"/>
    <row r="2031" s="778" customFormat="1" ht="12.75" customHeight="1" x14ac:dyDescent="0.3"/>
    <row r="2032" s="778" customFormat="1" ht="12.75" customHeight="1" x14ac:dyDescent="0.3"/>
    <row r="2033" s="778" customFormat="1" ht="12.75" customHeight="1" x14ac:dyDescent="0.3"/>
    <row r="2034" s="778" customFormat="1" ht="12.75" customHeight="1" x14ac:dyDescent="0.3"/>
    <row r="2035" s="778" customFormat="1" ht="12.75" customHeight="1" x14ac:dyDescent="0.3"/>
    <row r="2036" s="778" customFormat="1" ht="12.75" customHeight="1" x14ac:dyDescent="0.3"/>
    <row r="2037" s="778" customFormat="1" ht="12.75" customHeight="1" x14ac:dyDescent="0.3"/>
    <row r="2038" s="778" customFormat="1" ht="12.75" customHeight="1" x14ac:dyDescent="0.3"/>
    <row r="2039" s="778" customFormat="1" ht="12.75" customHeight="1" x14ac:dyDescent="0.3"/>
    <row r="2040" s="778" customFormat="1" ht="12.75" customHeight="1" x14ac:dyDescent="0.3"/>
    <row r="2041" s="778" customFormat="1" ht="12.75" customHeight="1" x14ac:dyDescent="0.3"/>
    <row r="2042" s="778" customFormat="1" ht="12.75" customHeight="1" x14ac:dyDescent="0.3"/>
    <row r="2043" s="778" customFormat="1" ht="12.75" customHeight="1" x14ac:dyDescent="0.3"/>
    <row r="2044" s="778" customFormat="1" ht="12.75" customHeight="1" x14ac:dyDescent="0.3"/>
    <row r="2045" s="778" customFormat="1" ht="12.75" customHeight="1" x14ac:dyDescent="0.3"/>
    <row r="2046" s="778" customFormat="1" ht="12.75" customHeight="1" x14ac:dyDescent="0.3"/>
    <row r="2047" s="778" customFormat="1" ht="12.75" customHeight="1" x14ac:dyDescent="0.3"/>
    <row r="2048" s="778" customFormat="1" ht="12.75" customHeight="1" x14ac:dyDescent="0.3"/>
    <row r="2049" s="778" customFormat="1" ht="12.75" customHeight="1" x14ac:dyDescent="0.3"/>
    <row r="2050" s="778" customFormat="1" ht="12.75" customHeight="1" x14ac:dyDescent="0.3"/>
    <row r="2051" s="778" customFormat="1" ht="12.75" customHeight="1" x14ac:dyDescent="0.3"/>
    <row r="2052" s="778" customFormat="1" ht="12.75" customHeight="1" x14ac:dyDescent="0.3"/>
    <row r="2053" s="778" customFormat="1" ht="12.75" customHeight="1" x14ac:dyDescent="0.3"/>
    <row r="2054" s="778" customFormat="1" ht="12.75" customHeight="1" x14ac:dyDescent="0.3"/>
    <row r="2055" s="778" customFormat="1" ht="12.75" customHeight="1" x14ac:dyDescent="0.3"/>
    <row r="2056" s="778" customFormat="1" ht="12.75" customHeight="1" x14ac:dyDescent="0.3"/>
    <row r="2057" s="778" customFormat="1" ht="12.75" customHeight="1" x14ac:dyDescent="0.3"/>
    <row r="2058" s="778" customFormat="1" ht="12.75" customHeight="1" x14ac:dyDescent="0.3"/>
    <row r="2059" s="778" customFormat="1" ht="12.75" customHeight="1" x14ac:dyDescent="0.3"/>
    <row r="2060" s="778" customFormat="1" ht="12.75" customHeight="1" x14ac:dyDescent="0.3"/>
    <row r="2061" s="778" customFormat="1" ht="12.75" customHeight="1" x14ac:dyDescent="0.3"/>
    <row r="2062" s="778" customFormat="1" ht="12.75" customHeight="1" x14ac:dyDescent="0.3"/>
    <row r="2063" s="778" customFormat="1" ht="12.75" customHeight="1" x14ac:dyDescent="0.3"/>
    <row r="2064" s="778" customFormat="1" ht="12.75" customHeight="1" x14ac:dyDescent="0.3"/>
    <row r="2065" s="778" customFormat="1" ht="12.75" customHeight="1" x14ac:dyDescent="0.3"/>
    <row r="2066" s="778" customFormat="1" ht="12.75" customHeight="1" x14ac:dyDescent="0.3"/>
    <row r="2067" s="778" customFormat="1" ht="12.75" customHeight="1" x14ac:dyDescent="0.3"/>
    <row r="2068" s="778" customFormat="1" ht="12.75" customHeight="1" x14ac:dyDescent="0.3"/>
    <row r="2069" s="778" customFormat="1" ht="12.75" customHeight="1" x14ac:dyDescent="0.3"/>
    <row r="2070" s="778" customFormat="1" ht="12.75" customHeight="1" x14ac:dyDescent="0.3"/>
    <row r="2071" s="778" customFormat="1" ht="12.75" customHeight="1" x14ac:dyDescent="0.3"/>
    <row r="2072" s="778" customFormat="1" ht="12.75" customHeight="1" x14ac:dyDescent="0.3"/>
    <row r="2073" s="778" customFormat="1" ht="12.75" customHeight="1" x14ac:dyDescent="0.3"/>
    <row r="2074" s="778" customFormat="1" ht="12.75" customHeight="1" x14ac:dyDescent="0.3"/>
    <row r="2075" s="778" customFormat="1" ht="12.75" customHeight="1" x14ac:dyDescent="0.3"/>
    <row r="2076" s="778" customFormat="1" ht="12.75" customHeight="1" x14ac:dyDescent="0.3"/>
    <row r="2077" s="778" customFormat="1" ht="12.75" customHeight="1" x14ac:dyDescent="0.3"/>
    <row r="2078" s="778" customFormat="1" ht="12.75" customHeight="1" x14ac:dyDescent="0.3"/>
    <row r="2079" s="778" customFormat="1" ht="12.75" customHeight="1" x14ac:dyDescent="0.3"/>
    <row r="2080" s="778" customFormat="1" ht="12.75" customHeight="1" x14ac:dyDescent="0.3"/>
    <row r="2081" s="778" customFormat="1" ht="12.75" customHeight="1" x14ac:dyDescent="0.3"/>
    <row r="2082" s="778" customFormat="1" ht="12.75" customHeight="1" x14ac:dyDescent="0.3"/>
    <row r="2083" s="778" customFormat="1" ht="12.75" customHeight="1" x14ac:dyDescent="0.3"/>
    <row r="2084" s="778" customFormat="1" ht="12.75" customHeight="1" x14ac:dyDescent="0.3"/>
    <row r="2085" s="778" customFormat="1" ht="12.75" customHeight="1" x14ac:dyDescent="0.3"/>
    <row r="2086" s="778" customFormat="1" ht="12.75" customHeight="1" x14ac:dyDescent="0.3"/>
    <row r="2087" s="778" customFormat="1" ht="12.75" customHeight="1" x14ac:dyDescent="0.3"/>
    <row r="2088" s="778" customFormat="1" ht="12.75" customHeight="1" x14ac:dyDescent="0.3"/>
    <row r="2089" s="778" customFormat="1" ht="12.75" customHeight="1" x14ac:dyDescent="0.3"/>
    <row r="2090" s="778" customFormat="1" ht="12.75" customHeight="1" x14ac:dyDescent="0.3"/>
    <row r="2091" s="778" customFormat="1" ht="12.75" customHeight="1" x14ac:dyDescent="0.3"/>
    <row r="2092" s="778" customFormat="1" ht="12.75" customHeight="1" x14ac:dyDescent="0.3"/>
    <row r="2093" s="778" customFormat="1" ht="12.75" customHeight="1" x14ac:dyDescent="0.3"/>
    <row r="2094" s="778" customFormat="1" ht="12.75" customHeight="1" x14ac:dyDescent="0.3"/>
    <row r="2095" s="778" customFormat="1" ht="12.75" customHeight="1" x14ac:dyDescent="0.3"/>
    <row r="2096" s="778" customFormat="1" ht="12.75" customHeight="1" x14ac:dyDescent="0.3"/>
    <row r="2097" s="778" customFormat="1" ht="12.75" customHeight="1" x14ac:dyDescent="0.3"/>
    <row r="2098" s="778" customFormat="1" ht="12.75" customHeight="1" x14ac:dyDescent="0.3"/>
    <row r="2099" s="778" customFormat="1" ht="12.75" customHeight="1" x14ac:dyDescent="0.3"/>
    <row r="2100" s="778" customFormat="1" ht="12.75" customHeight="1" x14ac:dyDescent="0.3"/>
    <row r="2101" s="778" customFormat="1" ht="12.75" customHeight="1" x14ac:dyDescent="0.3"/>
    <row r="2102" s="778" customFormat="1" ht="12.75" customHeight="1" x14ac:dyDescent="0.3"/>
    <row r="2103" s="778" customFormat="1" ht="12.75" customHeight="1" x14ac:dyDescent="0.3"/>
    <row r="2104" s="778" customFormat="1" ht="12.75" customHeight="1" x14ac:dyDescent="0.3"/>
    <row r="2105" s="778" customFormat="1" ht="12.75" customHeight="1" x14ac:dyDescent="0.3"/>
    <row r="2106" s="778" customFormat="1" ht="12.75" customHeight="1" x14ac:dyDescent="0.3"/>
    <row r="2107" s="778" customFormat="1" ht="12.75" customHeight="1" x14ac:dyDescent="0.3"/>
    <row r="2108" s="778" customFormat="1" ht="12.75" customHeight="1" x14ac:dyDescent="0.3"/>
    <row r="2109" s="778" customFormat="1" ht="12.75" customHeight="1" x14ac:dyDescent="0.3"/>
    <row r="2110" s="778" customFormat="1" ht="12.75" customHeight="1" x14ac:dyDescent="0.3"/>
    <row r="2111" s="778" customFormat="1" ht="12.75" customHeight="1" x14ac:dyDescent="0.3"/>
    <row r="2112" s="778" customFormat="1" ht="12.75" customHeight="1" x14ac:dyDescent="0.3"/>
    <row r="2113" s="778" customFormat="1" ht="12.75" customHeight="1" x14ac:dyDescent="0.3"/>
    <row r="2114" s="778" customFormat="1" ht="12.75" customHeight="1" x14ac:dyDescent="0.3"/>
    <row r="2115" s="778" customFormat="1" ht="12.75" customHeight="1" x14ac:dyDescent="0.3"/>
    <row r="2116" s="778" customFormat="1" ht="12.75" customHeight="1" x14ac:dyDescent="0.3"/>
    <row r="2117" s="778" customFormat="1" ht="12.75" customHeight="1" x14ac:dyDescent="0.3"/>
    <row r="2118" s="778" customFormat="1" ht="12.75" customHeight="1" x14ac:dyDescent="0.3"/>
    <row r="2119" s="778" customFormat="1" ht="12.75" customHeight="1" x14ac:dyDescent="0.3"/>
    <row r="2120" s="778" customFormat="1" ht="12.75" customHeight="1" x14ac:dyDescent="0.3"/>
    <row r="2121" s="778" customFormat="1" ht="12.75" customHeight="1" x14ac:dyDescent="0.3"/>
    <row r="2122" s="778" customFormat="1" ht="12.75" customHeight="1" x14ac:dyDescent="0.3"/>
    <row r="2123" s="778" customFormat="1" ht="12.75" customHeight="1" x14ac:dyDescent="0.3"/>
    <row r="2124" s="778" customFormat="1" ht="12.75" customHeight="1" x14ac:dyDescent="0.3"/>
    <row r="2125" s="778" customFormat="1" ht="12.75" customHeight="1" x14ac:dyDescent="0.3"/>
    <row r="2126" s="778" customFormat="1" ht="12.75" customHeight="1" x14ac:dyDescent="0.3"/>
    <row r="2127" s="778" customFormat="1" ht="12.75" customHeight="1" x14ac:dyDescent="0.3"/>
    <row r="2128" s="778" customFormat="1" ht="12.75" customHeight="1" x14ac:dyDescent="0.3"/>
    <row r="2129" s="778" customFormat="1" ht="12.75" customHeight="1" x14ac:dyDescent="0.3"/>
    <row r="2130" s="778" customFormat="1" ht="12.75" customHeight="1" x14ac:dyDescent="0.3"/>
    <row r="2131" s="778" customFormat="1" ht="12.75" customHeight="1" x14ac:dyDescent="0.3"/>
    <row r="2132" s="778" customFormat="1" ht="12.75" customHeight="1" x14ac:dyDescent="0.3"/>
    <row r="2133" s="778" customFormat="1" ht="12.75" customHeight="1" x14ac:dyDescent="0.3"/>
    <row r="2134" s="778" customFormat="1" ht="12.75" customHeight="1" x14ac:dyDescent="0.3"/>
    <row r="2135" s="778" customFormat="1" ht="12.75" customHeight="1" x14ac:dyDescent="0.3"/>
    <row r="2136" s="778" customFormat="1" ht="12.75" customHeight="1" x14ac:dyDescent="0.3"/>
    <row r="2137" s="778" customFormat="1" ht="12.75" customHeight="1" x14ac:dyDescent="0.3"/>
    <row r="2138" s="778" customFormat="1" ht="12.75" customHeight="1" x14ac:dyDescent="0.3"/>
    <row r="2139" s="778" customFormat="1" ht="12.75" customHeight="1" x14ac:dyDescent="0.3"/>
    <row r="2140" s="778" customFormat="1" ht="12.75" customHeight="1" x14ac:dyDescent="0.3"/>
    <row r="2141" s="778" customFormat="1" ht="12.75" customHeight="1" x14ac:dyDescent="0.3"/>
    <row r="2142" s="778" customFormat="1" ht="12.75" customHeight="1" x14ac:dyDescent="0.3"/>
    <row r="2143" s="778" customFormat="1" ht="12.75" customHeight="1" x14ac:dyDescent="0.3"/>
    <row r="2144" s="778" customFormat="1" ht="12.75" customHeight="1" x14ac:dyDescent="0.3"/>
    <row r="2145" s="778" customFormat="1" ht="12.75" customHeight="1" x14ac:dyDescent="0.3"/>
    <row r="2146" s="778" customFormat="1" ht="12.75" customHeight="1" x14ac:dyDescent="0.3"/>
    <row r="2147" s="778" customFormat="1" ht="12.75" customHeight="1" x14ac:dyDescent="0.3"/>
    <row r="2148" s="778" customFormat="1" ht="12.75" customHeight="1" x14ac:dyDescent="0.3"/>
    <row r="2149" s="778" customFormat="1" ht="12.75" customHeight="1" x14ac:dyDescent="0.3"/>
    <row r="2150" s="778" customFormat="1" ht="12.75" customHeight="1" x14ac:dyDescent="0.3"/>
    <row r="2151" s="778" customFormat="1" ht="12.75" customHeight="1" x14ac:dyDescent="0.3"/>
    <row r="2152" s="778" customFormat="1" ht="12.75" customHeight="1" x14ac:dyDescent="0.3"/>
    <row r="2153" s="778" customFormat="1" ht="12.75" customHeight="1" x14ac:dyDescent="0.3"/>
    <row r="2154" s="778" customFormat="1" ht="12.75" customHeight="1" x14ac:dyDescent="0.3"/>
    <row r="2155" s="778" customFormat="1" ht="12.75" customHeight="1" x14ac:dyDescent="0.3"/>
    <row r="2156" s="778" customFormat="1" ht="12.75" customHeight="1" x14ac:dyDescent="0.3"/>
    <row r="2157" s="778" customFormat="1" ht="12.75" customHeight="1" x14ac:dyDescent="0.3"/>
    <row r="2158" s="778" customFormat="1" ht="12.75" customHeight="1" x14ac:dyDescent="0.3"/>
    <row r="2159" s="778" customFormat="1" ht="12.75" customHeight="1" x14ac:dyDescent="0.3"/>
    <row r="2160" s="778" customFormat="1" ht="12.75" customHeight="1" x14ac:dyDescent="0.3"/>
    <row r="2161" s="778" customFormat="1" ht="12.75" customHeight="1" x14ac:dyDescent="0.3"/>
    <row r="2162" s="778" customFormat="1" ht="12.75" customHeight="1" x14ac:dyDescent="0.3"/>
    <row r="2163" s="778" customFormat="1" ht="12.75" customHeight="1" x14ac:dyDescent="0.3"/>
    <row r="2164" s="778" customFormat="1" ht="12.75" customHeight="1" x14ac:dyDescent="0.3"/>
    <row r="2165" s="778" customFormat="1" ht="12.75" customHeight="1" x14ac:dyDescent="0.3"/>
    <row r="2166" s="778" customFormat="1" ht="12.75" customHeight="1" x14ac:dyDescent="0.3"/>
    <row r="2167" s="778" customFormat="1" ht="12.75" customHeight="1" x14ac:dyDescent="0.3"/>
    <row r="2168" s="778" customFormat="1" ht="12.75" customHeight="1" x14ac:dyDescent="0.3"/>
    <row r="2169" s="778" customFormat="1" ht="12.75" customHeight="1" x14ac:dyDescent="0.3"/>
    <row r="2170" s="778" customFormat="1" ht="12.75" customHeight="1" x14ac:dyDescent="0.3"/>
    <row r="2171" s="778" customFormat="1" ht="12.75" customHeight="1" x14ac:dyDescent="0.3"/>
    <row r="2172" s="778" customFormat="1" ht="12.75" customHeight="1" x14ac:dyDescent="0.3"/>
    <row r="2173" s="778" customFormat="1" ht="12.75" customHeight="1" x14ac:dyDescent="0.3"/>
    <row r="2174" s="778" customFormat="1" ht="12.75" customHeight="1" x14ac:dyDescent="0.3"/>
    <row r="2175" s="778" customFormat="1" ht="12.75" customHeight="1" x14ac:dyDescent="0.3"/>
    <row r="2176" s="778" customFormat="1" ht="12.75" customHeight="1" x14ac:dyDescent="0.3"/>
    <row r="2177" s="778" customFormat="1" ht="12.75" customHeight="1" x14ac:dyDescent="0.3"/>
    <row r="2178" s="778" customFormat="1" ht="12.75" customHeight="1" x14ac:dyDescent="0.3"/>
    <row r="2179" s="778" customFormat="1" ht="12.75" customHeight="1" x14ac:dyDescent="0.3"/>
    <row r="2180" s="778" customFormat="1" ht="12.75" customHeight="1" x14ac:dyDescent="0.3"/>
    <row r="2181" s="778" customFormat="1" ht="12.75" customHeight="1" x14ac:dyDescent="0.3"/>
    <row r="2182" s="778" customFormat="1" ht="12.75" customHeight="1" x14ac:dyDescent="0.3"/>
    <row r="2183" s="778" customFormat="1" ht="12.75" customHeight="1" x14ac:dyDescent="0.3"/>
    <row r="2184" s="778" customFormat="1" ht="12.75" customHeight="1" x14ac:dyDescent="0.3"/>
    <row r="2185" s="778" customFormat="1" ht="12.75" customHeight="1" x14ac:dyDescent="0.3"/>
    <row r="2186" s="778" customFormat="1" ht="12.75" customHeight="1" x14ac:dyDescent="0.3"/>
    <row r="2187" s="778" customFormat="1" ht="12.75" customHeight="1" x14ac:dyDescent="0.3"/>
    <row r="2188" s="778" customFormat="1" ht="12.75" customHeight="1" x14ac:dyDescent="0.3"/>
    <row r="2189" s="778" customFormat="1" ht="12.75" customHeight="1" x14ac:dyDescent="0.3"/>
    <row r="2190" s="778" customFormat="1" ht="12.75" customHeight="1" x14ac:dyDescent="0.3"/>
    <row r="2191" s="778" customFormat="1" ht="12.75" customHeight="1" x14ac:dyDescent="0.3"/>
    <row r="2192" s="778" customFormat="1" ht="12.75" customHeight="1" x14ac:dyDescent="0.3"/>
    <row r="2193" s="778" customFormat="1" ht="12.75" customHeight="1" x14ac:dyDescent="0.3"/>
    <row r="2194" s="778" customFormat="1" ht="12.75" customHeight="1" x14ac:dyDescent="0.3"/>
    <row r="2195" s="778" customFormat="1" ht="12.75" customHeight="1" x14ac:dyDescent="0.3"/>
    <row r="2196" s="778" customFormat="1" ht="12.75" customHeight="1" x14ac:dyDescent="0.3"/>
    <row r="2197" s="778" customFormat="1" ht="12.75" customHeight="1" x14ac:dyDescent="0.3"/>
    <row r="2198" s="778" customFormat="1" ht="12.75" customHeight="1" x14ac:dyDescent="0.3"/>
    <row r="2199" s="778" customFormat="1" ht="12.75" customHeight="1" x14ac:dyDescent="0.3"/>
    <row r="2200" s="778" customFormat="1" ht="12.75" customHeight="1" x14ac:dyDescent="0.3"/>
    <row r="2201" s="778" customFormat="1" ht="12.75" customHeight="1" x14ac:dyDescent="0.3"/>
    <row r="2202" s="778" customFormat="1" ht="12.75" customHeight="1" x14ac:dyDescent="0.3"/>
    <row r="2203" s="778" customFormat="1" ht="12.75" customHeight="1" x14ac:dyDescent="0.3"/>
    <row r="2204" s="778" customFormat="1" ht="12.75" customHeight="1" x14ac:dyDescent="0.3"/>
    <row r="2205" s="778" customFormat="1" ht="12.75" customHeight="1" x14ac:dyDescent="0.3"/>
    <row r="2206" s="778" customFormat="1" ht="12.75" customHeight="1" x14ac:dyDescent="0.3"/>
    <row r="2207" s="778" customFormat="1" ht="12.75" customHeight="1" x14ac:dyDescent="0.3"/>
    <row r="2208" s="778" customFormat="1" ht="12.75" customHeight="1" x14ac:dyDescent="0.3"/>
    <row r="2209" s="778" customFormat="1" ht="12.75" customHeight="1" x14ac:dyDescent="0.3"/>
    <row r="2210" s="778" customFormat="1" ht="12.75" customHeight="1" x14ac:dyDescent="0.3"/>
    <row r="2211" s="778" customFormat="1" ht="12.75" customHeight="1" x14ac:dyDescent="0.3"/>
    <row r="2212" s="778" customFormat="1" ht="12.75" customHeight="1" x14ac:dyDescent="0.3"/>
    <row r="2213" s="778" customFormat="1" ht="12.75" customHeight="1" x14ac:dyDescent="0.3"/>
    <row r="2214" s="778" customFormat="1" ht="12.75" customHeight="1" x14ac:dyDescent="0.3"/>
    <row r="2215" s="778" customFormat="1" ht="12.75" customHeight="1" x14ac:dyDescent="0.3"/>
    <row r="2216" s="778" customFormat="1" ht="12.75" customHeight="1" x14ac:dyDescent="0.3"/>
    <row r="2217" s="778" customFormat="1" ht="12.75" customHeight="1" x14ac:dyDescent="0.3"/>
    <row r="2218" s="778" customFormat="1" ht="12.75" customHeight="1" x14ac:dyDescent="0.3"/>
    <row r="2219" s="778" customFormat="1" ht="12.75" customHeight="1" x14ac:dyDescent="0.3"/>
    <row r="2220" s="778" customFormat="1" ht="12.75" customHeight="1" x14ac:dyDescent="0.3"/>
    <row r="2221" s="778" customFormat="1" ht="12.75" customHeight="1" x14ac:dyDescent="0.3"/>
    <row r="2222" s="778" customFormat="1" ht="12.75" customHeight="1" x14ac:dyDescent="0.3"/>
    <row r="2223" s="778" customFormat="1" ht="12.75" customHeight="1" x14ac:dyDescent="0.3"/>
    <row r="2224" s="778" customFormat="1" ht="12.75" customHeight="1" x14ac:dyDescent="0.3"/>
    <row r="2225" s="778" customFormat="1" ht="12.75" customHeight="1" x14ac:dyDescent="0.3"/>
    <row r="2226" s="778" customFormat="1" ht="12.75" customHeight="1" x14ac:dyDescent="0.3"/>
    <row r="2227" s="778" customFormat="1" ht="12.75" customHeight="1" x14ac:dyDescent="0.3"/>
    <row r="2228" s="778" customFormat="1" ht="12.75" customHeight="1" x14ac:dyDescent="0.3"/>
    <row r="2229" s="778" customFormat="1" ht="12.75" customHeight="1" x14ac:dyDescent="0.3"/>
    <row r="2230" s="778" customFormat="1" ht="12.75" customHeight="1" x14ac:dyDescent="0.3"/>
    <row r="2231" s="778" customFormat="1" ht="12.75" customHeight="1" x14ac:dyDescent="0.3"/>
    <row r="2232" s="778" customFormat="1" ht="12.75" customHeight="1" x14ac:dyDescent="0.3"/>
    <row r="2233" s="778" customFormat="1" ht="12.75" customHeight="1" x14ac:dyDescent="0.3"/>
    <row r="2234" s="778" customFormat="1" ht="12.75" customHeight="1" x14ac:dyDescent="0.3"/>
    <row r="2235" s="778" customFormat="1" ht="12.75" customHeight="1" x14ac:dyDescent="0.3"/>
    <row r="2236" s="778" customFormat="1" ht="12.75" customHeight="1" x14ac:dyDescent="0.3"/>
    <row r="2237" s="778" customFormat="1" ht="12.75" customHeight="1" x14ac:dyDescent="0.3"/>
    <row r="2238" s="778" customFormat="1" ht="12.75" customHeight="1" x14ac:dyDescent="0.3"/>
    <row r="2239" s="778" customFormat="1" ht="12.75" customHeight="1" x14ac:dyDescent="0.3"/>
    <row r="2240" s="778" customFormat="1" ht="12.75" customHeight="1" x14ac:dyDescent="0.3"/>
    <row r="2241" s="778" customFormat="1" ht="12.75" customHeight="1" x14ac:dyDescent="0.3"/>
    <row r="2242" s="778" customFormat="1" ht="12.75" customHeight="1" x14ac:dyDescent="0.3"/>
    <row r="2243" s="778" customFormat="1" ht="12.75" customHeight="1" x14ac:dyDescent="0.3"/>
    <row r="2244" s="778" customFormat="1" ht="12.75" customHeight="1" x14ac:dyDescent="0.3"/>
    <row r="2245" s="778" customFormat="1" ht="12.75" customHeight="1" x14ac:dyDescent="0.3"/>
    <row r="2246" s="778" customFormat="1" ht="12.75" customHeight="1" x14ac:dyDescent="0.3"/>
    <row r="2247" s="778" customFormat="1" ht="12.75" customHeight="1" x14ac:dyDescent="0.3"/>
    <row r="2248" s="778" customFormat="1" ht="12.75" customHeight="1" x14ac:dyDescent="0.3"/>
    <row r="2249" s="778" customFormat="1" ht="12.75" customHeight="1" x14ac:dyDescent="0.3"/>
    <row r="2250" s="778" customFormat="1" ht="12.75" customHeight="1" x14ac:dyDescent="0.3"/>
    <row r="2251" s="778" customFormat="1" ht="12.75" customHeight="1" x14ac:dyDescent="0.3"/>
    <row r="2252" s="778" customFormat="1" ht="12.75" customHeight="1" x14ac:dyDescent="0.3"/>
    <row r="2253" s="778" customFormat="1" ht="12.75" customHeight="1" x14ac:dyDescent="0.3"/>
    <row r="2254" s="778" customFormat="1" ht="12.75" customHeight="1" x14ac:dyDescent="0.3"/>
    <row r="2255" s="778" customFormat="1" ht="12.75" customHeight="1" x14ac:dyDescent="0.3"/>
    <row r="2256" s="778" customFormat="1" ht="12.75" customHeight="1" x14ac:dyDescent="0.3"/>
    <row r="2257" s="778" customFormat="1" ht="12.75" customHeight="1" x14ac:dyDescent="0.3"/>
    <row r="2258" s="778" customFormat="1" ht="12.75" customHeight="1" x14ac:dyDescent="0.3"/>
    <row r="2259" s="778" customFormat="1" ht="12.75" customHeight="1" x14ac:dyDescent="0.3"/>
    <row r="2260" s="778" customFormat="1" ht="12.75" customHeight="1" x14ac:dyDescent="0.3"/>
    <row r="2261" s="778" customFormat="1" ht="12.75" customHeight="1" x14ac:dyDescent="0.3"/>
    <row r="2262" s="778" customFormat="1" ht="12.75" customHeight="1" x14ac:dyDescent="0.3"/>
    <row r="2263" s="778" customFormat="1" ht="12.75" customHeight="1" x14ac:dyDescent="0.3"/>
    <row r="2264" s="778" customFormat="1" ht="12.75" customHeight="1" x14ac:dyDescent="0.3"/>
    <row r="2265" s="778" customFormat="1" ht="12.75" customHeight="1" x14ac:dyDescent="0.3"/>
    <row r="2266" s="778" customFormat="1" ht="12.75" customHeight="1" x14ac:dyDescent="0.3"/>
    <row r="2267" s="778" customFormat="1" ht="12.75" customHeight="1" x14ac:dyDescent="0.3"/>
    <row r="2268" s="778" customFormat="1" ht="12.75" customHeight="1" x14ac:dyDescent="0.3"/>
    <row r="2269" s="778" customFormat="1" ht="12.75" customHeight="1" x14ac:dyDescent="0.3"/>
    <row r="2270" s="778" customFormat="1" ht="12.75" customHeight="1" x14ac:dyDescent="0.3"/>
    <row r="2271" s="778" customFormat="1" ht="12.75" customHeight="1" x14ac:dyDescent="0.3"/>
    <row r="2272" s="778" customFormat="1" ht="12.75" customHeight="1" x14ac:dyDescent="0.3"/>
    <row r="2273" s="778" customFormat="1" ht="12.75" customHeight="1" x14ac:dyDescent="0.3"/>
    <row r="2274" s="778" customFormat="1" ht="12.75" customHeight="1" x14ac:dyDescent="0.3"/>
    <row r="2275" s="778" customFormat="1" ht="12.75" customHeight="1" x14ac:dyDescent="0.3"/>
    <row r="2276" s="778" customFormat="1" ht="12.75" customHeight="1" x14ac:dyDescent="0.3"/>
    <row r="2277" s="778" customFormat="1" ht="12.75" customHeight="1" x14ac:dyDescent="0.3"/>
    <row r="2278" s="778" customFormat="1" ht="12.75" customHeight="1" x14ac:dyDescent="0.3"/>
    <row r="2279" s="778" customFormat="1" ht="12.75" customHeight="1" x14ac:dyDescent="0.3"/>
    <row r="2280" s="778" customFormat="1" ht="12.75" customHeight="1" x14ac:dyDescent="0.3"/>
    <row r="2281" s="778" customFormat="1" ht="12.75" customHeight="1" x14ac:dyDescent="0.3"/>
    <row r="2282" s="778" customFormat="1" ht="12.75" customHeight="1" x14ac:dyDescent="0.3"/>
    <row r="2283" s="778" customFormat="1" ht="12.75" customHeight="1" x14ac:dyDescent="0.3"/>
    <row r="2284" s="778" customFormat="1" ht="12.75" customHeight="1" x14ac:dyDescent="0.3"/>
    <row r="2285" s="778" customFormat="1" ht="12.75" customHeight="1" x14ac:dyDescent="0.3"/>
    <row r="2286" s="778" customFormat="1" ht="12.75" customHeight="1" x14ac:dyDescent="0.3"/>
    <row r="2287" s="778" customFormat="1" ht="12.75" customHeight="1" x14ac:dyDescent="0.3"/>
    <row r="2288" s="778" customFormat="1" ht="12.75" customHeight="1" x14ac:dyDescent="0.3"/>
    <row r="2289" s="778" customFormat="1" ht="12.75" customHeight="1" x14ac:dyDescent="0.3"/>
    <row r="2290" s="778" customFormat="1" ht="12.75" customHeight="1" x14ac:dyDescent="0.3"/>
    <row r="2291" s="778" customFormat="1" ht="12.75" customHeight="1" x14ac:dyDescent="0.3"/>
    <row r="2292" s="778" customFormat="1" ht="12.75" customHeight="1" x14ac:dyDescent="0.3"/>
    <row r="2293" s="778" customFormat="1" ht="12.75" customHeight="1" x14ac:dyDescent="0.3"/>
    <row r="2294" s="778" customFormat="1" ht="12.75" customHeight="1" x14ac:dyDescent="0.3"/>
    <row r="2295" s="778" customFormat="1" ht="12.75" customHeight="1" x14ac:dyDescent="0.3"/>
    <row r="2296" s="778" customFormat="1" ht="12.75" customHeight="1" x14ac:dyDescent="0.3"/>
    <row r="2297" s="778" customFormat="1" ht="12.75" customHeight="1" x14ac:dyDescent="0.3"/>
    <row r="2298" s="778" customFormat="1" ht="12.75" customHeight="1" x14ac:dyDescent="0.3"/>
    <row r="2299" s="778" customFormat="1" ht="12.75" customHeight="1" x14ac:dyDescent="0.3"/>
    <row r="2300" s="778" customFormat="1" ht="12.75" customHeight="1" x14ac:dyDescent="0.3"/>
    <row r="2301" s="778" customFormat="1" ht="12.75" customHeight="1" x14ac:dyDescent="0.3"/>
    <row r="2302" s="778" customFormat="1" ht="12.75" customHeight="1" x14ac:dyDescent="0.3"/>
    <row r="2303" s="778" customFormat="1" ht="12.75" customHeight="1" x14ac:dyDescent="0.3"/>
    <row r="2304" s="778" customFormat="1" ht="12.75" customHeight="1" x14ac:dyDescent="0.3"/>
    <row r="2305" s="778" customFormat="1" ht="12.75" customHeight="1" x14ac:dyDescent="0.3"/>
    <row r="2306" s="778" customFormat="1" ht="12.75" customHeight="1" x14ac:dyDescent="0.3"/>
    <row r="2307" s="778" customFormat="1" ht="12.75" customHeight="1" x14ac:dyDescent="0.3"/>
    <row r="2308" s="778" customFormat="1" ht="12.75" customHeight="1" x14ac:dyDescent="0.3"/>
    <row r="2309" s="778" customFormat="1" ht="12.75" customHeight="1" x14ac:dyDescent="0.3"/>
    <row r="2310" s="778" customFormat="1" ht="12.75" customHeight="1" x14ac:dyDescent="0.3"/>
    <row r="2311" s="778" customFormat="1" ht="12.75" customHeight="1" x14ac:dyDescent="0.3"/>
    <row r="2312" s="778" customFormat="1" ht="12.75" customHeight="1" x14ac:dyDescent="0.3"/>
    <row r="2313" s="778" customFormat="1" ht="12.75" customHeight="1" x14ac:dyDescent="0.3"/>
    <row r="2314" s="778" customFormat="1" ht="12.75" customHeight="1" x14ac:dyDescent="0.3"/>
    <row r="2315" s="778" customFormat="1" ht="12.75" customHeight="1" x14ac:dyDescent="0.3"/>
    <row r="2316" s="778" customFormat="1" ht="12.75" customHeight="1" x14ac:dyDescent="0.3"/>
    <row r="2317" s="778" customFormat="1" ht="12.75" customHeight="1" x14ac:dyDescent="0.3"/>
    <row r="2318" s="778" customFormat="1" ht="12.75" customHeight="1" x14ac:dyDescent="0.3"/>
    <row r="2319" s="778" customFormat="1" ht="12.75" customHeight="1" x14ac:dyDescent="0.3"/>
    <row r="2320" s="778" customFormat="1" ht="12.75" customHeight="1" x14ac:dyDescent="0.3"/>
    <row r="2321" s="778" customFormat="1" ht="12.75" customHeight="1" x14ac:dyDescent="0.3"/>
    <row r="2322" s="778" customFormat="1" ht="12.75" customHeight="1" x14ac:dyDescent="0.3"/>
    <row r="2323" s="778" customFormat="1" ht="12.75" customHeight="1" x14ac:dyDescent="0.3"/>
    <row r="2324" s="778" customFormat="1" ht="12.75" customHeight="1" x14ac:dyDescent="0.3"/>
    <row r="2325" s="778" customFormat="1" ht="12.75" customHeight="1" x14ac:dyDescent="0.3"/>
    <row r="2326" s="778" customFormat="1" ht="12.75" customHeight="1" x14ac:dyDescent="0.3"/>
    <row r="2327" s="778" customFormat="1" ht="12.75" customHeight="1" x14ac:dyDescent="0.3"/>
    <row r="2328" s="778" customFormat="1" ht="12.75" customHeight="1" x14ac:dyDescent="0.3"/>
    <row r="2329" s="778" customFormat="1" ht="12.75" customHeight="1" x14ac:dyDescent="0.3"/>
    <row r="2330" s="778" customFormat="1" ht="12.75" customHeight="1" x14ac:dyDescent="0.3"/>
    <row r="2331" s="778" customFormat="1" ht="12.75" customHeight="1" x14ac:dyDescent="0.3"/>
    <row r="2332" s="778" customFormat="1" ht="12.75" customHeight="1" x14ac:dyDescent="0.3"/>
    <row r="2333" s="778" customFormat="1" ht="12.75" customHeight="1" x14ac:dyDescent="0.3"/>
    <row r="2334" s="778" customFormat="1" ht="12.75" customHeight="1" x14ac:dyDescent="0.3"/>
    <row r="2335" s="778" customFormat="1" ht="12.75" customHeight="1" x14ac:dyDescent="0.3"/>
    <row r="2336" s="778" customFormat="1" ht="12.75" customHeight="1" x14ac:dyDescent="0.3"/>
    <row r="2337" s="778" customFormat="1" ht="12.75" customHeight="1" x14ac:dyDescent="0.3"/>
    <row r="2338" s="778" customFormat="1" ht="12.75" customHeight="1" x14ac:dyDescent="0.3"/>
    <row r="2339" s="778" customFormat="1" ht="12.75" customHeight="1" x14ac:dyDescent="0.3"/>
    <row r="2340" s="778" customFormat="1" ht="12.75" customHeight="1" x14ac:dyDescent="0.3"/>
    <row r="2341" s="778" customFormat="1" ht="12.75" customHeight="1" x14ac:dyDescent="0.3"/>
    <row r="2342" s="778" customFormat="1" ht="12.75" customHeight="1" x14ac:dyDescent="0.3"/>
    <row r="2343" s="778" customFormat="1" ht="12.75" customHeight="1" x14ac:dyDescent="0.3"/>
    <row r="2344" s="778" customFormat="1" ht="12.75" customHeight="1" x14ac:dyDescent="0.3"/>
    <row r="2345" s="778" customFormat="1" ht="12.75" customHeight="1" x14ac:dyDescent="0.3"/>
    <row r="2346" s="778" customFormat="1" ht="12.75" customHeight="1" x14ac:dyDescent="0.3"/>
    <row r="2347" s="778" customFormat="1" ht="12.75" customHeight="1" x14ac:dyDescent="0.3"/>
    <row r="2348" s="778" customFormat="1" ht="12.75" customHeight="1" x14ac:dyDescent="0.3"/>
    <row r="2349" s="778" customFormat="1" ht="12.75" customHeight="1" x14ac:dyDescent="0.3"/>
    <row r="2350" s="778" customFormat="1" ht="12.75" customHeight="1" x14ac:dyDescent="0.3"/>
    <row r="2351" s="778" customFormat="1" ht="12.75" customHeight="1" x14ac:dyDescent="0.3"/>
    <row r="2352" s="778" customFormat="1" ht="12.75" customHeight="1" x14ac:dyDescent="0.3"/>
    <row r="2353" s="778" customFormat="1" ht="12.75" customHeight="1" x14ac:dyDescent="0.3"/>
    <row r="2354" s="778" customFormat="1" ht="12.75" customHeight="1" x14ac:dyDescent="0.3"/>
    <row r="2355" s="778" customFormat="1" ht="12.75" customHeight="1" x14ac:dyDescent="0.3"/>
    <row r="2356" s="778" customFormat="1" ht="12.75" customHeight="1" x14ac:dyDescent="0.3"/>
    <row r="2357" s="778" customFormat="1" ht="12.75" customHeight="1" x14ac:dyDescent="0.3"/>
    <row r="2358" s="778" customFormat="1" ht="12.75" customHeight="1" x14ac:dyDescent="0.3"/>
    <row r="2359" s="778" customFormat="1" ht="12.75" customHeight="1" x14ac:dyDescent="0.3"/>
    <row r="2360" s="778" customFormat="1" ht="12.75" customHeight="1" x14ac:dyDescent="0.3"/>
    <row r="2361" s="778" customFormat="1" ht="12.75" customHeight="1" x14ac:dyDescent="0.3"/>
    <row r="2362" s="778" customFormat="1" ht="12.75" customHeight="1" x14ac:dyDescent="0.3"/>
    <row r="2363" s="778" customFormat="1" ht="12.75" customHeight="1" x14ac:dyDescent="0.3"/>
    <row r="2364" s="778" customFormat="1" ht="12.75" customHeight="1" x14ac:dyDescent="0.3"/>
    <row r="2365" s="778" customFormat="1" ht="12.75" customHeight="1" x14ac:dyDescent="0.3"/>
    <row r="2366" s="778" customFormat="1" ht="12.75" customHeight="1" x14ac:dyDescent="0.3"/>
    <row r="2367" s="778" customFormat="1" ht="12.75" customHeight="1" x14ac:dyDescent="0.3"/>
    <row r="2368" s="778" customFormat="1" ht="12.75" customHeight="1" x14ac:dyDescent="0.3"/>
    <row r="2369" s="778" customFormat="1" ht="12.75" customHeight="1" x14ac:dyDescent="0.3"/>
    <row r="2370" s="778" customFormat="1" ht="12.75" customHeight="1" x14ac:dyDescent="0.3"/>
    <row r="2371" s="778" customFormat="1" ht="12.75" customHeight="1" x14ac:dyDescent="0.3"/>
    <row r="2372" s="778" customFormat="1" ht="12.75" customHeight="1" x14ac:dyDescent="0.3"/>
    <row r="2373" s="778" customFormat="1" ht="12.75" customHeight="1" x14ac:dyDescent="0.3"/>
    <row r="2374" s="778" customFormat="1" ht="12.75" customHeight="1" x14ac:dyDescent="0.3"/>
    <row r="2375" s="778" customFormat="1" ht="12.75" customHeight="1" x14ac:dyDescent="0.3"/>
    <row r="2376" s="778" customFormat="1" ht="12.75" customHeight="1" x14ac:dyDescent="0.3"/>
    <row r="2377" s="778" customFormat="1" ht="12.75" customHeight="1" x14ac:dyDescent="0.3"/>
    <row r="2378" s="778" customFormat="1" ht="12.75" customHeight="1" x14ac:dyDescent="0.3"/>
  </sheetData>
  <phoneticPr fontId="6" type="noConversion"/>
  <conditionalFormatting sqref="E17:AA20">
    <cfRule type="cellIs" dxfId="15" priority="2" operator="equal">
      <formula>0</formula>
    </cfRule>
  </conditionalFormatting>
  <conditionalFormatting sqref="E1:AC5">
    <cfRule type="cellIs" dxfId="14" priority="22" operator="equal">
      <formula>0</formula>
    </cfRule>
  </conditionalFormatting>
  <conditionalFormatting sqref="E7:AC16">
    <cfRule type="cellIs" dxfId="13" priority="23" operator="equal">
      <formula>0</formula>
    </cfRule>
  </conditionalFormatting>
  <conditionalFormatting sqref="E21:AC1048576">
    <cfRule type="cellIs" dxfId="12" priority="1" operator="equal">
      <formula>0</formula>
    </cfRule>
  </conditionalFormatting>
  <conditionalFormatting sqref="AC17:AC20">
    <cfRule type="cellIs" dxfId="11" priority="11" operator="equal">
      <formula>0</formula>
    </cfRule>
  </conditionalFormatting>
  <pageMargins left="0.75" right="0.75" top="1" bottom="1" header="0.5" footer="0.5"/>
  <pageSetup paperSize="9" orientation="portrait" horizontalDpi="36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dimension ref="A1:AH143"/>
  <sheetViews>
    <sheetView zoomScaleNormal="100" workbookViewId="0"/>
  </sheetViews>
  <sheetFormatPr defaultColWidth="9.109375" defaultRowHeight="13.8" x14ac:dyDescent="0.3"/>
  <cols>
    <col min="1" max="5" width="1.6640625" customWidth="1" collapsed="1"/>
    <col min="6" max="6" width="45.109375" customWidth="1" collapsed="1"/>
    <col min="7" max="7" width="22.6640625" style="165" customWidth="1" collapsed="1"/>
    <col min="8" max="8" width="10.6640625" style="165" customWidth="1" collapsed="1"/>
    <col min="9" max="9" width="9.109375" style="217" collapsed="1"/>
    <col min="10" max="13" width="9.109375" style="177" collapsed="1"/>
    <col min="14" max="14" width="9.109375" style="177"/>
    <col min="15" max="15" width="9.109375" style="177" collapsed="1"/>
    <col min="16" max="16" width="9.109375" style="177"/>
    <col min="17" max="29" width="9.109375" style="177" collapsed="1"/>
    <col min="30" max="33" width="9.109375" style="19" collapsed="1"/>
    <col min="34" max="34" width="9.109375" style="19"/>
    <col min="35" max="16384" width="9.109375" style="19" collapsed="1"/>
  </cols>
  <sheetData>
    <row r="1" spans="1:34" ht="12.75" customHeight="1" x14ac:dyDescent="0.3">
      <c r="A1" s="38" t="s">
        <v>4228</v>
      </c>
      <c r="B1" s="16"/>
      <c r="C1" s="16"/>
      <c r="D1" s="16"/>
      <c r="E1" s="16"/>
      <c r="F1" s="16"/>
      <c r="G1" s="16"/>
      <c r="H1" s="35"/>
      <c r="I1" s="212"/>
      <c r="J1" s="121"/>
      <c r="K1" s="121"/>
      <c r="L1" s="121"/>
      <c r="M1" s="121"/>
      <c r="N1" s="121"/>
      <c r="O1" s="121"/>
      <c r="P1" s="121"/>
      <c r="Q1" s="121"/>
      <c r="R1" s="121"/>
      <c r="S1" s="121"/>
      <c r="T1" s="121"/>
      <c r="U1" s="121"/>
      <c r="V1" s="121"/>
      <c r="W1" s="121"/>
      <c r="X1" s="121"/>
      <c r="Y1" s="121"/>
      <c r="Z1" s="121"/>
      <c r="AA1" s="121"/>
      <c r="AB1" s="121"/>
      <c r="AC1" s="121"/>
      <c r="AD1" s="148"/>
      <c r="AE1" s="148"/>
      <c r="AF1" s="148"/>
      <c r="AG1" s="148"/>
      <c r="AH1" s="18"/>
    </row>
    <row r="2" spans="1:34" ht="12.75" customHeight="1" thickBot="1" x14ac:dyDescent="0.35">
      <c r="A2" s="35"/>
      <c r="B2" s="16"/>
      <c r="C2" s="16"/>
      <c r="D2" s="16"/>
      <c r="E2" s="16"/>
      <c r="F2" s="16"/>
      <c r="G2" s="35"/>
      <c r="H2" s="35"/>
      <c r="I2" s="212"/>
      <c r="J2" s="121"/>
      <c r="K2" s="121"/>
      <c r="L2" s="121"/>
      <c r="M2" s="121"/>
      <c r="N2" s="121"/>
      <c r="O2" s="121"/>
      <c r="P2" s="121"/>
      <c r="Q2" s="121"/>
      <c r="R2" s="121"/>
      <c r="S2" s="121"/>
      <c r="T2" s="121"/>
      <c r="U2" s="121"/>
      <c r="V2" s="121"/>
      <c r="W2" s="121"/>
      <c r="X2" s="121"/>
      <c r="Y2" s="121"/>
      <c r="Z2" s="121"/>
      <c r="AA2" s="121"/>
      <c r="AB2" s="121"/>
      <c r="AC2" s="121"/>
      <c r="AD2" s="148"/>
      <c r="AE2" s="148"/>
      <c r="AF2" s="148"/>
      <c r="AG2" s="148"/>
      <c r="AH2" s="18"/>
    </row>
    <row r="3" spans="1:34" s="23" customFormat="1" ht="30.75" customHeight="1" x14ac:dyDescent="0.3">
      <c r="A3" s="163" t="s">
        <v>63</v>
      </c>
      <c r="B3" s="163"/>
      <c r="C3" s="163"/>
      <c r="D3" s="163"/>
      <c r="E3" s="163"/>
      <c r="F3" s="163"/>
      <c r="G3" s="203"/>
      <c r="H3" s="204"/>
      <c r="I3" s="453" t="s">
        <v>4229</v>
      </c>
      <c r="J3" s="452" t="s">
        <v>270</v>
      </c>
      <c r="K3" s="452" t="s">
        <v>4230</v>
      </c>
      <c r="L3" s="633" t="s">
        <v>4231</v>
      </c>
      <c r="M3" s="452" t="s">
        <v>4232</v>
      </c>
      <c r="N3" s="633" t="s">
        <v>4233</v>
      </c>
      <c r="O3" s="452" t="s">
        <v>4234</v>
      </c>
      <c r="P3" s="633" t="s">
        <v>4233</v>
      </c>
      <c r="Q3" s="452" t="s">
        <v>4235</v>
      </c>
      <c r="R3" s="452" t="s">
        <v>4236</v>
      </c>
      <c r="S3" s="452" t="s">
        <v>4237</v>
      </c>
      <c r="T3" s="452" t="s">
        <v>4238</v>
      </c>
      <c r="U3" s="452" t="s">
        <v>4239</v>
      </c>
      <c r="V3" s="452"/>
      <c r="W3" s="452"/>
      <c r="X3" s="452"/>
      <c r="Y3" s="452"/>
      <c r="Z3" s="452"/>
      <c r="AA3" s="452"/>
      <c r="AB3" s="452"/>
      <c r="AC3" s="452"/>
      <c r="AD3" s="275"/>
      <c r="AE3" s="275"/>
      <c r="AF3" s="275"/>
      <c r="AG3" s="275"/>
      <c r="AH3" s="745"/>
    </row>
    <row r="4" spans="1:34" customFormat="1" ht="12.75" customHeight="1" x14ac:dyDescent="0.3">
      <c r="A4" s="144" t="s">
        <v>484</v>
      </c>
      <c r="B4" s="144"/>
      <c r="C4" s="144"/>
      <c r="D4" s="144"/>
      <c r="E4" s="144"/>
      <c r="F4" s="144"/>
      <c r="G4" s="145" t="s">
        <v>258</v>
      </c>
      <c r="H4" s="145" t="s">
        <v>274</v>
      </c>
      <c r="I4" s="276" t="s">
        <v>259</v>
      </c>
      <c r="J4" s="664"/>
      <c r="K4" s="664"/>
      <c r="L4" s="746"/>
      <c r="M4" s="746"/>
      <c r="N4" s="746"/>
      <c r="O4" s="746"/>
      <c r="P4" s="746"/>
      <c r="Q4" s="353"/>
      <c r="R4" s="664"/>
      <c r="S4" s="353"/>
      <c r="T4" s="637"/>
      <c r="U4" s="746"/>
      <c r="V4" s="664"/>
      <c r="W4" s="353"/>
      <c r="X4" s="637"/>
      <c r="Y4" s="746"/>
      <c r="Z4" s="353"/>
      <c r="AA4" s="353"/>
      <c r="AB4" s="353"/>
      <c r="AC4" s="353"/>
      <c r="AD4" s="353"/>
      <c r="AE4" s="353"/>
      <c r="AF4" s="353"/>
      <c r="AG4" s="353"/>
    </row>
    <row r="5" spans="1:34" x14ac:dyDescent="0.3">
      <c r="A5" s="5"/>
      <c r="B5" s="35"/>
      <c r="C5" s="16"/>
      <c r="D5" s="16"/>
      <c r="E5" s="16"/>
      <c r="F5" s="16"/>
      <c r="G5" s="35"/>
      <c r="H5" s="35"/>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8"/>
    </row>
    <row r="6" spans="1:34" x14ac:dyDescent="0.3">
      <c r="A6" s="703" t="s">
        <v>4240</v>
      </c>
      <c r="B6" s="636"/>
      <c r="C6" s="222"/>
      <c r="D6" s="460"/>
      <c r="E6" s="164"/>
      <c r="F6" s="164"/>
      <c r="G6" s="299"/>
      <c r="H6" s="299"/>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8"/>
    </row>
    <row r="7" spans="1:34" s="369" customFormat="1" x14ac:dyDescent="0.3">
      <c r="A7" s="704" t="s">
        <v>58</v>
      </c>
      <c r="B7" s="211"/>
      <c r="C7" s="222"/>
      <c r="D7" s="211"/>
      <c r="E7" s="16"/>
      <c r="F7" s="16"/>
      <c r="G7" s="35"/>
      <c r="H7" s="35"/>
      <c r="I7" s="133"/>
      <c r="J7" s="133"/>
      <c r="K7" s="133"/>
      <c r="L7" s="133"/>
      <c r="M7" s="133"/>
      <c r="N7" s="133"/>
      <c r="O7" s="133"/>
      <c r="P7" s="133"/>
      <c r="Q7" s="133"/>
      <c r="R7" s="133"/>
      <c r="S7" s="133"/>
      <c r="T7" s="133"/>
      <c r="U7" s="133"/>
      <c r="V7" s="133"/>
      <c r="W7" s="133"/>
      <c r="X7" s="133"/>
      <c r="Y7" s="133"/>
      <c r="Z7" s="133"/>
      <c r="AA7" s="133"/>
      <c r="AB7" s="133"/>
      <c r="AC7" s="133"/>
      <c r="AD7" s="133"/>
      <c r="AE7" s="133"/>
      <c r="AF7" s="133"/>
      <c r="AG7" s="133"/>
    </row>
    <row r="8" spans="1:34" s="369" customFormat="1" ht="15" x14ac:dyDescent="0.3">
      <c r="A8" s="208"/>
      <c r="B8" s="208" t="s">
        <v>485</v>
      </c>
      <c r="C8" s="222"/>
      <c r="D8" s="211"/>
      <c r="E8" s="16"/>
      <c r="F8" s="16"/>
      <c r="G8" s="35" t="s">
        <v>486</v>
      </c>
      <c r="H8" s="35" t="s">
        <v>487</v>
      </c>
      <c r="I8" s="229">
        <f>E.aRS/1000*(Molweight*3600*24*365)</f>
        <v>10000</v>
      </c>
      <c r="J8" s="468">
        <v>10000</v>
      </c>
      <c r="K8" s="238">
        <v>0</v>
      </c>
      <c r="L8" s="238"/>
      <c r="M8" s="238"/>
      <c r="N8" s="238"/>
      <c r="O8" s="238"/>
      <c r="P8" s="238"/>
      <c r="Q8" s="563">
        <v>2</v>
      </c>
      <c r="R8" s="238">
        <v>0.70615955185863544</v>
      </c>
      <c r="S8" s="121">
        <v>10000</v>
      </c>
      <c r="T8" s="238">
        <v>297.64169231251566</v>
      </c>
      <c r="U8" s="238">
        <v>1.0407920872040186</v>
      </c>
      <c r="V8" s="238"/>
      <c r="W8" s="121"/>
      <c r="X8" s="238"/>
      <c r="Y8" s="238"/>
      <c r="Z8" s="238"/>
      <c r="AA8" s="238"/>
      <c r="AB8" s="238"/>
      <c r="AC8" s="238"/>
      <c r="AD8" s="133"/>
      <c r="AE8" s="133"/>
      <c r="AF8" s="133"/>
      <c r="AG8" s="133"/>
    </row>
    <row r="9" spans="1:34" s="369" customFormat="1" ht="15" x14ac:dyDescent="0.3">
      <c r="A9" s="208"/>
      <c r="B9" s="208" t="s">
        <v>489</v>
      </c>
      <c r="C9" s="222"/>
      <c r="D9" s="211"/>
      <c r="E9" s="16"/>
      <c r="F9" s="16"/>
      <c r="G9" s="35" t="s">
        <v>490</v>
      </c>
      <c r="H9" s="35" t="s">
        <v>487</v>
      </c>
      <c r="I9" s="229">
        <f>E.w0RS/1000*(Molweight*3600*24*365)</f>
        <v>0</v>
      </c>
      <c r="J9" s="468">
        <v>0</v>
      </c>
      <c r="K9" s="238">
        <v>0</v>
      </c>
      <c r="L9" s="238"/>
      <c r="M9" s="238"/>
      <c r="N9" s="238"/>
      <c r="O9" s="238"/>
      <c r="P9" s="238"/>
      <c r="Q9" s="563">
        <v>0.32500000000000001</v>
      </c>
      <c r="R9" s="238">
        <v>1.6318241683455394E-2</v>
      </c>
      <c r="S9" s="238">
        <v>0</v>
      </c>
      <c r="T9" s="238">
        <v>68.359013928667011</v>
      </c>
      <c r="U9" s="238">
        <v>2.6776198441110208E-2</v>
      </c>
      <c r="V9" s="238"/>
      <c r="W9" s="238"/>
      <c r="X9" s="238"/>
      <c r="Y9" s="238"/>
      <c r="Z9" s="238"/>
      <c r="AA9" s="238"/>
      <c r="AB9" s="238"/>
      <c r="AC9" s="238"/>
      <c r="AD9" s="133"/>
      <c r="AE9" s="133"/>
      <c r="AF9" s="133"/>
      <c r="AG9" s="133"/>
    </row>
    <row r="10" spans="1:34" s="369" customFormat="1" ht="15" x14ac:dyDescent="0.3">
      <c r="A10" s="208"/>
      <c r="B10" s="208" t="s">
        <v>4241</v>
      </c>
      <c r="C10" s="222"/>
      <c r="D10" s="211"/>
      <c r="E10" s="16"/>
      <c r="F10" s="16"/>
      <c r="G10" s="35" t="s">
        <v>492</v>
      </c>
      <c r="H10" s="35" t="s">
        <v>487</v>
      </c>
      <c r="I10" s="229">
        <f>E.w1RS/1000*(Molweight*3600*24*365)</f>
        <v>10000</v>
      </c>
      <c r="J10" s="468">
        <v>10000</v>
      </c>
      <c r="K10" s="238">
        <v>0</v>
      </c>
      <c r="L10" s="238"/>
      <c r="M10" s="238"/>
      <c r="N10" s="238"/>
      <c r="O10" s="238"/>
      <c r="P10" s="238"/>
      <c r="Q10" s="563">
        <v>3.5750000000000002</v>
      </c>
      <c r="R10" s="238">
        <v>0.47213230379106175</v>
      </c>
      <c r="S10" s="121">
        <v>10000</v>
      </c>
      <c r="T10" s="238">
        <v>3389.5483714837437</v>
      </c>
      <c r="U10" s="238">
        <v>3.4927070810371705</v>
      </c>
      <c r="V10" s="238"/>
      <c r="W10" s="121"/>
      <c r="X10" s="238"/>
      <c r="Y10" s="238"/>
      <c r="Z10" s="238"/>
      <c r="AA10" s="238"/>
      <c r="AB10" s="238"/>
      <c r="AC10" s="238"/>
      <c r="AD10" s="133"/>
      <c r="AE10" s="133"/>
      <c r="AF10" s="133"/>
      <c r="AG10" s="133"/>
    </row>
    <row r="11" spans="1:34" s="369" customFormat="1" ht="15" x14ac:dyDescent="0.3">
      <c r="A11" s="208"/>
      <c r="B11" s="208" t="s">
        <v>4242</v>
      </c>
      <c r="C11" s="222"/>
      <c r="D11" s="211"/>
      <c r="E11" s="16"/>
      <c r="F11" s="16"/>
      <c r="G11" s="35" t="s">
        <v>494</v>
      </c>
      <c r="H11" s="35" t="s">
        <v>487</v>
      </c>
      <c r="I11" s="229">
        <f>E.w2RS/1000*(Molweight*3600*24*365)</f>
        <v>0</v>
      </c>
      <c r="J11" s="468">
        <v>0</v>
      </c>
      <c r="K11" s="238">
        <v>0</v>
      </c>
      <c r="L11" s="238"/>
      <c r="M11" s="238"/>
      <c r="N11" s="238"/>
      <c r="O11" s="238"/>
      <c r="P11" s="238"/>
      <c r="Q11" s="563">
        <v>0</v>
      </c>
      <c r="R11" s="238">
        <v>0</v>
      </c>
      <c r="S11" s="238">
        <v>0</v>
      </c>
      <c r="T11" s="238">
        <v>0</v>
      </c>
      <c r="U11" s="238">
        <v>0</v>
      </c>
      <c r="V11" s="238"/>
      <c r="W11" s="238"/>
      <c r="X11" s="238"/>
      <c r="Y11" s="238"/>
      <c r="Z11" s="238"/>
      <c r="AA11" s="238"/>
      <c r="AB11" s="238"/>
      <c r="AC11" s="238"/>
      <c r="AD11" s="133"/>
      <c r="AE11" s="133"/>
      <c r="AF11" s="133"/>
      <c r="AG11" s="133"/>
    </row>
    <row r="12" spans="1:34" s="369" customFormat="1" ht="15" x14ac:dyDescent="0.3">
      <c r="A12" s="208"/>
      <c r="B12" s="208" t="s">
        <v>495</v>
      </c>
      <c r="C12" s="222"/>
      <c r="D12" s="211"/>
      <c r="E12" s="16"/>
      <c r="F12" s="16"/>
      <c r="G12" s="35" t="s">
        <v>496</v>
      </c>
      <c r="H12" s="35" t="s">
        <v>487</v>
      </c>
      <c r="I12" s="229">
        <f>E.s1RS/1000*(Molweight*3600*24*365)</f>
        <v>0</v>
      </c>
      <c r="J12" s="469">
        <v>0</v>
      </c>
      <c r="K12" s="238">
        <v>0</v>
      </c>
      <c r="L12" s="238"/>
      <c r="M12" s="238"/>
      <c r="N12" s="238"/>
      <c r="O12" s="238"/>
      <c r="P12" s="238"/>
      <c r="Q12" s="563">
        <v>0</v>
      </c>
      <c r="R12" s="238">
        <v>0.42677470235443499</v>
      </c>
      <c r="S12" s="238">
        <v>0</v>
      </c>
      <c r="T12" s="238">
        <v>339.44655117338186</v>
      </c>
      <c r="U12" s="238">
        <v>0.48491560650155491</v>
      </c>
      <c r="V12" s="238"/>
      <c r="W12" s="238"/>
      <c r="X12" s="238"/>
      <c r="Y12" s="238"/>
      <c r="Z12" s="238"/>
      <c r="AA12" s="238"/>
      <c r="AB12" s="238"/>
      <c r="AC12" s="238"/>
      <c r="AD12" s="133"/>
      <c r="AE12" s="133"/>
      <c r="AF12" s="133"/>
      <c r="AG12" s="133"/>
    </row>
    <row r="13" spans="1:34" s="369" customFormat="1" ht="15" x14ac:dyDescent="0.3">
      <c r="A13" s="208"/>
      <c r="B13" s="208" t="s">
        <v>497</v>
      </c>
      <c r="C13" s="222"/>
      <c r="D13" s="211"/>
      <c r="E13" s="16"/>
      <c r="F13" s="16"/>
      <c r="G13" s="35" t="s">
        <v>498</v>
      </c>
      <c r="H13" s="35" t="s">
        <v>487</v>
      </c>
      <c r="I13" s="229">
        <f>E.s2RS/1000*(Molweight*3600*24*365)</f>
        <v>10000</v>
      </c>
      <c r="J13" s="468">
        <v>10000</v>
      </c>
      <c r="K13" s="238">
        <v>0</v>
      </c>
      <c r="L13" s="238"/>
      <c r="M13" s="238"/>
      <c r="N13" s="238"/>
      <c r="O13" s="238"/>
      <c r="P13" s="238"/>
      <c r="Q13" s="563">
        <v>180</v>
      </c>
      <c r="R13" s="238">
        <v>2.396914871555909</v>
      </c>
      <c r="S13" s="121">
        <v>10000</v>
      </c>
      <c r="T13" s="238">
        <v>5106.3643794170539</v>
      </c>
      <c r="U13" s="238">
        <v>6.3545689186753025</v>
      </c>
      <c r="V13" s="238"/>
      <c r="W13" s="121"/>
      <c r="X13" s="238"/>
      <c r="Y13" s="238"/>
      <c r="Z13" s="238"/>
      <c r="AA13" s="238"/>
      <c r="AB13" s="238"/>
      <c r="AC13" s="238"/>
      <c r="AD13" s="133"/>
      <c r="AE13" s="133"/>
      <c r="AF13" s="133"/>
      <c r="AG13" s="133"/>
    </row>
    <row r="14" spans="1:34" s="369" customFormat="1" ht="15" x14ac:dyDescent="0.3">
      <c r="A14" s="208"/>
      <c r="B14" s="208" t="s">
        <v>500</v>
      </c>
      <c r="C14" s="222"/>
      <c r="D14" s="211"/>
      <c r="E14" s="16"/>
      <c r="F14" s="16"/>
      <c r="G14" s="35" t="s">
        <v>501</v>
      </c>
      <c r="H14" s="35" t="s">
        <v>487</v>
      </c>
      <c r="I14" s="229">
        <f>E.s3RS/1000*(Molweight*3600*24*365)</f>
        <v>0</v>
      </c>
      <c r="J14" s="468">
        <v>0</v>
      </c>
      <c r="K14" s="238">
        <v>0</v>
      </c>
      <c r="L14" s="238"/>
      <c r="M14" s="238"/>
      <c r="N14" s="238"/>
      <c r="O14" s="238"/>
      <c r="P14" s="238"/>
      <c r="Q14" s="563">
        <v>1</v>
      </c>
      <c r="R14" s="238">
        <v>0.15806470457571664</v>
      </c>
      <c r="S14" s="238">
        <v>0</v>
      </c>
      <c r="T14" s="238">
        <v>125.7209448790303</v>
      </c>
      <c r="U14" s="238">
        <v>0.17959837277835367</v>
      </c>
      <c r="V14" s="238"/>
      <c r="W14" s="238"/>
      <c r="X14" s="238"/>
      <c r="Y14" s="238"/>
      <c r="Z14" s="238"/>
      <c r="AA14" s="238"/>
      <c r="AB14" s="238"/>
      <c r="AC14" s="238"/>
      <c r="AD14" s="133"/>
      <c r="AE14" s="133"/>
      <c r="AF14" s="133"/>
      <c r="AG14" s="133"/>
    </row>
    <row r="15" spans="1:34" s="369" customFormat="1" x14ac:dyDescent="0.3">
      <c r="A15" s="704" t="s">
        <v>211</v>
      </c>
      <c r="B15" s="211"/>
      <c r="C15" s="222"/>
      <c r="D15" s="211"/>
      <c r="E15" s="16"/>
      <c r="F15" s="16"/>
      <c r="G15" s="146"/>
      <c r="H15" s="35"/>
      <c r="I15" s="139"/>
      <c r="J15" s="238"/>
      <c r="K15" s="238"/>
      <c r="L15" s="238"/>
      <c r="M15" s="238"/>
      <c r="N15" s="238"/>
      <c r="O15" s="238"/>
      <c r="P15" s="238"/>
      <c r="Q15" s="563" t="s">
        <v>4159</v>
      </c>
      <c r="R15" s="238"/>
      <c r="S15" s="238"/>
      <c r="T15" s="238"/>
      <c r="U15" s="238"/>
      <c r="V15" s="238"/>
      <c r="W15" s="238"/>
      <c r="X15" s="238"/>
      <c r="Y15" s="238"/>
      <c r="Z15" s="238"/>
      <c r="AA15" s="238"/>
      <c r="AB15" s="238"/>
      <c r="AC15" s="238"/>
      <c r="AD15" s="133"/>
      <c r="AE15" s="133"/>
      <c r="AF15" s="133"/>
      <c r="AG15" s="133"/>
    </row>
    <row r="16" spans="1:34" s="369" customFormat="1" ht="15" x14ac:dyDescent="0.3">
      <c r="A16" s="208"/>
      <c r="B16" s="208" t="s">
        <v>485</v>
      </c>
      <c r="C16" s="222"/>
      <c r="D16" s="211"/>
      <c r="E16" s="16"/>
      <c r="F16" s="16"/>
      <c r="G16" s="35" t="s">
        <v>502</v>
      </c>
      <c r="H16" s="35" t="s">
        <v>487</v>
      </c>
      <c r="I16" s="229">
        <f>E.aCS/1000*(Molweight*3600*24*365)</f>
        <v>0</v>
      </c>
      <c r="J16" s="238">
        <v>0</v>
      </c>
      <c r="K16" s="238">
        <v>0</v>
      </c>
      <c r="L16" s="238"/>
      <c r="M16" s="238"/>
      <c r="N16" s="238"/>
      <c r="O16" s="238"/>
      <c r="P16" s="238"/>
      <c r="Q16" s="563">
        <v>18</v>
      </c>
      <c r="R16" s="238">
        <v>0</v>
      </c>
      <c r="S16" s="238">
        <v>0</v>
      </c>
      <c r="T16" s="238">
        <v>0</v>
      </c>
      <c r="U16" s="238">
        <v>0</v>
      </c>
      <c r="V16" s="238"/>
      <c r="W16" s="238"/>
      <c r="X16" s="238"/>
      <c r="Y16" s="238"/>
      <c r="Z16" s="238"/>
      <c r="AA16" s="238"/>
      <c r="AB16" s="238"/>
      <c r="AC16" s="238"/>
      <c r="AD16" s="133"/>
      <c r="AE16" s="133"/>
      <c r="AF16" s="133"/>
      <c r="AG16" s="133"/>
    </row>
    <row r="17" spans="1:33" s="369" customFormat="1" ht="15" x14ac:dyDescent="0.3">
      <c r="A17" s="208"/>
      <c r="B17" s="208" t="s">
        <v>489</v>
      </c>
      <c r="C17" s="222"/>
      <c r="D17" s="211"/>
      <c r="E17" s="16"/>
      <c r="F17" s="16"/>
      <c r="G17" s="35" t="s">
        <v>503</v>
      </c>
      <c r="H17" s="35" t="s">
        <v>487</v>
      </c>
      <c r="I17" s="229">
        <f>E.w0CS/1000*(Molweight*3600*24*365)</f>
        <v>0</v>
      </c>
      <c r="J17" s="238">
        <v>0</v>
      </c>
      <c r="K17" s="238">
        <v>0</v>
      </c>
      <c r="L17" s="238"/>
      <c r="M17" s="238"/>
      <c r="N17" s="238"/>
      <c r="O17" s="238"/>
      <c r="P17" s="238"/>
      <c r="Q17" s="563">
        <v>2.93</v>
      </c>
      <c r="R17" s="238">
        <v>0</v>
      </c>
      <c r="S17" s="238">
        <v>0</v>
      </c>
      <c r="T17" s="238">
        <v>0</v>
      </c>
      <c r="U17" s="238">
        <v>0</v>
      </c>
      <c r="V17" s="238"/>
      <c r="W17" s="238"/>
      <c r="X17" s="238"/>
      <c r="Y17" s="238"/>
      <c r="Z17" s="238"/>
      <c r="AA17" s="238"/>
      <c r="AB17" s="238"/>
      <c r="AC17" s="238"/>
      <c r="AD17" s="133"/>
      <c r="AE17" s="133"/>
      <c r="AF17" s="133"/>
      <c r="AG17" s="133"/>
    </row>
    <row r="18" spans="1:33" s="369" customFormat="1" ht="15" x14ac:dyDescent="0.3">
      <c r="A18" s="208"/>
      <c r="B18" s="208" t="s">
        <v>4241</v>
      </c>
      <c r="C18" s="222"/>
      <c r="D18" s="211"/>
      <c r="E18" s="16"/>
      <c r="F18" s="16"/>
      <c r="G18" s="35" t="s">
        <v>504</v>
      </c>
      <c r="H18" s="35" t="s">
        <v>487</v>
      </c>
      <c r="I18" s="229">
        <f>E.w1CS/1000*(Molweight*3600*24*365)</f>
        <v>0</v>
      </c>
      <c r="J18" s="238">
        <v>0</v>
      </c>
      <c r="K18" s="238">
        <v>0</v>
      </c>
      <c r="L18" s="238"/>
      <c r="M18" s="238"/>
      <c r="N18" s="238"/>
      <c r="O18" s="238"/>
      <c r="P18" s="238"/>
      <c r="Q18" s="563">
        <v>32.200000000000003</v>
      </c>
      <c r="R18" s="238">
        <v>0</v>
      </c>
      <c r="S18" s="238">
        <v>0</v>
      </c>
      <c r="T18" s="238">
        <v>0</v>
      </c>
      <c r="U18" s="238">
        <v>0</v>
      </c>
      <c r="V18" s="238"/>
      <c r="W18" s="238"/>
      <c r="X18" s="238"/>
      <c r="Y18" s="238"/>
      <c r="Z18" s="238"/>
      <c r="AA18" s="238"/>
      <c r="AB18" s="238"/>
      <c r="AC18" s="238"/>
      <c r="AD18" s="133"/>
      <c r="AE18" s="133"/>
      <c r="AF18" s="133"/>
      <c r="AG18" s="133"/>
    </row>
    <row r="19" spans="1:33" s="369" customFormat="1" ht="15" x14ac:dyDescent="0.3">
      <c r="A19" s="208"/>
      <c r="B19" s="208" t="s">
        <v>4242</v>
      </c>
      <c r="C19" s="222"/>
      <c r="D19" s="211"/>
      <c r="E19" s="16"/>
      <c r="F19" s="16"/>
      <c r="G19" s="35" t="s">
        <v>505</v>
      </c>
      <c r="H19" s="35" t="s">
        <v>487</v>
      </c>
      <c r="I19" s="229">
        <f>E.w2CS/1000*(Molweight*3600*24*365)</f>
        <v>0</v>
      </c>
      <c r="J19" s="238">
        <v>0</v>
      </c>
      <c r="K19" s="238">
        <v>0</v>
      </c>
      <c r="L19" s="238"/>
      <c r="M19" s="238"/>
      <c r="N19" s="238"/>
      <c r="O19" s="238"/>
      <c r="P19" s="238"/>
      <c r="Q19" s="563">
        <v>0</v>
      </c>
      <c r="R19" s="238">
        <v>0</v>
      </c>
      <c r="S19" s="238">
        <v>0</v>
      </c>
      <c r="T19" s="238">
        <v>0</v>
      </c>
      <c r="U19" s="238">
        <v>0</v>
      </c>
      <c r="V19" s="238"/>
      <c r="W19" s="238"/>
      <c r="X19" s="238"/>
      <c r="Y19" s="238"/>
      <c r="Z19" s="238"/>
      <c r="AA19" s="238"/>
      <c r="AB19" s="238"/>
      <c r="AC19" s="238"/>
      <c r="AD19" s="133"/>
      <c r="AE19" s="133"/>
      <c r="AF19" s="133"/>
      <c r="AG19" s="133"/>
    </row>
    <row r="20" spans="1:33" s="369" customFormat="1" ht="15" x14ac:dyDescent="0.3">
      <c r="A20" s="208"/>
      <c r="B20" s="208" t="s">
        <v>495</v>
      </c>
      <c r="C20" s="222"/>
      <c r="D20" s="211"/>
      <c r="E20" s="16"/>
      <c r="F20" s="16"/>
      <c r="G20" s="35" t="s">
        <v>506</v>
      </c>
      <c r="H20" s="35" t="s">
        <v>487</v>
      </c>
      <c r="I20" s="229">
        <f>E.s1CS/1000*(Molweight*3600*24*365)</f>
        <v>0</v>
      </c>
      <c r="J20" s="238">
        <v>0</v>
      </c>
      <c r="K20" s="238">
        <v>0</v>
      </c>
      <c r="L20" s="238"/>
      <c r="M20" s="238"/>
      <c r="N20" s="238"/>
      <c r="O20" s="238"/>
      <c r="P20" s="238"/>
      <c r="Q20" s="563">
        <v>0</v>
      </c>
      <c r="R20" s="238">
        <v>0</v>
      </c>
      <c r="S20" s="238">
        <v>0</v>
      </c>
      <c r="T20" s="238">
        <v>0</v>
      </c>
      <c r="U20" s="238">
        <v>0</v>
      </c>
      <c r="V20" s="238"/>
      <c r="W20" s="238"/>
      <c r="X20" s="238"/>
      <c r="Y20" s="238"/>
      <c r="Z20" s="238"/>
      <c r="AA20" s="238"/>
      <c r="AB20" s="238"/>
      <c r="AC20" s="238"/>
      <c r="AD20" s="133"/>
      <c r="AE20" s="133"/>
      <c r="AF20" s="133"/>
      <c r="AG20" s="133"/>
    </row>
    <row r="21" spans="1:33" s="369" customFormat="1" ht="15" x14ac:dyDescent="0.3">
      <c r="A21" s="208"/>
      <c r="B21" s="208" t="s">
        <v>497</v>
      </c>
      <c r="C21" s="222"/>
      <c r="D21" s="211"/>
      <c r="E21" s="16"/>
      <c r="F21" s="16"/>
      <c r="G21" s="35" t="s">
        <v>507</v>
      </c>
      <c r="H21" s="35" t="s">
        <v>487</v>
      </c>
      <c r="I21" s="229">
        <f>E.s2CS/1000*(Molweight*3600*24*365)</f>
        <v>0</v>
      </c>
      <c r="J21" s="238">
        <v>0</v>
      </c>
      <c r="K21" s="238">
        <v>0</v>
      </c>
      <c r="L21" s="238"/>
      <c r="M21" s="238"/>
      <c r="N21" s="238"/>
      <c r="O21" s="238"/>
      <c r="P21" s="238"/>
      <c r="Q21" s="563">
        <v>1620</v>
      </c>
      <c r="R21" s="238">
        <v>0</v>
      </c>
      <c r="S21" s="238">
        <v>0</v>
      </c>
      <c r="T21" s="238">
        <v>0</v>
      </c>
      <c r="U21" s="238">
        <v>0</v>
      </c>
      <c r="V21" s="238"/>
      <c r="W21" s="238"/>
      <c r="X21" s="238"/>
      <c r="Y21" s="238"/>
      <c r="Z21" s="238"/>
      <c r="AA21" s="238"/>
      <c r="AB21" s="238"/>
      <c r="AC21" s="238"/>
      <c r="AD21" s="133"/>
      <c r="AE21" s="133"/>
      <c r="AF21" s="133"/>
      <c r="AG21" s="133"/>
    </row>
    <row r="22" spans="1:33" s="369" customFormat="1" ht="15" x14ac:dyDescent="0.3">
      <c r="A22" s="208"/>
      <c r="B22" s="208" t="s">
        <v>500</v>
      </c>
      <c r="C22" s="222"/>
      <c r="D22" s="211"/>
      <c r="E22" s="16"/>
      <c r="F22" s="16"/>
      <c r="G22" s="35" t="s">
        <v>508</v>
      </c>
      <c r="H22" s="35" t="s">
        <v>487</v>
      </c>
      <c r="I22" s="229">
        <f>E.s3CS/1000*(Molweight*3600*24*365)</f>
        <v>0</v>
      </c>
      <c r="J22" s="238">
        <v>0</v>
      </c>
      <c r="K22" s="238">
        <v>0</v>
      </c>
      <c r="L22" s="238"/>
      <c r="M22" s="238"/>
      <c r="N22" s="238"/>
      <c r="O22" s="238"/>
      <c r="P22" s="238"/>
      <c r="Q22" s="563">
        <v>9</v>
      </c>
      <c r="R22" s="238">
        <v>0</v>
      </c>
      <c r="S22" s="238">
        <v>0</v>
      </c>
      <c r="T22" s="238">
        <v>0</v>
      </c>
      <c r="U22" s="238">
        <v>0</v>
      </c>
      <c r="V22" s="238"/>
      <c r="W22" s="238"/>
      <c r="X22" s="238"/>
      <c r="Y22" s="238"/>
      <c r="Z22" s="238"/>
      <c r="AA22" s="238"/>
      <c r="AB22" s="238"/>
      <c r="AC22" s="238"/>
      <c r="AD22" s="133"/>
      <c r="AE22" s="133"/>
      <c r="AF22" s="133"/>
      <c r="AG22" s="133"/>
    </row>
    <row r="23" spans="1:33" s="369" customFormat="1" x14ac:dyDescent="0.3">
      <c r="A23" s="704" t="s">
        <v>227</v>
      </c>
      <c r="B23" s="211"/>
      <c r="C23" s="222"/>
      <c r="D23" s="211"/>
      <c r="E23" s="16"/>
      <c r="F23" s="16"/>
      <c r="G23" s="146"/>
      <c r="H23" s="35"/>
      <c r="I23" s="139"/>
      <c r="J23" s="238"/>
      <c r="K23" s="238"/>
      <c r="L23" s="238"/>
      <c r="M23" s="238"/>
      <c r="N23" s="238"/>
      <c r="O23" s="238"/>
      <c r="P23" s="238"/>
      <c r="Q23" s="238"/>
      <c r="R23" s="238"/>
      <c r="S23" s="238"/>
      <c r="T23" s="238"/>
      <c r="U23" s="238"/>
      <c r="V23" s="238"/>
      <c r="W23" s="238"/>
      <c r="X23" s="238"/>
      <c r="Y23" s="238"/>
      <c r="Z23" s="238"/>
      <c r="AA23" s="238"/>
      <c r="AB23" s="238"/>
      <c r="AC23" s="238"/>
      <c r="AD23" s="133"/>
      <c r="AE23" s="133"/>
      <c r="AF23" s="133"/>
      <c r="AG23" s="133"/>
    </row>
    <row r="24" spans="1:33" s="369" customFormat="1" ht="15" x14ac:dyDescent="0.3">
      <c r="A24" s="208"/>
      <c r="B24" s="208" t="s">
        <v>485</v>
      </c>
      <c r="C24" s="222"/>
      <c r="D24" s="211"/>
      <c r="E24" s="16"/>
      <c r="F24" s="16"/>
      <c r="G24" s="35" t="s">
        <v>509</v>
      </c>
      <c r="H24" s="35" t="s">
        <v>487</v>
      </c>
      <c r="I24" s="229">
        <f>E.aMS/1000*(Molweight*3600*24*365)</f>
        <v>0</v>
      </c>
      <c r="J24" s="238">
        <v>0</v>
      </c>
      <c r="K24" s="238">
        <v>0</v>
      </c>
      <c r="L24" s="238"/>
      <c r="M24" s="238"/>
      <c r="N24" s="238"/>
      <c r="O24" s="238"/>
      <c r="P24" s="238"/>
      <c r="Q24" s="238"/>
      <c r="R24" s="238">
        <v>0</v>
      </c>
      <c r="S24" s="238">
        <v>0</v>
      </c>
      <c r="T24" s="238">
        <v>0</v>
      </c>
      <c r="U24" s="238">
        <v>0</v>
      </c>
      <c r="V24" s="238"/>
      <c r="W24" s="238"/>
      <c r="X24" s="238"/>
      <c r="Y24" s="238"/>
      <c r="Z24" s="238"/>
      <c r="AA24" s="238"/>
      <c r="AB24" s="238"/>
      <c r="AC24" s="238"/>
      <c r="AD24" s="133"/>
      <c r="AE24" s="133"/>
      <c r="AF24" s="133"/>
      <c r="AG24" s="133"/>
    </row>
    <row r="25" spans="1:33" s="369" customFormat="1" ht="15" x14ac:dyDescent="0.3">
      <c r="A25" s="208"/>
      <c r="B25" s="208" t="s">
        <v>510</v>
      </c>
      <c r="C25" s="222"/>
      <c r="D25" s="211"/>
      <c r="E25" s="16"/>
      <c r="F25" s="16"/>
      <c r="G25" s="35" t="s">
        <v>511</v>
      </c>
      <c r="H25" s="35" t="s">
        <v>487</v>
      </c>
      <c r="I25" s="229">
        <f>E.w2MS/1000*(Molweight*3600*24*365)</f>
        <v>0</v>
      </c>
      <c r="J25" s="238">
        <v>0</v>
      </c>
      <c r="K25" s="238">
        <v>0</v>
      </c>
      <c r="L25" s="238"/>
      <c r="M25" s="238"/>
      <c r="N25" s="238"/>
      <c r="O25" s="238"/>
      <c r="P25" s="238"/>
      <c r="Q25" s="238"/>
      <c r="R25" s="238">
        <v>0</v>
      </c>
      <c r="S25" s="238">
        <v>0</v>
      </c>
      <c r="T25" s="238">
        <v>0</v>
      </c>
      <c r="U25" s="238">
        <v>0</v>
      </c>
      <c r="V25" s="238"/>
      <c r="W25" s="238"/>
      <c r="X25" s="238"/>
      <c r="Y25" s="238"/>
      <c r="Z25" s="238"/>
      <c r="AA25" s="238"/>
      <c r="AB25" s="238"/>
      <c r="AC25" s="238"/>
      <c r="AD25" s="133"/>
      <c r="AE25" s="133"/>
      <c r="AF25" s="133"/>
      <c r="AG25" s="133"/>
    </row>
    <row r="26" spans="1:33" s="369" customFormat="1" ht="15" x14ac:dyDescent="0.3">
      <c r="A26" s="208"/>
      <c r="B26" s="208" t="s">
        <v>512</v>
      </c>
      <c r="C26" s="222"/>
      <c r="D26" s="211"/>
      <c r="E26" s="16"/>
      <c r="F26" s="16"/>
      <c r="G26" s="35" t="s">
        <v>513</v>
      </c>
      <c r="H26" s="35" t="s">
        <v>487</v>
      </c>
      <c r="I26" s="229">
        <f>E.sMS/1000*(Molweight*3600*24*365)</f>
        <v>0</v>
      </c>
      <c r="J26" s="238">
        <v>0</v>
      </c>
      <c r="K26" s="238">
        <v>0</v>
      </c>
      <c r="L26" s="238"/>
      <c r="M26" s="238"/>
      <c r="N26" s="238"/>
      <c r="O26" s="238"/>
      <c r="P26" s="238"/>
      <c r="Q26" s="238"/>
      <c r="R26" s="238">
        <v>0</v>
      </c>
      <c r="S26" s="238">
        <v>0</v>
      </c>
      <c r="T26" s="238">
        <v>0</v>
      </c>
      <c r="U26" s="238">
        <v>0</v>
      </c>
      <c r="V26" s="238"/>
      <c r="W26" s="238"/>
      <c r="X26" s="238"/>
      <c r="Y26" s="238"/>
      <c r="Z26" s="238"/>
      <c r="AA26" s="238"/>
      <c r="AB26" s="238"/>
      <c r="AC26" s="238"/>
      <c r="AD26" s="133"/>
      <c r="AE26" s="133"/>
      <c r="AF26" s="133"/>
      <c r="AG26" s="133"/>
    </row>
    <row r="27" spans="1:33" s="369" customFormat="1" x14ac:dyDescent="0.3">
      <c r="A27" s="630" t="s">
        <v>228</v>
      </c>
      <c r="B27" s="208"/>
      <c r="C27" s="222"/>
      <c r="D27" s="211"/>
      <c r="E27" s="16"/>
      <c r="F27" s="16"/>
      <c r="G27" s="146"/>
      <c r="H27" s="35"/>
      <c r="I27" s="139"/>
      <c r="J27" s="238"/>
      <c r="K27" s="238"/>
      <c r="L27" s="238"/>
      <c r="M27" s="238"/>
      <c r="N27" s="238"/>
      <c r="O27" s="238"/>
      <c r="P27" s="238"/>
      <c r="Q27" s="238"/>
      <c r="R27" s="238"/>
      <c r="S27" s="238"/>
      <c r="T27" s="238"/>
      <c r="U27" s="238"/>
      <c r="V27" s="238"/>
      <c r="W27" s="238"/>
      <c r="X27" s="238"/>
      <c r="Y27" s="238"/>
      <c r="Z27" s="238"/>
      <c r="AA27" s="238"/>
      <c r="AB27" s="238"/>
      <c r="AC27" s="238"/>
      <c r="AD27" s="133"/>
      <c r="AE27" s="133"/>
      <c r="AF27" s="133"/>
      <c r="AG27" s="133"/>
    </row>
    <row r="28" spans="1:33" s="369" customFormat="1" ht="15" x14ac:dyDescent="0.3">
      <c r="A28" s="208"/>
      <c r="B28" s="208" t="s">
        <v>485</v>
      </c>
      <c r="C28" s="222"/>
      <c r="D28" s="211"/>
      <c r="E28" s="16"/>
      <c r="F28" s="16"/>
      <c r="G28" s="35" t="s">
        <v>514</v>
      </c>
      <c r="H28" s="35" t="s">
        <v>487</v>
      </c>
      <c r="I28" s="229">
        <f>E.aAS/1000*(Molweight*3600*24*365)</f>
        <v>0</v>
      </c>
      <c r="J28" s="238">
        <v>0</v>
      </c>
      <c r="K28" s="238">
        <v>0</v>
      </c>
      <c r="L28" s="238"/>
      <c r="M28" s="238"/>
      <c r="N28" s="238"/>
      <c r="O28" s="238"/>
      <c r="P28" s="238"/>
      <c r="Q28" s="238"/>
      <c r="R28" s="238">
        <v>0</v>
      </c>
      <c r="S28" s="238">
        <v>0</v>
      </c>
      <c r="T28" s="238">
        <v>0</v>
      </c>
      <c r="U28" s="238">
        <v>0</v>
      </c>
      <c r="V28" s="238"/>
      <c r="W28" s="238"/>
      <c r="X28" s="238"/>
      <c r="Y28" s="238"/>
      <c r="Z28" s="238"/>
      <c r="AA28" s="238"/>
      <c r="AB28" s="238"/>
      <c r="AC28" s="238"/>
      <c r="AD28" s="133"/>
      <c r="AE28" s="133"/>
      <c r="AF28" s="133"/>
      <c r="AG28" s="133"/>
    </row>
    <row r="29" spans="1:33" s="369" customFormat="1" ht="15" x14ac:dyDescent="0.3">
      <c r="A29" s="208"/>
      <c r="B29" s="208" t="s">
        <v>510</v>
      </c>
      <c r="C29" s="222"/>
      <c r="D29" s="211"/>
      <c r="E29" s="16"/>
      <c r="F29" s="16"/>
      <c r="G29" s="35" t="s">
        <v>515</v>
      </c>
      <c r="H29" s="35" t="s">
        <v>487</v>
      </c>
      <c r="I29" s="229">
        <f>E.w2AS/1000*(Molweight*3600*24*365)</f>
        <v>0</v>
      </c>
      <c r="J29" s="238">
        <v>0</v>
      </c>
      <c r="K29" s="238">
        <v>0</v>
      </c>
      <c r="L29" s="238"/>
      <c r="M29" s="238"/>
      <c r="N29" s="238"/>
      <c r="O29" s="238"/>
      <c r="P29" s="238"/>
      <c r="Q29" s="238"/>
      <c r="R29" s="238">
        <v>0</v>
      </c>
      <c r="S29" s="238">
        <v>0</v>
      </c>
      <c r="T29" s="238">
        <v>0</v>
      </c>
      <c r="U29" s="238">
        <v>0</v>
      </c>
      <c r="V29" s="238"/>
      <c r="W29" s="238"/>
      <c r="X29" s="238"/>
      <c r="Y29" s="238"/>
      <c r="Z29" s="238"/>
      <c r="AA29" s="238"/>
      <c r="AB29" s="238"/>
      <c r="AC29" s="238"/>
      <c r="AD29" s="133"/>
      <c r="AE29" s="133"/>
      <c r="AF29" s="133"/>
      <c r="AG29" s="133"/>
    </row>
    <row r="30" spans="1:33" s="369" customFormat="1" ht="15" x14ac:dyDescent="0.3">
      <c r="A30" s="208"/>
      <c r="B30" s="208" t="s">
        <v>512</v>
      </c>
      <c r="C30" s="222"/>
      <c r="D30" s="211"/>
      <c r="E30" s="16"/>
      <c r="F30" s="16"/>
      <c r="G30" s="35" t="s">
        <v>516</v>
      </c>
      <c r="H30" s="35" t="s">
        <v>487</v>
      </c>
      <c r="I30" s="229">
        <f>E.sAS/1000*(Molweight*3600*24*365)</f>
        <v>0</v>
      </c>
      <c r="J30" s="238">
        <v>0</v>
      </c>
      <c r="K30" s="238">
        <v>0</v>
      </c>
      <c r="L30" s="238"/>
      <c r="M30" s="238"/>
      <c r="N30" s="238"/>
      <c r="O30" s="238"/>
      <c r="P30" s="238"/>
      <c r="Q30" s="238"/>
      <c r="R30" s="238">
        <v>0</v>
      </c>
      <c r="S30" s="238">
        <v>0</v>
      </c>
      <c r="T30" s="238">
        <v>0</v>
      </c>
      <c r="U30" s="238">
        <v>0</v>
      </c>
      <c r="V30" s="238"/>
      <c r="W30" s="238"/>
      <c r="X30" s="238"/>
      <c r="Y30" s="238"/>
      <c r="Z30" s="238"/>
      <c r="AA30" s="238"/>
      <c r="AB30" s="238"/>
      <c r="AC30" s="238"/>
      <c r="AD30" s="133"/>
      <c r="AE30" s="133"/>
      <c r="AF30" s="133"/>
      <c r="AG30" s="133"/>
    </row>
    <row r="31" spans="1:33" s="369" customFormat="1" x14ac:dyDescent="0.3">
      <c r="A31" s="704" t="s">
        <v>517</v>
      </c>
      <c r="B31" s="211"/>
      <c r="C31" s="222"/>
      <c r="D31" s="211"/>
      <c r="E31" s="16"/>
      <c r="F31" s="16"/>
      <c r="G31" s="146"/>
      <c r="H31" s="35"/>
      <c r="I31" s="139"/>
      <c r="J31" s="238"/>
      <c r="K31" s="238"/>
      <c r="L31" s="238"/>
      <c r="M31" s="238"/>
      <c r="N31" s="238"/>
      <c r="O31" s="238"/>
      <c r="P31" s="238"/>
      <c r="Q31" s="238"/>
      <c r="R31" s="238"/>
      <c r="S31" s="238"/>
      <c r="T31" s="238"/>
      <c r="U31" s="238"/>
      <c r="V31" s="238"/>
      <c r="W31" s="238"/>
      <c r="X31" s="238"/>
      <c r="Y31" s="238"/>
      <c r="Z31" s="238"/>
      <c r="AA31" s="238"/>
      <c r="AB31" s="238"/>
      <c r="AC31" s="238"/>
      <c r="AD31" s="133"/>
      <c r="AE31" s="133"/>
      <c r="AF31" s="133"/>
      <c r="AG31" s="133"/>
    </row>
    <row r="32" spans="1:33" s="369" customFormat="1" ht="15" x14ac:dyDescent="0.3">
      <c r="A32" s="208"/>
      <c r="B32" s="208" t="s">
        <v>485</v>
      </c>
      <c r="C32" s="222"/>
      <c r="D32" s="211"/>
      <c r="E32" s="16"/>
      <c r="F32" s="16"/>
      <c r="G32" s="35" t="s">
        <v>518</v>
      </c>
      <c r="H32" s="35" t="s">
        <v>487</v>
      </c>
      <c r="I32" s="229">
        <f>E.aTS/1000*(Molweight*3600*24*365)</f>
        <v>0</v>
      </c>
      <c r="J32" s="471">
        <v>0</v>
      </c>
      <c r="K32" s="471">
        <v>0</v>
      </c>
      <c r="L32" s="471"/>
      <c r="M32" s="471"/>
      <c r="N32" s="471"/>
      <c r="O32" s="471"/>
      <c r="P32" s="471"/>
      <c r="Q32" s="471"/>
      <c r="R32" s="471">
        <v>0</v>
      </c>
      <c r="S32" s="471">
        <v>0</v>
      </c>
      <c r="T32" s="471">
        <v>0</v>
      </c>
      <c r="U32" s="471">
        <v>0</v>
      </c>
      <c r="V32" s="471"/>
      <c r="W32" s="471"/>
      <c r="X32" s="471"/>
      <c r="Y32" s="471"/>
      <c r="Z32" s="471"/>
      <c r="AA32" s="471"/>
      <c r="AB32" s="471"/>
      <c r="AC32" s="471"/>
      <c r="AD32" s="133"/>
      <c r="AE32" s="133"/>
      <c r="AF32" s="133"/>
      <c r="AG32" s="133"/>
    </row>
    <row r="33" spans="1:33" s="369" customFormat="1" ht="15" x14ac:dyDescent="0.3">
      <c r="A33" s="208"/>
      <c r="B33" s="208" t="s">
        <v>510</v>
      </c>
      <c r="C33" s="222"/>
      <c r="D33" s="211"/>
      <c r="E33" s="16"/>
      <c r="F33" s="16"/>
      <c r="G33" s="35" t="s">
        <v>519</v>
      </c>
      <c r="H33" s="35" t="s">
        <v>487</v>
      </c>
      <c r="I33" s="229">
        <f>E.w2TS/1000*(Molweight*3600*24*365)</f>
        <v>0</v>
      </c>
      <c r="J33" s="238">
        <v>0</v>
      </c>
      <c r="K33" s="238">
        <v>0</v>
      </c>
      <c r="L33" s="238"/>
      <c r="M33" s="238"/>
      <c r="N33" s="238"/>
      <c r="O33" s="238"/>
      <c r="P33" s="238"/>
      <c r="Q33" s="238"/>
      <c r="R33" s="238">
        <v>0</v>
      </c>
      <c r="S33" s="238">
        <v>0</v>
      </c>
      <c r="T33" s="238">
        <v>0</v>
      </c>
      <c r="U33" s="238">
        <v>0</v>
      </c>
      <c r="V33" s="238"/>
      <c r="W33" s="238"/>
      <c r="X33" s="238"/>
      <c r="Y33" s="238"/>
      <c r="Z33" s="238"/>
      <c r="AA33" s="238"/>
      <c r="AB33" s="238"/>
      <c r="AC33" s="238"/>
      <c r="AD33" s="133"/>
      <c r="AE33" s="133"/>
      <c r="AF33" s="133"/>
      <c r="AG33" s="133"/>
    </row>
    <row r="34" spans="1:33" s="369" customFormat="1" ht="15" x14ac:dyDescent="0.3">
      <c r="A34" s="208"/>
      <c r="B34" s="208" t="s">
        <v>512</v>
      </c>
      <c r="C34" s="222"/>
      <c r="D34" s="211"/>
      <c r="E34" s="16"/>
      <c r="F34" s="16"/>
      <c r="G34" s="35" t="s">
        <v>520</v>
      </c>
      <c r="H34" s="35" t="s">
        <v>487</v>
      </c>
      <c r="I34" s="229">
        <f>E.sTS/1000*(Molweight*3600*24*365)</f>
        <v>0</v>
      </c>
      <c r="J34" s="238">
        <v>0</v>
      </c>
      <c r="K34" s="238">
        <v>0</v>
      </c>
      <c r="L34" s="238"/>
      <c r="M34" s="238"/>
      <c r="N34" s="238"/>
      <c r="O34" s="238"/>
      <c r="P34" s="238"/>
      <c r="Q34" s="238"/>
      <c r="R34" s="238">
        <v>0</v>
      </c>
      <c r="S34" s="238">
        <v>0</v>
      </c>
      <c r="T34" s="238">
        <v>0</v>
      </c>
      <c r="U34" s="238">
        <v>0</v>
      </c>
      <c r="V34" s="238"/>
      <c r="W34" s="238"/>
      <c r="X34" s="238"/>
      <c r="Y34" s="238"/>
      <c r="Z34" s="238"/>
      <c r="AA34" s="238"/>
      <c r="AB34" s="238"/>
      <c r="AC34" s="238"/>
      <c r="AD34" s="133"/>
      <c r="AE34" s="133"/>
      <c r="AF34" s="133"/>
      <c r="AG34" s="133"/>
    </row>
    <row r="35" spans="1:33" ht="12.75" customHeight="1" x14ac:dyDescent="0.3">
      <c r="A35" s="35"/>
      <c r="B35" s="16"/>
      <c r="C35" s="16"/>
      <c r="D35" s="16"/>
      <c r="E35" s="16"/>
      <c r="F35" s="16"/>
      <c r="G35" s="35"/>
      <c r="H35" s="35"/>
      <c r="I35" s="212"/>
      <c r="J35" s="468"/>
      <c r="K35" s="468"/>
      <c r="L35" s="469"/>
      <c r="M35" s="469"/>
      <c r="N35" s="469"/>
      <c r="O35" s="469"/>
      <c r="P35" s="469"/>
      <c r="Q35" s="469"/>
      <c r="R35" s="469"/>
      <c r="S35" s="469"/>
      <c r="T35" s="469"/>
      <c r="U35" s="469"/>
      <c r="V35" s="469"/>
      <c r="W35" s="469"/>
      <c r="X35" s="469"/>
      <c r="Y35" s="469"/>
      <c r="Z35" s="469"/>
      <c r="AA35" s="469"/>
      <c r="AB35" s="469"/>
      <c r="AC35" s="469"/>
      <c r="AD35" s="121"/>
      <c r="AE35" s="121"/>
      <c r="AF35" s="121"/>
      <c r="AG35" s="121"/>
    </row>
    <row r="36" spans="1:33" x14ac:dyDescent="0.3">
      <c r="A36" s="580" t="s">
        <v>645</v>
      </c>
      <c r="B36" s="583"/>
      <c r="C36" s="299"/>
      <c r="D36" s="164"/>
      <c r="E36" s="164"/>
      <c r="F36" s="164"/>
      <c r="G36" s="299"/>
      <c r="H36" s="299"/>
      <c r="I36" s="213"/>
      <c r="J36" s="468"/>
      <c r="K36" s="468"/>
      <c r="L36" s="469"/>
      <c r="M36" s="469"/>
      <c r="N36" s="469"/>
      <c r="O36" s="469"/>
      <c r="P36" s="469"/>
      <c r="Q36" s="469"/>
      <c r="R36" s="468"/>
      <c r="S36" s="468"/>
      <c r="T36" s="469"/>
      <c r="U36" s="469"/>
      <c r="V36" s="468"/>
      <c r="W36" s="468"/>
      <c r="X36" s="469"/>
      <c r="Y36" s="469"/>
      <c r="Z36" s="469"/>
      <c r="AA36" s="469"/>
      <c r="AB36" s="469"/>
      <c r="AC36" s="469"/>
      <c r="AD36" s="121"/>
      <c r="AE36" s="121"/>
      <c r="AF36" s="121"/>
      <c r="AG36" s="121"/>
    </row>
    <row r="37" spans="1:33" x14ac:dyDescent="0.3">
      <c r="A37" s="71" t="s">
        <v>58</v>
      </c>
      <c r="B37" s="16"/>
      <c r="C37" s="16"/>
      <c r="D37" s="16"/>
      <c r="E37" s="16"/>
      <c r="F37" s="16"/>
      <c r="G37" s="35"/>
      <c r="H37" s="35"/>
      <c r="I37" s="213"/>
      <c r="J37" s="468"/>
      <c r="K37" s="468"/>
      <c r="L37" s="469"/>
      <c r="M37" s="469"/>
      <c r="N37" s="469"/>
      <c r="O37" s="469"/>
      <c r="P37" s="469"/>
      <c r="Q37" s="469"/>
      <c r="R37" s="468"/>
      <c r="S37" s="468"/>
      <c r="T37" s="469"/>
      <c r="U37" s="469"/>
      <c r="V37" s="468"/>
      <c r="W37" s="468"/>
      <c r="X37" s="469"/>
      <c r="Y37" s="469"/>
      <c r="Z37" s="469"/>
      <c r="AA37" s="469"/>
      <c r="AB37" s="469"/>
      <c r="AC37" s="469"/>
      <c r="AD37" s="121"/>
      <c r="AE37" s="121"/>
      <c r="AF37" s="121"/>
      <c r="AG37" s="121"/>
    </row>
    <row r="38" spans="1:33" x14ac:dyDescent="0.3">
      <c r="A38" s="35"/>
      <c r="B38" s="35" t="s">
        <v>485</v>
      </c>
      <c r="C38" s="16"/>
      <c r="D38" s="16"/>
      <c r="E38" s="16"/>
      <c r="F38" s="16"/>
      <c r="G38" s="35" t="s">
        <v>646</v>
      </c>
      <c r="H38" s="35" t="s">
        <v>4243</v>
      </c>
      <c r="I38" s="229">
        <f>E.aRG/1000*(Molweight*3600*24*365)</f>
        <v>0</v>
      </c>
      <c r="J38" s="468">
        <v>0</v>
      </c>
      <c r="K38" s="468">
        <v>1</v>
      </c>
      <c r="L38" s="468">
        <v>0</v>
      </c>
      <c r="M38" s="468">
        <v>0</v>
      </c>
      <c r="N38" s="468">
        <v>0</v>
      </c>
      <c r="O38" s="468">
        <v>0</v>
      </c>
      <c r="P38" s="468">
        <v>0</v>
      </c>
      <c r="Q38" s="468">
        <v>0</v>
      </c>
      <c r="R38" s="468">
        <v>0</v>
      </c>
      <c r="S38" s="468">
        <v>0</v>
      </c>
      <c r="T38" s="468">
        <v>0</v>
      </c>
      <c r="U38" s="468">
        <v>0</v>
      </c>
      <c r="V38" s="468"/>
      <c r="W38" s="468"/>
      <c r="X38" s="468"/>
      <c r="Y38" s="468"/>
      <c r="Z38" s="468"/>
      <c r="AA38" s="468"/>
      <c r="AB38" s="468"/>
      <c r="AC38" s="468"/>
      <c r="AD38" s="121"/>
      <c r="AE38" s="121"/>
      <c r="AF38" s="121"/>
      <c r="AG38" s="121"/>
    </row>
    <row r="39" spans="1:33" x14ac:dyDescent="0.3">
      <c r="A39" s="35"/>
      <c r="B39" s="35" t="s">
        <v>4244</v>
      </c>
      <c r="C39" s="16"/>
      <c r="D39" s="16"/>
      <c r="E39" s="16"/>
      <c r="F39" s="16"/>
      <c r="G39" s="35" t="s">
        <v>647</v>
      </c>
      <c r="H39" s="35" t="s">
        <v>4243</v>
      </c>
      <c r="I39" s="229">
        <f>E.w0RD/1000*(Molweight*3600*24*365)</f>
        <v>0</v>
      </c>
      <c r="J39" s="468">
        <v>0</v>
      </c>
      <c r="K39" s="468">
        <v>0</v>
      </c>
      <c r="L39" s="468"/>
      <c r="M39" s="468"/>
      <c r="N39" s="468"/>
      <c r="O39" s="468"/>
      <c r="P39" s="468"/>
      <c r="Q39" s="468"/>
      <c r="R39" s="468">
        <v>0</v>
      </c>
      <c r="S39" s="468">
        <v>0</v>
      </c>
      <c r="T39" s="468">
        <v>0</v>
      </c>
      <c r="U39" s="468">
        <v>0</v>
      </c>
      <c r="V39" s="468"/>
      <c r="W39" s="468"/>
      <c r="X39" s="468"/>
      <c r="Y39" s="468"/>
      <c r="Z39" s="468"/>
      <c r="AA39" s="468"/>
      <c r="AB39" s="468"/>
      <c r="AC39" s="468"/>
      <c r="AD39" s="121"/>
      <c r="AE39" s="121"/>
      <c r="AF39" s="121"/>
      <c r="AG39" s="121"/>
    </row>
    <row r="40" spans="1:33" x14ac:dyDescent="0.3">
      <c r="A40" s="35"/>
      <c r="B40" s="35" t="s">
        <v>4245</v>
      </c>
      <c r="C40" s="16"/>
      <c r="D40" s="16"/>
      <c r="E40" s="16"/>
      <c r="F40" s="16"/>
      <c r="G40" s="35" t="s">
        <v>648</v>
      </c>
      <c r="H40" s="35" t="s">
        <v>4243</v>
      </c>
      <c r="I40" s="229">
        <f>E.w1RD/1000*(Molweight*3600*24*365)</f>
        <v>0</v>
      </c>
      <c r="J40" s="468">
        <v>0</v>
      </c>
      <c r="K40" s="468">
        <v>0</v>
      </c>
      <c r="L40" s="468">
        <v>0</v>
      </c>
      <c r="M40" s="468">
        <v>0</v>
      </c>
      <c r="N40" s="468">
        <v>0</v>
      </c>
      <c r="O40" s="468">
        <v>0</v>
      </c>
      <c r="P40" s="468">
        <v>0</v>
      </c>
      <c r="Q40" s="468">
        <v>0</v>
      </c>
      <c r="R40" s="468">
        <v>0</v>
      </c>
      <c r="S40" s="468">
        <v>0</v>
      </c>
      <c r="T40" s="468">
        <v>0</v>
      </c>
      <c r="U40" s="468">
        <v>0</v>
      </c>
      <c r="V40" s="468"/>
      <c r="W40" s="468"/>
      <c r="X40" s="468"/>
      <c r="Y40" s="468"/>
      <c r="Z40" s="468"/>
      <c r="AA40" s="468"/>
      <c r="AB40" s="468"/>
      <c r="AC40" s="468"/>
      <c r="AD40" s="121"/>
      <c r="AE40" s="121"/>
      <c r="AF40" s="121"/>
      <c r="AG40" s="121"/>
    </row>
    <row r="41" spans="1:33" x14ac:dyDescent="0.3">
      <c r="A41" s="35"/>
      <c r="B41" s="35" t="s">
        <v>4246</v>
      </c>
      <c r="C41" s="16"/>
      <c r="D41" s="16"/>
      <c r="E41" s="16"/>
      <c r="F41" s="16"/>
      <c r="G41" s="35" t="s">
        <v>649</v>
      </c>
      <c r="H41" s="35" t="s">
        <v>4243</v>
      </c>
      <c r="I41" s="229">
        <f>E.w2RD/1000*(Molweight*3600*24*365)</f>
        <v>0</v>
      </c>
      <c r="J41" s="468">
        <v>0</v>
      </c>
      <c r="K41" s="468">
        <v>0</v>
      </c>
      <c r="L41" s="468"/>
      <c r="M41" s="468"/>
      <c r="N41" s="468"/>
      <c r="O41" s="468"/>
      <c r="P41" s="468"/>
      <c r="Q41" s="468"/>
      <c r="R41" s="468">
        <v>0</v>
      </c>
      <c r="S41" s="468">
        <v>0</v>
      </c>
      <c r="T41" s="468">
        <v>0</v>
      </c>
      <c r="U41" s="468">
        <v>0</v>
      </c>
      <c r="V41" s="468"/>
      <c r="W41" s="468"/>
      <c r="X41" s="468"/>
      <c r="Y41" s="468"/>
      <c r="Z41" s="468"/>
      <c r="AA41" s="468"/>
      <c r="AB41" s="468"/>
      <c r="AC41" s="468"/>
      <c r="AD41" s="121"/>
      <c r="AE41" s="121"/>
      <c r="AF41" s="121"/>
      <c r="AG41" s="121"/>
    </row>
    <row r="42" spans="1:33" x14ac:dyDescent="0.3">
      <c r="A42" s="35"/>
      <c r="B42" s="35" t="s">
        <v>495</v>
      </c>
      <c r="C42" s="16"/>
      <c r="D42" s="16"/>
      <c r="E42" s="16"/>
      <c r="F42" s="16"/>
      <c r="G42" s="35" t="s">
        <v>650</v>
      </c>
      <c r="H42" s="35" t="s">
        <v>4243</v>
      </c>
      <c r="I42" s="229">
        <f>E.s1RD/1000*(Molweight*3600*24*365)</f>
        <v>0</v>
      </c>
      <c r="J42" s="469">
        <v>0</v>
      </c>
      <c r="K42" s="469">
        <v>0</v>
      </c>
      <c r="L42" s="469"/>
      <c r="M42" s="469"/>
      <c r="N42" s="469"/>
      <c r="O42" s="469"/>
      <c r="P42" s="469"/>
      <c r="Q42" s="469"/>
      <c r="R42" s="469">
        <v>0</v>
      </c>
      <c r="S42" s="469">
        <v>0</v>
      </c>
      <c r="T42" s="469">
        <v>0</v>
      </c>
      <c r="U42" s="469">
        <v>0</v>
      </c>
      <c r="V42" s="469"/>
      <c r="W42" s="469"/>
      <c r="X42" s="469"/>
      <c r="Y42" s="469"/>
      <c r="Z42" s="469"/>
      <c r="AA42" s="469"/>
      <c r="AB42" s="469"/>
      <c r="AC42" s="469"/>
      <c r="AD42" s="121"/>
      <c r="AE42" s="121"/>
      <c r="AF42" s="121"/>
      <c r="AG42" s="121"/>
    </row>
    <row r="43" spans="1:33" x14ac:dyDescent="0.3">
      <c r="A43" s="35"/>
      <c r="B43" s="35" t="s">
        <v>497</v>
      </c>
      <c r="C43" s="16"/>
      <c r="D43" s="16"/>
      <c r="E43" s="16"/>
      <c r="F43" s="16"/>
      <c r="G43" s="35" t="s">
        <v>651</v>
      </c>
      <c r="H43" s="35" t="s">
        <v>4243</v>
      </c>
      <c r="I43" s="229">
        <f>E.s2RD/1000*(Molweight*3600*24*365)</f>
        <v>0</v>
      </c>
      <c r="J43" s="468">
        <v>0</v>
      </c>
      <c r="K43" s="468">
        <v>0</v>
      </c>
      <c r="L43" s="468">
        <v>0</v>
      </c>
      <c r="M43" s="468">
        <v>0</v>
      </c>
      <c r="N43" s="468">
        <v>0</v>
      </c>
      <c r="O43" s="468">
        <v>0</v>
      </c>
      <c r="P43" s="468">
        <v>0</v>
      </c>
      <c r="Q43" s="468">
        <v>0</v>
      </c>
      <c r="R43" s="468">
        <v>0</v>
      </c>
      <c r="S43" s="468">
        <v>0</v>
      </c>
      <c r="T43" s="468">
        <v>0</v>
      </c>
      <c r="U43" s="468">
        <v>0</v>
      </c>
      <c r="V43" s="468"/>
      <c r="W43" s="468"/>
      <c r="X43" s="468"/>
      <c r="Y43" s="468"/>
      <c r="Z43" s="468"/>
      <c r="AA43" s="468"/>
      <c r="AB43" s="468"/>
      <c r="AC43" s="468"/>
      <c r="AD43" s="121"/>
      <c r="AE43" s="121"/>
      <c r="AF43" s="121"/>
      <c r="AG43" s="121"/>
    </row>
    <row r="44" spans="1:33" x14ac:dyDescent="0.3">
      <c r="A44" s="35"/>
      <c r="B44" s="35" t="s">
        <v>500</v>
      </c>
      <c r="C44" s="16"/>
      <c r="D44" s="16"/>
      <c r="E44" s="16"/>
      <c r="F44" s="16"/>
      <c r="G44" s="35" t="s">
        <v>652</v>
      </c>
      <c r="H44" s="35" t="s">
        <v>4243</v>
      </c>
      <c r="I44" s="229">
        <f>E.s3RD/1000*(Molweight*3600*24*365)</f>
        <v>0</v>
      </c>
      <c r="J44" s="468">
        <v>0</v>
      </c>
      <c r="K44" s="468">
        <v>0</v>
      </c>
      <c r="L44" s="468"/>
      <c r="M44" s="468"/>
      <c r="N44" s="468"/>
      <c r="O44" s="468"/>
      <c r="P44" s="468"/>
      <c r="Q44" s="468"/>
      <c r="R44" s="468">
        <v>0</v>
      </c>
      <c r="S44" s="468">
        <v>0</v>
      </c>
      <c r="T44" s="468">
        <v>0</v>
      </c>
      <c r="U44" s="468">
        <v>0</v>
      </c>
      <c r="V44" s="468"/>
      <c r="W44" s="468"/>
      <c r="X44" s="468"/>
      <c r="Y44" s="468"/>
      <c r="Z44" s="468"/>
      <c r="AA44" s="468"/>
      <c r="AB44" s="468"/>
      <c r="AC44" s="468"/>
      <c r="AD44" s="121"/>
      <c r="AE44" s="121"/>
      <c r="AF44" s="121"/>
      <c r="AG44" s="121"/>
    </row>
    <row r="45" spans="1:33" x14ac:dyDescent="0.3">
      <c r="A45" s="71" t="s">
        <v>211</v>
      </c>
      <c r="B45" s="16"/>
      <c r="C45" s="16"/>
      <c r="D45" s="16"/>
      <c r="E45" s="16"/>
      <c r="F45" s="16"/>
      <c r="G45" s="146"/>
      <c r="H45" s="35"/>
      <c r="I45" s="139"/>
      <c r="J45" s="468"/>
      <c r="K45" s="468"/>
      <c r="L45" s="468"/>
      <c r="M45" s="468"/>
      <c r="N45" s="468"/>
      <c r="O45" s="468"/>
      <c r="P45" s="468"/>
      <c r="Q45" s="468"/>
      <c r="R45" s="468"/>
      <c r="S45" s="468"/>
      <c r="T45" s="468"/>
      <c r="U45" s="468"/>
      <c r="V45" s="468"/>
      <c r="W45" s="468"/>
      <c r="X45" s="468"/>
      <c r="Y45" s="468"/>
      <c r="Z45" s="468"/>
      <c r="AA45" s="468"/>
      <c r="AB45" s="468"/>
      <c r="AC45" s="468"/>
      <c r="AD45" s="121"/>
      <c r="AE45" s="121"/>
      <c r="AF45" s="121"/>
      <c r="AG45" s="121"/>
    </row>
    <row r="46" spans="1:33" x14ac:dyDescent="0.3">
      <c r="A46" s="35"/>
      <c r="B46" s="35" t="s">
        <v>485</v>
      </c>
      <c r="C46" s="16"/>
      <c r="D46" s="16"/>
      <c r="E46" s="16"/>
      <c r="F46" s="16"/>
      <c r="G46" s="35" t="s">
        <v>653</v>
      </c>
      <c r="H46" s="35" t="s">
        <v>4243</v>
      </c>
      <c r="I46" s="229">
        <f>E.aCG/1000*(Molweight*3600*24*365)</f>
        <v>0</v>
      </c>
      <c r="J46" s="468">
        <v>0</v>
      </c>
      <c r="K46" s="468">
        <v>0</v>
      </c>
      <c r="L46" s="468"/>
      <c r="M46" s="468"/>
      <c r="N46" s="468"/>
      <c r="O46" s="468"/>
      <c r="P46" s="468"/>
      <c r="Q46" s="468"/>
      <c r="R46" s="468">
        <v>0</v>
      </c>
      <c r="S46" s="468">
        <v>0</v>
      </c>
      <c r="T46" s="468">
        <v>0</v>
      </c>
      <c r="U46" s="468">
        <v>0</v>
      </c>
      <c r="V46" s="468"/>
      <c r="W46" s="468"/>
      <c r="X46" s="468"/>
      <c r="Y46" s="468"/>
      <c r="Z46" s="468"/>
      <c r="AA46" s="468"/>
      <c r="AB46" s="468"/>
      <c r="AC46" s="468"/>
      <c r="AD46" s="121"/>
      <c r="AE46" s="121"/>
      <c r="AF46" s="121"/>
      <c r="AG46" s="121"/>
    </row>
    <row r="47" spans="1:33" x14ac:dyDescent="0.3">
      <c r="A47" s="35"/>
      <c r="B47" s="35" t="s">
        <v>4244</v>
      </c>
      <c r="C47" s="16"/>
      <c r="D47" s="16"/>
      <c r="E47" s="16"/>
      <c r="F47" s="16"/>
      <c r="G47" s="35" t="s">
        <v>654</v>
      </c>
      <c r="H47" s="35" t="s">
        <v>4243</v>
      </c>
      <c r="I47" s="229">
        <f>E.w0CD/1000*(Molweight*3600*24*365)</f>
        <v>0</v>
      </c>
      <c r="J47" s="468">
        <v>0</v>
      </c>
      <c r="K47" s="468">
        <v>0</v>
      </c>
      <c r="L47" s="468"/>
      <c r="M47" s="468"/>
      <c r="N47" s="468"/>
      <c r="O47" s="468"/>
      <c r="P47" s="468"/>
      <c r="Q47" s="468"/>
      <c r="R47" s="468">
        <v>0</v>
      </c>
      <c r="S47" s="468">
        <v>0</v>
      </c>
      <c r="T47" s="468">
        <v>0</v>
      </c>
      <c r="U47" s="468">
        <v>0</v>
      </c>
      <c r="V47" s="468"/>
      <c r="W47" s="468"/>
      <c r="X47" s="468"/>
      <c r="Y47" s="468"/>
      <c r="Z47" s="468"/>
      <c r="AA47" s="468"/>
      <c r="AB47" s="468"/>
      <c r="AC47" s="468"/>
      <c r="AD47" s="121"/>
      <c r="AE47" s="121"/>
      <c r="AF47" s="121"/>
      <c r="AG47" s="121"/>
    </row>
    <row r="48" spans="1:33" x14ac:dyDescent="0.3">
      <c r="A48" s="35"/>
      <c r="B48" s="35" t="s">
        <v>4245</v>
      </c>
      <c r="C48" s="16"/>
      <c r="D48" s="16"/>
      <c r="E48" s="16"/>
      <c r="F48" s="16"/>
      <c r="G48" s="35" t="s">
        <v>655</v>
      </c>
      <c r="H48" s="35" t="s">
        <v>4243</v>
      </c>
      <c r="I48" s="229">
        <f>E.w1CD/1000*(Molweight*3600*24*365)</f>
        <v>0</v>
      </c>
      <c r="J48" s="468">
        <v>0</v>
      </c>
      <c r="K48" s="468">
        <v>0</v>
      </c>
      <c r="L48" s="468"/>
      <c r="M48" s="468"/>
      <c r="N48" s="468"/>
      <c r="O48" s="468"/>
      <c r="P48" s="468"/>
      <c r="Q48" s="468"/>
      <c r="R48" s="468">
        <v>0</v>
      </c>
      <c r="S48" s="468">
        <v>0</v>
      </c>
      <c r="T48" s="468">
        <v>0</v>
      </c>
      <c r="U48" s="468">
        <v>0</v>
      </c>
      <c r="V48" s="468"/>
      <c r="W48" s="468"/>
      <c r="X48" s="468"/>
      <c r="Y48" s="468"/>
      <c r="Z48" s="468"/>
      <c r="AA48" s="468"/>
      <c r="AB48" s="468"/>
      <c r="AC48" s="468"/>
      <c r="AD48" s="121"/>
      <c r="AE48" s="121"/>
      <c r="AF48" s="121"/>
      <c r="AG48" s="121"/>
    </row>
    <row r="49" spans="1:33" x14ac:dyDescent="0.3">
      <c r="A49" s="35"/>
      <c r="B49" s="35" t="s">
        <v>4246</v>
      </c>
      <c r="C49" s="16"/>
      <c r="D49" s="16"/>
      <c r="E49" s="16"/>
      <c r="F49" s="16"/>
      <c r="G49" s="35" t="s">
        <v>656</v>
      </c>
      <c r="H49" s="35" t="s">
        <v>4243</v>
      </c>
      <c r="I49" s="229">
        <f>E.w2CD/1000*(Molweight*3600*24*365)</f>
        <v>0</v>
      </c>
      <c r="J49" s="468">
        <v>0</v>
      </c>
      <c r="K49" s="468">
        <v>0</v>
      </c>
      <c r="L49" s="468"/>
      <c r="M49" s="468"/>
      <c r="N49" s="468"/>
      <c r="O49" s="468"/>
      <c r="P49" s="468"/>
      <c r="Q49" s="468"/>
      <c r="R49" s="468">
        <v>0</v>
      </c>
      <c r="S49" s="468">
        <v>0</v>
      </c>
      <c r="T49" s="468">
        <v>0</v>
      </c>
      <c r="U49" s="468">
        <v>0</v>
      </c>
      <c r="V49" s="468"/>
      <c r="W49" s="468"/>
      <c r="X49" s="468"/>
      <c r="Y49" s="468"/>
      <c r="Z49" s="468"/>
      <c r="AA49" s="468"/>
      <c r="AB49" s="468"/>
      <c r="AC49" s="468"/>
      <c r="AD49" s="121"/>
      <c r="AE49" s="121"/>
      <c r="AF49" s="121"/>
      <c r="AG49" s="121"/>
    </row>
    <row r="50" spans="1:33" x14ac:dyDescent="0.3">
      <c r="A50" s="35"/>
      <c r="B50" s="35" t="s">
        <v>495</v>
      </c>
      <c r="C50" s="16"/>
      <c r="D50" s="16"/>
      <c r="E50" s="16"/>
      <c r="F50" s="16"/>
      <c r="G50" s="35" t="s">
        <v>657</v>
      </c>
      <c r="H50" s="35" t="s">
        <v>4243</v>
      </c>
      <c r="I50" s="229">
        <f>E.s1CD/1000*(Molweight*3600*24*365)</f>
        <v>0</v>
      </c>
      <c r="J50" s="469">
        <v>0</v>
      </c>
      <c r="K50" s="469">
        <v>0</v>
      </c>
      <c r="L50" s="469"/>
      <c r="M50" s="469"/>
      <c r="N50" s="469"/>
      <c r="O50" s="469"/>
      <c r="P50" s="469"/>
      <c r="Q50" s="469"/>
      <c r="R50" s="469">
        <v>0</v>
      </c>
      <c r="S50" s="469">
        <v>0</v>
      </c>
      <c r="T50" s="469">
        <v>0</v>
      </c>
      <c r="U50" s="469">
        <v>0</v>
      </c>
      <c r="V50" s="469"/>
      <c r="W50" s="469"/>
      <c r="X50" s="469"/>
      <c r="Y50" s="469"/>
      <c r="Z50" s="469"/>
      <c r="AA50" s="469"/>
      <c r="AB50" s="469"/>
      <c r="AC50" s="469"/>
      <c r="AD50" s="121"/>
      <c r="AE50" s="121"/>
      <c r="AF50" s="121"/>
      <c r="AG50" s="121"/>
    </row>
    <row r="51" spans="1:33" x14ac:dyDescent="0.3">
      <c r="A51" s="35"/>
      <c r="B51" s="35" t="s">
        <v>497</v>
      </c>
      <c r="C51" s="16"/>
      <c r="D51" s="16"/>
      <c r="E51" s="16"/>
      <c r="F51" s="16"/>
      <c r="G51" s="35" t="s">
        <v>658</v>
      </c>
      <c r="H51" s="35" t="s">
        <v>4243</v>
      </c>
      <c r="I51" s="229">
        <f>E.s2CD/1000*(Molweight*3600*24*365)</f>
        <v>0</v>
      </c>
      <c r="J51" s="468">
        <v>0</v>
      </c>
      <c r="K51" s="468">
        <v>0</v>
      </c>
      <c r="L51" s="468"/>
      <c r="M51" s="468"/>
      <c r="N51" s="468"/>
      <c r="O51" s="468"/>
      <c r="P51" s="468"/>
      <c r="Q51" s="468"/>
      <c r="R51" s="468">
        <v>0</v>
      </c>
      <c r="S51" s="468">
        <v>0</v>
      </c>
      <c r="T51" s="468">
        <v>0</v>
      </c>
      <c r="U51" s="468">
        <v>0</v>
      </c>
      <c r="V51" s="468"/>
      <c r="W51" s="468"/>
      <c r="X51" s="468"/>
      <c r="Y51" s="468"/>
      <c r="Z51" s="468"/>
      <c r="AA51" s="468"/>
      <c r="AB51" s="468"/>
      <c r="AC51" s="468"/>
      <c r="AD51" s="121"/>
      <c r="AE51" s="121"/>
      <c r="AF51" s="121"/>
      <c r="AG51" s="121"/>
    </row>
    <row r="52" spans="1:33" x14ac:dyDescent="0.3">
      <c r="A52" s="35"/>
      <c r="B52" s="35" t="s">
        <v>500</v>
      </c>
      <c r="C52" s="16"/>
      <c r="D52" s="16"/>
      <c r="E52" s="16"/>
      <c r="F52" s="16"/>
      <c r="G52" s="35" t="s">
        <v>659</v>
      </c>
      <c r="H52" s="35" t="s">
        <v>4243</v>
      </c>
      <c r="I52" s="229">
        <f>E.s3CD/1000*(Molweight*3600*24*365)</f>
        <v>0</v>
      </c>
      <c r="J52" s="468">
        <v>0</v>
      </c>
      <c r="K52" s="468">
        <v>0</v>
      </c>
      <c r="L52" s="468"/>
      <c r="M52" s="468"/>
      <c r="N52" s="468"/>
      <c r="O52" s="468"/>
      <c r="P52" s="468"/>
      <c r="Q52" s="468"/>
      <c r="R52" s="468">
        <v>0</v>
      </c>
      <c r="S52" s="468">
        <v>0</v>
      </c>
      <c r="T52" s="468">
        <v>0</v>
      </c>
      <c r="U52" s="468">
        <v>0</v>
      </c>
      <c r="V52" s="468"/>
      <c r="W52" s="468"/>
      <c r="X52" s="468"/>
      <c r="Y52" s="468"/>
      <c r="Z52" s="468"/>
      <c r="AA52" s="468"/>
      <c r="AB52" s="468"/>
      <c r="AC52" s="468"/>
      <c r="AD52" s="121"/>
      <c r="AE52" s="121"/>
      <c r="AF52" s="121"/>
      <c r="AG52" s="121"/>
    </row>
    <row r="53" spans="1:33" x14ac:dyDescent="0.3">
      <c r="A53" s="71" t="s">
        <v>227</v>
      </c>
      <c r="B53" s="16"/>
      <c r="C53" s="16"/>
      <c r="D53" s="16"/>
      <c r="E53" s="16"/>
      <c r="F53" s="16"/>
      <c r="G53" s="146"/>
      <c r="H53" s="35"/>
      <c r="I53" s="139"/>
      <c r="J53" s="468"/>
      <c r="K53" s="468"/>
      <c r="L53" s="468"/>
      <c r="M53" s="468"/>
      <c r="N53" s="468"/>
      <c r="O53" s="468"/>
      <c r="P53" s="468"/>
      <c r="Q53" s="468"/>
      <c r="R53" s="468"/>
      <c r="S53" s="468"/>
      <c r="T53" s="468"/>
      <c r="U53" s="468"/>
      <c r="V53" s="468"/>
      <c r="W53" s="468"/>
      <c r="X53" s="468"/>
      <c r="Y53" s="468"/>
      <c r="Z53" s="468"/>
      <c r="AA53" s="468"/>
      <c r="AB53" s="468"/>
      <c r="AC53" s="468"/>
      <c r="AD53" s="121"/>
      <c r="AE53" s="121"/>
      <c r="AF53" s="121"/>
      <c r="AG53" s="121"/>
    </row>
    <row r="54" spans="1:33" x14ac:dyDescent="0.3">
      <c r="A54" s="35"/>
      <c r="B54" s="35" t="s">
        <v>485</v>
      </c>
      <c r="C54" s="16"/>
      <c r="D54" s="16"/>
      <c r="E54" s="16"/>
      <c r="F54" s="16"/>
      <c r="G54" s="35" t="s">
        <v>660</v>
      </c>
      <c r="H54" s="35" t="s">
        <v>4243</v>
      </c>
      <c r="I54" s="229">
        <f>E.aMG/1000*(Molweight*3600*24*365)</f>
        <v>0</v>
      </c>
      <c r="J54" s="468">
        <v>0</v>
      </c>
      <c r="K54" s="468">
        <v>0</v>
      </c>
      <c r="L54" s="468"/>
      <c r="M54" s="468"/>
      <c r="N54" s="468"/>
      <c r="O54" s="468"/>
      <c r="P54" s="468"/>
      <c r="Q54" s="468"/>
      <c r="R54" s="468">
        <v>0</v>
      </c>
      <c r="S54" s="468">
        <v>0</v>
      </c>
      <c r="T54" s="468">
        <v>0</v>
      </c>
      <c r="U54" s="468">
        <v>0</v>
      </c>
      <c r="V54" s="468"/>
      <c r="W54" s="468"/>
      <c r="X54" s="468"/>
      <c r="Y54" s="468"/>
      <c r="Z54" s="468"/>
      <c r="AA54" s="468"/>
      <c r="AB54" s="468"/>
      <c r="AC54" s="468"/>
      <c r="AD54" s="121"/>
      <c r="AE54" s="121"/>
      <c r="AF54" s="121"/>
      <c r="AG54" s="121"/>
    </row>
    <row r="55" spans="1:33" x14ac:dyDescent="0.3">
      <c r="A55" s="35"/>
      <c r="B55" s="35" t="s">
        <v>510</v>
      </c>
      <c r="C55" s="16"/>
      <c r="D55" s="16"/>
      <c r="E55" s="16"/>
      <c r="F55" s="16"/>
      <c r="G55" s="35" t="s">
        <v>661</v>
      </c>
      <c r="H55" s="35" t="s">
        <v>4243</v>
      </c>
      <c r="I55" s="229">
        <f>E.w2MD/1000*(Molweight*3600*24*365)</f>
        <v>0</v>
      </c>
      <c r="J55" s="468">
        <v>0</v>
      </c>
      <c r="K55" s="468">
        <v>0</v>
      </c>
      <c r="L55" s="468"/>
      <c r="M55" s="468"/>
      <c r="N55" s="468"/>
      <c r="O55" s="468"/>
      <c r="P55" s="468"/>
      <c r="Q55" s="468"/>
      <c r="R55" s="468">
        <v>0</v>
      </c>
      <c r="S55" s="468">
        <v>0</v>
      </c>
      <c r="T55" s="468">
        <v>0</v>
      </c>
      <c r="U55" s="468">
        <v>0</v>
      </c>
      <c r="V55" s="468"/>
      <c r="W55" s="468"/>
      <c r="X55" s="468"/>
      <c r="Y55" s="468"/>
      <c r="Z55" s="468"/>
      <c r="AA55" s="468"/>
      <c r="AB55" s="468"/>
      <c r="AC55" s="468"/>
      <c r="AD55" s="121"/>
      <c r="AE55" s="121"/>
      <c r="AF55" s="121"/>
      <c r="AG55" s="121"/>
    </row>
    <row r="56" spans="1:33" x14ac:dyDescent="0.3">
      <c r="A56" s="35"/>
      <c r="B56" s="35" t="s">
        <v>512</v>
      </c>
      <c r="C56" s="16"/>
      <c r="D56" s="16"/>
      <c r="E56" s="16"/>
      <c r="F56" s="16"/>
      <c r="G56" s="35" t="s">
        <v>662</v>
      </c>
      <c r="H56" s="35" t="s">
        <v>4243</v>
      </c>
      <c r="I56" s="229">
        <f>E.sMD/1000*(Molweight*3600*24*365)</f>
        <v>0</v>
      </c>
      <c r="J56" s="468">
        <v>0</v>
      </c>
      <c r="K56" s="468">
        <v>0</v>
      </c>
      <c r="L56" s="468"/>
      <c r="M56" s="468"/>
      <c r="N56" s="468"/>
      <c r="O56" s="468"/>
      <c r="P56" s="468"/>
      <c r="Q56" s="468"/>
      <c r="R56" s="468">
        <v>0</v>
      </c>
      <c r="S56" s="468">
        <v>0</v>
      </c>
      <c r="T56" s="468">
        <v>0</v>
      </c>
      <c r="U56" s="468">
        <v>0</v>
      </c>
      <c r="V56" s="468"/>
      <c r="W56" s="468"/>
      <c r="X56" s="468"/>
      <c r="Y56" s="468"/>
      <c r="Z56" s="468"/>
      <c r="AA56" s="468"/>
      <c r="AB56" s="468"/>
      <c r="AC56" s="468"/>
      <c r="AD56" s="121"/>
      <c r="AE56" s="121"/>
      <c r="AF56" s="121"/>
      <c r="AG56" s="121"/>
    </row>
    <row r="57" spans="1:33" x14ac:dyDescent="0.3">
      <c r="A57" s="3" t="s">
        <v>228</v>
      </c>
      <c r="B57" s="35"/>
      <c r="C57" s="16"/>
      <c r="D57" s="16"/>
      <c r="E57" s="16"/>
      <c r="F57" s="16"/>
      <c r="G57" s="146"/>
      <c r="H57" s="35"/>
      <c r="I57" s="139"/>
      <c r="J57" s="468"/>
      <c r="K57" s="468"/>
      <c r="L57" s="468"/>
      <c r="M57" s="468"/>
      <c r="N57" s="468"/>
      <c r="O57" s="468"/>
      <c r="P57" s="468"/>
      <c r="Q57" s="468"/>
      <c r="R57" s="468"/>
      <c r="S57" s="468"/>
      <c r="T57" s="468"/>
      <c r="U57" s="468"/>
      <c r="V57" s="468"/>
      <c r="W57" s="468"/>
      <c r="X57" s="468"/>
      <c r="Y57" s="468"/>
      <c r="Z57" s="468"/>
      <c r="AA57" s="468"/>
      <c r="AB57" s="468"/>
      <c r="AC57" s="468"/>
      <c r="AD57" s="121"/>
      <c r="AE57" s="121"/>
      <c r="AF57" s="121"/>
      <c r="AG57" s="121"/>
    </row>
    <row r="58" spans="1:33" x14ac:dyDescent="0.3">
      <c r="A58" s="35"/>
      <c r="B58" s="35" t="s">
        <v>485</v>
      </c>
      <c r="C58" s="16"/>
      <c r="D58" s="16"/>
      <c r="E58" s="16"/>
      <c r="F58" s="16"/>
      <c r="G58" s="35" t="s">
        <v>663</v>
      </c>
      <c r="H58" s="35" t="s">
        <v>4243</v>
      </c>
      <c r="I58" s="229">
        <f>E.aAG/1000*(Molweight*3600*24*365)</f>
        <v>0</v>
      </c>
      <c r="J58" s="468">
        <v>0</v>
      </c>
      <c r="K58" s="468">
        <v>0</v>
      </c>
      <c r="L58" s="468"/>
      <c r="M58" s="468"/>
      <c r="N58" s="468"/>
      <c r="O58" s="468"/>
      <c r="P58" s="468"/>
      <c r="Q58" s="468"/>
      <c r="R58" s="468">
        <v>0</v>
      </c>
      <c r="S58" s="468">
        <v>0</v>
      </c>
      <c r="T58" s="468">
        <v>0</v>
      </c>
      <c r="U58" s="468">
        <v>0</v>
      </c>
      <c r="V58" s="468"/>
      <c r="W58" s="468"/>
      <c r="X58" s="468"/>
      <c r="Y58" s="468"/>
      <c r="Z58" s="468"/>
      <c r="AA58" s="468"/>
      <c r="AB58" s="468"/>
      <c r="AC58" s="468"/>
      <c r="AD58" s="121"/>
      <c r="AE58" s="121"/>
      <c r="AF58" s="121"/>
      <c r="AG58" s="121"/>
    </row>
    <row r="59" spans="1:33" x14ac:dyDescent="0.3">
      <c r="A59" s="35"/>
      <c r="B59" s="35" t="s">
        <v>510</v>
      </c>
      <c r="C59" s="16"/>
      <c r="D59" s="16"/>
      <c r="E59" s="16"/>
      <c r="F59" s="16"/>
      <c r="G59" s="35" t="s">
        <v>664</v>
      </c>
      <c r="H59" s="35" t="s">
        <v>4243</v>
      </c>
      <c r="I59" s="229">
        <f>E.w2AD/1000*(Molweight*3600*24*365)</f>
        <v>0</v>
      </c>
      <c r="J59" s="468">
        <v>0</v>
      </c>
      <c r="K59" s="468">
        <v>0</v>
      </c>
      <c r="L59" s="468"/>
      <c r="M59" s="468"/>
      <c r="N59" s="468"/>
      <c r="O59" s="468"/>
      <c r="P59" s="468"/>
      <c r="Q59" s="468"/>
      <c r="R59" s="468">
        <v>0</v>
      </c>
      <c r="S59" s="468">
        <v>0</v>
      </c>
      <c r="T59" s="468">
        <v>0</v>
      </c>
      <c r="U59" s="468">
        <v>0</v>
      </c>
      <c r="V59" s="468"/>
      <c r="W59" s="468"/>
      <c r="X59" s="468"/>
      <c r="Y59" s="468"/>
      <c r="Z59" s="468"/>
      <c r="AA59" s="468"/>
      <c r="AB59" s="468"/>
      <c r="AC59" s="468"/>
      <c r="AD59" s="121"/>
      <c r="AE59" s="121"/>
      <c r="AF59" s="121"/>
      <c r="AG59" s="121"/>
    </row>
    <row r="60" spans="1:33" x14ac:dyDescent="0.3">
      <c r="A60" s="35"/>
      <c r="B60" s="35" t="s">
        <v>512</v>
      </c>
      <c r="C60" s="16"/>
      <c r="D60" s="16"/>
      <c r="E60" s="16"/>
      <c r="F60" s="16"/>
      <c r="G60" s="35" t="s">
        <v>665</v>
      </c>
      <c r="H60" s="35" t="s">
        <v>4243</v>
      </c>
      <c r="I60" s="229">
        <f>E.sAD/1000*(Molweight*3600*24*365)</f>
        <v>0</v>
      </c>
      <c r="J60" s="468">
        <v>0</v>
      </c>
      <c r="K60" s="468">
        <v>0</v>
      </c>
      <c r="L60" s="468"/>
      <c r="M60" s="468"/>
      <c r="N60" s="468"/>
      <c r="O60" s="468"/>
      <c r="P60" s="468"/>
      <c r="Q60" s="468"/>
      <c r="R60" s="468">
        <v>0</v>
      </c>
      <c r="S60" s="468">
        <v>0</v>
      </c>
      <c r="T60" s="468">
        <v>0</v>
      </c>
      <c r="U60" s="468">
        <v>0</v>
      </c>
      <c r="V60" s="468"/>
      <c r="W60" s="468"/>
      <c r="X60" s="468"/>
      <c r="Y60" s="468"/>
      <c r="Z60" s="468"/>
      <c r="AA60" s="468"/>
      <c r="AB60" s="468"/>
      <c r="AC60" s="468"/>
      <c r="AD60" s="121"/>
      <c r="AE60" s="121"/>
      <c r="AF60" s="121"/>
      <c r="AG60" s="121"/>
    </row>
    <row r="61" spans="1:33" x14ac:dyDescent="0.3">
      <c r="A61" s="71" t="s">
        <v>517</v>
      </c>
      <c r="B61" s="16"/>
      <c r="C61" s="16"/>
      <c r="D61" s="16"/>
      <c r="E61" s="16"/>
      <c r="F61" s="16"/>
      <c r="G61" s="146"/>
      <c r="H61" s="35"/>
      <c r="I61" s="139"/>
      <c r="J61" s="468"/>
      <c r="K61" s="468"/>
      <c r="L61" s="468"/>
      <c r="M61" s="468"/>
      <c r="N61" s="468"/>
      <c r="O61" s="468"/>
      <c r="P61" s="468"/>
      <c r="Q61" s="468"/>
      <c r="R61" s="468"/>
      <c r="S61" s="468"/>
      <c r="T61" s="468"/>
      <c r="U61" s="468"/>
      <c r="V61" s="468"/>
      <c r="W61" s="468"/>
      <c r="X61" s="468"/>
      <c r="Y61" s="468"/>
      <c r="Z61" s="468"/>
      <c r="AA61" s="468"/>
      <c r="AB61" s="468"/>
      <c r="AC61" s="468"/>
      <c r="AD61" s="121"/>
      <c r="AE61" s="121"/>
      <c r="AF61" s="121"/>
      <c r="AG61" s="121"/>
    </row>
    <row r="62" spans="1:33" x14ac:dyDescent="0.3">
      <c r="A62" s="35"/>
      <c r="B62" s="35" t="s">
        <v>485</v>
      </c>
      <c r="C62" s="16"/>
      <c r="D62" s="16"/>
      <c r="E62" s="16"/>
      <c r="F62" s="16"/>
      <c r="G62" s="35" t="s">
        <v>666</v>
      </c>
      <c r="H62" s="35" t="s">
        <v>4243</v>
      </c>
      <c r="I62" s="229">
        <f>E.aTG/1000*(Molweight*3600*24*365)</f>
        <v>0</v>
      </c>
      <c r="J62" s="470">
        <v>0</v>
      </c>
      <c r="K62" s="470">
        <v>0</v>
      </c>
      <c r="L62" s="470"/>
      <c r="M62" s="470"/>
      <c r="N62" s="470"/>
      <c r="O62" s="470"/>
      <c r="P62" s="470"/>
      <c r="Q62" s="470"/>
      <c r="R62" s="470">
        <v>0</v>
      </c>
      <c r="S62" s="470">
        <v>0</v>
      </c>
      <c r="T62" s="470">
        <v>0</v>
      </c>
      <c r="U62" s="470">
        <v>0</v>
      </c>
      <c r="V62" s="470"/>
      <c r="W62" s="470"/>
      <c r="X62" s="470"/>
      <c r="Y62" s="470"/>
      <c r="Z62" s="470"/>
      <c r="AA62" s="470"/>
      <c r="AB62" s="470"/>
      <c r="AC62" s="470"/>
      <c r="AD62" s="181"/>
      <c r="AE62" s="181"/>
      <c r="AF62" s="181"/>
      <c r="AG62" s="181"/>
    </row>
    <row r="63" spans="1:33" x14ac:dyDescent="0.3">
      <c r="A63" s="35"/>
      <c r="B63" s="35" t="s">
        <v>510</v>
      </c>
      <c r="C63" s="16"/>
      <c r="D63" s="16"/>
      <c r="E63" s="16"/>
      <c r="F63" s="16"/>
      <c r="G63" s="35" t="s">
        <v>667</v>
      </c>
      <c r="H63" s="35" t="s">
        <v>4243</v>
      </c>
      <c r="I63" s="229">
        <f>E.w2TD/1000*(Molweight*3600*24*365)</f>
        <v>0</v>
      </c>
      <c r="J63" s="469">
        <v>0</v>
      </c>
      <c r="K63" s="469">
        <v>0</v>
      </c>
      <c r="L63" s="469"/>
      <c r="M63" s="469"/>
      <c r="N63" s="469"/>
      <c r="O63" s="469"/>
      <c r="P63" s="469"/>
      <c r="Q63" s="469"/>
      <c r="R63" s="469">
        <v>0</v>
      </c>
      <c r="S63" s="469">
        <v>0</v>
      </c>
      <c r="T63" s="469">
        <v>0</v>
      </c>
      <c r="U63" s="469">
        <v>0</v>
      </c>
      <c r="V63" s="469"/>
      <c r="W63" s="469"/>
      <c r="X63" s="469"/>
      <c r="Y63" s="469"/>
      <c r="Z63" s="469"/>
      <c r="AA63" s="469"/>
      <c r="AB63" s="469"/>
      <c r="AC63" s="469"/>
      <c r="AD63" s="121"/>
      <c r="AE63" s="121"/>
      <c r="AF63" s="121"/>
      <c r="AG63" s="121"/>
    </row>
    <row r="64" spans="1:33" x14ac:dyDescent="0.3">
      <c r="A64" s="35"/>
      <c r="B64" s="35" t="s">
        <v>512</v>
      </c>
      <c r="C64" s="16"/>
      <c r="D64" s="16"/>
      <c r="E64" s="16"/>
      <c r="F64" s="16"/>
      <c r="G64" s="35" t="s">
        <v>668</v>
      </c>
      <c r="H64" s="35" t="s">
        <v>4243</v>
      </c>
      <c r="I64" s="229">
        <f>E.sTD/1000*(Molweight*3600*24*365)</f>
        <v>0</v>
      </c>
      <c r="J64" s="469">
        <v>0</v>
      </c>
      <c r="K64" s="469">
        <v>0</v>
      </c>
      <c r="L64" s="469"/>
      <c r="M64" s="469"/>
      <c r="N64" s="469"/>
      <c r="O64" s="469"/>
      <c r="P64" s="469"/>
      <c r="Q64" s="469"/>
      <c r="R64" s="469">
        <v>0</v>
      </c>
      <c r="S64" s="469">
        <v>0</v>
      </c>
      <c r="T64" s="469">
        <v>0</v>
      </c>
      <c r="U64" s="469">
        <v>0</v>
      </c>
      <c r="V64" s="469"/>
      <c r="W64" s="469"/>
      <c r="X64" s="469"/>
      <c r="Y64" s="469"/>
      <c r="Z64" s="469"/>
      <c r="AA64" s="469"/>
      <c r="AB64" s="469"/>
      <c r="AC64" s="469"/>
      <c r="AD64" s="121"/>
      <c r="AE64" s="121"/>
      <c r="AF64" s="121"/>
      <c r="AG64" s="121"/>
    </row>
    <row r="65" spans="1:33" x14ac:dyDescent="0.3">
      <c r="A65" s="35"/>
      <c r="B65" s="35"/>
      <c r="C65" s="16"/>
      <c r="D65" s="16"/>
      <c r="E65" s="16"/>
      <c r="F65" s="16"/>
      <c r="G65" s="35"/>
      <c r="H65" s="35"/>
      <c r="I65" s="229"/>
      <c r="J65" s="469"/>
      <c r="K65" s="469"/>
      <c r="L65" s="469"/>
      <c r="M65" s="469"/>
      <c r="N65" s="469"/>
      <c r="O65" s="469"/>
      <c r="P65" s="469"/>
      <c r="Q65" s="469"/>
      <c r="R65" s="469"/>
      <c r="S65" s="469"/>
      <c r="T65" s="469"/>
      <c r="U65" s="469"/>
      <c r="V65" s="469"/>
      <c r="W65" s="469"/>
      <c r="X65" s="469"/>
      <c r="Y65" s="469"/>
      <c r="Z65" s="469"/>
      <c r="AA65" s="469"/>
      <c r="AB65" s="469"/>
      <c r="AC65" s="469"/>
      <c r="AD65" s="121"/>
      <c r="AE65" s="121"/>
      <c r="AF65" s="121"/>
      <c r="AG65" s="121"/>
    </row>
    <row r="66" spans="1:33" x14ac:dyDescent="0.3">
      <c r="A66" s="35"/>
      <c r="B66" s="35"/>
      <c r="C66" s="16"/>
      <c r="D66" s="16"/>
      <c r="E66" s="16"/>
      <c r="F66" s="16"/>
      <c r="G66" s="35"/>
      <c r="H66" s="35"/>
      <c r="I66" s="229"/>
      <c r="J66" s="469"/>
      <c r="K66" s="469"/>
      <c r="L66" s="469"/>
      <c r="M66" s="469"/>
      <c r="N66" s="469"/>
      <c r="O66" s="469"/>
      <c r="P66" s="469"/>
      <c r="Q66" s="469"/>
      <c r="R66" s="469"/>
      <c r="S66" s="469"/>
      <c r="T66" s="469"/>
      <c r="U66" s="469"/>
      <c r="V66" s="469"/>
      <c r="W66" s="469"/>
      <c r="X66" s="469"/>
      <c r="Y66" s="469"/>
      <c r="Z66" s="469"/>
      <c r="AA66" s="469"/>
      <c r="AB66" s="469"/>
      <c r="AC66" s="469"/>
      <c r="AD66" s="121"/>
      <c r="AE66" s="121"/>
      <c r="AF66" s="121"/>
      <c r="AG66" s="121"/>
    </row>
    <row r="67" spans="1:33" ht="12.75" customHeight="1" x14ac:dyDescent="0.3">
      <c r="A67" s="5" t="s">
        <v>4247</v>
      </c>
      <c r="B67" s="16"/>
      <c r="C67" s="16"/>
      <c r="D67" s="16"/>
      <c r="E67" s="16"/>
      <c r="F67" s="16"/>
      <c r="G67" s="35"/>
      <c r="H67" s="146"/>
      <c r="I67" s="214"/>
      <c r="J67" s="121"/>
      <c r="K67" s="121"/>
      <c r="L67" s="121"/>
      <c r="M67" s="121"/>
      <c r="N67" s="121"/>
      <c r="O67" s="121"/>
      <c r="P67" s="121"/>
      <c r="Q67" s="121"/>
      <c r="R67" s="121"/>
      <c r="S67" s="121"/>
      <c r="T67" s="121"/>
      <c r="U67" s="121"/>
      <c r="V67" s="121"/>
      <c r="W67" s="121"/>
      <c r="X67" s="121"/>
      <c r="Y67" s="121"/>
      <c r="Z67" s="121"/>
      <c r="AA67" s="121"/>
      <c r="AB67" s="121"/>
      <c r="AC67" s="121"/>
      <c r="AD67" s="121"/>
      <c r="AE67" s="121"/>
      <c r="AF67" s="121"/>
      <c r="AG67" s="121"/>
    </row>
    <row r="68" spans="1:33" ht="12.75" customHeight="1" x14ac:dyDescent="0.3">
      <c r="A68" s="3" t="s">
        <v>58</v>
      </c>
      <c r="B68" s="16"/>
      <c r="C68" s="16"/>
      <c r="D68" s="16"/>
      <c r="E68" s="16"/>
      <c r="F68" s="16"/>
      <c r="G68" s="16"/>
      <c r="H68" s="16"/>
      <c r="I68" s="215"/>
      <c r="J68" s="121"/>
      <c r="K68" s="121"/>
      <c r="L68" s="121"/>
      <c r="M68" s="121"/>
      <c r="N68" s="121"/>
      <c r="O68" s="121"/>
      <c r="P68" s="121"/>
      <c r="Q68" s="121"/>
      <c r="R68" s="121"/>
      <c r="S68" s="121"/>
      <c r="T68" s="121"/>
      <c r="U68" s="121"/>
      <c r="V68" s="121"/>
      <c r="W68" s="121"/>
      <c r="X68" s="121"/>
      <c r="Y68" s="121"/>
      <c r="Z68" s="121"/>
      <c r="AA68" s="121"/>
      <c r="AB68" s="121"/>
      <c r="AC68" s="121"/>
      <c r="AD68" s="121"/>
      <c r="AE68" s="121"/>
      <c r="AF68" s="121"/>
      <c r="AG68" s="121"/>
    </row>
    <row r="69" spans="1:33" ht="12.75" customHeight="1" x14ac:dyDescent="0.3">
      <c r="A69" s="16" t="s">
        <v>670</v>
      </c>
      <c r="B69" s="16"/>
      <c r="C69" s="16"/>
      <c r="D69" s="16"/>
      <c r="E69" s="16"/>
      <c r="F69" s="16"/>
      <c r="G69" s="16" t="s">
        <v>671</v>
      </c>
      <c r="H69" s="143" t="s">
        <v>4248</v>
      </c>
      <c r="I69" s="229">
        <f>AREAland.R*0.000001</f>
        <v>228570</v>
      </c>
      <c r="J69" s="469">
        <v>228570</v>
      </c>
      <c r="K69" s="468">
        <v>40000</v>
      </c>
      <c r="L69" s="469"/>
      <c r="M69" s="469">
        <v>15875</v>
      </c>
      <c r="N69" s="469">
        <v>15875</v>
      </c>
      <c r="O69" s="469">
        <v>15875</v>
      </c>
      <c r="P69" s="469">
        <v>15875</v>
      </c>
      <c r="Q69" s="469"/>
      <c r="R69" s="468"/>
      <c r="S69" s="468"/>
      <c r="T69" s="469"/>
      <c r="U69" s="469"/>
      <c r="V69" s="468"/>
      <c r="W69" s="468"/>
      <c r="X69" s="469"/>
      <c r="Y69" s="469"/>
      <c r="Z69" s="469"/>
      <c r="AA69" s="469"/>
      <c r="AB69" s="469"/>
      <c r="AC69" s="469"/>
      <c r="AD69" s="121"/>
      <c r="AE69" s="121">
        <v>228570</v>
      </c>
      <c r="AF69" s="121">
        <v>228570</v>
      </c>
      <c r="AG69" s="121">
        <v>228570</v>
      </c>
    </row>
    <row r="70" spans="1:33" ht="12.75" customHeight="1" x14ac:dyDescent="0.3">
      <c r="A70" s="16" t="s">
        <v>674</v>
      </c>
      <c r="B70" s="16"/>
      <c r="C70" s="16"/>
      <c r="D70" s="16"/>
      <c r="E70" s="16"/>
      <c r="F70" s="16"/>
      <c r="G70" s="16" t="s">
        <v>675</v>
      </c>
      <c r="H70" s="143" t="s">
        <v>4248</v>
      </c>
      <c r="I70" s="229">
        <f>AREAsea.R*0.000001</f>
        <v>1000</v>
      </c>
      <c r="J70" s="469">
        <v>1000</v>
      </c>
      <c r="K70" s="468">
        <v>400</v>
      </c>
      <c r="L70" s="469"/>
      <c r="M70" s="469"/>
      <c r="N70" s="469"/>
      <c r="O70" s="469"/>
      <c r="P70" s="469"/>
      <c r="Q70" s="469"/>
      <c r="R70" s="468"/>
      <c r="S70" s="468"/>
      <c r="T70" s="468"/>
      <c r="U70" s="468"/>
      <c r="V70" s="468"/>
      <c r="W70" s="468"/>
      <c r="X70" s="468"/>
      <c r="Y70" s="468"/>
      <c r="Z70" s="469"/>
      <c r="AA70" s="468"/>
      <c r="AB70" s="468"/>
      <c r="AC70" s="469"/>
      <c r="AD70" s="121"/>
      <c r="AE70" s="121">
        <v>1000</v>
      </c>
      <c r="AF70" s="121">
        <v>1000</v>
      </c>
      <c r="AG70" s="121">
        <v>1000</v>
      </c>
    </row>
    <row r="71" spans="1:33" ht="12.75" customHeight="1" x14ac:dyDescent="0.3">
      <c r="A71" s="16" t="s">
        <v>676</v>
      </c>
      <c r="B71" s="16"/>
      <c r="C71" s="16"/>
      <c r="D71" s="16"/>
      <c r="E71" s="16"/>
      <c r="F71" s="16"/>
      <c r="G71" s="16" t="s">
        <v>677</v>
      </c>
      <c r="H71" s="16" t="s">
        <v>292</v>
      </c>
      <c r="I71" s="229">
        <f>FRAClake.R</f>
        <v>2.5000000000000001E-3</v>
      </c>
      <c r="J71" s="469">
        <v>2.5000000000000001E-3</v>
      </c>
      <c r="K71" s="468">
        <v>1E-10</v>
      </c>
      <c r="L71" s="468"/>
      <c r="M71" s="468">
        <v>9.9999999999999995E-21</v>
      </c>
      <c r="N71" s="468">
        <v>9.9999999999999995E-21</v>
      </c>
      <c r="O71" s="468">
        <v>9.9999999999999995E-21</v>
      </c>
      <c r="P71" s="468">
        <v>9.9999999999999995E-21</v>
      </c>
      <c r="Q71" s="468"/>
      <c r="R71" s="468"/>
      <c r="S71" s="468"/>
      <c r="T71" s="468"/>
      <c r="U71" s="468"/>
      <c r="V71" s="468"/>
      <c r="W71" s="468"/>
      <c r="X71" s="468"/>
      <c r="Y71" s="468"/>
      <c r="Z71" s="468"/>
      <c r="AA71" s="468"/>
      <c r="AB71" s="468"/>
      <c r="AC71" s="468"/>
      <c r="AD71" s="121"/>
      <c r="AE71" s="121">
        <v>2.5000000000000001E-3</v>
      </c>
      <c r="AF71" s="121">
        <v>2.5000000000000001E-3</v>
      </c>
      <c r="AG71" s="121">
        <v>2.5000000000000001E-3</v>
      </c>
    </row>
    <row r="72" spans="1:33" ht="12.75" customHeight="1" x14ac:dyDescent="0.3">
      <c r="A72" s="16" t="s">
        <v>678</v>
      </c>
      <c r="B72" s="16"/>
      <c r="C72" s="16"/>
      <c r="D72" s="16"/>
      <c r="E72" s="16"/>
      <c r="F72" s="16"/>
      <c r="G72" s="16" t="s">
        <v>679</v>
      </c>
      <c r="H72" s="16" t="s">
        <v>292</v>
      </c>
      <c r="I72" s="229">
        <f>FRACfresh.R</f>
        <v>2.75E-2</v>
      </c>
      <c r="J72" s="469">
        <f>0.03-J71</f>
        <v>2.75E-2</v>
      </c>
      <c r="K72" s="468">
        <v>0.03</v>
      </c>
      <c r="L72" s="469"/>
      <c r="M72" s="469">
        <v>2.5595388012618299E-4</v>
      </c>
      <c r="N72" s="469">
        <v>2.5595388012618299E-4</v>
      </c>
      <c r="O72" s="469">
        <v>1.0116278692474385E-4</v>
      </c>
      <c r="P72" s="469">
        <v>1.0116278692474385E-4</v>
      </c>
      <c r="Q72" s="469"/>
      <c r="R72" s="468"/>
      <c r="S72" s="468"/>
      <c r="T72" s="469"/>
      <c r="U72" s="469"/>
      <c r="V72" s="468"/>
      <c r="W72" s="468"/>
      <c r="X72" s="469"/>
      <c r="Y72" s="469"/>
      <c r="Z72" s="469"/>
      <c r="AA72" s="469"/>
      <c r="AB72" s="469"/>
      <c r="AC72" s="469"/>
      <c r="AD72" s="121"/>
      <c r="AE72" s="121">
        <f t="shared" ref="AE72:AG72" si="0">0.03-AE71</f>
        <v>2.75E-2</v>
      </c>
      <c r="AF72" s="121">
        <f t="shared" si="0"/>
        <v>2.75E-2</v>
      </c>
      <c r="AG72" s="121">
        <f t="shared" si="0"/>
        <v>2.75E-2</v>
      </c>
    </row>
    <row r="73" spans="1:33" ht="12.75" customHeight="1" x14ac:dyDescent="0.3">
      <c r="A73" s="16" t="s">
        <v>680</v>
      </c>
      <c r="B73" s="16"/>
      <c r="C73" s="16"/>
      <c r="D73" s="16"/>
      <c r="E73" s="16"/>
      <c r="F73" s="16"/>
      <c r="G73" s="16" t="s">
        <v>681</v>
      </c>
      <c r="H73" s="16" t="s">
        <v>292</v>
      </c>
      <c r="I73" s="229">
        <f>FRACnatsoil.R</f>
        <v>0.27</v>
      </c>
      <c r="J73" s="469">
        <v>0.27</v>
      </c>
      <c r="K73" s="468">
        <v>0.27</v>
      </c>
      <c r="L73" s="469"/>
      <c r="M73" s="469">
        <v>0.13396571095647686</v>
      </c>
      <c r="N73" s="469">
        <v>0.13396571095647686</v>
      </c>
      <c r="O73" s="469">
        <v>0.13396571095647686</v>
      </c>
      <c r="P73" s="469">
        <v>0.13396571095647686</v>
      </c>
      <c r="Q73" s="469"/>
      <c r="R73" s="468"/>
      <c r="S73" s="468"/>
      <c r="T73" s="469"/>
      <c r="U73" s="469"/>
      <c r="V73" s="468"/>
      <c r="W73" s="468"/>
      <c r="X73" s="469"/>
      <c r="Y73" s="469"/>
      <c r="Z73" s="469"/>
      <c r="AA73" s="469"/>
      <c r="AB73" s="469"/>
      <c r="AC73" s="469"/>
      <c r="AD73" s="121"/>
      <c r="AE73" s="121">
        <v>0.27</v>
      </c>
      <c r="AF73" s="121">
        <v>0.27</v>
      </c>
      <c r="AG73" s="121">
        <v>0.27</v>
      </c>
    </row>
    <row r="74" spans="1:33" ht="12.75" customHeight="1" x14ac:dyDescent="0.3">
      <c r="A74" s="16" t="s">
        <v>682</v>
      </c>
      <c r="B74" s="16"/>
      <c r="C74" s="16"/>
      <c r="D74" s="16"/>
      <c r="E74" s="16"/>
      <c r="F74" s="16"/>
      <c r="G74" s="16" t="s">
        <v>683</v>
      </c>
      <c r="H74" s="16" t="s">
        <v>292</v>
      </c>
      <c r="I74" s="229">
        <f>FRACagsoil.R</f>
        <v>0.6</v>
      </c>
      <c r="J74" s="469">
        <v>0.6</v>
      </c>
      <c r="K74" s="468">
        <v>0.6</v>
      </c>
      <c r="L74" s="469"/>
      <c r="M74" s="469">
        <v>0.62583981387130228</v>
      </c>
      <c r="N74" s="469">
        <v>0.62583981387130228</v>
      </c>
      <c r="O74" s="469">
        <v>0.62583981387130228</v>
      </c>
      <c r="P74" s="469">
        <v>0.62583981387130228</v>
      </c>
      <c r="Q74" s="469"/>
      <c r="R74" s="468"/>
      <c r="S74" s="468"/>
      <c r="T74" s="469"/>
      <c r="U74" s="469"/>
      <c r="V74" s="468"/>
      <c r="W74" s="468"/>
      <c r="X74" s="469"/>
      <c r="Y74" s="469"/>
      <c r="Z74" s="469"/>
      <c r="AA74" s="469"/>
      <c r="AB74" s="469"/>
      <c r="AC74" s="469"/>
      <c r="AD74" s="121"/>
      <c r="AE74" s="121">
        <v>0.6</v>
      </c>
      <c r="AF74" s="121">
        <v>0.6</v>
      </c>
      <c r="AG74" s="121">
        <v>0.6</v>
      </c>
    </row>
    <row r="75" spans="1:33" ht="12.75" customHeight="1" x14ac:dyDescent="0.3">
      <c r="A75" s="16" t="s">
        <v>684</v>
      </c>
      <c r="B75" s="16"/>
      <c r="C75" s="16"/>
      <c r="D75" s="16"/>
      <c r="E75" s="16"/>
      <c r="F75" s="16"/>
      <c r="G75" s="16" t="s">
        <v>685</v>
      </c>
      <c r="H75" s="16" t="s">
        <v>292</v>
      </c>
      <c r="I75" s="229">
        <f>FRACothersoil.R</f>
        <v>0.1</v>
      </c>
      <c r="J75" s="469">
        <v>0.1</v>
      </c>
      <c r="K75" s="468">
        <v>0.1</v>
      </c>
      <c r="L75" s="469"/>
      <c r="M75" s="469">
        <v>0.2399385867877197</v>
      </c>
      <c r="N75" s="469">
        <v>0.2399385867877197</v>
      </c>
      <c r="O75" s="469">
        <v>0.2399385867877197</v>
      </c>
      <c r="P75" s="469">
        <v>0.2399385867877197</v>
      </c>
      <c r="Q75" s="469"/>
      <c r="R75" s="468"/>
      <c r="S75" s="468"/>
      <c r="T75" s="469"/>
      <c r="U75" s="469"/>
      <c r="V75" s="468"/>
      <c r="W75" s="468"/>
      <c r="X75" s="469"/>
      <c r="Y75" s="469"/>
      <c r="Z75" s="469"/>
      <c r="AA75" s="469"/>
      <c r="AB75" s="469"/>
      <c r="AC75" s="469"/>
      <c r="AD75" s="121"/>
      <c r="AE75" s="121">
        <v>0.1</v>
      </c>
      <c r="AF75" s="121">
        <v>0.1</v>
      </c>
      <c r="AG75" s="121">
        <v>0.1</v>
      </c>
    </row>
    <row r="76" spans="1:33" ht="12.75" customHeight="1" x14ac:dyDescent="0.3">
      <c r="A76" s="16" t="s">
        <v>686</v>
      </c>
      <c r="B76" s="16"/>
      <c r="C76" s="16"/>
      <c r="D76" s="16"/>
      <c r="E76" s="16"/>
      <c r="F76" s="16"/>
      <c r="G76" s="16" t="s">
        <v>687</v>
      </c>
      <c r="H76" s="16" t="s">
        <v>4249</v>
      </c>
      <c r="I76" s="229">
        <f>TEMP.R-273</f>
        <v>12</v>
      </c>
      <c r="J76" s="469">
        <v>12</v>
      </c>
      <c r="K76" s="468">
        <v>12</v>
      </c>
      <c r="L76" s="469"/>
      <c r="M76" s="469">
        <v>10</v>
      </c>
      <c r="N76" s="469">
        <v>10</v>
      </c>
      <c r="O76" s="469">
        <v>10</v>
      </c>
      <c r="P76" s="469">
        <v>10</v>
      </c>
      <c r="Q76" s="469"/>
      <c r="R76" s="468"/>
      <c r="S76" s="468"/>
      <c r="T76" s="469"/>
      <c r="U76" s="469"/>
      <c r="V76" s="468"/>
      <c r="W76" s="468"/>
      <c r="X76" s="469"/>
      <c r="Y76" s="469"/>
      <c r="Z76" s="469"/>
      <c r="AA76" s="469"/>
      <c r="AB76" s="469"/>
      <c r="AC76" s="469"/>
      <c r="AD76" s="121"/>
      <c r="AE76" s="121">
        <v>12</v>
      </c>
      <c r="AF76" s="121">
        <v>12</v>
      </c>
      <c r="AG76" s="121">
        <v>12</v>
      </c>
    </row>
    <row r="77" spans="1:33" ht="12.75" customHeight="1" x14ac:dyDescent="0.3">
      <c r="A77" s="16" t="s">
        <v>688</v>
      </c>
      <c r="B77" s="16"/>
      <c r="C77" s="16"/>
      <c r="D77" s="16"/>
      <c r="E77" s="16"/>
      <c r="F77" s="16"/>
      <c r="G77" s="16" t="s">
        <v>689</v>
      </c>
      <c r="H77" s="16" t="s">
        <v>882</v>
      </c>
      <c r="I77" s="229">
        <f>WINDspeed.R</f>
        <v>3</v>
      </c>
      <c r="J77" s="469">
        <v>3</v>
      </c>
      <c r="K77" s="468">
        <v>3</v>
      </c>
      <c r="L77" s="469"/>
      <c r="M77" s="469">
        <v>4.63580226898193</v>
      </c>
      <c r="N77" s="469">
        <v>4.63580226898193</v>
      </c>
      <c r="O77" s="469">
        <v>4.63580226898193</v>
      </c>
      <c r="P77" s="469">
        <v>4.63580226898193</v>
      </c>
      <c r="Q77" s="469"/>
      <c r="R77" s="468"/>
      <c r="S77" s="468"/>
      <c r="T77" s="469"/>
      <c r="U77" s="469"/>
      <c r="V77" s="468"/>
      <c r="W77" s="468"/>
      <c r="X77" s="469"/>
      <c r="Y77" s="469"/>
      <c r="Z77" s="469"/>
      <c r="AA77" s="469"/>
      <c r="AB77" s="469"/>
      <c r="AC77" s="469"/>
      <c r="AD77" s="121"/>
      <c r="AE77" s="121">
        <v>3</v>
      </c>
      <c r="AF77" s="121">
        <v>3</v>
      </c>
      <c r="AG77" s="121">
        <v>3</v>
      </c>
    </row>
    <row r="78" spans="1:33" ht="12.75" customHeight="1" x14ac:dyDescent="0.3">
      <c r="A78" s="16" t="s">
        <v>691</v>
      </c>
      <c r="B78" s="16"/>
      <c r="C78" s="16"/>
      <c r="D78" s="16"/>
      <c r="E78" s="16"/>
      <c r="F78" s="16"/>
      <c r="G78" s="16" t="s">
        <v>692</v>
      </c>
      <c r="H78" s="16" t="s">
        <v>4250</v>
      </c>
      <c r="I78" s="229">
        <f>RAINrate.R*1000*(3600*24*365)</f>
        <v>700</v>
      </c>
      <c r="J78" s="469">
        <v>700</v>
      </c>
      <c r="K78" s="468">
        <v>700</v>
      </c>
      <c r="L78" s="469"/>
      <c r="M78" s="469">
        <v>930.21250226047403</v>
      </c>
      <c r="N78" s="469">
        <v>930.21250226047403</v>
      </c>
      <c r="O78" s="469">
        <v>632.85703291353502</v>
      </c>
      <c r="P78" s="469">
        <v>632.85703291353502</v>
      </c>
      <c r="Q78" s="469"/>
      <c r="R78" s="468"/>
      <c r="S78" s="468"/>
      <c r="T78" s="469"/>
      <c r="U78" s="469"/>
      <c r="V78" s="468"/>
      <c r="W78" s="468"/>
      <c r="X78" s="469"/>
      <c r="Y78" s="469"/>
      <c r="Z78" s="469"/>
      <c r="AA78" s="469"/>
      <c r="AB78" s="469"/>
      <c r="AC78" s="469"/>
      <c r="AD78" s="121"/>
      <c r="AE78" s="121">
        <v>700</v>
      </c>
      <c r="AF78" s="121">
        <v>700</v>
      </c>
      <c r="AG78" s="121">
        <v>700</v>
      </c>
    </row>
    <row r="79" spans="1:33" ht="12.75" customHeight="1" x14ac:dyDescent="0.3">
      <c r="A79" s="16" t="s">
        <v>694</v>
      </c>
      <c r="B79" s="16"/>
      <c r="C79" s="16"/>
      <c r="D79" s="16"/>
      <c r="E79" s="16"/>
      <c r="F79" s="16"/>
      <c r="G79" s="16" t="s">
        <v>695</v>
      </c>
      <c r="H79" s="16" t="s">
        <v>279</v>
      </c>
      <c r="I79" s="229">
        <f>DEPTHlake.R</f>
        <v>100</v>
      </c>
      <c r="J79" s="469">
        <v>100</v>
      </c>
      <c r="K79" s="468">
        <v>1E-10</v>
      </c>
      <c r="L79" s="468"/>
      <c r="M79" s="468"/>
      <c r="N79" s="468"/>
      <c r="O79" s="468"/>
      <c r="P79" s="468"/>
      <c r="Q79" s="468"/>
      <c r="R79" s="468"/>
      <c r="S79" s="468"/>
      <c r="T79" s="468"/>
      <c r="U79" s="468"/>
      <c r="V79" s="468"/>
      <c r="W79" s="468"/>
      <c r="X79" s="468"/>
      <c r="Y79" s="468"/>
      <c r="Z79" s="468"/>
      <c r="AA79" s="468"/>
      <c r="AB79" s="468"/>
      <c r="AC79" s="468"/>
      <c r="AD79" s="121"/>
      <c r="AE79" s="121">
        <v>100</v>
      </c>
      <c r="AF79" s="121">
        <v>100</v>
      </c>
      <c r="AG79" s="121">
        <v>100</v>
      </c>
    </row>
    <row r="80" spans="1:33" ht="12.75" customHeight="1" x14ac:dyDescent="0.3">
      <c r="A80" s="16" t="s">
        <v>696</v>
      </c>
      <c r="B80" s="16"/>
      <c r="C80" s="16"/>
      <c r="D80" s="16"/>
      <c r="E80" s="16"/>
      <c r="F80" s="16"/>
      <c r="G80" s="16" t="s">
        <v>697</v>
      </c>
      <c r="H80" s="16" t="s">
        <v>279</v>
      </c>
      <c r="I80" s="229">
        <f>DEPTHfreshwater.R</f>
        <v>3</v>
      </c>
      <c r="J80" s="469">
        <v>3</v>
      </c>
      <c r="K80" s="468">
        <v>3</v>
      </c>
      <c r="L80" s="468"/>
      <c r="M80" s="468">
        <v>1.87</v>
      </c>
      <c r="N80" s="468">
        <v>1.87</v>
      </c>
      <c r="O80" s="468">
        <v>1.62</v>
      </c>
      <c r="P80" s="468">
        <v>1.62</v>
      </c>
      <c r="Q80" s="468"/>
      <c r="R80" s="468"/>
      <c r="S80" s="468"/>
      <c r="T80" s="468"/>
      <c r="U80" s="468"/>
      <c r="V80" s="468"/>
      <c r="W80" s="468"/>
      <c r="X80" s="468"/>
      <c r="Y80" s="468"/>
      <c r="Z80" s="468"/>
      <c r="AA80" s="468"/>
      <c r="AB80" s="468"/>
      <c r="AC80" s="468"/>
      <c r="AD80" s="121"/>
      <c r="AE80" s="121">
        <v>3</v>
      </c>
      <c r="AF80" s="121">
        <v>3</v>
      </c>
      <c r="AG80" s="121">
        <v>3</v>
      </c>
    </row>
    <row r="81" spans="1:33" ht="12.75" customHeight="1" x14ac:dyDescent="0.3">
      <c r="A81" s="16" t="s">
        <v>698</v>
      </c>
      <c r="B81" s="16"/>
      <c r="C81" s="16"/>
      <c r="D81" s="16"/>
      <c r="E81" s="16"/>
      <c r="F81" s="16"/>
      <c r="G81" s="16" t="s">
        <v>699</v>
      </c>
      <c r="H81" s="16" t="s">
        <v>292</v>
      </c>
      <c r="I81" s="229">
        <f>FRAC.w1R.w1C</f>
        <v>0</v>
      </c>
      <c r="J81" s="469">
        <v>0</v>
      </c>
      <c r="K81" s="468">
        <v>0</v>
      </c>
      <c r="L81" s="469"/>
      <c r="M81" s="469"/>
      <c r="N81" s="469"/>
      <c r="O81" s="469"/>
      <c r="P81" s="469"/>
      <c r="Q81" s="469"/>
      <c r="R81" s="468"/>
      <c r="S81" s="468"/>
      <c r="T81" s="469"/>
      <c r="U81" s="469"/>
      <c r="V81" s="468"/>
      <c r="W81" s="468"/>
      <c r="X81" s="469"/>
      <c r="Y81" s="469"/>
      <c r="Z81" s="469"/>
      <c r="AA81" s="469"/>
      <c r="AB81" s="469"/>
      <c r="AC81" s="469"/>
      <c r="AD81" s="121"/>
      <c r="AE81" s="121">
        <v>0</v>
      </c>
      <c r="AF81" s="121">
        <v>0</v>
      </c>
      <c r="AG81" s="121">
        <v>0</v>
      </c>
    </row>
    <row r="82" spans="1:33" ht="12.75" customHeight="1" x14ac:dyDescent="0.3">
      <c r="A82" s="16" t="s">
        <v>700</v>
      </c>
      <c r="B82" s="16"/>
      <c r="C82" s="16"/>
      <c r="D82" s="16"/>
      <c r="E82" s="16"/>
      <c r="F82" s="16"/>
      <c r="G82" s="16" t="s">
        <v>701</v>
      </c>
      <c r="H82" s="16" t="s">
        <v>292</v>
      </c>
      <c r="I82" s="229">
        <f>FRACrun.R</f>
        <v>0.25</v>
      </c>
      <c r="J82" s="469">
        <v>0.25</v>
      </c>
      <c r="K82" s="468">
        <v>0.25</v>
      </c>
      <c r="L82" s="469"/>
      <c r="M82" s="469"/>
      <c r="N82" s="469"/>
      <c r="O82" s="469"/>
      <c r="P82" s="469"/>
      <c r="Q82" s="469"/>
      <c r="R82" s="468"/>
      <c r="S82" s="468"/>
      <c r="T82" s="469"/>
      <c r="U82" s="469"/>
      <c r="V82" s="468"/>
      <c r="W82" s="468"/>
      <c r="X82" s="469"/>
      <c r="Y82" s="469"/>
      <c r="Z82" s="469"/>
      <c r="AA82" s="469"/>
      <c r="AB82" s="469"/>
      <c r="AC82" s="469"/>
      <c r="AD82" s="121"/>
      <c r="AE82" s="121">
        <v>0.25</v>
      </c>
      <c r="AF82" s="121">
        <v>0.25</v>
      </c>
      <c r="AG82" s="121">
        <v>0.25</v>
      </c>
    </row>
    <row r="83" spans="1:33" ht="12.75" customHeight="1" x14ac:dyDescent="0.3">
      <c r="A83" s="16" t="s">
        <v>702</v>
      </c>
      <c r="B83" s="16"/>
      <c r="C83" s="16"/>
      <c r="D83" s="16"/>
      <c r="E83" s="16"/>
      <c r="F83" s="16"/>
      <c r="G83" s="16" t="s">
        <v>703</v>
      </c>
      <c r="H83" s="16" t="s">
        <v>292</v>
      </c>
      <c r="I83" s="229">
        <f>FRACinf.R</f>
        <v>0.25</v>
      </c>
      <c r="J83" s="469">
        <v>0.25</v>
      </c>
      <c r="K83" s="468">
        <v>0.25</v>
      </c>
      <c r="L83" s="469"/>
      <c r="M83" s="469"/>
      <c r="N83" s="469"/>
      <c r="O83" s="469"/>
      <c r="P83" s="469"/>
      <c r="Q83" s="469"/>
      <c r="R83" s="468"/>
      <c r="S83" s="468"/>
      <c r="T83" s="469"/>
      <c r="U83" s="469"/>
      <c r="V83" s="468"/>
      <c r="W83" s="468"/>
      <c r="X83" s="469"/>
      <c r="Y83" s="469"/>
      <c r="Z83" s="469"/>
      <c r="AA83" s="469"/>
      <c r="AB83" s="469"/>
      <c r="AC83" s="469"/>
      <c r="AD83" s="121"/>
      <c r="AE83" s="121">
        <v>0.25</v>
      </c>
      <c r="AF83" s="121">
        <v>0.25</v>
      </c>
      <c r="AG83" s="121">
        <v>0.25</v>
      </c>
    </row>
    <row r="84" spans="1:33" ht="12.75" customHeight="1" x14ac:dyDescent="0.3">
      <c r="A84" s="16" t="s">
        <v>704</v>
      </c>
      <c r="B84" s="16"/>
      <c r="C84" s="16"/>
      <c r="D84" s="16"/>
      <c r="E84" s="16"/>
      <c r="F84" s="16"/>
      <c r="G84" s="16" t="s">
        <v>705</v>
      </c>
      <c r="H84" s="16" t="s">
        <v>4250</v>
      </c>
      <c r="I84" s="229">
        <f>EROSION.R*1000*(3600*24*365)</f>
        <v>0.03</v>
      </c>
      <c r="J84" s="469">
        <v>0.03</v>
      </c>
      <c r="K84" s="468">
        <v>0.03</v>
      </c>
      <c r="L84" s="469"/>
      <c r="M84" s="469"/>
      <c r="N84" s="469"/>
      <c r="O84" s="469"/>
      <c r="P84" s="469"/>
      <c r="Q84" s="469"/>
      <c r="R84" s="468"/>
      <c r="S84" s="469"/>
      <c r="T84" s="469"/>
      <c r="U84" s="469"/>
      <c r="V84" s="468"/>
      <c r="W84" s="469"/>
      <c r="X84" s="469"/>
      <c r="Y84" s="469"/>
      <c r="Z84" s="469"/>
      <c r="AA84" s="469"/>
      <c r="AB84" s="469"/>
      <c r="AC84" s="469"/>
      <c r="AD84" s="121"/>
      <c r="AE84" s="121">
        <v>0.03</v>
      </c>
      <c r="AF84" s="121">
        <v>0.03</v>
      </c>
      <c r="AG84" s="121">
        <v>0.03</v>
      </c>
    </row>
    <row r="85" spans="1:33" ht="12.75" customHeight="1" x14ac:dyDescent="0.3">
      <c r="A85" s="211" t="s">
        <v>706</v>
      </c>
      <c r="B85" s="211"/>
      <c r="C85" s="211"/>
      <c r="D85" s="211"/>
      <c r="E85" s="211"/>
      <c r="F85" s="211"/>
      <c r="G85" s="211" t="s">
        <v>707</v>
      </c>
      <c r="H85" s="208" t="s">
        <v>708</v>
      </c>
      <c r="I85" s="629">
        <f>NumConcNuc.aR</f>
        <v>3200000000</v>
      </c>
      <c r="J85" s="469"/>
      <c r="K85" s="468"/>
      <c r="L85" s="469">
        <f>1400*1000*1000</f>
        <v>1400000000</v>
      </c>
      <c r="M85" s="469"/>
      <c r="N85" s="469">
        <f>1400*1000*1000</f>
        <v>1400000000</v>
      </c>
      <c r="O85" s="469"/>
      <c r="P85" s="469">
        <f>1400*1000*1000</f>
        <v>1400000000</v>
      </c>
      <c r="Q85" s="469"/>
      <c r="R85" s="468"/>
      <c r="S85" s="631"/>
      <c r="T85" s="469"/>
      <c r="U85" s="468"/>
      <c r="V85" s="468"/>
      <c r="W85" s="631"/>
      <c r="X85" s="469"/>
      <c r="Y85" s="468"/>
      <c r="Z85" s="469"/>
      <c r="AA85" s="469"/>
      <c r="AB85" s="469"/>
      <c r="AC85" s="469"/>
      <c r="AD85" s="121"/>
      <c r="AE85" s="121"/>
      <c r="AF85" s="121"/>
      <c r="AG85" s="121"/>
    </row>
    <row r="86" spans="1:33" ht="12.75" customHeight="1" x14ac:dyDescent="0.3">
      <c r="A86" s="211" t="s">
        <v>710</v>
      </c>
      <c r="B86" s="211"/>
      <c r="C86" s="211"/>
      <c r="D86" s="211"/>
      <c r="E86" s="211"/>
      <c r="F86" s="211"/>
      <c r="G86" s="211" t="s">
        <v>711</v>
      </c>
      <c r="H86" s="208" t="s">
        <v>708</v>
      </c>
      <c r="I86" s="229">
        <f>NumConcAcc.aR</f>
        <v>2900000000</v>
      </c>
      <c r="J86" s="469"/>
      <c r="K86" s="468"/>
      <c r="L86" s="469">
        <v>3600000000</v>
      </c>
      <c r="M86" s="469"/>
      <c r="N86" s="469">
        <v>3600000000</v>
      </c>
      <c r="O86" s="469"/>
      <c r="P86" s="469">
        <v>3600000000</v>
      </c>
      <c r="Q86" s="469"/>
      <c r="R86" s="468"/>
      <c r="S86" s="631"/>
      <c r="T86" s="469"/>
      <c r="U86" s="468"/>
      <c r="V86" s="468"/>
      <c r="W86" s="631"/>
      <c r="X86" s="469"/>
      <c r="Y86" s="468"/>
      <c r="Z86" s="469"/>
      <c r="AA86" s="469"/>
      <c r="AB86" s="469"/>
      <c r="AC86" s="469"/>
      <c r="AD86" s="121"/>
      <c r="AE86" s="121"/>
      <c r="AF86" s="121"/>
      <c r="AG86" s="121"/>
    </row>
    <row r="87" spans="1:33" ht="12.75" customHeight="1" x14ac:dyDescent="0.3">
      <c r="A87" s="211" t="s">
        <v>712</v>
      </c>
      <c r="B87" s="211"/>
      <c r="C87" s="211"/>
      <c r="D87" s="211"/>
      <c r="E87" s="211"/>
      <c r="F87" s="211"/>
      <c r="G87" s="211" t="s">
        <v>713</v>
      </c>
      <c r="H87" s="208" t="s">
        <v>708</v>
      </c>
      <c r="I87" s="229">
        <f>NumConcCP.aR</f>
        <v>300000</v>
      </c>
      <c r="J87" s="469"/>
      <c r="K87" s="468"/>
      <c r="L87" s="469">
        <v>2100000</v>
      </c>
      <c r="M87" s="469"/>
      <c r="N87" s="469">
        <v>2100000</v>
      </c>
      <c r="O87" s="469"/>
      <c r="P87" s="469">
        <v>2100000</v>
      </c>
      <c r="Q87" s="469"/>
      <c r="R87" s="468"/>
      <c r="S87" s="469"/>
      <c r="T87" s="469"/>
      <c r="U87" s="468"/>
      <c r="V87" s="468"/>
      <c r="W87" s="469"/>
      <c r="X87" s="469"/>
      <c r="Y87" s="468"/>
      <c r="Z87" s="469"/>
      <c r="AA87" s="469"/>
      <c r="AB87" s="469"/>
      <c r="AC87" s="469"/>
      <c r="AD87" s="121"/>
      <c r="AE87" s="121"/>
      <c r="AF87" s="121"/>
      <c r="AG87" s="121"/>
    </row>
    <row r="88" spans="1:33" ht="12.75" customHeight="1" x14ac:dyDescent="0.3">
      <c r="A88" s="208" t="s">
        <v>714</v>
      </c>
      <c r="B88" s="211"/>
      <c r="C88" s="211"/>
      <c r="D88" s="211"/>
      <c r="E88" s="211"/>
      <c r="F88" s="211"/>
      <c r="G88" s="486" t="s">
        <v>715</v>
      </c>
      <c r="H88" s="208" t="s">
        <v>716</v>
      </c>
      <c r="I88" s="229">
        <f>COL.w0R*1000</f>
        <v>1</v>
      </c>
      <c r="J88" s="469"/>
      <c r="K88" s="468"/>
      <c r="L88" s="469">
        <f>170000000000000*SingleVolNC.w*RhoNC.w*1000</f>
        <v>4.8066367599923847</v>
      </c>
      <c r="M88" s="469"/>
      <c r="N88" s="469">
        <f>170000000000000*SingleVolNC.w*RhoNC.w*1000</f>
        <v>4.8066367599923847</v>
      </c>
      <c r="O88" s="469"/>
      <c r="P88" s="469">
        <f>170000000000000*SingleVolNC.w*RhoNC.w*1000</f>
        <v>4.8066367599923847</v>
      </c>
      <c r="Q88" s="469"/>
      <c r="R88" s="468"/>
      <c r="S88" s="632"/>
      <c r="T88" s="469"/>
      <c r="U88" s="468"/>
      <c r="V88" s="468"/>
      <c r="W88" s="632"/>
      <c r="X88" s="469"/>
      <c r="Y88" s="468"/>
      <c r="Z88" s="469"/>
      <c r="AA88" s="469"/>
      <c r="AB88" s="469"/>
      <c r="AC88" s="469"/>
      <c r="AD88" s="121"/>
      <c r="AE88" s="121"/>
      <c r="AF88" s="121"/>
      <c r="AG88" s="121"/>
    </row>
    <row r="89" spans="1:33" ht="12.75" customHeight="1" x14ac:dyDescent="0.3">
      <c r="A89" s="208" t="s">
        <v>714</v>
      </c>
      <c r="B89" s="211"/>
      <c r="C89" s="211"/>
      <c r="D89" s="211"/>
      <c r="E89" s="211"/>
      <c r="F89" s="211"/>
      <c r="G89" s="486" t="s">
        <v>718</v>
      </c>
      <c r="H89" s="208" t="s">
        <v>716</v>
      </c>
      <c r="I89" s="229">
        <f>COL.w1R*1000</f>
        <v>1</v>
      </c>
      <c r="J89" s="469"/>
      <c r="K89" s="468"/>
      <c r="L89" s="469">
        <f>170000000000000*SingleVolNC.w*RhoNC.w*1000</f>
        <v>4.8066367599923847</v>
      </c>
      <c r="M89" s="469">
        <v>0.12393037193697687</v>
      </c>
      <c r="N89" s="469">
        <v>0.12393037193697687</v>
      </c>
      <c r="O89" s="469">
        <v>0.11329900738000624</v>
      </c>
      <c r="P89" s="469">
        <v>0.11329900738000624</v>
      </c>
      <c r="Q89" s="469"/>
      <c r="R89" s="468"/>
      <c r="S89" s="632"/>
      <c r="T89" s="469"/>
      <c r="U89" s="468"/>
      <c r="V89" s="468"/>
      <c r="W89" s="632"/>
      <c r="X89" s="469"/>
      <c r="Y89" s="468"/>
      <c r="Z89" s="469"/>
      <c r="AA89" s="469"/>
      <c r="AB89" s="469"/>
      <c r="AC89" s="469"/>
      <c r="AD89" s="121"/>
      <c r="AE89" s="121"/>
      <c r="AF89" s="121"/>
      <c r="AG89" s="121"/>
    </row>
    <row r="90" spans="1:33" ht="12.75" customHeight="1" x14ac:dyDescent="0.3">
      <c r="A90" s="208" t="s">
        <v>714</v>
      </c>
      <c r="B90" s="211"/>
      <c r="C90" s="211"/>
      <c r="D90" s="211"/>
      <c r="E90" s="211"/>
      <c r="F90" s="211"/>
      <c r="G90" s="486" t="s">
        <v>719</v>
      </c>
      <c r="H90" s="208" t="s">
        <v>716</v>
      </c>
      <c r="I90" s="229">
        <f>COL.w2R*1000</f>
        <v>1</v>
      </c>
      <c r="J90" s="469"/>
      <c r="K90" s="468"/>
      <c r="L90" s="469">
        <f>170000000000000*SingleVolNC.w*RhoNC.w*1000</f>
        <v>4.8066367599923847</v>
      </c>
      <c r="M90" s="469"/>
      <c r="N90" s="469">
        <f>170000000000000*SingleVolNC.w*RhoNC.w*1000</f>
        <v>4.8066367599923847</v>
      </c>
      <c r="O90" s="469"/>
      <c r="P90" s="469">
        <f>170000000000000*SingleVolNC.w*RhoNC.w*1000</f>
        <v>4.8066367599923847</v>
      </c>
      <c r="Q90" s="469"/>
      <c r="R90" s="468"/>
      <c r="S90" s="632"/>
      <c r="T90" s="469"/>
      <c r="U90" s="468"/>
      <c r="V90" s="468"/>
      <c r="W90" s="632"/>
      <c r="X90" s="469"/>
      <c r="Y90" s="468"/>
      <c r="Z90" s="469"/>
      <c r="AA90" s="469"/>
      <c r="AB90" s="469"/>
      <c r="AC90" s="469"/>
      <c r="AD90" s="121"/>
      <c r="AE90" s="121"/>
      <c r="AF90" s="121"/>
      <c r="AG90" s="121"/>
    </row>
    <row r="91" spans="1:33" ht="12.75" customHeight="1" x14ac:dyDescent="0.3">
      <c r="A91" s="208" t="s">
        <v>720</v>
      </c>
      <c r="B91" s="211"/>
      <c r="C91" s="211"/>
      <c r="D91" s="211"/>
      <c r="E91" s="211"/>
      <c r="F91" s="211"/>
      <c r="G91" s="486" t="s">
        <v>721</v>
      </c>
      <c r="H91" s="208" t="s">
        <v>579</v>
      </c>
      <c r="I91" s="229">
        <f>SUSP.w0R*1000</f>
        <v>0.5</v>
      </c>
      <c r="J91" s="469"/>
      <c r="K91" s="468"/>
      <c r="L91" s="469">
        <f>36000000000*SingleVolSPM.w*RhoSPM.w*1000</f>
        <v>10.178760197630933</v>
      </c>
      <c r="M91" s="469"/>
      <c r="N91" s="469">
        <f>36000000000*SingleVolSPM.w*RhoSPM.w*1000</f>
        <v>10.178760197630933</v>
      </c>
      <c r="O91" s="469"/>
      <c r="P91" s="469">
        <f>36000000000*SingleVolSPM.w*RhoSPM.w*1000</f>
        <v>10.178760197630933</v>
      </c>
      <c r="Q91" s="469"/>
      <c r="R91" s="468"/>
      <c r="S91" s="632"/>
      <c r="T91" s="469"/>
      <c r="U91" s="468"/>
      <c r="V91" s="468"/>
      <c r="W91" s="632"/>
      <c r="X91" s="469"/>
      <c r="Y91" s="468"/>
      <c r="Z91" s="469"/>
      <c r="AA91" s="469"/>
      <c r="AB91" s="469"/>
      <c r="AC91" s="469"/>
      <c r="AD91" s="121"/>
      <c r="AE91" s="121"/>
      <c r="AF91" s="121"/>
      <c r="AG91" s="121"/>
    </row>
    <row r="92" spans="1:33" ht="12.75" customHeight="1" x14ac:dyDescent="0.3">
      <c r="A92" s="208" t="s">
        <v>723</v>
      </c>
      <c r="B92" s="211"/>
      <c r="C92" s="211"/>
      <c r="D92" s="211"/>
      <c r="E92" s="211"/>
      <c r="F92" s="211"/>
      <c r="G92" s="486" t="s">
        <v>724</v>
      </c>
      <c r="H92" s="208" t="s">
        <v>579</v>
      </c>
      <c r="I92" s="229">
        <f>SUSP.w1R*1000</f>
        <v>15</v>
      </c>
      <c r="J92" s="469"/>
      <c r="K92" s="468"/>
      <c r="L92" s="469">
        <f>36000000000*SingleVolSPM.w*RhoSPM.w*1000</f>
        <v>10.178760197630933</v>
      </c>
      <c r="M92" s="469">
        <v>1.858955579054653</v>
      </c>
      <c r="N92" s="469">
        <v>1.858955579054653</v>
      </c>
      <c r="O92" s="469">
        <v>1.6994851107000937</v>
      </c>
      <c r="P92" s="469">
        <v>1.6994851107000937</v>
      </c>
      <c r="Q92" s="469"/>
      <c r="R92" s="468"/>
      <c r="S92" s="632"/>
      <c r="T92" s="469"/>
      <c r="U92" s="468"/>
      <c r="V92" s="468"/>
      <c r="W92" s="632"/>
      <c r="X92" s="469"/>
      <c r="Y92" s="468"/>
      <c r="Z92" s="469"/>
      <c r="AA92" s="469"/>
      <c r="AB92" s="469"/>
      <c r="AC92" s="469"/>
      <c r="AD92" s="121"/>
      <c r="AE92" s="121"/>
      <c r="AF92" s="121"/>
      <c r="AG92" s="121"/>
    </row>
    <row r="93" spans="1:33" ht="12.75" customHeight="1" x14ac:dyDescent="0.3">
      <c r="A93" s="208" t="s">
        <v>725</v>
      </c>
      <c r="B93" s="211"/>
      <c r="C93" s="211"/>
      <c r="D93" s="211"/>
      <c r="E93" s="211"/>
      <c r="F93" s="211"/>
      <c r="G93" s="486" t="s">
        <v>726</v>
      </c>
      <c r="H93" s="208" t="s">
        <v>579</v>
      </c>
      <c r="I93" s="229">
        <f>SUSP.w2R*1000</f>
        <v>5</v>
      </c>
      <c r="J93" s="469"/>
      <c r="K93" s="468"/>
      <c r="L93" s="469">
        <f>36000000000*SingleVolSPM.w*RhoSPM.w*1000</f>
        <v>10.178760197630933</v>
      </c>
      <c r="M93" s="469"/>
      <c r="N93" s="469">
        <f>36000000000*SingleVolSPM.w*RhoSPM.w*1000</f>
        <v>10.178760197630933</v>
      </c>
      <c r="O93" s="469"/>
      <c r="P93" s="469">
        <f>36000000000*SingleVolSPM.w*RhoSPM.w*1000</f>
        <v>10.178760197630933</v>
      </c>
      <c r="Q93" s="469"/>
      <c r="R93" s="468"/>
      <c r="S93" s="632"/>
      <c r="T93" s="469"/>
      <c r="U93" s="468"/>
      <c r="V93" s="468"/>
      <c r="W93" s="632"/>
      <c r="X93" s="469"/>
      <c r="Y93" s="468"/>
      <c r="Z93" s="469"/>
      <c r="AA93" s="469"/>
      <c r="AB93" s="469"/>
      <c r="AC93" s="469"/>
      <c r="AD93" s="121"/>
      <c r="AE93" s="121"/>
      <c r="AF93" s="121"/>
      <c r="AG93" s="121"/>
    </row>
    <row r="94" spans="1:33" ht="12.75" customHeight="1" x14ac:dyDescent="0.3">
      <c r="A94" s="211" t="s">
        <v>727</v>
      </c>
      <c r="B94" s="211"/>
      <c r="C94" s="211"/>
      <c r="D94" s="211"/>
      <c r="E94" s="211"/>
      <c r="F94" s="211"/>
      <c r="G94" s="208" t="s">
        <v>728</v>
      </c>
      <c r="H94" s="208" t="s">
        <v>729</v>
      </c>
      <c r="I94" s="229">
        <f>mConcNC.sR*1000</f>
        <v>100</v>
      </c>
      <c r="J94" s="469"/>
      <c r="K94" s="468"/>
      <c r="L94" s="469"/>
      <c r="M94" s="469"/>
      <c r="N94" s="469"/>
      <c r="O94" s="469"/>
      <c r="P94" s="469"/>
      <c r="Q94" s="469"/>
      <c r="R94" s="468"/>
      <c r="S94" s="632"/>
      <c r="T94" s="469"/>
      <c r="U94" s="468"/>
      <c r="V94" s="468"/>
      <c r="W94" s="632"/>
      <c r="X94" s="469"/>
      <c r="Y94" s="468"/>
      <c r="Z94" s="469"/>
      <c r="AA94" s="469"/>
      <c r="AB94" s="469"/>
      <c r="AC94" s="469"/>
      <c r="AD94" s="121"/>
      <c r="AE94" s="121"/>
      <c r="AF94" s="121"/>
      <c r="AG94" s="121"/>
    </row>
    <row r="95" spans="1:33" ht="12.75" customHeight="1" x14ac:dyDescent="0.3">
      <c r="A95" s="211"/>
      <c r="B95" s="211"/>
      <c r="C95" s="211"/>
      <c r="D95" s="211"/>
      <c r="E95" s="211"/>
      <c r="F95" s="211"/>
      <c r="G95" s="211"/>
      <c r="H95" s="211"/>
      <c r="I95" s="215"/>
      <c r="J95" s="468"/>
      <c r="K95" s="468"/>
      <c r="L95" s="468"/>
      <c r="M95" s="468"/>
      <c r="N95" s="468"/>
      <c r="O95" s="468"/>
      <c r="P95" s="468"/>
      <c r="Q95" s="468"/>
      <c r="R95" s="468"/>
      <c r="S95" s="468"/>
      <c r="T95" s="468"/>
      <c r="U95" s="468"/>
      <c r="V95" s="468"/>
      <c r="W95" s="468"/>
      <c r="X95" s="468"/>
      <c r="Y95" s="468"/>
      <c r="Z95" s="468"/>
      <c r="AA95" s="468"/>
      <c r="AB95" s="468"/>
      <c r="AC95" s="468"/>
      <c r="AD95" s="121"/>
      <c r="AE95" s="121"/>
      <c r="AF95" s="121"/>
      <c r="AG95" s="121"/>
    </row>
    <row r="96" spans="1:33" ht="12.75" customHeight="1" x14ac:dyDescent="0.3">
      <c r="A96" s="630" t="s">
        <v>211</v>
      </c>
      <c r="B96" s="211"/>
      <c r="C96" s="211"/>
      <c r="D96" s="211"/>
      <c r="E96" s="211"/>
      <c r="F96" s="211"/>
      <c r="G96" s="211"/>
      <c r="H96" s="211"/>
      <c r="I96" s="215"/>
      <c r="J96" s="468"/>
      <c r="K96" s="468"/>
      <c r="L96" s="468"/>
      <c r="M96" s="468"/>
      <c r="N96" s="468"/>
      <c r="O96" s="468"/>
      <c r="P96" s="468"/>
      <c r="Q96" s="468"/>
      <c r="R96" s="468"/>
      <c r="S96" s="468"/>
      <c r="T96" s="468"/>
      <c r="U96" s="468"/>
      <c r="V96" s="468"/>
      <c r="W96" s="468"/>
      <c r="X96" s="468"/>
      <c r="Y96" s="468"/>
      <c r="Z96" s="468"/>
      <c r="AA96" s="468"/>
      <c r="AB96" s="468"/>
      <c r="AC96" s="468"/>
      <c r="AD96" s="121"/>
      <c r="AE96" s="121"/>
      <c r="AF96" s="121"/>
      <c r="AG96" s="121"/>
    </row>
    <row r="97" spans="1:33" ht="12.75" customHeight="1" x14ac:dyDescent="0.3">
      <c r="A97" s="211" t="s">
        <v>670</v>
      </c>
      <c r="B97" s="211"/>
      <c r="C97" s="211"/>
      <c r="D97" s="211"/>
      <c r="E97" s="211"/>
      <c r="F97" s="211"/>
      <c r="G97" s="211" t="s">
        <v>732</v>
      </c>
      <c r="H97" s="486" t="s">
        <v>4248</v>
      </c>
      <c r="I97" s="229">
        <f>AREAland.C*0.000001</f>
        <v>3485840</v>
      </c>
      <c r="J97" s="469"/>
      <c r="K97" s="468"/>
      <c r="L97" s="469"/>
      <c r="M97" s="469"/>
      <c r="N97" s="469"/>
      <c r="O97" s="469"/>
      <c r="P97" s="469"/>
      <c r="Q97" s="469"/>
      <c r="R97" s="468"/>
      <c r="S97" s="468"/>
      <c r="T97" s="469"/>
      <c r="U97" s="469"/>
      <c r="V97" s="468"/>
      <c r="W97" s="468"/>
      <c r="X97" s="469"/>
      <c r="Y97" s="469"/>
      <c r="Z97" s="469"/>
      <c r="AA97" s="469"/>
      <c r="AB97" s="469"/>
      <c r="AC97" s="469"/>
      <c r="AD97" s="121"/>
      <c r="AE97" s="121">
        <v>3714410</v>
      </c>
      <c r="AF97" s="121">
        <v>3714410</v>
      </c>
      <c r="AG97" s="121">
        <v>3714410</v>
      </c>
    </row>
    <row r="98" spans="1:33" ht="12.75" customHeight="1" x14ac:dyDescent="0.3">
      <c r="A98" s="211" t="s">
        <v>674</v>
      </c>
      <c r="B98" s="211"/>
      <c r="C98" s="211"/>
      <c r="D98" s="211"/>
      <c r="E98" s="211"/>
      <c r="F98" s="211"/>
      <c r="G98" s="211" t="s">
        <v>733</v>
      </c>
      <c r="H98" s="486" t="s">
        <v>4248</v>
      </c>
      <c r="I98" s="229">
        <f>AREAsea.C*0.000001</f>
        <v>3713410</v>
      </c>
      <c r="J98" s="469"/>
      <c r="K98" s="468"/>
      <c r="L98" s="469"/>
      <c r="M98" s="469"/>
      <c r="N98" s="469"/>
      <c r="O98" s="469"/>
      <c r="P98" s="469"/>
      <c r="Q98" s="469"/>
      <c r="R98" s="468"/>
      <c r="S98" s="468"/>
      <c r="T98" s="469"/>
      <c r="U98" s="469"/>
      <c r="V98" s="468"/>
      <c r="W98" s="468"/>
      <c r="X98" s="469"/>
      <c r="Y98" s="469"/>
      <c r="Z98" s="469"/>
      <c r="AA98" s="469"/>
      <c r="AB98" s="469"/>
      <c r="AC98" s="469"/>
      <c r="AD98" s="121"/>
      <c r="AE98" s="121">
        <v>3714410</v>
      </c>
      <c r="AF98" s="121">
        <v>3714410</v>
      </c>
      <c r="AG98" s="121">
        <v>3714410</v>
      </c>
    </row>
    <row r="99" spans="1:33" ht="12.75" customHeight="1" x14ac:dyDescent="0.3">
      <c r="A99" s="211" t="s">
        <v>4624</v>
      </c>
      <c r="B99" s="211"/>
      <c r="C99" s="211"/>
      <c r="D99" s="211"/>
      <c r="E99" s="211"/>
      <c r="F99" s="211"/>
      <c r="G99" s="211" t="s">
        <v>4626</v>
      </c>
      <c r="H99" s="486" t="s">
        <v>4248</v>
      </c>
      <c r="I99" s="229">
        <f>TOTAREAland.C*0.000001</f>
        <v>3.71441</v>
      </c>
      <c r="J99" s="469">
        <v>3714410</v>
      </c>
      <c r="K99" s="468">
        <v>3520000</v>
      </c>
      <c r="L99" s="469"/>
      <c r="M99" s="469"/>
      <c r="N99" s="469"/>
      <c r="O99" s="469"/>
      <c r="P99" s="469"/>
      <c r="Q99" s="469"/>
      <c r="R99" s="468"/>
      <c r="S99" s="468"/>
      <c r="T99" s="469"/>
      <c r="U99" s="469"/>
      <c r="V99" s="468"/>
      <c r="W99" s="468"/>
      <c r="X99" s="469"/>
      <c r="Y99" s="469"/>
      <c r="Z99" s="469"/>
      <c r="AA99" s="469"/>
      <c r="AB99" s="469"/>
      <c r="AC99" s="469"/>
      <c r="AD99" s="121"/>
      <c r="AE99" s="121"/>
      <c r="AF99" s="121"/>
      <c r="AG99" s="121"/>
    </row>
    <row r="100" spans="1:33" ht="12.75" customHeight="1" x14ac:dyDescent="0.3">
      <c r="A100" s="211" t="s">
        <v>4625</v>
      </c>
      <c r="B100" s="211"/>
      <c r="C100" s="211"/>
      <c r="D100" s="211"/>
      <c r="E100" s="211"/>
      <c r="F100" s="211"/>
      <c r="G100" s="211" t="s">
        <v>4627</v>
      </c>
      <c r="H100" s="486" t="s">
        <v>4248</v>
      </c>
      <c r="I100" s="229">
        <f>TOTAREAsea.C*0.000001</f>
        <v>3.71441</v>
      </c>
      <c r="J100" s="469">
        <v>3714410</v>
      </c>
      <c r="K100" s="468">
        <v>3520200</v>
      </c>
      <c r="L100" s="469"/>
      <c r="M100" s="469"/>
      <c r="N100" s="469"/>
      <c r="O100" s="469"/>
      <c r="P100" s="469"/>
      <c r="Q100" s="469"/>
      <c r="R100" s="468"/>
      <c r="S100" s="468"/>
      <c r="T100" s="469"/>
      <c r="U100" s="469"/>
      <c r="V100" s="468"/>
      <c r="W100" s="468"/>
      <c r="X100" s="469"/>
      <c r="Y100" s="469"/>
      <c r="Z100" s="469"/>
      <c r="AA100" s="469"/>
      <c r="AB100" s="469"/>
      <c r="AC100" s="469"/>
      <c r="AD100" s="121"/>
      <c r="AE100" s="121"/>
      <c r="AF100" s="121"/>
      <c r="AG100" s="121"/>
    </row>
    <row r="101" spans="1:33" ht="12.75" customHeight="1" x14ac:dyDescent="0.3">
      <c r="A101" s="211" t="s">
        <v>676</v>
      </c>
      <c r="B101" s="211"/>
      <c r="C101" s="211"/>
      <c r="D101" s="211"/>
      <c r="E101" s="211"/>
      <c r="F101" s="211"/>
      <c r="G101" s="211" t="s">
        <v>734</v>
      </c>
      <c r="H101" s="211" t="s">
        <v>292</v>
      </c>
      <c r="I101" s="229">
        <f>FRAClake.C</f>
        <v>2.5000000000000001E-3</v>
      </c>
      <c r="J101" s="469">
        <v>2.5000000000000001E-3</v>
      </c>
      <c r="K101" s="468">
        <v>1E-10</v>
      </c>
      <c r="L101" s="468"/>
      <c r="M101" s="468"/>
      <c r="N101" s="468"/>
      <c r="O101" s="468"/>
      <c r="P101" s="468"/>
      <c r="Q101" s="468"/>
      <c r="R101" s="468"/>
      <c r="S101" s="468"/>
      <c r="T101" s="468"/>
      <c r="U101" s="468"/>
      <c r="V101" s="468"/>
      <c r="W101" s="468"/>
      <c r="X101" s="468"/>
      <c r="Y101" s="468"/>
      <c r="Z101" s="468"/>
      <c r="AA101" s="468"/>
      <c r="AB101" s="468"/>
      <c r="AC101" s="468"/>
      <c r="AD101" s="121"/>
      <c r="AE101" s="121">
        <v>2.5000000000000001E-3</v>
      </c>
      <c r="AF101" s="121">
        <v>2.5000000000000001E-3</v>
      </c>
      <c r="AG101" s="121">
        <v>2.5000000000000001E-3</v>
      </c>
    </row>
    <row r="102" spans="1:33" ht="12.75" customHeight="1" x14ac:dyDescent="0.3">
      <c r="A102" s="211" t="s">
        <v>678</v>
      </c>
      <c r="B102" s="211"/>
      <c r="C102" s="211"/>
      <c r="D102" s="211"/>
      <c r="E102" s="211"/>
      <c r="F102" s="211"/>
      <c r="G102" s="211" t="s">
        <v>735</v>
      </c>
      <c r="H102" s="211" t="s">
        <v>292</v>
      </c>
      <c r="I102" s="229">
        <f>FRACfresh.C</f>
        <v>2.75E-2</v>
      </c>
      <c r="J102" s="469">
        <f>0.03-J101</f>
        <v>2.75E-2</v>
      </c>
      <c r="K102" s="468">
        <v>0.03</v>
      </c>
      <c r="L102" s="469"/>
      <c r="M102" s="469"/>
      <c r="N102" s="469"/>
      <c r="O102" s="469"/>
      <c r="P102" s="469"/>
      <c r="Q102" s="469"/>
      <c r="R102" s="468"/>
      <c r="S102" s="468"/>
      <c r="T102" s="469"/>
      <c r="U102" s="469"/>
      <c r="V102" s="468"/>
      <c r="W102" s="468"/>
      <c r="X102" s="469"/>
      <c r="Y102" s="469"/>
      <c r="Z102" s="469"/>
      <c r="AA102" s="469"/>
      <c r="AB102" s="469"/>
      <c r="AC102" s="469"/>
      <c r="AD102" s="121"/>
      <c r="AE102" s="121">
        <f t="shared" ref="AE102:AG102" si="1">0.03-AE101</f>
        <v>2.75E-2</v>
      </c>
      <c r="AF102" s="121">
        <f t="shared" si="1"/>
        <v>2.75E-2</v>
      </c>
      <c r="AG102" s="121">
        <f t="shared" si="1"/>
        <v>2.75E-2</v>
      </c>
    </row>
    <row r="103" spans="1:33" ht="12.75" customHeight="1" x14ac:dyDescent="0.3">
      <c r="A103" s="211" t="s">
        <v>680</v>
      </c>
      <c r="B103" s="211"/>
      <c r="C103" s="211"/>
      <c r="D103" s="211"/>
      <c r="E103" s="211"/>
      <c r="F103" s="211"/>
      <c r="G103" s="211" t="s">
        <v>736</v>
      </c>
      <c r="H103" s="211" t="s">
        <v>292</v>
      </c>
      <c r="I103" s="229">
        <f>FRACnatsoil.C</f>
        <v>0.27</v>
      </c>
      <c r="J103" s="469">
        <v>0.27</v>
      </c>
      <c r="K103" s="468">
        <v>0.27</v>
      </c>
      <c r="L103" s="469"/>
      <c r="M103" s="469"/>
      <c r="N103" s="469"/>
      <c r="O103" s="469"/>
      <c r="P103" s="469"/>
      <c r="Q103" s="469"/>
      <c r="R103" s="468"/>
      <c r="S103" s="468"/>
      <c r="T103" s="469"/>
      <c r="U103" s="469"/>
      <c r="V103" s="468"/>
      <c r="W103" s="468"/>
      <c r="X103" s="469"/>
      <c r="Y103" s="469"/>
      <c r="Z103" s="469"/>
      <c r="AA103" s="469"/>
      <c r="AB103" s="469"/>
      <c r="AC103" s="469"/>
      <c r="AD103" s="121"/>
      <c r="AE103" s="121">
        <v>0.27</v>
      </c>
      <c r="AF103" s="121">
        <v>0.27</v>
      </c>
      <c r="AG103" s="121">
        <v>0.27</v>
      </c>
    </row>
    <row r="104" spans="1:33" ht="12.75" customHeight="1" x14ac:dyDescent="0.3">
      <c r="A104" s="211" t="s">
        <v>682</v>
      </c>
      <c r="B104" s="211"/>
      <c r="C104" s="211"/>
      <c r="D104" s="211"/>
      <c r="E104" s="211"/>
      <c r="F104" s="211"/>
      <c r="G104" s="211" t="s">
        <v>737</v>
      </c>
      <c r="H104" s="211" t="s">
        <v>292</v>
      </c>
      <c r="I104" s="229">
        <f>FRACagsoil.C</f>
        <v>0.6</v>
      </c>
      <c r="J104" s="469">
        <v>0.6</v>
      </c>
      <c r="K104" s="468">
        <v>0.6</v>
      </c>
      <c r="L104" s="469"/>
      <c r="M104" s="469"/>
      <c r="N104" s="469"/>
      <c r="O104" s="469"/>
      <c r="P104" s="469"/>
      <c r="Q104" s="469"/>
      <c r="R104" s="468"/>
      <c r="S104" s="468"/>
      <c r="T104" s="469"/>
      <c r="U104" s="469"/>
      <c r="V104" s="468"/>
      <c r="W104" s="468"/>
      <c r="X104" s="469"/>
      <c r="Y104" s="469"/>
      <c r="Z104" s="469"/>
      <c r="AA104" s="469"/>
      <c r="AB104" s="469"/>
      <c r="AC104" s="469"/>
      <c r="AD104" s="121"/>
      <c r="AE104" s="121">
        <v>0.6</v>
      </c>
      <c r="AF104" s="121">
        <v>0.6</v>
      </c>
      <c r="AG104" s="121">
        <v>0.6</v>
      </c>
    </row>
    <row r="105" spans="1:33" ht="12.75" customHeight="1" x14ac:dyDescent="0.3">
      <c r="A105" s="211" t="s">
        <v>684</v>
      </c>
      <c r="B105" s="211"/>
      <c r="C105" s="211"/>
      <c r="D105" s="211"/>
      <c r="E105" s="211"/>
      <c r="F105" s="211"/>
      <c r="G105" s="211" t="s">
        <v>738</v>
      </c>
      <c r="H105" s="211" t="s">
        <v>292</v>
      </c>
      <c r="I105" s="229">
        <f>FRACothersoil.C</f>
        <v>0.1</v>
      </c>
      <c r="J105" s="469">
        <v>0.1</v>
      </c>
      <c r="K105" s="468">
        <v>0.1</v>
      </c>
      <c r="L105" s="469"/>
      <c r="M105" s="469"/>
      <c r="N105" s="469"/>
      <c r="O105" s="469"/>
      <c r="P105" s="469"/>
      <c r="Q105" s="469"/>
      <c r="R105" s="468"/>
      <c r="S105" s="468"/>
      <c r="T105" s="469"/>
      <c r="U105" s="469"/>
      <c r="V105" s="468"/>
      <c r="W105" s="468"/>
      <c r="X105" s="469"/>
      <c r="Y105" s="469"/>
      <c r="Z105" s="469"/>
      <c r="AA105" s="469"/>
      <c r="AB105" s="469"/>
      <c r="AC105" s="469"/>
      <c r="AD105" s="121"/>
      <c r="AE105" s="121">
        <v>0.1</v>
      </c>
      <c r="AF105" s="121">
        <v>0.1</v>
      </c>
      <c r="AG105" s="121">
        <v>0.1</v>
      </c>
    </row>
    <row r="106" spans="1:33" ht="12.75" customHeight="1" x14ac:dyDescent="0.3">
      <c r="A106" s="211" t="s">
        <v>686</v>
      </c>
      <c r="B106" s="211"/>
      <c r="C106" s="211"/>
      <c r="D106" s="211"/>
      <c r="E106" s="211"/>
      <c r="F106" s="211"/>
      <c r="G106" s="211" t="s">
        <v>739</v>
      </c>
      <c r="H106" s="211" t="s">
        <v>4249</v>
      </c>
      <c r="I106" s="229">
        <f>TEMP.C-273</f>
        <v>12</v>
      </c>
      <c r="J106" s="469">
        <v>12</v>
      </c>
      <c r="K106" s="468">
        <v>12</v>
      </c>
      <c r="L106" s="469"/>
      <c r="M106" s="469"/>
      <c r="N106" s="469"/>
      <c r="O106" s="469"/>
      <c r="P106" s="469"/>
      <c r="Q106" s="469"/>
      <c r="R106" s="468"/>
      <c r="S106" s="468"/>
      <c r="T106" s="469"/>
      <c r="U106" s="469"/>
      <c r="V106" s="468"/>
      <c r="W106" s="468"/>
      <c r="X106" s="469"/>
      <c r="Y106" s="469"/>
      <c r="Z106" s="469"/>
      <c r="AA106" s="469"/>
      <c r="AB106" s="469"/>
      <c r="AC106" s="469"/>
      <c r="AD106" s="121"/>
      <c r="AE106" s="121">
        <v>12</v>
      </c>
      <c r="AF106" s="121">
        <v>12</v>
      </c>
      <c r="AG106" s="121">
        <v>12</v>
      </c>
    </row>
    <row r="107" spans="1:33" ht="12.75" customHeight="1" x14ac:dyDescent="0.3">
      <c r="A107" s="211" t="s">
        <v>688</v>
      </c>
      <c r="B107" s="211"/>
      <c r="C107" s="211"/>
      <c r="D107" s="211"/>
      <c r="E107" s="211"/>
      <c r="F107" s="211"/>
      <c r="G107" s="211" t="s">
        <v>740</v>
      </c>
      <c r="H107" s="211" t="s">
        <v>882</v>
      </c>
      <c r="I107" s="229">
        <f>WINDspeed.C</f>
        <v>3</v>
      </c>
      <c r="J107" s="469">
        <v>3</v>
      </c>
      <c r="K107" s="468">
        <v>3</v>
      </c>
      <c r="L107" s="469"/>
      <c r="M107" s="469"/>
      <c r="N107" s="469"/>
      <c r="O107" s="469"/>
      <c r="P107" s="469"/>
      <c r="Q107" s="469"/>
      <c r="R107" s="468"/>
      <c r="S107" s="468"/>
      <c r="T107" s="469"/>
      <c r="U107" s="469"/>
      <c r="V107" s="468"/>
      <c r="W107" s="468"/>
      <c r="X107" s="469"/>
      <c r="Y107" s="469"/>
      <c r="Z107" s="469"/>
      <c r="AA107" s="469"/>
      <c r="AB107" s="469"/>
      <c r="AC107" s="469"/>
      <c r="AD107" s="121"/>
      <c r="AE107" s="121">
        <v>3</v>
      </c>
      <c r="AF107" s="121">
        <v>3</v>
      </c>
      <c r="AG107" s="121">
        <v>3</v>
      </c>
    </row>
    <row r="108" spans="1:33" ht="12.75" customHeight="1" x14ac:dyDescent="0.3">
      <c r="A108" s="211" t="s">
        <v>691</v>
      </c>
      <c r="B108" s="211"/>
      <c r="C108" s="211"/>
      <c r="D108" s="211"/>
      <c r="E108" s="211"/>
      <c r="F108" s="211"/>
      <c r="G108" s="211" t="s">
        <v>741</v>
      </c>
      <c r="H108" s="211" t="s">
        <v>4250</v>
      </c>
      <c r="I108" s="229">
        <f>RAINrate.C*1000*(3600*24*365)</f>
        <v>700</v>
      </c>
      <c r="J108" s="469">
        <v>700</v>
      </c>
      <c r="K108" s="468">
        <v>700</v>
      </c>
      <c r="L108" s="469"/>
      <c r="M108" s="469"/>
      <c r="N108" s="469"/>
      <c r="O108" s="469"/>
      <c r="P108" s="469"/>
      <c r="Q108" s="469"/>
      <c r="R108" s="468"/>
      <c r="S108" s="468"/>
      <c r="T108" s="469"/>
      <c r="U108" s="469"/>
      <c r="V108" s="468"/>
      <c r="W108" s="468"/>
      <c r="X108" s="469"/>
      <c r="Y108" s="469"/>
      <c r="Z108" s="469"/>
      <c r="AA108" s="469"/>
      <c r="AB108" s="469"/>
      <c r="AC108" s="469"/>
      <c r="AD108" s="121"/>
      <c r="AE108" s="121">
        <v>700</v>
      </c>
      <c r="AF108" s="121">
        <v>700</v>
      </c>
      <c r="AG108" s="121">
        <v>700</v>
      </c>
    </row>
    <row r="109" spans="1:33" ht="12.75" customHeight="1" x14ac:dyDescent="0.3">
      <c r="A109" s="211" t="s">
        <v>694</v>
      </c>
      <c r="B109" s="211"/>
      <c r="C109" s="211"/>
      <c r="D109" s="211"/>
      <c r="E109" s="211"/>
      <c r="F109" s="211"/>
      <c r="G109" s="211" t="s">
        <v>742</v>
      </c>
      <c r="H109" s="211" t="s">
        <v>279</v>
      </c>
      <c r="I109" s="229">
        <f>DEPTHlake.C</f>
        <v>100</v>
      </c>
      <c r="J109" s="469">
        <v>100</v>
      </c>
      <c r="K109" s="468">
        <v>1E-10</v>
      </c>
      <c r="L109" s="468"/>
      <c r="M109" s="468"/>
      <c r="N109" s="468"/>
      <c r="O109" s="468"/>
      <c r="P109" s="468"/>
      <c r="Q109" s="468"/>
      <c r="R109" s="468"/>
      <c r="S109" s="468"/>
      <c r="T109" s="468"/>
      <c r="U109" s="468"/>
      <c r="V109" s="468"/>
      <c r="W109" s="468"/>
      <c r="X109" s="468"/>
      <c r="Y109" s="468"/>
      <c r="Z109" s="468"/>
      <c r="AA109" s="468"/>
      <c r="AB109" s="468"/>
      <c r="AC109" s="468"/>
      <c r="AD109" s="121"/>
      <c r="AE109" s="121">
        <v>100</v>
      </c>
      <c r="AF109" s="121">
        <v>100</v>
      </c>
      <c r="AG109" s="121">
        <v>100</v>
      </c>
    </row>
    <row r="110" spans="1:33" ht="12.75" customHeight="1" x14ac:dyDescent="0.3">
      <c r="A110" s="211" t="s">
        <v>696</v>
      </c>
      <c r="B110" s="211"/>
      <c r="C110" s="211"/>
      <c r="D110" s="211"/>
      <c r="E110" s="211"/>
      <c r="F110" s="211"/>
      <c r="G110" s="211" t="s">
        <v>743</v>
      </c>
      <c r="H110" s="211" t="s">
        <v>279</v>
      </c>
      <c r="I110" s="229">
        <f>DEPTHfreshwater.C</f>
        <v>3</v>
      </c>
      <c r="J110" s="469">
        <v>3</v>
      </c>
      <c r="K110" s="468">
        <v>3</v>
      </c>
      <c r="L110" s="468"/>
      <c r="M110" s="468"/>
      <c r="N110" s="468"/>
      <c r="O110" s="468"/>
      <c r="P110" s="468"/>
      <c r="Q110" s="468"/>
      <c r="R110" s="468"/>
      <c r="S110" s="468"/>
      <c r="T110" s="468"/>
      <c r="U110" s="468"/>
      <c r="V110" s="468"/>
      <c r="W110" s="468"/>
      <c r="X110" s="468"/>
      <c r="Y110" s="468"/>
      <c r="Z110" s="468"/>
      <c r="AA110" s="468"/>
      <c r="AB110" s="468"/>
      <c r="AC110" s="468"/>
      <c r="AD110" s="121"/>
      <c r="AE110" s="121">
        <v>3</v>
      </c>
      <c r="AF110" s="121">
        <v>3</v>
      </c>
      <c r="AG110" s="121">
        <v>3</v>
      </c>
    </row>
    <row r="111" spans="1:33" ht="12.75" customHeight="1" x14ac:dyDescent="0.3">
      <c r="A111" s="211" t="s">
        <v>744</v>
      </c>
      <c r="B111" s="211"/>
      <c r="C111" s="211"/>
      <c r="D111" s="211"/>
      <c r="E111" s="211"/>
      <c r="F111" s="211"/>
      <c r="G111" s="211" t="s">
        <v>745</v>
      </c>
      <c r="H111" s="211" t="s">
        <v>292</v>
      </c>
      <c r="I111" s="229">
        <f>FRAC.w1C.w1R</f>
        <v>0</v>
      </c>
      <c r="J111" s="469">
        <v>0</v>
      </c>
      <c r="K111" s="468">
        <v>3.4000000000000002E-2</v>
      </c>
      <c r="L111" s="469"/>
      <c r="M111" s="469"/>
      <c r="N111" s="469"/>
      <c r="O111" s="469"/>
      <c r="P111" s="469"/>
      <c r="Q111" s="469"/>
      <c r="R111" s="468"/>
      <c r="S111" s="468"/>
      <c r="T111" s="469"/>
      <c r="U111" s="469"/>
      <c r="V111" s="468"/>
      <c r="W111" s="468"/>
      <c r="X111" s="469"/>
      <c r="Y111" s="469"/>
      <c r="Z111" s="469"/>
      <c r="AA111" s="469"/>
      <c r="AB111" s="469"/>
      <c r="AC111" s="469"/>
      <c r="AD111" s="121"/>
      <c r="AE111" s="121">
        <v>0</v>
      </c>
      <c r="AF111" s="121">
        <v>0</v>
      </c>
      <c r="AG111" s="121">
        <v>0</v>
      </c>
    </row>
    <row r="112" spans="1:33" ht="12.75" customHeight="1" x14ac:dyDescent="0.3">
      <c r="A112" s="211" t="s">
        <v>702</v>
      </c>
      <c r="B112" s="211"/>
      <c r="C112" s="211"/>
      <c r="D112" s="211"/>
      <c r="E112" s="211"/>
      <c r="F112" s="211"/>
      <c r="G112" s="211" t="s">
        <v>746</v>
      </c>
      <c r="H112" s="211" t="s">
        <v>292</v>
      </c>
      <c r="I112" s="229">
        <f>FRACrun.C</f>
        <v>0.25</v>
      </c>
      <c r="J112" s="469">
        <v>0.25</v>
      </c>
      <c r="K112" s="468">
        <v>0.25</v>
      </c>
      <c r="L112" s="469"/>
      <c r="M112" s="469"/>
      <c r="N112" s="469"/>
      <c r="O112" s="469"/>
      <c r="P112" s="469"/>
      <c r="Q112" s="469"/>
      <c r="R112" s="468"/>
      <c r="S112" s="468"/>
      <c r="T112" s="469"/>
      <c r="U112" s="469"/>
      <c r="V112" s="468"/>
      <c r="W112" s="468"/>
      <c r="X112" s="469"/>
      <c r="Y112" s="469"/>
      <c r="Z112" s="469"/>
      <c r="AA112" s="469"/>
      <c r="AB112" s="469"/>
      <c r="AC112" s="469"/>
      <c r="AD112" s="121"/>
      <c r="AE112" s="121">
        <v>0.25</v>
      </c>
      <c r="AF112" s="121">
        <v>0.25</v>
      </c>
      <c r="AG112" s="121">
        <v>0.25</v>
      </c>
    </row>
    <row r="113" spans="1:33" ht="12.75" customHeight="1" x14ac:dyDescent="0.3">
      <c r="A113" s="211" t="s">
        <v>700</v>
      </c>
      <c r="B113" s="211"/>
      <c r="C113" s="211"/>
      <c r="D113" s="211"/>
      <c r="E113" s="211"/>
      <c r="F113" s="211"/>
      <c r="G113" s="211" t="s">
        <v>747</v>
      </c>
      <c r="H113" s="211" t="s">
        <v>292</v>
      </c>
      <c r="I113" s="229">
        <f>FRACinf.C</f>
        <v>0.25</v>
      </c>
      <c r="J113" s="469">
        <v>0.25</v>
      </c>
      <c r="K113" s="468">
        <v>0.25</v>
      </c>
      <c r="L113" s="469"/>
      <c r="M113" s="469"/>
      <c r="N113" s="469"/>
      <c r="O113" s="469"/>
      <c r="P113" s="469"/>
      <c r="Q113" s="469"/>
      <c r="R113" s="468"/>
      <c r="S113" s="468"/>
      <c r="T113" s="469"/>
      <c r="U113" s="469"/>
      <c r="V113" s="468"/>
      <c r="W113" s="468"/>
      <c r="X113" s="469"/>
      <c r="Y113" s="469"/>
      <c r="Z113" s="469"/>
      <c r="AA113" s="469"/>
      <c r="AB113" s="469"/>
      <c r="AC113" s="469"/>
      <c r="AD113" s="121"/>
      <c r="AE113" s="121">
        <v>0.25</v>
      </c>
      <c r="AF113" s="121">
        <v>0.25</v>
      </c>
      <c r="AG113" s="121">
        <v>0.25</v>
      </c>
    </row>
    <row r="114" spans="1:33" ht="12.75" customHeight="1" x14ac:dyDescent="0.3">
      <c r="A114" s="211" t="s">
        <v>704</v>
      </c>
      <c r="B114" s="211"/>
      <c r="C114" s="211"/>
      <c r="D114" s="211"/>
      <c r="E114" s="211"/>
      <c r="F114" s="211"/>
      <c r="G114" s="211" t="s">
        <v>748</v>
      </c>
      <c r="H114" s="211" t="s">
        <v>4250</v>
      </c>
      <c r="I114" s="229">
        <f>EROSION.C*1000*(3600*24*365)</f>
        <v>0.03</v>
      </c>
      <c r="J114" s="469">
        <v>0.03</v>
      </c>
      <c r="K114" s="468">
        <v>0.03</v>
      </c>
      <c r="L114" s="469"/>
      <c r="M114" s="469"/>
      <c r="N114" s="469"/>
      <c r="O114" s="469"/>
      <c r="P114" s="469"/>
      <c r="Q114" s="469"/>
      <c r="R114" s="468"/>
      <c r="S114" s="468"/>
      <c r="T114" s="469"/>
      <c r="U114" s="469"/>
      <c r="V114" s="468"/>
      <c r="W114" s="468"/>
      <c r="X114" s="469"/>
      <c r="Y114" s="469"/>
      <c r="Z114" s="469"/>
      <c r="AA114" s="469"/>
      <c r="AB114" s="469"/>
      <c r="AC114" s="469"/>
      <c r="AD114" s="121"/>
      <c r="AE114" s="121">
        <v>0.03</v>
      </c>
      <c r="AF114" s="121">
        <v>0.03</v>
      </c>
      <c r="AG114" s="121">
        <v>0.03</v>
      </c>
    </row>
    <row r="115" spans="1:33" ht="12.75" customHeight="1" x14ac:dyDescent="0.3">
      <c r="A115" s="211" t="s">
        <v>706</v>
      </c>
      <c r="B115" s="211"/>
      <c r="C115" s="211"/>
      <c r="D115" s="211"/>
      <c r="E115" s="211"/>
      <c r="F115" s="211"/>
      <c r="G115" s="211" t="s">
        <v>749</v>
      </c>
      <c r="H115" s="208" t="s">
        <v>708</v>
      </c>
      <c r="I115" s="229">
        <f>NumConcNuc.aC</f>
        <v>3200000000</v>
      </c>
      <c r="J115" s="469"/>
      <c r="K115" s="468"/>
      <c r="L115" s="469"/>
      <c r="M115" s="469"/>
      <c r="N115" s="469"/>
      <c r="O115" s="469"/>
      <c r="P115" s="469"/>
      <c r="Q115" s="469"/>
      <c r="R115" s="468"/>
      <c r="S115" s="631"/>
      <c r="T115" s="469"/>
      <c r="U115" s="468"/>
      <c r="V115" s="468"/>
      <c r="W115" s="631"/>
      <c r="X115" s="469"/>
      <c r="Y115" s="468"/>
      <c r="Z115" s="469"/>
      <c r="AA115" s="469"/>
      <c r="AB115" s="469"/>
      <c r="AC115" s="469"/>
      <c r="AD115" s="121"/>
      <c r="AE115" s="121"/>
      <c r="AF115" s="121"/>
      <c r="AG115" s="121"/>
    </row>
    <row r="116" spans="1:33" ht="12.75" customHeight="1" x14ac:dyDescent="0.3">
      <c r="A116" s="211" t="s">
        <v>710</v>
      </c>
      <c r="B116" s="211"/>
      <c r="C116" s="211"/>
      <c r="D116" s="211"/>
      <c r="E116" s="211"/>
      <c r="F116" s="211"/>
      <c r="G116" s="211" t="s">
        <v>750</v>
      </c>
      <c r="H116" s="208" t="s">
        <v>708</v>
      </c>
      <c r="I116" s="229">
        <f>NumConcAcc.aC</f>
        <v>2900000000</v>
      </c>
      <c r="J116" s="469"/>
      <c r="K116" s="468"/>
      <c r="L116" s="469"/>
      <c r="M116" s="469"/>
      <c r="N116" s="469"/>
      <c r="O116" s="469"/>
      <c r="P116" s="469"/>
      <c r="Q116" s="469"/>
      <c r="R116" s="468"/>
      <c r="S116" s="469"/>
      <c r="T116" s="469"/>
      <c r="U116" s="468"/>
      <c r="V116" s="468"/>
      <c r="W116" s="469"/>
      <c r="X116" s="469"/>
      <c r="Y116" s="468"/>
      <c r="Z116" s="469"/>
      <c r="AA116" s="469"/>
      <c r="AB116" s="469"/>
      <c r="AC116" s="469"/>
      <c r="AD116" s="121"/>
      <c r="AE116" s="121"/>
      <c r="AF116" s="121"/>
      <c r="AG116" s="121"/>
    </row>
    <row r="117" spans="1:33" ht="12.75" customHeight="1" x14ac:dyDescent="0.3">
      <c r="A117" s="211" t="s">
        <v>712</v>
      </c>
      <c r="B117" s="211"/>
      <c r="C117" s="211"/>
      <c r="D117" s="211"/>
      <c r="E117" s="211"/>
      <c r="F117" s="211"/>
      <c r="G117" s="211" t="s">
        <v>751</v>
      </c>
      <c r="H117" s="208" t="s">
        <v>708</v>
      </c>
      <c r="I117" s="229">
        <f>NumConcCP.aC</f>
        <v>300000</v>
      </c>
      <c r="J117" s="469"/>
      <c r="K117" s="468"/>
      <c r="L117" s="469"/>
      <c r="M117" s="469"/>
      <c r="N117" s="469"/>
      <c r="O117" s="469"/>
      <c r="P117" s="469"/>
      <c r="Q117" s="469"/>
      <c r="R117" s="468"/>
      <c r="S117" s="469"/>
      <c r="T117" s="469"/>
      <c r="U117" s="468"/>
      <c r="V117" s="468"/>
      <c r="W117" s="469"/>
      <c r="X117" s="469"/>
      <c r="Y117" s="468"/>
      <c r="Z117" s="469"/>
      <c r="AA117" s="469"/>
      <c r="AB117" s="469"/>
      <c r="AC117" s="469"/>
      <c r="AD117" s="121"/>
      <c r="AE117" s="121"/>
      <c r="AF117" s="121"/>
      <c r="AG117" s="121"/>
    </row>
    <row r="118" spans="1:33" ht="12.75" customHeight="1" x14ac:dyDescent="0.3">
      <c r="A118" s="208" t="s">
        <v>714</v>
      </c>
      <c r="B118" s="211"/>
      <c r="C118" s="211"/>
      <c r="D118" s="211"/>
      <c r="E118" s="211"/>
      <c r="F118" s="211"/>
      <c r="G118" s="486" t="s">
        <v>752</v>
      </c>
      <c r="H118" s="208" t="s">
        <v>716</v>
      </c>
      <c r="I118" s="229">
        <f>COL.w0C/1000</f>
        <v>9.9999999999999995E-7</v>
      </c>
      <c r="J118" s="469"/>
      <c r="K118" s="468"/>
      <c r="L118" s="469"/>
      <c r="M118" s="469"/>
      <c r="N118" s="469"/>
      <c r="O118" s="469"/>
      <c r="P118" s="469"/>
      <c r="Q118" s="469"/>
      <c r="R118" s="468"/>
      <c r="S118" s="632"/>
      <c r="T118" s="469"/>
      <c r="U118" s="468"/>
      <c r="V118" s="468"/>
      <c r="W118" s="632"/>
      <c r="X118" s="469"/>
      <c r="Y118" s="468"/>
      <c r="Z118" s="469"/>
      <c r="AA118" s="469"/>
      <c r="AB118" s="469"/>
      <c r="AC118" s="469"/>
      <c r="AD118" s="121"/>
      <c r="AE118" s="121"/>
      <c r="AF118" s="121"/>
      <c r="AG118" s="121"/>
    </row>
    <row r="119" spans="1:33" ht="12.75" customHeight="1" x14ac:dyDescent="0.3">
      <c r="A119" s="208" t="s">
        <v>714</v>
      </c>
      <c r="B119" s="211"/>
      <c r="C119" s="211"/>
      <c r="D119" s="211"/>
      <c r="E119" s="211"/>
      <c r="F119" s="211"/>
      <c r="G119" s="486" t="s">
        <v>753</v>
      </c>
      <c r="H119" s="208" t="s">
        <v>716</v>
      </c>
      <c r="I119" s="229">
        <f>COL.w1C/1000</f>
        <v>9.9999999999999995E-7</v>
      </c>
      <c r="J119" s="469"/>
      <c r="K119" s="468"/>
      <c r="L119" s="469"/>
      <c r="M119" s="469"/>
      <c r="N119" s="469"/>
      <c r="O119" s="469"/>
      <c r="P119" s="469"/>
      <c r="Q119" s="469"/>
      <c r="R119" s="468"/>
      <c r="S119" s="632"/>
      <c r="T119" s="469"/>
      <c r="U119" s="468"/>
      <c r="V119" s="468"/>
      <c r="W119" s="632"/>
      <c r="X119" s="469"/>
      <c r="Y119" s="468"/>
      <c r="Z119" s="469"/>
      <c r="AA119" s="469"/>
      <c r="AB119" s="469"/>
      <c r="AC119" s="469"/>
      <c r="AD119" s="121"/>
      <c r="AE119" s="121"/>
      <c r="AF119" s="121"/>
      <c r="AG119" s="121"/>
    </row>
    <row r="120" spans="1:33" ht="12.75" customHeight="1" x14ac:dyDescent="0.3">
      <c r="A120" s="208" t="s">
        <v>714</v>
      </c>
      <c r="B120" s="211"/>
      <c r="C120" s="211"/>
      <c r="D120" s="211"/>
      <c r="E120" s="211"/>
      <c r="F120" s="211"/>
      <c r="G120" s="486" t="s">
        <v>754</v>
      </c>
      <c r="H120" s="208" t="s">
        <v>716</v>
      </c>
      <c r="I120" s="229">
        <f>COL.w2C/1000</f>
        <v>9.9999999999999995E-7</v>
      </c>
      <c r="J120" s="469"/>
      <c r="K120" s="468"/>
      <c r="L120" s="469"/>
      <c r="M120" s="469"/>
      <c r="N120" s="469"/>
      <c r="O120" s="469"/>
      <c r="P120" s="469"/>
      <c r="Q120" s="469"/>
      <c r="R120" s="468"/>
      <c r="S120" s="632"/>
      <c r="T120" s="469"/>
      <c r="U120" s="468"/>
      <c r="V120" s="468"/>
      <c r="W120" s="632"/>
      <c r="X120" s="469"/>
      <c r="Y120" s="468"/>
      <c r="Z120" s="469"/>
      <c r="AA120" s="469"/>
      <c r="AB120" s="469"/>
      <c r="AC120" s="469"/>
      <c r="AD120" s="121"/>
      <c r="AE120" s="121"/>
      <c r="AF120" s="121"/>
      <c r="AG120" s="121"/>
    </row>
    <row r="121" spans="1:33" ht="12.75" customHeight="1" x14ac:dyDescent="0.3">
      <c r="A121" s="208" t="s">
        <v>723</v>
      </c>
      <c r="B121" s="211"/>
      <c r="C121" s="211"/>
      <c r="D121" s="211"/>
      <c r="E121" s="211"/>
      <c r="F121" s="211"/>
      <c r="G121" s="486" t="s">
        <v>755</v>
      </c>
      <c r="H121" s="208" t="s">
        <v>579</v>
      </c>
      <c r="I121" s="229">
        <f>SUSP.w0C/1000</f>
        <v>4.9999999999999998E-7</v>
      </c>
      <c r="J121" s="469"/>
      <c r="K121" s="468"/>
      <c r="L121" s="469"/>
      <c r="M121" s="469"/>
      <c r="N121" s="469"/>
      <c r="O121" s="469"/>
      <c r="P121" s="469"/>
      <c r="Q121" s="469"/>
      <c r="R121" s="468"/>
      <c r="S121" s="632"/>
      <c r="T121" s="469"/>
      <c r="U121" s="468"/>
      <c r="V121" s="468"/>
      <c r="W121" s="632"/>
      <c r="X121" s="469"/>
      <c r="Y121" s="468"/>
      <c r="Z121" s="469"/>
      <c r="AA121" s="469"/>
      <c r="AB121" s="469"/>
      <c r="AC121" s="469"/>
      <c r="AD121" s="121"/>
      <c r="AE121" s="121"/>
      <c r="AF121" s="121"/>
      <c r="AG121" s="121"/>
    </row>
    <row r="122" spans="1:33" ht="12.75" customHeight="1" x14ac:dyDescent="0.3">
      <c r="A122" s="208" t="s">
        <v>723</v>
      </c>
      <c r="B122" s="211"/>
      <c r="C122" s="211"/>
      <c r="D122" s="211"/>
      <c r="E122" s="211"/>
      <c r="F122" s="211"/>
      <c r="G122" s="486" t="s">
        <v>756</v>
      </c>
      <c r="H122" s="208" t="s">
        <v>716</v>
      </c>
      <c r="I122" s="229">
        <f>SUSP.w1C/1000</f>
        <v>1.4999999999999999E-5</v>
      </c>
      <c r="J122" s="469"/>
      <c r="K122" s="468"/>
      <c r="L122" s="469"/>
      <c r="M122" s="469"/>
      <c r="N122" s="469"/>
      <c r="O122" s="469"/>
      <c r="P122" s="469"/>
      <c r="Q122" s="469"/>
      <c r="R122" s="468"/>
      <c r="S122" s="632"/>
      <c r="T122" s="469"/>
      <c r="U122" s="468"/>
      <c r="V122" s="468"/>
      <c r="W122" s="632"/>
      <c r="X122" s="469"/>
      <c r="Y122" s="468"/>
      <c r="Z122" s="469"/>
      <c r="AA122" s="469"/>
      <c r="AB122" s="469"/>
      <c r="AC122" s="469"/>
      <c r="AD122" s="121"/>
      <c r="AE122" s="121"/>
      <c r="AF122" s="121"/>
      <c r="AG122" s="121"/>
    </row>
    <row r="123" spans="1:33" ht="12.75" customHeight="1" x14ac:dyDescent="0.3">
      <c r="A123" s="208" t="s">
        <v>725</v>
      </c>
      <c r="B123" s="211"/>
      <c r="C123" s="211"/>
      <c r="D123" s="211"/>
      <c r="E123" s="211"/>
      <c r="F123" s="211"/>
      <c r="G123" s="486" t="s">
        <v>757</v>
      </c>
      <c r="H123" s="208" t="s">
        <v>716</v>
      </c>
      <c r="I123" s="229">
        <f>SUSP.w2C/1000</f>
        <v>5.0000000000000004E-6</v>
      </c>
      <c r="J123" s="469"/>
      <c r="K123" s="468"/>
      <c r="L123" s="469"/>
      <c r="M123" s="469"/>
      <c r="N123" s="469"/>
      <c r="O123" s="469"/>
      <c r="P123" s="469"/>
      <c r="Q123" s="469"/>
      <c r="R123" s="468"/>
      <c r="S123" s="632"/>
      <c r="T123" s="469"/>
      <c r="U123" s="468"/>
      <c r="V123" s="468"/>
      <c r="W123" s="632"/>
      <c r="X123" s="469"/>
      <c r="Y123" s="468"/>
      <c r="Z123" s="469"/>
      <c r="AA123" s="469"/>
      <c r="AB123" s="469"/>
      <c r="AC123" s="469"/>
      <c r="AD123" s="121"/>
      <c r="AE123" s="121"/>
      <c r="AF123" s="121"/>
      <c r="AG123" s="121"/>
    </row>
    <row r="124" spans="1:33" ht="12.75" customHeight="1" x14ac:dyDescent="0.3">
      <c r="A124" s="211" t="s">
        <v>727</v>
      </c>
      <c r="B124" s="211"/>
      <c r="C124" s="211"/>
      <c r="D124" s="211"/>
      <c r="E124" s="211"/>
      <c r="F124" s="211"/>
      <c r="G124" s="208" t="s">
        <v>758</v>
      </c>
      <c r="H124" s="208" t="s">
        <v>729</v>
      </c>
      <c r="I124" s="229">
        <f>mConcNC.sC/1000</f>
        <v>1E-4</v>
      </c>
      <c r="J124" s="469"/>
      <c r="K124" s="468"/>
      <c r="L124" s="469"/>
      <c r="M124" s="469"/>
      <c r="N124" s="469"/>
      <c r="O124" s="469"/>
      <c r="P124" s="469"/>
      <c r="Q124" s="469"/>
      <c r="R124" s="468"/>
      <c r="S124" s="632"/>
      <c r="T124" s="469"/>
      <c r="U124" s="468"/>
      <c r="V124" s="468"/>
      <c r="W124" s="632"/>
      <c r="X124" s="469"/>
      <c r="Y124" s="468"/>
      <c r="Z124" s="469"/>
      <c r="AA124" s="469"/>
      <c r="AB124" s="469"/>
      <c r="AC124" s="469"/>
      <c r="AD124" s="121"/>
      <c r="AE124" s="121"/>
      <c r="AF124" s="121"/>
      <c r="AG124" s="121"/>
    </row>
    <row r="125" spans="1:33" ht="14.4" thickBot="1" x14ac:dyDescent="0.35">
      <c r="A125" s="36"/>
      <c r="B125" s="37"/>
      <c r="C125" s="37"/>
      <c r="D125" s="37"/>
      <c r="E125" s="37"/>
      <c r="F125" s="37"/>
      <c r="G125" s="36"/>
      <c r="H125" s="36"/>
      <c r="I125" s="216"/>
      <c r="J125" s="205"/>
      <c r="K125" s="205"/>
      <c r="L125" s="205"/>
      <c r="M125" s="205"/>
      <c r="N125" s="205"/>
      <c r="O125" s="205"/>
      <c r="P125" s="205"/>
      <c r="Q125" s="205"/>
      <c r="R125" s="206"/>
      <c r="S125" s="206"/>
      <c r="T125" s="205"/>
      <c r="U125" s="205"/>
      <c r="V125" s="206"/>
      <c r="W125" s="206"/>
      <c r="X125" s="205"/>
      <c r="Y125" s="205"/>
      <c r="Z125" s="205"/>
      <c r="AA125" s="205"/>
      <c r="AB125" s="205"/>
      <c r="AC125" s="205"/>
      <c r="AD125" s="205"/>
      <c r="AE125" s="205"/>
      <c r="AF125" s="205"/>
      <c r="AG125" s="205"/>
    </row>
    <row r="126" spans="1:33" x14ac:dyDescent="0.3">
      <c r="A126" s="492" t="s">
        <v>810</v>
      </c>
      <c r="B126" s="492"/>
      <c r="C126" s="492"/>
      <c r="D126" s="492"/>
      <c r="E126" s="492"/>
      <c r="F126" s="492"/>
      <c r="G126" s="492"/>
      <c r="H126" s="492"/>
      <c r="I126" s="212"/>
      <c r="J126" s="121"/>
      <c r="K126" s="121"/>
      <c r="L126" s="121"/>
      <c r="M126" s="121"/>
      <c r="N126" s="121"/>
      <c r="O126" s="121"/>
      <c r="P126" s="121"/>
      <c r="Q126" s="121"/>
      <c r="R126" s="121"/>
      <c r="S126" s="121"/>
      <c r="T126" s="121"/>
      <c r="U126" s="121"/>
      <c r="V126" s="121"/>
      <c r="W126" s="121"/>
      <c r="X126" s="121"/>
      <c r="Y126" s="121"/>
      <c r="Z126" s="121"/>
      <c r="AA126" s="121"/>
      <c r="AB126" s="121"/>
      <c r="AC126" s="121"/>
      <c r="AD126" s="148"/>
      <c r="AE126" s="148"/>
      <c r="AF126" s="148"/>
      <c r="AG126" s="148"/>
    </row>
    <row r="127" spans="1:33" x14ac:dyDescent="0.3">
      <c r="A127" s="474"/>
      <c r="B127" s="474" t="s">
        <v>811</v>
      </c>
      <c r="C127" s="474"/>
      <c r="D127" s="474"/>
      <c r="E127" s="474"/>
      <c r="F127" s="490"/>
      <c r="G127" s="601" t="s">
        <v>812</v>
      </c>
      <c r="H127" s="475" t="s">
        <v>278</v>
      </c>
      <c r="I127" s="217">
        <f>RadNuc*1000000000</f>
        <v>10</v>
      </c>
      <c r="L127" s="177">
        <v>10</v>
      </c>
      <c r="N127" s="177">
        <v>10</v>
      </c>
      <c r="P127" s="177">
        <v>10</v>
      </c>
      <c r="R127" s="177">
        <v>9.65</v>
      </c>
      <c r="S127" s="177">
        <v>9.65</v>
      </c>
      <c r="T127" s="177">
        <v>9.65</v>
      </c>
      <c r="U127" s="177">
        <v>9.65</v>
      </c>
      <c r="AD127" s="18"/>
      <c r="AE127" s="18"/>
      <c r="AF127" s="18"/>
      <c r="AG127" s="18"/>
    </row>
    <row r="128" spans="1:33" x14ac:dyDescent="0.3">
      <c r="A128" s="474"/>
      <c r="B128" s="474" t="s">
        <v>814</v>
      </c>
      <c r="C128" s="474"/>
      <c r="D128" s="474"/>
      <c r="E128" s="474"/>
      <c r="F128" s="490"/>
      <c r="G128" s="601" t="s">
        <v>815</v>
      </c>
      <c r="H128" s="475" t="s">
        <v>282</v>
      </c>
      <c r="I128" s="217">
        <f>RhoNuc</f>
        <v>1300</v>
      </c>
      <c r="L128" s="177">
        <v>1300</v>
      </c>
      <c r="N128" s="177">
        <v>1300</v>
      </c>
      <c r="P128" s="177">
        <v>1300</v>
      </c>
      <c r="R128" s="177">
        <v>1300</v>
      </c>
      <c r="S128" s="177">
        <v>1300</v>
      </c>
      <c r="T128" s="177">
        <v>1300</v>
      </c>
      <c r="U128" s="177">
        <v>1300</v>
      </c>
      <c r="AD128" s="18"/>
      <c r="AE128" s="18"/>
      <c r="AF128" s="18"/>
      <c r="AG128" s="18"/>
    </row>
    <row r="129" spans="1:33" x14ac:dyDescent="0.3">
      <c r="A129" s="474"/>
      <c r="B129" s="474" t="s">
        <v>817</v>
      </c>
      <c r="C129" s="474"/>
      <c r="D129" s="474"/>
      <c r="E129" s="474"/>
      <c r="F129" s="490"/>
      <c r="G129" s="601" t="s">
        <v>818</v>
      </c>
      <c r="H129" s="475" t="s">
        <v>278</v>
      </c>
      <c r="I129" s="217">
        <f>RadAcc*1000000000</f>
        <v>58</v>
      </c>
      <c r="L129" s="177">
        <v>60</v>
      </c>
      <c r="N129" s="177">
        <v>60</v>
      </c>
      <c r="P129" s="177">
        <v>60</v>
      </c>
      <c r="R129" s="177">
        <v>115.00000000000001</v>
      </c>
      <c r="S129" s="177">
        <v>115.00000000000001</v>
      </c>
      <c r="T129" s="177">
        <v>115.00000000000001</v>
      </c>
      <c r="U129" s="177">
        <v>115.00000000000001</v>
      </c>
      <c r="AD129" s="18"/>
      <c r="AE129" s="18"/>
      <c r="AF129" s="18"/>
      <c r="AG129" s="18"/>
    </row>
    <row r="130" spans="1:33" x14ac:dyDescent="0.3">
      <c r="A130" s="474"/>
      <c r="B130" s="474" t="s">
        <v>819</v>
      </c>
      <c r="C130" s="474"/>
      <c r="D130" s="474"/>
      <c r="E130" s="474"/>
      <c r="F130" s="490"/>
      <c r="G130" s="601" t="s">
        <v>820</v>
      </c>
      <c r="H130" s="475" t="s">
        <v>282</v>
      </c>
      <c r="I130" s="217">
        <f>RhoAcc</f>
        <v>2000</v>
      </c>
      <c r="L130" s="177">
        <v>1500</v>
      </c>
      <c r="N130" s="177">
        <v>1500</v>
      </c>
      <c r="P130" s="177">
        <v>1500</v>
      </c>
      <c r="R130" s="177">
        <v>1500</v>
      </c>
      <c r="S130" s="177">
        <v>1500</v>
      </c>
      <c r="T130" s="177">
        <v>1500</v>
      </c>
      <c r="U130" s="177">
        <v>1500</v>
      </c>
      <c r="AD130" s="18"/>
      <c r="AE130" s="18"/>
      <c r="AF130" s="18"/>
      <c r="AG130" s="18"/>
    </row>
    <row r="131" spans="1:33" x14ac:dyDescent="0.3">
      <c r="A131" s="474"/>
      <c r="B131" s="474" t="s">
        <v>821</v>
      </c>
      <c r="C131" s="474"/>
      <c r="D131" s="474"/>
      <c r="E131" s="474"/>
      <c r="F131" s="490"/>
      <c r="G131" s="601" t="s">
        <v>822</v>
      </c>
      <c r="H131" s="474" t="s">
        <v>823</v>
      </c>
      <c r="I131" s="217">
        <f>RadCP.a*1000000</f>
        <v>0.89999999999999991</v>
      </c>
      <c r="L131" s="177">
        <v>0.9</v>
      </c>
      <c r="N131" s="177">
        <v>0.9</v>
      </c>
      <c r="P131" s="177">
        <v>0.9</v>
      </c>
      <c r="R131" s="177">
        <v>0.69499999999999995</v>
      </c>
      <c r="S131" s="177">
        <v>0.69499999999999995</v>
      </c>
      <c r="T131" s="177">
        <v>0.69499999999999995</v>
      </c>
      <c r="U131" s="177">
        <v>0.69499999999999995</v>
      </c>
    </row>
    <row r="132" spans="1:33" x14ac:dyDescent="0.3">
      <c r="A132" s="474"/>
      <c r="B132" s="474" t="s">
        <v>824</v>
      </c>
      <c r="C132" s="474"/>
      <c r="D132" s="474"/>
      <c r="E132" s="474"/>
      <c r="F132" s="490"/>
      <c r="G132" s="601" t="s">
        <v>825</v>
      </c>
      <c r="H132" s="475" t="s">
        <v>282</v>
      </c>
      <c r="I132" s="217">
        <f>RhoCP.a</f>
        <v>2000</v>
      </c>
      <c r="L132" s="177">
        <v>1600</v>
      </c>
      <c r="N132" s="177">
        <v>1600</v>
      </c>
      <c r="P132" s="177">
        <v>1600</v>
      </c>
      <c r="R132" s="177">
        <v>2000</v>
      </c>
      <c r="S132" s="177">
        <v>2000</v>
      </c>
      <c r="T132" s="177">
        <v>2000</v>
      </c>
      <c r="U132" s="177">
        <v>2000</v>
      </c>
    </row>
    <row r="133" spans="1:33" x14ac:dyDescent="0.3">
      <c r="A133" s="474"/>
      <c r="B133" s="474" t="s">
        <v>826</v>
      </c>
      <c r="C133" s="474"/>
      <c r="D133" s="474"/>
      <c r="E133" s="474"/>
      <c r="F133" s="485"/>
      <c r="G133" s="601" t="s">
        <v>827</v>
      </c>
      <c r="H133" s="474" t="s">
        <v>278</v>
      </c>
      <c r="I133" s="217">
        <f>RadNC.w*1000000000</f>
        <v>150.00000000000003</v>
      </c>
      <c r="L133" s="177">
        <v>30</v>
      </c>
      <c r="N133" s="177">
        <v>30</v>
      </c>
      <c r="P133" s="177">
        <v>30</v>
      </c>
      <c r="R133" s="177">
        <v>125.00000000000001</v>
      </c>
      <c r="S133" s="177">
        <v>125.00000000000001</v>
      </c>
      <c r="T133" s="177">
        <v>125.00000000000001</v>
      </c>
      <c r="U133" s="177">
        <v>125.00000000000001</v>
      </c>
    </row>
    <row r="134" spans="1:33" x14ac:dyDescent="0.3">
      <c r="A134" s="474"/>
      <c r="B134" s="474" t="s">
        <v>829</v>
      </c>
      <c r="C134" s="474"/>
      <c r="D134" s="474"/>
      <c r="E134" s="474"/>
      <c r="F134" s="485"/>
      <c r="G134" s="601" t="s">
        <v>830</v>
      </c>
      <c r="H134" s="475" t="s">
        <v>282</v>
      </c>
      <c r="I134" s="217">
        <f>RhoNC.w</f>
        <v>2000</v>
      </c>
      <c r="L134" s="177">
        <v>1300</v>
      </c>
      <c r="N134" s="177">
        <v>1300</v>
      </c>
      <c r="P134" s="177">
        <v>1300</v>
      </c>
      <c r="R134" s="177">
        <v>1300</v>
      </c>
      <c r="S134" s="177">
        <v>1300</v>
      </c>
      <c r="T134" s="177">
        <v>1300</v>
      </c>
      <c r="U134" s="177">
        <v>1300</v>
      </c>
    </row>
    <row r="135" spans="1:33" x14ac:dyDescent="0.3">
      <c r="A135" s="474"/>
      <c r="B135" s="474" t="s">
        <v>831</v>
      </c>
      <c r="C135" s="474"/>
      <c r="D135" s="474"/>
      <c r="E135" s="474"/>
      <c r="F135" s="485"/>
      <c r="G135" s="601" t="s">
        <v>832</v>
      </c>
      <c r="H135" s="474" t="s">
        <v>823</v>
      </c>
      <c r="I135" s="217">
        <f>RadSPM.w*1000000</f>
        <v>3</v>
      </c>
      <c r="L135" s="177">
        <v>0.5</v>
      </c>
      <c r="M135" s="177">
        <v>7.0000000000000009</v>
      </c>
      <c r="N135" s="177">
        <v>7.0000000000000009</v>
      </c>
      <c r="O135" s="177">
        <v>7.0000000000000009</v>
      </c>
      <c r="P135" s="177">
        <v>7.0000000000000009</v>
      </c>
      <c r="R135" s="177">
        <v>2.5</v>
      </c>
      <c r="S135" s="177">
        <v>2.5</v>
      </c>
      <c r="T135" s="177">
        <v>2.5</v>
      </c>
      <c r="U135" s="177">
        <v>2.5</v>
      </c>
    </row>
    <row r="136" spans="1:33" x14ac:dyDescent="0.3">
      <c r="A136" s="474"/>
      <c r="B136" s="474" t="s">
        <v>833</v>
      </c>
      <c r="C136" s="474"/>
      <c r="D136" s="474"/>
      <c r="E136" s="474"/>
      <c r="F136" s="485"/>
      <c r="G136" s="601" t="s">
        <v>834</v>
      </c>
      <c r="H136" s="475" t="s">
        <v>282</v>
      </c>
      <c r="I136" s="217">
        <f>RhoSPM.w</f>
        <v>2500</v>
      </c>
      <c r="L136" s="177">
        <v>1800</v>
      </c>
      <c r="M136" s="177">
        <v>2200</v>
      </c>
      <c r="N136" s="177">
        <v>2200</v>
      </c>
      <c r="O136" s="177">
        <v>2200</v>
      </c>
      <c r="P136" s="177">
        <v>2200</v>
      </c>
      <c r="R136" s="177">
        <v>2000</v>
      </c>
      <c r="S136" s="177">
        <v>2000</v>
      </c>
      <c r="T136" s="177">
        <v>2000</v>
      </c>
      <c r="U136" s="177">
        <v>2000</v>
      </c>
    </row>
    <row r="137" spans="1:33" x14ac:dyDescent="0.3">
      <c r="A137" s="474"/>
      <c r="B137" s="474" t="s">
        <v>836</v>
      </c>
      <c r="C137" s="474"/>
      <c r="D137" s="474"/>
      <c r="E137" s="474"/>
      <c r="F137" s="485"/>
      <c r="G137" s="601" t="s">
        <v>837</v>
      </c>
      <c r="H137" s="474" t="s">
        <v>278</v>
      </c>
      <c r="I137" s="217">
        <f>RadNC.sd*1000000000</f>
        <v>150.00000000000003</v>
      </c>
      <c r="L137" s="177">
        <v>125</v>
      </c>
      <c r="N137" s="177">
        <v>125</v>
      </c>
      <c r="P137" s="177">
        <v>125</v>
      </c>
      <c r="R137" s="177">
        <v>50.000000000000007</v>
      </c>
      <c r="S137" s="177">
        <v>50.000000000000007</v>
      </c>
      <c r="T137" s="177">
        <v>50.000000000000007</v>
      </c>
      <c r="U137" s="177">
        <v>50.000000000000007</v>
      </c>
    </row>
    <row r="138" spans="1:33" x14ac:dyDescent="0.3">
      <c r="A138" s="474"/>
      <c r="B138" s="474" t="s">
        <v>838</v>
      </c>
      <c r="C138" s="474"/>
      <c r="D138" s="474"/>
      <c r="E138" s="474"/>
      <c r="F138" s="485"/>
      <c r="G138" s="601" t="s">
        <v>839</v>
      </c>
      <c r="H138" s="475" t="s">
        <v>282</v>
      </c>
      <c r="I138" s="217">
        <f>RhoNC.sd</f>
        <v>2000</v>
      </c>
      <c r="R138" s="177">
        <v>1300</v>
      </c>
      <c r="S138" s="177">
        <v>1300</v>
      </c>
      <c r="T138" s="177">
        <v>1300</v>
      </c>
      <c r="U138" s="177">
        <v>1300</v>
      </c>
    </row>
    <row r="139" spans="1:33" x14ac:dyDescent="0.3">
      <c r="A139" s="474"/>
      <c r="B139" s="474" t="s">
        <v>840</v>
      </c>
      <c r="C139" s="474"/>
      <c r="D139" s="474"/>
      <c r="E139" s="474"/>
      <c r="F139" s="490"/>
      <c r="G139" s="601" t="s">
        <v>841</v>
      </c>
      <c r="H139" s="474" t="s">
        <v>823</v>
      </c>
      <c r="I139" s="217">
        <f>RadFP.sd*1000000</f>
        <v>128</v>
      </c>
      <c r="L139" s="177">
        <v>130</v>
      </c>
      <c r="M139" s="177">
        <v>130</v>
      </c>
      <c r="N139" s="177">
        <v>130</v>
      </c>
      <c r="O139" s="177">
        <v>130</v>
      </c>
      <c r="P139" s="177">
        <v>130</v>
      </c>
      <c r="R139" s="177">
        <v>65</v>
      </c>
      <c r="S139" s="177">
        <v>65</v>
      </c>
      <c r="T139" s="177">
        <v>65</v>
      </c>
      <c r="U139" s="177">
        <v>65</v>
      </c>
    </row>
    <row r="140" spans="1:33" x14ac:dyDescent="0.3">
      <c r="A140" s="474"/>
      <c r="B140" s="474" t="s">
        <v>843</v>
      </c>
      <c r="C140" s="474"/>
      <c r="D140" s="474"/>
      <c r="E140" s="474"/>
      <c r="F140" s="485"/>
      <c r="G140" s="601" t="s">
        <v>844</v>
      </c>
      <c r="H140" s="474" t="s">
        <v>278</v>
      </c>
      <c r="I140" s="217">
        <f>RadNC.s*1000000000</f>
        <v>150.00000000000003</v>
      </c>
      <c r="L140" s="177">
        <v>60</v>
      </c>
      <c r="N140" s="177">
        <v>60</v>
      </c>
      <c r="P140" s="177">
        <v>60</v>
      </c>
      <c r="R140" s="177">
        <v>60.000000000000007</v>
      </c>
      <c r="S140" s="177">
        <v>60.000000000000007</v>
      </c>
      <c r="T140" s="177">
        <v>60.000000000000007</v>
      </c>
      <c r="U140" s="177">
        <v>60.000000000000007</v>
      </c>
    </row>
    <row r="141" spans="1:33" x14ac:dyDescent="0.3">
      <c r="A141" s="474"/>
      <c r="B141" s="474" t="s">
        <v>846</v>
      </c>
      <c r="C141" s="474"/>
      <c r="D141" s="474"/>
      <c r="E141" s="474"/>
      <c r="F141" s="485"/>
      <c r="G141" s="601" t="s">
        <v>847</v>
      </c>
      <c r="H141" s="475" t="s">
        <v>282</v>
      </c>
      <c r="I141" s="217">
        <f>RhoNC.s</f>
        <v>2000</v>
      </c>
      <c r="R141" s="177">
        <v>1300</v>
      </c>
      <c r="S141" s="177">
        <v>1300</v>
      </c>
      <c r="T141" s="177">
        <v>1300</v>
      </c>
      <c r="U141" s="177">
        <v>1300</v>
      </c>
    </row>
    <row r="142" spans="1:33" x14ac:dyDescent="0.3">
      <c r="A142" s="474"/>
      <c r="B142" s="474" t="s">
        <v>848</v>
      </c>
      <c r="C142" s="474"/>
      <c r="D142" s="474"/>
      <c r="E142" s="474"/>
      <c r="F142" s="485"/>
      <c r="G142" s="601" t="s">
        <v>849</v>
      </c>
      <c r="H142" s="474" t="s">
        <v>823</v>
      </c>
      <c r="I142" s="217">
        <f>RadFP.s*1000000</f>
        <v>128</v>
      </c>
      <c r="L142" s="177">
        <v>130</v>
      </c>
      <c r="M142" s="177">
        <v>31.500356271862902</v>
      </c>
      <c r="N142" s="177">
        <v>31.500356271862902</v>
      </c>
      <c r="O142" s="177">
        <v>31.500356271862902</v>
      </c>
      <c r="P142" s="177">
        <v>31.500356271862902</v>
      </c>
      <c r="R142" s="177">
        <v>650</v>
      </c>
      <c r="S142" s="177">
        <v>650</v>
      </c>
      <c r="T142" s="177">
        <v>650</v>
      </c>
      <c r="U142" s="177">
        <v>650</v>
      </c>
    </row>
    <row r="143" spans="1:33" x14ac:dyDescent="0.3">
      <c r="A143" s="474"/>
      <c r="B143" s="474" t="s">
        <v>851</v>
      </c>
      <c r="C143" s="474"/>
      <c r="D143" s="474"/>
      <c r="E143" s="474"/>
      <c r="F143" s="485"/>
      <c r="G143" s="601" t="s">
        <v>852</v>
      </c>
      <c r="H143" s="475" t="s">
        <v>282</v>
      </c>
      <c r="I143" s="217">
        <f>RhoFP.s</f>
        <v>2500</v>
      </c>
      <c r="L143" s="177">
        <v>2500</v>
      </c>
      <c r="N143" s="177">
        <v>2500</v>
      </c>
      <c r="P143" s="177">
        <v>2500</v>
      </c>
      <c r="R143" s="177">
        <v>2500</v>
      </c>
      <c r="S143" s="177">
        <v>2500</v>
      </c>
      <c r="T143" s="177">
        <v>2500</v>
      </c>
      <c r="U143" s="177">
        <v>2500</v>
      </c>
    </row>
  </sheetData>
  <phoneticPr fontId="6" type="noConversion"/>
  <conditionalFormatting sqref="J8:J14">
    <cfRule type="cellIs" dxfId="10" priority="24" operator="equal">
      <formula>0</formula>
    </cfRule>
  </conditionalFormatting>
  <conditionalFormatting sqref="J69:V124">
    <cfRule type="cellIs" dxfId="9" priority="2" operator="equal">
      <formula>0</formula>
    </cfRule>
  </conditionalFormatting>
  <conditionalFormatting sqref="J38:AC66">
    <cfRule type="cellIs" dxfId="8" priority="1" operator="equal">
      <formula>0</formula>
    </cfRule>
  </conditionalFormatting>
  <conditionalFormatting sqref="M69:M84 O85:O94 M86:M114">
    <cfRule type="cellIs" dxfId="7" priority="26" operator="equal">
      <formula>0</formula>
    </cfRule>
  </conditionalFormatting>
  <conditionalFormatting sqref="M116:M124">
    <cfRule type="cellIs" dxfId="6" priority="21" operator="equal">
      <formula>0</formula>
    </cfRule>
  </conditionalFormatting>
  <conditionalFormatting sqref="S69:S84 S86:S114">
    <cfRule type="cellIs" dxfId="5" priority="8" operator="equal">
      <formula>0</formula>
    </cfRule>
  </conditionalFormatting>
  <conditionalFormatting sqref="S116:S124">
    <cfRule type="cellIs" dxfId="4" priority="5" operator="equal">
      <formula>0</formula>
    </cfRule>
  </conditionalFormatting>
  <conditionalFormatting sqref="W69:W84 Y85:Y94 W86:W114">
    <cfRule type="cellIs" dxfId="3" priority="16" operator="equal">
      <formula>0</formula>
    </cfRule>
  </conditionalFormatting>
  <conditionalFormatting sqref="X69:AC124">
    <cfRule type="cellIs" dxfId="2" priority="12" operator="equal">
      <formula>0</formula>
    </cfRule>
  </conditionalFormatting>
  <conditionalFormatting sqref="Y115:Y124 W116:W124">
    <cfRule type="cellIs" dxfId="1" priority="13" operator="equal">
      <formula>0</formula>
    </cfRule>
  </conditionalFormatting>
  <pageMargins left="0.75" right="0.75" top="1" bottom="1" header="0.5" footer="0.5"/>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dimension ref="A1:HW2494"/>
  <sheetViews>
    <sheetView zoomScale="115" zoomScaleNormal="115" workbookViewId="0">
      <pane ySplit="4" topLeftCell="A5" activePane="bottomLeft" state="frozen"/>
      <selection pane="bottomLeft"/>
    </sheetView>
  </sheetViews>
  <sheetFormatPr defaultColWidth="9.109375" defaultRowHeight="12.75" customHeight="1" x14ac:dyDescent="0.3"/>
  <cols>
    <col min="1" max="5" width="1.6640625" style="778" customWidth="1" collapsed="1"/>
    <col min="6" max="6" width="65.6640625" style="778" customWidth="1" collapsed="1"/>
    <col min="7" max="7" width="22.6640625" style="779" customWidth="1" collapsed="1"/>
    <col min="8" max="8" width="16" style="779" bestFit="1" customWidth="1" collapsed="1"/>
    <col min="9" max="9" width="9.88671875" style="218" customWidth="1" collapsed="1"/>
    <col min="10" max="10" width="9.109375" style="563" collapsed="1"/>
    <col min="11" max="11" width="9.109375" style="225" collapsed="1"/>
    <col min="12" max="12" width="9.109375" style="225"/>
    <col min="13" max="26" width="9.109375" style="225" collapsed="1"/>
    <col min="27" max="221" width="9.109375" style="18" collapsed="1"/>
    <col min="222" max="231" width="9.109375" style="18"/>
    <col min="232" max="16384" width="9.109375" style="18" collapsed="1"/>
  </cols>
  <sheetData>
    <row r="1" spans="1:26" ht="12.75" customHeight="1" x14ac:dyDescent="0.3">
      <c r="A1" s="20" t="s">
        <v>4251</v>
      </c>
      <c r="B1" s="860"/>
      <c r="C1" s="860"/>
      <c r="D1" s="860"/>
      <c r="E1" s="860"/>
      <c r="F1" s="860"/>
      <c r="G1" s="860"/>
      <c r="H1" s="789"/>
      <c r="I1" s="226"/>
    </row>
    <row r="2" spans="1:26" ht="12.75" customHeight="1" x14ac:dyDescent="0.3">
      <c r="A2" s="20"/>
      <c r="B2" s="860"/>
      <c r="C2" s="860"/>
      <c r="D2" s="860"/>
      <c r="E2" s="860"/>
      <c r="F2" s="860"/>
      <c r="G2" s="860"/>
      <c r="H2" s="860"/>
      <c r="I2" s="226"/>
    </row>
    <row r="3" spans="1:26" ht="26.4" customHeight="1" thickBot="1" x14ac:dyDescent="0.35">
      <c r="A3" s="20"/>
      <c r="B3" s="860"/>
      <c r="C3" s="860"/>
      <c r="D3" s="860"/>
      <c r="E3" s="860"/>
      <c r="F3" s="860"/>
      <c r="G3" s="860"/>
      <c r="H3" s="860"/>
      <c r="I3" s="226"/>
      <c r="K3" s="614"/>
      <c r="L3" s="614"/>
      <c r="M3" s="614"/>
      <c r="N3" s="614"/>
      <c r="O3" s="614"/>
      <c r="P3" s="614"/>
      <c r="Q3" s="614"/>
      <c r="R3" s="614"/>
      <c r="S3" s="614"/>
      <c r="T3" s="614"/>
      <c r="U3" s="614"/>
      <c r="V3" s="614"/>
      <c r="W3" s="614"/>
      <c r="X3" s="614"/>
      <c r="Y3" s="614"/>
      <c r="Z3" s="614"/>
    </row>
    <row r="4" spans="1:26" s="643" customFormat="1" ht="39.75" customHeight="1" x14ac:dyDescent="0.3">
      <c r="A4" s="986"/>
      <c r="B4" s="986"/>
      <c r="C4" s="986"/>
      <c r="D4" s="986"/>
      <c r="E4" s="986"/>
      <c r="F4" s="986"/>
      <c r="G4" s="986" t="s">
        <v>258</v>
      </c>
      <c r="H4" s="986" t="s">
        <v>274</v>
      </c>
      <c r="I4" s="219" t="s">
        <v>4229</v>
      </c>
      <c r="J4" s="634" t="s">
        <v>272</v>
      </c>
      <c r="K4" s="641" t="s">
        <v>4252</v>
      </c>
      <c r="L4" s="641" t="s">
        <v>4629</v>
      </c>
      <c r="M4" s="642" t="s">
        <v>4253</v>
      </c>
      <c r="N4" s="642" t="s">
        <v>4254</v>
      </c>
      <c r="O4" s="641" t="s">
        <v>4255</v>
      </c>
      <c r="P4" s="642"/>
      <c r="Q4" s="642"/>
      <c r="R4" s="642"/>
      <c r="S4" s="642"/>
      <c r="T4" s="642"/>
      <c r="U4" s="642"/>
      <c r="V4" s="642"/>
      <c r="W4" s="642"/>
      <c r="X4" s="642"/>
      <c r="Y4" s="642"/>
      <c r="Z4" s="642"/>
    </row>
    <row r="5" spans="1:26" ht="26.4" customHeight="1" x14ac:dyDescent="0.3">
      <c r="A5" s="987"/>
      <c r="B5" s="987"/>
      <c r="C5" s="987"/>
      <c r="D5" s="987"/>
      <c r="E5" s="987"/>
      <c r="F5" s="987"/>
      <c r="G5" s="988"/>
      <c r="H5" s="821"/>
      <c r="I5" s="226"/>
      <c r="J5" s="635"/>
    </row>
    <row r="6" spans="1:26" ht="12.75" customHeight="1" x14ac:dyDescent="0.3">
      <c r="A6" s="988" t="s">
        <v>61</v>
      </c>
      <c r="B6" s="860"/>
      <c r="C6" s="860"/>
      <c r="D6" s="860"/>
      <c r="E6" s="860"/>
      <c r="F6" s="860"/>
      <c r="G6" s="988" t="s">
        <v>265</v>
      </c>
      <c r="H6" s="821"/>
      <c r="I6" s="220" t="str">
        <f>IF(ISBLANK(input!H5),"",input!H5)</f>
        <v>default substance</v>
      </c>
      <c r="J6" s="635"/>
    </row>
    <row r="7" spans="1:26" ht="12.75" customHeight="1" x14ac:dyDescent="0.3">
      <c r="A7" s="821"/>
      <c r="B7" s="860"/>
      <c r="C7" s="860"/>
      <c r="D7" s="860"/>
      <c r="E7" s="860"/>
      <c r="F7" s="860"/>
      <c r="G7" s="821" t="s">
        <v>268</v>
      </c>
      <c r="H7" s="821"/>
      <c r="I7" s="220" t="str">
        <f>IF(ISBLANK(input!I6),"",input!I6)</f>
        <v/>
      </c>
      <c r="O7" s="225" t="s">
        <v>4159</v>
      </c>
    </row>
    <row r="8" spans="1:26" ht="26.4" customHeight="1" x14ac:dyDescent="0.3">
      <c r="A8" s="821"/>
      <c r="B8" s="821"/>
      <c r="C8" s="821"/>
      <c r="D8" s="821"/>
      <c r="E8" s="821"/>
      <c r="F8" s="821"/>
      <c r="G8" s="821"/>
      <c r="H8" s="821"/>
      <c r="I8" s="226"/>
    </row>
    <row r="9" spans="1:26" ht="12.75" customHeight="1" x14ac:dyDescent="0.3">
      <c r="A9" s="987" t="s">
        <v>63</v>
      </c>
      <c r="B9" s="987"/>
      <c r="C9" s="987"/>
      <c r="D9" s="987"/>
      <c r="E9" s="987"/>
      <c r="F9" s="987"/>
      <c r="G9" s="988" t="s">
        <v>269</v>
      </c>
      <c r="H9" s="862"/>
      <c r="I9" s="220" t="str">
        <f>IF(ISBLANK(input!H8),"",input!H8)</f>
        <v>default scenario</v>
      </c>
      <c r="J9" s="635"/>
    </row>
    <row r="10" spans="1:26" ht="26.4" customHeight="1" x14ac:dyDescent="0.3">
      <c r="A10" s="821"/>
      <c r="B10" s="860"/>
      <c r="C10" s="860"/>
      <c r="D10" s="860"/>
      <c r="E10" s="860"/>
      <c r="F10" s="860"/>
      <c r="G10" s="821"/>
      <c r="H10" s="821"/>
      <c r="I10" s="226"/>
      <c r="J10" s="635"/>
    </row>
    <row r="11" spans="1:26" ht="13.5" customHeight="1" x14ac:dyDescent="0.3">
      <c r="A11" s="988" t="s">
        <v>65</v>
      </c>
      <c r="B11" s="860"/>
      <c r="C11" s="860"/>
      <c r="D11" s="860"/>
      <c r="E11" s="860"/>
      <c r="F11" s="860"/>
      <c r="G11" s="988" t="s">
        <v>271</v>
      </c>
      <c r="H11" s="821"/>
      <c r="I11" s="220" t="str">
        <f>IF(ISBLANK(input!H10),"",input!H10)</f>
        <v>defaults only</v>
      </c>
      <c r="J11" s="635"/>
    </row>
    <row r="12" spans="1:26" ht="12.75" customHeight="1" x14ac:dyDescent="0.3">
      <c r="A12" s="860"/>
      <c r="B12" s="860"/>
      <c r="C12" s="860"/>
      <c r="D12" s="860"/>
      <c r="E12" s="860"/>
      <c r="F12" s="860"/>
      <c r="G12" s="821"/>
      <c r="H12" s="821"/>
      <c r="I12" s="226"/>
      <c r="J12" s="635"/>
    </row>
    <row r="13" spans="1:26" ht="12.75" customHeight="1" x14ac:dyDescent="0.3">
      <c r="A13" s="989" t="s">
        <v>273</v>
      </c>
      <c r="B13" s="989"/>
      <c r="C13" s="989"/>
      <c r="D13" s="989"/>
      <c r="E13" s="989"/>
      <c r="F13" s="989"/>
      <c r="G13" s="990" t="s">
        <v>258</v>
      </c>
      <c r="H13" s="990" t="s">
        <v>274</v>
      </c>
      <c r="I13" s="147" t="s">
        <v>261</v>
      </c>
      <c r="J13" s="228"/>
      <c r="K13" s="225" t="s">
        <v>261</v>
      </c>
      <c r="O13" s="225" t="s">
        <v>261</v>
      </c>
    </row>
    <row r="14" spans="1:26" ht="12.75" customHeight="1" x14ac:dyDescent="0.3">
      <c r="A14" s="492"/>
      <c r="B14" s="797"/>
      <c r="C14" s="797"/>
      <c r="D14" s="797"/>
      <c r="E14" s="797"/>
      <c r="F14" s="797"/>
      <c r="G14" s="797"/>
      <c r="H14" s="797"/>
      <c r="I14" s="226"/>
    </row>
    <row r="15" spans="1:26" ht="12.75" customHeight="1" x14ac:dyDescent="0.3">
      <c r="A15" s="797"/>
      <c r="B15" s="797" t="s">
        <v>276</v>
      </c>
      <c r="C15" s="797"/>
      <c r="D15" s="797"/>
      <c r="E15" s="797"/>
      <c r="F15" s="497"/>
      <c r="G15" s="600" t="s">
        <v>277</v>
      </c>
      <c r="H15" s="498" t="s">
        <v>278</v>
      </c>
      <c r="I15" s="220" t="str">
        <f>IF(ISBLANK(input!I14),"",input!I14)</f>
        <v/>
      </c>
      <c r="K15" s="225" t="s">
        <v>4159</v>
      </c>
      <c r="O15" s="225">
        <v>9.5</v>
      </c>
    </row>
    <row r="16" spans="1:26" ht="12.75" customHeight="1" x14ac:dyDescent="0.3">
      <c r="A16" s="797"/>
      <c r="B16" s="797" t="s">
        <v>280</v>
      </c>
      <c r="C16" s="797"/>
      <c r="D16" s="797"/>
      <c r="E16" s="797"/>
      <c r="F16" s="497"/>
      <c r="G16" s="600" t="s">
        <v>281</v>
      </c>
      <c r="H16" s="498" t="s">
        <v>282</v>
      </c>
      <c r="I16" s="220" t="str">
        <f>IF(ISBLANK(input!I15),"",input!I15)</f>
        <v/>
      </c>
      <c r="K16" s="225" t="s">
        <v>4159</v>
      </c>
      <c r="O16" s="225">
        <v>4230</v>
      </c>
    </row>
    <row r="17" spans="1:15" ht="12.75" customHeight="1" x14ac:dyDescent="0.3">
      <c r="A17" s="797"/>
      <c r="B17" s="797" t="s">
        <v>284</v>
      </c>
      <c r="C17" s="797"/>
      <c r="D17" s="797"/>
      <c r="E17" s="797"/>
      <c r="F17" s="797"/>
      <c r="G17" s="601" t="s">
        <v>285</v>
      </c>
      <c r="H17" s="797" t="s">
        <v>286</v>
      </c>
      <c r="I17" s="220" t="str">
        <f>IF(ISBLANK(input!I16),"",input!I16)</f>
        <v/>
      </c>
      <c r="J17" s="635"/>
      <c r="O17" s="225">
        <v>6.9000000000000004E-21</v>
      </c>
    </row>
    <row r="18" spans="1:15" ht="12.75" customHeight="1" x14ac:dyDescent="0.3">
      <c r="A18" s="797"/>
      <c r="B18" s="797"/>
      <c r="C18" s="797"/>
      <c r="D18" s="497"/>
      <c r="E18" s="498"/>
      <c r="F18" s="498"/>
      <c r="G18" s="991"/>
      <c r="H18" s="797"/>
      <c r="I18" s="220"/>
      <c r="K18" s="225" t="s">
        <v>4159</v>
      </c>
    </row>
    <row r="19" spans="1:15" ht="12.75" customHeight="1" x14ac:dyDescent="0.3">
      <c r="A19" s="989" t="s">
        <v>287</v>
      </c>
      <c r="B19" s="989"/>
      <c r="C19" s="989"/>
      <c r="D19" s="989"/>
      <c r="E19" s="989"/>
      <c r="F19" s="501"/>
      <c r="G19" s="502"/>
      <c r="H19" s="502"/>
      <c r="I19" s="502"/>
      <c r="K19" s="225" t="s">
        <v>4159</v>
      </c>
    </row>
    <row r="20" spans="1:15" ht="12.75" customHeight="1" x14ac:dyDescent="0.3">
      <c r="A20" s="797"/>
      <c r="B20" s="797"/>
      <c r="C20" s="852"/>
      <c r="D20" s="852"/>
      <c r="E20" s="852"/>
      <c r="F20" s="504"/>
      <c r="G20" s="498"/>
      <c r="H20" s="498"/>
      <c r="I20" s="498"/>
      <c r="K20" s="225" t="s">
        <v>4159</v>
      </c>
    </row>
    <row r="21" spans="1:15" ht="12.75" customHeight="1" x14ac:dyDescent="0.3">
      <c r="A21" s="797"/>
      <c r="B21" s="797"/>
      <c r="C21" s="505" t="s">
        <v>288</v>
      </c>
      <c r="D21" s="852"/>
      <c r="E21" s="852"/>
      <c r="F21" s="852"/>
      <c r="G21" s="990" t="s">
        <v>258</v>
      </c>
      <c r="H21" s="990" t="s">
        <v>274</v>
      </c>
      <c r="I21" s="493"/>
      <c r="K21" s="225" t="s">
        <v>4159</v>
      </c>
      <c r="O21" s="225" t="s">
        <v>275</v>
      </c>
    </row>
    <row r="22" spans="1:15" ht="12.75" customHeight="1" x14ac:dyDescent="0.3">
      <c r="A22" s="797"/>
      <c r="B22" s="797"/>
      <c r="C22" s="797" t="s">
        <v>289</v>
      </c>
      <c r="D22" s="797"/>
      <c r="E22" s="797"/>
      <c r="F22" s="797"/>
      <c r="G22" s="602" t="s">
        <v>290</v>
      </c>
      <c r="H22" s="796" t="s">
        <v>291</v>
      </c>
      <c r="I22" s="220" t="str">
        <f>IF(ISBLANK(input!I21),"",input!I21)</f>
        <v/>
      </c>
      <c r="K22" s="225" t="s">
        <v>4159</v>
      </c>
      <c r="O22" s="225">
        <v>0.3</v>
      </c>
    </row>
    <row r="23" spans="1:15" ht="12.75" customHeight="1" x14ac:dyDescent="0.3">
      <c r="A23" s="797"/>
      <c r="B23" s="797"/>
      <c r="C23" s="797" t="s">
        <v>293</v>
      </c>
      <c r="D23" s="797"/>
      <c r="E23" s="797"/>
      <c r="F23" s="797"/>
      <c r="G23" s="602" t="s">
        <v>294</v>
      </c>
      <c r="H23" s="796" t="s">
        <v>291</v>
      </c>
      <c r="I23" s="220" t="str">
        <f>IF(ISBLANK(input!I22),"",input!I22)</f>
        <v/>
      </c>
      <c r="K23" s="225" t="s">
        <v>4159</v>
      </c>
      <c r="O23" s="225">
        <v>1</v>
      </c>
    </row>
    <row r="24" spans="1:15" ht="12.75" customHeight="1" x14ac:dyDescent="0.3">
      <c r="A24" s="797"/>
      <c r="B24" s="797"/>
      <c r="C24" s="797" t="s">
        <v>295</v>
      </c>
      <c r="D24" s="797"/>
      <c r="E24" s="797"/>
      <c r="F24" s="797"/>
      <c r="G24" s="603" t="s">
        <v>296</v>
      </c>
      <c r="H24" s="796" t="s">
        <v>291</v>
      </c>
      <c r="I24" s="220" t="str">
        <f>IF(ISBLANK(input!I23),"",input!I23)</f>
        <v/>
      </c>
      <c r="K24" s="225" t="s">
        <v>4159</v>
      </c>
      <c r="O24" s="225">
        <v>0.3</v>
      </c>
    </row>
    <row r="25" spans="1:15" ht="12.75" customHeight="1" x14ac:dyDescent="0.3">
      <c r="A25" s="797"/>
      <c r="B25" s="797"/>
      <c r="C25" s="797" t="s">
        <v>297</v>
      </c>
      <c r="D25" s="797"/>
      <c r="E25" s="797"/>
      <c r="F25" s="797"/>
      <c r="G25" s="603" t="s">
        <v>298</v>
      </c>
      <c r="H25" s="796" t="s">
        <v>291</v>
      </c>
      <c r="I25" s="220" t="str">
        <f>IF(ISBLANK(input!I24),"",input!I24)</f>
        <v/>
      </c>
      <c r="K25" s="225" t="s">
        <v>4159</v>
      </c>
      <c r="O25" s="225">
        <v>1</v>
      </c>
    </row>
    <row r="26" spans="1:15" ht="12.75" customHeight="1" x14ac:dyDescent="0.3">
      <c r="A26" s="797"/>
      <c r="B26" s="797"/>
      <c r="C26" s="797" t="s">
        <v>299</v>
      </c>
      <c r="D26" s="797"/>
      <c r="E26" s="797"/>
      <c r="F26" s="797"/>
      <c r="G26" s="603" t="s">
        <v>300</v>
      </c>
      <c r="H26" s="796" t="s">
        <v>291</v>
      </c>
      <c r="I26" s="220" t="str">
        <f>IF(ISBLANK(input!I25),"",input!I25)</f>
        <v/>
      </c>
      <c r="K26" s="225" t="s">
        <v>4159</v>
      </c>
      <c r="O26" s="225" t="s">
        <v>4159</v>
      </c>
    </row>
    <row r="27" spans="1:15" ht="12.75" customHeight="1" x14ac:dyDescent="0.3">
      <c r="A27" s="797"/>
      <c r="B27" s="797"/>
      <c r="C27" s="797" t="s">
        <v>301</v>
      </c>
      <c r="D27" s="797"/>
      <c r="E27" s="797"/>
      <c r="F27" s="797"/>
      <c r="G27" s="603" t="s">
        <v>302</v>
      </c>
      <c r="H27" s="796" t="s">
        <v>291</v>
      </c>
      <c r="I27" s="220" t="str">
        <f>IF(ISBLANK(input!I26),"",input!I26)</f>
        <v/>
      </c>
      <c r="K27" s="225" t="s">
        <v>4159</v>
      </c>
      <c r="O27" s="225" t="s">
        <v>4159</v>
      </c>
    </row>
    <row r="28" spans="1:15" ht="12.75" customHeight="1" x14ac:dyDescent="0.3">
      <c r="A28" s="797"/>
      <c r="B28" s="797"/>
      <c r="C28" s="797" t="s">
        <v>303</v>
      </c>
      <c r="D28" s="797"/>
      <c r="E28" s="797"/>
      <c r="F28" s="797"/>
      <c r="G28" s="603" t="s">
        <v>304</v>
      </c>
      <c r="H28" s="796" t="s">
        <v>291</v>
      </c>
      <c r="I28" s="220" t="str">
        <f>IF(ISBLANK(input!I27),"",input!I27)</f>
        <v/>
      </c>
      <c r="K28" s="225" t="s">
        <v>4159</v>
      </c>
      <c r="O28" s="225" t="s">
        <v>4159</v>
      </c>
    </row>
    <row r="29" spans="1:15" ht="12.75" customHeight="1" x14ac:dyDescent="0.3">
      <c r="A29" s="797"/>
      <c r="B29" s="797"/>
      <c r="C29" s="797" t="s">
        <v>305</v>
      </c>
      <c r="D29" s="797"/>
      <c r="E29" s="797"/>
      <c r="F29" s="797"/>
      <c r="G29" s="603" t="s">
        <v>306</v>
      </c>
      <c r="H29" s="796" t="s">
        <v>291</v>
      </c>
      <c r="I29" s="220" t="str">
        <f>IF(ISBLANK(input!I28),"",input!I28)</f>
        <v/>
      </c>
      <c r="K29" s="225" t="s">
        <v>4159</v>
      </c>
      <c r="O29" s="225" t="s">
        <v>4159</v>
      </c>
    </row>
    <row r="30" spans="1:15" ht="12.75" customHeight="1" x14ac:dyDescent="0.3">
      <c r="A30" s="797"/>
      <c r="B30" s="797"/>
      <c r="C30" s="797" t="s">
        <v>307</v>
      </c>
      <c r="D30" s="797"/>
      <c r="E30" s="797"/>
      <c r="F30" s="797"/>
      <c r="G30" s="603" t="s">
        <v>308</v>
      </c>
      <c r="H30" s="796" t="s">
        <v>291</v>
      </c>
      <c r="I30" s="220" t="str">
        <f>IF(ISBLANK(input!I29),"",input!I29)</f>
        <v/>
      </c>
      <c r="K30" s="225" t="s">
        <v>4159</v>
      </c>
      <c r="O30" s="225">
        <v>1</v>
      </c>
    </row>
    <row r="31" spans="1:15" ht="12.75" customHeight="1" x14ac:dyDescent="0.3">
      <c r="A31" s="797"/>
      <c r="B31" s="797"/>
      <c r="C31" s="797" t="s">
        <v>309</v>
      </c>
      <c r="D31" s="797"/>
      <c r="E31" s="797"/>
      <c r="F31" s="797"/>
      <c r="G31" s="603" t="s">
        <v>310</v>
      </c>
      <c r="H31" s="796" t="s">
        <v>291</v>
      </c>
      <c r="I31" s="220" t="str">
        <f>IF(ISBLANK(input!I30),"",input!I30)</f>
        <v/>
      </c>
      <c r="K31" s="225" t="s">
        <v>4159</v>
      </c>
      <c r="O31" s="225">
        <v>1</v>
      </c>
    </row>
    <row r="32" spans="1:15" ht="12.75" customHeight="1" x14ac:dyDescent="0.3">
      <c r="A32" s="797"/>
      <c r="B32" s="797"/>
      <c r="C32" s="797" t="s">
        <v>311</v>
      </c>
      <c r="D32" s="797"/>
      <c r="E32" s="797"/>
      <c r="F32" s="797"/>
      <c r="G32" s="603" t="s">
        <v>312</v>
      </c>
      <c r="H32" s="796" t="s">
        <v>291</v>
      </c>
      <c r="I32" s="220" t="str">
        <f>IF(ISBLANK(input!I31),"",input!I31)</f>
        <v/>
      </c>
      <c r="K32" s="225" t="s">
        <v>4159</v>
      </c>
      <c r="O32" s="225">
        <v>1E-3</v>
      </c>
    </row>
    <row r="33" spans="1:15" ht="12.75" customHeight="1" x14ac:dyDescent="0.3">
      <c r="A33" s="797"/>
      <c r="B33" s="797"/>
      <c r="C33" s="797" t="s">
        <v>313</v>
      </c>
      <c r="D33" s="797"/>
      <c r="E33" s="797"/>
      <c r="F33" s="797"/>
      <c r="G33" s="603" t="s">
        <v>314</v>
      </c>
      <c r="H33" s="796" t="s">
        <v>291</v>
      </c>
      <c r="I33" s="220" t="str">
        <f>IF(ISBLANK(input!I32),"",input!I32)</f>
        <v/>
      </c>
      <c r="K33" s="225" t="s">
        <v>4159</v>
      </c>
      <c r="O33" s="225">
        <v>1</v>
      </c>
    </row>
    <row r="34" spans="1:15" ht="12.75" customHeight="1" x14ac:dyDescent="0.3">
      <c r="A34" s="797"/>
      <c r="B34" s="797"/>
      <c r="C34" s="797" t="s">
        <v>315</v>
      </c>
      <c r="D34" s="797"/>
      <c r="E34" s="797"/>
      <c r="F34" s="797"/>
      <c r="G34" s="603" t="s">
        <v>316</v>
      </c>
      <c r="H34" s="796" t="s">
        <v>291</v>
      </c>
      <c r="I34" s="220" t="str">
        <f>IF(ISBLANK(input!I33),"",input!I33)</f>
        <v/>
      </c>
      <c r="K34" s="225" t="s">
        <v>4159</v>
      </c>
      <c r="O34" s="225">
        <v>1E-3</v>
      </c>
    </row>
    <row r="35" spans="1:15" ht="12.75" customHeight="1" x14ac:dyDescent="0.3">
      <c r="A35" s="797"/>
      <c r="B35" s="797"/>
      <c r="C35" s="797" t="s">
        <v>317</v>
      </c>
      <c r="D35" s="797"/>
      <c r="E35" s="797"/>
      <c r="F35" s="797"/>
      <c r="G35" s="603" t="s">
        <v>318</v>
      </c>
      <c r="H35" s="796" t="s">
        <v>291</v>
      </c>
      <c r="I35" s="220" t="str">
        <f>IF(ISBLANK(input!I34),"",input!I34)</f>
        <v/>
      </c>
      <c r="K35" s="225" t="s">
        <v>4159</v>
      </c>
      <c r="O35" s="225">
        <v>1</v>
      </c>
    </row>
    <row r="36" spans="1:15" ht="12.75" customHeight="1" x14ac:dyDescent="0.3">
      <c r="A36" s="797"/>
      <c r="B36" s="797"/>
      <c r="C36" s="797" t="s">
        <v>319</v>
      </c>
      <c r="D36" s="797"/>
      <c r="E36" s="797"/>
      <c r="F36" s="797"/>
      <c r="G36" s="603" t="s">
        <v>320</v>
      </c>
      <c r="H36" s="796" t="s">
        <v>291</v>
      </c>
      <c r="I36" s="220" t="str">
        <f>IF(ISBLANK(input!I35),"",input!I35)</f>
        <v/>
      </c>
      <c r="K36" s="225" t="s">
        <v>4159</v>
      </c>
      <c r="O36" s="225">
        <v>0.3</v>
      </c>
    </row>
    <row r="37" spans="1:15" ht="12.75" customHeight="1" x14ac:dyDescent="0.3">
      <c r="A37" s="797"/>
      <c r="B37" s="797"/>
      <c r="C37" s="797" t="s">
        <v>321</v>
      </c>
      <c r="D37" s="797"/>
      <c r="E37" s="797"/>
      <c r="F37" s="797"/>
      <c r="G37" s="603" t="s">
        <v>322</v>
      </c>
      <c r="H37" s="796" t="s">
        <v>291</v>
      </c>
      <c r="I37" s="220" t="str">
        <f>IF(ISBLANK(input!I36),"",input!I36)</f>
        <v/>
      </c>
      <c r="K37" s="225" t="s">
        <v>4159</v>
      </c>
      <c r="O37" s="225">
        <v>1</v>
      </c>
    </row>
    <row r="38" spans="1:15" ht="12.75" customHeight="1" x14ac:dyDescent="0.3">
      <c r="A38" s="797"/>
      <c r="B38" s="797"/>
      <c r="C38" s="797" t="s">
        <v>323</v>
      </c>
      <c r="D38" s="797"/>
      <c r="E38" s="797"/>
      <c r="F38" s="797"/>
      <c r="G38" s="603" t="s">
        <v>324</v>
      </c>
      <c r="H38" s="796" t="s">
        <v>291</v>
      </c>
      <c r="I38" s="220" t="str">
        <f>IF(ISBLANK(input!I37),"",input!I37)</f>
        <v/>
      </c>
      <c r="K38" s="225" t="s">
        <v>4159</v>
      </c>
      <c r="O38" s="225">
        <v>0.3</v>
      </c>
    </row>
    <row r="39" spans="1:15" ht="12.75" customHeight="1" x14ac:dyDescent="0.3">
      <c r="A39" s="797"/>
      <c r="B39" s="797"/>
      <c r="C39" s="797" t="s">
        <v>325</v>
      </c>
      <c r="D39" s="797"/>
      <c r="E39" s="797"/>
      <c r="F39" s="797"/>
      <c r="G39" s="603" t="s">
        <v>326</v>
      </c>
      <c r="H39" s="796" t="s">
        <v>291</v>
      </c>
      <c r="I39" s="220" t="str">
        <f>IF(ISBLANK(input!I38),"",input!I38)</f>
        <v/>
      </c>
      <c r="K39" s="225" t="s">
        <v>4159</v>
      </c>
      <c r="O39" s="225">
        <v>1</v>
      </c>
    </row>
    <row r="40" spans="1:15" ht="12.75" customHeight="1" x14ac:dyDescent="0.3">
      <c r="A40" s="797"/>
      <c r="B40" s="797"/>
      <c r="C40" s="797" t="s">
        <v>327</v>
      </c>
      <c r="D40" s="797"/>
      <c r="E40" s="797"/>
      <c r="F40" s="797"/>
      <c r="G40" s="603" t="s">
        <v>328</v>
      </c>
      <c r="H40" s="796" t="s">
        <v>291</v>
      </c>
      <c r="I40" s="220" t="str">
        <f>IF(ISBLANK(input!I39),"",input!I39)</f>
        <v/>
      </c>
      <c r="K40" s="225" t="s">
        <v>4159</v>
      </c>
      <c r="O40" s="225">
        <v>0.3</v>
      </c>
    </row>
    <row r="41" spans="1:15" ht="12.75" customHeight="1" x14ac:dyDescent="0.3">
      <c r="A41" s="797"/>
      <c r="B41" s="797"/>
      <c r="C41" s="852" t="s">
        <v>329</v>
      </c>
      <c r="D41" s="852"/>
      <c r="E41" s="852"/>
      <c r="F41" s="852"/>
      <c r="G41" s="604" t="s">
        <v>330</v>
      </c>
      <c r="H41" s="853" t="s">
        <v>291</v>
      </c>
      <c r="I41" s="220" t="str">
        <f>IF(ISBLANK(input!I40),"",input!I40)</f>
        <v/>
      </c>
      <c r="K41" s="225" t="s">
        <v>4159</v>
      </c>
      <c r="O41" s="225">
        <v>1</v>
      </c>
    </row>
    <row r="42" spans="1:15" ht="12.75" customHeight="1" x14ac:dyDescent="0.3">
      <c r="A42" s="797"/>
      <c r="B42" s="797"/>
      <c r="C42" s="989"/>
      <c r="D42" s="989"/>
      <c r="E42" s="989"/>
      <c r="F42" s="989"/>
      <c r="G42" s="796"/>
      <c r="H42" s="796"/>
      <c r="I42" s="220" t="str">
        <f>IF(ISBLANK(input!I41),"",input!I41)</f>
        <v/>
      </c>
    </row>
    <row r="43" spans="1:15" ht="12.75" customHeight="1" x14ac:dyDescent="0.3">
      <c r="A43" s="797"/>
      <c r="B43" s="797"/>
      <c r="C43" s="505" t="s">
        <v>331</v>
      </c>
      <c r="D43" s="852"/>
      <c r="E43" s="852"/>
      <c r="F43" s="852"/>
      <c r="G43" s="990" t="s">
        <v>258</v>
      </c>
      <c r="H43" s="990" t="s">
        <v>274</v>
      </c>
      <c r="I43" s="220" t="str">
        <f>IF(ISBLANK(input!I42),"",input!I42)</f>
        <v>User input</v>
      </c>
      <c r="K43" s="225" t="s">
        <v>4159</v>
      </c>
      <c r="O43" s="225" t="s">
        <v>275</v>
      </c>
    </row>
    <row r="44" spans="1:15" ht="12.75" customHeight="1" x14ac:dyDescent="0.3">
      <c r="A44" s="797"/>
      <c r="B44" s="797"/>
      <c r="C44" s="601" t="s">
        <v>332</v>
      </c>
      <c r="D44" s="797"/>
      <c r="E44" s="797"/>
      <c r="F44" s="797"/>
      <c r="G44" s="796"/>
      <c r="H44" s="796"/>
      <c r="I44" s="220" t="str">
        <f>IF(ISBLANK(input!I43),"",input!I43)</f>
        <v/>
      </c>
      <c r="K44" s="225" t="s">
        <v>4159</v>
      </c>
    </row>
    <row r="45" spans="1:15" ht="12.75" customHeight="1" x14ac:dyDescent="0.3">
      <c r="A45" s="797"/>
      <c r="B45" s="797"/>
      <c r="C45" s="797" t="s">
        <v>333</v>
      </c>
      <c r="D45" s="797"/>
      <c r="E45" s="797"/>
      <c r="F45" s="797"/>
      <c r="G45" s="603" t="s">
        <v>334</v>
      </c>
      <c r="H45" s="796" t="s">
        <v>335</v>
      </c>
      <c r="I45" s="220" t="str">
        <f>IF(ISBLANK(input!I44),"",input!I44)</f>
        <v/>
      </c>
      <c r="J45" s="635"/>
      <c r="K45" s="225" t="s">
        <v>4159</v>
      </c>
      <c r="O45" s="225">
        <v>0</v>
      </c>
    </row>
    <row r="46" spans="1:15" ht="12.75" customHeight="1" x14ac:dyDescent="0.3">
      <c r="A46" s="797"/>
      <c r="B46" s="797"/>
      <c r="C46" s="797" t="s">
        <v>337</v>
      </c>
      <c r="D46" s="797"/>
      <c r="E46" s="797"/>
      <c r="F46" s="797"/>
      <c r="G46" s="603" t="s">
        <v>338</v>
      </c>
      <c r="H46" s="796" t="s">
        <v>335</v>
      </c>
      <c r="I46" s="220" t="str">
        <f>IF(ISBLANK(input!I45),"",input!I45)</f>
        <v/>
      </c>
      <c r="K46" s="225" t="s">
        <v>4159</v>
      </c>
      <c r="O46" s="225">
        <v>0</v>
      </c>
    </row>
    <row r="47" spans="1:15" ht="12.75" customHeight="1" x14ac:dyDescent="0.3">
      <c r="A47" s="797"/>
      <c r="B47" s="797"/>
      <c r="C47" s="797" t="s">
        <v>339</v>
      </c>
      <c r="D47" s="797"/>
      <c r="E47" s="797"/>
      <c r="F47" s="797"/>
      <c r="G47" s="603" t="s">
        <v>340</v>
      </c>
      <c r="H47" s="796" t="s">
        <v>335</v>
      </c>
      <c r="I47" s="220" t="str">
        <f>IF(ISBLANK(input!I46),"",input!I46)</f>
        <v/>
      </c>
      <c r="K47" s="225" t="s">
        <v>4159</v>
      </c>
      <c r="O47" s="225">
        <v>0</v>
      </c>
    </row>
    <row r="48" spans="1:15" ht="12.75" customHeight="1" x14ac:dyDescent="0.3">
      <c r="A48" s="797"/>
      <c r="B48" s="797"/>
      <c r="C48" s="797" t="s">
        <v>341</v>
      </c>
      <c r="D48" s="797"/>
      <c r="E48" s="797"/>
      <c r="F48" s="797"/>
      <c r="G48" s="603" t="s">
        <v>342</v>
      </c>
      <c r="H48" s="796" t="s">
        <v>335</v>
      </c>
      <c r="I48" s="220" t="str">
        <f>IF(ISBLANK(input!I47),"",input!I47)</f>
        <v/>
      </c>
      <c r="K48" s="225" t="s">
        <v>4159</v>
      </c>
      <c r="O48" s="225">
        <v>0</v>
      </c>
    </row>
    <row r="49" spans="1:15" ht="12.75" customHeight="1" x14ac:dyDescent="0.3">
      <c r="A49" s="797"/>
      <c r="B49" s="797"/>
      <c r="C49" s="797" t="s">
        <v>343</v>
      </c>
      <c r="D49" s="797"/>
      <c r="E49" s="797"/>
      <c r="F49" s="797"/>
      <c r="G49" s="603" t="s">
        <v>344</v>
      </c>
      <c r="H49" s="796" t="s">
        <v>335</v>
      </c>
      <c r="I49" s="220" t="str">
        <f>IF(ISBLANK(input!I48),"",input!I48)</f>
        <v/>
      </c>
      <c r="K49" s="225" t="s">
        <v>4159</v>
      </c>
      <c r="O49" s="225">
        <v>0</v>
      </c>
    </row>
    <row r="50" spans="1:15" ht="12.75" customHeight="1" x14ac:dyDescent="0.3">
      <c r="A50" s="797"/>
      <c r="B50" s="797"/>
      <c r="C50" s="797" t="s">
        <v>345</v>
      </c>
      <c r="D50" s="797"/>
      <c r="E50" s="797"/>
      <c r="F50" s="797"/>
      <c r="G50" s="603" t="s">
        <v>346</v>
      </c>
      <c r="H50" s="796" t="s">
        <v>335</v>
      </c>
      <c r="I50" s="220" t="str">
        <f>IF(ISBLANK(input!I49),"",input!I49)</f>
        <v/>
      </c>
      <c r="K50" s="225" t="s">
        <v>4159</v>
      </c>
      <c r="O50" s="225">
        <v>0</v>
      </c>
    </row>
    <row r="51" spans="1:15" ht="12.75" customHeight="1" x14ac:dyDescent="0.3">
      <c r="A51" s="797"/>
      <c r="B51" s="797"/>
      <c r="C51" s="797" t="s">
        <v>347</v>
      </c>
      <c r="D51" s="797"/>
      <c r="E51" s="797"/>
      <c r="F51" s="797"/>
      <c r="G51" s="603" t="s">
        <v>348</v>
      </c>
      <c r="H51" s="796" t="s">
        <v>335</v>
      </c>
      <c r="I51" s="220" t="str">
        <f>IF(ISBLANK(input!I50),"",input!I50)</f>
        <v/>
      </c>
      <c r="K51" s="225" t="s">
        <v>4159</v>
      </c>
      <c r="O51" s="225">
        <v>0</v>
      </c>
    </row>
    <row r="52" spans="1:15" ht="12.75" customHeight="1" x14ac:dyDescent="0.3">
      <c r="A52" s="797"/>
      <c r="B52" s="797"/>
      <c r="C52" s="797" t="s">
        <v>349</v>
      </c>
      <c r="D52" s="797"/>
      <c r="E52" s="797"/>
      <c r="F52" s="797"/>
      <c r="G52" s="603" t="s">
        <v>350</v>
      </c>
      <c r="H52" s="796" t="s">
        <v>335</v>
      </c>
      <c r="I52" s="220" t="str">
        <f>IF(ISBLANK(input!I51),"",input!I51)</f>
        <v/>
      </c>
      <c r="K52" s="225" t="s">
        <v>4159</v>
      </c>
      <c r="O52" s="225">
        <v>0</v>
      </c>
    </row>
    <row r="53" spans="1:15" ht="12.75" customHeight="1" x14ac:dyDescent="0.3">
      <c r="A53" s="797"/>
      <c r="B53" s="797"/>
      <c r="C53" s="797" t="s">
        <v>351</v>
      </c>
      <c r="D53" s="797"/>
      <c r="E53" s="797"/>
      <c r="F53" s="797"/>
      <c r="G53" s="603" t="s">
        <v>352</v>
      </c>
      <c r="H53" s="796" t="s">
        <v>335</v>
      </c>
      <c r="I53" s="220" t="str">
        <f>IF(ISBLANK(input!I52),"",input!I52)</f>
        <v/>
      </c>
      <c r="O53" s="225">
        <v>0</v>
      </c>
    </row>
    <row r="54" spans="1:15" ht="12.75" customHeight="1" x14ac:dyDescent="0.3">
      <c r="A54" s="797"/>
      <c r="B54" s="797"/>
      <c r="C54" s="797" t="s">
        <v>353</v>
      </c>
      <c r="D54" s="797"/>
      <c r="E54" s="797"/>
      <c r="F54" s="797"/>
      <c r="G54" s="603" t="s">
        <v>354</v>
      </c>
      <c r="H54" s="796" t="s">
        <v>335</v>
      </c>
      <c r="I54" s="220" t="str">
        <f>IF(ISBLANK(input!I53),"",input!I53)</f>
        <v/>
      </c>
      <c r="O54" s="225">
        <v>0</v>
      </c>
    </row>
    <row r="55" spans="1:15" ht="12.75" customHeight="1" x14ac:dyDescent="0.3">
      <c r="A55" s="797"/>
      <c r="B55" s="797"/>
      <c r="C55" s="601" t="s">
        <v>4256</v>
      </c>
      <c r="D55" s="797"/>
      <c r="E55" s="797"/>
      <c r="F55" s="797"/>
      <c r="G55" s="603"/>
      <c r="H55" s="796"/>
      <c r="I55" s="220" t="str">
        <f>IF(ISBLANK(input!I54),"",input!I54)</f>
        <v/>
      </c>
    </row>
    <row r="56" spans="1:15" ht="12.75" customHeight="1" x14ac:dyDescent="0.3">
      <c r="A56" s="797"/>
      <c r="B56" s="797"/>
      <c r="C56" s="797" t="s">
        <v>356</v>
      </c>
      <c r="D56" s="797"/>
      <c r="E56" s="797"/>
      <c r="F56" s="797"/>
      <c r="G56" s="603" t="s">
        <v>357</v>
      </c>
      <c r="H56" s="796" t="s">
        <v>335</v>
      </c>
      <c r="I56" s="220" t="str">
        <f>IF(ISBLANK(input!I55),"",input!I55)</f>
        <v/>
      </c>
      <c r="O56" s="225">
        <v>0</v>
      </c>
    </row>
    <row r="57" spans="1:15" ht="12.75" customHeight="1" x14ac:dyDescent="0.3">
      <c r="A57" s="797"/>
      <c r="B57" s="797"/>
      <c r="C57" s="797" t="s">
        <v>358</v>
      </c>
      <c r="D57" s="797"/>
      <c r="E57" s="797"/>
      <c r="F57" s="797"/>
      <c r="G57" s="603" t="s">
        <v>359</v>
      </c>
      <c r="H57" s="796" t="s">
        <v>335</v>
      </c>
      <c r="I57" s="220" t="str">
        <f>IF(ISBLANK(input!I56),"",input!I56)</f>
        <v/>
      </c>
      <c r="J57" s="211"/>
      <c r="O57" s="225">
        <v>0</v>
      </c>
    </row>
    <row r="58" spans="1:15" ht="12.75" customHeight="1" x14ac:dyDescent="0.3">
      <c r="A58" s="797"/>
      <c r="B58" s="797"/>
      <c r="C58" s="797" t="s">
        <v>360</v>
      </c>
      <c r="D58" s="797"/>
      <c r="E58" s="797"/>
      <c r="F58" s="797"/>
      <c r="G58" s="603" t="s">
        <v>361</v>
      </c>
      <c r="H58" s="796" t="s">
        <v>335</v>
      </c>
      <c r="I58" s="220" t="str">
        <f>IF(ISBLANK(input!I57),"",input!I57)</f>
        <v/>
      </c>
      <c r="J58" s="211"/>
      <c r="K58" s="225" t="s">
        <v>4159</v>
      </c>
      <c r="O58" s="225">
        <v>0</v>
      </c>
    </row>
    <row r="59" spans="1:15" ht="12.75" customHeight="1" x14ac:dyDescent="0.3">
      <c r="A59" s="797"/>
      <c r="B59" s="797"/>
      <c r="C59" s="797" t="s">
        <v>362</v>
      </c>
      <c r="D59" s="797"/>
      <c r="E59" s="797"/>
      <c r="F59" s="797"/>
      <c r="G59" s="603" t="s">
        <v>363</v>
      </c>
      <c r="H59" s="796" t="s">
        <v>335</v>
      </c>
      <c r="I59" s="220" t="str">
        <f>IF(ISBLANK(input!I58),"",input!I58)</f>
        <v/>
      </c>
      <c r="K59" s="225" t="s">
        <v>4159</v>
      </c>
      <c r="O59" s="225">
        <v>0</v>
      </c>
    </row>
    <row r="60" spans="1:15" ht="12.75" customHeight="1" x14ac:dyDescent="0.3">
      <c r="A60" s="797"/>
      <c r="B60" s="797"/>
      <c r="C60" s="797" t="s">
        <v>364</v>
      </c>
      <c r="D60" s="797"/>
      <c r="E60" s="797"/>
      <c r="F60" s="797"/>
      <c r="G60" s="603" t="s">
        <v>365</v>
      </c>
      <c r="H60" s="796" t="s">
        <v>335</v>
      </c>
      <c r="I60" s="220" t="str">
        <f>IF(ISBLANK(input!I59),"",input!I59)</f>
        <v/>
      </c>
      <c r="K60" s="225" t="s">
        <v>4159</v>
      </c>
      <c r="O60" s="225">
        <v>0</v>
      </c>
    </row>
    <row r="61" spans="1:15" ht="12.75" customHeight="1" x14ac:dyDescent="0.3">
      <c r="A61" s="797"/>
      <c r="B61" s="797"/>
      <c r="C61" s="797" t="s">
        <v>366</v>
      </c>
      <c r="D61" s="797"/>
      <c r="E61" s="797"/>
      <c r="F61" s="797"/>
      <c r="G61" s="603" t="s">
        <v>367</v>
      </c>
      <c r="H61" s="796" t="s">
        <v>335</v>
      </c>
      <c r="I61" s="220" t="str">
        <f>IF(ISBLANK(input!I60),"",input!I60)</f>
        <v/>
      </c>
      <c r="K61" s="225" t="s">
        <v>4159</v>
      </c>
      <c r="O61" s="225">
        <v>0</v>
      </c>
    </row>
    <row r="62" spans="1:15" ht="12.75" customHeight="1" x14ac:dyDescent="0.3">
      <c r="A62" s="797"/>
      <c r="B62" s="797"/>
      <c r="C62" s="797" t="s">
        <v>368</v>
      </c>
      <c r="D62" s="797"/>
      <c r="E62" s="797"/>
      <c r="F62" s="797"/>
      <c r="G62" s="603" t="s">
        <v>369</v>
      </c>
      <c r="H62" s="796" t="s">
        <v>335</v>
      </c>
      <c r="I62" s="220" t="str">
        <f>IF(ISBLANK(input!I61),"",input!I61)</f>
        <v/>
      </c>
      <c r="K62" s="225" t="s">
        <v>4159</v>
      </c>
      <c r="O62" s="225">
        <v>0</v>
      </c>
    </row>
    <row r="63" spans="1:15" ht="12.75" customHeight="1" x14ac:dyDescent="0.3">
      <c r="A63" s="797"/>
      <c r="B63" s="797"/>
      <c r="C63" s="797" t="s">
        <v>370</v>
      </c>
      <c r="D63" s="797"/>
      <c r="E63" s="797"/>
      <c r="F63" s="797"/>
      <c r="G63" s="603" t="s">
        <v>371</v>
      </c>
      <c r="H63" s="796" t="s">
        <v>335</v>
      </c>
      <c r="I63" s="220" t="str">
        <f>IF(ISBLANK(input!I62),"",input!I62)</f>
        <v/>
      </c>
      <c r="K63" s="225" t="s">
        <v>4159</v>
      </c>
      <c r="O63" s="225">
        <v>0</v>
      </c>
    </row>
    <row r="64" spans="1:15" ht="12.75" customHeight="1" x14ac:dyDescent="0.3">
      <c r="A64" s="797"/>
      <c r="B64" s="797"/>
      <c r="C64" s="797" t="s">
        <v>372</v>
      </c>
      <c r="D64" s="797"/>
      <c r="E64" s="797"/>
      <c r="F64" s="797"/>
      <c r="G64" s="603" t="s">
        <v>373</v>
      </c>
      <c r="H64" s="796" t="s">
        <v>335</v>
      </c>
      <c r="I64" s="220" t="str">
        <f>IF(ISBLANK(input!I63),"",input!I63)</f>
        <v/>
      </c>
      <c r="K64" s="225" t="s">
        <v>4159</v>
      </c>
      <c r="O64" s="225">
        <v>0</v>
      </c>
    </row>
    <row r="65" spans="1:15" ht="12.75" customHeight="1" x14ac:dyDescent="0.3">
      <c r="A65" s="797"/>
      <c r="B65" s="797"/>
      <c r="C65" s="797" t="s">
        <v>374</v>
      </c>
      <c r="D65" s="797"/>
      <c r="E65" s="797"/>
      <c r="F65" s="797"/>
      <c r="G65" s="603" t="s">
        <v>375</v>
      </c>
      <c r="H65" s="796" t="s">
        <v>335</v>
      </c>
      <c r="I65" s="220" t="str">
        <f>IF(ISBLANK(input!I64),"",input!I64)</f>
        <v/>
      </c>
      <c r="K65" s="225" t="s">
        <v>4159</v>
      </c>
      <c r="O65" s="225">
        <v>0</v>
      </c>
    </row>
    <row r="66" spans="1:15" ht="12.75" customHeight="1" x14ac:dyDescent="0.3">
      <c r="A66" s="797"/>
      <c r="B66" s="797"/>
      <c r="C66" s="797" t="s">
        <v>376</v>
      </c>
      <c r="D66" s="797"/>
      <c r="E66" s="797"/>
      <c r="F66" s="797"/>
      <c r="G66" s="603" t="s">
        <v>377</v>
      </c>
      <c r="H66" s="796" t="s">
        <v>335</v>
      </c>
      <c r="I66" s="220" t="str">
        <f>IF(ISBLANK(input!I65),"",input!I65)</f>
        <v/>
      </c>
      <c r="K66" s="225" t="s">
        <v>4159</v>
      </c>
      <c r="O66" s="225">
        <v>0</v>
      </c>
    </row>
    <row r="67" spans="1:15" ht="12.75" customHeight="1" x14ac:dyDescent="0.3">
      <c r="A67" s="797"/>
      <c r="B67" s="797"/>
      <c r="C67" s="797" t="s">
        <v>378</v>
      </c>
      <c r="D67" s="797"/>
      <c r="E67" s="797"/>
      <c r="F67" s="797"/>
      <c r="G67" s="603" t="s">
        <v>379</v>
      </c>
      <c r="H67" s="796" t="s">
        <v>335</v>
      </c>
      <c r="I67" s="220" t="str">
        <f>IF(ISBLANK(input!I66),"",input!I66)</f>
        <v/>
      </c>
      <c r="K67" s="225" t="s">
        <v>4159</v>
      </c>
      <c r="O67" s="225">
        <v>0</v>
      </c>
    </row>
    <row r="68" spans="1:15" ht="12.75" customHeight="1" x14ac:dyDescent="0.3">
      <c r="A68" s="797"/>
      <c r="B68" s="797"/>
      <c r="C68" s="797" t="s">
        <v>380</v>
      </c>
      <c r="D68" s="797"/>
      <c r="E68" s="797"/>
      <c r="F68" s="797"/>
      <c r="G68" s="603" t="s">
        <v>381</v>
      </c>
      <c r="H68" s="796" t="s">
        <v>335</v>
      </c>
      <c r="I68" s="220" t="str">
        <f>IF(ISBLANK(input!I67),"",input!I67)</f>
        <v/>
      </c>
      <c r="K68" s="225" t="s">
        <v>4159</v>
      </c>
      <c r="O68" s="225">
        <v>0</v>
      </c>
    </row>
    <row r="69" spans="1:15" ht="12.75" customHeight="1" x14ac:dyDescent="0.3">
      <c r="A69" s="797"/>
      <c r="B69" s="797"/>
      <c r="C69" s="797" t="s">
        <v>382</v>
      </c>
      <c r="D69" s="797"/>
      <c r="E69" s="797"/>
      <c r="F69" s="797"/>
      <c r="G69" s="603" t="s">
        <v>383</v>
      </c>
      <c r="H69" s="796" t="s">
        <v>335</v>
      </c>
      <c r="I69" s="220" t="str">
        <f>IF(ISBLANK(input!I68),"",input!I68)</f>
        <v/>
      </c>
      <c r="K69" s="225" t="s">
        <v>4159</v>
      </c>
      <c r="O69" s="225">
        <v>0</v>
      </c>
    </row>
    <row r="70" spans="1:15" ht="12.75" customHeight="1" x14ac:dyDescent="0.3">
      <c r="A70" s="797"/>
      <c r="B70" s="797"/>
      <c r="C70" s="797" t="s">
        <v>384</v>
      </c>
      <c r="D70" s="797"/>
      <c r="E70" s="797"/>
      <c r="F70" s="797"/>
      <c r="G70" s="603" t="s">
        <v>385</v>
      </c>
      <c r="H70" s="796" t="s">
        <v>335</v>
      </c>
      <c r="I70" s="220" t="str">
        <f>IF(ISBLANK(input!I69),"",input!I69)</f>
        <v/>
      </c>
      <c r="K70" s="225" t="s">
        <v>4159</v>
      </c>
      <c r="O70" s="225">
        <v>0</v>
      </c>
    </row>
    <row r="71" spans="1:15" ht="12.75" customHeight="1" x14ac:dyDescent="0.3">
      <c r="A71" s="797"/>
      <c r="B71" s="797"/>
      <c r="C71" s="797" t="s">
        <v>386</v>
      </c>
      <c r="D71" s="797"/>
      <c r="E71" s="797"/>
      <c r="F71" s="797"/>
      <c r="G71" s="603" t="s">
        <v>387</v>
      </c>
      <c r="H71" s="796" t="s">
        <v>335</v>
      </c>
      <c r="I71" s="220" t="str">
        <f>IF(ISBLANK(input!I70),"",input!I70)</f>
        <v/>
      </c>
      <c r="K71" s="225" t="s">
        <v>4159</v>
      </c>
      <c r="O71" s="225">
        <v>0</v>
      </c>
    </row>
    <row r="72" spans="1:15" ht="12.75" customHeight="1" x14ac:dyDescent="0.3">
      <c r="A72" s="797"/>
      <c r="B72" s="797"/>
      <c r="C72" s="797" t="s">
        <v>388</v>
      </c>
      <c r="D72" s="797"/>
      <c r="E72" s="797"/>
      <c r="F72" s="797"/>
      <c r="G72" s="603" t="s">
        <v>389</v>
      </c>
      <c r="H72" s="796" t="s">
        <v>335</v>
      </c>
      <c r="I72" s="220" t="str">
        <f>IF(ISBLANK(input!I71),"",input!I71)</f>
        <v/>
      </c>
      <c r="K72" s="225" t="s">
        <v>4159</v>
      </c>
      <c r="O72" s="225">
        <v>0</v>
      </c>
    </row>
    <row r="73" spans="1:15" ht="12.75" customHeight="1" x14ac:dyDescent="0.3">
      <c r="A73" s="797"/>
      <c r="B73" s="797"/>
      <c r="C73" s="797" t="s">
        <v>390</v>
      </c>
      <c r="D73" s="797"/>
      <c r="E73" s="797"/>
      <c r="F73" s="797"/>
      <c r="G73" s="603" t="s">
        <v>391</v>
      </c>
      <c r="H73" s="796" t="s">
        <v>335</v>
      </c>
      <c r="I73" s="220" t="str">
        <f>IF(ISBLANK(input!I72),"",input!I72)</f>
        <v/>
      </c>
      <c r="K73" s="225" t="s">
        <v>4159</v>
      </c>
      <c r="O73" s="225">
        <v>0</v>
      </c>
    </row>
    <row r="74" spans="1:15" ht="12.75" customHeight="1" x14ac:dyDescent="0.3">
      <c r="A74" s="797"/>
      <c r="B74" s="797"/>
      <c r="C74" s="797" t="s">
        <v>392</v>
      </c>
      <c r="D74" s="797"/>
      <c r="E74" s="797"/>
      <c r="F74" s="797"/>
      <c r="G74" s="603" t="s">
        <v>393</v>
      </c>
      <c r="H74" s="796" t="s">
        <v>335</v>
      </c>
      <c r="I74" s="220" t="str">
        <f>IF(ISBLANK(input!I73),"",input!I73)</f>
        <v/>
      </c>
      <c r="K74" s="225" t="s">
        <v>4159</v>
      </c>
      <c r="O74" s="225">
        <v>0</v>
      </c>
    </row>
    <row r="75" spans="1:15" ht="12.75" customHeight="1" x14ac:dyDescent="0.3">
      <c r="A75" s="797"/>
      <c r="B75" s="797"/>
      <c r="C75" s="852" t="s">
        <v>394</v>
      </c>
      <c r="D75" s="852"/>
      <c r="E75" s="852"/>
      <c r="F75" s="852"/>
      <c r="G75" s="604" t="s">
        <v>395</v>
      </c>
      <c r="H75" s="853" t="s">
        <v>335</v>
      </c>
      <c r="I75" s="220" t="str">
        <f>IF(ISBLANK(input!I74),"",input!I74)</f>
        <v/>
      </c>
      <c r="K75" s="225" t="s">
        <v>4159</v>
      </c>
      <c r="O75" s="225">
        <v>0</v>
      </c>
    </row>
    <row r="76" spans="1:15" ht="12.75" customHeight="1" x14ac:dyDescent="0.3">
      <c r="A76" s="797"/>
      <c r="B76" s="797"/>
      <c r="C76" s="852"/>
      <c r="D76" s="852"/>
      <c r="E76" s="852"/>
      <c r="F76" s="852"/>
      <c r="G76" s="604"/>
      <c r="H76" s="853"/>
      <c r="I76" s="220" t="str">
        <f>IF(ISBLANK(input!I75),"",input!I75)</f>
        <v/>
      </c>
      <c r="K76" s="225" t="s">
        <v>4159</v>
      </c>
      <c r="O76" s="225" t="s">
        <v>4159</v>
      </c>
    </row>
    <row r="77" spans="1:15" ht="12.75" customHeight="1" x14ac:dyDescent="0.3">
      <c r="A77" s="797"/>
      <c r="B77" s="797"/>
      <c r="C77" s="505" t="s">
        <v>396</v>
      </c>
      <c r="D77" s="852"/>
      <c r="E77" s="852"/>
      <c r="F77" s="852"/>
      <c r="G77" s="990" t="s">
        <v>258</v>
      </c>
      <c r="H77" s="990" t="s">
        <v>274</v>
      </c>
      <c r="I77" s="220" t="str">
        <f>IF(ISBLANK(input!I76),"",input!I76)</f>
        <v>User input</v>
      </c>
      <c r="K77" s="225" t="s">
        <v>4159</v>
      </c>
      <c r="O77" s="225" t="s">
        <v>259</v>
      </c>
    </row>
    <row r="78" spans="1:15" ht="12.75" customHeight="1" x14ac:dyDescent="0.3">
      <c r="A78" s="797"/>
      <c r="B78" s="797"/>
      <c r="C78" s="601" t="s">
        <v>332</v>
      </c>
      <c r="D78" s="797"/>
      <c r="E78" s="797"/>
      <c r="F78" s="797"/>
      <c r="G78" s="796"/>
      <c r="H78" s="796"/>
      <c r="I78" s="220" t="str">
        <f>IF(ISBLANK(input!I77),"",input!I77)</f>
        <v/>
      </c>
      <c r="K78" s="225" t="s">
        <v>4159</v>
      </c>
      <c r="O78" s="225" t="s">
        <v>4159</v>
      </c>
    </row>
    <row r="79" spans="1:15" ht="12.75" customHeight="1" x14ac:dyDescent="0.3">
      <c r="A79" s="797"/>
      <c r="B79" s="797"/>
      <c r="C79" s="797" t="s">
        <v>397</v>
      </c>
      <c r="D79" s="797"/>
      <c r="E79" s="797"/>
      <c r="F79" s="797"/>
      <c r="G79" s="603" t="s">
        <v>398</v>
      </c>
      <c r="H79" s="796" t="s">
        <v>335</v>
      </c>
      <c r="I79" s="220" t="str">
        <f>IF(ISBLANK(input!I78),"",input!I78)</f>
        <v/>
      </c>
      <c r="K79" s="225" t="s">
        <v>4159</v>
      </c>
      <c r="O79" s="225" t="s">
        <v>4159</v>
      </c>
    </row>
    <row r="80" spans="1:15" ht="12.75" customHeight="1" x14ac:dyDescent="0.3">
      <c r="A80" s="797"/>
      <c r="B80" s="797"/>
      <c r="C80" s="797"/>
      <c r="D80" s="797" t="s">
        <v>399</v>
      </c>
      <c r="E80" s="797"/>
      <c r="F80" s="797"/>
      <c r="G80" s="603" t="s">
        <v>400</v>
      </c>
      <c r="H80" s="796" t="s">
        <v>335</v>
      </c>
      <c r="I80" s="220"/>
    </row>
    <row r="81" spans="1:15" ht="12.75" customHeight="1" x14ac:dyDescent="0.3">
      <c r="A81" s="797"/>
      <c r="B81" s="797"/>
      <c r="C81" s="797"/>
      <c r="D81" s="797" t="s">
        <v>401</v>
      </c>
      <c r="E81" s="797"/>
      <c r="F81" s="797"/>
      <c r="G81" s="603" t="s">
        <v>402</v>
      </c>
      <c r="H81" s="796" t="s">
        <v>335</v>
      </c>
      <c r="I81" s="220"/>
    </row>
    <row r="82" spans="1:15" ht="12.75" customHeight="1" x14ac:dyDescent="0.3">
      <c r="A82" s="797"/>
      <c r="B82" s="797"/>
      <c r="C82" s="797" t="s">
        <v>403</v>
      </c>
      <c r="D82" s="797"/>
      <c r="E82" s="797"/>
      <c r="F82" s="797"/>
      <c r="G82" s="603" t="s">
        <v>404</v>
      </c>
      <c r="H82" s="796" t="s">
        <v>335</v>
      </c>
      <c r="I82" s="220" t="str">
        <f>IF(ISBLANK(input!I81),"",input!I81)</f>
        <v/>
      </c>
      <c r="K82" s="225" t="s">
        <v>4159</v>
      </c>
      <c r="O82" s="225" t="s">
        <v>4159</v>
      </c>
    </row>
    <row r="83" spans="1:15" ht="12.75" customHeight="1" x14ac:dyDescent="0.3">
      <c r="A83" s="797"/>
      <c r="B83" s="797"/>
      <c r="C83" s="797" t="s">
        <v>405</v>
      </c>
      <c r="D83" s="797"/>
      <c r="E83" s="797"/>
      <c r="F83" s="797"/>
      <c r="G83" s="603" t="s">
        <v>406</v>
      </c>
      <c r="H83" s="796" t="s">
        <v>335</v>
      </c>
      <c r="I83" s="220" t="str">
        <f>IF(ISBLANK(input!I82),"",input!I82)</f>
        <v/>
      </c>
      <c r="K83" s="225" t="s">
        <v>4159</v>
      </c>
      <c r="O83" s="225" t="s">
        <v>4159</v>
      </c>
    </row>
    <row r="84" spans="1:15" ht="12.75" customHeight="1" x14ac:dyDescent="0.3">
      <c r="A84" s="797"/>
      <c r="B84" s="797"/>
      <c r="C84" s="797"/>
      <c r="D84" s="797" t="s">
        <v>407</v>
      </c>
      <c r="E84" s="797"/>
      <c r="F84" s="797"/>
      <c r="G84" s="603" t="s">
        <v>408</v>
      </c>
      <c r="H84" s="796" t="s">
        <v>335</v>
      </c>
      <c r="I84" s="220"/>
    </row>
    <row r="85" spans="1:15" ht="12.75" customHeight="1" x14ac:dyDescent="0.3">
      <c r="A85" s="797"/>
      <c r="B85" s="797"/>
      <c r="C85" s="797"/>
      <c r="D85" s="797" t="s">
        <v>409</v>
      </c>
      <c r="E85" s="797"/>
      <c r="F85" s="797"/>
      <c r="G85" s="603" t="s">
        <v>410</v>
      </c>
      <c r="H85" s="796" t="s">
        <v>335</v>
      </c>
      <c r="I85" s="220"/>
    </row>
    <row r="86" spans="1:15" ht="12.75" customHeight="1" x14ac:dyDescent="0.3">
      <c r="A86" s="797"/>
      <c r="B86" s="797"/>
      <c r="C86" s="797" t="s">
        <v>411</v>
      </c>
      <c r="D86" s="797"/>
      <c r="E86" s="797"/>
      <c r="F86" s="797"/>
      <c r="G86" s="603" t="s">
        <v>412</v>
      </c>
      <c r="H86" s="796" t="s">
        <v>335</v>
      </c>
      <c r="I86" s="220" t="str">
        <f>IF(ISBLANK(input!I85),"",input!I85)</f>
        <v/>
      </c>
      <c r="K86" s="225" t="s">
        <v>4159</v>
      </c>
      <c r="O86" s="225" t="s">
        <v>4159</v>
      </c>
    </row>
    <row r="87" spans="1:15" ht="12.75" customHeight="1" x14ac:dyDescent="0.3">
      <c r="A87" s="797"/>
      <c r="B87" s="797"/>
      <c r="C87" s="797"/>
      <c r="D87" s="797" t="s">
        <v>413</v>
      </c>
      <c r="E87" s="797"/>
      <c r="F87" s="797"/>
      <c r="G87" s="603" t="s">
        <v>414</v>
      </c>
      <c r="H87" s="796" t="s">
        <v>335</v>
      </c>
      <c r="I87" s="220"/>
    </row>
    <row r="88" spans="1:15" ht="12.75" customHeight="1" x14ac:dyDescent="0.3">
      <c r="A88" s="797"/>
      <c r="B88" s="797"/>
      <c r="C88" s="797"/>
      <c r="D88" s="797" t="s">
        <v>415</v>
      </c>
      <c r="E88" s="797"/>
      <c r="F88" s="797"/>
      <c r="G88" s="603" t="s">
        <v>416</v>
      </c>
      <c r="H88" s="796" t="s">
        <v>335</v>
      </c>
      <c r="I88" s="220"/>
    </row>
    <row r="89" spans="1:15" ht="12.75" customHeight="1" x14ac:dyDescent="0.3">
      <c r="A89" s="797"/>
      <c r="B89" s="797"/>
      <c r="C89" s="797" t="s">
        <v>417</v>
      </c>
      <c r="D89" s="797"/>
      <c r="E89" s="797"/>
      <c r="F89" s="797"/>
      <c r="G89" s="603" t="s">
        <v>418</v>
      </c>
      <c r="H89" s="796" t="s">
        <v>335</v>
      </c>
      <c r="I89" s="220" t="str">
        <f>IF(ISBLANK(input!I88),"",input!I88)</f>
        <v/>
      </c>
      <c r="K89" s="225" t="s">
        <v>4159</v>
      </c>
      <c r="O89" s="225" t="s">
        <v>4159</v>
      </c>
    </row>
    <row r="90" spans="1:15" ht="12.75" customHeight="1" x14ac:dyDescent="0.3">
      <c r="A90" s="797"/>
      <c r="B90" s="797"/>
      <c r="C90" s="797" t="s">
        <v>419</v>
      </c>
      <c r="D90" s="797"/>
      <c r="E90" s="797"/>
      <c r="F90" s="797"/>
      <c r="G90" s="603" t="s">
        <v>420</v>
      </c>
      <c r="H90" s="796" t="s">
        <v>335</v>
      </c>
      <c r="I90" s="220" t="str">
        <f>IF(ISBLANK(input!I89),"",input!I89)</f>
        <v/>
      </c>
      <c r="K90" s="225" t="s">
        <v>4159</v>
      </c>
      <c r="O90" s="225" t="s">
        <v>4159</v>
      </c>
    </row>
    <row r="91" spans="1:15" ht="12.75" customHeight="1" x14ac:dyDescent="0.3">
      <c r="A91" s="797"/>
      <c r="B91" s="797"/>
      <c r="C91" s="797" t="s">
        <v>421</v>
      </c>
      <c r="D91" s="797"/>
      <c r="E91" s="797"/>
      <c r="F91" s="797"/>
      <c r="G91" s="603" t="s">
        <v>422</v>
      </c>
      <c r="H91" s="796" t="s">
        <v>335</v>
      </c>
      <c r="I91" s="220" t="str">
        <f>IF(ISBLANK(input!I90),"",input!I90)</f>
        <v/>
      </c>
      <c r="K91" s="225" t="s">
        <v>4159</v>
      </c>
      <c r="O91" s="225" t="s">
        <v>4159</v>
      </c>
    </row>
    <row r="92" spans="1:15" ht="12.75" customHeight="1" x14ac:dyDescent="0.3">
      <c r="A92" s="797"/>
      <c r="B92" s="797"/>
      <c r="C92" s="797"/>
      <c r="D92" s="797" t="s">
        <v>423</v>
      </c>
      <c r="E92" s="797"/>
      <c r="F92" s="797"/>
      <c r="G92" s="603" t="s">
        <v>424</v>
      </c>
      <c r="H92" s="796" t="s">
        <v>335</v>
      </c>
      <c r="I92" s="220"/>
    </row>
    <row r="93" spans="1:15" ht="12.75" customHeight="1" x14ac:dyDescent="0.3">
      <c r="A93" s="797"/>
      <c r="B93" s="797"/>
      <c r="C93" s="797"/>
      <c r="D93" s="797" t="s">
        <v>425</v>
      </c>
      <c r="E93" s="797"/>
      <c r="F93" s="797"/>
      <c r="G93" s="603" t="s">
        <v>426</v>
      </c>
      <c r="H93" s="796" t="s">
        <v>335</v>
      </c>
      <c r="I93" s="220"/>
    </row>
    <row r="94" spans="1:15" ht="12.75" customHeight="1" x14ac:dyDescent="0.3">
      <c r="A94" s="797"/>
      <c r="B94" s="797"/>
      <c r="C94" s="797" t="s">
        <v>427</v>
      </c>
      <c r="D94" s="797"/>
      <c r="E94" s="797"/>
      <c r="F94" s="797"/>
      <c r="G94" s="603" t="s">
        <v>428</v>
      </c>
      <c r="H94" s="796" t="s">
        <v>335</v>
      </c>
      <c r="I94" s="220" t="str">
        <f>IF(ISBLANK(input!I93),"",input!I93)</f>
        <v/>
      </c>
      <c r="K94" s="225" t="s">
        <v>4159</v>
      </c>
      <c r="O94" s="225" t="s">
        <v>4159</v>
      </c>
    </row>
    <row r="95" spans="1:15" ht="12.75" customHeight="1" x14ac:dyDescent="0.3">
      <c r="A95" s="797"/>
      <c r="B95" s="797"/>
      <c r="C95" s="797" t="s">
        <v>429</v>
      </c>
      <c r="D95" s="797"/>
      <c r="E95" s="797"/>
      <c r="F95" s="797"/>
      <c r="G95" s="603" t="s">
        <v>430</v>
      </c>
      <c r="H95" s="796" t="s">
        <v>335</v>
      </c>
      <c r="I95" s="220" t="str">
        <f>IF(ISBLANK(input!I94),"",input!I94)</f>
        <v/>
      </c>
      <c r="K95" s="225" t="s">
        <v>4159</v>
      </c>
      <c r="O95" s="225" t="s">
        <v>4159</v>
      </c>
    </row>
    <row r="96" spans="1:15" ht="12.75" customHeight="1" x14ac:dyDescent="0.3">
      <c r="A96" s="797"/>
      <c r="B96" s="797"/>
      <c r="C96" s="797" t="s">
        <v>431</v>
      </c>
      <c r="D96" s="797"/>
      <c r="E96" s="797"/>
      <c r="F96" s="797"/>
      <c r="G96" s="603" t="s">
        <v>432</v>
      </c>
      <c r="H96" s="796" t="s">
        <v>335</v>
      </c>
      <c r="I96" s="220" t="str">
        <f>IF(ISBLANK(input!I95),"",input!I95)</f>
        <v/>
      </c>
      <c r="K96" s="225" t="s">
        <v>4159</v>
      </c>
      <c r="O96" s="225" t="s">
        <v>4159</v>
      </c>
    </row>
    <row r="97" spans="1:15" ht="12.75" customHeight="1" x14ac:dyDescent="0.3">
      <c r="A97" s="797"/>
      <c r="B97" s="797"/>
      <c r="C97" s="797"/>
      <c r="D97" s="797" t="s">
        <v>433</v>
      </c>
      <c r="E97" s="797"/>
      <c r="F97" s="797"/>
      <c r="G97" s="603" t="s">
        <v>434</v>
      </c>
      <c r="H97" s="796" t="s">
        <v>335</v>
      </c>
      <c r="I97" s="220"/>
    </row>
    <row r="98" spans="1:15" ht="12.75" customHeight="1" x14ac:dyDescent="0.3">
      <c r="A98" s="797"/>
      <c r="B98" s="797"/>
      <c r="C98" s="797"/>
      <c r="D98" s="797" t="s">
        <v>435</v>
      </c>
      <c r="E98" s="797"/>
      <c r="F98" s="797"/>
      <c r="G98" s="603" t="s">
        <v>436</v>
      </c>
      <c r="H98" s="796" t="s">
        <v>335</v>
      </c>
      <c r="I98" s="220"/>
    </row>
    <row r="99" spans="1:15" ht="12.75" customHeight="1" x14ac:dyDescent="0.3">
      <c r="A99" s="797"/>
      <c r="B99" s="797"/>
      <c r="C99" s="797" t="s">
        <v>437</v>
      </c>
      <c r="D99" s="797"/>
      <c r="E99" s="797"/>
      <c r="F99" s="797"/>
      <c r="G99" s="603" t="s">
        <v>438</v>
      </c>
      <c r="H99" s="796" t="s">
        <v>335</v>
      </c>
      <c r="I99" s="220" t="str">
        <f>IF(ISBLANK(input!I98),"",input!I98)</f>
        <v/>
      </c>
      <c r="O99" s="225" t="s">
        <v>4159</v>
      </c>
    </row>
    <row r="100" spans="1:15" ht="12.75" customHeight="1" x14ac:dyDescent="0.3">
      <c r="A100" s="797"/>
      <c r="B100" s="797"/>
      <c r="C100" s="797"/>
      <c r="D100" s="797" t="s">
        <v>433</v>
      </c>
      <c r="E100" s="797"/>
      <c r="F100" s="797"/>
      <c r="G100" s="603" t="s">
        <v>439</v>
      </c>
      <c r="H100" s="796" t="s">
        <v>335</v>
      </c>
      <c r="I100" s="220"/>
    </row>
    <row r="101" spans="1:15" ht="12.75" customHeight="1" x14ac:dyDescent="0.3">
      <c r="A101" s="797"/>
      <c r="B101" s="797"/>
      <c r="C101" s="797"/>
      <c r="D101" s="797" t="s">
        <v>435</v>
      </c>
      <c r="E101" s="797"/>
      <c r="F101" s="797"/>
      <c r="G101" s="603" t="s">
        <v>440</v>
      </c>
      <c r="H101" s="796" t="s">
        <v>335</v>
      </c>
      <c r="I101" s="220"/>
    </row>
    <row r="102" spans="1:15" ht="12.75" customHeight="1" x14ac:dyDescent="0.3">
      <c r="A102" s="797"/>
      <c r="B102" s="797"/>
      <c r="C102" s="601" t="s">
        <v>4256</v>
      </c>
      <c r="D102" s="797"/>
      <c r="E102" s="797"/>
      <c r="F102" s="797"/>
      <c r="G102" s="603"/>
      <c r="H102" s="796"/>
      <c r="I102" s="220" t="str">
        <f>IF(ISBLANK(input!I101),"",input!I101)</f>
        <v/>
      </c>
      <c r="O102" s="225" t="s">
        <v>4159</v>
      </c>
    </row>
    <row r="103" spans="1:15" ht="12.75" customHeight="1" x14ac:dyDescent="0.3">
      <c r="A103" s="797"/>
      <c r="B103" s="797"/>
      <c r="C103" s="797" t="s">
        <v>444</v>
      </c>
      <c r="D103" s="797"/>
      <c r="E103" s="797"/>
      <c r="F103" s="797"/>
      <c r="G103" s="603" t="s">
        <v>442</v>
      </c>
      <c r="H103" s="796" t="s">
        <v>335</v>
      </c>
      <c r="I103" s="220" t="str">
        <f>IF(ISBLANK(input!I102),"",input!I102)</f>
        <v/>
      </c>
      <c r="O103" s="225" t="s">
        <v>4159</v>
      </c>
    </row>
    <row r="104" spans="1:15" ht="12.75" customHeight="1" x14ac:dyDescent="0.3">
      <c r="A104" s="797"/>
      <c r="B104" s="797"/>
      <c r="C104" s="797" t="s">
        <v>446</v>
      </c>
      <c r="D104" s="797"/>
      <c r="E104" s="797"/>
      <c r="F104" s="797"/>
      <c r="G104" s="603" t="s">
        <v>443</v>
      </c>
      <c r="H104" s="796" t="s">
        <v>335</v>
      </c>
      <c r="I104" s="220" t="str">
        <f>IF(ISBLANK(input!I103),"",input!I103)</f>
        <v/>
      </c>
      <c r="O104" s="225" t="s">
        <v>4159</v>
      </c>
    </row>
    <row r="105" spans="1:15" ht="12.75" customHeight="1" x14ac:dyDescent="0.3">
      <c r="A105" s="797"/>
      <c r="B105" s="797"/>
      <c r="C105" s="797" t="s">
        <v>444</v>
      </c>
      <c r="D105" s="797"/>
      <c r="E105" s="797"/>
      <c r="F105" s="797"/>
      <c r="G105" s="603" t="s">
        <v>445</v>
      </c>
      <c r="H105" s="796" t="s">
        <v>335</v>
      </c>
      <c r="I105" s="220" t="str">
        <f>IF(ISBLANK(input!I104),"",input!I104)</f>
        <v/>
      </c>
      <c r="O105" s="225" t="s">
        <v>4159</v>
      </c>
    </row>
    <row r="106" spans="1:15" ht="12.75" customHeight="1" x14ac:dyDescent="0.3">
      <c r="A106" s="797"/>
      <c r="B106" s="797"/>
      <c r="C106" s="797" t="s">
        <v>446</v>
      </c>
      <c r="D106" s="797"/>
      <c r="E106" s="797"/>
      <c r="F106" s="797"/>
      <c r="G106" s="603" t="s">
        <v>447</v>
      </c>
      <c r="H106" s="796" t="s">
        <v>335</v>
      </c>
      <c r="I106" s="220" t="str">
        <f>IF(ISBLANK(input!I105),"",input!I105)</f>
        <v/>
      </c>
      <c r="O106" s="225" t="s">
        <v>4159</v>
      </c>
    </row>
    <row r="107" spans="1:15" ht="12.75" customHeight="1" x14ac:dyDescent="0.3">
      <c r="A107" s="797"/>
      <c r="B107" s="797"/>
      <c r="C107" s="797" t="s">
        <v>448</v>
      </c>
      <c r="D107" s="797"/>
      <c r="E107" s="797"/>
      <c r="F107" s="797"/>
      <c r="G107" s="603" t="s">
        <v>449</v>
      </c>
      <c r="H107" s="796" t="s">
        <v>335</v>
      </c>
      <c r="I107" s="220" t="str">
        <f>IF(ISBLANK(input!I106),"",input!I106)</f>
        <v/>
      </c>
      <c r="K107" s="225" t="s">
        <v>4159</v>
      </c>
      <c r="O107" s="225" t="s">
        <v>4159</v>
      </c>
    </row>
    <row r="108" spans="1:15" ht="12.75" customHeight="1" x14ac:dyDescent="0.3">
      <c r="A108" s="797"/>
      <c r="B108" s="797"/>
      <c r="C108" s="797" t="s">
        <v>450</v>
      </c>
      <c r="D108" s="797"/>
      <c r="E108" s="797"/>
      <c r="F108" s="797"/>
      <c r="G108" s="603" t="s">
        <v>451</v>
      </c>
      <c r="H108" s="796" t="s">
        <v>335</v>
      </c>
      <c r="I108" s="220" t="str">
        <f>IF(ISBLANK(input!I107),"",input!I107)</f>
        <v/>
      </c>
      <c r="K108" s="225" t="s">
        <v>4159</v>
      </c>
      <c r="O108" s="225" t="s">
        <v>4159</v>
      </c>
    </row>
    <row r="109" spans="1:15" ht="12.75" customHeight="1" x14ac:dyDescent="0.3">
      <c r="A109" s="797"/>
      <c r="B109" s="797"/>
      <c r="C109" s="797" t="s">
        <v>452</v>
      </c>
      <c r="D109" s="797"/>
      <c r="E109" s="797"/>
      <c r="F109" s="797"/>
      <c r="G109" s="603" t="s">
        <v>453</v>
      </c>
      <c r="H109" s="796" t="s">
        <v>335</v>
      </c>
      <c r="I109" s="220" t="str">
        <f>IF(ISBLANK(input!I108),"",input!I108)</f>
        <v/>
      </c>
      <c r="K109" s="225" t="s">
        <v>4159</v>
      </c>
      <c r="O109" s="225" t="s">
        <v>4159</v>
      </c>
    </row>
    <row r="110" spans="1:15" ht="12.75" customHeight="1" x14ac:dyDescent="0.3">
      <c r="A110" s="797"/>
      <c r="B110" s="797"/>
      <c r="C110" s="797" t="s">
        <v>454</v>
      </c>
      <c r="D110" s="797"/>
      <c r="E110" s="797"/>
      <c r="F110" s="797"/>
      <c r="G110" s="603" t="s">
        <v>455</v>
      </c>
      <c r="H110" s="796" t="s">
        <v>335</v>
      </c>
      <c r="I110" s="220" t="str">
        <f>IF(ISBLANK(input!I109),"",input!I109)</f>
        <v/>
      </c>
      <c r="K110" s="225" t="s">
        <v>4159</v>
      </c>
      <c r="O110" s="225" t="s">
        <v>4159</v>
      </c>
    </row>
    <row r="111" spans="1:15" ht="12.75" customHeight="1" x14ac:dyDescent="0.3">
      <c r="A111" s="797"/>
      <c r="B111" s="797"/>
      <c r="C111" s="797" t="s">
        <v>456</v>
      </c>
      <c r="D111" s="797"/>
      <c r="E111" s="797"/>
      <c r="F111" s="797"/>
      <c r="G111" s="603" t="s">
        <v>457</v>
      </c>
      <c r="H111" s="796" t="s">
        <v>335</v>
      </c>
      <c r="I111" s="220" t="str">
        <f>IF(ISBLANK(input!I110),"",input!I110)</f>
        <v/>
      </c>
      <c r="K111" s="225" t="s">
        <v>4159</v>
      </c>
      <c r="O111" s="225" t="s">
        <v>4159</v>
      </c>
    </row>
    <row r="112" spans="1:15" ht="12.75" customHeight="1" x14ac:dyDescent="0.3">
      <c r="A112" s="797"/>
      <c r="B112" s="797"/>
      <c r="C112" s="797" t="s">
        <v>458</v>
      </c>
      <c r="D112" s="797"/>
      <c r="E112" s="797"/>
      <c r="F112" s="797"/>
      <c r="G112" s="603" t="s">
        <v>459</v>
      </c>
      <c r="H112" s="796" t="s">
        <v>335</v>
      </c>
      <c r="I112" s="220" t="str">
        <f>IF(ISBLANK(input!I111),"",input!I111)</f>
        <v/>
      </c>
      <c r="K112" s="225" t="s">
        <v>4159</v>
      </c>
      <c r="O112" s="225" t="s">
        <v>4159</v>
      </c>
    </row>
    <row r="113" spans="1:15" ht="12.75" customHeight="1" x14ac:dyDescent="0.3">
      <c r="A113" s="797"/>
      <c r="B113" s="797"/>
      <c r="C113" s="797" t="s">
        <v>460</v>
      </c>
      <c r="D113" s="797"/>
      <c r="E113" s="797"/>
      <c r="F113" s="797"/>
      <c r="G113" s="603" t="s">
        <v>461</v>
      </c>
      <c r="H113" s="796" t="s">
        <v>335</v>
      </c>
      <c r="I113" s="220" t="str">
        <f>IF(ISBLANK(input!I112),"",input!I112)</f>
        <v/>
      </c>
      <c r="K113" s="225" t="s">
        <v>4159</v>
      </c>
      <c r="O113" s="225" t="s">
        <v>4159</v>
      </c>
    </row>
    <row r="114" spans="1:15" ht="12.75" customHeight="1" x14ac:dyDescent="0.3">
      <c r="A114" s="797"/>
      <c r="B114" s="797"/>
      <c r="C114" s="797" t="s">
        <v>462</v>
      </c>
      <c r="D114" s="797"/>
      <c r="E114" s="797"/>
      <c r="F114" s="797"/>
      <c r="G114" s="603" t="s">
        <v>463</v>
      </c>
      <c r="H114" s="796" t="s">
        <v>335</v>
      </c>
      <c r="I114" s="220" t="str">
        <f>IF(ISBLANK(input!I113),"",input!I113)</f>
        <v/>
      </c>
      <c r="K114" s="225" t="s">
        <v>4159</v>
      </c>
      <c r="O114" s="225" t="s">
        <v>4159</v>
      </c>
    </row>
    <row r="115" spans="1:15" ht="12.75" customHeight="1" x14ac:dyDescent="0.3">
      <c r="A115" s="797"/>
      <c r="B115" s="797"/>
      <c r="C115" s="797" t="s">
        <v>464</v>
      </c>
      <c r="D115" s="797"/>
      <c r="E115" s="797"/>
      <c r="F115" s="797"/>
      <c r="G115" s="603" t="s">
        <v>465</v>
      </c>
      <c r="H115" s="796" t="s">
        <v>335</v>
      </c>
      <c r="I115" s="220" t="str">
        <f>IF(ISBLANK(input!I114),"",input!I114)</f>
        <v/>
      </c>
      <c r="K115" s="225" t="s">
        <v>4159</v>
      </c>
      <c r="O115" s="225" t="s">
        <v>4159</v>
      </c>
    </row>
    <row r="116" spans="1:15" ht="12.75" customHeight="1" x14ac:dyDescent="0.3">
      <c r="A116" s="797"/>
      <c r="B116" s="797"/>
      <c r="C116" s="797" t="s">
        <v>466</v>
      </c>
      <c r="D116" s="797"/>
      <c r="E116" s="797"/>
      <c r="F116" s="797"/>
      <c r="G116" s="603" t="s">
        <v>467</v>
      </c>
      <c r="H116" s="796" t="s">
        <v>335</v>
      </c>
      <c r="I116" s="220" t="str">
        <f>IF(ISBLANK(input!I115),"",input!I115)</f>
        <v/>
      </c>
      <c r="K116" s="225" t="s">
        <v>4159</v>
      </c>
      <c r="O116" s="225" t="s">
        <v>4159</v>
      </c>
    </row>
    <row r="117" spans="1:15" ht="12.75" customHeight="1" x14ac:dyDescent="0.3">
      <c r="A117" s="797"/>
      <c r="B117" s="797"/>
      <c r="C117" s="797" t="s">
        <v>468</v>
      </c>
      <c r="D117" s="797"/>
      <c r="E117" s="797"/>
      <c r="F117" s="797"/>
      <c r="G117" s="603" t="s">
        <v>469</v>
      </c>
      <c r="H117" s="796" t="s">
        <v>335</v>
      </c>
      <c r="I117" s="220" t="str">
        <f>IF(ISBLANK(input!I116),"",input!I116)</f>
        <v/>
      </c>
      <c r="K117" s="225" t="s">
        <v>4159</v>
      </c>
      <c r="O117" s="225" t="s">
        <v>4159</v>
      </c>
    </row>
    <row r="118" spans="1:15" ht="12.75" customHeight="1" x14ac:dyDescent="0.3">
      <c r="A118" s="797"/>
      <c r="B118" s="797"/>
      <c r="C118" s="797" t="s">
        <v>470</v>
      </c>
      <c r="D118" s="797"/>
      <c r="E118" s="797"/>
      <c r="F118" s="797"/>
      <c r="G118" s="603" t="s">
        <v>471</v>
      </c>
      <c r="H118" s="796" t="s">
        <v>335</v>
      </c>
      <c r="I118" s="220" t="str">
        <f>IF(ISBLANK(input!I117),"",input!I117)</f>
        <v/>
      </c>
      <c r="K118" s="225" t="s">
        <v>4159</v>
      </c>
      <c r="O118" s="225" t="s">
        <v>4159</v>
      </c>
    </row>
    <row r="119" spans="1:15" ht="12.75" customHeight="1" x14ac:dyDescent="0.3">
      <c r="A119" s="797"/>
      <c r="B119" s="797"/>
      <c r="C119" s="797" t="s">
        <v>472</v>
      </c>
      <c r="D119" s="797"/>
      <c r="E119" s="797"/>
      <c r="F119" s="797"/>
      <c r="G119" s="603" t="s">
        <v>473</v>
      </c>
      <c r="H119" s="796" t="s">
        <v>335</v>
      </c>
      <c r="I119" s="220" t="str">
        <f>IF(ISBLANK(input!I118),"",input!I118)</f>
        <v/>
      </c>
      <c r="K119" s="225" t="s">
        <v>4159</v>
      </c>
      <c r="O119" s="225" t="s">
        <v>4159</v>
      </c>
    </row>
    <row r="120" spans="1:15" ht="12.75" customHeight="1" x14ac:dyDescent="0.3">
      <c r="A120" s="797"/>
      <c r="B120" s="797"/>
      <c r="C120" s="797" t="s">
        <v>474</v>
      </c>
      <c r="D120" s="797"/>
      <c r="E120" s="797"/>
      <c r="F120" s="797"/>
      <c r="G120" s="603" t="s">
        <v>475</v>
      </c>
      <c r="H120" s="796" t="s">
        <v>335</v>
      </c>
      <c r="I120" s="220" t="str">
        <f>IF(ISBLANK(input!I119),"",input!I119)</f>
        <v/>
      </c>
      <c r="K120" s="225" t="s">
        <v>4159</v>
      </c>
      <c r="O120" s="225" t="s">
        <v>4159</v>
      </c>
    </row>
    <row r="121" spans="1:15" ht="12.75" customHeight="1" x14ac:dyDescent="0.3">
      <c r="A121" s="797"/>
      <c r="B121" s="797"/>
      <c r="C121" s="797" t="s">
        <v>476</v>
      </c>
      <c r="D121" s="797"/>
      <c r="E121" s="797"/>
      <c r="F121" s="797"/>
      <c r="G121" s="603" t="s">
        <v>477</v>
      </c>
      <c r="H121" s="796" t="s">
        <v>335</v>
      </c>
      <c r="I121" s="220" t="str">
        <f>IF(ISBLANK(input!I120),"",input!I120)</f>
        <v/>
      </c>
      <c r="K121" s="225" t="s">
        <v>4159</v>
      </c>
      <c r="O121" s="225" t="s">
        <v>4159</v>
      </c>
    </row>
    <row r="122" spans="1:15" ht="12.75" customHeight="1" x14ac:dyDescent="0.3">
      <c r="A122" s="797"/>
      <c r="B122" s="797"/>
      <c r="C122" s="797" t="s">
        <v>478</v>
      </c>
      <c r="D122" s="797"/>
      <c r="E122" s="797"/>
      <c r="F122" s="797"/>
      <c r="G122" s="603" t="s">
        <v>479</v>
      </c>
      <c r="H122" s="796" t="s">
        <v>335</v>
      </c>
      <c r="I122" s="220" t="str">
        <f>IF(ISBLANK(input!I121),"",input!I121)</f>
        <v/>
      </c>
      <c r="K122" s="225" t="s">
        <v>4159</v>
      </c>
      <c r="O122" s="225" t="s">
        <v>4159</v>
      </c>
    </row>
    <row r="123" spans="1:15" ht="12.75" customHeight="1" x14ac:dyDescent="0.3">
      <c r="A123" s="797"/>
      <c r="B123" s="797"/>
      <c r="C123" s="797" t="s">
        <v>480</v>
      </c>
      <c r="D123" s="797"/>
      <c r="E123" s="797"/>
      <c r="F123" s="797"/>
      <c r="G123" s="603" t="s">
        <v>481</v>
      </c>
      <c r="H123" s="796" t="s">
        <v>335</v>
      </c>
      <c r="I123" s="220" t="str">
        <f>IF(ISBLANK(input!I122),"",input!I122)</f>
        <v/>
      </c>
      <c r="K123" s="225" t="s">
        <v>4159</v>
      </c>
      <c r="O123" s="225" t="s">
        <v>4159</v>
      </c>
    </row>
    <row r="124" spans="1:15" ht="12.75" customHeight="1" x14ac:dyDescent="0.3">
      <c r="A124" s="797"/>
      <c r="B124" s="797"/>
      <c r="C124" s="797" t="s">
        <v>482</v>
      </c>
      <c r="D124" s="797"/>
      <c r="E124" s="797"/>
      <c r="F124" s="797"/>
      <c r="G124" s="603" t="s">
        <v>483</v>
      </c>
      <c r="H124" s="796" t="s">
        <v>335</v>
      </c>
      <c r="I124" s="220" t="str">
        <f>IF(ISBLANK(input!I123),"",input!I123)</f>
        <v/>
      </c>
      <c r="K124" s="225" t="s">
        <v>4159</v>
      </c>
      <c r="O124" s="225" t="s">
        <v>4159</v>
      </c>
    </row>
    <row r="125" spans="1:15" ht="12.75" customHeight="1" x14ac:dyDescent="0.3">
      <c r="A125" s="797"/>
      <c r="B125" s="797"/>
      <c r="C125" s="797"/>
      <c r="D125" s="797"/>
      <c r="E125" s="797"/>
      <c r="F125" s="797"/>
      <c r="G125" s="603"/>
      <c r="H125" s="796"/>
      <c r="I125" s="220" t="str">
        <f>IF(ISBLANK(input!I124),"",input!I124)</f>
        <v/>
      </c>
      <c r="K125" s="225" t="s">
        <v>4159</v>
      </c>
      <c r="O125" s="225" t="s">
        <v>4159</v>
      </c>
    </row>
    <row r="126" spans="1:15" ht="12.75" customHeight="1" x14ac:dyDescent="0.3">
      <c r="A126" s="864" t="s">
        <v>4821</v>
      </c>
      <c r="B126" s="864"/>
      <c r="C126" s="864"/>
      <c r="D126" s="864"/>
      <c r="E126" s="864"/>
      <c r="F126" s="864"/>
      <c r="G126" s="865" t="s">
        <v>258</v>
      </c>
      <c r="H126" s="865" t="s">
        <v>274</v>
      </c>
      <c r="I126" s="220" t="str">
        <f>IF(ISBLANK(input!I125),"",input!I125)</f>
        <v>User input</v>
      </c>
      <c r="O126" s="225" t="s">
        <v>259</v>
      </c>
    </row>
    <row r="127" spans="1:15" ht="12.75" customHeight="1" x14ac:dyDescent="0.3">
      <c r="A127" s="860"/>
      <c r="B127" s="860"/>
      <c r="C127" s="860"/>
      <c r="D127" s="860"/>
      <c r="E127" s="860"/>
      <c r="F127" s="860"/>
      <c r="G127" s="821"/>
      <c r="H127" s="821"/>
      <c r="I127" s="220" t="str">
        <f>IF(ISBLANK(input!I126),"",input!I126)</f>
        <v/>
      </c>
      <c r="O127" s="225" t="s">
        <v>4159</v>
      </c>
    </row>
    <row r="128" spans="1:15" ht="12.75" customHeight="1" x14ac:dyDescent="0.3">
      <c r="A128" s="992"/>
      <c r="B128" s="583" t="s">
        <v>123</v>
      </c>
      <c r="C128" s="932"/>
      <c r="D128" s="895"/>
      <c r="E128" s="895"/>
      <c r="F128" s="895"/>
      <c r="G128" s="932"/>
      <c r="H128" s="932"/>
      <c r="I128" s="220" t="str">
        <f>IF(ISBLANK(input!I127),"",input!I127)</f>
        <v/>
      </c>
      <c r="O128" s="225" t="s">
        <v>4159</v>
      </c>
    </row>
    <row r="129" spans="1:15" ht="12.75" customHeight="1" x14ac:dyDescent="0.3">
      <c r="A129" s="993"/>
      <c r="B129" s="71" t="s">
        <v>58</v>
      </c>
      <c r="C129" s="860"/>
      <c r="D129" s="860"/>
      <c r="E129" s="860"/>
      <c r="F129" s="860"/>
      <c r="G129" s="821"/>
      <c r="H129" s="821"/>
      <c r="I129" s="220" t="str">
        <f>IF(ISBLANK(input!I128),"",input!I128)</f>
        <v/>
      </c>
      <c r="O129" s="225" t="s">
        <v>4159</v>
      </c>
    </row>
    <row r="130" spans="1:15" ht="12.75" customHeight="1" x14ac:dyDescent="0.3">
      <c r="A130" s="993"/>
      <c r="B130" s="821"/>
      <c r="C130" s="821" t="s">
        <v>485</v>
      </c>
      <c r="D130" s="860"/>
      <c r="E130" s="860"/>
      <c r="F130" s="860"/>
      <c r="G130" s="821" t="s">
        <v>486</v>
      </c>
      <c r="H130" s="821" t="s">
        <v>4822</v>
      </c>
      <c r="I130" s="220" t="str">
        <f>IF(ISBLANK(input!I129),"",input!I129)</f>
        <v/>
      </c>
      <c r="L130" s="225">
        <v>0</v>
      </c>
      <c r="O130" s="563">
        <v>2</v>
      </c>
    </row>
    <row r="131" spans="1:15" ht="12.75" customHeight="1" x14ac:dyDescent="0.3">
      <c r="A131" s="993"/>
      <c r="B131" s="821"/>
      <c r="C131" s="821" t="s">
        <v>489</v>
      </c>
      <c r="D131" s="860"/>
      <c r="E131" s="860"/>
      <c r="F131" s="860"/>
      <c r="G131" s="821" t="s">
        <v>490</v>
      </c>
      <c r="H131" s="821" t="s">
        <v>4822</v>
      </c>
      <c r="I131" s="220" t="str">
        <f>IF(ISBLANK(input!I130),"",input!I130)</f>
        <v/>
      </c>
      <c r="J131" s="353"/>
      <c r="L131" s="225">
        <v>0</v>
      </c>
      <c r="O131" s="563">
        <v>0.32500000000000001</v>
      </c>
    </row>
    <row r="132" spans="1:15" ht="12.75" customHeight="1" x14ac:dyDescent="0.3">
      <c r="A132" s="993"/>
      <c r="B132" s="821"/>
      <c r="C132" s="821" t="s">
        <v>4823</v>
      </c>
      <c r="D132" s="860"/>
      <c r="E132" s="860"/>
      <c r="F132" s="860"/>
      <c r="G132" s="821" t="s">
        <v>492</v>
      </c>
      <c r="H132" s="821" t="s">
        <v>4822</v>
      </c>
      <c r="I132" s="220" t="str">
        <f>IF(ISBLANK(input!I131),"",input!I131)</f>
        <v/>
      </c>
      <c r="L132" s="225">
        <v>0</v>
      </c>
      <c r="O132" s="563">
        <v>3.5750000000000002</v>
      </c>
    </row>
    <row r="133" spans="1:15" ht="12.75" customHeight="1" x14ac:dyDescent="0.3">
      <c r="A133" s="993"/>
      <c r="B133" s="821"/>
      <c r="C133" s="821" t="s">
        <v>4824</v>
      </c>
      <c r="D133" s="860"/>
      <c r="E133" s="860"/>
      <c r="F133" s="860"/>
      <c r="G133" s="821" t="s">
        <v>494</v>
      </c>
      <c r="H133" s="821" t="s">
        <v>4822</v>
      </c>
      <c r="I133" s="220" t="str">
        <f>IF(ISBLANK(input!I132),"",input!I132)</f>
        <v/>
      </c>
      <c r="L133" s="225">
        <v>0</v>
      </c>
      <c r="O133" s="563">
        <v>0</v>
      </c>
    </row>
    <row r="134" spans="1:15" ht="12.75" customHeight="1" x14ac:dyDescent="0.3">
      <c r="A134" s="993"/>
      <c r="B134" s="821"/>
      <c r="C134" s="821" t="s">
        <v>495</v>
      </c>
      <c r="D134" s="860"/>
      <c r="E134" s="860"/>
      <c r="F134" s="860"/>
      <c r="G134" s="821" t="s">
        <v>496</v>
      </c>
      <c r="H134" s="821" t="s">
        <v>4822</v>
      </c>
      <c r="I134" s="220" t="str">
        <f>IF(ISBLANK(input!I133),"",input!I133)</f>
        <v/>
      </c>
      <c r="L134" s="225">
        <v>0</v>
      </c>
      <c r="O134" s="563">
        <v>0</v>
      </c>
    </row>
    <row r="135" spans="1:15" ht="12.75" customHeight="1" x14ac:dyDescent="0.3">
      <c r="A135" s="993"/>
      <c r="B135" s="821"/>
      <c r="C135" s="821" t="s">
        <v>497</v>
      </c>
      <c r="D135" s="860"/>
      <c r="E135" s="860"/>
      <c r="F135" s="860"/>
      <c r="G135" s="821" t="s">
        <v>498</v>
      </c>
      <c r="H135" s="821" t="s">
        <v>4822</v>
      </c>
      <c r="I135" s="220" t="str">
        <f>IF(ISBLANK(input!I134),"",input!I134)</f>
        <v/>
      </c>
      <c r="L135" s="225">
        <v>0</v>
      </c>
      <c r="O135" s="563">
        <v>180</v>
      </c>
    </row>
    <row r="136" spans="1:15" ht="12.75" customHeight="1" x14ac:dyDescent="0.3">
      <c r="A136" s="993"/>
      <c r="B136" s="821"/>
      <c r="C136" s="821" t="s">
        <v>500</v>
      </c>
      <c r="D136" s="860"/>
      <c r="E136" s="860"/>
      <c r="F136" s="860"/>
      <c r="G136" s="821" t="s">
        <v>501</v>
      </c>
      <c r="H136" s="821" t="s">
        <v>4822</v>
      </c>
      <c r="I136" s="220" t="str">
        <f>IF(ISBLANK(input!I135),"",input!I135)</f>
        <v/>
      </c>
      <c r="L136" s="225">
        <v>0</v>
      </c>
      <c r="O136" s="563">
        <v>1</v>
      </c>
    </row>
    <row r="137" spans="1:15" ht="12.75" customHeight="1" x14ac:dyDescent="0.3">
      <c r="A137" s="993"/>
      <c r="B137" s="71" t="s">
        <v>211</v>
      </c>
      <c r="C137" s="860"/>
      <c r="D137" s="860"/>
      <c r="E137" s="860"/>
      <c r="F137" s="860"/>
      <c r="G137" s="862"/>
      <c r="H137" s="821"/>
      <c r="I137" s="220" t="str">
        <f>IF(ISBLANK(input!I136),"",input!I136)</f>
        <v/>
      </c>
      <c r="O137" s="563" t="s">
        <v>4159</v>
      </c>
    </row>
    <row r="138" spans="1:15" ht="12.75" customHeight="1" x14ac:dyDescent="0.3">
      <c r="A138" s="993"/>
      <c r="B138" s="821"/>
      <c r="C138" s="821" t="s">
        <v>485</v>
      </c>
      <c r="D138" s="860"/>
      <c r="E138" s="860"/>
      <c r="F138" s="860"/>
      <c r="G138" s="821" t="s">
        <v>502</v>
      </c>
      <c r="H138" s="821" t="s">
        <v>4822</v>
      </c>
      <c r="I138" s="220" t="str">
        <f>IF(ISBLANK(input!I137),"",input!I137)</f>
        <v/>
      </c>
      <c r="O138" s="563">
        <v>18</v>
      </c>
    </row>
    <row r="139" spans="1:15" ht="12.75" customHeight="1" x14ac:dyDescent="0.3">
      <c r="A139" s="993"/>
      <c r="B139" s="821"/>
      <c r="C139" s="821" t="s">
        <v>489</v>
      </c>
      <c r="D139" s="860"/>
      <c r="E139" s="860"/>
      <c r="F139" s="860"/>
      <c r="G139" s="821" t="s">
        <v>503</v>
      </c>
      <c r="H139" s="821" t="s">
        <v>4822</v>
      </c>
      <c r="I139" s="220" t="str">
        <f>IF(ISBLANK(input!I138),"",input!I138)</f>
        <v/>
      </c>
      <c r="O139" s="563">
        <v>2.93</v>
      </c>
    </row>
    <row r="140" spans="1:15" ht="12.75" customHeight="1" x14ac:dyDescent="0.3">
      <c r="A140" s="993"/>
      <c r="B140" s="821"/>
      <c r="C140" s="821" t="s">
        <v>4823</v>
      </c>
      <c r="D140" s="860"/>
      <c r="E140" s="860"/>
      <c r="F140" s="860"/>
      <c r="G140" s="821" t="s">
        <v>504</v>
      </c>
      <c r="H140" s="821" t="s">
        <v>4822</v>
      </c>
      <c r="I140" s="220" t="str">
        <f>IF(ISBLANK(input!I139),"",input!I139)</f>
        <v/>
      </c>
      <c r="L140" s="225">
        <v>100</v>
      </c>
      <c r="O140" s="563">
        <v>32.200000000000003</v>
      </c>
    </row>
    <row r="141" spans="1:15" ht="12.75" customHeight="1" x14ac:dyDescent="0.3">
      <c r="A141" s="993"/>
      <c r="B141" s="821"/>
      <c r="C141" s="821" t="s">
        <v>4824</v>
      </c>
      <c r="D141" s="860"/>
      <c r="E141" s="860"/>
      <c r="F141" s="860"/>
      <c r="G141" s="821" t="s">
        <v>505</v>
      </c>
      <c r="H141" s="821" t="s">
        <v>4822</v>
      </c>
      <c r="I141" s="220" t="str">
        <f>IF(ISBLANK(input!I140),"",input!I140)</f>
        <v/>
      </c>
      <c r="O141" s="563">
        <v>0</v>
      </c>
    </row>
    <row r="142" spans="1:15" ht="12.75" customHeight="1" x14ac:dyDescent="0.3">
      <c r="A142" s="993"/>
      <c r="B142" s="821"/>
      <c r="C142" s="821" t="s">
        <v>495</v>
      </c>
      <c r="D142" s="860"/>
      <c r="E142" s="860"/>
      <c r="F142" s="860"/>
      <c r="G142" s="821" t="s">
        <v>506</v>
      </c>
      <c r="H142" s="821" t="s">
        <v>4822</v>
      </c>
      <c r="I142" s="220" t="str">
        <f>IF(ISBLANK(input!I141),"",input!I141)</f>
        <v/>
      </c>
      <c r="O142" s="563">
        <v>0</v>
      </c>
    </row>
    <row r="143" spans="1:15" ht="12.75" customHeight="1" x14ac:dyDescent="0.3">
      <c r="A143" s="993"/>
      <c r="B143" s="821"/>
      <c r="C143" s="821" t="s">
        <v>497</v>
      </c>
      <c r="D143" s="860"/>
      <c r="E143" s="860"/>
      <c r="F143" s="860"/>
      <c r="G143" s="821" t="s">
        <v>507</v>
      </c>
      <c r="H143" s="821" t="s">
        <v>4822</v>
      </c>
      <c r="I143" s="220" t="str">
        <f>IF(ISBLANK(input!I142),"",input!I142)</f>
        <v/>
      </c>
      <c r="O143" s="563">
        <v>1620</v>
      </c>
    </row>
    <row r="144" spans="1:15" ht="12.75" customHeight="1" x14ac:dyDescent="0.3">
      <c r="A144" s="993"/>
      <c r="B144" s="821"/>
      <c r="C144" s="821" t="s">
        <v>500</v>
      </c>
      <c r="D144" s="860"/>
      <c r="E144" s="860"/>
      <c r="F144" s="860"/>
      <c r="G144" s="821" t="s">
        <v>508</v>
      </c>
      <c r="H144" s="821" t="s">
        <v>4822</v>
      </c>
      <c r="I144" s="220" t="str">
        <f>IF(ISBLANK(input!I143),"",input!I143)</f>
        <v/>
      </c>
      <c r="O144" s="563">
        <v>9</v>
      </c>
    </row>
    <row r="145" spans="1:15" ht="12.75" customHeight="1" x14ac:dyDescent="0.3">
      <c r="A145" s="993"/>
      <c r="B145" s="71" t="s">
        <v>227</v>
      </c>
      <c r="C145" s="860"/>
      <c r="D145" s="860"/>
      <c r="E145" s="860"/>
      <c r="F145" s="860"/>
      <c r="G145" s="862"/>
      <c r="H145" s="821"/>
      <c r="I145" s="220" t="str">
        <f>IF(ISBLANK(input!I144),"",input!I144)</f>
        <v/>
      </c>
      <c r="O145" s="225" t="s">
        <v>4159</v>
      </c>
    </row>
    <row r="146" spans="1:15" ht="12.75" customHeight="1" x14ac:dyDescent="0.3">
      <c r="A146" s="993"/>
      <c r="B146" s="821"/>
      <c r="C146" s="821" t="s">
        <v>485</v>
      </c>
      <c r="D146" s="860"/>
      <c r="E146" s="860"/>
      <c r="F146" s="860"/>
      <c r="G146" s="821" t="s">
        <v>509</v>
      </c>
      <c r="H146" s="821" t="s">
        <v>4822</v>
      </c>
      <c r="I146" s="220" t="str">
        <f>IF(ISBLANK(input!I145),"",input!I145)</f>
        <v/>
      </c>
      <c r="O146" s="225" t="s">
        <v>4159</v>
      </c>
    </row>
    <row r="147" spans="1:15" ht="12.75" customHeight="1" x14ac:dyDescent="0.3">
      <c r="A147" s="993"/>
      <c r="B147" s="821"/>
      <c r="C147" s="821" t="s">
        <v>510</v>
      </c>
      <c r="D147" s="860"/>
      <c r="E147" s="860"/>
      <c r="F147" s="860"/>
      <c r="G147" s="821" t="s">
        <v>511</v>
      </c>
      <c r="H147" s="821" t="s">
        <v>4822</v>
      </c>
      <c r="I147" s="220" t="str">
        <f>IF(ISBLANK(input!I146),"",input!I146)</f>
        <v/>
      </c>
      <c r="O147" s="225" t="s">
        <v>4159</v>
      </c>
    </row>
    <row r="148" spans="1:15" ht="12.75" customHeight="1" x14ac:dyDescent="0.3">
      <c r="A148" s="993"/>
      <c r="B148" s="821"/>
      <c r="C148" s="821" t="s">
        <v>512</v>
      </c>
      <c r="D148" s="860"/>
      <c r="E148" s="860"/>
      <c r="F148" s="860"/>
      <c r="G148" s="821" t="s">
        <v>513</v>
      </c>
      <c r="H148" s="821" t="s">
        <v>4822</v>
      </c>
      <c r="I148" s="220" t="str">
        <f>IF(ISBLANK(input!I147),"",input!I147)</f>
        <v/>
      </c>
      <c r="O148" s="225" t="s">
        <v>4159</v>
      </c>
    </row>
    <row r="149" spans="1:15" ht="12.75" customHeight="1" x14ac:dyDescent="0.3">
      <c r="A149" s="993"/>
      <c r="B149" s="3" t="s">
        <v>228</v>
      </c>
      <c r="C149" s="821"/>
      <c r="D149" s="860"/>
      <c r="E149" s="860"/>
      <c r="F149" s="860"/>
      <c r="G149" s="862"/>
      <c r="H149" s="821"/>
      <c r="I149" s="220" t="str">
        <f>IF(ISBLANK(input!I148),"",input!I148)</f>
        <v/>
      </c>
      <c r="O149" s="225" t="s">
        <v>4159</v>
      </c>
    </row>
    <row r="150" spans="1:15" ht="12.75" customHeight="1" x14ac:dyDescent="0.3">
      <c r="A150" s="993"/>
      <c r="B150" s="821"/>
      <c r="C150" s="821" t="s">
        <v>485</v>
      </c>
      <c r="D150" s="860"/>
      <c r="E150" s="860"/>
      <c r="F150" s="860"/>
      <c r="G150" s="821" t="s">
        <v>514</v>
      </c>
      <c r="H150" s="821" t="s">
        <v>4822</v>
      </c>
      <c r="I150" s="220" t="str">
        <f>IF(ISBLANK(input!I149),"",input!I149)</f>
        <v/>
      </c>
      <c r="O150" s="225" t="s">
        <v>4159</v>
      </c>
    </row>
    <row r="151" spans="1:15" ht="12.75" customHeight="1" x14ac:dyDescent="0.3">
      <c r="A151" s="993"/>
      <c r="B151" s="821"/>
      <c r="C151" s="821" t="s">
        <v>510</v>
      </c>
      <c r="D151" s="860"/>
      <c r="E151" s="860"/>
      <c r="F151" s="860"/>
      <c r="G151" s="821" t="s">
        <v>515</v>
      </c>
      <c r="H151" s="821" t="s">
        <v>4822</v>
      </c>
      <c r="I151" s="220" t="str">
        <f>IF(ISBLANK(input!I150),"",input!I150)</f>
        <v/>
      </c>
      <c r="O151" s="225" t="s">
        <v>4159</v>
      </c>
    </row>
    <row r="152" spans="1:15" ht="12.75" customHeight="1" x14ac:dyDescent="0.3">
      <c r="A152" s="993"/>
      <c r="B152" s="821"/>
      <c r="C152" s="821" t="s">
        <v>512</v>
      </c>
      <c r="D152" s="860"/>
      <c r="E152" s="860"/>
      <c r="F152" s="860"/>
      <c r="G152" s="821" t="s">
        <v>516</v>
      </c>
      <c r="H152" s="821" t="s">
        <v>4822</v>
      </c>
      <c r="I152" s="220" t="str">
        <f>IF(ISBLANK(input!I151),"",input!I151)</f>
        <v/>
      </c>
      <c r="O152" s="225" t="s">
        <v>4159</v>
      </c>
    </row>
    <row r="153" spans="1:15" ht="12.75" customHeight="1" x14ac:dyDescent="0.3">
      <c r="A153" s="993"/>
      <c r="B153" s="71" t="s">
        <v>517</v>
      </c>
      <c r="C153" s="860"/>
      <c r="D153" s="860"/>
      <c r="E153" s="860"/>
      <c r="F153" s="860"/>
      <c r="G153" s="862"/>
      <c r="H153" s="821"/>
      <c r="I153" s="220" t="str">
        <f>IF(ISBLANK(input!I152),"",input!I152)</f>
        <v/>
      </c>
      <c r="O153" s="225" t="s">
        <v>4159</v>
      </c>
    </row>
    <row r="154" spans="1:15" ht="12.75" customHeight="1" x14ac:dyDescent="0.3">
      <c r="A154" s="993"/>
      <c r="B154" s="821"/>
      <c r="C154" s="821" t="s">
        <v>485</v>
      </c>
      <c r="D154" s="860"/>
      <c r="E154" s="860"/>
      <c r="F154" s="860"/>
      <c r="G154" s="821" t="s">
        <v>518</v>
      </c>
      <c r="H154" s="821" t="s">
        <v>4822</v>
      </c>
      <c r="I154" s="220" t="str">
        <f>IF(ISBLANK(input!I153),"",input!I153)</f>
        <v/>
      </c>
      <c r="O154" s="225" t="s">
        <v>4159</v>
      </c>
    </row>
    <row r="155" spans="1:15" ht="12.75" customHeight="1" x14ac:dyDescent="0.3">
      <c r="A155" s="993"/>
      <c r="B155" s="821"/>
      <c r="C155" s="821" t="s">
        <v>510</v>
      </c>
      <c r="D155" s="860"/>
      <c r="E155" s="860"/>
      <c r="F155" s="860"/>
      <c r="G155" s="821" t="s">
        <v>519</v>
      </c>
      <c r="H155" s="821" t="s">
        <v>4822</v>
      </c>
      <c r="I155" s="220" t="str">
        <f>IF(ISBLANK(input!I154),"",input!I154)</f>
        <v/>
      </c>
      <c r="O155" s="225" t="s">
        <v>4159</v>
      </c>
    </row>
    <row r="156" spans="1:15" ht="12.75" customHeight="1" x14ac:dyDescent="0.3">
      <c r="A156" s="993"/>
      <c r="B156" s="821"/>
      <c r="C156" s="821" t="s">
        <v>512</v>
      </c>
      <c r="D156" s="860"/>
      <c r="E156" s="860"/>
      <c r="F156" s="860"/>
      <c r="G156" s="821" t="s">
        <v>520</v>
      </c>
      <c r="H156" s="821" t="s">
        <v>4822</v>
      </c>
      <c r="I156" s="220" t="str">
        <f>IF(ISBLANK(input!I155),"",input!I155)</f>
        <v/>
      </c>
      <c r="O156" s="225" t="s">
        <v>4159</v>
      </c>
    </row>
    <row r="157" spans="1:15" ht="12.75" customHeight="1" x14ac:dyDescent="0.3">
      <c r="A157" s="797"/>
      <c r="B157" s="797"/>
      <c r="C157" s="797"/>
      <c r="D157" s="797"/>
      <c r="E157" s="797"/>
      <c r="F157" s="797"/>
      <c r="G157" s="603"/>
      <c r="H157" s="796"/>
      <c r="I157" s="220" t="str">
        <f>IF(ISBLANK(input!I156),"",input!I156)</f>
        <v/>
      </c>
      <c r="O157" s="225" t="s">
        <v>4159</v>
      </c>
    </row>
    <row r="158" spans="1:15" ht="12.75" customHeight="1" x14ac:dyDescent="0.3">
      <c r="A158" s="865" t="s">
        <v>521</v>
      </c>
      <c r="B158" s="864"/>
      <c r="C158" s="864"/>
      <c r="D158" s="864"/>
      <c r="E158" s="864"/>
      <c r="F158" s="864"/>
      <c r="G158" s="865" t="s">
        <v>258</v>
      </c>
      <c r="H158" s="865" t="s">
        <v>274</v>
      </c>
      <c r="I158" s="220" t="str">
        <f>IF(ISBLANK(input!I157),"",input!I157)</f>
        <v>User input</v>
      </c>
      <c r="O158" s="225" t="s">
        <v>259</v>
      </c>
    </row>
    <row r="159" spans="1:15" ht="12.75" customHeight="1" x14ac:dyDescent="0.3">
      <c r="A159" s="821"/>
      <c r="B159" s="860"/>
      <c r="C159" s="860"/>
      <c r="D159" s="860"/>
      <c r="E159" s="860"/>
      <c r="F159" s="860"/>
      <c r="G159" s="821"/>
      <c r="H159" s="821"/>
      <c r="I159" s="220" t="str">
        <f>IF(ISBLANK(input!I158),"",input!I158)</f>
        <v/>
      </c>
      <c r="O159" s="225" t="s">
        <v>4159</v>
      </c>
    </row>
    <row r="160" spans="1:15" ht="12.75" customHeight="1" x14ac:dyDescent="0.3">
      <c r="A160" s="821"/>
      <c r="B160" s="988" t="s">
        <v>522</v>
      </c>
      <c r="C160" s="987"/>
      <c r="D160" s="987"/>
      <c r="E160" s="987"/>
      <c r="F160" s="987"/>
      <c r="G160" s="988" t="s">
        <v>523</v>
      </c>
      <c r="H160" s="988"/>
      <c r="I160" s="220" t="str">
        <f>IF(ISBLANK(input!I159),"",input!I159)</f>
        <v/>
      </c>
      <c r="O160" s="225" t="s">
        <v>4159</v>
      </c>
    </row>
    <row r="161" spans="1:15" ht="12.75" customHeight="1" x14ac:dyDescent="0.3">
      <c r="A161" s="860"/>
      <c r="B161" s="821" t="s">
        <v>525</v>
      </c>
      <c r="C161" s="860"/>
      <c r="D161" s="860"/>
      <c r="E161" s="860"/>
      <c r="F161" s="860"/>
      <c r="G161" s="821" t="s">
        <v>526</v>
      </c>
      <c r="H161" s="821" t="s">
        <v>4825</v>
      </c>
      <c r="I161" s="220" t="str">
        <f>IF(ISBLANK(input!I160),"",input!I160)</f>
        <v/>
      </c>
      <c r="O161" s="225" t="s">
        <v>4159</v>
      </c>
    </row>
    <row r="162" spans="1:15" ht="12.75" customHeight="1" x14ac:dyDescent="0.3">
      <c r="A162" s="860"/>
      <c r="B162" s="821"/>
      <c r="C162" s="860"/>
      <c r="D162" s="860"/>
      <c r="E162" s="860"/>
      <c r="F162" s="860"/>
      <c r="G162" s="821"/>
      <c r="H162" s="821"/>
      <c r="I162" s="220" t="str">
        <f>IF(ISBLANK(input!I161),"",input!I161)</f>
        <v/>
      </c>
      <c r="O162" s="225" t="s">
        <v>4159</v>
      </c>
    </row>
    <row r="163" spans="1:15" ht="12.75" customHeight="1" x14ac:dyDescent="0.3">
      <c r="A163" s="821"/>
      <c r="B163" s="821" t="s">
        <v>4826</v>
      </c>
      <c r="C163" s="860"/>
      <c r="D163" s="860"/>
      <c r="E163" s="860"/>
      <c r="F163" s="860"/>
      <c r="G163" s="872" t="s">
        <v>4827</v>
      </c>
      <c r="H163" s="821" t="s">
        <v>291</v>
      </c>
      <c r="I163" s="220" t="str">
        <f>IF(ISBLANK(input!I162),"",input!I162)</f>
        <v/>
      </c>
      <c r="O163" s="225" t="s">
        <v>4159</v>
      </c>
    </row>
    <row r="164" spans="1:15" ht="12.75" customHeight="1" x14ac:dyDescent="0.3">
      <c r="A164" s="821"/>
      <c r="B164" s="821" t="s">
        <v>4828</v>
      </c>
      <c r="C164" s="860"/>
      <c r="D164" s="860"/>
      <c r="E164" s="860"/>
      <c r="F164" s="860"/>
      <c r="G164" s="891" t="s">
        <v>533</v>
      </c>
      <c r="H164" s="821" t="s">
        <v>291</v>
      </c>
      <c r="I164" s="220" t="str">
        <f>IF(ISBLANK(input!I163),"",input!I163)</f>
        <v/>
      </c>
      <c r="O164" s="225" t="s">
        <v>4159</v>
      </c>
    </row>
    <row r="165" spans="1:15" ht="12.75" customHeight="1" x14ac:dyDescent="0.3">
      <c r="A165" s="821"/>
      <c r="B165" s="821" t="s">
        <v>4829</v>
      </c>
      <c r="C165" s="872"/>
      <c r="D165" s="860"/>
      <c r="E165" s="860"/>
      <c r="F165" s="860"/>
      <c r="G165" s="872" t="s">
        <v>4830</v>
      </c>
      <c r="H165" s="821" t="s">
        <v>291</v>
      </c>
      <c r="I165" s="220" t="str">
        <f>IF(ISBLANK(input!I164),"",input!I164)</f>
        <v/>
      </c>
      <c r="O165" s="225" t="s">
        <v>4159</v>
      </c>
    </row>
    <row r="166" spans="1:15" ht="12.75" customHeight="1" x14ac:dyDescent="0.3">
      <c r="A166" s="860"/>
      <c r="B166" s="860"/>
      <c r="C166" s="821" t="s">
        <v>4831</v>
      </c>
      <c r="D166" s="860"/>
      <c r="E166" s="860"/>
      <c r="F166" s="860"/>
      <c r="G166" s="821" t="s">
        <v>537</v>
      </c>
      <c r="H166" s="821" t="s">
        <v>291</v>
      </c>
      <c r="I166" s="220" t="str">
        <f>IF(ISBLANK(input!I165),"",input!I165)</f>
        <v/>
      </c>
      <c r="O166" s="225" t="s">
        <v>4159</v>
      </c>
    </row>
    <row r="167" spans="1:15" ht="12.75" customHeight="1" x14ac:dyDescent="0.3">
      <c r="A167" s="860"/>
      <c r="B167" s="860"/>
      <c r="C167" s="821" t="s">
        <v>4832</v>
      </c>
      <c r="D167" s="860"/>
      <c r="E167" s="860"/>
      <c r="F167" s="860"/>
      <c r="G167" s="894" t="s">
        <v>4833</v>
      </c>
      <c r="H167" s="821" t="s">
        <v>291</v>
      </c>
      <c r="I167" s="220" t="str">
        <f>IF(ISBLANK(input!I166),"",input!I166)</f>
        <v/>
      </c>
      <c r="O167" s="225" t="s">
        <v>4159</v>
      </c>
    </row>
    <row r="168" spans="1:15" ht="12.75" customHeight="1" x14ac:dyDescent="0.3">
      <c r="A168" s="860"/>
      <c r="B168" s="860"/>
      <c r="C168" s="821" t="s">
        <v>540</v>
      </c>
      <c r="D168" s="860"/>
      <c r="E168" s="860"/>
      <c r="F168" s="860"/>
      <c r="G168" s="821" t="s">
        <v>541</v>
      </c>
      <c r="H168" s="821"/>
      <c r="I168" s="220" t="str">
        <f>IF(ISBLANK(input!I167),"",input!I167)</f>
        <v/>
      </c>
      <c r="O168" s="225" t="s">
        <v>4159</v>
      </c>
    </row>
    <row r="169" spans="1:15" ht="12.75" customHeight="1" x14ac:dyDescent="0.3">
      <c r="A169" s="860"/>
      <c r="B169" s="860"/>
      <c r="C169" s="821" t="s">
        <v>4834</v>
      </c>
      <c r="D169" s="860"/>
      <c r="E169" s="860"/>
      <c r="F169" s="860"/>
      <c r="G169" s="821" t="s">
        <v>543</v>
      </c>
      <c r="H169" s="821" t="s">
        <v>291</v>
      </c>
      <c r="I169" s="220" t="str">
        <f>IF(ISBLANK(input!I168),"",input!I168)</f>
        <v/>
      </c>
      <c r="O169" s="225" t="s">
        <v>4159</v>
      </c>
    </row>
    <row r="170" spans="1:15" ht="12.75" customHeight="1" x14ac:dyDescent="0.3">
      <c r="A170" s="473"/>
      <c r="B170" s="797"/>
      <c r="C170" s="797" t="s">
        <v>4835</v>
      </c>
      <c r="D170" s="797"/>
      <c r="E170" s="797"/>
      <c r="F170" s="797"/>
      <c r="G170" s="796" t="s">
        <v>546</v>
      </c>
      <c r="H170" s="796" t="s">
        <v>291</v>
      </c>
      <c r="I170" s="220" t="str">
        <f>IF(ISBLANK(input!I169),"",input!I169)</f>
        <v/>
      </c>
      <c r="O170" s="225" t="s">
        <v>4159</v>
      </c>
    </row>
    <row r="171" spans="1:15" ht="12.75" customHeight="1" x14ac:dyDescent="0.3">
      <c r="A171" s="3"/>
      <c r="B171" s="860"/>
      <c r="C171" s="860" t="s">
        <v>4836</v>
      </c>
      <c r="D171" s="860"/>
      <c r="E171" s="860"/>
      <c r="F171" s="860"/>
      <c r="G171" s="821" t="s">
        <v>548</v>
      </c>
      <c r="H171" s="821" t="s">
        <v>291</v>
      </c>
      <c r="I171" s="220" t="str">
        <f>IF(ISBLANK(input!I170),"",input!I170)</f>
        <v/>
      </c>
      <c r="O171" s="225" t="s">
        <v>4159</v>
      </c>
    </row>
    <row r="172" spans="1:15" ht="12.75" customHeight="1" x14ac:dyDescent="0.3">
      <c r="A172" s="3"/>
      <c r="B172" s="860"/>
      <c r="C172" s="860" t="s">
        <v>4837</v>
      </c>
      <c r="D172" s="860"/>
      <c r="E172" s="860"/>
      <c r="F172" s="860"/>
      <c r="G172" s="821" t="s">
        <v>550</v>
      </c>
      <c r="H172" s="821" t="s">
        <v>291</v>
      </c>
      <c r="I172" s="220" t="str">
        <f>IF(ISBLANK(input!I171),"",input!I171)</f>
        <v/>
      </c>
      <c r="O172" s="225" t="s">
        <v>4159</v>
      </c>
    </row>
    <row r="173" spans="1:15" ht="12.75" customHeight="1" x14ac:dyDescent="0.3">
      <c r="A173" s="3"/>
      <c r="B173" s="860"/>
      <c r="C173" s="860" t="s">
        <v>4838</v>
      </c>
      <c r="D173" s="860"/>
      <c r="E173" s="860"/>
      <c r="F173" s="860"/>
      <c r="G173" s="821" t="s">
        <v>552</v>
      </c>
      <c r="H173" s="821" t="s">
        <v>291</v>
      </c>
      <c r="I173" s="220" t="str">
        <f>IF(ISBLANK(input!I172),"",input!I172)</f>
        <v/>
      </c>
      <c r="O173" s="225" t="s">
        <v>4159</v>
      </c>
    </row>
    <row r="174" spans="1:15" ht="12.75" customHeight="1" x14ac:dyDescent="0.3">
      <c r="A174" s="3"/>
      <c r="B174" s="860"/>
      <c r="C174" s="860" t="s">
        <v>4839</v>
      </c>
      <c r="D174" s="860"/>
      <c r="E174" s="860"/>
      <c r="F174" s="860"/>
      <c r="G174" s="821" t="s">
        <v>554</v>
      </c>
      <c r="H174" s="821" t="s">
        <v>291</v>
      </c>
      <c r="I174" s="220" t="str">
        <f>IF(ISBLANK(input!I173),"",input!I173)</f>
        <v/>
      </c>
      <c r="O174" s="225" t="s">
        <v>4159</v>
      </c>
    </row>
    <row r="175" spans="1:15" ht="12.75" customHeight="1" x14ac:dyDescent="0.3">
      <c r="A175" s="3"/>
      <c r="B175" s="860"/>
      <c r="C175" s="860" t="s">
        <v>4840</v>
      </c>
      <c r="D175" s="860"/>
      <c r="E175" s="860"/>
      <c r="F175" s="860"/>
      <c r="G175" s="821" t="s">
        <v>556</v>
      </c>
      <c r="H175" s="821"/>
      <c r="I175" s="220" t="str">
        <f>IF(ISBLANK(input!I174),"",input!I174)</f>
        <v/>
      </c>
      <c r="O175" s="225" t="s">
        <v>4159</v>
      </c>
    </row>
    <row r="176" spans="1:15" ht="12.75" customHeight="1" x14ac:dyDescent="0.3">
      <c r="A176" s="3"/>
      <c r="B176" s="860"/>
      <c r="C176" s="860" t="s">
        <v>4841</v>
      </c>
      <c r="D176" s="860"/>
      <c r="E176" s="860"/>
      <c r="F176" s="860"/>
      <c r="G176" s="821" t="s">
        <v>558</v>
      </c>
      <c r="H176" s="821" t="s">
        <v>291</v>
      </c>
      <c r="I176" s="220" t="str">
        <f>IF(ISBLANK(input!I175),"",input!I175)</f>
        <v/>
      </c>
      <c r="O176" s="225" t="s">
        <v>4159</v>
      </c>
    </row>
    <row r="177" spans="1:15" ht="12.75" customHeight="1" x14ac:dyDescent="0.3">
      <c r="A177" s="3"/>
      <c r="B177" s="860"/>
      <c r="C177" s="860" t="s">
        <v>4842</v>
      </c>
      <c r="D177" s="860"/>
      <c r="E177" s="860"/>
      <c r="F177" s="860"/>
      <c r="G177" s="821" t="s">
        <v>560</v>
      </c>
      <c r="H177" s="821" t="s">
        <v>291</v>
      </c>
      <c r="I177" s="220" t="str">
        <f>IF(ISBLANK(input!I176),"",input!I176)</f>
        <v/>
      </c>
      <c r="O177" s="225" t="s">
        <v>4159</v>
      </c>
    </row>
    <row r="178" spans="1:15" ht="12.75" customHeight="1" x14ac:dyDescent="0.3">
      <c r="A178" s="3"/>
      <c r="B178" s="860"/>
      <c r="C178" s="860" t="s">
        <v>4843</v>
      </c>
      <c r="D178" s="860"/>
      <c r="E178" s="860"/>
      <c r="F178" s="860"/>
      <c r="G178" s="821" t="s">
        <v>562</v>
      </c>
      <c r="H178" s="821" t="s">
        <v>291</v>
      </c>
      <c r="I178" s="220" t="str">
        <f>IF(ISBLANK(input!I177),"",input!I177)</f>
        <v/>
      </c>
      <c r="O178" s="225" t="s">
        <v>4159</v>
      </c>
    </row>
    <row r="179" spans="1:15" ht="12.75" customHeight="1" x14ac:dyDescent="0.3">
      <c r="A179" s="3"/>
      <c r="B179" s="860"/>
      <c r="C179" s="860" t="s">
        <v>4844</v>
      </c>
      <c r="D179" s="860"/>
      <c r="E179" s="860"/>
      <c r="F179" s="860"/>
      <c r="G179" s="821" t="s">
        <v>564</v>
      </c>
      <c r="H179" s="821" t="s">
        <v>291</v>
      </c>
      <c r="I179" s="220" t="str">
        <f>IF(ISBLANK(input!I178),"",input!I178)</f>
        <v/>
      </c>
      <c r="O179" s="225" t="s">
        <v>4159</v>
      </c>
    </row>
    <row r="180" spans="1:15" ht="12.75" customHeight="1" x14ac:dyDescent="0.3">
      <c r="A180" s="3"/>
      <c r="B180" s="860"/>
      <c r="C180" s="860" t="s">
        <v>4845</v>
      </c>
      <c r="D180" s="860"/>
      <c r="E180" s="860"/>
      <c r="F180" s="860"/>
      <c r="G180" s="821" t="s">
        <v>566</v>
      </c>
      <c r="H180" s="821" t="s">
        <v>291</v>
      </c>
      <c r="I180" s="220" t="str">
        <f>IF(ISBLANK(input!I179),"",input!I179)</f>
        <v/>
      </c>
      <c r="O180" s="225" t="s">
        <v>4159</v>
      </c>
    </row>
    <row r="181" spans="1:15" ht="12.75" customHeight="1" x14ac:dyDescent="0.3">
      <c r="A181" s="3"/>
      <c r="B181" s="860"/>
      <c r="C181" s="860" t="s">
        <v>4846</v>
      </c>
      <c r="D181" s="860"/>
      <c r="E181" s="860"/>
      <c r="F181" s="860"/>
      <c r="G181" s="821" t="s">
        <v>568</v>
      </c>
      <c r="H181" s="821" t="s">
        <v>291</v>
      </c>
      <c r="I181" s="220" t="str">
        <f>IF(ISBLANK(input!I180),"",input!I180)</f>
        <v/>
      </c>
      <c r="O181" s="225" t="s">
        <v>4159</v>
      </c>
    </row>
    <row r="182" spans="1:15" ht="12.75" customHeight="1" x14ac:dyDescent="0.3">
      <c r="A182" s="860"/>
      <c r="B182" s="860"/>
      <c r="C182" s="860" t="s">
        <v>4847</v>
      </c>
      <c r="D182" s="860"/>
      <c r="E182" s="860"/>
      <c r="F182" s="860"/>
      <c r="G182" s="860" t="s">
        <v>570</v>
      </c>
      <c r="H182" s="860" t="s">
        <v>571</v>
      </c>
      <c r="I182" s="220" t="str">
        <f>IF(ISBLANK(input!I181),"",input!I181)</f>
        <v/>
      </c>
      <c r="O182" s="225" t="s">
        <v>4159</v>
      </c>
    </row>
    <row r="183" spans="1:15" ht="12.75" customHeight="1" x14ac:dyDescent="0.3">
      <c r="A183" s="860"/>
      <c r="B183" s="821"/>
      <c r="C183" s="821" t="s">
        <v>573</v>
      </c>
      <c r="D183" s="860"/>
      <c r="E183" s="860"/>
      <c r="F183" s="860"/>
      <c r="G183" s="821" t="s">
        <v>574</v>
      </c>
      <c r="H183" s="821" t="s">
        <v>4848</v>
      </c>
      <c r="I183" s="220" t="str">
        <f>IF(ISBLANK(input!I182),"",input!I182)</f>
        <v/>
      </c>
      <c r="O183" s="225" t="s">
        <v>4159</v>
      </c>
    </row>
    <row r="184" spans="1:15" ht="12.75" customHeight="1" x14ac:dyDescent="0.3">
      <c r="A184" s="860"/>
      <c r="B184" s="821"/>
      <c r="C184" s="821" t="s">
        <v>4849</v>
      </c>
      <c r="D184" s="860"/>
      <c r="E184" s="860"/>
      <c r="F184" s="860"/>
      <c r="G184" s="821" t="s">
        <v>578</v>
      </c>
      <c r="H184" s="821" t="s">
        <v>4785</v>
      </c>
      <c r="I184" s="220" t="str">
        <f>IF(ISBLANK(input!I183),"",input!I183)</f>
        <v/>
      </c>
      <c r="O184" s="225" t="s">
        <v>4159</v>
      </c>
    </row>
    <row r="185" spans="1:15" ht="12.75" customHeight="1" x14ac:dyDescent="0.3">
      <c r="A185" s="860"/>
      <c r="B185" s="821"/>
      <c r="C185" s="821" t="s">
        <v>581</v>
      </c>
      <c r="D185" s="860"/>
      <c r="E185" s="860"/>
      <c r="F185" s="860"/>
      <c r="G185" s="821" t="s">
        <v>582</v>
      </c>
      <c r="H185" s="821" t="s">
        <v>4848</v>
      </c>
      <c r="I185" s="220" t="str">
        <f>IF(ISBLANK(input!I184),"",input!I184)</f>
        <v/>
      </c>
      <c r="O185" s="225" t="s">
        <v>4159</v>
      </c>
    </row>
    <row r="186" spans="1:15" ht="12.75" customHeight="1" x14ac:dyDescent="0.3">
      <c r="A186" s="860"/>
      <c r="B186" s="860"/>
      <c r="C186" s="860" t="s">
        <v>4850</v>
      </c>
      <c r="D186" s="860"/>
      <c r="E186" s="860"/>
      <c r="F186" s="860"/>
      <c r="G186" s="860" t="s">
        <v>584</v>
      </c>
      <c r="H186" s="860" t="s">
        <v>4778</v>
      </c>
      <c r="I186" s="220" t="str">
        <f>IF(ISBLANK(input!I185),"",input!I185)</f>
        <v/>
      </c>
      <c r="O186" s="225" t="s">
        <v>4159</v>
      </c>
    </row>
    <row r="187" spans="1:15" ht="12.75" customHeight="1" x14ac:dyDescent="0.3">
      <c r="A187" s="860"/>
      <c r="B187" s="860"/>
      <c r="C187" s="860"/>
      <c r="D187" s="860"/>
      <c r="E187" s="860"/>
      <c r="F187" s="860"/>
      <c r="G187" s="860"/>
      <c r="H187" s="30"/>
      <c r="I187" s="220" t="str">
        <f>IF(ISBLANK(input!I338),"",input!I338)</f>
        <v/>
      </c>
      <c r="O187" s="225" t="s">
        <v>4159</v>
      </c>
    </row>
    <row r="188" spans="1:15" ht="12.75" customHeight="1" x14ac:dyDescent="0.3">
      <c r="A188" s="860"/>
      <c r="B188" s="821" t="s">
        <v>4851</v>
      </c>
      <c r="C188" s="860"/>
      <c r="D188" s="872"/>
      <c r="E188" s="860"/>
      <c r="F188" s="860"/>
      <c r="G188" s="872" t="s">
        <v>4852</v>
      </c>
      <c r="H188" s="821" t="s">
        <v>4690</v>
      </c>
      <c r="I188" s="220" t="str">
        <f>IF(ISBLANK(input!I213),"",input!I213)</f>
        <v/>
      </c>
      <c r="O188" s="225" t="s">
        <v>4159</v>
      </c>
    </row>
    <row r="189" spans="1:15" ht="12.75" customHeight="1" x14ac:dyDescent="0.3">
      <c r="A189" s="821"/>
      <c r="B189" s="860"/>
      <c r="C189" s="821" t="s">
        <v>618</v>
      </c>
      <c r="D189" s="860"/>
      <c r="E189" s="860"/>
      <c r="F189" s="860"/>
      <c r="G189" s="821" t="s">
        <v>619</v>
      </c>
      <c r="H189" s="821" t="s">
        <v>4757</v>
      </c>
      <c r="I189" s="220" t="str">
        <f>IF(ISBLANK(input!I214),"",input!I214)</f>
        <v/>
      </c>
      <c r="J189" s="636"/>
      <c r="O189" s="225" t="s">
        <v>4159</v>
      </c>
    </row>
    <row r="190" spans="1:15" ht="12.75" customHeight="1" x14ac:dyDescent="0.3">
      <c r="A190" s="821"/>
      <c r="B190" s="860"/>
      <c r="C190" s="821" t="s">
        <v>622</v>
      </c>
      <c r="D190" s="860"/>
      <c r="E190" s="860"/>
      <c r="F190" s="860"/>
      <c r="G190" s="821" t="s">
        <v>623</v>
      </c>
      <c r="H190" s="821" t="s">
        <v>4853</v>
      </c>
      <c r="I190" s="220" t="str">
        <f>IF(ISBLANK(input!I215),"",input!I215)</f>
        <v/>
      </c>
      <c r="J190" s="208"/>
      <c r="O190" s="225" t="s">
        <v>4159</v>
      </c>
    </row>
    <row r="191" spans="1:15" ht="12.75" customHeight="1" x14ac:dyDescent="0.3">
      <c r="A191" s="821"/>
      <c r="B191" s="860"/>
      <c r="C191" s="821" t="s">
        <v>626</v>
      </c>
      <c r="D191" s="860"/>
      <c r="E191" s="860"/>
      <c r="F191" s="860"/>
      <c r="G191" s="821" t="s">
        <v>627</v>
      </c>
      <c r="H191" s="821" t="s">
        <v>628</v>
      </c>
      <c r="I191" s="220" t="str">
        <f>IF(ISBLANK(input!I216),"",input!I216)</f>
        <v/>
      </c>
      <c r="O191" s="225" t="s">
        <v>4159</v>
      </c>
    </row>
    <row r="192" spans="1:15" ht="12.75" customHeight="1" x14ac:dyDescent="0.3">
      <c r="A192" s="860"/>
      <c r="B192" s="821" t="s">
        <v>4854</v>
      </c>
      <c r="C192" s="860"/>
      <c r="D192" s="872"/>
      <c r="E192" s="860"/>
      <c r="F192" s="860"/>
      <c r="G192" s="872" t="s">
        <v>4855</v>
      </c>
      <c r="H192" s="821" t="s">
        <v>4690</v>
      </c>
      <c r="I192" s="220" t="str">
        <f>IF(ISBLANK(input!I217),"",input!I217)</f>
        <v/>
      </c>
      <c r="J192" s="208"/>
      <c r="O192" s="225" t="s">
        <v>4159</v>
      </c>
    </row>
    <row r="193" spans="1:15" ht="12.75" customHeight="1" x14ac:dyDescent="0.3">
      <c r="A193" s="860"/>
      <c r="B193" s="860"/>
      <c r="C193" s="821" t="s">
        <v>631</v>
      </c>
      <c r="D193" s="860"/>
      <c r="E193" s="860"/>
      <c r="F193" s="860"/>
      <c r="G193" s="821" t="s">
        <v>632</v>
      </c>
      <c r="H193" s="821" t="s">
        <v>633</v>
      </c>
      <c r="I193" s="220" t="str">
        <f>IF(ISBLANK(input!I218),"",input!I218)</f>
        <v/>
      </c>
      <c r="J193" s="637"/>
      <c r="O193" s="225" t="s">
        <v>4159</v>
      </c>
    </row>
    <row r="194" spans="1:15" ht="12.75" customHeight="1" x14ac:dyDescent="0.3">
      <c r="A194" s="860"/>
      <c r="B194" s="860"/>
      <c r="C194" s="821" t="s">
        <v>635</v>
      </c>
      <c r="D194" s="872"/>
      <c r="E194" s="860"/>
      <c r="F194" s="860"/>
      <c r="G194" s="821" t="s">
        <v>636</v>
      </c>
      <c r="H194" s="821" t="s">
        <v>4856</v>
      </c>
      <c r="I194" s="220" t="str">
        <f>IF(ISBLANK(input!I219),"",input!I219)</f>
        <v/>
      </c>
      <c r="J194" s="638"/>
      <c r="O194" s="225" t="s">
        <v>4159</v>
      </c>
    </row>
    <row r="195" spans="1:15" ht="12.75" customHeight="1" x14ac:dyDescent="0.3">
      <c r="A195" s="860"/>
      <c r="B195" s="860"/>
      <c r="C195" s="860" t="s">
        <v>4857</v>
      </c>
      <c r="D195" s="860"/>
      <c r="E195" s="860"/>
      <c r="F195" s="860"/>
      <c r="G195" s="821" t="s">
        <v>640</v>
      </c>
      <c r="H195" s="821" t="s">
        <v>291</v>
      </c>
      <c r="I195" s="220" t="str">
        <f>IF(ISBLANK(input!I220),"",input!I220)</f>
        <v/>
      </c>
      <c r="O195" s="225" t="s">
        <v>4159</v>
      </c>
    </row>
    <row r="196" spans="1:15" ht="12.75" customHeight="1" x14ac:dyDescent="0.3">
      <c r="A196" s="860"/>
      <c r="B196" s="821" t="s">
        <v>4858</v>
      </c>
      <c r="C196" s="872"/>
      <c r="D196" s="872"/>
      <c r="E196" s="860"/>
      <c r="F196" s="860"/>
      <c r="G196" s="872" t="s">
        <v>4859</v>
      </c>
      <c r="H196" s="821" t="s">
        <v>4690</v>
      </c>
      <c r="I196" s="220" t="str">
        <f>IF(ISBLANK(input!I221),"",input!I221)</f>
        <v/>
      </c>
      <c r="O196" s="225" t="s">
        <v>4159</v>
      </c>
    </row>
    <row r="197" spans="1:15" ht="12.75" customHeight="1" x14ac:dyDescent="0.3">
      <c r="A197" s="860"/>
      <c r="B197" s="821" t="s">
        <v>4860</v>
      </c>
      <c r="C197" s="872"/>
      <c r="D197" s="872"/>
      <c r="E197" s="860"/>
      <c r="F197" s="860"/>
      <c r="G197" s="872" t="s">
        <v>4861</v>
      </c>
      <c r="H197" s="821" t="s">
        <v>4690</v>
      </c>
      <c r="I197" s="220" t="str">
        <f>IF(ISBLANK(input!I222),"",input!I222)</f>
        <v/>
      </c>
      <c r="O197" s="225" t="s">
        <v>4159</v>
      </c>
    </row>
    <row r="198" spans="1:15" ht="12.75" customHeight="1" x14ac:dyDescent="0.3">
      <c r="A198" s="860"/>
      <c r="B198" s="860"/>
      <c r="C198" s="860"/>
      <c r="D198" s="860"/>
      <c r="E198" s="860"/>
      <c r="F198" s="860"/>
      <c r="G198" s="821"/>
      <c r="H198" s="821"/>
      <c r="I198" s="220" t="str">
        <f>IF(ISBLANK(input!I223),"",input!I223)</f>
        <v/>
      </c>
      <c r="O198" s="225" t="s">
        <v>4159</v>
      </c>
    </row>
    <row r="199" spans="1:15" ht="12.75" customHeight="1" x14ac:dyDescent="0.3">
      <c r="A199" s="864" t="s">
        <v>4821</v>
      </c>
      <c r="B199" s="864"/>
      <c r="C199" s="864"/>
      <c r="D199" s="864"/>
      <c r="E199" s="864"/>
      <c r="F199" s="864"/>
      <c r="G199" s="865" t="s">
        <v>258</v>
      </c>
      <c r="H199" s="865" t="s">
        <v>274</v>
      </c>
      <c r="I199" s="220" t="str">
        <f>IF(ISBLANK(input!I224),"",input!I224)</f>
        <v>User input</v>
      </c>
      <c r="O199" s="225" t="s">
        <v>259</v>
      </c>
    </row>
    <row r="200" spans="1:15" ht="12.75" customHeight="1" x14ac:dyDescent="0.3">
      <c r="A200" s="993"/>
      <c r="B200" s="821"/>
      <c r="C200" s="821"/>
      <c r="D200" s="860"/>
      <c r="E200" s="860"/>
      <c r="F200" s="860"/>
      <c r="G200" s="821"/>
      <c r="H200" s="821"/>
      <c r="I200" s="220" t="str">
        <f>IF(ISBLANK(input!I225),"",input!I225)</f>
        <v/>
      </c>
      <c r="O200" s="225" t="s">
        <v>4159</v>
      </c>
    </row>
    <row r="201" spans="1:15" ht="12.75" customHeight="1" x14ac:dyDescent="0.3">
      <c r="A201" s="860"/>
      <c r="B201" s="580" t="s">
        <v>645</v>
      </c>
      <c r="C201" s="895"/>
      <c r="D201" s="895"/>
      <c r="E201" s="895"/>
      <c r="F201" s="895"/>
      <c r="G201" s="932"/>
      <c r="H201" s="932"/>
      <c r="I201" s="220" t="str">
        <f>IF(ISBLANK(input!I226),"",input!I226)</f>
        <v/>
      </c>
      <c r="O201" s="225" t="s">
        <v>4159</v>
      </c>
    </row>
    <row r="202" spans="1:15" ht="12.75" customHeight="1" x14ac:dyDescent="0.3">
      <c r="A202" s="993"/>
      <c r="B202" s="71" t="s">
        <v>58</v>
      </c>
      <c r="C202" s="860"/>
      <c r="D202" s="860"/>
      <c r="E202" s="860"/>
      <c r="F202" s="860"/>
      <c r="G202" s="821"/>
      <c r="H202" s="821"/>
      <c r="I202" s="220" t="str">
        <f>IF(ISBLANK(input!I227),"",input!I227)</f>
        <v/>
      </c>
      <c r="O202" s="225" t="s">
        <v>4159</v>
      </c>
    </row>
    <row r="203" spans="1:15" ht="12.75" customHeight="1" x14ac:dyDescent="0.3">
      <c r="A203" s="993"/>
      <c r="B203" s="821"/>
      <c r="C203" s="821" t="s">
        <v>485</v>
      </c>
      <c r="D203" s="860"/>
      <c r="E203" s="860"/>
      <c r="F203" s="860"/>
      <c r="G203" s="821" t="s">
        <v>4862</v>
      </c>
      <c r="H203" s="821" t="s">
        <v>4822</v>
      </c>
      <c r="I203" s="220" t="str">
        <f>IF(ISBLANK(input!I228),"",input!I228)</f>
        <v/>
      </c>
    </row>
    <row r="204" spans="1:15" ht="12.75" customHeight="1" x14ac:dyDescent="0.3">
      <c r="A204" s="993"/>
      <c r="B204" s="821"/>
      <c r="C204" s="821" t="s">
        <v>489</v>
      </c>
      <c r="D204" s="860"/>
      <c r="E204" s="860"/>
      <c r="F204" s="860"/>
      <c r="G204" s="821" t="s">
        <v>4863</v>
      </c>
      <c r="H204" s="821" t="s">
        <v>4822</v>
      </c>
      <c r="I204" s="220" t="str">
        <f>IF(ISBLANK(input!I229),"",input!I229)</f>
        <v/>
      </c>
    </row>
    <row r="205" spans="1:15" ht="12.75" customHeight="1" x14ac:dyDescent="0.3">
      <c r="A205" s="993"/>
      <c r="B205" s="821"/>
      <c r="C205" s="821" t="s">
        <v>4823</v>
      </c>
      <c r="D205" s="860"/>
      <c r="E205" s="860"/>
      <c r="F205" s="860"/>
      <c r="G205" s="821" t="s">
        <v>4864</v>
      </c>
      <c r="H205" s="821" t="s">
        <v>4822</v>
      </c>
      <c r="I205" s="220" t="str">
        <f>IF(ISBLANK(input!I230),"",input!I230)</f>
        <v/>
      </c>
    </row>
    <row r="206" spans="1:15" ht="12.75" customHeight="1" x14ac:dyDescent="0.3">
      <c r="A206" s="993"/>
      <c r="B206" s="821"/>
      <c r="C206" s="821" t="s">
        <v>4824</v>
      </c>
      <c r="D206" s="860"/>
      <c r="E206" s="860"/>
      <c r="F206" s="860"/>
      <c r="G206" s="821" t="s">
        <v>4865</v>
      </c>
      <c r="H206" s="821" t="s">
        <v>4822</v>
      </c>
      <c r="I206" s="220" t="str">
        <f>IF(ISBLANK(input!I231),"",input!I231)</f>
        <v/>
      </c>
    </row>
    <row r="207" spans="1:15" ht="12.75" customHeight="1" x14ac:dyDescent="0.3">
      <c r="A207" s="993"/>
      <c r="B207" s="821"/>
      <c r="C207" s="821" t="s">
        <v>495</v>
      </c>
      <c r="D207" s="860"/>
      <c r="E207" s="860"/>
      <c r="F207" s="860"/>
      <c r="G207" s="821" t="s">
        <v>4866</v>
      </c>
      <c r="H207" s="821" t="s">
        <v>4822</v>
      </c>
      <c r="I207" s="220" t="str">
        <f>IF(ISBLANK(input!I232),"",input!I232)</f>
        <v/>
      </c>
    </row>
    <row r="208" spans="1:15" ht="12.75" customHeight="1" x14ac:dyDescent="0.3">
      <c r="A208" s="993"/>
      <c r="B208" s="821"/>
      <c r="C208" s="821" t="s">
        <v>497</v>
      </c>
      <c r="D208" s="860"/>
      <c r="E208" s="860"/>
      <c r="F208" s="860"/>
      <c r="G208" s="821" t="s">
        <v>4867</v>
      </c>
      <c r="H208" s="821" t="s">
        <v>4822</v>
      </c>
      <c r="I208" s="220" t="str">
        <f>IF(ISBLANK(input!I233),"",input!I233)</f>
        <v/>
      </c>
    </row>
    <row r="209" spans="1:15" ht="12.75" customHeight="1" x14ac:dyDescent="0.3">
      <c r="A209" s="993"/>
      <c r="B209" s="821"/>
      <c r="C209" s="821" t="s">
        <v>500</v>
      </c>
      <c r="D209" s="860"/>
      <c r="E209" s="860"/>
      <c r="F209" s="860"/>
      <c r="G209" s="821" t="s">
        <v>4868</v>
      </c>
      <c r="H209" s="821" t="s">
        <v>4822</v>
      </c>
      <c r="I209" s="220" t="str">
        <f>IF(ISBLANK(input!I234),"",input!I234)</f>
        <v/>
      </c>
    </row>
    <row r="210" spans="1:15" ht="12.75" customHeight="1" x14ac:dyDescent="0.3">
      <c r="A210" s="993"/>
      <c r="B210" s="71" t="s">
        <v>211</v>
      </c>
      <c r="C210" s="860"/>
      <c r="D210" s="860"/>
      <c r="E210" s="860"/>
      <c r="F210" s="860"/>
      <c r="G210" s="862"/>
      <c r="H210" s="821"/>
      <c r="I210" s="220" t="str">
        <f>IF(ISBLANK(input!I235),"",input!I235)</f>
        <v/>
      </c>
      <c r="O210" s="225" t="s">
        <v>4159</v>
      </c>
    </row>
    <row r="211" spans="1:15" ht="12.75" customHeight="1" x14ac:dyDescent="0.3">
      <c r="A211" s="993"/>
      <c r="B211" s="821"/>
      <c r="C211" s="821" t="s">
        <v>485</v>
      </c>
      <c r="D211" s="860"/>
      <c r="E211" s="860"/>
      <c r="F211" s="860"/>
      <c r="G211" s="821" t="s">
        <v>4869</v>
      </c>
      <c r="H211" s="821" t="s">
        <v>4822</v>
      </c>
      <c r="I211" s="220" t="str">
        <f>IF(ISBLANK(input!I236),"",input!I236)</f>
        <v/>
      </c>
      <c r="O211" s="225" t="s">
        <v>4159</v>
      </c>
    </row>
    <row r="212" spans="1:15" ht="12.75" customHeight="1" x14ac:dyDescent="0.3">
      <c r="A212" s="993"/>
      <c r="B212" s="821"/>
      <c r="C212" s="821" t="s">
        <v>489</v>
      </c>
      <c r="D212" s="860"/>
      <c r="E212" s="860"/>
      <c r="F212" s="860"/>
      <c r="G212" s="821" t="s">
        <v>4870</v>
      </c>
      <c r="H212" s="821" t="s">
        <v>4822</v>
      </c>
      <c r="I212" s="220" t="str">
        <f>IF(ISBLANK(input!I237),"",input!I237)</f>
        <v/>
      </c>
      <c r="O212" s="225" t="s">
        <v>4159</v>
      </c>
    </row>
    <row r="213" spans="1:15" ht="12.75" customHeight="1" x14ac:dyDescent="0.3">
      <c r="A213" s="993"/>
      <c r="B213" s="821"/>
      <c r="C213" s="821" t="s">
        <v>4823</v>
      </c>
      <c r="D213" s="860"/>
      <c r="E213" s="860"/>
      <c r="F213" s="860"/>
      <c r="G213" s="821" t="s">
        <v>4871</v>
      </c>
      <c r="H213" s="821" t="s">
        <v>4822</v>
      </c>
      <c r="I213" s="220" t="str">
        <f>IF(ISBLANK(input!I238),"",input!I238)</f>
        <v/>
      </c>
      <c r="O213" s="225" t="s">
        <v>4159</v>
      </c>
    </row>
    <row r="214" spans="1:15" ht="12.75" customHeight="1" x14ac:dyDescent="0.3">
      <c r="A214" s="993"/>
      <c r="B214" s="821"/>
      <c r="C214" s="821" t="s">
        <v>4824</v>
      </c>
      <c r="D214" s="860"/>
      <c r="E214" s="860"/>
      <c r="F214" s="860"/>
      <c r="G214" s="821" t="s">
        <v>4872</v>
      </c>
      <c r="H214" s="821" t="s">
        <v>4822</v>
      </c>
      <c r="I214" s="220" t="str">
        <f>IF(ISBLANK(input!I239),"",input!I239)</f>
        <v/>
      </c>
      <c r="O214" s="225" t="s">
        <v>4159</v>
      </c>
    </row>
    <row r="215" spans="1:15" ht="12.75" customHeight="1" x14ac:dyDescent="0.3">
      <c r="A215" s="993"/>
      <c r="B215" s="821"/>
      <c r="C215" s="821" t="s">
        <v>495</v>
      </c>
      <c r="D215" s="860"/>
      <c r="E215" s="860"/>
      <c r="F215" s="860"/>
      <c r="G215" s="821" t="s">
        <v>4873</v>
      </c>
      <c r="H215" s="821" t="s">
        <v>4822</v>
      </c>
      <c r="I215" s="220" t="str">
        <f>IF(ISBLANK(input!I240),"",input!I240)</f>
        <v/>
      </c>
      <c r="O215" s="225" t="s">
        <v>4159</v>
      </c>
    </row>
    <row r="216" spans="1:15" ht="12.75" customHeight="1" x14ac:dyDescent="0.3">
      <c r="A216" s="993"/>
      <c r="B216" s="821"/>
      <c r="C216" s="821" t="s">
        <v>497</v>
      </c>
      <c r="D216" s="860"/>
      <c r="E216" s="860"/>
      <c r="F216" s="860"/>
      <c r="G216" s="821" t="s">
        <v>4874</v>
      </c>
      <c r="H216" s="821" t="s">
        <v>4822</v>
      </c>
      <c r="I216" s="220" t="str">
        <f>IF(ISBLANK(input!I241),"",input!I241)</f>
        <v/>
      </c>
      <c r="O216" s="225" t="s">
        <v>4159</v>
      </c>
    </row>
    <row r="217" spans="1:15" ht="12.75" customHeight="1" x14ac:dyDescent="0.3">
      <c r="A217" s="993"/>
      <c r="B217" s="821"/>
      <c r="C217" s="821" t="s">
        <v>500</v>
      </c>
      <c r="D217" s="860"/>
      <c r="E217" s="860"/>
      <c r="F217" s="860"/>
      <c r="G217" s="821" t="s">
        <v>4875</v>
      </c>
      <c r="H217" s="821" t="s">
        <v>4822</v>
      </c>
      <c r="I217" s="220" t="str">
        <f>IF(ISBLANK(input!I242),"",input!I242)</f>
        <v/>
      </c>
      <c r="O217" s="225" t="s">
        <v>4159</v>
      </c>
    </row>
    <row r="218" spans="1:15" ht="12.75" customHeight="1" x14ac:dyDescent="0.3">
      <c r="A218" s="993"/>
      <c r="B218" s="71" t="s">
        <v>227</v>
      </c>
      <c r="C218" s="860"/>
      <c r="D218" s="860"/>
      <c r="E218" s="860"/>
      <c r="F218" s="860"/>
      <c r="G218" s="862"/>
      <c r="H218" s="821"/>
      <c r="I218" s="220" t="str">
        <f>IF(ISBLANK(input!I243),"",input!I243)</f>
        <v/>
      </c>
      <c r="O218" s="225" t="s">
        <v>4159</v>
      </c>
    </row>
    <row r="219" spans="1:15" ht="12.75" customHeight="1" x14ac:dyDescent="0.3">
      <c r="A219" s="993"/>
      <c r="B219" s="821"/>
      <c r="C219" s="821" t="s">
        <v>485</v>
      </c>
      <c r="D219" s="860"/>
      <c r="E219" s="860"/>
      <c r="F219" s="860"/>
      <c r="G219" s="821" t="s">
        <v>4876</v>
      </c>
      <c r="H219" s="821" t="s">
        <v>4822</v>
      </c>
      <c r="I219" s="220" t="str">
        <f>IF(ISBLANK(input!I244),"",input!I244)</f>
        <v/>
      </c>
      <c r="O219" s="225" t="s">
        <v>4159</v>
      </c>
    </row>
    <row r="220" spans="1:15" ht="12.75" customHeight="1" x14ac:dyDescent="0.3">
      <c r="A220" s="993"/>
      <c r="B220" s="821"/>
      <c r="C220" s="821" t="s">
        <v>510</v>
      </c>
      <c r="D220" s="860"/>
      <c r="E220" s="860"/>
      <c r="F220" s="860"/>
      <c r="G220" s="821" t="s">
        <v>4877</v>
      </c>
      <c r="H220" s="821" t="s">
        <v>4822</v>
      </c>
      <c r="I220" s="220" t="str">
        <f>IF(ISBLANK(input!I245),"",input!I245)</f>
        <v/>
      </c>
      <c r="O220" s="225" t="s">
        <v>4159</v>
      </c>
    </row>
    <row r="221" spans="1:15" ht="12.75" customHeight="1" x14ac:dyDescent="0.3">
      <c r="A221" s="993"/>
      <c r="B221" s="821"/>
      <c r="C221" s="821" t="s">
        <v>512</v>
      </c>
      <c r="D221" s="860"/>
      <c r="E221" s="860"/>
      <c r="F221" s="860"/>
      <c r="G221" s="821" t="s">
        <v>4878</v>
      </c>
      <c r="H221" s="821" t="s">
        <v>4822</v>
      </c>
      <c r="I221" s="220" t="str">
        <f>IF(ISBLANK(input!I246),"",input!I246)</f>
        <v/>
      </c>
      <c r="O221" s="225" t="s">
        <v>4159</v>
      </c>
    </row>
    <row r="222" spans="1:15" ht="12.75" customHeight="1" x14ac:dyDescent="0.3">
      <c r="A222" s="993"/>
      <c r="B222" s="3" t="s">
        <v>228</v>
      </c>
      <c r="C222" s="821"/>
      <c r="D222" s="860"/>
      <c r="E222" s="860"/>
      <c r="F222" s="860"/>
      <c r="G222" s="862"/>
      <c r="H222" s="821"/>
      <c r="I222" s="220" t="str">
        <f>IF(ISBLANK(input!I247),"",input!I247)</f>
        <v/>
      </c>
      <c r="O222" s="225" t="s">
        <v>4159</v>
      </c>
    </row>
    <row r="223" spans="1:15" ht="12.75" customHeight="1" x14ac:dyDescent="0.3">
      <c r="A223" s="993"/>
      <c r="B223" s="821"/>
      <c r="C223" s="821" t="s">
        <v>485</v>
      </c>
      <c r="D223" s="860"/>
      <c r="E223" s="860"/>
      <c r="F223" s="860"/>
      <c r="G223" s="821" t="s">
        <v>4879</v>
      </c>
      <c r="H223" s="821" t="s">
        <v>4822</v>
      </c>
      <c r="I223" s="220" t="str">
        <f>IF(ISBLANK(input!I248),"",input!I248)</f>
        <v/>
      </c>
      <c r="O223" s="225" t="s">
        <v>4159</v>
      </c>
    </row>
    <row r="224" spans="1:15" ht="12.75" customHeight="1" x14ac:dyDescent="0.3">
      <c r="A224" s="993"/>
      <c r="B224" s="821"/>
      <c r="C224" s="821" t="s">
        <v>510</v>
      </c>
      <c r="D224" s="860"/>
      <c r="E224" s="860"/>
      <c r="F224" s="860"/>
      <c r="G224" s="821" t="s">
        <v>4880</v>
      </c>
      <c r="H224" s="821" t="s">
        <v>4822</v>
      </c>
      <c r="I224" s="220" t="str">
        <f>IF(ISBLANK(input!I249),"",input!I249)</f>
        <v/>
      </c>
      <c r="O224" s="225" t="s">
        <v>4159</v>
      </c>
    </row>
    <row r="225" spans="1:15" ht="12.75" customHeight="1" x14ac:dyDescent="0.3">
      <c r="A225" s="993"/>
      <c r="B225" s="821"/>
      <c r="C225" s="821" t="s">
        <v>512</v>
      </c>
      <c r="D225" s="860"/>
      <c r="E225" s="860"/>
      <c r="F225" s="860"/>
      <c r="G225" s="821" t="s">
        <v>4881</v>
      </c>
      <c r="H225" s="821" t="s">
        <v>4822</v>
      </c>
      <c r="I225" s="220" t="str">
        <f>IF(ISBLANK(input!I250),"",input!I250)</f>
        <v/>
      </c>
      <c r="O225" s="225" t="s">
        <v>4159</v>
      </c>
    </row>
    <row r="226" spans="1:15" ht="12.75" customHeight="1" x14ac:dyDescent="0.3">
      <c r="A226" s="993"/>
      <c r="B226" s="71" t="s">
        <v>517</v>
      </c>
      <c r="C226" s="860"/>
      <c r="D226" s="860"/>
      <c r="E226" s="860"/>
      <c r="F226" s="860"/>
      <c r="G226" s="862"/>
      <c r="H226" s="821"/>
      <c r="I226" s="220" t="str">
        <f>IF(ISBLANK(input!I251),"",input!I251)</f>
        <v/>
      </c>
      <c r="O226" s="225" t="s">
        <v>4159</v>
      </c>
    </row>
    <row r="227" spans="1:15" ht="12.75" customHeight="1" x14ac:dyDescent="0.3">
      <c r="A227" s="993"/>
      <c r="B227" s="821"/>
      <c r="C227" s="821" t="s">
        <v>485</v>
      </c>
      <c r="D227" s="860"/>
      <c r="E227" s="860"/>
      <c r="F227" s="860"/>
      <c r="G227" s="821" t="s">
        <v>4882</v>
      </c>
      <c r="H227" s="821" t="s">
        <v>4822</v>
      </c>
      <c r="I227" s="220" t="str">
        <f>IF(ISBLANK(input!I252),"",input!I252)</f>
        <v/>
      </c>
      <c r="O227" s="225" t="s">
        <v>4159</v>
      </c>
    </row>
    <row r="228" spans="1:15" ht="12.75" customHeight="1" x14ac:dyDescent="0.3">
      <c r="A228" s="993"/>
      <c r="B228" s="821"/>
      <c r="C228" s="821" t="s">
        <v>510</v>
      </c>
      <c r="D228" s="860"/>
      <c r="E228" s="860"/>
      <c r="F228" s="860"/>
      <c r="G228" s="821" t="s">
        <v>4883</v>
      </c>
      <c r="H228" s="821" t="s">
        <v>4822</v>
      </c>
      <c r="I228" s="220" t="str">
        <f>IF(ISBLANK(input!I253),"",input!I253)</f>
        <v/>
      </c>
      <c r="O228" s="225" t="s">
        <v>4159</v>
      </c>
    </row>
    <row r="229" spans="1:15" ht="12.75" customHeight="1" x14ac:dyDescent="0.3">
      <c r="A229" s="993"/>
      <c r="B229" s="821"/>
      <c r="C229" s="821" t="s">
        <v>512</v>
      </c>
      <c r="D229" s="860"/>
      <c r="E229" s="860"/>
      <c r="F229" s="860"/>
      <c r="G229" s="821" t="s">
        <v>4884</v>
      </c>
      <c r="H229" s="821" t="s">
        <v>4822</v>
      </c>
      <c r="I229" s="220" t="str">
        <f>IF(ISBLANK(input!I254),"",input!I254)</f>
        <v/>
      </c>
      <c r="O229" s="225" t="s">
        <v>4159</v>
      </c>
    </row>
    <row r="230" spans="1:15" ht="12.75" customHeight="1" x14ac:dyDescent="0.3">
      <c r="A230" s="860"/>
      <c r="B230" s="860"/>
      <c r="C230" s="860"/>
      <c r="D230" s="860"/>
      <c r="E230" s="860"/>
      <c r="F230" s="860"/>
      <c r="G230" s="821"/>
      <c r="H230" s="821"/>
      <c r="I230" s="220" t="str">
        <f>IF(ISBLANK(input!I255),"",input!I255)</f>
        <v/>
      </c>
      <c r="O230" s="225" t="s">
        <v>4159</v>
      </c>
    </row>
    <row r="231" spans="1:15" ht="12.75" customHeight="1" x14ac:dyDescent="0.3">
      <c r="A231" s="865" t="s">
        <v>669</v>
      </c>
      <c r="B231" s="864"/>
      <c r="C231" s="864"/>
      <c r="D231" s="864"/>
      <c r="E231" s="864"/>
      <c r="F231" s="864"/>
      <c r="G231" s="865" t="s">
        <v>258</v>
      </c>
      <c r="H231" s="865" t="s">
        <v>274</v>
      </c>
      <c r="I231" s="220" t="str">
        <f>IF(ISBLANK(input!I256),"",input!I256)</f>
        <v>User input</v>
      </c>
      <c r="O231" s="225" t="s">
        <v>259</v>
      </c>
    </row>
    <row r="232" spans="1:15" ht="12.75" customHeight="1" x14ac:dyDescent="0.3">
      <c r="A232" s="821"/>
      <c r="B232" s="860"/>
      <c r="C232" s="860"/>
      <c r="D232" s="860"/>
      <c r="E232" s="860"/>
      <c r="F232" s="860"/>
      <c r="G232" s="821"/>
      <c r="H232" s="821"/>
      <c r="I232" s="220" t="str">
        <f>IF(ISBLANK(input!I257),"",input!I257)</f>
        <v/>
      </c>
      <c r="O232" s="225" t="s">
        <v>4159</v>
      </c>
    </row>
    <row r="233" spans="1:15" ht="12.75" customHeight="1" x14ac:dyDescent="0.3">
      <c r="A233" s="3" t="s">
        <v>58</v>
      </c>
      <c r="B233" s="860"/>
      <c r="C233" s="860"/>
      <c r="D233" s="860"/>
      <c r="E233" s="860"/>
      <c r="F233" s="860"/>
      <c r="G233" s="860"/>
      <c r="H233" s="860"/>
      <c r="I233" s="220" t="str">
        <f>IF(ISBLANK(input!I258),"",input!I258)</f>
        <v/>
      </c>
      <c r="O233" s="225" t="s">
        <v>4159</v>
      </c>
    </row>
    <row r="234" spans="1:15" ht="12.75" customHeight="1" x14ac:dyDescent="0.3">
      <c r="A234" s="860"/>
      <c r="B234" s="860" t="s">
        <v>670</v>
      </c>
      <c r="C234" s="860"/>
      <c r="D234" s="860"/>
      <c r="E234" s="860"/>
      <c r="F234" s="860"/>
      <c r="G234" s="860" t="s">
        <v>671</v>
      </c>
      <c r="H234" s="872" t="s">
        <v>4684</v>
      </c>
      <c r="I234" s="220" t="str">
        <f>IF(ISBLANK(input!I259),"",input!I259)</f>
        <v/>
      </c>
      <c r="L234" s="225">
        <v>0</v>
      </c>
      <c r="O234" s="225" t="s">
        <v>4159</v>
      </c>
    </row>
    <row r="235" spans="1:15" ht="12.75" customHeight="1" x14ac:dyDescent="0.3">
      <c r="A235" s="860"/>
      <c r="B235" s="860" t="s">
        <v>674</v>
      </c>
      <c r="C235" s="860"/>
      <c r="D235" s="860"/>
      <c r="E235" s="860"/>
      <c r="F235" s="860"/>
      <c r="G235" s="860" t="s">
        <v>675</v>
      </c>
      <c r="H235" s="872" t="s">
        <v>4684</v>
      </c>
      <c r="I235" s="220" t="str">
        <f>IF(ISBLANK(input!I260),"",input!I260)</f>
        <v/>
      </c>
      <c r="L235" s="225">
        <v>0</v>
      </c>
      <c r="O235" s="225" t="s">
        <v>4159</v>
      </c>
    </row>
    <row r="236" spans="1:15" ht="12.75" customHeight="1" x14ac:dyDescent="0.3">
      <c r="A236" s="860"/>
      <c r="B236" s="860" t="s">
        <v>676</v>
      </c>
      <c r="C236" s="860"/>
      <c r="D236" s="860"/>
      <c r="E236" s="860"/>
      <c r="F236" s="860"/>
      <c r="G236" s="860" t="s">
        <v>677</v>
      </c>
      <c r="H236" s="860" t="s">
        <v>292</v>
      </c>
      <c r="I236" s="220" t="str">
        <f>IF(ISBLANK(input!I261),"",input!I261)</f>
        <v/>
      </c>
      <c r="O236" s="225" t="s">
        <v>4159</v>
      </c>
    </row>
    <row r="237" spans="1:15" ht="12.75" customHeight="1" x14ac:dyDescent="0.3">
      <c r="A237" s="860"/>
      <c r="B237" s="860" t="s">
        <v>678</v>
      </c>
      <c r="C237" s="860"/>
      <c r="D237" s="860"/>
      <c r="E237" s="860"/>
      <c r="F237" s="860"/>
      <c r="G237" s="860" t="s">
        <v>679</v>
      </c>
      <c r="H237" s="860" t="s">
        <v>292</v>
      </c>
      <c r="I237" s="220" t="str">
        <f>IF(ISBLANK(input!I262),"",input!I262)</f>
        <v/>
      </c>
      <c r="O237" s="225" t="s">
        <v>4159</v>
      </c>
    </row>
    <row r="238" spans="1:15" ht="12.75" customHeight="1" x14ac:dyDescent="0.3">
      <c r="A238" s="860"/>
      <c r="B238" s="860" t="s">
        <v>680</v>
      </c>
      <c r="C238" s="860"/>
      <c r="D238" s="860"/>
      <c r="E238" s="860"/>
      <c r="F238" s="860"/>
      <c r="G238" s="860" t="s">
        <v>681</v>
      </c>
      <c r="H238" s="860" t="s">
        <v>292</v>
      </c>
      <c r="I238" s="220" t="str">
        <f>IF(ISBLANK(input!I263),"",input!I263)</f>
        <v/>
      </c>
      <c r="O238" s="225" t="s">
        <v>4159</v>
      </c>
    </row>
    <row r="239" spans="1:15" ht="12.75" customHeight="1" x14ac:dyDescent="0.3">
      <c r="A239" s="860"/>
      <c r="B239" s="860" t="s">
        <v>682</v>
      </c>
      <c r="C239" s="860"/>
      <c r="D239" s="860"/>
      <c r="E239" s="860"/>
      <c r="F239" s="860"/>
      <c r="G239" s="860" t="s">
        <v>683</v>
      </c>
      <c r="H239" s="860" t="s">
        <v>292</v>
      </c>
      <c r="I239" s="220" t="str">
        <f>IF(ISBLANK(input!I264),"",input!I264)</f>
        <v/>
      </c>
      <c r="O239" s="225" t="s">
        <v>4159</v>
      </c>
    </row>
    <row r="240" spans="1:15" ht="12.75" customHeight="1" x14ac:dyDescent="0.3">
      <c r="A240" s="860"/>
      <c r="B240" s="860" t="s">
        <v>684</v>
      </c>
      <c r="C240" s="860"/>
      <c r="D240" s="860"/>
      <c r="E240" s="860"/>
      <c r="F240" s="860"/>
      <c r="G240" s="860" t="s">
        <v>685</v>
      </c>
      <c r="H240" s="860" t="s">
        <v>292</v>
      </c>
      <c r="I240" s="220" t="str">
        <f>IF(ISBLANK(input!I265),"",input!I265)</f>
        <v/>
      </c>
      <c r="O240" s="225" t="s">
        <v>4159</v>
      </c>
    </row>
    <row r="241" spans="1:15" ht="12.75" customHeight="1" x14ac:dyDescent="0.3">
      <c r="A241" s="860"/>
      <c r="B241" s="860" t="s">
        <v>686</v>
      </c>
      <c r="C241" s="860"/>
      <c r="D241" s="860"/>
      <c r="E241" s="860"/>
      <c r="F241" s="860"/>
      <c r="G241" s="860" t="s">
        <v>687</v>
      </c>
      <c r="H241" s="860" t="s">
        <v>4778</v>
      </c>
      <c r="I241" s="220" t="str">
        <f>IF(ISBLANK(input!I266),"",input!I266)</f>
        <v/>
      </c>
      <c r="O241" s="225" t="s">
        <v>4159</v>
      </c>
    </row>
    <row r="242" spans="1:15" ht="12.75" customHeight="1" x14ac:dyDescent="0.3">
      <c r="A242" s="790"/>
      <c r="B242" s="790" t="s">
        <v>688</v>
      </c>
      <c r="C242" s="790"/>
      <c r="D242" s="790"/>
      <c r="E242" s="790"/>
      <c r="F242" s="790"/>
      <c r="G242" s="790" t="s">
        <v>689</v>
      </c>
      <c r="H242" s="790" t="s">
        <v>690</v>
      </c>
      <c r="I242" s="220" t="str">
        <f>IF(ISBLANK(input!I267),"",input!I267)</f>
        <v/>
      </c>
      <c r="O242" s="225" t="s">
        <v>4159</v>
      </c>
    </row>
    <row r="243" spans="1:15" ht="12.75" customHeight="1" x14ac:dyDescent="0.3">
      <c r="A243" s="860"/>
      <c r="B243" s="860" t="s">
        <v>691</v>
      </c>
      <c r="C243" s="860"/>
      <c r="D243" s="860"/>
      <c r="E243" s="860"/>
      <c r="F243" s="860"/>
      <c r="G243" s="860" t="s">
        <v>692</v>
      </c>
      <c r="H243" s="860" t="s">
        <v>693</v>
      </c>
      <c r="I243" s="220" t="str">
        <f>IF(ISBLANK(input!I268),"",input!I268)</f>
        <v/>
      </c>
      <c r="O243" s="225" t="s">
        <v>4159</v>
      </c>
    </row>
    <row r="244" spans="1:15" ht="12.75" customHeight="1" x14ac:dyDescent="0.3">
      <c r="A244" s="860"/>
      <c r="B244" s="860" t="s">
        <v>694</v>
      </c>
      <c r="C244" s="860"/>
      <c r="D244" s="860"/>
      <c r="E244" s="860"/>
      <c r="F244" s="860"/>
      <c r="G244" s="860" t="s">
        <v>695</v>
      </c>
      <c r="H244" s="860" t="s">
        <v>279</v>
      </c>
      <c r="I244" s="220" t="str">
        <f>IF(ISBLANK(input!I269),"",input!I269)</f>
        <v/>
      </c>
      <c r="O244" s="225" t="s">
        <v>4159</v>
      </c>
    </row>
    <row r="245" spans="1:15" ht="12.75" customHeight="1" x14ac:dyDescent="0.3">
      <c r="A245" s="860"/>
      <c r="B245" s="860" t="s">
        <v>696</v>
      </c>
      <c r="C245" s="860"/>
      <c r="D245" s="860"/>
      <c r="E245" s="860"/>
      <c r="F245" s="860"/>
      <c r="G245" s="860" t="s">
        <v>697</v>
      </c>
      <c r="H245" s="860" t="s">
        <v>279</v>
      </c>
      <c r="I245" s="220" t="str">
        <f>IF(ISBLANK(input!I270),"",input!I270)</f>
        <v/>
      </c>
      <c r="O245" s="225" t="s">
        <v>4159</v>
      </c>
    </row>
    <row r="246" spans="1:15" ht="12.75" customHeight="1" x14ac:dyDescent="0.3">
      <c r="A246" s="860"/>
      <c r="B246" s="860" t="s">
        <v>698</v>
      </c>
      <c r="C246" s="860"/>
      <c r="D246" s="860"/>
      <c r="E246" s="860"/>
      <c r="F246" s="860"/>
      <c r="G246" s="860" t="s">
        <v>699</v>
      </c>
      <c r="H246" s="860" t="s">
        <v>292</v>
      </c>
      <c r="I246" s="220" t="str">
        <f>IF(ISBLANK(input!I271),"",input!I271)</f>
        <v/>
      </c>
      <c r="O246" s="225" t="s">
        <v>4159</v>
      </c>
    </row>
    <row r="247" spans="1:15" ht="12.75" customHeight="1" x14ac:dyDescent="0.3">
      <c r="A247" s="860"/>
      <c r="B247" s="860" t="s">
        <v>700</v>
      </c>
      <c r="C247" s="860"/>
      <c r="D247" s="860"/>
      <c r="E247" s="860"/>
      <c r="F247" s="860"/>
      <c r="G247" s="860" t="s">
        <v>701</v>
      </c>
      <c r="H247" s="860" t="s">
        <v>292</v>
      </c>
      <c r="I247" s="220" t="str">
        <f>IF(ISBLANK(input!I272),"",input!I272)</f>
        <v/>
      </c>
      <c r="O247" s="225" t="s">
        <v>4159</v>
      </c>
    </row>
    <row r="248" spans="1:15" ht="12.75" customHeight="1" x14ac:dyDescent="0.3">
      <c r="A248" s="860"/>
      <c r="B248" s="860" t="s">
        <v>702</v>
      </c>
      <c r="C248" s="860"/>
      <c r="D248" s="860"/>
      <c r="E248" s="860"/>
      <c r="F248" s="860"/>
      <c r="G248" s="860" t="s">
        <v>703</v>
      </c>
      <c r="H248" s="860" t="s">
        <v>292</v>
      </c>
      <c r="I248" s="220" t="str">
        <f>IF(ISBLANK(input!I273),"",input!I273)</f>
        <v/>
      </c>
      <c r="O248" s="225" t="s">
        <v>4159</v>
      </c>
    </row>
    <row r="249" spans="1:15" ht="12.75" customHeight="1" x14ac:dyDescent="0.3">
      <c r="A249" s="860"/>
      <c r="B249" s="860" t="s">
        <v>704</v>
      </c>
      <c r="C249" s="860"/>
      <c r="D249" s="860"/>
      <c r="E249" s="860"/>
      <c r="F249" s="860"/>
      <c r="G249" s="860" t="s">
        <v>705</v>
      </c>
      <c r="H249" s="860" t="s">
        <v>693</v>
      </c>
      <c r="I249" s="220" t="str">
        <f>IF(ISBLANK(input!I274),"",input!I274)</f>
        <v/>
      </c>
      <c r="J249" s="211"/>
      <c r="O249" s="225" t="s">
        <v>4159</v>
      </c>
    </row>
    <row r="250" spans="1:15" ht="12.75" customHeight="1" x14ac:dyDescent="0.3">
      <c r="A250" s="797"/>
      <c r="B250" s="797" t="s">
        <v>706</v>
      </c>
      <c r="C250" s="797"/>
      <c r="D250" s="797"/>
      <c r="E250" s="797"/>
      <c r="F250" s="797"/>
      <c r="G250" s="797" t="s">
        <v>707</v>
      </c>
      <c r="H250" s="796" t="s">
        <v>708</v>
      </c>
      <c r="I250" s="220" t="str">
        <f>IF(ISBLANK(input!I275),"",input!I275)</f>
        <v/>
      </c>
      <c r="J250" s="353"/>
      <c r="O250" s="225" t="s">
        <v>4159</v>
      </c>
    </row>
    <row r="251" spans="1:15" ht="12.75" customHeight="1" x14ac:dyDescent="0.3">
      <c r="A251" s="797"/>
      <c r="B251" s="797" t="s">
        <v>710</v>
      </c>
      <c r="C251" s="797"/>
      <c r="D251" s="797"/>
      <c r="E251" s="797"/>
      <c r="F251" s="797"/>
      <c r="G251" s="797" t="s">
        <v>711</v>
      </c>
      <c r="H251" s="796" t="s">
        <v>708</v>
      </c>
      <c r="I251" s="220" t="str">
        <f>IF(ISBLANK(input!I276),"",input!I276)</f>
        <v/>
      </c>
      <c r="J251" s="208"/>
      <c r="O251" s="225" t="s">
        <v>4159</v>
      </c>
    </row>
    <row r="252" spans="1:15" ht="12.75" customHeight="1" x14ac:dyDescent="0.3">
      <c r="A252" s="797"/>
      <c r="B252" s="797" t="s">
        <v>712</v>
      </c>
      <c r="C252" s="797"/>
      <c r="D252" s="797"/>
      <c r="E252" s="797"/>
      <c r="F252" s="797"/>
      <c r="G252" s="797" t="s">
        <v>713</v>
      </c>
      <c r="H252" s="796" t="s">
        <v>708</v>
      </c>
      <c r="I252" s="220" t="str">
        <f>IF(ISBLANK(input!I277),"",input!I277)</f>
        <v/>
      </c>
      <c r="O252" s="225" t="s">
        <v>4159</v>
      </c>
    </row>
    <row r="253" spans="1:15" ht="12.75" customHeight="1" x14ac:dyDescent="0.3">
      <c r="A253" s="789"/>
      <c r="B253" s="789" t="s">
        <v>714</v>
      </c>
      <c r="C253" s="994"/>
      <c r="D253" s="790"/>
      <c r="E253" s="790"/>
      <c r="F253" s="790"/>
      <c r="G253" s="801" t="s">
        <v>715</v>
      </c>
      <c r="H253" s="789" t="s">
        <v>716</v>
      </c>
      <c r="I253" s="220" t="str">
        <f>IF(ISBLANK(input!I278),"",input!I278)</f>
        <v/>
      </c>
      <c r="O253" s="225" t="s">
        <v>4159</v>
      </c>
    </row>
    <row r="254" spans="1:15" ht="12.75" customHeight="1" x14ac:dyDescent="0.3">
      <c r="A254" s="789"/>
      <c r="B254" s="789" t="s">
        <v>714</v>
      </c>
      <c r="C254" s="994"/>
      <c r="D254" s="790"/>
      <c r="E254" s="790"/>
      <c r="F254" s="790"/>
      <c r="G254" s="801" t="s">
        <v>718</v>
      </c>
      <c r="H254" s="789" t="s">
        <v>716</v>
      </c>
      <c r="I254" s="220" t="str">
        <f>IF(ISBLANK(input!I279),"",input!I279)</f>
        <v/>
      </c>
      <c r="O254" s="225" t="s">
        <v>4159</v>
      </c>
    </row>
    <row r="255" spans="1:15" ht="12.75" customHeight="1" x14ac:dyDescent="0.3">
      <c r="A255" s="789"/>
      <c r="B255" s="789" t="s">
        <v>714</v>
      </c>
      <c r="C255" s="994"/>
      <c r="D255" s="790"/>
      <c r="E255" s="790"/>
      <c r="F255" s="790"/>
      <c r="G255" s="801" t="s">
        <v>719</v>
      </c>
      <c r="H255" s="789" t="s">
        <v>716</v>
      </c>
      <c r="I255" s="220" t="str">
        <f>IF(ISBLANK(input!I280),"",input!I280)</f>
        <v/>
      </c>
      <c r="O255" s="225" t="s">
        <v>4159</v>
      </c>
    </row>
    <row r="256" spans="1:15" ht="12.75" customHeight="1" x14ac:dyDescent="0.3">
      <c r="A256" s="789"/>
      <c r="B256" s="789" t="s">
        <v>720</v>
      </c>
      <c r="C256" s="994"/>
      <c r="D256" s="790"/>
      <c r="E256" s="790"/>
      <c r="F256" s="790"/>
      <c r="G256" s="801" t="s">
        <v>721</v>
      </c>
      <c r="H256" s="789" t="s">
        <v>4785</v>
      </c>
      <c r="I256" s="220" t="str">
        <f>IF(ISBLANK(input!I281),"",input!I281)</f>
        <v/>
      </c>
      <c r="O256" s="225" t="s">
        <v>4159</v>
      </c>
    </row>
    <row r="257" spans="1:15" ht="12.75" customHeight="1" x14ac:dyDescent="0.3">
      <c r="A257" s="789"/>
      <c r="B257" s="789" t="s">
        <v>723</v>
      </c>
      <c r="C257" s="994"/>
      <c r="D257" s="790"/>
      <c r="E257" s="790"/>
      <c r="F257" s="790"/>
      <c r="G257" s="801" t="s">
        <v>724</v>
      </c>
      <c r="H257" s="789" t="s">
        <v>4785</v>
      </c>
      <c r="I257" s="220" t="str">
        <f>IF(ISBLANK(input!I282),"",input!I282)</f>
        <v/>
      </c>
      <c r="O257" s="225" t="s">
        <v>4159</v>
      </c>
    </row>
    <row r="258" spans="1:15" ht="12.75" customHeight="1" x14ac:dyDescent="0.3">
      <c r="A258" s="789"/>
      <c r="B258" s="789" t="s">
        <v>725</v>
      </c>
      <c r="C258" s="994"/>
      <c r="D258" s="790"/>
      <c r="E258" s="790"/>
      <c r="F258" s="790"/>
      <c r="G258" s="801" t="s">
        <v>726</v>
      </c>
      <c r="H258" s="789" t="s">
        <v>4785</v>
      </c>
      <c r="I258" s="220" t="str">
        <f>IF(ISBLANK(input!I283),"",input!I283)</f>
        <v/>
      </c>
      <c r="O258" s="225" t="s">
        <v>4159</v>
      </c>
    </row>
    <row r="259" spans="1:15" ht="12.75" customHeight="1" x14ac:dyDescent="0.3">
      <c r="A259" s="797"/>
      <c r="B259" s="797" t="s">
        <v>727</v>
      </c>
      <c r="C259" s="797"/>
      <c r="D259" s="797"/>
      <c r="E259" s="797"/>
      <c r="F259" s="797"/>
      <c r="G259" s="603" t="s">
        <v>728</v>
      </c>
      <c r="H259" s="796" t="s">
        <v>729</v>
      </c>
      <c r="I259" s="220" t="str">
        <f>IF(ISBLANK(input!I284),"",input!I284)</f>
        <v/>
      </c>
      <c r="O259" s="225" t="s">
        <v>4159</v>
      </c>
    </row>
    <row r="260" spans="1:15" ht="12.75" customHeight="1" x14ac:dyDescent="0.3">
      <c r="A260" s="789"/>
      <c r="B260" s="790"/>
      <c r="C260" s="789"/>
      <c r="D260" s="790"/>
      <c r="E260" s="790"/>
      <c r="F260" s="790"/>
      <c r="G260" s="801"/>
      <c r="H260" s="789"/>
      <c r="I260" s="220" t="str">
        <f>IF(ISBLANK(input!I285),"",input!I285)</f>
        <v/>
      </c>
      <c r="O260" s="225" t="s">
        <v>4159</v>
      </c>
    </row>
    <row r="261" spans="1:15" ht="12.75" customHeight="1" x14ac:dyDescent="0.3">
      <c r="A261" s="3" t="s">
        <v>211</v>
      </c>
      <c r="B261" s="860"/>
      <c r="C261" s="860"/>
      <c r="D261" s="860"/>
      <c r="E261" s="860"/>
      <c r="F261" s="860"/>
      <c r="G261" s="860"/>
      <c r="H261" s="860"/>
      <c r="I261" s="220" t="str">
        <f>IF(ISBLANK(input!I286),"",input!I286)</f>
        <v/>
      </c>
      <c r="O261" s="225" t="s">
        <v>4159</v>
      </c>
    </row>
    <row r="262" spans="1:15" ht="12.75" customHeight="1" x14ac:dyDescent="0.3">
      <c r="A262" s="860"/>
      <c r="B262" s="860" t="s">
        <v>670</v>
      </c>
      <c r="C262" s="860"/>
      <c r="D262" s="860"/>
      <c r="E262" s="860"/>
      <c r="F262" s="860"/>
      <c r="G262" s="860" t="s">
        <v>732</v>
      </c>
      <c r="H262" s="872" t="s">
        <v>4684</v>
      </c>
      <c r="I262" s="220" t="str">
        <f>IF(ISBLANK(input!I287),"",input!I287)</f>
        <v/>
      </c>
      <c r="O262" s="225" t="s">
        <v>4159</v>
      </c>
    </row>
    <row r="263" spans="1:15" ht="12.75" customHeight="1" x14ac:dyDescent="0.3">
      <c r="A263" s="860"/>
      <c r="B263" s="860" t="s">
        <v>674</v>
      </c>
      <c r="C263" s="860"/>
      <c r="D263" s="860"/>
      <c r="E263" s="860"/>
      <c r="F263" s="860"/>
      <c r="G263" s="860" t="s">
        <v>733</v>
      </c>
      <c r="H263" s="872" t="s">
        <v>4684</v>
      </c>
      <c r="I263" s="220" t="str">
        <f>IF(ISBLANK(input!I288),"",input!I288)</f>
        <v/>
      </c>
      <c r="O263" s="225" t="s">
        <v>4159</v>
      </c>
    </row>
    <row r="264" spans="1:15" ht="12.75" customHeight="1" x14ac:dyDescent="0.3">
      <c r="A264" s="860"/>
      <c r="B264" s="860" t="s">
        <v>678</v>
      </c>
      <c r="C264" s="860"/>
      <c r="D264" s="860"/>
      <c r="E264" s="860"/>
      <c r="F264" s="860"/>
      <c r="G264" s="860" t="s">
        <v>734</v>
      </c>
      <c r="H264" s="860" t="s">
        <v>292</v>
      </c>
      <c r="I264" s="220" t="str">
        <f>IF(ISBLANK(input!I291),"",input!I291)</f>
        <v/>
      </c>
      <c r="O264" s="225" t="s">
        <v>4159</v>
      </c>
    </row>
    <row r="265" spans="1:15" ht="12.75" customHeight="1" x14ac:dyDescent="0.3">
      <c r="A265" s="860"/>
      <c r="B265" s="860" t="s">
        <v>678</v>
      </c>
      <c r="C265" s="860"/>
      <c r="D265" s="860"/>
      <c r="E265" s="860"/>
      <c r="F265" s="860"/>
      <c r="G265" s="860" t="s">
        <v>735</v>
      </c>
      <c r="H265" s="860" t="s">
        <v>292</v>
      </c>
      <c r="I265" s="220" t="str">
        <f>IF(ISBLANK(input!I292),"",input!I292)</f>
        <v/>
      </c>
      <c r="O265" s="225" t="s">
        <v>4159</v>
      </c>
    </row>
    <row r="266" spans="1:15" ht="12.75" customHeight="1" x14ac:dyDescent="0.3">
      <c r="A266" s="860"/>
      <c r="B266" s="860" t="s">
        <v>680</v>
      </c>
      <c r="C266" s="860"/>
      <c r="D266" s="860"/>
      <c r="E266" s="860"/>
      <c r="F266" s="860"/>
      <c r="G266" s="860" t="s">
        <v>736</v>
      </c>
      <c r="H266" s="860" t="s">
        <v>292</v>
      </c>
      <c r="I266" s="220" t="str">
        <f>IF(ISBLANK(input!I293),"",input!I293)</f>
        <v/>
      </c>
      <c r="O266" s="225" t="s">
        <v>4159</v>
      </c>
    </row>
    <row r="267" spans="1:15" ht="12.75" customHeight="1" x14ac:dyDescent="0.3">
      <c r="A267" s="860"/>
      <c r="B267" s="860" t="s">
        <v>682</v>
      </c>
      <c r="C267" s="860"/>
      <c r="D267" s="860"/>
      <c r="E267" s="860"/>
      <c r="F267" s="860"/>
      <c r="G267" s="860" t="s">
        <v>737</v>
      </c>
      <c r="H267" s="860" t="s">
        <v>292</v>
      </c>
      <c r="I267" s="220" t="str">
        <f>IF(ISBLANK(input!I294),"",input!I294)</f>
        <v/>
      </c>
      <c r="O267" s="225" t="s">
        <v>4159</v>
      </c>
    </row>
    <row r="268" spans="1:15" ht="12.75" customHeight="1" x14ac:dyDescent="0.3">
      <c r="A268" s="860"/>
      <c r="B268" s="860" t="s">
        <v>684</v>
      </c>
      <c r="C268" s="860"/>
      <c r="D268" s="860"/>
      <c r="E268" s="860"/>
      <c r="F268" s="860"/>
      <c r="G268" s="860" t="s">
        <v>738</v>
      </c>
      <c r="H268" s="860" t="s">
        <v>292</v>
      </c>
      <c r="I268" s="220" t="str">
        <f>IF(ISBLANK(input!I295),"",input!I295)</f>
        <v/>
      </c>
      <c r="O268" s="225" t="s">
        <v>4159</v>
      </c>
    </row>
    <row r="269" spans="1:15" ht="12.75" customHeight="1" x14ac:dyDescent="0.3">
      <c r="A269" s="860"/>
      <c r="B269" s="860" t="s">
        <v>686</v>
      </c>
      <c r="C269" s="860"/>
      <c r="D269" s="860"/>
      <c r="E269" s="860"/>
      <c r="F269" s="860"/>
      <c r="G269" s="860" t="s">
        <v>739</v>
      </c>
      <c r="H269" s="860" t="s">
        <v>4778</v>
      </c>
      <c r="I269" s="220" t="str">
        <f>IF(ISBLANK(input!I296),"",input!I296)</f>
        <v/>
      </c>
      <c r="O269" s="225" t="s">
        <v>4159</v>
      </c>
    </row>
    <row r="270" spans="1:15" ht="12.75" customHeight="1" x14ac:dyDescent="0.3">
      <c r="A270" s="860"/>
      <c r="B270" s="860" t="s">
        <v>688</v>
      </c>
      <c r="C270" s="860"/>
      <c r="D270" s="860"/>
      <c r="E270" s="860"/>
      <c r="F270" s="860"/>
      <c r="G270" s="860" t="s">
        <v>740</v>
      </c>
      <c r="H270" s="860" t="s">
        <v>690</v>
      </c>
      <c r="I270" s="220" t="str">
        <f>IF(ISBLANK(input!I297),"",input!I297)</f>
        <v/>
      </c>
      <c r="O270" s="225" t="s">
        <v>4159</v>
      </c>
    </row>
    <row r="271" spans="1:15" ht="12.75" customHeight="1" x14ac:dyDescent="0.3">
      <c r="A271" s="860"/>
      <c r="B271" s="860" t="s">
        <v>691</v>
      </c>
      <c r="C271" s="860"/>
      <c r="D271" s="860"/>
      <c r="E271" s="860"/>
      <c r="F271" s="860"/>
      <c r="G271" s="860" t="s">
        <v>741</v>
      </c>
      <c r="H271" s="860" t="s">
        <v>693</v>
      </c>
      <c r="I271" s="220" t="str">
        <f>IF(ISBLANK(input!I298),"",input!I298)</f>
        <v/>
      </c>
      <c r="O271" s="225" t="s">
        <v>4159</v>
      </c>
    </row>
    <row r="272" spans="1:15" ht="12.75" customHeight="1" x14ac:dyDescent="0.3">
      <c r="A272" s="860"/>
      <c r="B272" s="860" t="s">
        <v>696</v>
      </c>
      <c r="C272" s="860"/>
      <c r="D272" s="860"/>
      <c r="E272" s="860"/>
      <c r="F272" s="860"/>
      <c r="G272" s="860" t="s">
        <v>742</v>
      </c>
      <c r="H272" s="860" t="s">
        <v>279</v>
      </c>
      <c r="I272" s="220" t="str">
        <f>IF(ISBLANK(input!I299),"",input!I299)</f>
        <v/>
      </c>
      <c r="O272" s="225" t="s">
        <v>4159</v>
      </c>
    </row>
    <row r="273" spans="1:15" ht="12.75" customHeight="1" x14ac:dyDescent="0.3">
      <c r="A273" s="860"/>
      <c r="B273" s="860" t="s">
        <v>696</v>
      </c>
      <c r="C273" s="860"/>
      <c r="D273" s="860"/>
      <c r="E273" s="860"/>
      <c r="F273" s="860"/>
      <c r="G273" s="860" t="s">
        <v>743</v>
      </c>
      <c r="H273" s="860" t="s">
        <v>279</v>
      </c>
      <c r="I273" s="220" t="str">
        <f>IF(ISBLANK(input!I300),"",input!I300)</f>
        <v/>
      </c>
      <c r="O273" s="225" t="s">
        <v>4159</v>
      </c>
    </row>
    <row r="274" spans="1:15" ht="12.75" customHeight="1" x14ac:dyDescent="0.3">
      <c r="A274" s="860"/>
      <c r="B274" s="860" t="s">
        <v>744</v>
      </c>
      <c r="C274" s="860"/>
      <c r="D274" s="860"/>
      <c r="E274" s="860"/>
      <c r="F274" s="860"/>
      <c r="G274" s="860" t="s">
        <v>745</v>
      </c>
      <c r="H274" s="860" t="s">
        <v>292</v>
      </c>
      <c r="I274" s="220" t="str">
        <f>IF(ISBLANK(input!I301),"",input!I301)</f>
        <v/>
      </c>
      <c r="O274" s="225" t="s">
        <v>4159</v>
      </c>
    </row>
    <row r="275" spans="1:15" ht="12.75" customHeight="1" x14ac:dyDescent="0.3">
      <c r="A275" s="860"/>
      <c r="B275" s="860" t="s">
        <v>702</v>
      </c>
      <c r="C275" s="860"/>
      <c r="D275" s="860"/>
      <c r="E275" s="860"/>
      <c r="F275" s="860"/>
      <c r="G275" s="860" t="s">
        <v>746</v>
      </c>
      <c r="H275" s="860" t="s">
        <v>292</v>
      </c>
      <c r="I275" s="220" t="str">
        <f>IF(ISBLANK(input!I302),"",input!I302)</f>
        <v/>
      </c>
      <c r="O275" s="225" t="s">
        <v>4159</v>
      </c>
    </row>
    <row r="276" spans="1:15" ht="12.75" customHeight="1" x14ac:dyDescent="0.3">
      <c r="A276" s="860"/>
      <c r="B276" s="860" t="s">
        <v>700</v>
      </c>
      <c r="C276" s="860"/>
      <c r="D276" s="860"/>
      <c r="E276" s="860"/>
      <c r="F276" s="860"/>
      <c r="G276" s="860" t="s">
        <v>747</v>
      </c>
      <c r="H276" s="860" t="s">
        <v>292</v>
      </c>
      <c r="I276" s="220" t="str">
        <f>IF(ISBLANK(input!I303),"",input!I303)</f>
        <v/>
      </c>
      <c r="O276" s="225" t="s">
        <v>4159</v>
      </c>
    </row>
    <row r="277" spans="1:15" ht="12.75" customHeight="1" x14ac:dyDescent="0.3">
      <c r="A277" s="860"/>
      <c r="B277" s="860" t="s">
        <v>704</v>
      </c>
      <c r="C277" s="860"/>
      <c r="D277" s="860"/>
      <c r="E277" s="860"/>
      <c r="F277" s="860"/>
      <c r="G277" s="860" t="s">
        <v>748</v>
      </c>
      <c r="H277" s="860" t="s">
        <v>693</v>
      </c>
      <c r="I277" s="220" t="str">
        <f>IF(ISBLANK(input!I304),"",input!I304)</f>
        <v/>
      </c>
      <c r="O277" s="225" t="s">
        <v>4159</v>
      </c>
    </row>
    <row r="278" spans="1:15" ht="12.75" customHeight="1" x14ac:dyDescent="0.3">
      <c r="A278" s="797"/>
      <c r="B278" s="797" t="s">
        <v>706</v>
      </c>
      <c r="C278" s="797"/>
      <c r="D278" s="797"/>
      <c r="E278" s="797"/>
      <c r="F278" s="797"/>
      <c r="G278" s="797" t="s">
        <v>749</v>
      </c>
      <c r="H278" s="796" t="s">
        <v>708</v>
      </c>
      <c r="I278" s="220" t="str">
        <f>IF(ISBLANK(input!I305),"",input!I305)</f>
        <v/>
      </c>
      <c r="O278" s="225" t="s">
        <v>4159</v>
      </c>
    </row>
    <row r="279" spans="1:15" ht="12.75" customHeight="1" x14ac:dyDescent="0.3">
      <c r="A279" s="797"/>
      <c r="B279" s="797" t="s">
        <v>710</v>
      </c>
      <c r="C279" s="797"/>
      <c r="D279" s="797"/>
      <c r="E279" s="797"/>
      <c r="F279" s="797"/>
      <c r="G279" s="797" t="s">
        <v>750</v>
      </c>
      <c r="H279" s="796" t="s">
        <v>708</v>
      </c>
      <c r="I279" s="220" t="str">
        <f>IF(ISBLANK(input!I306),"",input!I306)</f>
        <v/>
      </c>
      <c r="O279" s="225" t="s">
        <v>4159</v>
      </c>
    </row>
    <row r="280" spans="1:15" ht="12.75" customHeight="1" x14ac:dyDescent="0.3">
      <c r="A280" s="797"/>
      <c r="B280" s="797" t="s">
        <v>712</v>
      </c>
      <c r="C280" s="797"/>
      <c r="D280" s="797"/>
      <c r="E280" s="797"/>
      <c r="F280" s="797"/>
      <c r="G280" s="797" t="s">
        <v>751</v>
      </c>
      <c r="H280" s="796" t="s">
        <v>708</v>
      </c>
      <c r="I280" s="220" t="str">
        <f>IF(ISBLANK(input!I307),"",input!I307)</f>
        <v/>
      </c>
      <c r="O280" s="225" t="s">
        <v>4159</v>
      </c>
    </row>
    <row r="281" spans="1:15" ht="12.75" customHeight="1" x14ac:dyDescent="0.3">
      <c r="A281" s="821"/>
      <c r="B281" s="821" t="s">
        <v>714</v>
      </c>
      <c r="C281" s="994"/>
      <c r="D281" s="860"/>
      <c r="E281" s="860"/>
      <c r="F281" s="860"/>
      <c r="G281" s="872" t="s">
        <v>752</v>
      </c>
      <c r="H281" s="821" t="s">
        <v>716</v>
      </c>
      <c r="I281" s="220" t="str">
        <f>IF(ISBLANK(input!I308),"",input!I308)</f>
        <v/>
      </c>
      <c r="O281" s="225" t="s">
        <v>4159</v>
      </c>
    </row>
    <row r="282" spans="1:15" ht="12.75" customHeight="1" x14ac:dyDescent="0.3">
      <c r="A282" s="821"/>
      <c r="B282" s="821" t="s">
        <v>714</v>
      </c>
      <c r="C282" s="994"/>
      <c r="D282" s="860"/>
      <c r="E282" s="860"/>
      <c r="F282" s="860"/>
      <c r="G282" s="872" t="s">
        <v>753</v>
      </c>
      <c r="H282" s="821" t="s">
        <v>716</v>
      </c>
      <c r="I282" s="220" t="str">
        <f>IF(ISBLANK(input!I309),"",input!I309)</f>
        <v/>
      </c>
      <c r="O282" s="225" t="s">
        <v>4159</v>
      </c>
    </row>
    <row r="283" spans="1:15" ht="12.75" customHeight="1" x14ac:dyDescent="0.3">
      <c r="A283" s="821"/>
      <c r="B283" s="821" t="s">
        <v>714</v>
      </c>
      <c r="C283" s="994"/>
      <c r="D283" s="860"/>
      <c r="E283" s="860"/>
      <c r="F283" s="860"/>
      <c r="G283" s="872" t="s">
        <v>754</v>
      </c>
      <c r="H283" s="821" t="s">
        <v>716</v>
      </c>
      <c r="I283" s="220" t="str">
        <f>IF(ISBLANK(input!I310),"",input!I310)</f>
        <v/>
      </c>
      <c r="O283" s="225" t="s">
        <v>4159</v>
      </c>
    </row>
    <row r="284" spans="1:15" ht="12.75" customHeight="1" x14ac:dyDescent="0.3">
      <c r="A284" s="821"/>
      <c r="B284" s="821" t="s">
        <v>723</v>
      </c>
      <c r="C284" s="994"/>
      <c r="D284" s="860"/>
      <c r="E284" s="860"/>
      <c r="F284" s="860"/>
      <c r="G284" s="872" t="s">
        <v>755</v>
      </c>
      <c r="H284" s="821" t="s">
        <v>4785</v>
      </c>
      <c r="I284" s="220" t="str">
        <f>IF(ISBLANK(input!I311),"",input!I311)</f>
        <v/>
      </c>
      <c r="O284" s="225" t="s">
        <v>4159</v>
      </c>
    </row>
    <row r="285" spans="1:15" ht="12.75" customHeight="1" x14ac:dyDescent="0.3">
      <c r="A285" s="821"/>
      <c r="B285" s="821" t="s">
        <v>723</v>
      </c>
      <c r="C285" s="994"/>
      <c r="D285" s="860"/>
      <c r="E285" s="860"/>
      <c r="F285" s="860"/>
      <c r="G285" s="872" t="s">
        <v>756</v>
      </c>
      <c r="H285" s="821" t="s">
        <v>716</v>
      </c>
      <c r="I285" s="220" t="str">
        <f>IF(ISBLANK(input!I312),"",input!I312)</f>
        <v/>
      </c>
      <c r="O285" s="225" t="s">
        <v>4159</v>
      </c>
    </row>
    <row r="286" spans="1:15" ht="12.75" customHeight="1" x14ac:dyDescent="0.3">
      <c r="A286" s="821"/>
      <c r="B286" s="821" t="s">
        <v>725</v>
      </c>
      <c r="C286" s="994"/>
      <c r="D286" s="860"/>
      <c r="E286" s="860"/>
      <c r="F286" s="860"/>
      <c r="G286" s="872" t="s">
        <v>757</v>
      </c>
      <c r="H286" s="821" t="s">
        <v>716</v>
      </c>
      <c r="I286" s="220" t="str">
        <f>IF(ISBLANK(input!I313),"",input!I313)</f>
        <v/>
      </c>
      <c r="O286" s="225" t="s">
        <v>4159</v>
      </c>
    </row>
    <row r="287" spans="1:15" ht="12.75" customHeight="1" x14ac:dyDescent="0.3">
      <c r="A287" s="797"/>
      <c r="B287" s="797" t="s">
        <v>727</v>
      </c>
      <c r="C287" s="797"/>
      <c r="D287" s="797"/>
      <c r="E287" s="797"/>
      <c r="F287" s="797"/>
      <c r="G287" s="796" t="s">
        <v>758</v>
      </c>
      <c r="H287" s="796" t="s">
        <v>729</v>
      </c>
      <c r="I287" s="220" t="str">
        <f>IF(ISBLANK(input!I314),"",input!I314)</f>
        <v/>
      </c>
      <c r="O287" s="225" t="s">
        <v>4159</v>
      </c>
    </row>
    <row r="288" spans="1:15" ht="12.75" customHeight="1" x14ac:dyDescent="0.3">
      <c r="A288" s="860"/>
      <c r="B288" s="860"/>
      <c r="C288" s="860"/>
      <c r="D288" s="860"/>
      <c r="E288" s="860"/>
      <c r="F288" s="860"/>
      <c r="G288" s="860"/>
      <c r="H288" s="860"/>
      <c r="I288" s="220" t="str">
        <f>IF(ISBLANK(input!I315),"",input!I315)</f>
        <v/>
      </c>
      <c r="O288" s="225" t="s">
        <v>4159</v>
      </c>
    </row>
    <row r="289" spans="1:15" ht="12.75" customHeight="1" x14ac:dyDescent="0.3">
      <c r="A289" s="3" t="s">
        <v>759</v>
      </c>
      <c r="B289" s="860"/>
      <c r="C289" s="860"/>
      <c r="D289" s="860"/>
      <c r="E289" s="860"/>
      <c r="F289" s="860"/>
      <c r="G289" s="821"/>
      <c r="H289" s="862"/>
      <c r="I289" s="220" t="str">
        <f>IF(ISBLANK(input!I316),"",input!I316)</f>
        <v/>
      </c>
      <c r="O289" s="225" t="s">
        <v>4159</v>
      </c>
    </row>
    <row r="290" spans="1:15" ht="12.75" customHeight="1" x14ac:dyDescent="0.3">
      <c r="A290" s="797"/>
      <c r="B290" s="797" t="s">
        <v>760</v>
      </c>
      <c r="C290" s="797"/>
      <c r="D290" s="797"/>
      <c r="E290" s="797"/>
      <c r="F290" s="797"/>
      <c r="G290" s="796" t="s">
        <v>761</v>
      </c>
      <c r="H290" s="796" t="s">
        <v>291</v>
      </c>
      <c r="I290" s="220" t="str">
        <f>IF(ISBLANK(input!I317),"",input!I317)</f>
        <v/>
      </c>
      <c r="O290" s="225" t="s">
        <v>4159</v>
      </c>
    </row>
    <row r="291" spans="1:15" ht="12.75" customHeight="1" x14ac:dyDescent="0.3">
      <c r="A291" s="790"/>
      <c r="B291" s="790" t="s">
        <v>762</v>
      </c>
      <c r="C291" s="790"/>
      <c r="D291" s="790"/>
      <c r="E291" s="790"/>
      <c r="F291" s="790"/>
      <c r="G291" s="789" t="s">
        <v>763</v>
      </c>
      <c r="H291" s="789" t="s">
        <v>291</v>
      </c>
      <c r="I291" s="220" t="str">
        <f>IF(ISBLANK(input!I318),"",input!I318)</f>
        <v/>
      </c>
      <c r="O291" s="225" t="s">
        <v>4159</v>
      </c>
    </row>
    <row r="292" spans="1:15" ht="12.75" customHeight="1" x14ac:dyDescent="0.3">
      <c r="A292" s="790"/>
      <c r="B292" s="790" t="s">
        <v>765</v>
      </c>
      <c r="C292" s="790"/>
      <c r="D292" s="790"/>
      <c r="E292" s="790"/>
      <c r="F292" s="790"/>
      <c r="G292" s="789" t="s">
        <v>766</v>
      </c>
      <c r="H292" s="789" t="s">
        <v>291</v>
      </c>
      <c r="I292" s="220" t="str">
        <f>IF(ISBLANK(input!I319),"",input!I319)</f>
        <v/>
      </c>
      <c r="O292" s="225" t="s">
        <v>4159</v>
      </c>
    </row>
    <row r="293" spans="1:15" ht="12.75" customHeight="1" x14ac:dyDescent="0.3">
      <c r="A293" s="790"/>
      <c r="B293" s="790" t="s">
        <v>767</v>
      </c>
      <c r="C293" s="790"/>
      <c r="D293" s="790"/>
      <c r="E293" s="790"/>
      <c r="F293" s="790"/>
      <c r="G293" s="789" t="s">
        <v>768</v>
      </c>
      <c r="H293" s="789" t="s">
        <v>291</v>
      </c>
      <c r="I293" s="220" t="str">
        <f>IF(ISBLANK(input!I320),"",input!I320)</f>
        <v/>
      </c>
      <c r="O293" s="225" t="s">
        <v>4159</v>
      </c>
    </row>
    <row r="294" spans="1:15" ht="12.75" customHeight="1" x14ac:dyDescent="0.3">
      <c r="A294" s="790"/>
      <c r="B294" s="790" t="s">
        <v>769</v>
      </c>
      <c r="C294" s="790"/>
      <c r="D294" s="790"/>
      <c r="E294" s="790"/>
      <c r="F294" s="790"/>
      <c r="G294" s="789" t="s">
        <v>770</v>
      </c>
      <c r="H294" s="789" t="s">
        <v>291</v>
      </c>
      <c r="I294" s="220" t="str">
        <f>IF(ISBLANK(input!I321),"",input!I321)</f>
        <v/>
      </c>
      <c r="O294" s="225" t="s">
        <v>4159</v>
      </c>
    </row>
    <row r="295" spans="1:15" ht="12.75" customHeight="1" x14ac:dyDescent="0.3">
      <c r="A295" s="790"/>
      <c r="B295" s="790" t="s">
        <v>771</v>
      </c>
      <c r="C295" s="790"/>
      <c r="D295" s="790"/>
      <c r="E295" s="790"/>
      <c r="F295" s="790"/>
      <c r="G295" s="789" t="s">
        <v>772</v>
      </c>
      <c r="H295" s="789" t="s">
        <v>291</v>
      </c>
      <c r="I295" s="220" t="str">
        <f>IF(ISBLANK(input!I322),"",input!I322)</f>
        <v/>
      </c>
      <c r="O295" s="225" t="s">
        <v>4159</v>
      </c>
    </row>
    <row r="296" spans="1:15" ht="12.75" customHeight="1" x14ac:dyDescent="0.3">
      <c r="A296" s="790"/>
      <c r="B296" s="790" t="s">
        <v>773</v>
      </c>
      <c r="C296" s="790"/>
      <c r="D296" s="790"/>
      <c r="E296" s="790"/>
      <c r="F296" s="790"/>
      <c r="G296" s="789" t="s">
        <v>774</v>
      </c>
      <c r="H296" s="789" t="s">
        <v>291</v>
      </c>
      <c r="I296" s="220" t="str">
        <f>IF(ISBLANK(input!I323),"",input!I323)</f>
        <v/>
      </c>
      <c r="O296" s="225" t="s">
        <v>4159</v>
      </c>
    </row>
    <row r="297" spans="1:15" ht="12.75" customHeight="1" x14ac:dyDescent="0.3">
      <c r="A297" s="790"/>
      <c r="B297" s="790" t="s">
        <v>4885</v>
      </c>
      <c r="C297" s="790"/>
      <c r="D297" s="790"/>
      <c r="E297" s="790"/>
      <c r="F297" s="790"/>
      <c r="G297" s="789" t="s">
        <v>776</v>
      </c>
      <c r="H297" s="801" t="s">
        <v>4886</v>
      </c>
      <c r="I297" s="220" t="str">
        <f>IF(ISBLANK(input!I324),"",input!I324)</f>
        <v/>
      </c>
      <c r="O297" s="225" t="s">
        <v>4159</v>
      </c>
    </row>
    <row r="298" spans="1:15" ht="12.75" customHeight="1" x14ac:dyDescent="0.3">
      <c r="A298" s="790"/>
      <c r="B298" s="790" t="s">
        <v>4887</v>
      </c>
      <c r="C298" s="790"/>
      <c r="D298" s="790"/>
      <c r="E298" s="790"/>
      <c r="F298" s="790"/>
      <c r="G298" s="789" t="s">
        <v>780</v>
      </c>
      <c r="H298" s="801" t="s">
        <v>4886</v>
      </c>
      <c r="I298" s="220" t="str">
        <f>IF(ISBLANK(input!I325),"",input!I325)</f>
        <v/>
      </c>
      <c r="O298" s="225" t="s">
        <v>4159</v>
      </c>
    </row>
    <row r="299" spans="1:15" ht="12.75" customHeight="1" x14ac:dyDescent="0.3">
      <c r="A299" s="790"/>
      <c r="B299" s="790" t="s">
        <v>781</v>
      </c>
      <c r="C299" s="790"/>
      <c r="D299" s="790"/>
      <c r="E299" s="790"/>
      <c r="F299" s="790"/>
      <c r="G299" s="790" t="s">
        <v>782</v>
      </c>
      <c r="H299" s="790" t="s">
        <v>291</v>
      </c>
      <c r="I299" s="220" t="str">
        <f>IF(ISBLANK(input!I326),"",input!I326)</f>
        <v/>
      </c>
      <c r="O299" s="225" t="s">
        <v>4159</v>
      </c>
    </row>
    <row r="300" spans="1:15" ht="12.75" customHeight="1" x14ac:dyDescent="0.3">
      <c r="A300" s="789"/>
      <c r="B300" s="789" t="s">
        <v>783</v>
      </c>
      <c r="C300" s="790"/>
      <c r="D300" s="790"/>
      <c r="E300" s="801"/>
      <c r="F300" s="801"/>
      <c r="G300" s="790" t="s">
        <v>784</v>
      </c>
      <c r="H300" s="789" t="s">
        <v>291</v>
      </c>
      <c r="I300" s="220" t="str">
        <f>IF(ISBLANK(input!I327),"",input!I327)</f>
        <v/>
      </c>
      <c r="O300" s="225" t="s">
        <v>4159</v>
      </c>
    </row>
    <row r="301" spans="1:15" ht="12.75" customHeight="1" x14ac:dyDescent="0.3">
      <c r="A301" s="790"/>
      <c r="B301" s="790" t="s">
        <v>785</v>
      </c>
      <c r="C301" s="790"/>
      <c r="D301" s="790"/>
      <c r="E301" s="790"/>
      <c r="F301" s="790"/>
      <c r="G301" s="790" t="s">
        <v>786</v>
      </c>
      <c r="H301" s="789" t="s">
        <v>4888</v>
      </c>
      <c r="I301" s="220" t="str">
        <f>IF(ISBLANK(input!I328),"",input!I328)</f>
        <v/>
      </c>
      <c r="O301" s="225" t="s">
        <v>4159</v>
      </c>
    </row>
    <row r="302" spans="1:15" ht="12.75" customHeight="1" x14ac:dyDescent="0.3">
      <c r="A302" s="789"/>
      <c r="B302" s="789" t="s">
        <v>788</v>
      </c>
      <c r="C302" s="801"/>
      <c r="D302" s="801"/>
      <c r="E302" s="790"/>
      <c r="F302" s="790"/>
      <c r="G302" s="790" t="s">
        <v>789</v>
      </c>
      <c r="H302" s="789" t="s">
        <v>4888</v>
      </c>
      <c r="I302" s="220" t="str">
        <f>IF(ISBLANK(input!I329),"",input!I329)</f>
        <v/>
      </c>
      <c r="O302" s="225" t="s">
        <v>4159</v>
      </c>
    </row>
    <row r="303" spans="1:15" ht="12.75" customHeight="1" x14ac:dyDescent="0.3">
      <c r="A303" s="797"/>
      <c r="B303" s="797" t="s">
        <v>790</v>
      </c>
      <c r="C303" s="797"/>
      <c r="D303" s="797"/>
      <c r="E303" s="797"/>
      <c r="F303" s="797"/>
      <c r="G303" s="797" t="s">
        <v>791</v>
      </c>
      <c r="H303" s="797" t="s">
        <v>4889</v>
      </c>
      <c r="I303" s="220" t="str">
        <f>IF(ISBLANK(input!I330),"",input!I330)</f>
        <v/>
      </c>
      <c r="O303" s="225" t="s">
        <v>4159</v>
      </c>
    </row>
    <row r="304" spans="1:15" ht="12.75" customHeight="1" x14ac:dyDescent="0.3">
      <c r="A304" s="797"/>
      <c r="B304" s="797" t="s">
        <v>794</v>
      </c>
      <c r="C304" s="797"/>
      <c r="D304" s="797"/>
      <c r="E304" s="797"/>
      <c r="F304" s="797"/>
      <c r="G304" s="796" t="s">
        <v>795</v>
      </c>
      <c r="H304" s="796" t="s">
        <v>282</v>
      </c>
      <c r="I304" s="220" t="str">
        <f>IF(ISBLANK(input!I331),"",input!I331)</f>
        <v/>
      </c>
      <c r="O304" s="225" t="s">
        <v>4159</v>
      </c>
    </row>
    <row r="305" spans="1:26" ht="12.75" customHeight="1" x14ac:dyDescent="0.3">
      <c r="A305" s="797"/>
      <c r="B305" s="797" t="s">
        <v>796</v>
      </c>
      <c r="C305" s="797"/>
      <c r="D305" s="797"/>
      <c r="E305" s="797"/>
      <c r="F305" s="797"/>
      <c r="G305" s="796" t="s">
        <v>797</v>
      </c>
      <c r="H305" s="797" t="s">
        <v>4890</v>
      </c>
      <c r="I305" s="220" t="str">
        <f>IF(ISBLANK(input!I332),"",input!I332)</f>
        <v/>
      </c>
      <c r="O305" s="225" t="s">
        <v>4159</v>
      </c>
    </row>
    <row r="306" spans="1:26" ht="12.75" customHeight="1" x14ac:dyDescent="0.3">
      <c r="A306" s="797"/>
      <c r="B306" s="797" t="s">
        <v>800</v>
      </c>
      <c r="C306" s="797"/>
      <c r="D306" s="797"/>
      <c r="E306" s="797"/>
      <c r="F306" s="797"/>
      <c r="G306" s="796" t="s">
        <v>801</v>
      </c>
      <c r="H306" s="796" t="s">
        <v>4888</v>
      </c>
      <c r="I306" s="220" t="str">
        <f>IF(ISBLANK(input!I333),"",input!I333)</f>
        <v/>
      </c>
      <c r="O306" s="225" t="s">
        <v>4159</v>
      </c>
    </row>
    <row r="307" spans="1:26" ht="12.75" customHeight="1" x14ac:dyDescent="0.3">
      <c r="A307" s="797"/>
      <c r="B307" s="797" t="s">
        <v>802</v>
      </c>
      <c r="C307" s="797"/>
      <c r="D307" s="797"/>
      <c r="E307" s="797"/>
      <c r="F307" s="797"/>
      <c r="G307" s="797" t="s">
        <v>803</v>
      </c>
      <c r="H307" s="797" t="s">
        <v>4891</v>
      </c>
      <c r="I307" s="220" t="str">
        <f>IF(ISBLANK(input!I334),"",input!I334)</f>
        <v/>
      </c>
      <c r="O307" s="225" t="s">
        <v>4159</v>
      </c>
    </row>
    <row r="308" spans="1:26" ht="12.75" customHeight="1" x14ac:dyDescent="0.3">
      <c r="A308" s="797"/>
      <c r="B308" s="797" t="s">
        <v>806</v>
      </c>
      <c r="C308" s="797"/>
      <c r="D308" s="797"/>
      <c r="E308" s="797"/>
      <c r="F308" s="797"/>
      <c r="G308" s="797" t="s">
        <v>807</v>
      </c>
      <c r="H308" s="797" t="s">
        <v>4892</v>
      </c>
      <c r="I308" s="220" t="str">
        <f>IF(ISBLANK(input!I335),"",input!I335)</f>
        <v/>
      </c>
      <c r="O308" s="225" t="s">
        <v>4159</v>
      </c>
    </row>
    <row r="309" spans="1:26" ht="12.75" customHeight="1" x14ac:dyDescent="0.3">
      <c r="A309" s="797"/>
      <c r="B309" s="797"/>
      <c r="C309" s="797"/>
      <c r="D309" s="797"/>
      <c r="E309" s="797"/>
      <c r="F309" s="797"/>
      <c r="G309" s="797"/>
      <c r="H309" s="797"/>
      <c r="I309" s="220" t="str">
        <f>IF(ISBLANK(input!I336),"",input!I336)</f>
        <v/>
      </c>
      <c r="O309" s="225" t="s">
        <v>4159</v>
      </c>
    </row>
    <row r="310" spans="1:26" ht="12.75" customHeight="1" x14ac:dyDescent="0.3">
      <c r="A310" s="492" t="s">
        <v>810</v>
      </c>
      <c r="B310" s="492"/>
      <c r="C310" s="492"/>
      <c r="D310" s="492"/>
      <c r="E310" s="492"/>
      <c r="F310" s="492"/>
      <c r="G310" s="492"/>
      <c r="H310" s="492"/>
      <c r="I310" s="220" t="str">
        <f>IF(ISBLANK(input!I337),"",input!I337)</f>
        <v/>
      </c>
      <c r="O310" s="225" t="s">
        <v>4159</v>
      </c>
    </row>
    <row r="311" spans="1:26" ht="12.75" customHeight="1" x14ac:dyDescent="0.3">
      <c r="A311" s="797"/>
      <c r="B311" s="797" t="s">
        <v>811</v>
      </c>
      <c r="C311" s="797"/>
      <c r="D311" s="797"/>
      <c r="E311" s="797"/>
      <c r="F311" s="797"/>
      <c r="G311" s="601" t="s">
        <v>812</v>
      </c>
      <c r="H311" s="796" t="s">
        <v>278</v>
      </c>
      <c r="I311" s="220" t="str">
        <f>IF(ISBLANK(input!I338),"",input!I338)</f>
        <v/>
      </c>
      <c r="O311" s="225" t="s">
        <v>4159</v>
      </c>
    </row>
    <row r="312" spans="1:26" ht="12.75" customHeight="1" x14ac:dyDescent="0.3">
      <c r="A312" s="797"/>
      <c r="B312" s="797" t="s">
        <v>814</v>
      </c>
      <c r="C312" s="797"/>
      <c r="D312" s="797"/>
      <c r="E312" s="797"/>
      <c r="F312" s="797"/>
      <c r="G312" s="601" t="s">
        <v>815</v>
      </c>
      <c r="H312" s="796" t="s">
        <v>282</v>
      </c>
      <c r="I312" s="220" t="str">
        <f>IF(ISBLANK(input!I339),"",input!I339)</f>
        <v/>
      </c>
      <c r="O312" s="225" t="s">
        <v>4159</v>
      </c>
    </row>
    <row r="313" spans="1:26" ht="12.75" customHeight="1" x14ac:dyDescent="0.3">
      <c r="A313" s="797"/>
      <c r="B313" s="797" t="s">
        <v>817</v>
      </c>
      <c r="C313" s="797"/>
      <c r="D313" s="797"/>
      <c r="E313" s="797"/>
      <c r="F313" s="797"/>
      <c r="G313" s="601" t="s">
        <v>818</v>
      </c>
      <c r="H313" s="796" t="s">
        <v>278</v>
      </c>
      <c r="I313" s="220" t="str">
        <f>IF(ISBLANK(input!I340),"",input!I340)</f>
        <v/>
      </c>
      <c r="O313" s="225" t="s">
        <v>4159</v>
      </c>
    </row>
    <row r="314" spans="1:26" ht="12.75" customHeight="1" x14ac:dyDescent="0.3">
      <c r="A314" s="797"/>
      <c r="B314" s="797" t="s">
        <v>819</v>
      </c>
      <c r="C314" s="797"/>
      <c r="D314" s="797"/>
      <c r="E314" s="797"/>
      <c r="F314" s="797"/>
      <c r="G314" s="601" t="s">
        <v>820</v>
      </c>
      <c r="H314" s="796" t="s">
        <v>282</v>
      </c>
      <c r="I314" s="220" t="str">
        <f>IF(ISBLANK(input!I341),"",input!I341)</f>
        <v/>
      </c>
      <c r="O314" s="225" t="s">
        <v>4159</v>
      </c>
    </row>
    <row r="315" spans="1:26" ht="12.75" customHeight="1" x14ac:dyDescent="0.3">
      <c r="A315" s="797"/>
      <c r="B315" s="797" t="s">
        <v>821</v>
      </c>
      <c r="C315" s="797"/>
      <c r="D315" s="797"/>
      <c r="E315" s="797"/>
      <c r="F315" s="797"/>
      <c r="G315" s="601" t="s">
        <v>822</v>
      </c>
      <c r="H315" s="797" t="s">
        <v>4893</v>
      </c>
      <c r="I315" s="220" t="str">
        <f>IF(ISBLANK(input!I342),"",input!I342)</f>
        <v/>
      </c>
      <c r="O315" s="225" t="s">
        <v>4159</v>
      </c>
    </row>
    <row r="316" spans="1:26" ht="12.75" customHeight="1" x14ac:dyDescent="0.3">
      <c r="A316" s="797"/>
      <c r="B316" s="797" t="s">
        <v>824</v>
      </c>
      <c r="C316" s="797"/>
      <c r="D316" s="797"/>
      <c r="E316" s="797"/>
      <c r="F316" s="797"/>
      <c r="G316" s="601" t="s">
        <v>825</v>
      </c>
      <c r="H316" s="796" t="s">
        <v>282</v>
      </c>
      <c r="I316" s="220" t="str">
        <f>IF(ISBLANK(input!I343),"",input!I343)</f>
        <v/>
      </c>
      <c r="O316" s="225" t="s">
        <v>4159</v>
      </c>
    </row>
    <row r="317" spans="1:26" ht="12.75" customHeight="1" x14ac:dyDescent="0.3">
      <c r="A317" s="797"/>
      <c r="B317" s="797" t="s">
        <v>826</v>
      </c>
      <c r="C317" s="797"/>
      <c r="D317" s="797"/>
      <c r="E317" s="797"/>
      <c r="F317" s="797"/>
      <c r="G317" s="601" t="s">
        <v>827</v>
      </c>
      <c r="H317" s="797" t="s">
        <v>278</v>
      </c>
      <c r="I317" s="220" t="str">
        <f>IF(ISBLANK(input!I344),"",input!I344)</f>
        <v/>
      </c>
      <c r="O317" s="225" t="s">
        <v>4159</v>
      </c>
    </row>
    <row r="318" spans="1:26" s="11" customFormat="1" ht="12.75" customHeight="1" x14ac:dyDescent="0.3">
      <c r="A318" s="797"/>
      <c r="B318" s="797" t="s">
        <v>829</v>
      </c>
      <c r="C318" s="797"/>
      <c r="D318" s="797"/>
      <c r="E318" s="797"/>
      <c r="F318" s="797"/>
      <c r="G318" s="601" t="s">
        <v>830</v>
      </c>
      <c r="H318" s="796" t="s">
        <v>282</v>
      </c>
      <c r="I318" s="220" t="str">
        <f>IF(ISBLANK(input!I345),"",input!I345)</f>
        <v/>
      </c>
      <c r="J318" s="645"/>
      <c r="K318" s="646"/>
      <c r="L318" s="646"/>
      <c r="M318" s="644"/>
      <c r="N318" s="644"/>
      <c r="O318" s="207" t="s">
        <v>4159</v>
      </c>
      <c r="P318" s="207"/>
      <c r="Q318" s="207"/>
      <c r="R318" s="207"/>
      <c r="S318" s="211"/>
      <c r="T318" s="211"/>
      <c r="U318" s="211"/>
      <c r="V318" s="211"/>
      <c r="W318" s="211"/>
      <c r="X318" s="211"/>
      <c r="Y318" s="211"/>
      <c r="Z318" s="207"/>
    </row>
    <row r="319" spans="1:26" s="11" customFormat="1" ht="12.75" customHeight="1" x14ac:dyDescent="0.3">
      <c r="A319" s="797"/>
      <c r="B319" s="797" t="s">
        <v>831</v>
      </c>
      <c r="C319" s="797"/>
      <c r="D319" s="797"/>
      <c r="E319" s="797"/>
      <c r="F319" s="797"/>
      <c r="G319" s="601" t="s">
        <v>832</v>
      </c>
      <c r="H319" s="797" t="s">
        <v>4893</v>
      </c>
      <c r="I319" s="220" t="str">
        <f>IF(ISBLANK(input!I346),"",input!I346)</f>
        <v/>
      </c>
      <c r="J319" s="645"/>
      <c r="K319" s="646"/>
      <c r="L319" s="646"/>
      <c r="M319" s="644"/>
      <c r="N319" s="644"/>
      <c r="O319" s="207" t="s">
        <v>4159</v>
      </c>
      <c r="P319" s="207"/>
      <c r="Q319" s="207"/>
      <c r="R319" s="207"/>
      <c r="S319" s="211"/>
      <c r="T319" s="211"/>
      <c r="U319" s="211"/>
      <c r="V319" s="211"/>
      <c r="W319" s="211"/>
      <c r="X319" s="211"/>
      <c r="Y319" s="211"/>
      <c r="Z319" s="207"/>
    </row>
    <row r="320" spans="1:26" ht="12.75" customHeight="1" x14ac:dyDescent="0.3">
      <c r="A320" s="797"/>
      <c r="B320" s="797" t="s">
        <v>833</v>
      </c>
      <c r="C320" s="797"/>
      <c r="D320" s="797"/>
      <c r="E320" s="797"/>
      <c r="F320" s="797"/>
      <c r="G320" s="601" t="s">
        <v>834</v>
      </c>
      <c r="H320" s="796" t="s">
        <v>282</v>
      </c>
      <c r="I320" s="220" t="str">
        <f>IF(ISBLANK(input!I347),"",input!I347)</f>
        <v/>
      </c>
      <c r="O320" s="225" t="s">
        <v>4159</v>
      </c>
    </row>
    <row r="321" spans="1:15" ht="12.75" customHeight="1" x14ac:dyDescent="0.3">
      <c r="A321" s="797"/>
      <c r="B321" s="797" t="s">
        <v>836</v>
      </c>
      <c r="C321" s="797"/>
      <c r="D321" s="797"/>
      <c r="E321" s="797"/>
      <c r="F321" s="797"/>
      <c r="G321" s="601" t="s">
        <v>837</v>
      </c>
      <c r="H321" s="797" t="s">
        <v>278</v>
      </c>
      <c r="I321" s="220" t="str">
        <f>IF(ISBLANK(input!I348),"",input!I348)</f>
        <v/>
      </c>
      <c r="O321" s="225" t="s">
        <v>4159</v>
      </c>
    </row>
    <row r="322" spans="1:15" ht="12.75" customHeight="1" x14ac:dyDescent="0.3">
      <c r="A322" s="797"/>
      <c r="B322" s="797" t="s">
        <v>838</v>
      </c>
      <c r="C322" s="797"/>
      <c r="D322" s="797"/>
      <c r="E322" s="797"/>
      <c r="F322" s="797"/>
      <c r="G322" s="601" t="s">
        <v>839</v>
      </c>
      <c r="H322" s="796" t="s">
        <v>282</v>
      </c>
      <c r="I322" s="220" t="str">
        <f>IF(ISBLANK(input!I349),"",input!I349)</f>
        <v/>
      </c>
      <c r="O322" s="225" t="s">
        <v>4159</v>
      </c>
    </row>
    <row r="323" spans="1:15" ht="12.75" customHeight="1" x14ac:dyDescent="0.3">
      <c r="A323" s="797"/>
      <c r="B323" s="797" t="s">
        <v>840</v>
      </c>
      <c r="C323" s="797"/>
      <c r="D323" s="797"/>
      <c r="E323" s="797"/>
      <c r="F323" s="797"/>
      <c r="G323" s="601" t="s">
        <v>841</v>
      </c>
      <c r="H323" s="797" t="s">
        <v>4893</v>
      </c>
      <c r="I323" s="220" t="str">
        <f>IF(ISBLANK(input!I350),"",input!I350)</f>
        <v/>
      </c>
      <c r="O323" s="225" t="s">
        <v>4159</v>
      </c>
    </row>
    <row r="324" spans="1:15" ht="12.75" customHeight="1" x14ac:dyDescent="0.3">
      <c r="A324" s="797"/>
      <c r="B324" s="797" t="s">
        <v>843</v>
      </c>
      <c r="C324" s="797"/>
      <c r="D324" s="797"/>
      <c r="E324" s="797"/>
      <c r="F324" s="797"/>
      <c r="G324" s="601" t="s">
        <v>844</v>
      </c>
      <c r="H324" s="797" t="s">
        <v>278</v>
      </c>
      <c r="I324" s="220" t="str">
        <f>IF(ISBLANK(input!I351),"",input!I351)</f>
        <v/>
      </c>
      <c r="O324" s="225" t="s">
        <v>4159</v>
      </c>
    </row>
    <row r="325" spans="1:15" ht="12.75" customHeight="1" x14ac:dyDescent="0.3">
      <c r="A325" s="797"/>
      <c r="B325" s="797" t="s">
        <v>846</v>
      </c>
      <c r="C325" s="797"/>
      <c r="D325" s="797"/>
      <c r="E325" s="797"/>
      <c r="F325" s="797"/>
      <c r="G325" s="601" t="s">
        <v>847</v>
      </c>
      <c r="H325" s="796" t="s">
        <v>282</v>
      </c>
      <c r="I325" s="220" t="str">
        <f>IF(ISBLANK(input!I352),"",input!I352)</f>
        <v/>
      </c>
      <c r="O325" s="225" t="s">
        <v>4159</v>
      </c>
    </row>
    <row r="326" spans="1:15" ht="12.75" customHeight="1" x14ac:dyDescent="0.3">
      <c r="A326" s="797"/>
      <c r="B326" s="797" t="s">
        <v>848</v>
      </c>
      <c r="C326" s="797"/>
      <c r="D326" s="797"/>
      <c r="E326" s="797"/>
      <c r="F326" s="797"/>
      <c r="G326" s="601" t="s">
        <v>849</v>
      </c>
      <c r="H326" s="797" t="s">
        <v>4893</v>
      </c>
      <c r="I326" s="220" t="str">
        <f>IF(ISBLANK(input!I353),"",input!I353)</f>
        <v/>
      </c>
      <c r="O326" s="225" t="s">
        <v>4159</v>
      </c>
    </row>
    <row r="327" spans="1:15" ht="12.75" customHeight="1" x14ac:dyDescent="0.3">
      <c r="A327" s="797"/>
      <c r="B327" s="797" t="s">
        <v>851</v>
      </c>
      <c r="C327" s="797"/>
      <c r="D327" s="797"/>
      <c r="E327" s="797"/>
      <c r="F327" s="797"/>
      <c r="G327" s="601" t="s">
        <v>852</v>
      </c>
      <c r="H327" s="796" t="s">
        <v>282</v>
      </c>
      <c r="I327" s="220" t="str">
        <f>IF(ISBLANK(input!I354),"",input!I354)</f>
        <v/>
      </c>
      <c r="O327" s="225" t="s">
        <v>4159</v>
      </c>
    </row>
    <row r="328" spans="1:15" ht="12.75" customHeight="1" x14ac:dyDescent="0.3">
      <c r="A328" s="797"/>
      <c r="B328" s="797"/>
      <c r="C328" s="797"/>
      <c r="D328" s="797"/>
      <c r="E328" s="797"/>
      <c r="F328" s="797"/>
      <c r="G328" s="601"/>
      <c r="H328" s="796"/>
      <c r="I328" s="220" t="str">
        <f>IF(ISBLANK(input!I355),"",input!I355)</f>
        <v/>
      </c>
      <c r="O328" s="225" t="s">
        <v>4159</v>
      </c>
    </row>
    <row r="329" spans="1:15" ht="12.75" customHeight="1" x14ac:dyDescent="0.3">
      <c r="A329" s="492" t="s">
        <v>854</v>
      </c>
      <c r="B329" s="797"/>
      <c r="C329" s="797"/>
      <c r="D329" s="797"/>
      <c r="E329" s="797"/>
      <c r="F329" s="797"/>
      <c r="G329" s="601"/>
      <c r="H329" s="796"/>
      <c r="I329" s="220" t="str">
        <f>IF(ISBLANK(input!I356),"",input!I356)</f>
        <v/>
      </c>
      <c r="O329" s="225" t="s">
        <v>4159</v>
      </c>
    </row>
    <row r="330" spans="1:15" ht="12.75" customHeight="1" x14ac:dyDescent="0.3">
      <c r="A330" s="797"/>
      <c r="B330" s="797"/>
      <c r="C330" s="797" t="s">
        <v>855</v>
      </c>
      <c r="D330" s="797"/>
      <c r="E330" s="797"/>
      <c r="F330" s="797"/>
      <c r="G330" s="797" t="s">
        <v>856</v>
      </c>
      <c r="H330" s="796" t="s">
        <v>857</v>
      </c>
      <c r="I330" s="220" t="str">
        <f>IF(ISBLANK(input!I357),"",input!I357)</f>
        <v/>
      </c>
      <c r="O330" s="225" t="s">
        <v>4159</v>
      </c>
    </row>
    <row r="331" spans="1:15" ht="12.75" customHeight="1" x14ac:dyDescent="0.3">
      <c r="A331" s="797"/>
      <c r="B331" s="797"/>
      <c r="C331" s="797" t="s">
        <v>858</v>
      </c>
      <c r="D331" s="797"/>
      <c r="E331" s="797"/>
      <c r="F331" s="797"/>
      <c r="G331" s="797" t="s">
        <v>859</v>
      </c>
      <c r="H331" s="796" t="s">
        <v>857</v>
      </c>
      <c r="I331" s="220" t="str">
        <f>IF(ISBLANK(input!I358),"",input!I358)</f>
        <v/>
      </c>
      <c r="O331" s="225" t="s">
        <v>4159</v>
      </c>
    </row>
    <row r="332" spans="1:15" ht="12.75" customHeight="1" x14ac:dyDescent="0.3">
      <c r="A332" s="797"/>
      <c r="B332" s="797"/>
      <c r="C332" s="797" t="s">
        <v>860</v>
      </c>
      <c r="D332" s="797"/>
      <c r="E332" s="797"/>
      <c r="F332" s="797"/>
      <c r="G332" s="797" t="s">
        <v>861</v>
      </c>
      <c r="H332" s="796" t="s">
        <v>857</v>
      </c>
      <c r="I332" s="220" t="str">
        <f>IF(ISBLANK(input!I359),"",input!I359)</f>
        <v/>
      </c>
      <c r="O332" s="225" t="s">
        <v>4159</v>
      </c>
    </row>
    <row r="333" spans="1:15" ht="12.75" customHeight="1" x14ac:dyDescent="0.3">
      <c r="A333" s="797"/>
      <c r="B333" s="797"/>
      <c r="C333" s="797" t="s">
        <v>862</v>
      </c>
      <c r="D333" s="797"/>
      <c r="E333" s="797"/>
      <c r="F333" s="797"/>
      <c r="G333" s="797" t="s">
        <v>863</v>
      </c>
      <c r="H333" s="796" t="s">
        <v>857</v>
      </c>
      <c r="I333" s="220" t="str">
        <f>IF(ISBLANK(input!I360),"",input!I360)</f>
        <v/>
      </c>
      <c r="O333" s="225" t="s">
        <v>4159</v>
      </c>
    </row>
    <row r="334" spans="1:15" ht="12.75" customHeight="1" x14ac:dyDescent="0.3">
      <c r="A334" s="797"/>
      <c r="B334" s="797"/>
      <c r="C334" s="797" t="s">
        <v>864</v>
      </c>
      <c r="D334" s="797"/>
      <c r="E334" s="797"/>
      <c r="F334" s="797"/>
      <c r="G334" s="797" t="s">
        <v>865</v>
      </c>
      <c r="H334" s="797" t="s">
        <v>866</v>
      </c>
      <c r="I334" s="220" t="str">
        <f>IF(ISBLANK(input!I361),"",input!I361)</f>
        <v/>
      </c>
      <c r="O334" s="225" t="s">
        <v>4159</v>
      </c>
    </row>
    <row r="335" spans="1:15" ht="12.75" customHeight="1" x14ac:dyDescent="0.3">
      <c r="A335" s="797"/>
      <c r="B335" s="797"/>
      <c r="C335" s="797" t="s">
        <v>867</v>
      </c>
      <c r="D335" s="797"/>
      <c r="E335" s="797"/>
      <c r="F335" s="797"/>
      <c r="G335" s="797" t="s">
        <v>868</v>
      </c>
      <c r="H335" s="796" t="s">
        <v>857</v>
      </c>
      <c r="I335" s="220" t="str">
        <f>IF(ISBLANK(input!I362),"",input!I362)</f>
        <v/>
      </c>
      <c r="O335" s="225" t="s">
        <v>4159</v>
      </c>
    </row>
    <row r="336" spans="1:15" ht="12.75" customHeight="1" x14ac:dyDescent="0.3">
      <c r="A336" s="797"/>
      <c r="B336" s="797"/>
      <c r="C336" s="797" t="s">
        <v>869</v>
      </c>
      <c r="D336" s="797"/>
      <c r="E336" s="797"/>
      <c r="F336" s="797"/>
      <c r="G336" s="797" t="s">
        <v>870</v>
      </c>
      <c r="H336" s="797" t="s">
        <v>866</v>
      </c>
      <c r="I336" s="220" t="str">
        <f>IF(ISBLANK(input!I363),"",input!I363)</f>
        <v/>
      </c>
      <c r="O336" s="225" t="s">
        <v>4159</v>
      </c>
    </row>
    <row r="337" spans="1:15" ht="12.75" customHeight="1" x14ac:dyDescent="0.3">
      <c r="A337" s="797"/>
      <c r="B337" s="797"/>
      <c r="C337" s="797" t="s">
        <v>871</v>
      </c>
      <c r="D337" s="797"/>
      <c r="E337" s="797"/>
      <c r="F337" s="797"/>
      <c r="G337" s="797" t="s">
        <v>872</v>
      </c>
      <c r="H337" s="796" t="s">
        <v>857</v>
      </c>
      <c r="I337" s="220" t="str">
        <f>IF(ISBLANK(input!I364),"",input!I364)</f>
        <v/>
      </c>
      <c r="O337" s="225" t="s">
        <v>4159</v>
      </c>
    </row>
    <row r="338" spans="1:15" ht="12.75" customHeight="1" x14ac:dyDescent="0.3">
      <c r="A338" s="797"/>
      <c r="B338" s="797"/>
      <c r="C338" s="797" t="s">
        <v>873</v>
      </c>
      <c r="D338" s="797"/>
      <c r="E338" s="797"/>
      <c r="F338" s="797"/>
      <c r="G338" s="797" t="s">
        <v>874</v>
      </c>
      <c r="H338" s="797" t="s">
        <v>866</v>
      </c>
      <c r="I338" s="220" t="str">
        <f>IF(ISBLANK(input!I365),"",input!I365)</f>
        <v/>
      </c>
      <c r="O338" s="225" t="s">
        <v>4159</v>
      </c>
    </row>
    <row r="339" spans="1:15" ht="12.75" customHeight="1" x14ac:dyDescent="0.3">
      <c r="A339" s="797"/>
      <c r="B339" s="797"/>
      <c r="C339" s="797" t="s">
        <v>875</v>
      </c>
      <c r="D339" s="797"/>
      <c r="E339" s="797"/>
      <c r="F339" s="797"/>
      <c r="G339" s="797" t="s">
        <v>876</v>
      </c>
      <c r="H339" s="796" t="s">
        <v>857</v>
      </c>
      <c r="I339" s="220" t="str">
        <f>IF(ISBLANK(input!I366),"",input!I366)</f>
        <v/>
      </c>
      <c r="O339" s="225" t="s">
        <v>4159</v>
      </c>
    </row>
    <row r="340" spans="1:15" ht="12.75" customHeight="1" x14ac:dyDescent="0.3">
      <c r="A340" s="797"/>
      <c r="B340" s="797"/>
      <c r="C340" s="797" t="s">
        <v>877</v>
      </c>
      <c r="D340" s="797"/>
      <c r="E340" s="797"/>
      <c r="F340" s="797"/>
      <c r="G340" s="797" t="s">
        <v>878</v>
      </c>
      <c r="H340" s="797" t="s">
        <v>866</v>
      </c>
      <c r="I340" s="220" t="str">
        <f>IF(ISBLANK(input!I367),"",input!I367)</f>
        <v/>
      </c>
      <c r="O340" s="225" t="s">
        <v>4159</v>
      </c>
    </row>
    <row r="341" spans="1:15" ht="12.75" customHeight="1" x14ac:dyDescent="0.3">
      <c r="A341" s="104"/>
      <c r="B341" s="105"/>
      <c r="C341" s="105"/>
      <c r="D341" s="105"/>
      <c r="E341" s="105"/>
      <c r="F341" s="105"/>
      <c r="G341" s="104"/>
      <c r="H341" s="104"/>
      <c r="I341" s="220" t="str">
        <f>IF(ISBLANK(input!I368),"",input!I368)</f>
        <v/>
      </c>
      <c r="O341" s="225" t="s">
        <v>4159</v>
      </c>
    </row>
    <row r="342" spans="1:15" ht="12.75" customHeight="1" x14ac:dyDescent="0.3">
      <c r="G342" s="778"/>
      <c r="H342" s="778"/>
      <c r="I342" s="220" t="str">
        <f>IF(ISBLANK(input!I369),"",input!I369)</f>
        <v/>
      </c>
      <c r="O342" s="225" t="s">
        <v>4159</v>
      </c>
    </row>
    <row r="343" spans="1:15" ht="12.75" customHeight="1" x14ac:dyDescent="0.3">
      <c r="A343" s="852"/>
      <c r="B343" s="852"/>
      <c r="C343" s="852"/>
      <c r="D343" s="852"/>
      <c r="E343" s="852"/>
      <c r="F343" s="852"/>
      <c r="G343" s="604"/>
      <c r="H343" s="853"/>
      <c r="I343" s="220" t="str">
        <f>IF(ISBLANK(input!I370),"",input!I370)</f>
        <v/>
      </c>
      <c r="O343" s="225" t="s">
        <v>4159</v>
      </c>
    </row>
    <row r="344" spans="1:15" ht="12.75" customHeight="1" x14ac:dyDescent="0.3">
      <c r="A344" s="797" t="s">
        <v>879</v>
      </c>
      <c r="B344" s="797"/>
      <c r="C344" s="797"/>
      <c r="D344" s="797"/>
      <c r="E344" s="797"/>
      <c r="F344" s="797"/>
      <c r="G344" s="601"/>
      <c r="H344" s="797"/>
      <c r="I344" s="220" t="str">
        <f>IF(ISBLANK(input!I371),"",input!I371)</f>
        <v/>
      </c>
      <c r="O344" s="225" t="s">
        <v>4159</v>
      </c>
    </row>
    <row r="345" spans="1:15" ht="12.75" customHeight="1" x14ac:dyDescent="0.3">
      <c r="A345" s="797"/>
      <c r="B345" s="797"/>
      <c r="C345" s="797" t="s">
        <v>880</v>
      </c>
      <c r="D345" s="797"/>
      <c r="E345" s="797"/>
      <c r="F345" s="797"/>
      <c r="G345" s="797" t="s">
        <v>881</v>
      </c>
      <c r="H345" s="797" t="s">
        <v>866</v>
      </c>
      <c r="I345" s="220" t="str">
        <f>IF(ISBLANK(input!I372),"",input!I372)</f>
        <v/>
      </c>
      <c r="O345" s="225" t="s">
        <v>4159</v>
      </c>
    </row>
    <row r="346" spans="1:15" ht="12.75" customHeight="1" x14ac:dyDescent="0.3">
      <c r="A346" s="797"/>
      <c r="B346" s="797"/>
      <c r="C346" s="797" t="s">
        <v>883</v>
      </c>
      <c r="D346" s="797"/>
      <c r="E346" s="797"/>
      <c r="F346" s="797"/>
      <c r="G346" s="797" t="s">
        <v>884</v>
      </c>
      <c r="H346" s="797" t="s">
        <v>857</v>
      </c>
      <c r="I346" s="220" t="str">
        <f>IF(ISBLANK(input!I373),"",input!I373)</f>
        <v/>
      </c>
      <c r="J346" s="211"/>
      <c r="O346" s="225" t="s">
        <v>4159</v>
      </c>
    </row>
    <row r="347" spans="1:15" ht="12.75" customHeight="1" x14ac:dyDescent="0.3">
      <c r="A347" s="797"/>
      <c r="B347" s="797"/>
      <c r="C347" s="797" t="s">
        <v>886</v>
      </c>
      <c r="D347" s="797"/>
      <c r="E347" s="797"/>
      <c r="F347" s="797"/>
      <c r="G347" s="797" t="s">
        <v>887</v>
      </c>
      <c r="H347" s="797" t="s">
        <v>888</v>
      </c>
      <c r="I347" s="220" t="str">
        <f>IF(ISBLANK(input!I374),"",input!I374)</f>
        <v/>
      </c>
      <c r="J347" s="353"/>
      <c r="O347" s="225" t="s">
        <v>4159</v>
      </c>
    </row>
    <row r="348" spans="1:15" ht="12.75" customHeight="1" x14ac:dyDescent="0.3">
      <c r="A348" s="797"/>
      <c r="B348" s="797"/>
      <c r="C348" s="797" t="s">
        <v>890</v>
      </c>
      <c r="D348" s="797"/>
      <c r="E348" s="797"/>
      <c r="F348" s="797"/>
      <c r="G348" s="797" t="s">
        <v>891</v>
      </c>
      <c r="H348" s="797" t="s">
        <v>866</v>
      </c>
      <c r="I348" s="220" t="str">
        <f>IF(ISBLANK(input!I375),"",input!I375)</f>
        <v/>
      </c>
      <c r="J348" s="211"/>
      <c r="O348" s="225" t="s">
        <v>4159</v>
      </c>
    </row>
    <row r="349" spans="1:15" ht="12.75" customHeight="1" x14ac:dyDescent="0.3">
      <c r="A349" s="797"/>
      <c r="B349" s="797"/>
      <c r="C349" s="797" t="s">
        <v>892</v>
      </c>
      <c r="D349" s="797"/>
      <c r="E349" s="797"/>
      <c r="F349" s="797"/>
      <c r="G349" s="797" t="s">
        <v>893</v>
      </c>
      <c r="H349" s="797" t="s">
        <v>291</v>
      </c>
      <c r="I349" s="220" t="str">
        <f>IF(ISBLANK(input!I376),"",input!I376)</f>
        <v/>
      </c>
      <c r="O349" s="225" t="s">
        <v>4159</v>
      </c>
    </row>
    <row r="350" spans="1:15" ht="12.75" customHeight="1" x14ac:dyDescent="0.3">
      <c r="A350" s="797"/>
      <c r="B350" s="797"/>
      <c r="C350" s="797" t="s">
        <v>894</v>
      </c>
      <c r="D350" s="797"/>
      <c r="E350" s="797"/>
      <c r="F350" s="797"/>
      <c r="G350" s="797" t="s">
        <v>895</v>
      </c>
      <c r="H350" s="797" t="s">
        <v>291</v>
      </c>
      <c r="I350" s="220" t="str">
        <f>IF(ISBLANK(input!I377),"",input!I377)</f>
        <v/>
      </c>
      <c r="O350" s="225" t="s">
        <v>4159</v>
      </c>
    </row>
    <row r="351" spans="1:15" ht="12.75" customHeight="1" x14ac:dyDescent="0.3">
      <c r="A351" s="492"/>
      <c r="B351" s="492" t="s">
        <v>897</v>
      </c>
      <c r="C351" s="492"/>
      <c r="D351" s="492"/>
      <c r="E351" s="492"/>
      <c r="F351" s="492"/>
      <c r="G351" s="492"/>
      <c r="H351" s="492"/>
      <c r="I351" s="220" t="str">
        <f>IF(ISBLANK(input!I378),"",input!I378)</f>
        <v/>
      </c>
      <c r="O351" s="225" t="s">
        <v>4159</v>
      </c>
    </row>
    <row r="352" spans="1:15" ht="12.75" customHeight="1" x14ac:dyDescent="0.3">
      <c r="A352" s="797"/>
      <c r="B352" s="797"/>
      <c r="C352" s="797" t="s">
        <v>898</v>
      </c>
      <c r="D352" s="797"/>
      <c r="E352" s="797"/>
      <c r="F352" s="797"/>
      <c r="G352" s="797" t="s">
        <v>899</v>
      </c>
      <c r="H352" s="797" t="s">
        <v>900</v>
      </c>
      <c r="I352" s="220" t="str">
        <f>IF(ISBLANK(input!I379),"",input!I379)</f>
        <v/>
      </c>
      <c r="O352" s="225" t="s">
        <v>4159</v>
      </c>
    </row>
    <row r="353" spans="1:15" ht="12.75" customHeight="1" x14ac:dyDescent="0.3">
      <c r="A353" s="797"/>
      <c r="B353" s="797"/>
      <c r="C353" s="797" t="s">
        <v>901</v>
      </c>
      <c r="D353" s="797"/>
      <c r="E353" s="797"/>
      <c r="F353" s="797"/>
      <c r="G353" s="797" t="s">
        <v>902</v>
      </c>
      <c r="H353" s="797" t="s">
        <v>900</v>
      </c>
      <c r="I353" s="220" t="str">
        <f>IF(ISBLANK(input!I380),"",input!I380)</f>
        <v/>
      </c>
      <c r="O353" s="225" t="s">
        <v>4159</v>
      </c>
    </row>
    <row r="354" spans="1:15" ht="12.75" customHeight="1" x14ac:dyDescent="0.3">
      <c r="A354" s="492"/>
      <c r="B354" s="492" t="s">
        <v>905</v>
      </c>
      <c r="C354" s="492"/>
      <c r="D354" s="492"/>
      <c r="E354" s="492"/>
      <c r="F354" s="492"/>
      <c r="G354" s="492"/>
      <c r="H354" s="492"/>
      <c r="I354" s="220" t="str">
        <f>IF(ISBLANK(input!I381),"",input!I381)</f>
        <v/>
      </c>
      <c r="O354" s="225" t="s">
        <v>4159</v>
      </c>
    </row>
    <row r="355" spans="1:15" ht="12.75" customHeight="1" x14ac:dyDescent="0.3">
      <c r="A355" s="797"/>
      <c r="B355" s="797"/>
      <c r="C355" s="797" t="s">
        <v>906</v>
      </c>
      <c r="D355" s="797"/>
      <c r="E355" s="797"/>
      <c r="F355" s="797"/>
      <c r="G355" s="797" t="s">
        <v>907</v>
      </c>
      <c r="H355" s="797" t="s">
        <v>900</v>
      </c>
      <c r="I355" s="220" t="str">
        <f>IF(ISBLANK(input!I382),"",input!I382)</f>
        <v/>
      </c>
      <c r="O355" s="225" t="s">
        <v>4159</v>
      </c>
    </row>
    <row r="356" spans="1:15" ht="12.75" customHeight="1" x14ac:dyDescent="0.3">
      <c r="A356" s="797"/>
      <c r="B356" s="797"/>
      <c r="C356" s="797" t="s">
        <v>909</v>
      </c>
      <c r="D356" s="797"/>
      <c r="E356" s="797"/>
      <c r="F356" s="797"/>
      <c r="G356" s="797" t="s">
        <v>910</v>
      </c>
      <c r="H356" s="797" t="s">
        <v>900</v>
      </c>
      <c r="I356" s="220" t="str">
        <f>IF(ISBLANK(input!I383),"",input!I383)</f>
        <v/>
      </c>
      <c r="O356" s="225" t="s">
        <v>4159</v>
      </c>
    </row>
    <row r="357" spans="1:15" ht="12.75" customHeight="1" x14ac:dyDescent="0.3">
      <c r="A357" s="492"/>
      <c r="B357" s="492" t="s">
        <v>912</v>
      </c>
      <c r="C357" s="492"/>
      <c r="D357" s="492"/>
      <c r="E357" s="492"/>
      <c r="F357" s="492"/>
      <c r="G357" s="492"/>
      <c r="H357" s="492"/>
      <c r="I357" s="220" t="str">
        <f>IF(ISBLANK(input!I384),"",input!I384)</f>
        <v/>
      </c>
      <c r="O357" s="225" t="s">
        <v>4159</v>
      </c>
    </row>
    <row r="358" spans="1:15" ht="12.75" customHeight="1" x14ac:dyDescent="0.3">
      <c r="A358" s="797"/>
      <c r="B358" s="797"/>
      <c r="C358" s="797" t="s">
        <v>913</v>
      </c>
      <c r="D358" s="797"/>
      <c r="E358" s="797"/>
      <c r="F358" s="797"/>
      <c r="G358" s="797" t="s">
        <v>914</v>
      </c>
      <c r="H358" s="797" t="s">
        <v>900</v>
      </c>
      <c r="I358" s="220" t="str">
        <f>IF(ISBLANK(input!I385),"",input!I385)</f>
        <v/>
      </c>
      <c r="O358" s="225" t="s">
        <v>4159</v>
      </c>
    </row>
    <row r="359" spans="1:15" ht="12.75" customHeight="1" x14ac:dyDescent="0.3">
      <c r="A359" s="797"/>
      <c r="B359" s="797"/>
      <c r="C359" s="797" t="s">
        <v>915</v>
      </c>
      <c r="D359" s="797"/>
      <c r="E359" s="797"/>
      <c r="F359" s="797"/>
      <c r="G359" s="797" t="s">
        <v>916</v>
      </c>
      <c r="H359" s="797" t="s">
        <v>900</v>
      </c>
      <c r="I359" s="220" t="str">
        <f>IF(ISBLANK(input!I386),"",input!I386)</f>
        <v/>
      </c>
      <c r="O359" s="225" t="s">
        <v>4159</v>
      </c>
    </row>
    <row r="360" spans="1:15" ht="12.75" customHeight="1" x14ac:dyDescent="0.3">
      <c r="A360" s="797"/>
      <c r="B360" s="797"/>
      <c r="C360" s="797" t="s">
        <v>917</v>
      </c>
      <c r="D360" s="797"/>
      <c r="E360" s="797"/>
      <c r="F360" s="797"/>
      <c r="G360" s="797" t="s">
        <v>918</v>
      </c>
      <c r="H360" s="797" t="s">
        <v>900</v>
      </c>
      <c r="I360" s="220" t="str">
        <f>IF(ISBLANK(input!I387),"",input!I387)</f>
        <v/>
      </c>
      <c r="O360" s="225" t="s">
        <v>4159</v>
      </c>
    </row>
    <row r="361" spans="1:15" ht="12.75" customHeight="1" x14ac:dyDescent="0.3">
      <c r="A361" s="797"/>
      <c r="B361" s="797"/>
      <c r="C361" s="797" t="s">
        <v>919</v>
      </c>
      <c r="D361" s="797"/>
      <c r="E361" s="797"/>
      <c r="F361" s="797"/>
      <c r="G361" s="797" t="s">
        <v>920</v>
      </c>
      <c r="H361" s="797" t="s">
        <v>900</v>
      </c>
      <c r="I361" s="220" t="str">
        <f>IF(ISBLANK(input!I388),"",input!I388)</f>
        <v/>
      </c>
      <c r="O361" s="225" t="s">
        <v>4159</v>
      </c>
    </row>
    <row r="362" spans="1:15" ht="12.75" customHeight="1" x14ac:dyDescent="0.3">
      <c r="A362" s="797"/>
      <c r="B362" s="797"/>
      <c r="C362" s="797" t="s">
        <v>921</v>
      </c>
      <c r="D362" s="797"/>
      <c r="E362" s="797"/>
      <c r="F362" s="797"/>
      <c r="G362" s="797" t="s">
        <v>922</v>
      </c>
      <c r="H362" s="797" t="s">
        <v>900</v>
      </c>
      <c r="I362" s="220" t="str">
        <f>IF(ISBLANK(input!I389),"",input!I389)</f>
        <v/>
      </c>
      <c r="O362" s="225" t="s">
        <v>4159</v>
      </c>
    </row>
    <row r="363" spans="1:15" ht="12.75" customHeight="1" x14ac:dyDescent="0.3">
      <c r="A363" s="797"/>
      <c r="B363" s="797"/>
      <c r="C363" s="797" t="s">
        <v>923</v>
      </c>
      <c r="D363" s="797"/>
      <c r="E363" s="797"/>
      <c r="F363" s="797"/>
      <c r="G363" s="797" t="s">
        <v>924</v>
      </c>
      <c r="H363" s="797" t="s">
        <v>900</v>
      </c>
      <c r="I363" s="220" t="str">
        <f>IF(ISBLANK(input!I390),"",input!I390)</f>
        <v/>
      </c>
      <c r="O363" s="225" t="s">
        <v>4159</v>
      </c>
    </row>
    <row r="364" spans="1:15" ht="12.75" customHeight="1" x14ac:dyDescent="0.3">
      <c r="A364" s="797"/>
      <c r="B364" s="797"/>
      <c r="C364" s="797"/>
      <c r="D364" s="797"/>
      <c r="E364" s="797"/>
      <c r="F364" s="797"/>
      <c r="G364" s="796"/>
      <c r="H364" s="796"/>
      <c r="I364" s="220" t="str">
        <f>IF(ISBLANK(input!I391),"",input!I391)</f>
        <v/>
      </c>
      <c r="O364" s="225" t="s">
        <v>4159</v>
      </c>
    </row>
    <row r="365" spans="1:15" ht="12.75" customHeight="1" x14ac:dyDescent="0.3">
      <c r="A365" s="841" t="s">
        <v>925</v>
      </c>
      <c r="B365" s="841"/>
      <c r="C365" s="841"/>
      <c r="D365" s="841"/>
      <c r="E365" s="841"/>
      <c r="F365" s="841"/>
      <c r="G365" s="841"/>
      <c r="H365" s="841"/>
      <c r="I365" s="220" t="str">
        <f>IF(ISBLANK(input!I392),"",input!I392)</f>
        <v/>
      </c>
      <c r="O365" s="225" t="s">
        <v>4159</v>
      </c>
    </row>
    <row r="366" spans="1:15" ht="12.75" customHeight="1" x14ac:dyDescent="0.3">
      <c r="A366" s="797"/>
      <c r="B366" s="797" t="s">
        <v>926</v>
      </c>
      <c r="C366" s="797"/>
      <c r="D366" s="797"/>
      <c r="E366" s="797"/>
      <c r="F366" s="797"/>
      <c r="G366" s="797" t="s">
        <v>927</v>
      </c>
      <c r="H366" s="797" t="s">
        <v>866</v>
      </c>
      <c r="I366" s="220" t="str">
        <f>IF(ISBLANK(input!I393),"",input!I393)</f>
        <v/>
      </c>
      <c r="O366" s="225" t="s">
        <v>4159</v>
      </c>
    </row>
    <row r="367" spans="1:15" ht="12.75" customHeight="1" x14ac:dyDescent="0.3">
      <c r="A367" s="797"/>
      <c r="B367" s="797"/>
      <c r="C367" s="797" t="s">
        <v>928</v>
      </c>
      <c r="D367" s="797"/>
      <c r="E367" s="797"/>
      <c r="F367" s="797"/>
      <c r="G367" s="797" t="s">
        <v>929</v>
      </c>
      <c r="H367" s="797" t="s">
        <v>813</v>
      </c>
      <c r="I367" s="220" t="str">
        <f>IF(ISBLANK(input!I394),"",input!I394)</f>
        <v/>
      </c>
      <c r="O367" s="225" t="s">
        <v>4159</v>
      </c>
    </row>
    <row r="368" spans="1:15" ht="12.75" customHeight="1" x14ac:dyDescent="0.3">
      <c r="A368" s="797"/>
      <c r="B368" s="797"/>
      <c r="C368" s="797" t="s">
        <v>930</v>
      </c>
      <c r="D368" s="797"/>
      <c r="E368" s="797"/>
      <c r="F368" s="797"/>
      <c r="G368" s="797" t="s">
        <v>931</v>
      </c>
      <c r="H368" s="797" t="s">
        <v>282</v>
      </c>
      <c r="I368" s="220" t="str">
        <f>IF(ISBLANK(input!I395),"",input!I395)</f>
        <v/>
      </c>
      <c r="O368" s="225" t="s">
        <v>4159</v>
      </c>
    </row>
    <row r="369" spans="1:15" ht="12.75" customHeight="1" x14ac:dyDescent="0.3">
      <c r="A369" s="797"/>
      <c r="B369" s="797" t="s">
        <v>932</v>
      </c>
      <c r="C369" s="797"/>
      <c r="D369" s="797"/>
      <c r="E369" s="797"/>
      <c r="F369" s="797"/>
      <c r="G369" s="797" t="s">
        <v>933</v>
      </c>
      <c r="H369" s="797" t="s">
        <v>866</v>
      </c>
      <c r="I369" s="220" t="str">
        <f>IF(ISBLANK(input!I396),"",input!I396)</f>
        <v/>
      </c>
      <c r="O369" s="225" t="s">
        <v>4159</v>
      </c>
    </row>
    <row r="370" spans="1:15" ht="12.75" customHeight="1" x14ac:dyDescent="0.3">
      <c r="A370" s="797"/>
      <c r="B370" s="797"/>
      <c r="C370" s="797" t="s">
        <v>934</v>
      </c>
      <c r="D370" s="797"/>
      <c r="E370" s="797"/>
      <c r="F370" s="797"/>
      <c r="G370" s="797" t="s">
        <v>935</v>
      </c>
      <c r="H370" s="797" t="s">
        <v>813</v>
      </c>
      <c r="I370" s="220" t="str">
        <f>IF(ISBLANK(input!I397),"",input!I397)</f>
        <v/>
      </c>
      <c r="O370" s="225" t="s">
        <v>4159</v>
      </c>
    </row>
    <row r="371" spans="1:15" ht="12.75" customHeight="1" x14ac:dyDescent="0.3">
      <c r="A371" s="797"/>
      <c r="B371" s="797"/>
      <c r="C371" s="797" t="s">
        <v>936</v>
      </c>
      <c r="D371" s="797"/>
      <c r="E371" s="797"/>
      <c r="F371" s="797"/>
      <c r="G371" s="797" t="s">
        <v>937</v>
      </c>
      <c r="H371" s="797" t="s">
        <v>282</v>
      </c>
      <c r="I371" s="220" t="str">
        <f>IF(ISBLANK(input!I398),"",input!I398)</f>
        <v/>
      </c>
      <c r="O371" s="225" t="s">
        <v>4159</v>
      </c>
    </row>
    <row r="372" spans="1:15" ht="12.75" customHeight="1" x14ac:dyDescent="0.3">
      <c r="A372" s="797"/>
      <c r="B372" s="797" t="s">
        <v>938</v>
      </c>
      <c r="C372" s="797"/>
      <c r="D372" s="797"/>
      <c r="E372" s="797"/>
      <c r="F372" s="797"/>
      <c r="G372" s="797" t="s">
        <v>939</v>
      </c>
      <c r="H372" s="797" t="s">
        <v>866</v>
      </c>
      <c r="I372" s="220" t="str">
        <f>IF(ISBLANK(input!I399),"",input!I399)</f>
        <v/>
      </c>
      <c r="O372" s="225" t="s">
        <v>4159</v>
      </c>
    </row>
    <row r="373" spans="1:15" ht="12.75" customHeight="1" x14ac:dyDescent="0.3">
      <c r="A373" s="797"/>
      <c r="B373" s="797"/>
      <c r="C373" s="797" t="s">
        <v>940</v>
      </c>
      <c r="D373" s="797"/>
      <c r="E373" s="797"/>
      <c r="F373" s="797"/>
      <c r="G373" s="796" t="s">
        <v>941</v>
      </c>
      <c r="H373" s="796" t="s">
        <v>291</v>
      </c>
      <c r="I373" s="220" t="str">
        <f>IF(ISBLANK(input!I400),"",input!I400)</f>
        <v/>
      </c>
      <c r="O373" s="225" t="s">
        <v>4159</v>
      </c>
    </row>
    <row r="374" spans="1:15" ht="12.75" customHeight="1" x14ac:dyDescent="0.3">
      <c r="A374" s="797"/>
      <c r="B374" s="797"/>
      <c r="C374" s="797" t="s">
        <v>942</v>
      </c>
      <c r="D374" s="797"/>
      <c r="E374" s="797"/>
      <c r="F374" s="797"/>
      <c r="G374" s="797" t="s">
        <v>943</v>
      </c>
      <c r="H374" s="797" t="s">
        <v>813</v>
      </c>
      <c r="I374" s="220" t="str">
        <f>IF(ISBLANK(input!I401),"",input!I401)</f>
        <v/>
      </c>
      <c r="O374" s="225" t="s">
        <v>4159</v>
      </c>
    </row>
    <row r="375" spans="1:15" ht="12.75" customHeight="1" x14ac:dyDescent="0.3">
      <c r="A375" s="797"/>
      <c r="B375" s="797"/>
      <c r="C375" s="797" t="s">
        <v>944</v>
      </c>
      <c r="D375" s="797"/>
      <c r="E375" s="797"/>
      <c r="F375" s="797"/>
      <c r="G375" s="797" t="s">
        <v>945</v>
      </c>
      <c r="H375" s="797" t="s">
        <v>282</v>
      </c>
      <c r="I375" s="220" t="str">
        <f>IF(ISBLANK(input!I402),"",input!I402)</f>
        <v/>
      </c>
      <c r="O375" s="225" t="s">
        <v>4159</v>
      </c>
    </row>
    <row r="376" spans="1:15" ht="12.75" customHeight="1" x14ac:dyDescent="0.3">
      <c r="A376" s="779"/>
      <c r="H376" s="608"/>
      <c r="I376" s="612"/>
    </row>
    <row r="377" spans="1:15" ht="12.75" customHeight="1" x14ac:dyDescent="0.3">
      <c r="A377" s="97" t="s">
        <v>946</v>
      </c>
      <c r="I377" s="612"/>
    </row>
    <row r="378" spans="1:15" ht="12.75" customHeight="1" x14ac:dyDescent="0.3">
      <c r="I378" s="612"/>
    </row>
    <row r="379" spans="1:15" ht="12.75" customHeight="1" x14ac:dyDescent="0.3">
      <c r="A379" s="784" t="s">
        <v>947</v>
      </c>
      <c r="B379" s="784"/>
      <c r="C379" s="784"/>
      <c r="D379" s="784"/>
      <c r="E379" s="784"/>
      <c r="F379" s="784"/>
      <c r="G379" s="785" t="s">
        <v>258</v>
      </c>
      <c r="H379" s="785" t="s">
        <v>274</v>
      </c>
      <c r="I379" s="612"/>
    </row>
    <row r="380" spans="1:15" ht="12.75" customHeight="1" x14ac:dyDescent="0.3">
      <c r="I380" s="612"/>
    </row>
    <row r="381" spans="1:15" ht="12.75" customHeight="1" x14ac:dyDescent="0.3">
      <c r="A381" s="789" t="s">
        <v>948</v>
      </c>
      <c r="B381" s="790"/>
      <c r="C381" s="790"/>
      <c r="D381" s="790"/>
      <c r="E381" s="790"/>
      <c r="F381" s="790"/>
      <c r="G381" s="789" t="s">
        <v>949</v>
      </c>
      <c r="H381" s="789" t="s">
        <v>4683</v>
      </c>
      <c r="I381" s="220" t="str">
        <f>IF(ISBLANK(regional!I5),"",regional!I5)</f>
        <v/>
      </c>
      <c r="O381" s="225" t="s">
        <v>4159</v>
      </c>
    </row>
    <row r="382" spans="1:15" ht="12.75" customHeight="1" x14ac:dyDescent="0.3">
      <c r="A382" s="796" t="s">
        <v>953</v>
      </c>
      <c r="B382" s="797"/>
      <c r="C382" s="797"/>
      <c r="D382" s="797"/>
      <c r="E382" s="797"/>
      <c r="F382" s="797"/>
      <c r="G382" s="796" t="s">
        <v>954</v>
      </c>
      <c r="H382" s="796" t="s">
        <v>4683</v>
      </c>
      <c r="I382" s="220" t="str">
        <f>IF(ISBLANK(regional!I6),"",regional!I6)</f>
        <v/>
      </c>
      <c r="O382" s="225" t="s">
        <v>4159</v>
      </c>
    </row>
    <row r="383" spans="1:15" ht="12.75" customHeight="1" x14ac:dyDescent="0.3">
      <c r="A383" s="789" t="s">
        <v>955</v>
      </c>
      <c r="B383" s="790"/>
      <c r="C383" s="790"/>
      <c r="D383" s="790"/>
      <c r="E383" s="790"/>
      <c r="F383" s="790"/>
      <c r="G383" s="789" t="s">
        <v>956</v>
      </c>
      <c r="H383" s="789" t="s">
        <v>4683</v>
      </c>
      <c r="I383" s="220" t="str">
        <f>IF(ISBLANK(regional!I7),"",regional!I7)</f>
        <v/>
      </c>
      <c r="O383" s="225" t="s">
        <v>4159</v>
      </c>
    </row>
    <row r="384" spans="1:15" ht="12.75" customHeight="1" x14ac:dyDescent="0.3">
      <c r="A384" s="789" t="s">
        <v>957</v>
      </c>
      <c r="B384" s="790"/>
      <c r="C384" s="790"/>
      <c r="D384" s="790"/>
      <c r="E384" s="790"/>
      <c r="F384" s="790"/>
      <c r="G384" s="789" t="s">
        <v>958</v>
      </c>
      <c r="H384" s="789" t="s">
        <v>4683</v>
      </c>
      <c r="I384" s="220" t="str">
        <f>IF(ISBLANK(regional!I8),"",regional!I8)</f>
        <v/>
      </c>
      <c r="O384" s="225" t="s">
        <v>4159</v>
      </c>
    </row>
    <row r="385" spans="1:15" ht="12.75" customHeight="1" x14ac:dyDescent="0.3">
      <c r="A385" s="789" t="s">
        <v>959</v>
      </c>
      <c r="B385" s="790"/>
      <c r="C385" s="790"/>
      <c r="D385" s="790"/>
      <c r="E385" s="790"/>
      <c r="F385" s="790"/>
      <c r="G385" s="789" t="s">
        <v>960</v>
      </c>
      <c r="H385" s="789" t="s">
        <v>4683</v>
      </c>
      <c r="I385" s="220" t="str">
        <f>IF(ISBLANK(regional!I9),"",regional!I9)</f>
        <v/>
      </c>
      <c r="O385" s="225" t="s">
        <v>4159</v>
      </c>
    </row>
    <row r="386" spans="1:15" ht="12.75" customHeight="1" x14ac:dyDescent="0.3">
      <c r="A386" s="796" t="s">
        <v>961</v>
      </c>
      <c r="B386" s="797"/>
      <c r="C386" s="797"/>
      <c r="D386" s="797"/>
      <c r="E386" s="797"/>
      <c r="F386" s="797"/>
      <c r="G386" s="796" t="s">
        <v>962</v>
      </c>
      <c r="H386" s="796" t="s">
        <v>4683</v>
      </c>
      <c r="I386" s="220" t="str">
        <f>IF(ISBLANK(regional!I10),"",regional!I10)</f>
        <v/>
      </c>
      <c r="O386" s="225" t="s">
        <v>4159</v>
      </c>
    </row>
    <row r="387" spans="1:15" ht="12.75" customHeight="1" x14ac:dyDescent="0.3">
      <c r="A387" s="789" t="s">
        <v>963</v>
      </c>
      <c r="B387" s="790"/>
      <c r="C387" s="790"/>
      <c r="D387" s="790"/>
      <c r="E387" s="790"/>
      <c r="F387" s="790"/>
      <c r="G387" s="789" t="s">
        <v>964</v>
      </c>
      <c r="H387" s="789" t="s">
        <v>4683</v>
      </c>
      <c r="I387" s="220" t="str">
        <f>IF(ISBLANK(regional!I11),"",regional!I11)</f>
        <v/>
      </c>
      <c r="O387" s="225" t="s">
        <v>4159</v>
      </c>
    </row>
    <row r="388" spans="1:15" ht="12.75" customHeight="1" x14ac:dyDescent="0.3">
      <c r="A388" s="789" t="s">
        <v>965</v>
      </c>
      <c r="B388" s="790"/>
      <c r="C388" s="790"/>
      <c r="D388" s="790"/>
      <c r="E388" s="790"/>
      <c r="F388" s="790"/>
      <c r="G388" s="789" t="s">
        <v>966</v>
      </c>
      <c r="H388" s="789" t="s">
        <v>4683</v>
      </c>
      <c r="I388" s="220" t="str">
        <f>IF(ISBLANK(regional!I12),"",regional!I12)</f>
        <v/>
      </c>
      <c r="O388" s="225" t="s">
        <v>4159</v>
      </c>
    </row>
    <row r="389" spans="1:15" ht="12.75" customHeight="1" x14ac:dyDescent="0.3">
      <c r="A389" s="789" t="s">
        <v>967</v>
      </c>
      <c r="B389" s="790"/>
      <c r="C389" s="790"/>
      <c r="D389" s="790"/>
      <c r="E389" s="790"/>
      <c r="F389" s="790"/>
      <c r="G389" s="789" t="s">
        <v>968</v>
      </c>
      <c r="H389" s="789" t="s">
        <v>4683</v>
      </c>
      <c r="I389" s="220" t="str">
        <f>IF(ISBLANK(regional!I13),"",regional!I13)</f>
        <v/>
      </c>
      <c r="O389" s="225" t="s">
        <v>4159</v>
      </c>
    </row>
    <row r="390" spans="1:15" ht="12.75" customHeight="1" x14ac:dyDescent="0.3">
      <c r="A390" s="789" t="s">
        <v>969</v>
      </c>
      <c r="B390" s="790"/>
      <c r="C390" s="790"/>
      <c r="D390" s="790"/>
      <c r="E390" s="790"/>
      <c r="F390" s="790"/>
      <c r="G390" s="789" t="s">
        <v>970</v>
      </c>
      <c r="H390" s="789" t="s">
        <v>4683</v>
      </c>
      <c r="I390" s="220" t="str">
        <f>IF(ISBLANK(regional!I14),"",regional!I14)</f>
        <v/>
      </c>
      <c r="O390" s="225" t="s">
        <v>4159</v>
      </c>
    </row>
    <row r="391" spans="1:15" ht="12.75" customHeight="1" x14ac:dyDescent="0.3">
      <c r="A391" s="789" t="s">
        <v>971</v>
      </c>
      <c r="B391" s="790"/>
      <c r="C391" s="790"/>
      <c r="D391" s="790"/>
      <c r="E391" s="790"/>
      <c r="F391" s="790"/>
      <c r="G391" s="789" t="s">
        <v>972</v>
      </c>
      <c r="H391" s="789" t="s">
        <v>4683</v>
      </c>
      <c r="I391" s="220" t="str">
        <f>IF(ISBLANK(regional!I15),"",regional!I15)</f>
        <v/>
      </c>
      <c r="O391" s="225" t="s">
        <v>4159</v>
      </c>
    </row>
    <row r="392" spans="1:15" ht="12.75" customHeight="1" x14ac:dyDescent="0.3">
      <c r="A392" s="789"/>
      <c r="B392" s="789" t="s">
        <v>973</v>
      </c>
      <c r="C392" s="790"/>
      <c r="D392" s="790"/>
      <c r="E392" s="790"/>
      <c r="F392" s="790"/>
      <c r="G392" s="789" t="s">
        <v>974</v>
      </c>
      <c r="H392" s="789" t="s">
        <v>4684</v>
      </c>
      <c r="I392" s="220" t="str">
        <f>IF(ISBLANK(regional!I16),"",regional!I16)</f>
        <v/>
      </c>
      <c r="O392" s="225" t="s">
        <v>4159</v>
      </c>
    </row>
    <row r="393" spans="1:15" ht="12.75" customHeight="1" x14ac:dyDescent="0.3">
      <c r="A393" s="789"/>
      <c r="B393" s="789" t="s">
        <v>975</v>
      </c>
      <c r="C393" s="790"/>
      <c r="D393" s="790"/>
      <c r="E393" s="790"/>
      <c r="F393" s="790"/>
      <c r="G393" s="801" t="s">
        <v>976</v>
      </c>
      <c r="H393" s="789" t="s">
        <v>291</v>
      </c>
      <c r="I393" s="220" t="str">
        <f>IF(ISBLANK(regional!I17),"",regional!I17)</f>
        <v/>
      </c>
      <c r="O393" s="225" t="s">
        <v>4159</v>
      </c>
    </row>
    <row r="394" spans="1:15" ht="12.75" customHeight="1" x14ac:dyDescent="0.3">
      <c r="A394" s="789"/>
      <c r="B394" s="789" t="s">
        <v>977</v>
      </c>
      <c r="C394" s="790"/>
      <c r="D394" s="790"/>
      <c r="E394" s="790"/>
      <c r="F394" s="790"/>
      <c r="G394" s="801" t="s">
        <v>978</v>
      </c>
      <c r="H394" s="789" t="s">
        <v>291</v>
      </c>
      <c r="I394" s="220" t="str">
        <f>IF(ISBLANK(regional!I18),"",regional!I18)</f>
        <v/>
      </c>
      <c r="O394" s="225" t="s">
        <v>4159</v>
      </c>
    </row>
    <row r="395" spans="1:15" ht="12.75" customHeight="1" x14ac:dyDescent="0.3">
      <c r="A395" s="789"/>
      <c r="B395" s="789" t="s">
        <v>979</v>
      </c>
      <c r="C395" s="790"/>
      <c r="D395" s="790"/>
      <c r="E395" s="790"/>
      <c r="F395" s="790"/>
      <c r="G395" s="801" t="s">
        <v>980</v>
      </c>
      <c r="H395" s="789" t="s">
        <v>291</v>
      </c>
      <c r="I395" s="220" t="str">
        <f>IF(ISBLANK(regional!I19),"",regional!I19)</f>
        <v/>
      </c>
      <c r="K395" s="225" t="s">
        <v>4159</v>
      </c>
      <c r="O395" s="225" t="s">
        <v>4159</v>
      </c>
    </row>
    <row r="396" spans="1:15" ht="12.75" customHeight="1" x14ac:dyDescent="0.3">
      <c r="A396" s="789"/>
      <c r="B396" s="789" t="s">
        <v>981</v>
      </c>
      <c r="C396" s="790"/>
      <c r="D396" s="790"/>
      <c r="E396" s="790"/>
      <c r="F396" s="790"/>
      <c r="G396" s="801" t="s">
        <v>982</v>
      </c>
      <c r="H396" s="789" t="s">
        <v>291</v>
      </c>
      <c r="I396" s="220" t="str">
        <f>IF(ISBLANK(regional!I20),"",regional!I20)</f>
        <v/>
      </c>
      <c r="K396" s="225" t="s">
        <v>4159</v>
      </c>
      <c r="O396" s="225" t="s">
        <v>4159</v>
      </c>
    </row>
    <row r="397" spans="1:15" ht="12.75" customHeight="1" x14ac:dyDescent="0.3">
      <c r="A397" s="789"/>
      <c r="B397" s="789" t="s">
        <v>983</v>
      </c>
      <c r="C397" s="790"/>
      <c r="D397" s="790"/>
      <c r="E397" s="790"/>
      <c r="F397" s="790"/>
      <c r="G397" s="801" t="s">
        <v>984</v>
      </c>
      <c r="H397" s="789" t="s">
        <v>291</v>
      </c>
      <c r="I397" s="220" t="str">
        <f>IF(ISBLANK(regional!I21),"",regional!I21)</f>
        <v/>
      </c>
      <c r="K397" s="225" t="s">
        <v>4159</v>
      </c>
      <c r="O397" s="225" t="s">
        <v>4159</v>
      </c>
    </row>
    <row r="398" spans="1:15" ht="12.75" customHeight="1" x14ac:dyDescent="0.3">
      <c r="A398" s="789"/>
      <c r="B398" s="789" t="s">
        <v>985</v>
      </c>
      <c r="C398" s="790"/>
      <c r="D398" s="790"/>
      <c r="E398" s="790"/>
      <c r="F398" s="790"/>
      <c r="G398" s="801" t="s">
        <v>986</v>
      </c>
      <c r="H398" s="789" t="s">
        <v>291</v>
      </c>
      <c r="I398" s="220" t="str">
        <f>IF(ISBLANK(regional!I22),"",regional!I22)</f>
        <v/>
      </c>
      <c r="K398" s="225" t="s">
        <v>4159</v>
      </c>
      <c r="O398" s="225" t="s">
        <v>4159</v>
      </c>
    </row>
    <row r="399" spans="1:15" ht="12.75" customHeight="1" x14ac:dyDescent="0.3">
      <c r="A399" s="789"/>
      <c r="B399" s="790"/>
      <c r="C399" s="789" t="s">
        <v>987</v>
      </c>
      <c r="D399" s="801"/>
      <c r="E399" s="801"/>
      <c r="F399" s="790"/>
      <c r="G399" s="801" t="s">
        <v>988</v>
      </c>
      <c r="H399" s="789" t="s">
        <v>813</v>
      </c>
      <c r="I399" s="220" t="str">
        <f>IF(ISBLANK(regional!I23),"",regional!I23)</f>
        <v/>
      </c>
      <c r="K399" s="225" t="s">
        <v>4159</v>
      </c>
      <c r="O399" s="225" t="s">
        <v>4159</v>
      </c>
    </row>
    <row r="400" spans="1:15" ht="12.75" customHeight="1" x14ac:dyDescent="0.3">
      <c r="A400" s="789"/>
      <c r="B400" s="790"/>
      <c r="C400" s="789" t="s">
        <v>989</v>
      </c>
      <c r="D400" s="801"/>
      <c r="E400" s="801"/>
      <c r="F400" s="790"/>
      <c r="G400" s="801" t="s">
        <v>990</v>
      </c>
      <c r="H400" s="789" t="s">
        <v>813</v>
      </c>
      <c r="I400" s="220" t="str">
        <f>IF(ISBLANK(regional!I24),"",regional!I24)</f>
        <v/>
      </c>
      <c r="K400" s="225" t="s">
        <v>4159</v>
      </c>
      <c r="O400" s="225" t="s">
        <v>4159</v>
      </c>
    </row>
    <row r="401" spans="1:15" ht="12.75" customHeight="1" x14ac:dyDescent="0.3">
      <c r="A401" s="789"/>
      <c r="B401" s="790"/>
      <c r="C401" s="789" t="s">
        <v>991</v>
      </c>
      <c r="D401" s="801"/>
      <c r="E401" s="801"/>
      <c r="F401" s="790"/>
      <c r="G401" s="801" t="s">
        <v>992</v>
      </c>
      <c r="H401" s="789" t="s">
        <v>813</v>
      </c>
      <c r="I401" s="220" t="str">
        <f>IF(ISBLANK(regional!I25),"",regional!I25)</f>
        <v/>
      </c>
      <c r="K401" s="225" t="s">
        <v>4159</v>
      </c>
      <c r="O401" s="225" t="s">
        <v>4159</v>
      </c>
    </row>
    <row r="402" spans="1:15" ht="12.75" customHeight="1" x14ac:dyDescent="0.3">
      <c r="A402" s="789"/>
      <c r="B402" s="790"/>
      <c r="C402" s="789" t="s">
        <v>993</v>
      </c>
      <c r="D402" s="801"/>
      <c r="E402" s="801"/>
      <c r="F402" s="790"/>
      <c r="G402" s="801" t="s">
        <v>994</v>
      </c>
      <c r="H402" s="789" t="s">
        <v>813</v>
      </c>
      <c r="I402" s="220" t="str">
        <f>IF(ISBLANK(regional!I26),"",regional!I26)</f>
        <v/>
      </c>
      <c r="K402" s="225" t="s">
        <v>4159</v>
      </c>
      <c r="O402" s="225" t="s">
        <v>4159</v>
      </c>
    </row>
    <row r="403" spans="1:15" ht="12.75" customHeight="1" x14ac:dyDescent="0.3">
      <c r="A403" s="796"/>
      <c r="B403" s="797"/>
      <c r="C403" s="796" t="s">
        <v>995</v>
      </c>
      <c r="D403" s="802"/>
      <c r="E403" s="802"/>
      <c r="F403" s="797"/>
      <c r="G403" s="802" t="s">
        <v>996</v>
      </c>
      <c r="H403" s="796" t="s">
        <v>997</v>
      </c>
      <c r="I403" s="220" t="str">
        <f>IF(ISBLANK(regional!I27),"",regional!I27)</f>
        <v/>
      </c>
      <c r="K403" s="225" t="s">
        <v>4159</v>
      </c>
      <c r="O403" s="225" t="s">
        <v>4159</v>
      </c>
    </row>
    <row r="404" spans="1:15" ht="12.75" customHeight="1" x14ac:dyDescent="0.3">
      <c r="A404" s="789"/>
      <c r="B404" s="790"/>
      <c r="C404" s="789" t="s">
        <v>998</v>
      </c>
      <c r="D404" s="801"/>
      <c r="E404" s="801"/>
      <c r="F404" s="790"/>
      <c r="G404" s="801" t="s">
        <v>999</v>
      </c>
      <c r="H404" s="789" t="s">
        <v>997</v>
      </c>
      <c r="I404" s="220" t="str">
        <f>IF(ISBLANK(regional!I28),"",regional!I28)</f>
        <v/>
      </c>
      <c r="K404" s="225" t="s">
        <v>4159</v>
      </c>
      <c r="M404" s="225">
        <v>4</v>
      </c>
      <c r="N404" s="225">
        <v>4</v>
      </c>
      <c r="O404" s="225" t="s">
        <v>4159</v>
      </c>
    </row>
    <row r="405" spans="1:15" ht="12.75" customHeight="1" x14ac:dyDescent="0.3">
      <c r="A405" s="789"/>
      <c r="B405" s="790"/>
      <c r="C405" s="789" t="s">
        <v>1000</v>
      </c>
      <c r="D405" s="801"/>
      <c r="E405" s="801"/>
      <c r="F405" s="790"/>
      <c r="G405" s="801" t="s">
        <v>1001</v>
      </c>
      <c r="H405" s="789" t="s">
        <v>997</v>
      </c>
      <c r="I405" s="220" t="str">
        <f>IF(ISBLANK(regional!I29),"",regional!I29)</f>
        <v/>
      </c>
      <c r="K405" s="225" t="s">
        <v>4159</v>
      </c>
      <c r="M405" s="225" t="s">
        <v>4159</v>
      </c>
      <c r="N405" s="225" t="s">
        <v>4159</v>
      </c>
      <c r="O405" s="225" t="s">
        <v>4159</v>
      </c>
    </row>
    <row r="406" spans="1:15" ht="12.75" customHeight="1" x14ac:dyDescent="0.3">
      <c r="A406" s="789"/>
      <c r="B406" s="790"/>
      <c r="C406" s="789" t="s">
        <v>4685</v>
      </c>
      <c r="D406" s="801"/>
      <c r="E406" s="801"/>
      <c r="F406" s="790"/>
      <c r="G406" s="801" t="s">
        <v>1002</v>
      </c>
      <c r="H406" s="789" t="s">
        <v>813</v>
      </c>
      <c r="I406" s="220" t="str">
        <f>IF(ISBLANK(regional!I30),"",regional!I30)</f>
        <v/>
      </c>
      <c r="K406" s="225" t="s">
        <v>4159</v>
      </c>
      <c r="M406" s="225" t="s">
        <v>4159</v>
      </c>
      <c r="N406" s="225" t="s">
        <v>4159</v>
      </c>
      <c r="O406" s="225" t="s">
        <v>4159</v>
      </c>
    </row>
    <row r="407" spans="1:15" ht="12.75" customHeight="1" x14ac:dyDescent="0.3">
      <c r="A407" s="789"/>
      <c r="B407" s="790"/>
      <c r="C407" s="789" t="s">
        <v>4686</v>
      </c>
      <c r="D407" s="801"/>
      <c r="E407" s="801"/>
      <c r="F407" s="790"/>
      <c r="G407" s="801" t="s">
        <v>1003</v>
      </c>
      <c r="H407" s="789" t="s">
        <v>813</v>
      </c>
      <c r="I407" s="220" t="str">
        <f>IF(ISBLANK(regional!I31),"",regional!I31)</f>
        <v/>
      </c>
      <c r="K407" s="225" t="s">
        <v>4159</v>
      </c>
      <c r="M407" s="225" t="s">
        <v>4159</v>
      </c>
      <c r="N407" s="225" t="s">
        <v>4159</v>
      </c>
      <c r="O407" s="225" t="s">
        <v>4159</v>
      </c>
    </row>
    <row r="408" spans="1:15" ht="12.75" customHeight="1" x14ac:dyDescent="0.3">
      <c r="A408" s="789"/>
      <c r="B408" s="790"/>
      <c r="C408" s="789" t="s">
        <v>4687</v>
      </c>
      <c r="D408" s="801"/>
      <c r="E408" s="801"/>
      <c r="F408" s="790"/>
      <c r="G408" s="801" t="s">
        <v>1004</v>
      </c>
      <c r="H408" s="789" t="s">
        <v>813</v>
      </c>
      <c r="I408" s="220" t="str">
        <f>IF(ISBLANK(regional!I32),"",regional!I32)</f>
        <v/>
      </c>
      <c r="K408" s="225" t="s">
        <v>4159</v>
      </c>
      <c r="M408" s="225" t="s">
        <v>4159</v>
      </c>
      <c r="N408" s="225" t="s">
        <v>4159</v>
      </c>
      <c r="O408" s="225" t="s">
        <v>4159</v>
      </c>
    </row>
    <row r="409" spans="1:15" ht="12.75" customHeight="1" x14ac:dyDescent="0.3">
      <c r="A409" s="797"/>
      <c r="B409" s="797"/>
      <c r="C409" s="797" t="s">
        <v>1005</v>
      </c>
      <c r="D409" s="797"/>
      <c r="E409" s="797"/>
      <c r="F409" s="797"/>
      <c r="G409" s="796" t="s">
        <v>4688</v>
      </c>
      <c r="H409" s="796" t="s">
        <v>1007</v>
      </c>
      <c r="I409" s="220" t="str">
        <f>IF(ISBLANK(regional!I33),"",regional!I33)</f>
        <v/>
      </c>
      <c r="K409" s="225" t="s">
        <v>4159</v>
      </c>
      <c r="M409" s="225" t="s">
        <v>4159</v>
      </c>
      <c r="N409" s="225" t="s">
        <v>4159</v>
      </c>
      <c r="O409" s="225" t="s">
        <v>4159</v>
      </c>
    </row>
    <row r="410" spans="1:15" ht="12.75" customHeight="1" x14ac:dyDescent="0.3">
      <c r="A410" s="790"/>
      <c r="B410" s="790"/>
      <c r="C410" s="790" t="s">
        <v>1009</v>
      </c>
      <c r="D410" s="790"/>
      <c r="E410" s="790"/>
      <c r="F410" s="790"/>
      <c r="G410" s="789" t="s">
        <v>1010</v>
      </c>
      <c r="H410" s="789" t="s">
        <v>1007</v>
      </c>
      <c r="I410" s="220" t="str">
        <f>IF(ISBLANK(regional!I34),"",regional!I34)</f>
        <v/>
      </c>
      <c r="K410" s="225" t="s">
        <v>4159</v>
      </c>
      <c r="M410" s="225" t="s">
        <v>4159</v>
      </c>
      <c r="N410" s="225" t="s">
        <v>4159</v>
      </c>
      <c r="O410" s="225" t="s">
        <v>4159</v>
      </c>
    </row>
    <row r="411" spans="1:15" ht="12.75" customHeight="1" x14ac:dyDescent="0.3">
      <c r="A411" s="790"/>
      <c r="B411" s="790"/>
      <c r="C411" s="790" t="s">
        <v>1012</v>
      </c>
      <c r="D411" s="790"/>
      <c r="E411" s="790"/>
      <c r="F411" s="790"/>
      <c r="G411" s="789" t="s">
        <v>4689</v>
      </c>
      <c r="H411" s="789" t="s">
        <v>1007</v>
      </c>
      <c r="I411" s="220" t="str">
        <f>IF(ISBLANK(regional!I35),"",regional!I35)</f>
        <v/>
      </c>
      <c r="K411" s="225" t="s">
        <v>4159</v>
      </c>
      <c r="M411" s="225" t="s">
        <v>4159</v>
      </c>
      <c r="N411" s="225" t="s">
        <v>4159</v>
      </c>
      <c r="O411" s="225" t="s">
        <v>4159</v>
      </c>
    </row>
    <row r="412" spans="1:15" ht="12.75" customHeight="1" x14ac:dyDescent="0.3">
      <c r="A412" s="789"/>
      <c r="B412" s="790"/>
      <c r="C412" s="789" t="s">
        <v>1014</v>
      </c>
      <c r="D412" s="801"/>
      <c r="E412" s="801"/>
      <c r="F412" s="790"/>
      <c r="G412" s="801" t="s">
        <v>1015</v>
      </c>
      <c r="H412" s="789" t="s">
        <v>1007</v>
      </c>
      <c r="I412" s="220" t="str">
        <f>IF(ISBLANK(regional!I36),"",regional!I36)</f>
        <v/>
      </c>
      <c r="K412" s="225" t="s">
        <v>4159</v>
      </c>
      <c r="M412" s="225" t="s">
        <v>4159</v>
      </c>
      <c r="N412" s="225" t="s">
        <v>4159</v>
      </c>
      <c r="O412" s="225" t="s">
        <v>4159</v>
      </c>
    </row>
    <row r="413" spans="1:15" ht="12.75" customHeight="1" x14ac:dyDescent="0.3">
      <c r="A413" s="789"/>
      <c r="B413" s="790"/>
      <c r="C413" s="789" t="s">
        <v>1016</v>
      </c>
      <c r="D413" s="801"/>
      <c r="E413" s="801"/>
      <c r="F413" s="790"/>
      <c r="G413" s="801" t="s">
        <v>1017</v>
      </c>
      <c r="H413" s="789" t="s">
        <v>1007</v>
      </c>
      <c r="I413" s="220" t="str">
        <f>IF(ISBLANK(regional!I37),"",regional!I37)</f>
        <v/>
      </c>
      <c r="K413" s="225" t="s">
        <v>4159</v>
      </c>
      <c r="M413" s="225" t="s">
        <v>4159</v>
      </c>
      <c r="N413" s="225" t="s">
        <v>4159</v>
      </c>
      <c r="O413" s="225" t="s">
        <v>4159</v>
      </c>
    </row>
    <row r="414" spans="1:15" ht="12.75" customHeight="1" x14ac:dyDescent="0.3">
      <c r="A414" s="789"/>
      <c r="B414" s="790"/>
      <c r="C414" s="789" t="s">
        <v>1018</v>
      </c>
      <c r="D414" s="801"/>
      <c r="E414" s="801"/>
      <c r="F414" s="790"/>
      <c r="G414" s="801" t="s">
        <v>1019</v>
      </c>
      <c r="H414" s="789" t="s">
        <v>1007</v>
      </c>
      <c r="I414" s="220" t="str">
        <f>IF(ISBLANK(regional!I38),"",regional!I38)</f>
        <v/>
      </c>
      <c r="K414" s="225" t="s">
        <v>4159</v>
      </c>
      <c r="M414" s="225" t="s">
        <v>4159</v>
      </c>
      <c r="N414" s="225" t="s">
        <v>4159</v>
      </c>
      <c r="O414" s="225" t="s">
        <v>4159</v>
      </c>
    </row>
    <row r="415" spans="1:15" ht="12.75" customHeight="1" x14ac:dyDescent="0.3">
      <c r="A415" s="789"/>
      <c r="B415" s="790"/>
      <c r="C415" s="789" t="s">
        <v>1020</v>
      </c>
      <c r="D415" s="801"/>
      <c r="E415" s="801"/>
      <c r="F415" s="790"/>
      <c r="G415" s="801" t="s">
        <v>1021</v>
      </c>
      <c r="H415" s="789" t="s">
        <v>1007</v>
      </c>
      <c r="I415" s="220" t="str">
        <f>IF(ISBLANK(regional!I39),"",regional!I39)</f>
        <v/>
      </c>
      <c r="K415" s="225" t="s">
        <v>4159</v>
      </c>
      <c r="M415" s="225" t="s">
        <v>4159</v>
      </c>
      <c r="N415" s="225" t="s">
        <v>4159</v>
      </c>
      <c r="O415" s="225" t="s">
        <v>4159</v>
      </c>
    </row>
    <row r="416" spans="1:15" ht="12.75" customHeight="1" x14ac:dyDescent="0.3">
      <c r="A416" s="789"/>
      <c r="B416" s="790"/>
      <c r="C416" s="789" t="s">
        <v>1022</v>
      </c>
      <c r="D416" s="801"/>
      <c r="E416" s="801"/>
      <c r="F416" s="790"/>
      <c r="G416" s="801" t="s">
        <v>1023</v>
      </c>
      <c r="H416" s="789" t="s">
        <v>1007</v>
      </c>
      <c r="I416" s="220" t="str">
        <f>IF(ISBLANK(regional!I40),"",regional!I40)</f>
        <v/>
      </c>
      <c r="K416" s="225" t="s">
        <v>4159</v>
      </c>
      <c r="M416" s="225" t="s">
        <v>4159</v>
      </c>
      <c r="N416" s="225" t="s">
        <v>4159</v>
      </c>
      <c r="O416" s="225" t="s">
        <v>4159</v>
      </c>
    </row>
    <row r="417" spans="1:15" ht="12.75" customHeight="1" x14ac:dyDescent="0.3">
      <c r="A417" s="789"/>
      <c r="B417" s="790"/>
      <c r="C417" s="789" t="s">
        <v>1024</v>
      </c>
      <c r="D417" s="801"/>
      <c r="E417" s="801"/>
      <c r="F417" s="790"/>
      <c r="G417" s="801" t="s">
        <v>1025</v>
      </c>
      <c r="H417" s="789" t="s">
        <v>1007</v>
      </c>
      <c r="I417" s="220" t="str">
        <f>IF(ISBLANK(regional!I41),"",regional!I41)</f>
        <v/>
      </c>
      <c r="K417" s="225" t="s">
        <v>4159</v>
      </c>
      <c r="M417" s="225" t="s">
        <v>4159</v>
      </c>
      <c r="N417" s="225" t="s">
        <v>4159</v>
      </c>
      <c r="O417" s="225" t="s">
        <v>4159</v>
      </c>
    </row>
    <row r="418" spans="1:15" ht="12.75" customHeight="1" x14ac:dyDescent="0.3">
      <c r="A418" s="789"/>
      <c r="B418" s="790"/>
      <c r="C418" s="789" t="s">
        <v>1026</v>
      </c>
      <c r="D418" s="801"/>
      <c r="E418" s="801"/>
      <c r="F418" s="790"/>
      <c r="G418" s="801" t="s">
        <v>1027</v>
      </c>
      <c r="H418" s="789" t="s">
        <v>1007</v>
      </c>
      <c r="I418" s="220" t="str">
        <f>IF(ISBLANK(regional!I42),"",regional!I42)</f>
        <v/>
      </c>
      <c r="K418" s="225" t="s">
        <v>4159</v>
      </c>
      <c r="M418" s="225" t="s">
        <v>4159</v>
      </c>
      <c r="N418" s="225" t="s">
        <v>4159</v>
      </c>
      <c r="O418" s="225" t="s">
        <v>4159</v>
      </c>
    </row>
    <row r="419" spans="1:15" ht="12.75" customHeight="1" x14ac:dyDescent="0.3">
      <c r="A419" s="789"/>
      <c r="B419" s="790"/>
      <c r="C419" s="789" t="s">
        <v>1028</v>
      </c>
      <c r="D419" s="801"/>
      <c r="E419" s="801"/>
      <c r="F419" s="790"/>
      <c r="G419" s="801" t="s">
        <v>1029</v>
      </c>
      <c r="H419" s="789" t="s">
        <v>1007</v>
      </c>
      <c r="I419" s="220" t="str">
        <f>IF(ISBLANK(regional!I43),"",regional!I43)</f>
        <v/>
      </c>
      <c r="K419" s="225" t="s">
        <v>4159</v>
      </c>
      <c r="M419" s="225" t="s">
        <v>4159</v>
      </c>
      <c r="N419" s="225" t="s">
        <v>4159</v>
      </c>
      <c r="O419" s="225" t="s">
        <v>4159</v>
      </c>
    </row>
    <row r="420" spans="1:15" ht="12.75" customHeight="1" x14ac:dyDescent="0.3">
      <c r="A420" s="789"/>
      <c r="B420" s="790"/>
      <c r="C420" s="789" t="s">
        <v>1030</v>
      </c>
      <c r="D420" s="801"/>
      <c r="E420" s="801"/>
      <c r="F420" s="790"/>
      <c r="G420" s="801" t="s">
        <v>1031</v>
      </c>
      <c r="H420" s="789" t="s">
        <v>1007</v>
      </c>
      <c r="I420" s="220" t="str">
        <f>IF(ISBLANK(regional!I44),"",regional!I44)</f>
        <v/>
      </c>
      <c r="K420" s="225" t="s">
        <v>4159</v>
      </c>
      <c r="M420" s="225" t="s">
        <v>4159</v>
      </c>
      <c r="N420" s="225" t="s">
        <v>4159</v>
      </c>
      <c r="O420" s="225" t="s">
        <v>4159</v>
      </c>
    </row>
    <row r="421" spans="1:15" ht="12.75" customHeight="1" x14ac:dyDescent="0.3">
      <c r="A421" s="789"/>
      <c r="B421" s="790"/>
      <c r="C421" s="789" t="s">
        <v>1032</v>
      </c>
      <c r="D421" s="801"/>
      <c r="E421" s="801"/>
      <c r="F421" s="790"/>
      <c r="G421" s="801" t="s">
        <v>1033</v>
      </c>
      <c r="H421" s="789" t="s">
        <v>1007</v>
      </c>
      <c r="I421" s="220" t="str">
        <f>IF(ISBLANK(regional!I45),"",regional!I45)</f>
        <v/>
      </c>
      <c r="J421" s="635"/>
      <c r="K421" s="225" t="s">
        <v>4159</v>
      </c>
      <c r="M421" s="225">
        <v>0.5</v>
      </c>
      <c r="N421" s="225">
        <v>0.5</v>
      </c>
      <c r="O421" s="225" t="s">
        <v>4159</v>
      </c>
    </row>
    <row r="422" spans="1:15" ht="12.75" customHeight="1" x14ac:dyDescent="0.3">
      <c r="A422" s="789"/>
      <c r="B422" s="790"/>
      <c r="C422" s="789" t="s">
        <v>1034</v>
      </c>
      <c r="D422" s="801"/>
      <c r="E422" s="801"/>
      <c r="F422" s="790"/>
      <c r="G422" s="801" t="s">
        <v>1035</v>
      </c>
      <c r="H422" s="789" t="s">
        <v>1007</v>
      </c>
      <c r="I422" s="220" t="str">
        <f>IF(ISBLANK(regional!I46),"",regional!I46)</f>
        <v/>
      </c>
      <c r="K422" s="225" t="s">
        <v>4159</v>
      </c>
      <c r="O422" s="225" t="s">
        <v>4159</v>
      </c>
    </row>
    <row r="423" spans="1:15" ht="12.75" customHeight="1" x14ac:dyDescent="0.3">
      <c r="A423" s="789"/>
      <c r="B423" s="790"/>
      <c r="C423" s="790"/>
      <c r="D423" s="790"/>
      <c r="E423" s="790"/>
      <c r="F423" s="790"/>
      <c r="G423" s="801"/>
      <c r="H423" s="789"/>
      <c r="I423" s="220" t="str">
        <f>IF(ISBLANK(regional!I47),"",regional!I47)</f>
        <v/>
      </c>
      <c r="K423" s="225" t="s">
        <v>4159</v>
      </c>
      <c r="O423" s="225" t="s">
        <v>4159</v>
      </c>
    </row>
    <row r="424" spans="1:15" ht="12.75" customHeight="1" x14ac:dyDescent="0.3">
      <c r="A424" s="789" t="s">
        <v>1036</v>
      </c>
      <c r="B424" s="790"/>
      <c r="C424" s="790"/>
      <c r="D424" s="790"/>
      <c r="E424" s="790"/>
      <c r="F424" s="790"/>
      <c r="G424" s="789" t="s">
        <v>1037</v>
      </c>
      <c r="H424" s="789" t="s">
        <v>4690</v>
      </c>
      <c r="I424" s="220" t="str">
        <f>IF(ISBLANK(regional!I48),"",regional!I48)</f>
        <v/>
      </c>
      <c r="K424" s="225" t="s">
        <v>4159</v>
      </c>
      <c r="L424" s="225">
        <v>0</v>
      </c>
      <c r="O424" s="225" t="s">
        <v>4159</v>
      </c>
    </row>
    <row r="425" spans="1:15" ht="12.75" customHeight="1" x14ac:dyDescent="0.3">
      <c r="A425" s="789"/>
      <c r="B425" s="789"/>
      <c r="C425" s="789" t="s">
        <v>1039</v>
      </c>
      <c r="D425" s="801"/>
      <c r="E425" s="790"/>
      <c r="F425" s="790"/>
      <c r="G425" s="789" t="s">
        <v>1040</v>
      </c>
      <c r="H425" s="789" t="s">
        <v>1041</v>
      </c>
      <c r="I425" s="220" t="str">
        <f>IF(ISBLANK(regional!I49),"",regional!I49)</f>
        <v/>
      </c>
      <c r="K425" s="225" t="s">
        <v>4159</v>
      </c>
      <c r="O425" s="225" t="s">
        <v>4159</v>
      </c>
    </row>
    <row r="426" spans="1:15" ht="12.75" customHeight="1" x14ac:dyDescent="0.3">
      <c r="A426" s="789"/>
      <c r="B426" s="790"/>
      <c r="C426" s="790"/>
      <c r="D426" s="790"/>
      <c r="E426" s="790"/>
      <c r="F426" s="790"/>
      <c r="G426" s="801"/>
      <c r="H426" s="789"/>
      <c r="I426" s="220" t="str">
        <f>IF(ISBLANK(regional!I50),"",regional!I50)</f>
        <v/>
      </c>
      <c r="K426" s="225" t="s">
        <v>4159</v>
      </c>
      <c r="O426" s="225" t="s">
        <v>4159</v>
      </c>
    </row>
    <row r="427" spans="1:15" ht="12.75" customHeight="1" x14ac:dyDescent="0.3">
      <c r="A427" s="789" t="s">
        <v>1043</v>
      </c>
      <c r="B427" s="790"/>
      <c r="C427" s="790"/>
      <c r="D427" s="790"/>
      <c r="E427" s="790"/>
      <c r="F427" s="790"/>
      <c r="G427" s="789" t="s">
        <v>1044</v>
      </c>
      <c r="H427" s="789" t="s">
        <v>4690</v>
      </c>
      <c r="I427" s="220" t="str">
        <f>IF(ISBLANK(regional!I51),"",regional!I51)</f>
        <v/>
      </c>
      <c r="K427" s="225" t="s">
        <v>4159</v>
      </c>
      <c r="L427" s="225">
        <v>0</v>
      </c>
      <c r="O427" s="225" t="s">
        <v>4159</v>
      </c>
    </row>
    <row r="428" spans="1:15" ht="12.75" customHeight="1" x14ac:dyDescent="0.3">
      <c r="A428" s="789" t="s">
        <v>1045</v>
      </c>
      <c r="B428" s="790"/>
      <c r="C428" s="790"/>
      <c r="D428" s="790"/>
      <c r="E428" s="790"/>
      <c r="F428" s="790"/>
      <c r="G428" s="789" t="s">
        <v>1046</v>
      </c>
      <c r="H428" s="789" t="s">
        <v>4690</v>
      </c>
      <c r="I428" s="220" t="str">
        <f>IF(ISBLANK(regional!I52),"",regional!I52)</f>
        <v/>
      </c>
      <c r="K428" s="225" t="s">
        <v>4159</v>
      </c>
      <c r="L428" s="225">
        <v>0</v>
      </c>
      <c r="O428" s="225" t="s">
        <v>4159</v>
      </c>
    </row>
    <row r="429" spans="1:15" ht="12.75" customHeight="1" x14ac:dyDescent="0.3">
      <c r="A429" s="789" t="s">
        <v>1047</v>
      </c>
      <c r="B429" s="790"/>
      <c r="C429" s="790"/>
      <c r="D429" s="790"/>
      <c r="E429" s="790"/>
      <c r="F429" s="790"/>
      <c r="G429" s="789" t="s">
        <v>1048</v>
      </c>
      <c r="H429" s="789" t="s">
        <v>4690</v>
      </c>
      <c r="I429" s="220" t="str">
        <f>IF(ISBLANK(regional!I53),"",regional!I53)</f>
        <v/>
      </c>
      <c r="K429" s="225" t="s">
        <v>4159</v>
      </c>
      <c r="L429" s="225">
        <v>0</v>
      </c>
      <c r="O429" s="225" t="s">
        <v>4159</v>
      </c>
    </row>
    <row r="430" spans="1:15" ht="12.75" customHeight="1" x14ac:dyDescent="0.3">
      <c r="A430" s="789" t="s">
        <v>1049</v>
      </c>
      <c r="B430" s="790"/>
      <c r="C430" s="790"/>
      <c r="D430" s="790"/>
      <c r="E430" s="790"/>
      <c r="F430" s="790"/>
      <c r="G430" s="789" t="s">
        <v>1050</v>
      </c>
      <c r="H430" s="789" t="s">
        <v>4690</v>
      </c>
      <c r="I430" s="220" t="str">
        <f>IF(ISBLANK(regional!I54),"",regional!I54)</f>
        <v/>
      </c>
      <c r="K430" s="225" t="s">
        <v>4159</v>
      </c>
      <c r="L430" s="225">
        <v>0</v>
      </c>
      <c r="O430" s="225" t="s">
        <v>4159</v>
      </c>
    </row>
    <row r="431" spans="1:15" ht="12.75" customHeight="1" x14ac:dyDescent="0.3">
      <c r="A431" s="789" t="s">
        <v>1051</v>
      </c>
      <c r="B431" s="790"/>
      <c r="C431" s="790"/>
      <c r="D431" s="790"/>
      <c r="E431" s="790"/>
      <c r="F431" s="790"/>
      <c r="G431" s="789" t="s">
        <v>1052</v>
      </c>
      <c r="H431" s="789" t="s">
        <v>4690</v>
      </c>
      <c r="I431" s="220" t="str">
        <f>IF(ISBLANK(regional!I55),"",regional!I55)</f>
        <v/>
      </c>
      <c r="K431" s="225" t="s">
        <v>4159</v>
      </c>
      <c r="L431" s="225">
        <v>0</v>
      </c>
      <c r="O431" s="225" t="s">
        <v>4159</v>
      </c>
    </row>
    <row r="432" spans="1:15" ht="12.75" customHeight="1" x14ac:dyDescent="0.3">
      <c r="A432" s="789"/>
      <c r="B432" s="789" t="s">
        <v>1053</v>
      </c>
      <c r="C432" s="790"/>
      <c r="D432" s="790"/>
      <c r="E432" s="801"/>
      <c r="F432" s="801"/>
      <c r="G432" s="801" t="s">
        <v>1054</v>
      </c>
      <c r="H432" s="789" t="s">
        <v>4691</v>
      </c>
      <c r="I432" s="220" t="str">
        <f>IF(ISBLANK(regional!I56),"",regional!I56)</f>
        <v/>
      </c>
      <c r="K432" s="225" t="s">
        <v>4159</v>
      </c>
      <c r="O432" s="225" t="s">
        <v>4159</v>
      </c>
    </row>
    <row r="433" spans="1:15" ht="12.75" customHeight="1" x14ac:dyDescent="0.3">
      <c r="A433" s="789"/>
      <c r="B433" s="789" t="s">
        <v>1056</v>
      </c>
      <c r="C433" s="790"/>
      <c r="D433" s="790"/>
      <c r="E433" s="801"/>
      <c r="F433" s="801"/>
      <c r="G433" s="801" t="s">
        <v>1057</v>
      </c>
      <c r="H433" s="789" t="s">
        <v>4691</v>
      </c>
      <c r="I433" s="220" t="str">
        <f>IF(ISBLANK(regional!I57),"",regional!I57)</f>
        <v/>
      </c>
      <c r="K433" s="225" t="s">
        <v>4159</v>
      </c>
      <c r="O433" s="225" t="s">
        <v>4159</v>
      </c>
    </row>
    <row r="434" spans="1:15" ht="12.75" customHeight="1" x14ac:dyDescent="0.3">
      <c r="A434" s="789"/>
      <c r="B434" s="789" t="s">
        <v>1058</v>
      </c>
      <c r="C434" s="790"/>
      <c r="D434" s="790"/>
      <c r="E434" s="801"/>
      <c r="F434" s="801"/>
      <c r="G434" s="801" t="s">
        <v>1059</v>
      </c>
      <c r="H434" s="789" t="s">
        <v>4691</v>
      </c>
      <c r="I434" s="220" t="str">
        <f>IF(ISBLANK(regional!I58),"",regional!I58)</f>
        <v/>
      </c>
      <c r="K434" s="225" t="s">
        <v>4159</v>
      </c>
      <c r="O434" s="225" t="s">
        <v>4159</v>
      </c>
    </row>
    <row r="435" spans="1:15" ht="12.75" customHeight="1" x14ac:dyDescent="0.3">
      <c r="A435" s="789"/>
      <c r="B435" s="789" t="s">
        <v>1060</v>
      </c>
      <c r="C435" s="790"/>
      <c r="D435" s="790"/>
      <c r="E435" s="801"/>
      <c r="F435" s="801"/>
      <c r="G435" s="801" t="s">
        <v>1061</v>
      </c>
      <c r="H435" s="789" t="s">
        <v>4691</v>
      </c>
      <c r="I435" s="220" t="str">
        <f>IF(ISBLANK(regional!I59),"",regional!I59)</f>
        <v/>
      </c>
      <c r="K435" s="225" t="s">
        <v>4159</v>
      </c>
      <c r="M435" s="225">
        <v>74.451027688627093</v>
      </c>
      <c r="N435" s="225">
        <v>13.076273510050701</v>
      </c>
      <c r="O435" s="225" t="s">
        <v>4159</v>
      </c>
    </row>
    <row r="436" spans="1:15" ht="12.75" customHeight="1" x14ac:dyDescent="0.3">
      <c r="A436" s="789"/>
      <c r="B436" s="789" t="s">
        <v>1062</v>
      </c>
      <c r="C436" s="789"/>
      <c r="D436" s="790"/>
      <c r="E436" s="801"/>
      <c r="F436" s="801"/>
      <c r="G436" s="801" t="s">
        <v>1063</v>
      </c>
      <c r="H436" s="789" t="s">
        <v>4691</v>
      </c>
      <c r="I436" s="220" t="str">
        <f>IF(ISBLANK(regional!I60),"",regional!I60)</f>
        <v/>
      </c>
      <c r="K436" s="225" t="s">
        <v>4159</v>
      </c>
      <c r="L436" s="225">
        <v>0</v>
      </c>
      <c r="O436" s="225" t="s">
        <v>4159</v>
      </c>
    </row>
    <row r="437" spans="1:15" ht="12.75" customHeight="1" x14ac:dyDescent="0.3">
      <c r="I437" s="220" t="str">
        <f>IF(ISBLANK(regional!I61),"",regional!I61)</f>
        <v/>
      </c>
      <c r="K437" s="225" t="s">
        <v>4159</v>
      </c>
      <c r="O437" s="225" t="s">
        <v>4159</v>
      </c>
    </row>
    <row r="438" spans="1:15" ht="12.75" customHeight="1" x14ac:dyDescent="0.3">
      <c r="A438" s="785" t="s">
        <v>1064</v>
      </c>
      <c r="B438" s="784"/>
      <c r="C438" s="784"/>
      <c r="D438" s="784"/>
      <c r="E438" s="784"/>
      <c r="F438" s="784"/>
      <c r="G438" s="785" t="s">
        <v>258</v>
      </c>
      <c r="H438" s="785" t="s">
        <v>274</v>
      </c>
      <c r="I438" s="220" t="str">
        <f>IF(ISBLANK(regional!I62),"",regional!I62)</f>
        <v>User input</v>
      </c>
      <c r="K438" s="225" t="s">
        <v>259</v>
      </c>
      <c r="O438" s="225" t="s">
        <v>259</v>
      </c>
    </row>
    <row r="439" spans="1:15" ht="12.75" customHeight="1" x14ac:dyDescent="0.3">
      <c r="A439" s="779"/>
      <c r="B439" s="779"/>
      <c r="C439" s="779"/>
      <c r="D439" s="779"/>
      <c r="E439" s="779"/>
      <c r="F439" s="779"/>
      <c r="I439" s="220" t="str">
        <f>IF(ISBLANK(regional!I63),"",regional!I63)</f>
        <v/>
      </c>
      <c r="K439" s="225" t="s">
        <v>4159</v>
      </c>
      <c r="O439" s="225" t="s">
        <v>4159</v>
      </c>
    </row>
    <row r="440" spans="1:15" ht="12.75" customHeight="1" x14ac:dyDescent="0.3">
      <c r="A440" s="790"/>
      <c r="B440" s="790" t="s">
        <v>4693</v>
      </c>
      <c r="C440" s="790"/>
      <c r="D440" s="790"/>
      <c r="E440" s="790"/>
      <c r="F440" s="790"/>
      <c r="G440" s="790" t="s">
        <v>4694</v>
      </c>
      <c r="H440" s="790" t="s">
        <v>291</v>
      </c>
      <c r="I440" s="220" t="str">
        <f>IF(ISBLANK(regional!I64),"",regional!I64)</f>
        <v/>
      </c>
      <c r="K440" s="225" t="s">
        <v>4159</v>
      </c>
      <c r="O440" s="225" t="s">
        <v>4159</v>
      </c>
    </row>
    <row r="441" spans="1:15" ht="12.75" customHeight="1" x14ac:dyDescent="0.3">
      <c r="A441" s="790"/>
      <c r="B441" s="790" t="s">
        <v>4695</v>
      </c>
      <c r="C441" s="790"/>
      <c r="D441" s="790"/>
      <c r="E441" s="790"/>
      <c r="F441" s="790"/>
      <c r="G441" s="790" t="s">
        <v>1066</v>
      </c>
      <c r="H441" s="790" t="s">
        <v>291</v>
      </c>
      <c r="I441" s="220" t="str">
        <f>IF(ISBLANK(regional!I65),"",regional!I65)</f>
        <v/>
      </c>
      <c r="K441" s="225" t="s">
        <v>4159</v>
      </c>
      <c r="O441" s="225" t="s">
        <v>4159</v>
      </c>
    </row>
    <row r="442" spans="1:15" ht="12.75" customHeight="1" x14ac:dyDescent="0.3">
      <c r="A442" s="790"/>
      <c r="B442" s="790" t="s">
        <v>4696</v>
      </c>
      <c r="C442" s="790"/>
      <c r="D442" s="790"/>
      <c r="E442" s="790"/>
      <c r="F442" s="790"/>
      <c r="G442" s="790" t="s">
        <v>1068</v>
      </c>
      <c r="H442" s="790" t="s">
        <v>291</v>
      </c>
      <c r="I442" s="220" t="str">
        <f>IF(ISBLANK(regional!I66),"",regional!I66)</f>
        <v/>
      </c>
      <c r="K442" s="225" t="s">
        <v>4159</v>
      </c>
      <c r="O442" s="225" t="s">
        <v>4159</v>
      </c>
    </row>
    <row r="443" spans="1:15" ht="12.75" customHeight="1" x14ac:dyDescent="0.35">
      <c r="A443" s="790"/>
      <c r="B443" s="790"/>
      <c r="C443" s="790" t="s">
        <v>4697</v>
      </c>
      <c r="D443" s="790"/>
      <c r="E443" s="790"/>
      <c r="F443" s="790"/>
      <c r="G443" s="790" t="s">
        <v>4698</v>
      </c>
      <c r="H443" s="790" t="s">
        <v>4699</v>
      </c>
      <c r="I443" s="220" t="str">
        <f>IF(ISBLANK(regional!I67),"",regional!I67)</f>
        <v/>
      </c>
      <c r="K443" s="225" t="s">
        <v>4159</v>
      </c>
      <c r="O443" s="225" t="s">
        <v>4159</v>
      </c>
    </row>
    <row r="444" spans="1:15" ht="12.75" customHeight="1" x14ac:dyDescent="0.35">
      <c r="A444" s="790"/>
      <c r="B444" s="790"/>
      <c r="C444" s="790" t="s">
        <v>4700</v>
      </c>
      <c r="D444" s="790"/>
      <c r="E444" s="790"/>
      <c r="F444" s="790"/>
      <c r="G444" s="790" t="s">
        <v>1070</v>
      </c>
      <c r="H444" s="790" t="s">
        <v>4701</v>
      </c>
      <c r="I444" s="220" t="str">
        <f>IF(ISBLANK(regional!I68),"",regional!I68)</f>
        <v/>
      </c>
      <c r="K444" s="225" t="s">
        <v>4159</v>
      </c>
      <c r="O444" s="225" t="s">
        <v>4159</v>
      </c>
    </row>
    <row r="445" spans="1:15" ht="12.75" customHeight="1" x14ac:dyDescent="0.35">
      <c r="A445" s="790"/>
      <c r="B445" s="790"/>
      <c r="C445" s="790" t="s">
        <v>4702</v>
      </c>
      <c r="D445" s="790"/>
      <c r="E445" s="790"/>
      <c r="F445" s="790"/>
      <c r="G445" s="790" t="s">
        <v>1072</v>
      </c>
      <c r="H445" s="790" t="s">
        <v>4703</v>
      </c>
      <c r="I445" s="220" t="str">
        <f>IF(ISBLANK(regional!I69),"",regional!I69)</f>
        <v/>
      </c>
      <c r="J445" s="635"/>
      <c r="K445" s="225" t="s">
        <v>4159</v>
      </c>
      <c r="O445" s="225" t="s">
        <v>4159</v>
      </c>
    </row>
    <row r="446" spans="1:15" ht="12.75" customHeight="1" x14ac:dyDescent="0.3">
      <c r="A446" s="789"/>
      <c r="B446" s="789" t="s">
        <v>4704</v>
      </c>
      <c r="C446" s="801"/>
      <c r="D446" s="790"/>
      <c r="E446" s="790"/>
      <c r="F446" s="790"/>
      <c r="G446" s="801" t="s">
        <v>4705</v>
      </c>
      <c r="H446" s="789" t="s">
        <v>291</v>
      </c>
      <c r="I446" s="220" t="str">
        <f>IF(ISBLANK(regional!I70),"",regional!I70)</f>
        <v/>
      </c>
      <c r="K446" s="225" t="s">
        <v>4159</v>
      </c>
      <c r="O446" s="225" t="s">
        <v>4159</v>
      </c>
    </row>
    <row r="447" spans="1:15" ht="12.75" customHeight="1" x14ac:dyDescent="0.3">
      <c r="A447" s="789"/>
      <c r="B447" s="790"/>
      <c r="C447" s="789" t="s">
        <v>1075</v>
      </c>
      <c r="D447" s="790"/>
      <c r="E447" s="790"/>
      <c r="F447" s="790"/>
      <c r="G447" s="801" t="s">
        <v>1076</v>
      </c>
      <c r="H447" s="789" t="s">
        <v>4706</v>
      </c>
      <c r="I447" s="220" t="str">
        <f>IF(ISBLANK(regional!I71),"",regional!I71)</f>
        <v/>
      </c>
      <c r="K447" s="225" t="s">
        <v>4159</v>
      </c>
      <c r="O447" s="225" t="s">
        <v>4159</v>
      </c>
    </row>
    <row r="448" spans="1:15" ht="12.75" customHeight="1" x14ac:dyDescent="0.3">
      <c r="A448" s="789"/>
      <c r="B448" s="790"/>
      <c r="C448" s="789" t="s">
        <v>1079</v>
      </c>
      <c r="D448" s="790"/>
      <c r="E448" s="790"/>
      <c r="F448" s="790"/>
      <c r="G448" s="801" t="s">
        <v>1080</v>
      </c>
      <c r="H448" s="789" t="s">
        <v>291</v>
      </c>
      <c r="I448" s="220" t="str">
        <f>IF(ISBLANK(regional!I72),"",regional!I72)</f>
        <v/>
      </c>
      <c r="K448" s="225" t="s">
        <v>4159</v>
      </c>
      <c r="O448" s="225" t="s">
        <v>4159</v>
      </c>
    </row>
    <row r="449" spans="1:15" ht="12.75" customHeight="1" x14ac:dyDescent="0.3">
      <c r="A449" s="789"/>
      <c r="B449" s="790"/>
      <c r="C449" s="789" t="s">
        <v>720</v>
      </c>
      <c r="D449" s="790"/>
      <c r="E449" s="790"/>
      <c r="F449" s="790"/>
      <c r="G449" s="801" t="s">
        <v>721</v>
      </c>
      <c r="H449" s="789" t="s">
        <v>4785</v>
      </c>
      <c r="I449" s="220" t="str">
        <f>IF(ISBLANK(input!I281),"",input!I281)</f>
        <v/>
      </c>
      <c r="K449" s="225" t="s">
        <v>4159</v>
      </c>
      <c r="O449" s="225" t="s">
        <v>4159</v>
      </c>
    </row>
    <row r="450" spans="1:15" ht="12.75" customHeight="1" x14ac:dyDescent="0.3">
      <c r="A450" s="789"/>
      <c r="B450" s="790"/>
      <c r="C450" s="789" t="s">
        <v>1081</v>
      </c>
      <c r="D450" s="790"/>
      <c r="E450" s="790"/>
      <c r="F450" s="790"/>
      <c r="G450" s="801" t="s">
        <v>1082</v>
      </c>
      <c r="H450" s="789" t="s">
        <v>1083</v>
      </c>
      <c r="I450" s="220" t="str">
        <f>IF(ISBLANK(regional!I73),"",regional!I73)</f>
        <v/>
      </c>
      <c r="K450" s="225" t="s">
        <v>4159</v>
      </c>
      <c r="O450" s="225" t="s">
        <v>4159</v>
      </c>
    </row>
    <row r="451" spans="1:15" ht="12.75" customHeight="1" x14ac:dyDescent="0.3">
      <c r="A451" s="789"/>
      <c r="B451" s="790"/>
      <c r="C451" s="789" t="s">
        <v>714</v>
      </c>
      <c r="D451" s="790"/>
      <c r="E451" s="790"/>
      <c r="F451" s="790"/>
      <c r="G451" s="801" t="s">
        <v>715</v>
      </c>
      <c r="H451" s="789" t="s">
        <v>716</v>
      </c>
      <c r="I451" s="220" t="str">
        <f>IF(ISBLANK(input!I278),"",input!I278)</f>
        <v/>
      </c>
      <c r="K451" s="225" t="s">
        <v>4159</v>
      </c>
      <c r="O451" s="225" t="s">
        <v>4159</v>
      </c>
    </row>
    <row r="452" spans="1:15" ht="12.75" customHeight="1" x14ac:dyDescent="0.3">
      <c r="A452" s="789"/>
      <c r="B452" s="789" t="s">
        <v>4707</v>
      </c>
      <c r="C452" s="801"/>
      <c r="D452" s="790"/>
      <c r="E452" s="790"/>
      <c r="F452" s="790"/>
      <c r="G452" s="801" t="s">
        <v>4708</v>
      </c>
      <c r="H452" s="789" t="s">
        <v>291</v>
      </c>
      <c r="I452" s="220" t="str">
        <f>IF(ISBLANK(regional!I74),"",regional!I74)</f>
        <v/>
      </c>
      <c r="K452" s="225" t="s">
        <v>4159</v>
      </c>
      <c r="O452" s="225" t="s">
        <v>4159</v>
      </c>
    </row>
    <row r="453" spans="1:15" ht="12.75" customHeight="1" x14ac:dyDescent="0.3">
      <c r="A453" s="789"/>
      <c r="B453" s="790"/>
      <c r="C453" s="789" t="s">
        <v>1075</v>
      </c>
      <c r="D453" s="790"/>
      <c r="E453" s="790"/>
      <c r="F453" s="790"/>
      <c r="G453" s="801" t="s">
        <v>1084</v>
      </c>
      <c r="H453" s="789" t="s">
        <v>4706</v>
      </c>
      <c r="I453" s="220" t="str">
        <f>IF(ISBLANK(regional!I75),"",regional!I75)</f>
        <v/>
      </c>
      <c r="K453" s="225" t="s">
        <v>4159</v>
      </c>
      <c r="O453" s="225" t="s">
        <v>4159</v>
      </c>
    </row>
    <row r="454" spans="1:15" ht="12.75" customHeight="1" x14ac:dyDescent="0.3">
      <c r="A454" s="789"/>
      <c r="B454" s="790"/>
      <c r="C454" s="789" t="s">
        <v>1079</v>
      </c>
      <c r="D454" s="790"/>
      <c r="E454" s="790"/>
      <c r="F454" s="790"/>
      <c r="G454" s="801" t="s">
        <v>1085</v>
      </c>
      <c r="H454" s="789" t="s">
        <v>291</v>
      </c>
      <c r="I454" s="220" t="str">
        <f>IF(ISBLANK(regional!I76),"",regional!I76)</f>
        <v/>
      </c>
      <c r="K454" s="225" t="s">
        <v>4159</v>
      </c>
      <c r="O454" s="225" t="s">
        <v>4159</v>
      </c>
    </row>
    <row r="455" spans="1:15" ht="12.75" customHeight="1" x14ac:dyDescent="0.3">
      <c r="A455" s="789"/>
      <c r="B455" s="790"/>
      <c r="C455" s="789" t="s">
        <v>723</v>
      </c>
      <c r="D455" s="790"/>
      <c r="E455" s="790"/>
      <c r="F455" s="790"/>
      <c r="G455" s="801" t="s">
        <v>724</v>
      </c>
      <c r="H455" s="789" t="s">
        <v>4785</v>
      </c>
      <c r="I455" s="220" t="str">
        <f>IF(ISBLANK(input!I282),"",input!I282)</f>
        <v/>
      </c>
      <c r="K455" s="225" t="s">
        <v>4159</v>
      </c>
      <c r="O455" s="225" t="s">
        <v>4159</v>
      </c>
    </row>
    <row r="456" spans="1:15" ht="12.75" customHeight="1" x14ac:dyDescent="0.3">
      <c r="A456" s="789"/>
      <c r="B456" s="790"/>
      <c r="C456" s="789" t="s">
        <v>1081</v>
      </c>
      <c r="D456" s="790"/>
      <c r="E456" s="790"/>
      <c r="F456" s="790"/>
      <c r="G456" s="801" t="s">
        <v>1086</v>
      </c>
      <c r="H456" s="789" t="s">
        <v>1083</v>
      </c>
      <c r="I456" s="220" t="str">
        <f>IF(ISBLANK(regional!I77),"",regional!I77)</f>
        <v/>
      </c>
      <c r="K456" s="225" t="s">
        <v>4159</v>
      </c>
      <c r="O456" s="225" t="s">
        <v>4159</v>
      </c>
    </row>
    <row r="457" spans="1:15" ht="12.75" customHeight="1" x14ac:dyDescent="0.3">
      <c r="A457" s="789"/>
      <c r="B457" s="790"/>
      <c r="C457" s="789" t="s">
        <v>714</v>
      </c>
      <c r="D457" s="790"/>
      <c r="E457" s="790"/>
      <c r="F457" s="790"/>
      <c r="G457" s="801" t="s">
        <v>718</v>
      </c>
      <c r="H457" s="789" t="s">
        <v>716</v>
      </c>
      <c r="I457" s="220" t="str">
        <f>IF(ISBLANK(input!I279),"",input!I279)</f>
        <v/>
      </c>
      <c r="K457" s="225" t="s">
        <v>4159</v>
      </c>
      <c r="O457" s="225" t="s">
        <v>4159</v>
      </c>
    </row>
    <row r="458" spans="1:15" ht="12.75" customHeight="1" x14ac:dyDescent="0.3">
      <c r="A458" s="789"/>
      <c r="B458" s="789" t="s">
        <v>4709</v>
      </c>
      <c r="C458" s="801"/>
      <c r="D458" s="790"/>
      <c r="E458" s="790"/>
      <c r="F458" s="790"/>
      <c r="G458" s="801" t="s">
        <v>4710</v>
      </c>
      <c r="H458" s="789" t="s">
        <v>291</v>
      </c>
      <c r="I458" s="220" t="str">
        <f>IF(ISBLANK(regional!I78),"",regional!I78)</f>
        <v/>
      </c>
      <c r="K458" s="225" t="s">
        <v>4159</v>
      </c>
      <c r="O458" s="225" t="s">
        <v>4159</v>
      </c>
    </row>
    <row r="459" spans="1:15" ht="12.75" customHeight="1" x14ac:dyDescent="0.3">
      <c r="A459" s="789"/>
      <c r="B459" s="790"/>
      <c r="C459" s="789" t="s">
        <v>1075</v>
      </c>
      <c r="D459" s="790"/>
      <c r="E459" s="790"/>
      <c r="F459" s="790"/>
      <c r="G459" s="801" t="s">
        <v>1087</v>
      </c>
      <c r="H459" s="789" t="s">
        <v>4706</v>
      </c>
      <c r="I459" s="220" t="str">
        <f>IF(ISBLANK(regional!I79),"",regional!I79)</f>
        <v/>
      </c>
      <c r="K459" s="225" t="s">
        <v>4159</v>
      </c>
      <c r="O459" s="225" t="s">
        <v>4159</v>
      </c>
    </row>
    <row r="460" spans="1:15" ht="12.75" customHeight="1" x14ac:dyDescent="0.3">
      <c r="A460" s="789"/>
      <c r="B460" s="790"/>
      <c r="C460" s="789" t="s">
        <v>1079</v>
      </c>
      <c r="D460" s="790"/>
      <c r="E460" s="790"/>
      <c r="F460" s="790"/>
      <c r="G460" s="801" t="s">
        <v>1088</v>
      </c>
      <c r="H460" s="789" t="s">
        <v>291</v>
      </c>
      <c r="I460" s="220" t="str">
        <f>IF(ISBLANK(regional!I80),"",regional!I80)</f>
        <v/>
      </c>
      <c r="K460" s="225" t="s">
        <v>4159</v>
      </c>
      <c r="O460" s="225" t="s">
        <v>4159</v>
      </c>
    </row>
    <row r="461" spans="1:15" ht="12.75" customHeight="1" x14ac:dyDescent="0.3">
      <c r="A461" s="789"/>
      <c r="B461" s="790"/>
      <c r="C461" s="789" t="s">
        <v>725</v>
      </c>
      <c r="D461" s="790"/>
      <c r="E461" s="790"/>
      <c r="F461" s="790"/>
      <c r="G461" s="801" t="s">
        <v>726</v>
      </c>
      <c r="H461" s="789" t="s">
        <v>4785</v>
      </c>
      <c r="I461" s="220" t="str">
        <f>IF(ISBLANK(input!I283),"",input!I283)</f>
        <v/>
      </c>
      <c r="K461" s="225" t="s">
        <v>4159</v>
      </c>
      <c r="O461" s="225" t="s">
        <v>4159</v>
      </c>
    </row>
    <row r="462" spans="1:15" ht="12.75" customHeight="1" x14ac:dyDescent="0.3">
      <c r="A462" s="789"/>
      <c r="B462" s="790"/>
      <c r="C462" s="789" t="s">
        <v>1081</v>
      </c>
      <c r="D462" s="790"/>
      <c r="E462" s="790"/>
      <c r="F462" s="790"/>
      <c r="G462" s="801" t="s">
        <v>1089</v>
      </c>
      <c r="H462" s="789" t="s">
        <v>1083</v>
      </c>
      <c r="I462" s="220" t="str">
        <f>IF(ISBLANK(regional!I81),"",regional!I81)</f>
        <v/>
      </c>
      <c r="K462" s="225" t="s">
        <v>4159</v>
      </c>
      <c r="O462" s="225" t="s">
        <v>4159</v>
      </c>
    </row>
    <row r="463" spans="1:15" ht="12.75" customHeight="1" x14ac:dyDescent="0.3">
      <c r="A463" s="789"/>
      <c r="B463" s="790"/>
      <c r="C463" s="789" t="s">
        <v>714</v>
      </c>
      <c r="D463" s="790"/>
      <c r="E463" s="790"/>
      <c r="F463" s="790"/>
      <c r="G463" s="801" t="s">
        <v>719</v>
      </c>
      <c r="H463" s="789" t="s">
        <v>716</v>
      </c>
      <c r="I463" s="220" t="str">
        <f>IF(ISBLANK(input!I280),"",input!I280)</f>
        <v/>
      </c>
      <c r="K463" s="225" t="s">
        <v>4159</v>
      </c>
      <c r="O463" s="225" t="s">
        <v>4159</v>
      </c>
    </row>
    <row r="464" spans="1:15" ht="12.75" customHeight="1" x14ac:dyDescent="0.3">
      <c r="A464" s="796"/>
      <c r="B464" s="797"/>
      <c r="C464" s="796" t="s">
        <v>1090</v>
      </c>
      <c r="D464" s="802"/>
      <c r="E464" s="797"/>
      <c r="F464" s="797"/>
      <c r="G464" s="802" t="s">
        <v>1091</v>
      </c>
      <c r="H464" s="796" t="s">
        <v>291</v>
      </c>
      <c r="I464" s="220" t="str">
        <f>IF(ISBLANK(regional!I82),"",regional!I82)</f>
        <v/>
      </c>
      <c r="K464" s="225" t="s">
        <v>4159</v>
      </c>
      <c r="O464" s="225" t="s">
        <v>4159</v>
      </c>
    </row>
    <row r="465" spans="1:15" ht="12.75" customHeight="1" x14ac:dyDescent="0.3">
      <c r="A465" s="796"/>
      <c r="B465" s="797"/>
      <c r="C465" s="797"/>
      <c r="D465" s="796" t="s">
        <v>1092</v>
      </c>
      <c r="E465" s="797"/>
      <c r="F465" s="797"/>
      <c r="G465" s="802" t="s">
        <v>1093</v>
      </c>
      <c r="H465" s="796" t="s">
        <v>4706</v>
      </c>
      <c r="I465" s="220" t="str">
        <f>IF(ISBLANK(regional!I83),"",regional!I83)</f>
        <v/>
      </c>
      <c r="K465" s="225" t="s">
        <v>4159</v>
      </c>
      <c r="O465" s="225" t="s">
        <v>4159</v>
      </c>
    </row>
    <row r="466" spans="1:15" ht="12.75" customHeight="1" x14ac:dyDescent="0.3">
      <c r="A466" s="796"/>
      <c r="B466" s="797"/>
      <c r="C466" s="796" t="s">
        <v>1094</v>
      </c>
      <c r="D466" s="797"/>
      <c r="E466" s="797"/>
      <c r="F466" s="797"/>
      <c r="G466" s="802" t="s">
        <v>1095</v>
      </c>
      <c r="H466" s="796" t="s">
        <v>291</v>
      </c>
      <c r="I466" s="220" t="str">
        <f>IF(ISBLANK(regional!I84),"",regional!I84)</f>
        <v/>
      </c>
      <c r="K466" s="225" t="s">
        <v>4159</v>
      </c>
      <c r="O466" s="225" t="s">
        <v>4159</v>
      </c>
    </row>
    <row r="467" spans="1:15" ht="12.75" customHeight="1" x14ac:dyDescent="0.3">
      <c r="A467" s="789"/>
      <c r="B467" s="789"/>
      <c r="C467" s="789" t="s">
        <v>1096</v>
      </c>
      <c r="D467" s="801"/>
      <c r="E467" s="790"/>
      <c r="F467" s="790"/>
      <c r="G467" s="801" t="s">
        <v>1097</v>
      </c>
      <c r="H467" s="789" t="s">
        <v>291</v>
      </c>
      <c r="I467" s="220" t="str">
        <f>IF(ISBLANK(regional!I85),"",regional!I85)</f>
        <v/>
      </c>
      <c r="K467" s="225" t="s">
        <v>4159</v>
      </c>
      <c r="O467" s="225" t="s">
        <v>4159</v>
      </c>
    </row>
    <row r="468" spans="1:15" ht="12.75" customHeight="1" x14ac:dyDescent="0.3">
      <c r="A468" s="789"/>
      <c r="B468" s="790"/>
      <c r="C468" s="790"/>
      <c r="D468" s="789" t="s">
        <v>1098</v>
      </c>
      <c r="E468" s="790"/>
      <c r="F468" s="790"/>
      <c r="G468" s="801" t="s">
        <v>1099</v>
      </c>
      <c r="H468" s="789" t="s">
        <v>4706</v>
      </c>
      <c r="I468" s="220" t="str">
        <f>IF(ISBLANK(regional!I86),"",regional!I86)</f>
        <v/>
      </c>
      <c r="K468" s="225" t="s">
        <v>4159</v>
      </c>
      <c r="O468" s="225" t="s">
        <v>4159</v>
      </c>
    </row>
    <row r="469" spans="1:15" ht="12.75" customHeight="1" x14ac:dyDescent="0.3">
      <c r="A469" s="789"/>
      <c r="B469" s="790"/>
      <c r="C469" s="789" t="s">
        <v>1100</v>
      </c>
      <c r="D469" s="790"/>
      <c r="E469" s="790"/>
      <c r="F469" s="790"/>
      <c r="G469" s="801" t="s">
        <v>1101</v>
      </c>
      <c r="H469" s="789" t="s">
        <v>291</v>
      </c>
      <c r="I469" s="220" t="str">
        <f>IF(ISBLANK(regional!I87),"",regional!I87)</f>
        <v/>
      </c>
      <c r="K469" s="225" t="s">
        <v>4159</v>
      </c>
      <c r="O469" s="225" t="s">
        <v>4159</v>
      </c>
    </row>
    <row r="470" spans="1:15" ht="12.75" customHeight="1" x14ac:dyDescent="0.3">
      <c r="A470" s="789"/>
      <c r="B470" s="789"/>
      <c r="C470" s="789" t="s">
        <v>1102</v>
      </c>
      <c r="D470" s="801"/>
      <c r="E470" s="790"/>
      <c r="F470" s="790"/>
      <c r="G470" s="801" t="s">
        <v>1103</v>
      </c>
      <c r="H470" s="789" t="s">
        <v>291</v>
      </c>
      <c r="I470" s="220" t="str">
        <f>IF(ISBLANK(regional!I88),"",regional!I88)</f>
        <v/>
      </c>
      <c r="K470" s="225" t="s">
        <v>4159</v>
      </c>
      <c r="O470" s="225" t="s">
        <v>4159</v>
      </c>
    </row>
    <row r="471" spans="1:15" ht="12.75" customHeight="1" x14ac:dyDescent="0.3">
      <c r="A471" s="789"/>
      <c r="B471" s="789"/>
      <c r="C471" s="790"/>
      <c r="D471" s="789" t="s">
        <v>1104</v>
      </c>
      <c r="E471" s="790"/>
      <c r="F471" s="790"/>
      <c r="G471" s="801" t="s">
        <v>1105</v>
      </c>
      <c r="H471" s="789" t="s">
        <v>4706</v>
      </c>
      <c r="I471" s="220" t="str">
        <f>IF(ISBLANK(regional!I89),"",regional!I89)</f>
        <v/>
      </c>
      <c r="K471" s="225" t="s">
        <v>4159</v>
      </c>
      <c r="O471" s="225" t="s">
        <v>4159</v>
      </c>
    </row>
    <row r="472" spans="1:15" ht="12.75" customHeight="1" x14ac:dyDescent="0.3">
      <c r="A472" s="789"/>
      <c r="B472" s="790"/>
      <c r="C472" s="789" t="s">
        <v>1106</v>
      </c>
      <c r="D472" s="790"/>
      <c r="E472" s="790"/>
      <c r="F472" s="790"/>
      <c r="G472" s="801" t="s">
        <v>1107</v>
      </c>
      <c r="H472" s="789" t="s">
        <v>291</v>
      </c>
      <c r="I472" s="220" t="str">
        <f>IF(ISBLANK(regional!I90),"",regional!I90)</f>
        <v/>
      </c>
      <c r="K472" s="225" t="s">
        <v>4159</v>
      </c>
      <c r="O472" s="225" t="s">
        <v>4159</v>
      </c>
    </row>
    <row r="473" spans="1:15" ht="12.75" customHeight="1" x14ac:dyDescent="0.3">
      <c r="A473" s="789"/>
      <c r="B473" s="789"/>
      <c r="C473" s="789" t="s">
        <v>1108</v>
      </c>
      <c r="D473" s="801"/>
      <c r="E473" s="790"/>
      <c r="F473" s="790"/>
      <c r="G473" s="801" t="s">
        <v>1109</v>
      </c>
      <c r="H473" s="789" t="s">
        <v>291</v>
      </c>
      <c r="I473" s="220" t="str">
        <f>IF(ISBLANK(regional!I91),"",regional!I91)</f>
        <v/>
      </c>
      <c r="K473" s="225" t="s">
        <v>4159</v>
      </c>
      <c r="O473" s="225" t="s">
        <v>4159</v>
      </c>
    </row>
    <row r="474" spans="1:15" ht="12.75" customHeight="1" x14ac:dyDescent="0.3">
      <c r="A474" s="789"/>
      <c r="B474" s="789" t="s">
        <v>4711</v>
      </c>
      <c r="C474" s="801"/>
      <c r="D474" s="790"/>
      <c r="E474" s="790"/>
      <c r="F474" s="790"/>
      <c r="G474" s="801" t="s">
        <v>4712</v>
      </c>
      <c r="H474" s="789" t="s">
        <v>291</v>
      </c>
      <c r="I474" s="220" t="str">
        <f>IF(ISBLANK(regional!I92),"",regional!I92)</f>
        <v/>
      </c>
      <c r="K474" s="225" t="s">
        <v>4159</v>
      </c>
      <c r="O474" s="225" t="s">
        <v>4159</v>
      </c>
    </row>
    <row r="475" spans="1:15" ht="12.75" customHeight="1" x14ac:dyDescent="0.3">
      <c r="A475" s="789"/>
      <c r="B475" s="789" t="s">
        <v>4713</v>
      </c>
      <c r="C475" s="801"/>
      <c r="D475" s="790"/>
      <c r="E475" s="790"/>
      <c r="F475" s="790"/>
      <c r="G475" s="801" t="s">
        <v>1110</v>
      </c>
      <c r="H475" s="789" t="s">
        <v>291</v>
      </c>
      <c r="I475" s="220" t="str">
        <f>IF(ISBLANK(regional!I93),"",regional!I93)</f>
        <v/>
      </c>
      <c r="K475" s="225" t="s">
        <v>4159</v>
      </c>
      <c r="O475" s="225" t="s">
        <v>4159</v>
      </c>
    </row>
    <row r="476" spans="1:15" ht="12.75" customHeight="1" x14ac:dyDescent="0.3">
      <c r="A476" s="789"/>
      <c r="B476" s="790"/>
      <c r="C476" s="789" t="s">
        <v>1111</v>
      </c>
      <c r="D476" s="790"/>
      <c r="E476" s="790"/>
      <c r="F476" s="790"/>
      <c r="G476" s="801" t="s">
        <v>1112</v>
      </c>
      <c r="H476" s="789" t="s">
        <v>4706</v>
      </c>
      <c r="I476" s="220" t="str">
        <f>IF(ISBLANK(regional!I94),"",regional!I94)</f>
        <v/>
      </c>
      <c r="J476" s="211"/>
      <c r="K476" s="225" t="s">
        <v>4159</v>
      </c>
      <c r="O476" s="225" t="s">
        <v>4159</v>
      </c>
    </row>
    <row r="477" spans="1:15" ht="12.75" customHeight="1" x14ac:dyDescent="0.3">
      <c r="A477" s="789"/>
      <c r="B477" s="790"/>
      <c r="C477" s="789" t="s">
        <v>1113</v>
      </c>
      <c r="D477" s="790"/>
      <c r="E477" s="790"/>
      <c r="F477" s="790"/>
      <c r="G477" s="801" t="s">
        <v>1114</v>
      </c>
      <c r="H477" s="789" t="s">
        <v>291</v>
      </c>
      <c r="I477" s="220" t="str">
        <f>IF(ISBLANK(regional!I95),"",regional!I95)</f>
        <v/>
      </c>
      <c r="J477" s="353"/>
      <c r="K477" s="225" t="s">
        <v>4159</v>
      </c>
      <c r="O477" s="225" t="s">
        <v>4159</v>
      </c>
    </row>
    <row r="478" spans="1:15" ht="12.75" customHeight="1" x14ac:dyDescent="0.3">
      <c r="A478" s="789"/>
      <c r="B478" s="789"/>
      <c r="C478" s="789" t="s">
        <v>1115</v>
      </c>
      <c r="D478" s="801"/>
      <c r="E478" s="790"/>
      <c r="F478" s="790"/>
      <c r="G478" s="801" t="s">
        <v>1116</v>
      </c>
      <c r="H478" s="789" t="s">
        <v>291</v>
      </c>
      <c r="I478" s="220" t="str">
        <f>IF(ISBLANK(regional!I96),"",regional!I96)</f>
        <v/>
      </c>
      <c r="J478" s="211"/>
      <c r="K478" s="225" t="s">
        <v>4159</v>
      </c>
      <c r="O478" s="225" t="s">
        <v>4159</v>
      </c>
    </row>
    <row r="479" spans="1:15" ht="12.75" customHeight="1" x14ac:dyDescent="0.3">
      <c r="A479" s="789"/>
      <c r="B479" s="789" t="s">
        <v>4714</v>
      </c>
      <c r="C479" s="801"/>
      <c r="D479" s="790"/>
      <c r="E479" s="790"/>
      <c r="F479" s="790"/>
      <c r="G479" s="801" t="s">
        <v>4715</v>
      </c>
      <c r="H479" s="789" t="s">
        <v>291</v>
      </c>
      <c r="I479" s="220" t="str">
        <f>IF(ISBLANK(regional!I97),"",regional!I97)</f>
        <v/>
      </c>
      <c r="K479" s="225" t="s">
        <v>4159</v>
      </c>
      <c r="O479" s="225" t="s">
        <v>4159</v>
      </c>
    </row>
    <row r="480" spans="1:15" ht="12.75" customHeight="1" x14ac:dyDescent="0.3">
      <c r="A480" s="789"/>
      <c r="B480" s="789" t="s">
        <v>4716</v>
      </c>
      <c r="C480" s="801"/>
      <c r="D480" s="790"/>
      <c r="E480" s="790"/>
      <c r="F480" s="790"/>
      <c r="G480" s="801" t="s">
        <v>1117</v>
      </c>
      <c r="H480" s="789" t="s">
        <v>291</v>
      </c>
      <c r="I480" s="220" t="str">
        <f>IF(ISBLANK(regional!I98),"",regional!I98)</f>
        <v/>
      </c>
      <c r="K480" s="225" t="s">
        <v>4159</v>
      </c>
      <c r="O480" s="225" t="s">
        <v>4159</v>
      </c>
    </row>
    <row r="481" spans="1:15" ht="12.75" customHeight="1" x14ac:dyDescent="0.3">
      <c r="A481" s="789"/>
      <c r="B481" s="790"/>
      <c r="C481" s="789" t="s">
        <v>1118</v>
      </c>
      <c r="D481" s="790"/>
      <c r="E481" s="790"/>
      <c r="F481" s="790"/>
      <c r="G481" s="801" t="s">
        <v>1119</v>
      </c>
      <c r="H481" s="789" t="s">
        <v>4706</v>
      </c>
      <c r="I481" s="220" t="str">
        <f>IF(ISBLANK(regional!I99),"",regional!I99)</f>
        <v/>
      </c>
      <c r="K481" s="225" t="s">
        <v>4159</v>
      </c>
      <c r="O481" s="225" t="s">
        <v>4159</v>
      </c>
    </row>
    <row r="482" spans="1:15" ht="12.75" customHeight="1" x14ac:dyDescent="0.3">
      <c r="A482" s="789"/>
      <c r="B482" s="790"/>
      <c r="C482" s="789" t="s">
        <v>1120</v>
      </c>
      <c r="D482" s="790"/>
      <c r="E482" s="790"/>
      <c r="F482" s="790"/>
      <c r="G482" s="801" t="s">
        <v>1121</v>
      </c>
      <c r="H482" s="789" t="s">
        <v>291</v>
      </c>
      <c r="I482" s="220" t="str">
        <f>IF(ISBLANK(regional!I100),"",regional!I100)</f>
        <v/>
      </c>
      <c r="K482" s="225" t="s">
        <v>4159</v>
      </c>
      <c r="O482" s="225" t="s">
        <v>4159</v>
      </c>
    </row>
    <row r="483" spans="1:15" ht="12.75" customHeight="1" x14ac:dyDescent="0.3">
      <c r="A483" s="789"/>
      <c r="B483" s="789"/>
      <c r="C483" s="789" t="s">
        <v>1122</v>
      </c>
      <c r="D483" s="801"/>
      <c r="E483" s="790"/>
      <c r="F483" s="790"/>
      <c r="G483" s="801" t="s">
        <v>1123</v>
      </c>
      <c r="H483" s="789" t="s">
        <v>291</v>
      </c>
      <c r="I483" s="220" t="str">
        <f>IF(ISBLANK(regional!I101),"",regional!I101)</f>
        <v/>
      </c>
      <c r="K483" s="225" t="s">
        <v>4159</v>
      </c>
      <c r="O483" s="225" t="s">
        <v>4159</v>
      </c>
    </row>
    <row r="484" spans="1:15" ht="12.75" customHeight="1" x14ac:dyDescent="0.3">
      <c r="A484" s="789"/>
      <c r="B484" s="789" t="s">
        <v>4717</v>
      </c>
      <c r="C484" s="801"/>
      <c r="D484" s="790"/>
      <c r="E484" s="790"/>
      <c r="F484" s="790"/>
      <c r="G484" s="801" t="s">
        <v>4718</v>
      </c>
      <c r="H484" s="789" t="s">
        <v>291</v>
      </c>
      <c r="I484" s="220" t="str">
        <f>IF(ISBLANK(regional!I102),"",regional!I102)</f>
        <v/>
      </c>
      <c r="K484" s="225" t="s">
        <v>4159</v>
      </c>
      <c r="O484" s="225" t="s">
        <v>4159</v>
      </c>
    </row>
    <row r="485" spans="1:15" ht="12.75" customHeight="1" x14ac:dyDescent="0.3">
      <c r="A485" s="789"/>
      <c r="B485" s="789" t="s">
        <v>4719</v>
      </c>
      <c r="C485" s="801"/>
      <c r="D485" s="790"/>
      <c r="E485" s="790"/>
      <c r="F485" s="790"/>
      <c r="G485" s="801" t="s">
        <v>1124</v>
      </c>
      <c r="H485" s="789" t="s">
        <v>291</v>
      </c>
      <c r="I485" s="220" t="str">
        <f>IF(ISBLANK(regional!I103),"",regional!I103)</f>
        <v/>
      </c>
      <c r="K485" s="225" t="s">
        <v>4159</v>
      </c>
      <c r="O485" s="225" t="s">
        <v>4159</v>
      </c>
    </row>
    <row r="486" spans="1:15" ht="12.75" customHeight="1" x14ac:dyDescent="0.3">
      <c r="A486" s="789"/>
      <c r="B486" s="790"/>
      <c r="C486" s="789" t="s">
        <v>1125</v>
      </c>
      <c r="D486" s="790"/>
      <c r="E486" s="790"/>
      <c r="F486" s="790"/>
      <c r="G486" s="801" t="s">
        <v>1126</v>
      </c>
      <c r="H486" s="789" t="s">
        <v>4706</v>
      </c>
      <c r="I486" s="220" t="str">
        <f>IF(ISBLANK(regional!I104),"",regional!I104)</f>
        <v/>
      </c>
      <c r="K486" s="225" t="s">
        <v>4159</v>
      </c>
      <c r="O486" s="225" t="s">
        <v>4159</v>
      </c>
    </row>
    <row r="487" spans="1:15" ht="12.75" customHeight="1" x14ac:dyDescent="0.3">
      <c r="A487" s="789"/>
      <c r="B487" s="790"/>
      <c r="C487" s="789" t="s">
        <v>1127</v>
      </c>
      <c r="D487" s="790"/>
      <c r="E487" s="790"/>
      <c r="F487" s="790"/>
      <c r="G487" s="801" t="s">
        <v>1128</v>
      </c>
      <c r="H487" s="789" t="s">
        <v>291</v>
      </c>
      <c r="I487" s="220" t="str">
        <f>IF(ISBLANK(regional!I105),"",regional!I105)</f>
        <v/>
      </c>
      <c r="K487" s="225" t="s">
        <v>4159</v>
      </c>
      <c r="O487" s="225" t="s">
        <v>4159</v>
      </c>
    </row>
    <row r="488" spans="1:15" ht="12.75" customHeight="1" x14ac:dyDescent="0.3">
      <c r="A488" s="779"/>
      <c r="D488" s="779"/>
      <c r="G488" s="810"/>
      <c r="I488" s="220" t="str">
        <f>IF(ISBLANK(regional!I106),"",regional!I106)</f>
        <v/>
      </c>
      <c r="K488" s="225" t="s">
        <v>4159</v>
      </c>
      <c r="O488" s="225" t="s">
        <v>4159</v>
      </c>
    </row>
    <row r="489" spans="1:15" ht="12.75" customHeight="1" x14ac:dyDescent="0.3">
      <c r="A489" s="785" t="s">
        <v>1129</v>
      </c>
      <c r="B489" s="784"/>
      <c r="C489" s="784"/>
      <c r="D489" s="784"/>
      <c r="E489" s="784"/>
      <c r="F489" s="784"/>
      <c r="G489" s="785" t="s">
        <v>258</v>
      </c>
      <c r="H489" s="785" t="s">
        <v>274</v>
      </c>
      <c r="I489" s="220" t="str">
        <f>IF(ISBLANK(regional!I107),"",regional!I107)</f>
        <v>User input</v>
      </c>
      <c r="K489" s="225" t="s">
        <v>259</v>
      </c>
      <c r="O489" s="225" t="s">
        <v>259</v>
      </c>
    </row>
    <row r="490" spans="1:15" ht="12.75" customHeight="1" x14ac:dyDescent="0.3">
      <c r="I490" s="220" t="str">
        <f>IF(ISBLANK(regional!I108),"",regional!I108)</f>
        <v/>
      </c>
      <c r="K490" s="225" t="s">
        <v>4159</v>
      </c>
      <c r="O490" s="225" t="s">
        <v>4159</v>
      </c>
    </row>
    <row r="491" spans="1:15" ht="12.75" customHeight="1" x14ac:dyDescent="0.3">
      <c r="A491" s="789" t="s">
        <v>4720</v>
      </c>
      <c r="B491" s="790"/>
      <c r="C491" s="790"/>
      <c r="D491" s="790"/>
      <c r="E491" s="790"/>
      <c r="F491" s="790"/>
      <c r="G491" s="789" t="s">
        <v>1130</v>
      </c>
      <c r="H491" s="789" t="s">
        <v>4690</v>
      </c>
      <c r="I491" s="220" t="str">
        <f>IF(ISBLANK(regional!I109),"",regional!I109)</f>
        <v/>
      </c>
      <c r="K491" s="225">
        <v>0</v>
      </c>
      <c r="L491" s="225">
        <v>0</v>
      </c>
      <c r="O491" s="225" t="s">
        <v>4159</v>
      </c>
    </row>
    <row r="492" spans="1:15" ht="12.75" customHeight="1" x14ac:dyDescent="0.3">
      <c r="A492" s="789" t="s">
        <v>4721</v>
      </c>
      <c r="B492" s="790"/>
      <c r="C492" s="790"/>
      <c r="D492" s="790"/>
      <c r="E492" s="790"/>
      <c r="F492" s="790"/>
      <c r="G492" s="789" t="s">
        <v>1131</v>
      </c>
      <c r="H492" s="789" t="s">
        <v>4690</v>
      </c>
      <c r="I492" s="220" t="str">
        <f>IF(ISBLANK(regional!I110),"",regional!I110)</f>
        <v/>
      </c>
      <c r="K492" s="225" t="s">
        <v>4159</v>
      </c>
      <c r="L492" s="225">
        <v>0</v>
      </c>
      <c r="O492" s="225" t="s">
        <v>4159</v>
      </c>
    </row>
    <row r="493" spans="1:15" ht="12.75" customHeight="1" x14ac:dyDescent="0.3">
      <c r="A493" s="789" t="s">
        <v>4722</v>
      </c>
      <c r="B493" s="790"/>
      <c r="C493" s="790"/>
      <c r="D493" s="790"/>
      <c r="E493" s="790"/>
      <c r="F493" s="790"/>
      <c r="G493" s="789" t="s">
        <v>1132</v>
      </c>
      <c r="H493" s="789" t="s">
        <v>4690</v>
      </c>
      <c r="I493" s="220" t="str">
        <f>IF(ISBLANK(regional!I111),"",regional!I111)</f>
        <v/>
      </c>
      <c r="K493" s="225">
        <v>0</v>
      </c>
      <c r="L493" s="225">
        <v>0</v>
      </c>
      <c r="O493" s="225" t="s">
        <v>4159</v>
      </c>
    </row>
    <row r="494" spans="1:15" ht="12.75" customHeight="1" x14ac:dyDescent="0.3">
      <c r="A494" s="789" t="s">
        <v>4723</v>
      </c>
      <c r="B494" s="790"/>
      <c r="C494" s="790"/>
      <c r="D494" s="790"/>
      <c r="E494" s="790"/>
      <c r="F494" s="790"/>
      <c r="G494" s="789" t="s">
        <v>1133</v>
      </c>
      <c r="H494" s="789" t="s">
        <v>4690</v>
      </c>
      <c r="I494" s="220" t="str">
        <f>IF(ISBLANK(regional!I112),"",regional!I112)</f>
        <v/>
      </c>
      <c r="K494" s="225" t="s">
        <v>4159</v>
      </c>
      <c r="L494" s="225">
        <v>0</v>
      </c>
      <c r="O494" s="225" t="s">
        <v>4159</v>
      </c>
    </row>
    <row r="495" spans="1:15" ht="12.75" customHeight="1" x14ac:dyDescent="0.3">
      <c r="A495" s="789" t="s">
        <v>4724</v>
      </c>
      <c r="B495" s="790"/>
      <c r="C495" s="790"/>
      <c r="D495" s="790"/>
      <c r="E495" s="790"/>
      <c r="F495" s="790"/>
      <c r="G495" s="789" t="s">
        <v>1134</v>
      </c>
      <c r="H495" s="789" t="s">
        <v>4690</v>
      </c>
      <c r="I495" s="220" t="str">
        <f>IF(ISBLANK(regional!I113),"",regional!I113)</f>
        <v/>
      </c>
      <c r="K495" s="225">
        <v>0</v>
      </c>
      <c r="L495" s="225">
        <v>0</v>
      </c>
      <c r="O495" s="225" t="s">
        <v>4159</v>
      </c>
    </row>
    <row r="496" spans="1:15" ht="12.75" customHeight="1" x14ac:dyDescent="0.3">
      <c r="A496" s="789" t="s">
        <v>4725</v>
      </c>
      <c r="B496" s="790"/>
      <c r="C496" s="790"/>
      <c r="D496" s="790"/>
      <c r="E496" s="790"/>
      <c r="F496" s="790"/>
      <c r="G496" s="789" t="s">
        <v>1135</v>
      </c>
      <c r="H496" s="789" t="s">
        <v>4690</v>
      </c>
      <c r="I496" s="220" t="str">
        <f>IF(ISBLANK(regional!I114),"",regional!I114)</f>
        <v/>
      </c>
      <c r="K496" s="225">
        <v>0</v>
      </c>
      <c r="L496" s="225">
        <v>0</v>
      </c>
      <c r="O496" s="225" t="s">
        <v>4159</v>
      </c>
    </row>
    <row r="497" spans="1:15" ht="12.75" customHeight="1" x14ac:dyDescent="0.3">
      <c r="A497" s="789" t="s">
        <v>4726</v>
      </c>
      <c r="B497" s="790"/>
      <c r="C497" s="790"/>
      <c r="D497" s="790"/>
      <c r="E497" s="790"/>
      <c r="F497" s="790"/>
      <c r="G497" s="789" t="s">
        <v>1136</v>
      </c>
      <c r="H497" s="789" t="s">
        <v>4690</v>
      </c>
      <c r="I497" s="220" t="str">
        <f>IF(ISBLANK(regional!I115),"",regional!I115)</f>
        <v/>
      </c>
      <c r="K497" s="225" t="s">
        <v>4159</v>
      </c>
      <c r="O497" s="225" t="s">
        <v>4159</v>
      </c>
    </row>
    <row r="498" spans="1:15" ht="12.75" customHeight="1" x14ac:dyDescent="0.3">
      <c r="A498" s="789" t="s">
        <v>4727</v>
      </c>
      <c r="B498" s="790"/>
      <c r="C498" s="790"/>
      <c r="D498" s="790"/>
      <c r="E498" s="790"/>
      <c r="F498" s="790"/>
      <c r="G498" s="789" t="s">
        <v>1137</v>
      </c>
      <c r="H498" s="789" t="s">
        <v>4690</v>
      </c>
      <c r="I498" s="220" t="str">
        <f>IF(ISBLANK(regional!I116),"",regional!I116)</f>
        <v/>
      </c>
      <c r="K498" s="225" t="s">
        <v>4159</v>
      </c>
      <c r="O498" s="225" t="s">
        <v>4159</v>
      </c>
    </row>
    <row r="499" spans="1:15" ht="12.75" customHeight="1" x14ac:dyDescent="0.3">
      <c r="A499" s="789" t="s">
        <v>4728</v>
      </c>
      <c r="B499" s="790"/>
      <c r="C499" s="790"/>
      <c r="D499" s="790"/>
      <c r="E499" s="790"/>
      <c r="F499" s="790"/>
      <c r="G499" s="789" t="s">
        <v>1138</v>
      </c>
      <c r="H499" s="789" t="s">
        <v>4690</v>
      </c>
      <c r="I499" s="220" t="str">
        <f>IF(ISBLANK(regional!I117),"",regional!I117)</f>
        <v/>
      </c>
      <c r="K499" s="225" t="s">
        <v>4159</v>
      </c>
      <c r="O499" s="225" t="s">
        <v>4159</v>
      </c>
    </row>
    <row r="500" spans="1:15" ht="12.75" customHeight="1" x14ac:dyDescent="0.3">
      <c r="A500" s="789" t="s">
        <v>4729</v>
      </c>
      <c r="B500" s="790"/>
      <c r="C500" s="790"/>
      <c r="D500" s="790"/>
      <c r="E500" s="790"/>
      <c r="F500" s="790"/>
      <c r="G500" s="789" t="s">
        <v>1139</v>
      </c>
      <c r="H500" s="789" t="s">
        <v>4690</v>
      </c>
      <c r="I500" s="220" t="str">
        <f>IF(ISBLANK(regional!I118),"",regional!I118)</f>
        <v/>
      </c>
      <c r="K500" s="225" t="s">
        <v>4159</v>
      </c>
      <c r="O500" s="225" t="s">
        <v>4159</v>
      </c>
    </row>
    <row r="501" spans="1:15" ht="12.75" customHeight="1" x14ac:dyDescent="0.3">
      <c r="A501" s="789" t="s">
        <v>4730</v>
      </c>
      <c r="B501" s="790"/>
      <c r="C501" s="790"/>
      <c r="D501" s="790"/>
      <c r="E501" s="790"/>
      <c r="F501" s="790"/>
      <c r="G501" s="789" t="s">
        <v>1140</v>
      </c>
      <c r="H501" s="789" t="s">
        <v>4690</v>
      </c>
      <c r="I501" s="220" t="str">
        <f>IF(ISBLANK(regional!I119),"",regional!I119)</f>
        <v/>
      </c>
      <c r="K501" s="225" t="s">
        <v>4159</v>
      </c>
      <c r="O501" s="225" t="s">
        <v>4159</v>
      </c>
    </row>
    <row r="502" spans="1:15" ht="12.75" customHeight="1" x14ac:dyDescent="0.3">
      <c r="A502" s="789" t="s">
        <v>4731</v>
      </c>
      <c r="B502" s="790"/>
      <c r="C502" s="790"/>
      <c r="D502" s="790"/>
      <c r="E502" s="790"/>
      <c r="F502" s="790"/>
      <c r="G502" s="789" t="s">
        <v>1141</v>
      </c>
      <c r="H502" s="789" t="s">
        <v>4690</v>
      </c>
      <c r="I502" s="220" t="str">
        <f>IF(ISBLANK(regional!I120),"",regional!I120)</f>
        <v/>
      </c>
      <c r="K502" s="225" t="s">
        <v>4159</v>
      </c>
      <c r="O502" s="225" t="s">
        <v>4159</v>
      </c>
    </row>
    <row r="503" spans="1:15" ht="12.75" customHeight="1" x14ac:dyDescent="0.3">
      <c r="A503" s="789"/>
      <c r="B503" s="789" t="s">
        <v>4732</v>
      </c>
      <c r="C503" s="790"/>
      <c r="D503" s="790"/>
      <c r="E503" s="790"/>
      <c r="F503" s="790"/>
      <c r="G503" s="813" t="s">
        <v>1142</v>
      </c>
      <c r="H503" s="789" t="s">
        <v>4690</v>
      </c>
      <c r="I503" s="220" t="str">
        <f>IF(ISBLANK(regional!I121),"",regional!I121)</f>
        <v/>
      </c>
      <c r="K503" s="225" t="s">
        <v>4159</v>
      </c>
      <c r="O503" s="225" t="s">
        <v>4159</v>
      </c>
    </row>
    <row r="504" spans="1:15" ht="12.75" customHeight="1" x14ac:dyDescent="0.3">
      <c r="A504" s="789"/>
      <c r="B504" s="789"/>
      <c r="C504" s="790" t="s">
        <v>4733</v>
      </c>
      <c r="D504" s="790"/>
      <c r="E504" s="790"/>
      <c r="F504" s="790"/>
      <c r="G504" s="813" t="s">
        <v>1143</v>
      </c>
      <c r="H504" s="789" t="s">
        <v>4690</v>
      </c>
      <c r="I504" s="220" t="str">
        <f>IF(ISBLANK(regional!I122),"",regional!I122)</f>
        <v/>
      </c>
      <c r="K504" s="225" t="s">
        <v>4159</v>
      </c>
      <c r="O504" s="225" t="s">
        <v>4159</v>
      </c>
    </row>
    <row r="505" spans="1:15" ht="12.75" customHeight="1" x14ac:dyDescent="0.3">
      <c r="A505" s="789"/>
      <c r="B505" s="789"/>
      <c r="C505" s="789"/>
      <c r="D505" s="789" t="s">
        <v>1144</v>
      </c>
      <c r="E505" s="790"/>
      <c r="F505" s="790"/>
      <c r="G505" s="789" t="s">
        <v>1145</v>
      </c>
      <c r="H505" s="789" t="s">
        <v>4690</v>
      </c>
      <c r="I505" s="220" t="str">
        <f>IF(ISBLANK(regional!I123),"",regional!I123)</f>
        <v/>
      </c>
      <c r="K505" s="225" t="s">
        <v>4159</v>
      </c>
      <c r="O505" s="225" t="s">
        <v>4159</v>
      </c>
    </row>
    <row r="506" spans="1:15" ht="12.75" customHeight="1" x14ac:dyDescent="0.3">
      <c r="A506" s="789"/>
      <c r="B506" s="789"/>
      <c r="C506" s="789"/>
      <c r="D506" s="789" t="s">
        <v>1146</v>
      </c>
      <c r="E506" s="790"/>
      <c r="F506" s="790"/>
      <c r="G506" s="789" t="s">
        <v>1147</v>
      </c>
      <c r="H506" s="789" t="s">
        <v>4690</v>
      </c>
      <c r="I506" s="220" t="str">
        <f>IF(ISBLANK(regional!I124),"",regional!I124)</f>
        <v/>
      </c>
      <c r="K506" s="225" t="s">
        <v>4159</v>
      </c>
      <c r="O506" s="225" t="s">
        <v>4159</v>
      </c>
    </row>
    <row r="507" spans="1:15" ht="12.75" customHeight="1" x14ac:dyDescent="0.3">
      <c r="A507" s="789"/>
      <c r="B507" s="789"/>
      <c r="C507" s="790"/>
      <c r="D507" s="790" t="s">
        <v>1148</v>
      </c>
      <c r="E507" s="790"/>
      <c r="F507" s="790"/>
      <c r="G507" s="790" t="s">
        <v>1149</v>
      </c>
      <c r="H507" s="790" t="s">
        <v>1150</v>
      </c>
      <c r="I507" s="220" t="str">
        <f>IF(ISBLANK(regional!I125),"",regional!I125)</f>
        <v/>
      </c>
      <c r="K507" s="225" t="s">
        <v>4159</v>
      </c>
      <c r="O507" s="225" t="s">
        <v>4159</v>
      </c>
    </row>
    <row r="508" spans="1:15" ht="12.75" customHeight="1" x14ac:dyDescent="0.3">
      <c r="A508" s="789"/>
      <c r="B508" s="789"/>
      <c r="C508" s="790"/>
      <c r="D508" s="790" t="s">
        <v>1151</v>
      </c>
      <c r="E508" s="790"/>
      <c r="F508" s="790"/>
      <c r="G508" s="790" t="s">
        <v>1152</v>
      </c>
      <c r="H508" s="790" t="s">
        <v>1150</v>
      </c>
      <c r="I508" s="220" t="str">
        <f>IF(ISBLANK(regional!I126),"",regional!I126)</f>
        <v/>
      </c>
      <c r="K508" s="225" t="s">
        <v>4159</v>
      </c>
      <c r="O508" s="225" t="s">
        <v>4159</v>
      </c>
    </row>
    <row r="509" spans="1:15" ht="12.75" customHeight="1" x14ac:dyDescent="0.3">
      <c r="A509" s="789"/>
      <c r="B509" s="789"/>
      <c r="C509" s="789" t="s">
        <v>1153</v>
      </c>
      <c r="D509" s="790"/>
      <c r="E509" s="790"/>
      <c r="F509" s="790"/>
      <c r="G509" s="801" t="s">
        <v>1154</v>
      </c>
      <c r="H509" s="801" t="s">
        <v>4734</v>
      </c>
      <c r="I509" s="220" t="str">
        <f>IF(ISBLANK(regional!I127),"",regional!I127)</f>
        <v/>
      </c>
      <c r="K509" s="225" t="s">
        <v>4159</v>
      </c>
      <c r="O509" s="225" t="s">
        <v>4159</v>
      </c>
    </row>
    <row r="510" spans="1:15" ht="12.75" customHeight="1" x14ac:dyDescent="0.3">
      <c r="A510" s="789"/>
      <c r="B510" s="789"/>
      <c r="C510" s="789" t="s">
        <v>1156</v>
      </c>
      <c r="D510" s="790"/>
      <c r="E510" s="790"/>
      <c r="F510" s="790"/>
      <c r="G510" s="789" t="s">
        <v>1157</v>
      </c>
      <c r="H510" s="801" t="s">
        <v>4734</v>
      </c>
      <c r="I510" s="220" t="str">
        <f>IF(ISBLANK(regional!I128),"",regional!I128)</f>
        <v/>
      </c>
      <c r="K510" s="225" t="s">
        <v>4159</v>
      </c>
      <c r="O510" s="225" t="s">
        <v>4159</v>
      </c>
    </row>
    <row r="511" spans="1:15" ht="12.75" customHeight="1" x14ac:dyDescent="0.3">
      <c r="A511" s="789"/>
      <c r="B511" s="789"/>
      <c r="C511" s="789" t="s">
        <v>4894</v>
      </c>
      <c r="D511" s="790"/>
      <c r="E511" s="790"/>
      <c r="F511" s="790"/>
      <c r="G511" s="789" t="s">
        <v>4895</v>
      </c>
      <c r="H511" s="801" t="s">
        <v>4734</v>
      </c>
      <c r="I511" s="220" t="str">
        <f>IF(ISBLANK(regional!I129),"",regional!I129)</f>
        <v/>
      </c>
      <c r="K511" s="225" t="s">
        <v>4159</v>
      </c>
      <c r="O511" s="225" t="s">
        <v>4159</v>
      </c>
    </row>
    <row r="512" spans="1:15" ht="12.75" customHeight="1" x14ac:dyDescent="0.3">
      <c r="A512" s="789"/>
      <c r="B512" s="789"/>
      <c r="C512" s="790"/>
      <c r="D512" s="801" t="s">
        <v>1160</v>
      </c>
      <c r="E512" s="801"/>
      <c r="F512" s="801"/>
      <c r="G512" s="801" t="s">
        <v>1161</v>
      </c>
      <c r="H512" s="801" t="s">
        <v>4734</v>
      </c>
      <c r="I512" s="220" t="str">
        <f>IF(ISBLANK(regional!I130),"",regional!I130)</f>
        <v/>
      </c>
      <c r="K512" s="225" t="s">
        <v>4159</v>
      </c>
      <c r="O512" s="225" t="s">
        <v>4159</v>
      </c>
    </row>
    <row r="513" spans="1:15" ht="12.75" customHeight="1" x14ac:dyDescent="0.3">
      <c r="A513" s="789"/>
      <c r="B513" s="789"/>
      <c r="C513" s="790"/>
      <c r="D513" s="789" t="s">
        <v>1162</v>
      </c>
      <c r="E513" s="790"/>
      <c r="F513" s="790"/>
      <c r="G513" s="801" t="s">
        <v>1163</v>
      </c>
      <c r="H513" s="789" t="s">
        <v>291</v>
      </c>
      <c r="I513" s="220" t="str">
        <f>IF(ISBLANK(regional!I131),"",regional!I131)</f>
        <v/>
      </c>
      <c r="K513" s="225" t="s">
        <v>4159</v>
      </c>
      <c r="O513" s="225" t="s">
        <v>4159</v>
      </c>
    </row>
    <row r="514" spans="1:15" ht="12.75" customHeight="1" x14ac:dyDescent="0.3">
      <c r="A514" s="789"/>
      <c r="B514" s="789"/>
      <c r="C514" s="789" t="s">
        <v>1164</v>
      </c>
      <c r="D514" s="789"/>
      <c r="E514" s="790"/>
      <c r="F514" s="790"/>
      <c r="G514" s="813" t="s">
        <v>1165</v>
      </c>
      <c r="H514" s="789" t="s">
        <v>4734</v>
      </c>
      <c r="I514" s="220" t="str">
        <f>IF(ISBLANK(regional!I132),"",regional!I132)</f>
        <v/>
      </c>
      <c r="K514" s="225" t="s">
        <v>4159</v>
      </c>
      <c r="O514" s="225" t="s">
        <v>4159</v>
      </c>
    </row>
    <row r="515" spans="1:15" ht="12.75" customHeight="1" x14ac:dyDescent="0.3">
      <c r="A515" s="789"/>
      <c r="B515" s="789"/>
      <c r="C515" s="789" t="s">
        <v>1166</v>
      </c>
      <c r="D515" s="789"/>
      <c r="E515" s="790"/>
      <c r="F515" s="790"/>
      <c r="G515" s="813" t="s">
        <v>1167</v>
      </c>
      <c r="H515" s="789" t="s">
        <v>4734</v>
      </c>
      <c r="I515" s="220" t="str">
        <f>IF(ISBLANK(regional!I133),"",regional!I133)</f>
        <v/>
      </c>
      <c r="J515" s="460"/>
      <c r="K515" s="225" t="s">
        <v>4159</v>
      </c>
      <c r="O515" s="225" t="s">
        <v>4159</v>
      </c>
    </row>
    <row r="516" spans="1:15" ht="12.75" customHeight="1" x14ac:dyDescent="0.3">
      <c r="A516" s="789"/>
      <c r="B516" s="789"/>
      <c r="C516" s="789" t="s">
        <v>1168</v>
      </c>
      <c r="D516" s="789"/>
      <c r="E516" s="790"/>
      <c r="F516" s="790"/>
      <c r="G516" s="813" t="s">
        <v>1169</v>
      </c>
      <c r="H516" s="789" t="s">
        <v>4734</v>
      </c>
      <c r="I516" s="220" t="str">
        <f>IF(ISBLANK(regional!I134),"",regional!I134)</f>
        <v/>
      </c>
      <c r="J516" s="211"/>
      <c r="K516" s="225" t="s">
        <v>4159</v>
      </c>
      <c r="O516" s="225" t="s">
        <v>4159</v>
      </c>
    </row>
    <row r="517" spans="1:15" ht="12.75" customHeight="1" x14ac:dyDescent="0.3">
      <c r="A517" s="789"/>
      <c r="B517" s="789"/>
      <c r="C517" s="789" t="s">
        <v>1170</v>
      </c>
      <c r="D517" s="789"/>
      <c r="E517" s="790"/>
      <c r="F517" s="790"/>
      <c r="G517" s="813" t="s">
        <v>1171</v>
      </c>
      <c r="H517" s="789" t="s">
        <v>4734</v>
      </c>
      <c r="I517" s="220" t="str">
        <f>IF(ISBLANK(regional!I135),"",regional!I135)</f>
        <v/>
      </c>
      <c r="J517" s="211"/>
      <c r="K517" s="225" t="s">
        <v>4159</v>
      </c>
      <c r="O517" s="225" t="s">
        <v>4159</v>
      </c>
    </row>
    <row r="518" spans="1:15" ht="12.75" customHeight="1" x14ac:dyDescent="0.3">
      <c r="A518" s="789"/>
      <c r="B518" s="789"/>
      <c r="C518" s="789" t="s">
        <v>1172</v>
      </c>
      <c r="D518" s="789"/>
      <c r="E518" s="790"/>
      <c r="F518" s="790"/>
      <c r="G518" s="813" t="s">
        <v>1173</v>
      </c>
      <c r="H518" s="789" t="s">
        <v>4734</v>
      </c>
      <c r="I518" s="220" t="str">
        <f>IF(ISBLANK(regional!I136),"",regional!I136)</f>
        <v/>
      </c>
      <c r="J518" s="211"/>
      <c r="K518" s="225" t="s">
        <v>4159</v>
      </c>
      <c r="O518" s="225" t="s">
        <v>4159</v>
      </c>
    </row>
    <row r="519" spans="1:15" ht="12.75" customHeight="1" x14ac:dyDescent="0.3">
      <c r="A519" s="789"/>
      <c r="B519" s="789"/>
      <c r="C519" s="790"/>
      <c r="D519" s="790" t="s">
        <v>1174</v>
      </c>
      <c r="E519" s="801"/>
      <c r="F519" s="801"/>
      <c r="G519" s="790" t="s">
        <v>4736</v>
      </c>
      <c r="H519" s="801" t="s">
        <v>4734</v>
      </c>
      <c r="I519" s="220" t="str">
        <f>IF(ISBLANK(regional!I137),"",regional!I137)</f>
        <v/>
      </c>
      <c r="J519" s="353"/>
      <c r="K519" s="225" t="s">
        <v>4159</v>
      </c>
      <c r="O519" s="225" t="s">
        <v>4159</v>
      </c>
    </row>
    <row r="520" spans="1:15" ht="12.75" customHeight="1" x14ac:dyDescent="0.3">
      <c r="A520" s="789"/>
      <c r="B520" s="789"/>
      <c r="C520" s="790"/>
      <c r="D520" s="790" t="s">
        <v>1176</v>
      </c>
      <c r="E520" s="801"/>
      <c r="F520" s="801"/>
      <c r="G520" s="790" t="s">
        <v>4737</v>
      </c>
      <c r="H520" s="801" t="s">
        <v>4734</v>
      </c>
      <c r="I520" s="220" t="str">
        <f>IF(ISBLANK(regional!I138),"",regional!I138)</f>
        <v/>
      </c>
      <c r="J520" s="211"/>
      <c r="K520" s="225" t="s">
        <v>4159</v>
      </c>
      <c r="O520" s="225" t="s">
        <v>4159</v>
      </c>
    </row>
    <row r="521" spans="1:15" ht="12.75" customHeight="1" x14ac:dyDescent="0.3">
      <c r="A521" s="789"/>
      <c r="B521" s="789" t="s">
        <v>4738</v>
      </c>
      <c r="C521" s="790"/>
      <c r="D521" s="790"/>
      <c r="E521" s="801"/>
      <c r="F521" s="801"/>
      <c r="G521" s="813" t="s">
        <v>1178</v>
      </c>
      <c r="H521" s="789" t="s">
        <v>4734</v>
      </c>
      <c r="I521" s="220" t="str">
        <f>IF(ISBLANK(regional!I139),"",regional!I139)</f>
        <v/>
      </c>
      <c r="K521" s="225" t="s">
        <v>4159</v>
      </c>
      <c r="O521" s="225" t="s">
        <v>4159</v>
      </c>
    </row>
    <row r="522" spans="1:15" ht="12.75" customHeight="1" x14ac:dyDescent="0.3">
      <c r="A522" s="789"/>
      <c r="B522" s="789" t="s">
        <v>4739</v>
      </c>
      <c r="C522" s="790"/>
      <c r="D522" s="790"/>
      <c r="E522" s="801"/>
      <c r="F522" s="801"/>
      <c r="G522" s="813" t="s">
        <v>1179</v>
      </c>
      <c r="H522" s="789" t="s">
        <v>4734</v>
      </c>
      <c r="I522" s="220" t="str">
        <f>IF(ISBLANK(regional!I140),"",regional!I140)</f>
        <v/>
      </c>
      <c r="K522" s="225" t="s">
        <v>4159</v>
      </c>
      <c r="O522" s="225" t="s">
        <v>4159</v>
      </c>
    </row>
    <row r="523" spans="1:15" ht="12.75" customHeight="1" x14ac:dyDescent="0.3">
      <c r="A523" s="789"/>
      <c r="B523" s="789" t="s">
        <v>4740</v>
      </c>
      <c r="C523" s="790"/>
      <c r="D523" s="790"/>
      <c r="E523" s="801"/>
      <c r="F523" s="801"/>
      <c r="G523" s="813" t="s">
        <v>1180</v>
      </c>
      <c r="H523" s="789" t="s">
        <v>4734</v>
      </c>
      <c r="I523" s="220" t="str">
        <f>IF(ISBLANK(regional!I141),"",regional!I141)</f>
        <v/>
      </c>
      <c r="K523" s="225" t="s">
        <v>4159</v>
      </c>
      <c r="O523" s="225" t="s">
        <v>4159</v>
      </c>
    </row>
    <row r="524" spans="1:15" ht="12.75" customHeight="1" x14ac:dyDescent="0.3">
      <c r="A524" s="789"/>
      <c r="B524" s="789"/>
      <c r="C524" s="790" t="s">
        <v>1181</v>
      </c>
      <c r="D524" s="790"/>
      <c r="E524" s="790"/>
      <c r="F524" s="801"/>
      <c r="G524" s="790" t="s">
        <v>4741</v>
      </c>
      <c r="H524" s="801" t="s">
        <v>4734</v>
      </c>
      <c r="I524" s="220" t="str">
        <f>IF(ISBLANK(regional!I142),"",regional!I142)</f>
        <v/>
      </c>
      <c r="K524" s="225" t="s">
        <v>4159</v>
      </c>
      <c r="O524" s="225" t="s">
        <v>4159</v>
      </c>
    </row>
    <row r="525" spans="1:15" ht="12.75" customHeight="1" x14ac:dyDescent="0.3">
      <c r="A525" s="789"/>
      <c r="B525" s="789"/>
      <c r="C525" s="790" t="s">
        <v>1183</v>
      </c>
      <c r="D525" s="790"/>
      <c r="E525" s="801"/>
      <c r="F525" s="801"/>
      <c r="G525" s="790" t="s">
        <v>4742</v>
      </c>
      <c r="H525" s="801" t="s">
        <v>4734</v>
      </c>
      <c r="I525" s="220" t="str">
        <f>IF(ISBLANK(regional!I143),"",regional!I143)</f>
        <v/>
      </c>
      <c r="K525" s="225" t="s">
        <v>4159</v>
      </c>
      <c r="O525" s="225" t="s">
        <v>4159</v>
      </c>
    </row>
    <row r="526" spans="1:15" ht="12.75" customHeight="1" x14ac:dyDescent="0.3">
      <c r="A526" s="789"/>
      <c r="B526" s="789"/>
      <c r="C526" s="790" t="s">
        <v>1185</v>
      </c>
      <c r="D526" s="790"/>
      <c r="E526" s="801"/>
      <c r="F526" s="801"/>
      <c r="G526" s="789" t="s">
        <v>1186</v>
      </c>
      <c r="H526" s="790" t="s">
        <v>291</v>
      </c>
      <c r="I526" s="220" t="str">
        <f>IF(ISBLANK(regional!I144),"",regional!I144)</f>
        <v/>
      </c>
      <c r="K526" s="225" t="s">
        <v>4159</v>
      </c>
      <c r="O526" s="225" t="s">
        <v>4159</v>
      </c>
    </row>
    <row r="527" spans="1:15" ht="12.75" customHeight="1" x14ac:dyDescent="0.3">
      <c r="A527" s="789"/>
      <c r="B527" s="789"/>
      <c r="C527" s="790" t="s">
        <v>1185</v>
      </c>
      <c r="D527" s="790"/>
      <c r="E527" s="801"/>
      <c r="F527" s="801"/>
      <c r="G527" s="789" t="s">
        <v>1188</v>
      </c>
      <c r="H527" s="790" t="s">
        <v>291</v>
      </c>
      <c r="I527" s="220" t="str">
        <f>IF(ISBLANK(regional!I145),"",regional!I145)</f>
        <v/>
      </c>
      <c r="K527" s="225" t="s">
        <v>4159</v>
      </c>
      <c r="O527" s="225" t="s">
        <v>4159</v>
      </c>
    </row>
    <row r="528" spans="1:15" ht="12.75" customHeight="1" x14ac:dyDescent="0.3">
      <c r="A528" s="789"/>
      <c r="B528" s="789"/>
      <c r="C528" s="790" t="s">
        <v>1185</v>
      </c>
      <c r="D528" s="790"/>
      <c r="E528" s="801"/>
      <c r="F528" s="801"/>
      <c r="G528" s="789" t="s">
        <v>1189</v>
      </c>
      <c r="H528" s="790" t="s">
        <v>291</v>
      </c>
      <c r="I528" s="220" t="str">
        <f>IF(ISBLANK(regional!I146),"",regional!I146)</f>
        <v/>
      </c>
      <c r="K528" s="225" t="s">
        <v>4159</v>
      </c>
      <c r="O528" s="225" t="s">
        <v>4159</v>
      </c>
    </row>
    <row r="529" spans="1:15" ht="12.75" customHeight="1" x14ac:dyDescent="0.3">
      <c r="I529" s="220" t="str">
        <f>IF(ISBLANK(regional!I147),"",regional!I147)</f>
        <v/>
      </c>
      <c r="K529" s="225" t="s">
        <v>4159</v>
      </c>
      <c r="O529" s="225" t="s">
        <v>4159</v>
      </c>
    </row>
    <row r="530" spans="1:15" ht="12.75" customHeight="1" x14ac:dyDescent="0.3">
      <c r="A530" s="796" t="s">
        <v>1190</v>
      </c>
      <c r="B530" s="797"/>
      <c r="C530" s="797"/>
      <c r="D530" s="797"/>
      <c r="E530" s="797"/>
      <c r="F530" s="797"/>
      <c r="G530" s="796" t="s">
        <v>1191</v>
      </c>
      <c r="H530" s="796" t="s">
        <v>4690</v>
      </c>
      <c r="I530" s="220" t="str">
        <f>IF(ISBLANK(regional!I148),"",regional!I148)</f>
        <v/>
      </c>
      <c r="K530" s="225" t="s">
        <v>4159</v>
      </c>
      <c r="O530" s="225" t="s">
        <v>4159</v>
      </c>
    </row>
    <row r="531" spans="1:15" ht="12.75" customHeight="1" x14ac:dyDescent="0.3">
      <c r="A531" s="789" t="s">
        <v>1193</v>
      </c>
      <c r="B531" s="790"/>
      <c r="C531" s="790"/>
      <c r="D531" s="790"/>
      <c r="E531" s="790"/>
      <c r="F531" s="790"/>
      <c r="G531" s="789" t="s">
        <v>1194</v>
      </c>
      <c r="H531" s="789" t="s">
        <v>4690</v>
      </c>
      <c r="I531" s="220" t="str">
        <f>IF(ISBLANK(regional!I149),"",regional!I149)</f>
        <v/>
      </c>
      <c r="K531" s="225" t="s">
        <v>4159</v>
      </c>
      <c r="O531" s="225" t="s">
        <v>4159</v>
      </c>
    </row>
    <row r="532" spans="1:15" ht="12.75" customHeight="1" x14ac:dyDescent="0.3">
      <c r="A532" s="789" t="s">
        <v>1195</v>
      </c>
      <c r="B532" s="790"/>
      <c r="C532" s="790"/>
      <c r="D532" s="790"/>
      <c r="E532" s="790"/>
      <c r="F532" s="790"/>
      <c r="G532" s="789" t="s">
        <v>1196</v>
      </c>
      <c r="H532" s="789" t="s">
        <v>4690</v>
      </c>
      <c r="I532" s="220" t="str">
        <f>IF(ISBLANK(regional!I150),"",regional!I150)</f>
        <v/>
      </c>
      <c r="K532" s="225" t="s">
        <v>4159</v>
      </c>
      <c r="O532" s="225" t="s">
        <v>4159</v>
      </c>
    </row>
    <row r="533" spans="1:15" ht="12.75" customHeight="1" x14ac:dyDescent="0.3">
      <c r="A533" s="796" t="s">
        <v>1197</v>
      </c>
      <c r="B533" s="797"/>
      <c r="C533" s="797"/>
      <c r="D533" s="797"/>
      <c r="E533" s="797"/>
      <c r="F533" s="797"/>
      <c r="G533" s="796" t="s">
        <v>1198</v>
      </c>
      <c r="H533" s="796" t="s">
        <v>4690</v>
      </c>
      <c r="I533" s="220" t="str">
        <f>IF(ISBLANK(regional!I151),"",regional!I151)</f>
        <v/>
      </c>
      <c r="K533" s="225" t="s">
        <v>4159</v>
      </c>
      <c r="O533" s="225" t="s">
        <v>4159</v>
      </c>
    </row>
    <row r="534" spans="1:15" ht="12.75" customHeight="1" x14ac:dyDescent="0.3">
      <c r="A534" s="789" t="s">
        <v>1200</v>
      </c>
      <c r="B534" s="790"/>
      <c r="C534" s="790"/>
      <c r="D534" s="790"/>
      <c r="E534" s="790"/>
      <c r="F534" s="790"/>
      <c r="G534" s="789" t="s">
        <v>1201</v>
      </c>
      <c r="H534" s="789" t="s">
        <v>4690</v>
      </c>
      <c r="I534" s="220" t="str">
        <f>IF(ISBLANK(regional!I152),"",regional!I152)</f>
        <v/>
      </c>
      <c r="K534" s="225" t="s">
        <v>4159</v>
      </c>
      <c r="O534" s="225" t="s">
        <v>4159</v>
      </c>
    </row>
    <row r="535" spans="1:15" ht="12.75" customHeight="1" x14ac:dyDescent="0.3">
      <c r="A535" s="789" t="s">
        <v>1202</v>
      </c>
      <c r="B535" s="790"/>
      <c r="C535" s="790"/>
      <c r="D535" s="790"/>
      <c r="E535" s="790"/>
      <c r="F535" s="790"/>
      <c r="G535" s="789" t="s">
        <v>1203</v>
      </c>
      <c r="H535" s="789" t="s">
        <v>4690</v>
      </c>
      <c r="I535" s="220" t="str">
        <f>IF(ISBLANK(regional!I153),"",regional!I153)</f>
        <v/>
      </c>
      <c r="K535" s="225" t="s">
        <v>4159</v>
      </c>
      <c r="O535" s="225" t="s">
        <v>4159</v>
      </c>
    </row>
    <row r="536" spans="1:15" ht="12.75" customHeight="1" x14ac:dyDescent="0.3">
      <c r="A536" s="796"/>
      <c r="B536" s="796" t="s">
        <v>1204</v>
      </c>
      <c r="C536" s="797"/>
      <c r="D536" s="797"/>
      <c r="E536" s="797"/>
      <c r="F536" s="797"/>
      <c r="G536" s="796" t="s">
        <v>1205</v>
      </c>
      <c r="H536" s="802" t="s">
        <v>4734</v>
      </c>
      <c r="I536" s="220" t="str">
        <f>IF(ISBLANK(regional!I154),"",regional!I154)</f>
        <v/>
      </c>
      <c r="K536" s="225" t="s">
        <v>4159</v>
      </c>
      <c r="O536" s="225" t="s">
        <v>4159</v>
      </c>
    </row>
    <row r="537" spans="1:15" ht="12.75" customHeight="1" x14ac:dyDescent="0.3">
      <c r="A537" s="796"/>
      <c r="B537" s="796" t="s">
        <v>1206</v>
      </c>
      <c r="C537" s="797"/>
      <c r="D537" s="797"/>
      <c r="E537" s="797"/>
      <c r="F537" s="797"/>
      <c r="G537" s="796" t="s">
        <v>1207</v>
      </c>
      <c r="H537" s="802" t="s">
        <v>4734</v>
      </c>
      <c r="I537" s="220" t="str">
        <f>IF(ISBLANK(regional!I155),"",regional!I155)</f>
        <v/>
      </c>
      <c r="K537" s="225" t="s">
        <v>4159</v>
      </c>
      <c r="O537" s="225" t="s">
        <v>4159</v>
      </c>
    </row>
    <row r="538" spans="1:15" ht="12.75" customHeight="1" x14ac:dyDescent="0.3">
      <c r="A538" s="789"/>
      <c r="B538" s="789" t="s">
        <v>1204</v>
      </c>
      <c r="C538" s="790"/>
      <c r="D538" s="790"/>
      <c r="E538" s="790"/>
      <c r="F538" s="790"/>
      <c r="G538" s="813" t="s">
        <v>1208</v>
      </c>
      <c r="H538" s="801" t="s">
        <v>4734</v>
      </c>
      <c r="I538" s="220" t="str">
        <f>IF(ISBLANK(regional!I156),"",regional!I156)</f>
        <v/>
      </c>
      <c r="K538" s="225" t="s">
        <v>4159</v>
      </c>
      <c r="O538" s="225" t="s">
        <v>4159</v>
      </c>
    </row>
    <row r="539" spans="1:15" ht="12.75" customHeight="1" x14ac:dyDescent="0.3">
      <c r="A539" s="789"/>
      <c r="B539" s="789" t="s">
        <v>1206</v>
      </c>
      <c r="C539" s="790"/>
      <c r="D539" s="790"/>
      <c r="E539" s="790"/>
      <c r="F539" s="790"/>
      <c r="G539" s="813" t="s">
        <v>1209</v>
      </c>
      <c r="H539" s="801" t="s">
        <v>4734</v>
      </c>
      <c r="I539" s="220" t="str">
        <f>IF(ISBLANK(regional!I157),"",regional!I157)</f>
        <v/>
      </c>
      <c r="K539" s="225" t="s">
        <v>4159</v>
      </c>
      <c r="O539" s="225" t="s">
        <v>4159</v>
      </c>
    </row>
    <row r="540" spans="1:15" ht="12.75" customHeight="1" x14ac:dyDescent="0.3">
      <c r="A540" s="789"/>
      <c r="B540" s="789" t="s">
        <v>1210</v>
      </c>
      <c r="C540" s="790"/>
      <c r="D540" s="790"/>
      <c r="E540" s="790"/>
      <c r="F540" s="790"/>
      <c r="G540" s="813" t="s">
        <v>1211</v>
      </c>
      <c r="H540" s="801" t="s">
        <v>4734</v>
      </c>
      <c r="I540" s="220" t="str">
        <f>IF(ISBLANK(regional!I158),"",regional!I158)</f>
        <v/>
      </c>
      <c r="K540" s="225" t="s">
        <v>4159</v>
      </c>
      <c r="O540" s="225" t="s">
        <v>4159</v>
      </c>
    </row>
    <row r="541" spans="1:15" ht="12.75" customHeight="1" x14ac:dyDescent="0.3">
      <c r="A541" s="789"/>
      <c r="B541" s="789" t="s">
        <v>1212</v>
      </c>
      <c r="C541" s="790"/>
      <c r="D541" s="790"/>
      <c r="E541" s="790"/>
      <c r="F541" s="790"/>
      <c r="G541" s="813" t="s">
        <v>1213</v>
      </c>
      <c r="H541" s="801" t="s">
        <v>4734</v>
      </c>
      <c r="I541" s="220" t="str">
        <f>IF(ISBLANK(regional!I159),"",regional!I159)</f>
        <v/>
      </c>
      <c r="K541" s="225" t="s">
        <v>4159</v>
      </c>
      <c r="O541" s="225" t="s">
        <v>4159</v>
      </c>
    </row>
    <row r="542" spans="1:15" ht="12.75" customHeight="1" x14ac:dyDescent="0.3">
      <c r="A542" s="796"/>
      <c r="B542" s="796"/>
      <c r="C542" s="796" t="s">
        <v>1214</v>
      </c>
      <c r="D542" s="797"/>
      <c r="E542" s="797"/>
      <c r="F542" s="797"/>
      <c r="G542" s="802" t="s">
        <v>1215</v>
      </c>
      <c r="H542" s="802" t="s">
        <v>4734</v>
      </c>
      <c r="I542" s="220" t="str">
        <f>IF(ISBLANK(regional!I160),"",regional!I160)</f>
        <v/>
      </c>
      <c r="K542" s="225" t="s">
        <v>4159</v>
      </c>
      <c r="O542" s="225" t="s">
        <v>4159</v>
      </c>
    </row>
    <row r="543" spans="1:15" ht="12.75" customHeight="1" x14ac:dyDescent="0.3">
      <c r="A543" s="789"/>
      <c r="B543" s="789"/>
      <c r="C543" s="789" t="s">
        <v>1216</v>
      </c>
      <c r="D543" s="790"/>
      <c r="E543" s="790"/>
      <c r="F543" s="790"/>
      <c r="G543" s="801" t="s">
        <v>1217</v>
      </c>
      <c r="H543" s="801" t="s">
        <v>4734</v>
      </c>
      <c r="I543" s="220" t="str">
        <f>IF(ISBLANK(regional!I161),"",regional!I161)</f>
        <v/>
      </c>
      <c r="K543" s="225" t="s">
        <v>4159</v>
      </c>
      <c r="O543" s="225" t="s">
        <v>4159</v>
      </c>
    </row>
    <row r="544" spans="1:15" ht="12.75" customHeight="1" x14ac:dyDescent="0.3">
      <c r="A544" s="789"/>
      <c r="B544" s="789"/>
      <c r="C544" s="789" t="s">
        <v>1218</v>
      </c>
      <c r="D544" s="790"/>
      <c r="E544" s="801"/>
      <c r="F544" s="801"/>
      <c r="G544" s="801" t="s">
        <v>1219</v>
      </c>
      <c r="H544" s="801" t="s">
        <v>4734</v>
      </c>
      <c r="I544" s="220" t="str">
        <f>IF(ISBLANK(regional!I162),"",regional!I162)</f>
        <v/>
      </c>
      <c r="K544" s="225" t="s">
        <v>4159</v>
      </c>
      <c r="O544" s="225" t="s">
        <v>4159</v>
      </c>
    </row>
    <row r="545" spans="1:15" ht="12.75" customHeight="1" x14ac:dyDescent="0.3">
      <c r="A545" s="789"/>
      <c r="B545" s="789"/>
      <c r="C545" s="790"/>
      <c r="D545" s="789" t="s">
        <v>1220</v>
      </c>
      <c r="E545" s="801"/>
      <c r="F545" s="801"/>
      <c r="G545" s="801" t="s">
        <v>1221</v>
      </c>
      <c r="H545" s="801" t="s">
        <v>4734</v>
      </c>
      <c r="I545" s="220" t="str">
        <f>IF(ISBLANK(regional!I163),"",regional!I163)</f>
        <v/>
      </c>
      <c r="K545" s="225" t="s">
        <v>4159</v>
      </c>
      <c r="O545" s="225" t="s">
        <v>4159</v>
      </c>
    </row>
    <row r="546" spans="1:15" ht="12.75" customHeight="1" x14ac:dyDescent="0.3">
      <c r="A546" s="796"/>
      <c r="B546" s="796"/>
      <c r="C546" s="797"/>
      <c r="D546" s="796" t="s">
        <v>1223</v>
      </c>
      <c r="E546" s="802"/>
      <c r="F546" s="802"/>
      <c r="G546" s="802" t="s">
        <v>1224</v>
      </c>
      <c r="H546" s="802" t="s">
        <v>866</v>
      </c>
      <c r="I546" s="220" t="str">
        <f>IF(ISBLANK(regional!I164),"",regional!I164)</f>
        <v/>
      </c>
      <c r="K546" s="225" t="s">
        <v>4159</v>
      </c>
      <c r="O546" s="225" t="s">
        <v>4159</v>
      </c>
    </row>
    <row r="547" spans="1:15" ht="12.75" customHeight="1" x14ac:dyDescent="0.3">
      <c r="A547" s="789"/>
      <c r="B547" s="789"/>
      <c r="C547" s="790"/>
      <c r="D547" s="789" t="s">
        <v>1225</v>
      </c>
      <c r="E547" s="801"/>
      <c r="F547" s="789"/>
      <c r="G547" s="801" t="s">
        <v>1226</v>
      </c>
      <c r="H547" s="801" t="s">
        <v>4734</v>
      </c>
      <c r="I547" s="220" t="str">
        <f>IF(ISBLANK(regional!I165),"",regional!I165)</f>
        <v/>
      </c>
      <c r="K547" s="225" t="s">
        <v>4159</v>
      </c>
      <c r="O547" s="225" t="s">
        <v>4159</v>
      </c>
    </row>
    <row r="548" spans="1:15" ht="12.75" customHeight="1" x14ac:dyDescent="0.3">
      <c r="A548" s="789"/>
      <c r="B548" s="789"/>
      <c r="C548" s="790"/>
      <c r="D548" s="789" t="s">
        <v>1228</v>
      </c>
      <c r="E548" s="801"/>
      <c r="F548" s="789"/>
      <c r="G548" s="801" t="s">
        <v>1229</v>
      </c>
      <c r="H548" s="801" t="s">
        <v>4734</v>
      </c>
      <c r="I548" s="220" t="str">
        <f>IF(ISBLANK(regional!I166),"",regional!I166)</f>
        <v/>
      </c>
      <c r="K548" s="225" t="s">
        <v>4159</v>
      </c>
      <c r="O548" s="225" t="s">
        <v>4159</v>
      </c>
    </row>
    <row r="549" spans="1:15" ht="12.75" customHeight="1" x14ac:dyDescent="0.3">
      <c r="A549" s="789"/>
      <c r="B549" s="789"/>
      <c r="C549" s="790"/>
      <c r="D549" s="790"/>
      <c r="E549" s="789" t="s">
        <v>1230</v>
      </c>
      <c r="F549" s="801"/>
      <c r="G549" s="801" t="s">
        <v>1231</v>
      </c>
      <c r="H549" s="789" t="s">
        <v>4744</v>
      </c>
      <c r="I549" s="220" t="str">
        <f>IF(ISBLANK(regional!I167),"",regional!I167)</f>
        <v/>
      </c>
      <c r="K549" s="225" t="s">
        <v>4159</v>
      </c>
      <c r="O549" s="225" t="s">
        <v>4159</v>
      </c>
    </row>
    <row r="550" spans="1:15" ht="12.75" customHeight="1" x14ac:dyDescent="0.3">
      <c r="A550" s="789"/>
      <c r="B550" s="789"/>
      <c r="C550" s="790"/>
      <c r="D550" s="790"/>
      <c r="E550" s="789" t="s">
        <v>1234</v>
      </c>
      <c r="F550" s="790"/>
      <c r="G550" s="801" t="s">
        <v>1235</v>
      </c>
      <c r="H550" s="789" t="s">
        <v>4744</v>
      </c>
      <c r="I550" s="220" t="str">
        <f>IF(ISBLANK(regional!I168),"",regional!I168)</f>
        <v/>
      </c>
      <c r="K550" s="225" t="s">
        <v>4159</v>
      </c>
      <c r="O550" s="225" t="s">
        <v>4159</v>
      </c>
    </row>
    <row r="551" spans="1:15" ht="12.75" customHeight="1" x14ac:dyDescent="0.3">
      <c r="A551" s="790"/>
      <c r="B551" s="790" t="s">
        <v>1236</v>
      </c>
      <c r="C551" s="801"/>
      <c r="D551" s="801"/>
      <c r="E551" s="790"/>
      <c r="F551" s="790"/>
      <c r="G551" s="813" t="s">
        <v>1237</v>
      </c>
      <c r="H551" s="801" t="s">
        <v>4734</v>
      </c>
      <c r="I551" s="220" t="str">
        <f>IF(ISBLANK(regional!I169),"",regional!I169)</f>
        <v/>
      </c>
      <c r="K551" s="225" t="s">
        <v>4159</v>
      </c>
      <c r="O551" s="225" t="s">
        <v>4159</v>
      </c>
    </row>
    <row r="552" spans="1:15" ht="12.75" customHeight="1" x14ac:dyDescent="0.3">
      <c r="A552" s="790"/>
      <c r="B552" s="790" t="s">
        <v>1238</v>
      </c>
      <c r="C552" s="801"/>
      <c r="D552" s="801"/>
      <c r="E552" s="790"/>
      <c r="F552" s="790"/>
      <c r="G552" s="813" t="s">
        <v>1239</v>
      </c>
      <c r="H552" s="801" t="s">
        <v>4734</v>
      </c>
      <c r="I552" s="220" t="str">
        <f>IF(ISBLANK(regional!I170),"",regional!I170)</f>
        <v/>
      </c>
      <c r="K552" s="225" t="s">
        <v>4159</v>
      </c>
      <c r="O552" s="225" t="s">
        <v>4159</v>
      </c>
    </row>
    <row r="553" spans="1:15" ht="12.75" customHeight="1" x14ac:dyDescent="0.3">
      <c r="A553" s="790"/>
      <c r="B553" s="790" t="s">
        <v>1240</v>
      </c>
      <c r="C553" s="801"/>
      <c r="D553" s="801"/>
      <c r="E553" s="790"/>
      <c r="F553" s="801"/>
      <c r="G553" s="813" t="s">
        <v>1241</v>
      </c>
      <c r="H553" s="801" t="s">
        <v>4734</v>
      </c>
      <c r="I553" s="220" t="str">
        <f>IF(ISBLANK(regional!I171),"",regional!I171)</f>
        <v/>
      </c>
      <c r="K553" s="225" t="s">
        <v>4159</v>
      </c>
      <c r="O553" s="225" t="s">
        <v>4159</v>
      </c>
    </row>
    <row r="554" spans="1:15" ht="12.75" customHeight="1" x14ac:dyDescent="0.3">
      <c r="A554" s="790"/>
      <c r="B554" s="790" t="s">
        <v>1242</v>
      </c>
      <c r="C554" s="801"/>
      <c r="D554" s="801"/>
      <c r="E554" s="790"/>
      <c r="F554" s="801"/>
      <c r="G554" s="813" t="s">
        <v>1243</v>
      </c>
      <c r="H554" s="801" t="s">
        <v>4734</v>
      </c>
      <c r="I554" s="220" t="str">
        <f>IF(ISBLANK(regional!I172),"",regional!I172)</f>
        <v/>
      </c>
      <c r="K554" s="225" t="s">
        <v>4159</v>
      </c>
      <c r="O554" s="225" t="s">
        <v>4159</v>
      </c>
    </row>
    <row r="555" spans="1:15" ht="12.75" customHeight="1" x14ac:dyDescent="0.3">
      <c r="A555" s="789"/>
      <c r="B555" s="789"/>
      <c r="C555" s="790" t="s">
        <v>1244</v>
      </c>
      <c r="D555" s="790"/>
      <c r="E555" s="801"/>
      <c r="F555" s="801"/>
      <c r="G555" s="790" t="s">
        <v>1245</v>
      </c>
      <c r="H555" s="801" t="s">
        <v>4734</v>
      </c>
      <c r="I555" s="220" t="str">
        <f>IF(ISBLANK(regional!I173),"",regional!I173)</f>
        <v/>
      </c>
      <c r="K555" s="225" t="s">
        <v>4159</v>
      </c>
      <c r="O555" s="225" t="s">
        <v>4159</v>
      </c>
    </row>
    <row r="556" spans="1:15" ht="12.75" customHeight="1" x14ac:dyDescent="0.3">
      <c r="A556" s="789"/>
      <c r="B556" s="789"/>
      <c r="C556" s="790" t="s">
        <v>1246</v>
      </c>
      <c r="D556" s="790"/>
      <c r="E556" s="801"/>
      <c r="F556" s="790"/>
      <c r="G556" s="790" t="s">
        <v>1247</v>
      </c>
      <c r="H556" s="801" t="s">
        <v>4734</v>
      </c>
      <c r="I556" s="220" t="str">
        <f>IF(ISBLANK(regional!I174),"",regional!I174)</f>
        <v/>
      </c>
      <c r="K556" s="225" t="s">
        <v>4159</v>
      </c>
      <c r="O556" s="225" t="s">
        <v>4159</v>
      </c>
    </row>
    <row r="557" spans="1:15" ht="12.75" customHeight="1" x14ac:dyDescent="0.3">
      <c r="A557" s="789"/>
      <c r="B557" s="790"/>
      <c r="C557" s="790"/>
      <c r="D557" s="790"/>
      <c r="E557" s="790"/>
      <c r="F557" s="790"/>
      <c r="G557" s="801"/>
      <c r="H557" s="789"/>
      <c r="I557" s="220" t="str">
        <f>IF(ISBLANK(regional!I175),"",regional!I175)</f>
        <v/>
      </c>
      <c r="K557" s="225" t="s">
        <v>4159</v>
      </c>
      <c r="O557" s="225" t="s">
        <v>4159</v>
      </c>
    </row>
    <row r="558" spans="1:15" ht="12.75" customHeight="1" x14ac:dyDescent="0.3">
      <c r="A558" s="789" t="s">
        <v>4745</v>
      </c>
      <c r="B558" s="790"/>
      <c r="C558" s="790"/>
      <c r="D558" s="790"/>
      <c r="E558" s="790"/>
      <c r="F558" s="790"/>
      <c r="G558" s="789" t="s">
        <v>1248</v>
      </c>
      <c r="H558" s="789" t="s">
        <v>4690</v>
      </c>
      <c r="I558" s="220" t="str">
        <f>IF(ISBLANK(regional!I176),"",regional!I176)</f>
        <v/>
      </c>
      <c r="K558" s="225" t="s">
        <v>4159</v>
      </c>
      <c r="O558" s="225" t="s">
        <v>4159</v>
      </c>
    </row>
    <row r="559" spans="1:15" ht="12.75" customHeight="1" x14ac:dyDescent="0.3">
      <c r="A559" s="789" t="s">
        <v>4746</v>
      </c>
      <c r="B559" s="790"/>
      <c r="C559" s="790"/>
      <c r="D559" s="790"/>
      <c r="E559" s="790"/>
      <c r="F559" s="790"/>
      <c r="G559" s="789" t="s">
        <v>1249</v>
      </c>
      <c r="H559" s="789" t="s">
        <v>4690</v>
      </c>
      <c r="I559" s="220" t="str">
        <f>IF(ISBLANK(regional!I177),"",regional!I177)</f>
        <v/>
      </c>
      <c r="K559" s="225" t="s">
        <v>4159</v>
      </c>
      <c r="O559" s="225" t="s">
        <v>4159</v>
      </c>
    </row>
    <row r="560" spans="1:15" ht="12.75" customHeight="1" x14ac:dyDescent="0.3">
      <c r="A560" s="789" t="s">
        <v>4747</v>
      </c>
      <c r="B560" s="790"/>
      <c r="C560" s="790"/>
      <c r="D560" s="790"/>
      <c r="E560" s="790"/>
      <c r="F560" s="790"/>
      <c r="G560" s="789" t="s">
        <v>1250</v>
      </c>
      <c r="H560" s="789" t="s">
        <v>4690</v>
      </c>
      <c r="I560" s="220" t="str">
        <f>IF(ISBLANK(regional!I178),"",regional!I178)</f>
        <v/>
      </c>
      <c r="J560" s="635"/>
      <c r="K560" s="225" t="s">
        <v>4159</v>
      </c>
      <c r="O560" s="225" t="s">
        <v>4159</v>
      </c>
    </row>
    <row r="561" spans="1:15" ht="12.75" customHeight="1" x14ac:dyDescent="0.3">
      <c r="A561" s="789" t="s">
        <v>4664</v>
      </c>
      <c r="B561" s="790"/>
      <c r="C561" s="790"/>
      <c r="D561" s="790"/>
      <c r="E561" s="790"/>
      <c r="F561" s="790"/>
      <c r="G561" s="789" t="s">
        <v>4652</v>
      </c>
      <c r="H561" s="789" t="s">
        <v>335</v>
      </c>
      <c r="I561" s="220" t="str">
        <f>IF(ISBLANK(regional!I179),"",regional!I179)</f>
        <v/>
      </c>
      <c r="J561" s="635"/>
    </row>
    <row r="562" spans="1:15" ht="12.75" customHeight="1" x14ac:dyDescent="0.3">
      <c r="A562" s="789" t="s">
        <v>4665</v>
      </c>
      <c r="B562" s="790"/>
      <c r="C562" s="790"/>
      <c r="D562" s="790"/>
      <c r="E562" s="790"/>
      <c r="F562" s="790"/>
      <c r="G562" s="789" t="s">
        <v>4653</v>
      </c>
      <c r="H562" s="789" t="s">
        <v>335</v>
      </c>
      <c r="I562" s="220" t="str">
        <f>IF(ISBLANK(regional!I180),"",regional!I180)</f>
        <v/>
      </c>
      <c r="J562" s="635"/>
    </row>
    <row r="563" spans="1:15" ht="12.75" customHeight="1" x14ac:dyDescent="0.3">
      <c r="A563" s="789" t="s">
        <v>4666</v>
      </c>
      <c r="B563" s="790"/>
      <c r="C563" s="790"/>
      <c r="D563" s="790"/>
      <c r="E563" s="790"/>
      <c r="F563" s="790"/>
      <c r="G563" s="789" t="s">
        <v>4654</v>
      </c>
      <c r="H563" s="789" t="s">
        <v>335</v>
      </c>
      <c r="I563" s="220" t="str">
        <f>IF(ISBLANK(regional!I181),"",regional!I181)</f>
        <v/>
      </c>
      <c r="J563" s="635"/>
    </row>
    <row r="564" spans="1:15" ht="12.75" customHeight="1" x14ac:dyDescent="0.3">
      <c r="A564" s="789"/>
      <c r="B564" s="789"/>
      <c r="C564" s="801" t="s">
        <v>1251</v>
      </c>
      <c r="D564" s="790"/>
      <c r="E564" s="801"/>
      <c r="F564" s="801"/>
      <c r="G564" s="801" t="s">
        <v>1252</v>
      </c>
      <c r="H564" s="789" t="s">
        <v>4734</v>
      </c>
      <c r="I564" s="220" t="str">
        <f>IF(ISBLANK(regional!I182),"",regional!I182)</f>
        <v/>
      </c>
      <c r="K564" s="225" t="s">
        <v>4159</v>
      </c>
      <c r="O564" s="225" t="s">
        <v>4159</v>
      </c>
    </row>
    <row r="565" spans="1:15" ht="12.75" customHeight="1" x14ac:dyDescent="0.3">
      <c r="A565" s="789"/>
      <c r="B565" s="789"/>
      <c r="C565" s="801" t="s">
        <v>1253</v>
      </c>
      <c r="D565" s="790"/>
      <c r="E565" s="801"/>
      <c r="F565" s="801"/>
      <c r="G565" s="801" t="s">
        <v>1254</v>
      </c>
      <c r="H565" s="789" t="s">
        <v>4734</v>
      </c>
      <c r="I565" s="220" t="str">
        <f>IF(ISBLANK(regional!I183),"",regional!I183)</f>
        <v/>
      </c>
      <c r="K565" s="225" t="s">
        <v>4159</v>
      </c>
      <c r="O565" s="225" t="s">
        <v>4159</v>
      </c>
    </row>
    <row r="566" spans="1:15" ht="12.75" customHeight="1" x14ac:dyDescent="0.3">
      <c r="A566" s="789"/>
      <c r="B566" s="789"/>
      <c r="C566" s="801" t="s">
        <v>1255</v>
      </c>
      <c r="D566" s="790"/>
      <c r="E566" s="801"/>
      <c r="F566" s="801"/>
      <c r="G566" s="801" t="s">
        <v>1256</v>
      </c>
      <c r="H566" s="789" t="s">
        <v>4734</v>
      </c>
      <c r="I566" s="220" t="str">
        <f>IF(ISBLANK(regional!I184),"",regional!I184)</f>
        <v/>
      </c>
      <c r="K566" s="225" t="s">
        <v>4159</v>
      </c>
      <c r="O566" s="225" t="s">
        <v>4159</v>
      </c>
    </row>
    <row r="567" spans="1:15" ht="12.75" customHeight="1" x14ac:dyDescent="0.3">
      <c r="A567" s="789"/>
      <c r="B567" s="789"/>
      <c r="C567" s="789" t="s">
        <v>1257</v>
      </c>
      <c r="D567" s="790"/>
      <c r="E567" s="801"/>
      <c r="F567" s="801"/>
      <c r="G567" s="801" t="s">
        <v>1258</v>
      </c>
      <c r="H567" s="789" t="s">
        <v>291</v>
      </c>
      <c r="I567" s="220" t="str">
        <f>IF(ISBLANK(regional!I185),"",regional!I185)</f>
        <v/>
      </c>
      <c r="K567" s="225" t="s">
        <v>4159</v>
      </c>
      <c r="O567" s="225" t="s">
        <v>4159</v>
      </c>
    </row>
    <row r="568" spans="1:15" ht="12.75" customHeight="1" x14ac:dyDescent="0.3">
      <c r="A568" s="789"/>
      <c r="B568" s="789"/>
      <c r="C568" s="789" t="s">
        <v>1259</v>
      </c>
      <c r="D568" s="790"/>
      <c r="E568" s="801"/>
      <c r="F568" s="801"/>
      <c r="G568" s="801" t="s">
        <v>1260</v>
      </c>
      <c r="H568" s="789" t="s">
        <v>291</v>
      </c>
      <c r="I568" s="220" t="str">
        <f>IF(ISBLANK(regional!I186),"",regional!I186)</f>
        <v/>
      </c>
      <c r="K568" s="225" t="s">
        <v>4159</v>
      </c>
      <c r="O568" s="225" t="s">
        <v>4159</v>
      </c>
    </row>
    <row r="569" spans="1:15" ht="12.75" customHeight="1" x14ac:dyDescent="0.3">
      <c r="A569" s="789"/>
      <c r="B569" s="789"/>
      <c r="C569" s="789" t="s">
        <v>1261</v>
      </c>
      <c r="D569" s="790"/>
      <c r="E569" s="801"/>
      <c r="F569" s="801"/>
      <c r="G569" s="801" t="s">
        <v>1262</v>
      </c>
      <c r="H569" s="789" t="s">
        <v>291</v>
      </c>
      <c r="I569" s="220" t="str">
        <f>IF(ISBLANK(regional!I187),"",regional!I187)</f>
        <v/>
      </c>
      <c r="J569" s="635"/>
      <c r="K569" s="225" t="s">
        <v>4159</v>
      </c>
      <c r="O569" s="225" t="s">
        <v>4159</v>
      </c>
    </row>
    <row r="570" spans="1:15" ht="12.75" customHeight="1" x14ac:dyDescent="0.3">
      <c r="A570" s="789"/>
      <c r="B570" s="789"/>
      <c r="C570" s="790" t="s">
        <v>1185</v>
      </c>
      <c r="D570" s="790"/>
      <c r="E570" s="801"/>
      <c r="F570" s="801"/>
      <c r="G570" s="789" t="s">
        <v>1263</v>
      </c>
      <c r="H570" s="790" t="s">
        <v>291</v>
      </c>
      <c r="I570" s="220" t="str">
        <f>IF(ISBLANK(regional!I188),"",regional!I188)</f>
        <v/>
      </c>
      <c r="K570" s="225" t="s">
        <v>4159</v>
      </c>
      <c r="O570" s="225" t="s">
        <v>4159</v>
      </c>
    </row>
    <row r="571" spans="1:15" ht="12.75" customHeight="1" x14ac:dyDescent="0.3">
      <c r="A571" s="789"/>
      <c r="B571" s="789"/>
      <c r="C571" s="790" t="s">
        <v>1185</v>
      </c>
      <c r="D571" s="790"/>
      <c r="E571" s="801"/>
      <c r="F571" s="801"/>
      <c r="G571" s="789" t="s">
        <v>1264</v>
      </c>
      <c r="H571" s="790" t="s">
        <v>291</v>
      </c>
      <c r="I571" s="220" t="str">
        <f>IF(ISBLANK(regional!I189),"",regional!I189)</f>
        <v/>
      </c>
      <c r="K571" s="225" t="s">
        <v>4159</v>
      </c>
      <c r="O571" s="225" t="s">
        <v>4159</v>
      </c>
    </row>
    <row r="572" spans="1:15" ht="12.75" customHeight="1" x14ac:dyDescent="0.3">
      <c r="A572" s="789"/>
      <c r="B572" s="789"/>
      <c r="C572" s="790" t="s">
        <v>1185</v>
      </c>
      <c r="D572" s="790"/>
      <c r="E572" s="801"/>
      <c r="F572" s="801"/>
      <c r="G572" s="789" t="s">
        <v>1265</v>
      </c>
      <c r="H572" s="790" t="s">
        <v>291</v>
      </c>
      <c r="I572" s="220" t="str">
        <f>IF(ISBLANK(regional!I190),"",regional!I190)</f>
        <v/>
      </c>
      <c r="K572" s="225" t="s">
        <v>4159</v>
      </c>
      <c r="O572" s="225" t="s">
        <v>4159</v>
      </c>
    </row>
    <row r="573" spans="1:15" ht="12.75" customHeight="1" x14ac:dyDescent="0.3">
      <c r="I573" s="220" t="str">
        <f>IF(ISBLANK(regional!I191),"",regional!I191)</f>
        <v/>
      </c>
      <c r="K573" s="225" t="s">
        <v>4159</v>
      </c>
      <c r="O573" s="225" t="s">
        <v>4159</v>
      </c>
    </row>
    <row r="574" spans="1:15" ht="12.75" customHeight="1" x14ac:dyDescent="0.3">
      <c r="A574" s="785" t="s">
        <v>1266</v>
      </c>
      <c r="B574" s="784"/>
      <c r="C574" s="784"/>
      <c r="D574" s="784"/>
      <c r="E574" s="784"/>
      <c r="F574" s="784"/>
      <c r="G574" s="785" t="s">
        <v>258</v>
      </c>
      <c r="H574" s="785" t="s">
        <v>274</v>
      </c>
      <c r="I574" s="220" t="str">
        <f>IF(ISBLANK(regional!I192),"",regional!I192)</f>
        <v>User input</v>
      </c>
      <c r="K574" s="225" t="s">
        <v>259</v>
      </c>
      <c r="O574" s="225" t="s">
        <v>259</v>
      </c>
    </row>
    <row r="575" spans="1:15" ht="12.75" customHeight="1" x14ac:dyDescent="0.3">
      <c r="A575" s="779"/>
      <c r="I575" s="220" t="str">
        <f>IF(ISBLANK(regional!I193),"",regional!I193)</f>
        <v/>
      </c>
      <c r="K575" s="225" t="s">
        <v>4159</v>
      </c>
      <c r="O575" s="225" t="s">
        <v>4159</v>
      </c>
    </row>
    <row r="576" spans="1:15" ht="12.75" customHeight="1" x14ac:dyDescent="0.3">
      <c r="A576" s="789" t="s">
        <v>1267</v>
      </c>
      <c r="B576" s="790"/>
      <c r="C576" s="790"/>
      <c r="D576" s="790"/>
      <c r="E576" s="790"/>
      <c r="F576" s="790"/>
      <c r="G576" s="789" t="s">
        <v>4748</v>
      </c>
      <c r="H576" s="789" t="s">
        <v>4690</v>
      </c>
      <c r="I576" s="220" t="str">
        <f>IF(ISBLANK(regional!I194),"",regional!I194)</f>
        <v/>
      </c>
      <c r="K576" s="225" t="s">
        <v>4159</v>
      </c>
      <c r="O576" s="225" t="s">
        <v>4159</v>
      </c>
    </row>
    <row r="577" spans="1:15" ht="12.75" customHeight="1" x14ac:dyDescent="0.3">
      <c r="A577" s="789" t="s">
        <v>1268</v>
      </c>
      <c r="B577" s="790"/>
      <c r="C577" s="790"/>
      <c r="D577" s="790"/>
      <c r="E577" s="790"/>
      <c r="F577" s="790"/>
      <c r="G577" s="789" t="s">
        <v>4749</v>
      </c>
      <c r="H577" s="789" t="s">
        <v>4690</v>
      </c>
      <c r="I577" s="220" t="str">
        <f>IF(ISBLANK(regional!I195),"",regional!I195)</f>
        <v/>
      </c>
      <c r="K577" s="225" t="s">
        <v>4159</v>
      </c>
      <c r="O577" s="225" t="s">
        <v>4159</v>
      </c>
    </row>
    <row r="578" spans="1:15" ht="12.75" customHeight="1" x14ac:dyDescent="0.3">
      <c r="A578" s="789" t="s">
        <v>1269</v>
      </c>
      <c r="B578" s="790"/>
      <c r="C578" s="790"/>
      <c r="D578" s="790"/>
      <c r="E578" s="790"/>
      <c r="F578" s="790"/>
      <c r="G578" s="789" t="s">
        <v>4750</v>
      </c>
      <c r="H578" s="789" t="s">
        <v>4690</v>
      </c>
      <c r="I578" s="220" t="str">
        <f>IF(ISBLANK(regional!I196),"",regional!I196)</f>
        <v/>
      </c>
      <c r="K578" s="225" t="s">
        <v>4159</v>
      </c>
      <c r="O578" s="225" t="s">
        <v>4159</v>
      </c>
    </row>
    <row r="579" spans="1:15" ht="12.75" customHeight="1" x14ac:dyDescent="0.3">
      <c r="A579" s="789" t="s">
        <v>1270</v>
      </c>
      <c r="B579" s="790"/>
      <c r="C579" s="790"/>
      <c r="D579" s="790"/>
      <c r="E579" s="790"/>
      <c r="F579" s="790"/>
      <c r="G579" s="789" t="s">
        <v>4751</v>
      </c>
      <c r="H579" s="789" t="s">
        <v>4690</v>
      </c>
      <c r="I579" s="220" t="str">
        <f>IF(ISBLANK(regional!I197),"",regional!I197)</f>
        <v/>
      </c>
      <c r="K579" s="225" t="s">
        <v>4159</v>
      </c>
      <c r="O579" s="225" t="s">
        <v>4159</v>
      </c>
    </row>
    <row r="580" spans="1:15" ht="12.75" customHeight="1" x14ac:dyDescent="0.3">
      <c r="A580" s="796" t="s">
        <v>1271</v>
      </c>
      <c r="B580" s="797"/>
      <c r="C580" s="797"/>
      <c r="D580" s="797"/>
      <c r="E580" s="797"/>
      <c r="F580" s="797"/>
      <c r="G580" s="796" t="s">
        <v>1272</v>
      </c>
      <c r="H580" s="796" t="s">
        <v>4690</v>
      </c>
      <c r="I580" s="220" t="str">
        <f>IF(ISBLANK(regional!I198),"",regional!I198)</f>
        <v/>
      </c>
      <c r="K580" s="225" t="s">
        <v>4159</v>
      </c>
      <c r="O580" s="225" t="s">
        <v>4159</v>
      </c>
    </row>
    <row r="581" spans="1:15" ht="12.75" customHeight="1" x14ac:dyDescent="0.3">
      <c r="A581" s="789" t="s">
        <v>1273</v>
      </c>
      <c r="B581" s="790"/>
      <c r="C581" s="790"/>
      <c r="D581" s="790"/>
      <c r="E581" s="790"/>
      <c r="F581" s="790"/>
      <c r="G581" s="789" t="s">
        <v>4752</v>
      </c>
      <c r="H581" s="789" t="s">
        <v>4690</v>
      </c>
      <c r="I581" s="220" t="str">
        <f>IF(ISBLANK(regional!I199),"",regional!I199)</f>
        <v/>
      </c>
      <c r="K581" s="225" t="s">
        <v>4159</v>
      </c>
      <c r="O581" s="225" t="s">
        <v>4159</v>
      </c>
    </row>
    <row r="582" spans="1:15" ht="12.75" customHeight="1" x14ac:dyDescent="0.3">
      <c r="A582" s="789" t="s">
        <v>1274</v>
      </c>
      <c r="B582" s="790"/>
      <c r="C582" s="790"/>
      <c r="D582" s="790"/>
      <c r="E582" s="790"/>
      <c r="F582" s="790"/>
      <c r="G582" s="789" t="s">
        <v>4753</v>
      </c>
      <c r="H582" s="789" t="s">
        <v>4690</v>
      </c>
      <c r="I582" s="220" t="str">
        <f>IF(ISBLANK(regional!I200),"",regional!I200)</f>
        <v/>
      </c>
      <c r="K582" s="225" t="s">
        <v>4159</v>
      </c>
      <c r="O582" s="225" t="s">
        <v>4159</v>
      </c>
    </row>
    <row r="583" spans="1:15" ht="12.75" customHeight="1" x14ac:dyDescent="0.3">
      <c r="A583" s="789" t="s">
        <v>1275</v>
      </c>
      <c r="B583" s="790"/>
      <c r="C583" s="790"/>
      <c r="D583" s="790"/>
      <c r="E583" s="790"/>
      <c r="F583" s="790"/>
      <c r="G583" s="789" t="s">
        <v>4754</v>
      </c>
      <c r="H583" s="789" t="s">
        <v>4690</v>
      </c>
      <c r="I583" s="220" t="str">
        <f>IF(ISBLANK(regional!I201),"",regional!I201)</f>
        <v/>
      </c>
      <c r="K583" s="225" t="s">
        <v>4159</v>
      </c>
      <c r="O583" s="225" t="s">
        <v>4159</v>
      </c>
    </row>
    <row r="584" spans="1:15" ht="12.75" customHeight="1" x14ac:dyDescent="0.3">
      <c r="A584" s="789" t="s">
        <v>1276</v>
      </c>
      <c r="B584" s="790"/>
      <c r="C584" s="790"/>
      <c r="D584" s="790"/>
      <c r="E584" s="790"/>
      <c r="F584" s="790"/>
      <c r="G584" s="789" t="s">
        <v>4755</v>
      </c>
      <c r="H584" s="789" t="s">
        <v>4690</v>
      </c>
      <c r="I584" s="220" t="str">
        <f>IF(ISBLANK(regional!I202),"",regional!I202)</f>
        <v/>
      </c>
      <c r="K584" s="225" t="s">
        <v>4159</v>
      </c>
      <c r="O584" s="225" t="s">
        <v>4159</v>
      </c>
    </row>
    <row r="585" spans="1:15" ht="12.75" customHeight="1" x14ac:dyDescent="0.3">
      <c r="A585" s="789" t="s">
        <v>1277</v>
      </c>
      <c r="B585" s="790"/>
      <c r="C585" s="790"/>
      <c r="D585" s="790"/>
      <c r="E585" s="790"/>
      <c r="F585" s="790"/>
      <c r="G585" s="789" t="s">
        <v>4756</v>
      </c>
      <c r="H585" s="789" t="s">
        <v>4690</v>
      </c>
      <c r="I585" s="220" t="str">
        <f>IF(ISBLANK(regional!I203),"",regional!I203)</f>
        <v/>
      </c>
      <c r="J585" s="211"/>
      <c r="K585" s="225" t="s">
        <v>4159</v>
      </c>
      <c r="O585" s="225" t="s">
        <v>4159</v>
      </c>
    </row>
    <row r="586" spans="1:15" ht="12.75" customHeight="1" x14ac:dyDescent="0.3">
      <c r="A586" s="789"/>
      <c r="B586" s="789" t="s">
        <v>1278</v>
      </c>
      <c r="C586" s="801"/>
      <c r="D586" s="790"/>
      <c r="E586" s="790"/>
      <c r="F586" s="790"/>
      <c r="G586" s="801" t="s">
        <v>1279</v>
      </c>
      <c r="H586" s="789" t="s">
        <v>4690</v>
      </c>
      <c r="I586" s="220" t="str">
        <f>IF(ISBLANK(regional!I204),"",regional!I204)</f>
        <v/>
      </c>
      <c r="J586" s="353"/>
      <c r="K586" s="225" t="s">
        <v>4159</v>
      </c>
      <c r="O586" s="225" t="s">
        <v>4159</v>
      </c>
    </row>
    <row r="587" spans="1:15" ht="12.75" customHeight="1" x14ac:dyDescent="0.3">
      <c r="A587" s="789"/>
      <c r="B587" s="789" t="s">
        <v>1280</v>
      </c>
      <c r="C587" s="790"/>
      <c r="D587" s="790"/>
      <c r="E587" s="790"/>
      <c r="F587" s="790"/>
      <c r="G587" s="789" t="s">
        <v>1281</v>
      </c>
      <c r="H587" s="789" t="s">
        <v>4690</v>
      </c>
      <c r="I587" s="220" t="str">
        <f>IF(ISBLANK(regional!I205),"",regional!I205)</f>
        <v/>
      </c>
      <c r="J587" s="639"/>
      <c r="K587" s="225" t="s">
        <v>4159</v>
      </c>
      <c r="O587" s="225" t="s">
        <v>4159</v>
      </c>
    </row>
    <row r="588" spans="1:15" ht="12.75" customHeight="1" x14ac:dyDescent="0.3">
      <c r="A588" s="801"/>
      <c r="B588" s="801"/>
      <c r="C588" s="789" t="s">
        <v>1282</v>
      </c>
      <c r="D588" s="790"/>
      <c r="E588" s="790"/>
      <c r="F588" s="790"/>
      <c r="G588" s="789" t="s">
        <v>1283</v>
      </c>
      <c r="H588" s="789" t="s">
        <v>4757</v>
      </c>
      <c r="I588" s="220" t="str">
        <f>IF(ISBLANK(regional!I206),"",regional!I206)</f>
        <v/>
      </c>
      <c r="K588" s="225" t="s">
        <v>4159</v>
      </c>
      <c r="O588" s="225" t="s">
        <v>4159</v>
      </c>
    </row>
    <row r="589" spans="1:15" ht="12.75" customHeight="1" x14ac:dyDescent="0.3">
      <c r="A589" s="801"/>
      <c r="B589" s="801"/>
      <c r="C589" s="789" t="s">
        <v>1285</v>
      </c>
      <c r="D589" s="790"/>
      <c r="E589" s="790"/>
      <c r="F589" s="790"/>
      <c r="G589" s="789" t="s">
        <v>1286</v>
      </c>
      <c r="H589" s="789" t="s">
        <v>291</v>
      </c>
      <c r="I589" s="220" t="str">
        <f>IF(ISBLANK(regional!I207),"",regional!I207)</f>
        <v/>
      </c>
      <c r="K589" s="225" t="s">
        <v>4159</v>
      </c>
      <c r="O589" s="225" t="s">
        <v>4159</v>
      </c>
    </row>
    <row r="590" spans="1:15" ht="12.75" customHeight="1" x14ac:dyDescent="0.3">
      <c r="A590" s="789"/>
      <c r="B590" s="789" t="s">
        <v>1287</v>
      </c>
      <c r="C590" s="790"/>
      <c r="D590" s="790"/>
      <c r="E590" s="790"/>
      <c r="F590" s="790"/>
      <c r="G590" s="789" t="s">
        <v>1288</v>
      </c>
      <c r="H590" s="789" t="s">
        <v>4690</v>
      </c>
      <c r="I590" s="220" t="str">
        <f>IF(ISBLANK(regional!I208),"",regional!I208)</f>
        <v/>
      </c>
      <c r="K590" s="225" t="s">
        <v>4159</v>
      </c>
      <c r="O590" s="225" t="s">
        <v>4159</v>
      </c>
    </row>
    <row r="591" spans="1:15" ht="12.75" customHeight="1" x14ac:dyDescent="0.3">
      <c r="A591" s="789"/>
      <c r="B591" s="789" t="s">
        <v>1289</v>
      </c>
      <c r="C591" s="790"/>
      <c r="D591" s="790"/>
      <c r="E591" s="790"/>
      <c r="F591" s="790"/>
      <c r="G591" s="789" t="s">
        <v>1290</v>
      </c>
      <c r="H591" s="789" t="s">
        <v>4690</v>
      </c>
      <c r="I591" s="220" t="str">
        <f>IF(ISBLANK(regional!I209),"",regional!I209)</f>
        <v/>
      </c>
      <c r="K591" s="225" t="s">
        <v>4159</v>
      </c>
      <c r="O591" s="225" t="s">
        <v>4159</v>
      </c>
    </row>
    <row r="592" spans="1:15" ht="12.75" customHeight="1" x14ac:dyDescent="0.3">
      <c r="A592" s="789"/>
      <c r="B592" s="789" t="s">
        <v>1291</v>
      </c>
      <c r="C592" s="790"/>
      <c r="D592" s="790"/>
      <c r="E592" s="790"/>
      <c r="F592" s="790"/>
      <c r="G592" s="789" t="s">
        <v>1292</v>
      </c>
      <c r="H592" s="789" t="s">
        <v>4690</v>
      </c>
      <c r="I592" s="220" t="str">
        <f>IF(ISBLANK(regional!I210),"",regional!I210)</f>
        <v/>
      </c>
      <c r="K592" s="225" t="s">
        <v>4159</v>
      </c>
      <c r="O592" s="225" t="s">
        <v>4159</v>
      </c>
    </row>
    <row r="593" spans="1:15" ht="12.75" customHeight="1" x14ac:dyDescent="0.3">
      <c r="A593" s="789"/>
      <c r="B593" s="789"/>
      <c r="C593" s="789" t="s">
        <v>1293</v>
      </c>
      <c r="D593" s="790"/>
      <c r="E593" s="790"/>
      <c r="F593" s="790"/>
      <c r="G593" s="801" t="s">
        <v>1294</v>
      </c>
      <c r="H593" s="789" t="s">
        <v>1295</v>
      </c>
      <c r="I593" s="220" t="str">
        <f>IF(ISBLANK(regional!I211),"",regional!I211)</f>
        <v/>
      </c>
      <c r="K593" s="225" t="s">
        <v>4159</v>
      </c>
      <c r="O593" s="225" t="s">
        <v>4159</v>
      </c>
    </row>
    <row r="594" spans="1:15" ht="12.75" customHeight="1" x14ac:dyDescent="0.3">
      <c r="A594" s="789"/>
      <c r="B594" s="789"/>
      <c r="C594" s="789" t="s">
        <v>1297</v>
      </c>
      <c r="D594" s="790"/>
      <c r="E594" s="790"/>
      <c r="F594" s="790"/>
      <c r="G594" s="801" t="s">
        <v>1298</v>
      </c>
      <c r="H594" s="789" t="s">
        <v>1295</v>
      </c>
      <c r="I594" s="220" t="str">
        <f>IF(ISBLANK(regional!I212),"",regional!I212)</f>
        <v/>
      </c>
      <c r="K594" s="225" t="s">
        <v>4159</v>
      </c>
      <c r="O594" s="225" t="s">
        <v>4159</v>
      </c>
    </row>
    <row r="595" spans="1:15" ht="12.75" customHeight="1" x14ac:dyDescent="0.3">
      <c r="A595" s="789"/>
      <c r="B595" s="789"/>
      <c r="C595" s="789" t="s">
        <v>1299</v>
      </c>
      <c r="D595" s="790"/>
      <c r="E595" s="790"/>
      <c r="F595" s="790"/>
      <c r="G595" s="801" t="s">
        <v>1300</v>
      </c>
      <c r="H595" s="789" t="s">
        <v>1295</v>
      </c>
      <c r="I595" s="220" t="str">
        <f>IF(ISBLANK(regional!I213),"",regional!I213)</f>
        <v/>
      </c>
      <c r="K595" s="225" t="s">
        <v>4159</v>
      </c>
      <c r="O595" s="225" t="s">
        <v>4159</v>
      </c>
    </row>
    <row r="596" spans="1:15" ht="12.75" customHeight="1" x14ac:dyDescent="0.3">
      <c r="A596" s="801"/>
      <c r="B596" s="801"/>
      <c r="C596" s="789" t="s">
        <v>1301</v>
      </c>
      <c r="D596" s="790"/>
      <c r="E596" s="790"/>
      <c r="F596" s="790"/>
      <c r="G596" s="789" t="s">
        <v>1302</v>
      </c>
      <c r="H596" s="789" t="s">
        <v>291</v>
      </c>
      <c r="I596" s="220" t="str">
        <f>IF(ISBLANK(regional!I214),"",regional!I214)</f>
        <v/>
      </c>
      <c r="K596" s="225" t="s">
        <v>4159</v>
      </c>
      <c r="O596" s="225" t="s">
        <v>4159</v>
      </c>
    </row>
    <row r="597" spans="1:15" ht="12.75" customHeight="1" x14ac:dyDescent="0.3">
      <c r="A597" s="796"/>
      <c r="B597" s="796" t="s">
        <v>1303</v>
      </c>
      <c r="C597" s="797"/>
      <c r="D597" s="797"/>
      <c r="E597" s="797"/>
      <c r="F597" s="797"/>
      <c r="G597" s="796" t="s">
        <v>1304</v>
      </c>
      <c r="H597" s="796" t="s">
        <v>4690</v>
      </c>
      <c r="I597" s="220" t="str">
        <f>IF(ISBLANK(regional!I215),"",regional!I215)</f>
        <v/>
      </c>
      <c r="K597" s="225" t="s">
        <v>4159</v>
      </c>
      <c r="O597" s="225" t="s">
        <v>4159</v>
      </c>
    </row>
    <row r="598" spans="1:15" ht="12.75" customHeight="1" x14ac:dyDescent="0.3">
      <c r="A598" s="789"/>
      <c r="B598" s="789" t="s">
        <v>1305</v>
      </c>
      <c r="C598" s="790"/>
      <c r="D598" s="790"/>
      <c r="E598" s="790"/>
      <c r="F598" s="790"/>
      <c r="G598" s="789" t="s">
        <v>1306</v>
      </c>
      <c r="H598" s="789" t="s">
        <v>4690</v>
      </c>
      <c r="I598" s="220" t="str">
        <f>IF(ISBLANK(regional!I216),"",regional!I216)</f>
        <v/>
      </c>
      <c r="K598" s="225" t="s">
        <v>4159</v>
      </c>
      <c r="O598" s="225" t="s">
        <v>4159</v>
      </c>
    </row>
    <row r="599" spans="1:15" ht="12.75" customHeight="1" x14ac:dyDescent="0.3">
      <c r="A599" s="789"/>
      <c r="B599" s="789" t="s">
        <v>1307</v>
      </c>
      <c r="C599" s="790"/>
      <c r="D599" s="790"/>
      <c r="E599" s="790"/>
      <c r="F599" s="790"/>
      <c r="G599" s="789" t="s">
        <v>1308</v>
      </c>
      <c r="H599" s="789" t="s">
        <v>4690</v>
      </c>
      <c r="I599" s="220" t="str">
        <f>IF(ISBLANK(regional!I217),"",regional!I217)</f>
        <v/>
      </c>
      <c r="K599" s="225" t="s">
        <v>4159</v>
      </c>
      <c r="O599" s="225" t="s">
        <v>4159</v>
      </c>
    </row>
    <row r="600" spans="1:15" ht="12.75" customHeight="1" x14ac:dyDescent="0.3">
      <c r="A600" s="789"/>
      <c r="B600" s="789" t="s">
        <v>1309</v>
      </c>
      <c r="C600" s="790"/>
      <c r="D600" s="790"/>
      <c r="E600" s="790"/>
      <c r="F600" s="790"/>
      <c r="G600" s="789" t="s">
        <v>1310</v>
      </c>
      <c r="H600" s="789" t="s">
        <v>4690</v>
      </c>
      <c r="I600" s="220" t="str">
        <f>IF(ISBLANK(regional!I218),"",regional!I218)</f>
        <v/>
      </c>
      <c r="K600" s="225" t="s">
        <v>4159</v>
      </c>
      <c r="O600" s="225" t="s">
        <v>4159</v>
      </c>
    </row>
    <row r="601" spans="1:15" ht="12.75" customHeight="1" x14ac:dyDescent="0.3">
      <c r="A601" s="789"/>
      <c r="B601" s="789" t="s">
        <v>1311</v>
      </c>
      <c r="C601" s="790"/>
      <c r="D601" s="790"/>
      <c r="E601" s="790"/>
      <c r="F601" s="790"/>
      <c r="G601" s="789" t="s">
        <v>1312</v>
      </c>
      <c r="H601" s="789" t="s">
        <v>4690</v>
      </c>
      <c r="I601" s="220" t="str">
        <f>IF(ISBLANK(regional!I219),"",regional!I219)</f>
        <v/>
      </c>
      <c r="K601" s="225" t="s">
        <v>4159</v>
      </c>
      <c r="O601" s="225" t="s">
        <v>4159</v>
      </c>
    </row>
    <row r="602" spans="1:15" ht="12.75" customHeight="1" x14ac:dyDescent="0.3">
      <c r="A602" s="789"/>
      <c r="B602" s="789" t="s">
        <v>1313</v>
      </c>
      <c r="C602" s="790"/>
      <c r="D602" s="790"/>
      <c r="E602" s="790"/>
      <c r="F602" s="790"/>
      <c r="G602" s="789" t="s">
        <v>1314</v>
      </c>
      <c r="H602" s="789" t="s">
        <v>4690</v>
      </c>
      <c r="I602" s="220" t="str">
        <f>IF(ISBLANK(regional!I220),"",regional!I220)</f>
        <v/>
      </c>
      <c r="K602" s="225" t="s">
        <v>4159</v>
      </c>
      <c r="O602" s="225" t="s">
        <v>4159</v>
      </c>
    </row>
    <row r="603" spans="1:15" ht="12.75" customHeight="1" x14ac:dyDescent="0.3">
      <c r="A603" s="789"/>
      <c r="B603" s="789"/>
      <c r="C603" s="789" t="s">
        <v>1315</v>
      </c>
      <c r="D603" s="790"/>
      <c r="E603" s="790"/>
      <c r="F603" s="790"/>
      <c r="G603" s="801" t="s">
        <v>1316</v>
      </c>
      <c r="H603" s="789" t="s">
        <v>291</v>
      </c>
      <c r="I603" s="220" t="str">
        <f>IF(ISBLANK(regional!I221),"",regional!I221)</f>
        <v/>
      </c>
      <c r="K603" s="225" t="s">
        <v>4159</v>
      </c>
      <c r="O603" s="225" t="s">
        <v>4159</v>
      </c>
    </row>
    <row r="604" spans="1:15" ht="12.75" customHeight="1" x14ac:dyDescent="0.3">
      <c r="A604" s="789"/>
      <c r="B604" s="789"/>
      <c r="C604" s="789" t="s">
        <v>1317</v>
      </c>
      <c r="D604" s="790"/>
      <c r="E604" s="790"/>
      <c r="F604" s="790"/>
      <c r="G604" s="801" t="s">
        <v>1318</v>
      </c>
      <c r="H604" s="789" t="s">
        <v>291</v>
      </c>
      <c r="I604" s="220" t="str">
        <f>IF(ISBLANK(regional!I222),"",regional!I222)</f>
        <v/>
      </c>
      <c r="K604" s="225" t="s">
        <v>4159</v>
      </c>
      <c r="O604" s="225" t="s">
        <v>4159</v>
      </c>
    </row>
    <row r="605" spans="1:15" ht="12.75" customHeight="1" x14ac:dyDescent="0.3">
      <c r="A605" s="790"/>
      <c r="B605" s="790"/>
      <c r="C605" s="789" t="s">
        <v>1319</v>
      </c>
      <c r="D605" s="790"/>
      <c r="E605" s="790"/>
      <c r="F605" s="790"/>
      <c r="G605" s="801" t="s">
        <v>1320</v>
      </c>
      <c r="H605" s="789" t="s">
        <v>291</v>
      </c>
      <c r="I605" s="220" t="str">
        <f>IF(ISBLANK(regional!I223),"",regional!I223)</f>
        <v/>
      </c>
      <c r="K605" s="225" t="s">
        <v>4159</v>
      </c>
      <c r="O605" s="225" t="s">
        <v>4159</v>
      </c>
    </row>
    <row r="606" spans="1:15" ht="12.75" customHeight="1" x14ac:dyDescent="0.3">
      <c r="A606" s="789"/>
      <c r="B606" s="789"/>
      <c r="C606" s="790" t="s">
        <v>1185</v>
      </c>
      <c r="D606" s="790"/>
      <c r="E606" s="801"/>
      <c r="F606" s="801"/>
      <c r="G606" s="789" t="s">
        <v>1321</v>
      </c>
      <c r="H606" s="790" t="s">
        <v>291</v>
      </c>
      <c r="I606" s="220" t="str">
        <f>IF(ISBLANK(regional!I224),"",regional!I224)</f>
        <v/>
      </c>
      <c r="K606" s="225" t="s">
        <v>4159</v>
      </c>
      <c r="O606" s="225" t="s">
        <v>4159</v>
      </c>
    </row>
    <row r="607" spans="1:15" ht="12.75" customHeight="1" x14ac:dyDescent="0.3">
      <c r="A607" s="789"/>
      <c r="B607" s="789"/>
      <c r="C607" s="790" t="s">
        <v>1185</v>
      </c>
      <c r="D607" s="790"/>
      <c r="E607" s="801"/>
      <c r="F607" s="801"/>
      <c r="G607" s="789" t="s">
        <v>1322</v>
      </c>
      <c r="H607" s="790" t="s">
        <v>291</v>
      </c>
      <c r="I607" s="220" t="str">
        <f>IF(ISBLANK(regional!I225),"",regional!I225)</f>
        <v/>
      </c>
      <c r="K607" s="225" t="s">
        <v>4159</v>
      </c>
      <c r="O607" s="225" t="s">
        <v>4159</v>
      </c>
    </row>
    <row r="608" spans="1:15" ht="12.75" customHeight="1" x14ac:dyDescent="0.3">
      <c r="A608" s="789"/>
      <c r="B608" s="789"/>
      <c r="C608" s="790" t="s">
        <v>1185</v>
      </c>
      <c r="D608" s="790"/>
      <c r="E608" s="801"/>
      <c r="F608" s="801"/>
      <c r="G608" s="789" t="s">
        <v>1323</v>
      </c>
      <c r="H608" s="790" t="s">
        <v>291</v>
      </c>
      <c r="I608" s="220" t="str">
        <f>IF(ISBLANK(regional!I226),"",regional!I226)</f>
        <v/>
      </c>
      <c r="K608" s="225" t="s">
        <v>4159</v>
      </c>
      <c r="O608" s="225" t="s">
        <v>4159</v>
      </c>
    </row>
    <row r="609" spans="1:15" ht="12.75" customHeight="1" x14ac:dyDescent="0.3">
      <c r="A609" s="826"/>
      <c r="B609" s="826"/>
      <c r="C609" s="826"/>
      <c r="D609" s="826"/>
      <c r="E609" s="826"/>
      <c r="F609" s="826"/>
      <c r="G609" s="827"/>
      <c r="H609" s="827"/>
      <c r="I609" s="220" t="str">
        <f>IF(ISBLANK(regional!I227),"",regional!I227)</f>
        <v/>
      </c>
      <c r="K609" s="225" t="s">
        <v>4159</v>
      </c>
      <c r="O609" s="225" t="s">
        <v>4159</v>
      </c>
    </row>
    <row r="610" spans="1:15" ht="12.75" customHeight="1" x14ac:dyDescent="0.3">
      <c r="A610" s="778" t="s">
        <v>1324</v>
      </c>
      <c r="I610" s="220" t="str">
        <f>IF(ISBLANK(regional!I228),"",regional!I228)</f>
        <v/>
      </c>
      <c r="K610" s="225" t="s">
        <v>4159</v>
      </c>
      <c r="O610" s="225" t="s">
        <v>4159</v>
      </c>
    </row>
    <row r="611" spans="1:15" ht="12.75" customHeight="1" x14ac:dyDescent="0.3">
      <c r="A611" s="785" t="s">
        <v>1325</v>
      </c>
      <c r="B611" s="784"/>
      <c r="C611" s="784"/>
      <c r="D611" s="784"/>
      <c r="E611" s="784"/>
      <c r="F611" s="784"/>
      <c r="G611" s="785" t="s">
        <v>258</v>
      </c>
      <c r="H611" s="785" t="s">
        <v>274</v>
      </c>
      <c r="I611" s="220" t="str">
        <f>IF(ISBLANK(regional!I229),"",regional!I229)</f>
        <v>User input</v>
      </c>
      <c r="K611" s="225" t="s">
        <v>259</v>
      </c>
      <c r="O611" s="225" t="s">
        <v>259</v>
      </c>
    </row>
    <row r="612" spans="1:15" ht="12.75" customHeight="1" x14ac:dyDescent="0.3">
      <c r="A612" s="352" t="s">
        <v>1328</v>
      </c>
      <c r="B612" s="352"/>
      <c r="C612" s="352"/>
      <c r="D612" s="352"/>
      <c r="E612" s="352"/>
      <c r="F612" s="352"/>
      <c r="G612" s="520"/>
      <c r="H612" s="520"/>
      <c r="I612" s="220" t="str">
        <f>IF(ISBLANK(regional!I230),"",regional!I230)</f>
        <v/>
      </c>
      <c r="K612" s="225" t="s">
        <v>4159</v>
      </c>
      <c r="O612" s="225" t="s">
        <v>4159</v>
      </c>
    </row>
    <row r="613" spans="1:15" ht="12.75" customHeight="1" x14ac:dyDescent="0.3">
      <c r="A613" s="797" t="s">
        <v>1329</v>
      </c>
      <c r="B613" s="797"/>
      <c r="C613" s="797"/>
      <c r="D613" s="797"/>
      <c r="E613" s="797"/>
      <c r="F613" s="797"/>
      <c r="G613" s="797" t="s">
        <v>1330</v>
      </c>
      <c r="H613" s="796" t="s">
        <v>335</v>
      </c>
      <c r="I613" s="220" t="str">
        <f>IF(ISBLANK(regional!I231),"",regional!I231)</f>
        <v/>
      </c>
      <c r="K613" s="225" t="s">
        <v>4159</v>
      </c>
      <c r="O613" s="225" t="s">
        <v>4159</v>
      </c>
    </row>
    <row r="614" spans="1:15" ht="12.75" customHeight="1" x14ac:dyDescent="0.3">
      <c r="A614" s="797"/>
      <c r="B614" s="797" t="s">
        <v>1332</v>
      </c>
      <c r="C614" s="797"/>
      <c r="D614" s="797"/>
      <c r="E614" s="797"/>
      <c r="F614" s="797"/>
      <c r="G614" s="797" t="s">
        <v>1333</v>
      </c>
      <c r="H614" s="797" t="s">
        <v>335</v>
      </c>
      <c r="I614" s="220" t="str">
        <f>IF(ISBLANK(regional!I232),"",regional!I232)</f>
        <v/>
      </c>
      <c r="K614" s="225" t="s">
        <v>4159</v>
      </c>
      <c r="O614" s="225" t="s">
        <v>4159</v>
      </c>
    </row>
    <row r="615" spans="1:15" ht="12.75" customHeight="1" x14ac:dyDescent="0.3">
      <c r="A615" s="797"/>
      <c r="B615" s="797"/>
      <c r="C615" s="797" t="s">
        <v>706</v>
      </c>
      <c r="D615" s="797"/>
      <c r="E615" s="797"/>
      <c r="F615" s="797"/>
      <c r="G615" s="797" t="s">
        <v>707</v>
      </c>
      <c r="H615" s="796" t="s">
        <v>708</v>
      </c>
      <c r="I615" s="220" t="str">
        <f>IF(ISBLANK(input!I275),"",input!I275)</f>
        <v/>
      </c>
      <c r="K615" s="225" t="s">
        <v>4159</v>
      </c>
      <c r="O615" s="225" t="s">
        <v>4159</v>
      </c>
    </row>
    <row r="616" spans="1:15" ht="12.75" customHeight="1" x14ac:dyDescent="0.3">
      <c r="A616" s="797"/>
      <c r="B616" s="797"/>
      <c r="C616" s="797" t="s">
        <v>1334</v>
      </c>
      <c r="D616" s="797"/>
      <c r="E616" s="797"/>
      <c r="F616" s="797"/>
      <c r="G616" s="796" t="s">
        <v>1335</v>
      </c>
      <c r="H616" s="796" t="s">
        <v>291</v>
      </c>
      <c r="I616" s="220" t="str">
        <f>IF(ISBLANK(regional!I233),"",regional!I233)</f>
        <v/>
      </c>
      <c r="K616" s="225" t="s">
        <v>4159</v>
      </c>
      <c r="O616" s="225" t="s">
        <v>4159</v>
      </c>
    </row>
    <row r="617" spans="1:15" ht="12.75" customHeight="1" x14ac:dyDescent="0.3">
      <c r="A617" s="797"/>
      <c r="B617" s="797"/>
      <c r="C617" s="797"/>
      <c r="D617" s="797" t="s">
        <v>1337</v>
      </c>
      <c r="E617" s="797"/>
      <c r="F617" s="797"/>
      <c r="G617" s="797" t="s">
        <v>1338</v>
      </c>
      <c r="H617" s="797" t="s">
        <v>900</v>
      </c>
      <c r="I617" s="220" t="str">
        <f>IF(ISBLANK(regional!I234),"",regional!I234)</f>
        <v/>
      </c>
      <c r="K617" s="225" t="s">
        <v>4159</v>
      </c>
      <c r="O617" s="225" t="s">
        <v>4159</v>
      </c>
    </row>
    <row r="618" spans="1:15" ht="12.75" customHeight="1" x14ac:dyDescent="0.3">
      <c r="A618" s="797"/>
      <c r="B618" s="797"/>
      <c r="C618" s="797"/>
      <c r="D618" s="797" t="s">
        <v>1339</v>
      </c>
      <c r="E618" s="797"/>
      <c r="F618" s="797"/>
      <c r="G618" s="796" t="s">
        <v>1340</v>
      </c>
      <c r="H618" s="796" t="s">
        <v>866</v>
      </c>
      <c r="I618" s="220" t="str">
        <f>IF(ISBLANK(regional!I235),"",regional!I235)</f>
        <v/>
      </c>
      <c r="K618" s="225" t="s">
        <v>4159</v>
      </c>
      <c r="O618" s="225" t="s">
        <v>4159</v>
      </c>
    </row>
    <row r="619" spans="1:15" ht="12.75" customHeight="1" x14ac:dyDescent="0.3">
      <c r="A619" s="797" t="s">
        <v>1341</v>
      </c>
      <c r="B619" s="797"/>
      <c r="C619" s="797"/>
      <c r="D619" s="797"/>
      <c r="E619" s="797"/>
      <c r="F619" s="797"/>
      <c r="G619" s="797" t="s">
        <v>1342</v>
      </c>
      <c r="H619" s="797" t="s">
        <v>335</v>
      </c>
      <c r="I619" s="220" t="str">
        <f>IF(ISBLANK(regional!I236),"",regional!I236)</f>
        <v/>
      </c>
      <c r="K619" s="225" t="s">
        <v>4159</v>
      </c>
      <c r="O619" s="225" t="s">
        <v>4159</v>
      </c>
    </row>
    <row r="620" spans="1:15" ht="12.75" customHeight="1" x14ac:dyDescent="0.3">
      <c r="A620" s="797"/>
      <c r="B620" s="797"/>
      <c r="C620" s="797" t="s">
        <v>710</v>
      </c>
      <c r="D620" s="797"/>
      <c r="E620" s="797"/>
      <c r="F620" s="797"/>
      <c r="G620" s="797" t="s">
        <v>711</v>
      </c>
      <c r="H620" s="796" t="s">
        <v>708</v>
      </c>
      <c r="I620" s="220" t="str">
        <f>IF(ISBLANK(input!I276),"",input!I276)</f>
        <v/>
      </c>
      <c r="K620" s="225" t="s">
        <v>4159</v>
      </c>
      <c r="O620" s="225" t="s">
        <v>4159</v>
      </c>
    </row>
    <row r="621" spans="1:15" ht="12.75" customHeight="1" x14ac:dyDescent="0.3">
      <c r="A621" s="797"/>
      <c r="B621" s="797"/>
      <c r="C621" s="797" t="s">
        <v>1343</v>
      </c>
      <c r="D621" s="797"/>
      <c r="E621" s="797"/>
      <c r="F621" s="797"/>
      <c r="G621" s="796" t="s">
        <v>1344</v>
      </c>
      <c r="H621" s="796" t="s">
        <v>866</v>
      </c>
      <c r="I621" s="220" t="str">
        <f>IF(ISBLANK(regional!I237),"",regional!I237)</f>
        <v/>
      </c>
      <c r="K621" s="225" t="s">
        <v>4159</v>
      </c>
      <c r="O621" s="225" t="s">
        <v>4159</v>
      </c>
    </row>
    <row r="622" spans="1:15" ht="12.75" customHeight="1" x14ac:dyDescent="0.3">
      <c r="A622" s="797"/>
      <c r="B622" s="797"/>
      <c r="C622" s="797" t="s">
        <v>1345</v>
      </c>
      <c r="D622" s="797"/>
      <c r="E622" s="797"/>
      <c r="F622" s="797"/>
      <c r="G622" s="797" t="s">
        <v>1346</v>
      </c>
      <c r="H622" s="797" t="s">
        <v>900</v>
      </c>
      <c r="I622" s="220" t="str">
        <f>IF(ISBLANK(regional!I238),"",regional!I238)</f>
        <v/>
      </c>
      <c r="K622" s="225" t="s">
        <v>4159</v>
      </c>
      <c r="O622" s="225" t="s">
        <v>4159</v>
      </c>
    </row>
    <row r="623" spans="1:15" ht="12.75" customHeight="1" x14ac:dyDescent="0.3">
      <c r="A623" s="797"/>
      <c r="B623" s="797"/>
      <c r="C623" s="797" t="s">
        <v>1347</v>
      </c>
      <c r="D623" s="797"/>
      <c r="E623" s="797"/>
      <c r="F623" s="797"/>
      <c r="G623" s="796" t="s">
        <v>1348</v>
      </c>
      <c r="H623" s="796" t="s">
        <v>291</v>
      </c>
      <c r="I623" s="220" t="str">
        <f>IF(ISBLANK(regional!I239),"",regional!I239)</f>
        <v/>
      </c>
      <c r="K623" s="225" t="s">
        <v>4159</v>
      </c>
      <c r="O623" s="225" t="s">
        <v>4159</v>
      </c>
    </row>
    <row r="624" spans="1:15" ht="12.75" customHeight="1" x14ac:dyDescent="0.3">
      <c r="A624" s="797" t="s">
        <v>1349</v>
      </c>
      <c r="B624" s="797"/>
      <c r="C624" s="797"/>
      <c r="D624" s="797"/>
      <c r="E624" s="797"/>
      <c r="F624" s="797"/>
      <c r="G624" s="796" t="s">
        <v>1350</v>
      </c>
      <c r="H624" s="796" t="s">
        <v>335</v>
      </c>
      <c r="I624" s="220" t="str">
        <f>IF(ISBLANK(regional!I240),"",regional!I240)</f>
        <v/>
      </c>
      <c r="K624" s="225" t="s">
        <v>4159</v>
      </c>
      <c r="O624" s="225" t="s">
        <v>4159</v>
      </c>
    </row>
    <row r="625" spans="1:15" ht="12.75" customHeight="1" x14ac:dyDescent="0.3">
      <c r="A625" s="797"/>
      <c r="B625" s="797" t="s">
        <v>712</v>
      </c>
      <c r="C625" s="797"/>
      <c r="D625" s="797"/>
      <c r="E625" s="797"/>
      <c r="F625" s="797"/>
      <c r="G625" s="797" t="s">
        <v>713</v>
      </c>
      <c r="H625" s="796" t="s">
        <v>708</v>
      </c>
      <c r="I625" s="220" t="str">
        <f>IF(ISBLANK(input!I277),"",input!I277)</f>
        <v/>
      </c>
      <c r="K625" s="225" t="s">
        <v>4159</v>
      </c>
      <c r="O625" s="225" t="s">
        <v>4159</v>
      </c>
    </row>
    <row r="626" spans="1:15" ht="12.75" customHeight="1" x14ac:dyDescent="0.3">
      <c r="A626" s="797"/>
      <c r="B626" s="797" t="s">
        <v>1351</v>
      </c>
      <c r="C626" s="797"/>
      <c r="D626" s="797"/>
      <c r="E626" s="797"/>
      <c r="F626" s="797"/>
      <c r="G626" s="796" t="s">
        <v>1352</v>
      </c>
      <c r="H626" s="796" t="s">
        <v>866</v>
      </c>
      <c r="I626" s="220" t="str">
        <f>IF(ISBLANK(regional!I241),"",regional!I241)</f>
        <v/>
      </c>
      <c r="K626" s="225" t="s">
        <v>4159</v>
      </c>
      <c r="O626" s="225" t="s">
        <v>4159</v>
      </c>
    </row>
    <row r="627" spans="1:15" ht="12.75" customHeight="1" x14ac:dyDescent="0.3">
      <c r="A627" s="797"/>
      <c r="B627" s="797" t="s">
        <v>1353</v>
      </c>
      <c r="C627" s="797"/>
      <c r="D627" s="797"/>
      <c r="E627" s="797"/>
      <c r="F627" s="797"/>
      <c r="G627" s="797" t="s">
        <v>1354</v>
      </c>
      <c r="H627" s="797" t="s">
        <v>900</v>
      </c>
      <c r="I627" s="220" t="str">
        <f>IF(ISBLANK(regional!I242),"",regional!I242)</f>
        <v/>
      </c>
      <c r="K627" s="225" t="s">
        <v>4159</v>
      </c>
      <c r="O627" s="225" t="s">
        <v>4159</v>
      </c>
    </row>
    <row r="628" spans="1:15" ht="12.75" customHeight="1" x14ac:dyDescent="0.3">
      <c r="A628" s="797"/>
      <c r="B628" s="797" t="s">
        <v>1355</v>
      </c>
      <c r="C628" s="797"/>
      <c r="D628" s="797"/>
      <c r="E628" s="797"/>
      <c r="F628" s="797"/>
      <c r="G628" s="796" t="s">
        <v>1356</v>
      </c>
      <c r="H628" s="796" t="s">
        <v>291</v>
      </c>
      <c r="I628" s="220" t="str">
        <f>IF(ISBLANK(regional!I243),"",regional!I243)</f>
        <v/>
      </c>
      <c r="K628" s="225" t="s">
        <v>4159</v>
      </c>
      <c r="O628" s="225" t="s">
        <v>4159</v>
      </c>
    </row>
    <row r="629" spans="1:15" ht="12.75" customHeight="1" x14ac:dyDescent="0.3">
      <c r="A629" s="352" t="s">
        <v>1357</v>
      </c>
      <c r="B629" s="352"/>
      <c r="C629" s="352"/>
      <c r="D629" s="352"/>
      <c r="E629" s="352"/>
      <c r="F629" s="352"/>
      <c r="G629" s="520"/>
      <c r="H629" s="520"/>
      <c r="I629" s="220" t="str">
        <f>IF(ISBLANK(regional!I244),"",regional!I244)</f>
        <v/>
      </c>
      <c r="K629" s="225" t="s">
        <v>4159</v>
      </c>
      <c r="O629" s="225" t="s">
        <v>4159</v>
      </c>
    </row>
    <row r="630" spans="1:15" ht="12.75" customHeight="1" x14ac:dyDescent="0.3">
      <c r="A630" s="797" t="s">
        <v>1358</v>
      </c>
      <c r="B630" s="797"/>
      <c r="C630" s="797"/>
      <c r="D630" s="797"/>
      <c r="E630" s="797"/>
      <c r="F630" s="797"/>
      <c r="G630" s="797" t="s">
        <v>1359</v>
      </c>
      <c r="H630" s="797" t="s">
        <v>335</v>
      </c>
      <c r="I630" s="220" t="str">
        <f>IF(ISBLANK(regional!I245),"",regional!I245)</f>
        <v/>
      </c>
      <c r="K630" s="225" t="s">
        <v>4159</v>
      </c>
      <c r="O630" s="225" t="s">
        <v>4159</v>
      </c>
    </row>
    <row r="631" spans="1:15" ht="12.75" customHeight="1" x14ac:dyDescent="0.3">
      <c r="A631" s="797"/>
      <c r="B631" s="797" t="s">
        <v>1360</v>
      </c>
      <c r="C631" s="797"/>
      <c r="D631" s="797"/>
      <c r="E631" s="797"/>
      <c r="F631" s="797"/>
      <c r="G631" s="797" t="s">
        <v>1361</v>
      </c>
      <c r="H631" s="797" t="s">
        <v>708</v>
      </c>
      <c r="I631" s="220" t="str">
        <f>IF(ISBLANK(regional!I246),"",regional!I246)</f>
        <v/>
      </c>
      <c r="K631" s="225" t="s">
        <v>4159</v>
      </c>
      <c r="O631" s="225" t="s">
        <v>4159</v>
      </c>
    </row>
    <row r="632" spans="1:15" ht="12.75" customHeight="1" x14ac:dyDescent="0.3">
      <c r="A632" s="797"/>
      <c r="B632" s="797" t="s">
        <v>1362</v>
      </c>
      <c r="C632" s="797"/>
      <c r="D632" s="797"/>
      <c r="E632" s="797"/>
      <c r="F632" s="797"/>
      <c r="G632" s="797" t="s">
        <v>1363</v>
      </c>
      <c r="H632" s="797" t="s">
        <v>335</v>
      </c>
      <c r="I632" s="220" t="str">
        <f>IF(ISBLANK(regional!I247),"",regional!I247)</f>
        <v/>
      </c>
      <c r="K632" s="225" t="s">
        <v>4159</v>
      </c>
      <c r="O632" s="225" t="s">
        <v>4159</v>
      </c>
    </row>
    <row r="633" spans="1:15" ht="12.75" customHeight="1" x14ac:dyDescent="0.3">
      <c r="A633" s="797"/>
      <c r="B633" s="797"/>
      <c r="C633" s="797" t="s">
        <v>1364</v>
      </c>
      <c r="D633" s="797"/>
      <c r="E633" s="797"/>
      <c r="F633" s="797"/>
      <c r="G633" s="796" t="s">
        <v>1365</v>
      </c>
      <c r="H633" s="796" t="s">
        <v>335</v>
      </c>
      <c r="I633" s="220" t="str">
        <f>IF(ISBLANK(regional!I248),"",regional!I248)</f>
        <v/>
      </c>
      <c r="K633" s="225" t="s">
        <v>4159</v>
      </c>
      <c r="O633" s="225" t="s">
        <v>4159</v>
      </c>
    </row>
    <row r="634" spans="1:15" ht="12.75" customHeight="1" x14ac:dyDescent="0.3">
      <c r="A634" s="797"/>
      <c r="B634" s="797"/>
      <c r="C634" s="797"/>
      <c r="D634" s="797" t="s">
        <v>1366</v>
      </c>
      <c r="E634" s="797"/>
      <c r="F634" s="797"/>
      <c r="G634" s="797" t="s">
        <v>1367</v>
      </c>
      <c r="H634" s="797" t="s">
        <v>335</v>
      </c>
      <c r="I634" s="220" t="str">
        <f>IF(ISBLANK(regional!I249),"",regional!I249)</f>
        <v/>
      </c>
      <c r="K634" s="225" t="s">
        <v>4159</v>
      </c>
      <c r="O634" s="225" t="s">
        <v>4159</v>
      </c>
    </row>
    <row r="635" spans="1:15" ht="12.75" customHeight="1" x14ac:dyDescent="0.3">
      <c r="A635" s="797" t="s">
        <v>1369</v>
      </c>
      <c r="B635" s="797"/>
      <c r="C635" s="797"/>
      <c r="D635" s="797"/>
      <c r="E635" s="797"/>
      <c r="F635" s="797"/>
      <c r="G635" s="796" t="s">
        <v>1370</v>
      </c>
      <c r="H635" s="796" t="s">
        <v>335</v>
      </c>
      <c r="I635" s="220" t="str">
        <f>IF(ISBLANK(regional!I250),"",regional!I250)</f>
        <v/>
      </c>
      <c r="K635" s="225" t="s">
        <v>4159</v>
      </c>
      <c r="O635" s="225" t="s">
        <v>4159</v>
      </c>
    </row>
    <row r="636" spans="1:15" ht="12.75" customHeight="1" x14ac:dyDescent="0.3">
      <c r="A636" s="797"/>
      <c r="B636" s="797" t="s">
        <v>1371</v>
      </c>
      <c r="C636" s="797"/>
      <c r="D636" s="797"/>
      <c r="E636" s="797"/>
      <c r="F636" s="797"/>
      <c r="G636" s="796" t="s">
        <v>1372</v>
      </c>
      <c r="H636" s="796" t="s">
        <v>708</v>
      </c>
      <c r="I636" s="220" t="str">
        <f>IF(ISBLANK(regional!I251),"",regional!I251)</f>
        <v/>
      </c>
      <c r="K636" s="225" t="s">
        <v>4159</v>
      </c>
      <c r="O636" s="225" t="s">
        <v>4159</v>
      </c>
    </row>
    <row r="637" spans="1:15" ht="12.75" customHeight="1" x14ac:dyDescent="0.3">
      <c r="A637" s="797"/>
      <c r="B637" s="797" t="s">
        <v>1374</v>
      </c>
      <c r="C637" s="797"/>
      <c r="D637" s="797"/>
      <c r="E637" s="797"/>
      <c r="F637" s="797"/>
      <c r="G637" s="796" t="s">
        <v>1375</v>
      </c>
      <c r="H637" s="796" t="s">
        <v>335</v>
      </c>
      <c r="I637" s="220" t="str">
        <f>IF(ISBLANK(regional!I252),"",regional!I252)</f>
        <v/>
      </c>
      <c r="J637" s="211"/>
      <c r="K637" s="225" t="s">
        <v>4159</v>
      </c>
      <c r="O637" s="225" t="s">
        <v>4159</v>
      </c>
    </row>
    <row r="638" spans="1:15" ht="12.75" customHeight="1" x14ac:dyDescent="0.3">
      <c r="A638" s="797"/>
      <c r="B638" s="797"/>
      <c r="C638" s="797" t="s">
        <v>1364</v>
      </c>
      <c r="D638" s="797"/>
      <c r="E638" s="797"/>
      <c r="F638" s="797"/>
      <c r="G638" s="796" t="s">
        <v>1376</v>
      </c>
      <c r="H638" s="796" t="s">
        <v>335</v>
      </c>
      <c r="I638" s="220" t="str">
        <f>IF(ISBLANK(regional!I253),"",regional!I253)</f>
        <v/>
      </c>
      <c r="J638" s="353"/>
      <c r="K638" s="225" t="s">
        <v>4159</v>
      </c>
      <c r="O638" s="225" t="s">
        <v>4159</v>
      </c>
    </row>
    <row r="639" spans="1:15" ht="12.75" customHeight="1" x14ac:dyDescent="0.3">
      <c r="A639" s="797"/>
      <c r="B639" s="797"/>
      <c r="C639" s="797"/>
      <c r="D639" s="797" t="s">
        <v>1377</v>
      </c>
      <c r="E639" s="797"/>
      <c r="F639" s="797"/>
      <c r="G639" s="796" t="s">
        <v>1378</v>
      </c>
      <c r="H639" s="796" t="s">
        <v>335</v>
      </c>
      <c r="I639" s="220" t="str">
        <f>IF(ISBLANK(regional!I254),"",regional!I254)</f>
        <v/>
      </c>
      <c r="J639" s="211"/>
      <c r="K639" s="225" t="s">
        <v>4159</v>
      </c>
      <c r="O639" s="225" t="s">
        <v>4159</v>
      </c>
    </row>
    <row r="640" spans="1:15" ht="12.75" customHeight="1" x14ac:dyDescent="0.3">
      <c r="A640" s="797" t="s">
        <v>1380</v>
      </c>
      <c r="B640" s="797"/>
      <c r="C640" s="797"/>
      <c r="D640" s="797"/>
      <c r="E640" s="797"/>
      <c r="F640" s="797"/>
      <c r="G640" s="796" t="s">
        <v>1381</v>
      </c>
      <c r="H640" s="796" t="s">
        <v>335</v>
      </c>
      <c r="I640" s="220" t="str">
        <f>IF(ISBLANK(regional!I255),"",regional!I255)</f>
        <v/>
      </c>
      <c r="K640" s="225" t="s">
        <v>4159</v>
      </c>
      <c r="O640" s="225" t="s">
        <v>4159</v>
      </c>
    </row>
    <row r="641" spans="1:15" ht="12.75" customHeight="1" x14ac:dyDescent="0.3">
      <c r="A641" s="797"/>
      <c r="B641" s="797" t="s">
        <v>1382</v>
      </c>
      <c r="C641" s="797"/>
      <c r="D641" s="797"/>
      <c r="E641" s="797"/>
      <c r="F641" s="797"/>
      <c r="G641" s="796" t="s">
        <v>1383</v>
      </c>
      <c r="H641" s="796" t="s">
        <v>708</v>
      </c>
      <c r="I641" s="220" t="str">
        <f>IF(ISBLANK(regional!I256),"",regional!I256)</f>
        <v/>
      </c>
      <c r="K641" s="225" t="s">
        <v>4159</v>
      </c>
      <c r="O641" s="225" t="s">
        <v>4159</v>
      </c>
    </row>
    <row r="642" spans="1:15" ht="12.75" customHeight="1" x14ac:dyDescent="0.3">
      <c r="A642" s="797"/>
      <c r="B642" s="797" t="s">
        <v>1385</v>
      </c>
      <c r="C642" s="797"/>
      <c r="D642" s="797"/>
      <c r="E642" s="797"/>
      <c r="F642" s="797"/>
      <c r="G642" s="796" t="s">
        <v>1386</v>
      </c>
      <c r="H642" s="796" t="s">
        <v>335</v>
      </c>
      <c r="I642" s="220" t="str">
        <f>IF(ISBLANK(regional!I257),"",regional!I257)</f>
        <v/>
      </c>
      <c r="K642" s="225" t="s">
        <v>4159</v>
      </c>
      <c r="O642" s="225" t="s">
        <v>4159</v>
      </c>
    </row>
    <row r="643" spans="1:15" ht="12.75" customHeight="1" x14ac:dyDescent="0.3">
      <c r="A643" s="797"/>
      <c r="B643" s="797"/>
      <c r="C643" s="797" t="s">
        <v>1364</v>
      </c>
      <c r="D643" s="797"/>
      <c r="E643" s="797"/>
      <c r="F643" s="797"/>
      <c r="G643" s="796" t="s">
        <v>1387</v>
      </c>
      <c r="H643" s="796" t="s">
        <v>335</v>
      </c>
      <c r="I643" s="220" t="str">
        <f>IF(ISBLANK(regional!I258),"",regional!I258)</f>
        <v/>
      </c>
      <c r="K643" s="225" t="s">
        <v>4159</v>
      </c>
      <c r="O643" s="225" t="s">
        <v>4159</v>
      </c>
    </row>
    <row r="644" spans="1:15" ht="12.75" customHeight="1" x14ac:dyDescent="0.3">
      <c r="A644" s="797"/>
      <c r="B644" s="797"/>
      <c r="C644" s="797"/>
      <c r="D644" s="797" t="s">
        <v>1388</v>
      </c>
      <c r="E644" s="797"/>
      <c r="F644" s="797"/>
      <c r="G644" s="796" t="s">
        <v>1389</v>
      </c>
      <c r="H644" s="796" t="s">
        <v>335</v>
      </c>
      <c r="I644" s="220" t="str">
        <f>IF(ISBLANK(regional!I259),"",regional!I259)</f>
        <v/>
      </c>
      <c r="K644" s="225" t="s">
        <v>4159</v>
      </c>
      <c r="O644" s="225" t="s">
        <v>4159</v>
      </c>
    </row>
    <row r="645" spans="1:15" ht="12.75" customHeight="1" x14ac:dyDescent="0.3">
      <c r="A645" s="797"/>
      <c r="B645" s="797"/>
      <c r="C645" s="797" t="s">
        <v>1390</v>
      </c>
      <c r="D645" s="797"/>
      <c r="E645" s="797"/>
      <c r="F645" s="797"/>
      <c r="G645" s="797" t="s">
        <v>1391</v>
      </c>
      <c r="H645" s="797" t="s">
        <v>335</v>
      </c>
      <c r="I645" s="220" t="str">
        <f>IF(ISBLANK(regional!I260),"",regional!I260)</f>
        <v/>
      </c>
      <c r="K645" s="225" t="s">
        <v>4159</v>
      </c>
      <c r="O645" s="225" t="s">
        <v>4159</v>
      </c>
    </row>
    <row r="646" spans="1:15" ht="12.75" customHeight="1" x14ac:dyDescent="0.3">
      <c r="A646" s="797"/>
      <c r="B646" s="797"/>
      <c r="C646" s="797" t="s">
        <v>1392</v>
      </c>
      <c r="D646" s="797"/>
      <c r="E646" s="797"/>
      <c r="F646" s="797"/>
      <c r="G646" s="796" t="s">
        <v>1393</v>
      </c>
      <c r="H646" s="796" t="s">
        <v>335</v>
      </c>
      <c r="I646" s="220" t="str">
        <f>IF(ISBLANK(regional!I261),"",regional!I261)</f>
        <v/>
      </c>
      <c r="K646" s="225" t="s">
        <v>4159</v>
      </c>
      <c r="O646" s="225" t="s">
        <v>4159</v>
      </c>
    </row>
    <row r="647" spans="1:15" ht="12.75" customHeight="1" x14ac:dyDescent="0.3">
      <c r="A647" s="352" t="s">
        <v>1394</v>
      </c>
      <c r="B647" s="352"/>
      <c r="C647" s="352"/>
      <c r="D647" s="352"/>
      <c r="E647" s="352"/>
      <c r="F647" s="352"/>
      <c r="G647" s="520"/>
      <c r="H647" s="520"/>
      <c r="I647" s="220" t="str">
        <f>IF(ISBLANK(regional!I262),"",regional!I262)</f>
        <v/>
      </c>
      <c r="K647" s="225" t="s">
        <v>4159</v>
      </c>
      <c r="O647" s="225" t="s">
        <v>4159</v>
      </c>
    </row>
    <row r="648" spans="1:15" ht="12.75" customHeight="1" x14ac:dyDescent="0.3">
      <c r="A648" s="797" t="s">
        <v>1395</v>
      </c>
      <c r="B648" s="797"/>
      <c r="C648" s="797"/>
      <c r="D648" s="797"/>
      <c r="E648" s="797"/>
      <c r="F648" s="797"/>
      <c r="G648" s="796" t="s">
        <v>1396</v>
      </c>
      <c r="H648" s="796" t="s">
        <v>335</v>
      </c>
      <c r="I648" s="220" t="str">
        <f>IF(ISBLANK(regional!I263),"",regional!I263)</f>
        <v/>
      </c>
      <c r="K648" s="225" t="s">
        <v>4159</v>
      </c>
      <c r="O648" s="225" t="s">
        <v>4159</v>
      </c>
    </row>
    <row r="649" spans="1:15" ht="12.75" customHeight="1" x14ac:dyDescent="0.3">
      <c r="A649" s="797"/>
      <c r="B649" s="797" t="s">
        <v>1397</v>
      </c>
      <c r="C649" s="797"/>
      <c r="D649" s="797"/>
      <c r="E649" s="797"/>
      <c r="F649" s="797"/>
      <c r="G649" s="796" t="s">
        <v>1398</v>
      </c>
      <c r="H649" s="796" t="s">
        <v>708</v>
      </c>
      <c r="I649" s="220" t="str">
        <f>IF(ISBLANK(regional!I264),"",regional!I264)</f>
        <v/>
      </c>
      <c r="K649" s="225" t="s">
        <v>4159</v>
      </c>
      <c r="O649" s="225" t="s">
        <v>4159</v>
      </c>
    </row>
    <row r="650" spans="1:15" ht="12.75" customHeight="1" x14ac:dyDescent="0.3">
      <c r="A650" s="797"/>
      <c r="B650" s="797" t="s">
        <v>1400</v>
      </c>
      <c r="C650" s="797"/>
      <c r="D650" s="797"/>
      <c r="E650" s="797"/>
      <c r="F650" s="797"/>
      <c r="G650" s="796" t="s">
        <v>1401</v>
      </c>
      <c r="H650" s="797" t="s">
        <v>335</v>
      </c>
      <c r="I650" s="220" t="str">
        <f>IF(ISBLANK(regional!I265),"",regional!I265)</f>
        <v/>
      </c>
      <c r="K650" s="225" t="s">
        <v>4159</v>
      </c>
      <c r="O650" s="225" t="s">
        <v>4159</v>
      </c>
    </row>
    <row r="651" spans="1:15" ht="12.75" customHeight="1" x14ac:dyDescent="0.3">
      <c r="A651" s="797"/>
      <c r="B651" s="797"/>
      <c r="C651" s="797" t="s">
        <v>1402</v>
      </c>
      <c r="D651" s="797"/>
      <c r="E651" s="797"/>
      <c r="F651" s="797"/>
      <c r="G651" s="796" t="s">
        <v>1403</v>
      </c>
      <c r="H651" s="796" t="s">
        <v>335</v>
      </c>
      <c r="I651" s="220" t="str">
        <f>IF(ISBLANK(regional!I266),"",regional!I266)</f>
        <v/>
      </c>
      <c r="K651" s="225" t="s">
        <v>4159</v>
      </c>
      <c r="O651" s="225" t="s">
        <v>4159</v>
      </c>
    </row>
    <row r="652" spans="1:15" ht="12.75" customHeight="1" x14ac:dyDescent="0.3">
      <c r="A652" s="797" t="s">
        <v>1404</v>
      </c>
      <c r="B652" s="797"/>
      <c r="C652" s="797"/>
      <c r="D652" s="797"/>
      <c r="E652" s="797"/>
      <c r="F652" s="797"/>
      <c r="G652" s="796" t="s">
        <v>1405</v>
      </c>
      <c r="H652" s="796" t="s">
        <v>335</v>
      </c>
      <c r="I652" s="220" t="str">
        <f>IF(ISBLANK(regional!I267),"",regional!I267)</f>
        <v/>
      </c>
      <c r="K652" s="225" t="s">
        <v>4159</v>
      </c>
      <c r="O652" s="225" t="s">
        <v>4159</v>
      </c>
    </row>
    <row r="653" spans="1:15" ht="12.75" customHeight="1" x14ac:dyDescent="0.3">
      <c r="A653" s="797"/>
      <c r="B653" s="797" t="s">
        <v>1406</v>
      </c>
      <c r="C653" s="797"/>
      <c r="D653" s="797"/>
      <c r="E653" s="797"/>
      <c r="F653" s="797"/>
      <c r="G653" s="796" t="s">
        <v>1407</v>
      </c>
      <c r="H653" s="796" t="s">
        <v>708</v>
      </c>
      <c r="I653" s="220" t="str">
        <f>IF(ISBLANK(regional!I268),"",regional!I268)</f>
        <v/>
      </c>
      <c r="K653" s="225" t="s">
        <v>4159</v>
      </c>
      <c r="O653" s="225" t="s">
        <v>4159</v>
      </c>
    </row>
    <row r="654" spans="1:15" ht="12.75" customHeight="1" x14ac:dyDescent="0.3">
      <c r="A654" s="797"/>
      <c r="B654" s="797" t="s">
        <v>1409</v>
      </c>
      <c r="C654" s="797"/>
      <c r="D654" s="797"/>
      <c r="E654" s="797"/>
      <c r="F654" s="797"/>
      <c r="G654" s="796" t="s">
        <v>1410</v>
      </c>
      <c r="H654" s="797" t="s">
        <v>335</v>
      </c>
      <c r="I654" s="220" t="str">
        <f>IF(ISBLANK(regional!I269),"",regional!I269)</f>
        <v/>
      </c>
      <c r="K654" s="225" t="s">
        <v>4159</v>
      </c>
      <c r="O654" s="225" t="s">
        <v>4159</v>
      </c>
    </row>
    <row r="655" spans="1:15" ht="12.75" customHeight="1" x14ac:dyDescent="0.3">
      <c r="A655" s="797"/>
      <c r="B655" s="797"/>
      <c r="C655" s="797" t="s">
        <v>1402</v>
      </c>
      <c r="D655" s="797"/>
      <c r="E655" s="797"/>
      <c r="F655" s="797"/>
      <c r="G655" s="796" t="s">
        <v>1411</v>
      </c>
      <c r="H655" s="796" t="s">
        <v>335</v>
      </c>
      <c r="I655" s="220" t="str">
        <f>IF(ISBLANK(regional!I270),"",regional!I270)</f>
        <v/>
      </c>
      <c r="K655" s="225" t="s">
        <v>4159</v>
      </c>
      <c r="O655" s="225" t="s">
        <v>4159</v>
      </c>
    </row>
    <row r="656" spans="1:15" ht="12.75" customHeight="1" x14ac:dyDescent="0.3">
      <c r="A656" s="797" t="s">
        <v>1412</v>
      </c>
      <c r="B656" s="797"/>
      <c r="C656" s="797"/>
      <c r="D656" s="797"/>
      <c r="E656" s="797"/>
      <c r="F656" s="797"/>
      <c r="G656" s="796" t="s">
        <v>1413</v>
      </c>
      <c r="H656" s="796" t="s">
        <v>335</v>
      </c>
      <c r="I656" s="220" t="str">
        <f>IF(ISBLANK(regional!I271),"",regional!I271)</f>
        <v/>
      </c>
      <c r="K656" s="225" t="s">
        <v>4159</v>
      </c>
      <c r="O656" s="225" t="s">
        <v>4159</v>
      </c>
    </row>
    <row r="657" spans="1:15" ht="12.75" customHeight="1" x14ac:dyDescent="0.3">
      <c r="A657" s="797"/>
      <c r="B657" s="797" t="s">
        <v>1414</v>
      </c>
      <c r="C657" s="797"/>
      <c r="D657" s="797"/>
      <c r="E657" s="797"/>
      <c r="F657" s="797"/>
      <c r="G657" s="796" t="s">
        <v>1415</v>
      </c>
      <c r="H657" s="796" t="s">
        <v>708</v>
      </c>
      <c r="I657" s="220" t="str">
        <f>IF(ISBLANK(regional!I272),"",regional!I272)</f>
        <v/>
      </c>
      <c r="K657" s="225" t="s">
        <v>4159</v>
      </c>
      <c r="O657" s="225" t="s">
        <v>4159</v>
      </c>
    </row>
    <row r="658" spans="1:15" ht="12.75" customHeight="1" x14ac:dyDescent="0.3">
      <c r="A658" s="797"/>
      <c r="B658" s="797" t="s">
        <v>1417</v>
      </c>
      <c r="C658" s="797"/>
      <c r="D658" s="797"/>
      <c r="E658" s="797"/>
      <c r="F658" s="797"/>
      <c r="G658" s="796" t="s">
        <v>1418</v>
      </c>
      <c r="H658" s="797" t="s">
        <v>335</v>
      </c>
      <c r="I658" s="220" t="str">
        <f>IF(ISBLANK(regional!I273),"",regional!I273)</f>
        <v/>
      </c>
      <c r="K658" s="225" t="s">
        <v>4159</v>
      </c>
      <c r="O658" s="225" t="s">
        <v>4159</v>
      </c>
    </row>
    <row r="659" spans="1:15" ht="12.75" customHeight="1" x14ac:dyDescent="0.3">
      <c r="A659" s="797"/>
      <c r="B659" s="797"/>
      <c r="C659" s="797" t="s">
        <v>1402</v>
      </c>
      <c r="D659" s="797"/>
      <c r="E659" s="797"/>
      <c r="F659" s="797"/>
      <c r="G659" s="796" t="s">
        <v>1419</v>
      </c>
      <c r="H659" s="796" t="s">
        <v>335</v>
      </c>
      <c r="I659" s="220" t="str">
        <f>IF(ISBLANK(regional!I274),"",regional!I274)</f>
        <v/>
      </c>
      <c r="K659" s="225" t="s">
        <v>4159</v>
      </c>
      <c r="O659" s="225" t="s">
        <v>4159</v>
      </c>
    </row>
    <row r="660" spans="1:15" ht="12.75" customHeight="1" x14ac:dyDescent="0.3">
      <c r="A660" s="797"/>
      <c r="B660" s="797"/>
      <c r="C660" s="797" t="s">
        <v>1420</v>
      </c>
      <c r="D660" s="797"/>
      <c r="E660" s="797"/>
      <c r="F660" s="797"/>
      <c r="G660" s="796" t="s">
        <v>1421</v>
      </c>
      <c r="H660" s="796" t="s">
        <v>335</v>
      </c>
      <c r="I660" s="220" t="str">
        <f>IF(ISBLANK(regional!I275),"",regional!I275)</f>
        <v/>
      </c>
      <c r="K660" s="225" t="s">
        <v>4159</v>
      </c>
      <c r="O660" s="225" t="s">
        <v>4159</v>
      </c>
    </row>
    <row r="661" spans="1:15" ht="12.75" customHeight="1" x14ac:dyDescent="0.3">
      <c r="A661" s="797"/>
      <c r="B661" s="797"/>
      <c r="C661" s="797" t="s">
        <v>1422</v>
      </c>
      <c r="D661" s="797"/>
      <c r="E661" s="797"/>
      <c r="F661" s="797"/>
      <c r="G661" s="796" t="s">
        <v>1423</v>
      </c>
      <c r="H661" s="796" t="s">
        <v>335</v>
      </c>
      <c r="I661" s="220" t="str">
        <f>IF(ISBLANK(regional!I276),"",regional!I276)</f>
        <v/>
      </c>
      <c r="K661" s="225" t="s">
        <v>4159</v>
      </c>
      <c r="O661" s="225" t="s">
        <v>4159</v>
      </c>
    </row>
    <row r="662" spans="1:15" ht="12.75" customHeight="1" x14ac:dyDescent="0.3">
      <c r="A662" s="352" t="s">
        <v>1424</v>
      </c>
      <c r="I662" s="220" t="str">
        <f>IF(ISBLANK(regional!I277),"",regional!I277)</f>
        <v/>
      </c>
      <c r="K662" s="225" t="s">
        <v>4159</v>
      </c>
      <c r="O662" s="225" t="s">
        <v>4159</v>
      </c>
    </row>
    <row r="663" spans="1:15" ht="12.75" customHeight="1" x14ac:dyDescent="0.3">
      <c r="A663" s="797" t="s">
        <v>1425</v>
      </c>
      <c r="B663" s="797"/>
      <c r="C663" s="797"/>
      <c r="D663" s="797"/>
      <c r="E663" s="797"/>
      <c r="F663" s="797"/>
      <c r="G663" s="796" t="s">
        <v>1426</v>
      </c>
      <c r="H663" s="796" t="s">
        <v>335</v>
      </c>
      <c r="I663" s="220" t="str">
        <f>IF(ISBLANK(regional!I278),"",regional!I278)</f>
        <v/>
      </c>
      <c r="K663" s="225" t="s">
        <v>4159</v>
      </c>
      <c r="O663" s="225" t="s">
        <v>4159</v>
      </c>
    </row>
    <row r="664" spans="1:15" ht="12.75" customHeight="1" x14ac:dyDescent="0.3">
      <c r="A664" s="797"/>
      <c r="B664" s="797" t="s">
        <v>1427</v>
      </c>
      <c r="C664" s="797"/>
      <c r="D664" s="797"/>
      <c r="E664" s="797"/>
      <c r="F664" s="797"/>
      <c r="G664" s="797" t="s">
        <v>1428</v>
      </c>
      <c r="H664" s="797" t="s">
        <v>708</v>
      </c>
      <c r="I664" s="220" t="str">
        <f>IF(ISBLANK(regional!I279),"",regional!I279)</f>
        <v/>
      </c>
      <c r="K664" s="225" t="s">
        <v>4159</v>
      </c>
      <c r="O664" s="225" t="s">
        <v>4159</v>
      </c>
    </row>
    <row r="665" spans="1:15" ht="12.75" customHeight="1" x14ac:dyDescent="0.3">
      <c r="A665" s="797" t="s">
        <v>1430</v>
      </c>
      <c r="B665" s="797"/>
      <c r="C665" s="797"/>
      <c r="D665" s="797"/>
      <c r="E665" s="797"/>
      <c r="F665" s="797"/>
      <c r="G665" s="796" t="s">
        <v>1431</v>
      </c>
      <c r="H665" s="796" t="s">
        <v>335</v>
      </c>
      <c r="I665" s="220" t="str">
        <f>IF(ISBLANK(regional!I280),"",regional!I280)</f>
        <v/>
      </c>
      <c r="K665" s="225" t="s">
        <v>4159</v>
      </c>
      <c r="O665" s="225" t="s">
        <v>4159</v>
      </c>
    </row>
    <row r="666" spans="1:15" ht="12.75" customHeight="1" x14ac:dyDescent="0.3">
      <c r="A666" s="797"/>
      <c r="B666" s="797" t="s">
        <v>1432</v>
      </c>
      <c r="C666" s="797"/>
      <c r="D666" s="797"/>
      <c r="E666" s="797"/>
      <c r="F666" s="797"/>
      <c r="G666" s="796" t="s">
        <v>1433</v>
      </c>
      <c r="H666" s="796" t="s">
        <v>708</v>
      </c>
      <c r="I666" s="220" t="str">
        <f>IF(ISBLANK(regional!I281),"",regional!I281)</f>
        <v/>
      </c>
      <c r="K666" s="225" t="s">
        <v>4159</v>
      </c>
      <c r="O666" s="225" t="s">
        <v>4159</v>
      </c>
    </row>
    <row r="667" spans="1:15" ht="12.75" customHeight="1" x14ac:dyDescent="0.3">
      <c r="A667" s="797" t="s">
        <v>1434</v>
      </c>
      <c r="B667" s="797"/>
      <c r="C667" s="797"/>
      <c r="D667" s="797"/>
      <c r="E667" s="797"/>
      <c r="F667" s="797"/>
      <c r="G667" s="796" t="s">
        <v>1435</v>
      </c>
      <c r="H667" s="796" t="s">
        <v>335</v>
      </c>
      <c r="I667" s="220" t="str">
        <f>IF(ISBLANK(regional!I282),"",regional!I282)</f>
        <v/>
      </c>
      <c r="K667" s="225" t="s">
        <v>4159</v>
      </c>
      <c r="O667" s="225" t="s">
        <v>4159</v>
      </c>
    </row>
    <row r="668" spans="1:15" ht="12.75" customHeight="1" x14ac:dyDescent="0.3">
      <c r="A668" s="797"/>
      <c r="B668" s="797" t="s">
        <v>1436</v>
      </c>
      <c r="C668" s="797"/>
      <c r="D668" s="797"/>
      <c r="E668" s="797"/>
      <c r="F668" s="797"/>
      <c r="G668" s="796" t="s">
        <v>1437</v>
      </c>
      <c r="H668" s="796" t="s">
        <v>708</v>
      </c>
      <c r="I668" s="220" t="str">
        <f>IF(ISBLANK(regional!I283),"",regional!I283)</f>
        <v/>
      </c>
      <c r="K668" s="225" t="s">
        <v>4159</v>
      </c>
      <c r="O668" s="225" t="s">
        <v>4159</v>
      </c>
    </row>
    <row r="669" spans="1:15" ht="12.75" customHeight="1" x14ac:dyDescent="0.3">
      <c r="A669" s="797"/>
      <c r="B669" s="797"/>
      <c r="C669" s="797" t="s">
        <v>1390</v>
      </c>
      <c r="D669" s="797"/>
      <c r="E669" s="797"/>
      <c r="F669" s="797"/>
      <c r="G669" s="797" t="s">
        <v>1438</v>
      </c>
      <c r="H669" s="797" t="s">
        <v>335</v>
      </c>
      <c r="I669" s="220" t="str">
        <f>IF(ISBLANK(regional!I284),"",regional!I284)</f>
        <v/>
      </c>
      <c r="K669" s="225" t="s">
        <v>4159</v>
      </c>
      <c r="O669" s="225" t="s">
        <v>4159</v>
      </c>
    </row>
    <row r="670" spans="1:15" ht="12.75" customHeight="1" x14ac:dyDescent="0.3">
      <c r="A670" s="797"/>
      <c r="B670" s="797"/>
      <c r="C670" s="797" t="s">
        <v>1392</v>
      </c>
      <c r="D670" s="797"/>
      <c r="E670" s="797"/>
      <c r="F670" s="797"/>
      <c r="G670" s="796" t="s">
        <v>1439</v>
      </c>
      <c r="H670" s="796" t="s">
        <v>335</v>
      </c>
      <c r="I670" s="220" t="str">
        <f>IF(ISBLANK(regional!I285),"",regional!I285)</f>
        <v/>
      </c>
      <c r="K670" s="225" t="s">
        <v>4159</v>
      </c>
      <c r="O670" s="225" t="s">
        <v>4159</v>
      </c>
    </row>
    <row r="671" spans="1:15" ht="12.75" customHeight="1" x14ac:dyDescent="0.3">
      <c r="A671" s="352" t="s">
        <v>1440</v>
      </c>
      <c r="I671" s="220" t="str">
        <f>IF(ISBLANK(regional!I286),"",regional!I286)</f>
        <v/>
      </c>
      <c r="K671" s="225" t="s">
        <v>4159</v>
      </c>
      <c r="O671" s="225" t="s">
        <v>4159</v>
      </c>
    </row>
    <row r="672" spans="1:15" ht="12.75" customHeight="1" x14ac:dyDescent="0.3">
      <c r="A672" s="797" t="s">
        <v>1441</v>
      </c>
      <c r="B672" s="797"/>
      <c r="C672" s="797"/>
      <c r="D672" s="797"/>
      <c r="E672" s="797"/>
      <c r="F672" s="797"/>
      <c r="G672" s="796" t="s">
        <v>1442</v>
      </c>
      <c r="H672" s="796" t="s">
        <v>335</v>
      </c>
      <c r="I672" s="220" t="str">
        <f>IF(ISBLANK(regional!I287),"",regional!I287)</f>
        <v/>
      </c>
      <c r="K672" s="225" t="s">
        <v>4159</v>
      </c>
      <c r="O672" s="225" t="s">
        <v>4159</v>
      </c>
    </row>
    <row r="673" spans="1:15" ht="12.75" customHeight="1" x14ac:dyDescent="0.3">
      <c r="A673" s="797" t="s">
        <v>1443</v>
      </c>
      <c r="B673" s="797"/>
      <c r="C673" s="797"/>
      <c r="D673" s="797"/>
      <c r="E673" s="797"/>
      <c r="F673" s="797"/>
      <c r="G673" s="796" t="s">
        <v>1444</v>
      </c>
      <c r="H673" s="796" t="s">
        <v>335</v>
      </c>
      <c r="I673" s="220" t="str">
        <f>IF(ISBLANK(regional!I288),"",regional!I288)</f>
        <v/>
      </c>
      <c r="K673" s="225" t="s">
        <v>4159</v>
      </c>
      <c r="O673" s="225" t="s">
        <v>4159</v>
      </c>
    </row>
    <row r="674" spans="1:15" ht="12.75" customHeight="1" x14ac:dyDescent="0.3">
      <c r="A674" s="797" t="s">
        <v>1445</v>
      </c>
      <c r="B674" s="797"/>
      <c r="C674" s="797"/>
      <c r="D674" s="797"/>
      <c r="E674" s="797"/>
      <c r="F674" s="797"/>
      <c r="G674" s="796" t="s">
        <v>1446</v>
      </c>
      <c r="H674" s="796" t="s">
        <v>335</v>
      </c>
      <c r="I674" s="220" t="str">
        <f>IF(ISBLANK(regional!I289),"",regional!I289)</f>
        <v/>
      </c>
      <c r="K674" s="225" t="s">
        <v>4159</v>
      </c>
      <c r="O674" s="225" t="s">
        <v>4159</v>
      </c>
    </row>
    <row r="675" spans="1:15" ht="12.75" customHeight="1" x14ac:dyDescent="0.3">
      <c r="A675" s="797"/>
      <c r="B675" s="797" t="s">
        <v>1447</v>
      </c>
      <c r="C675" s="797"/>
      <c r="D675" s="797"/>
      <c r="E675" s="797"/>
      <c r="F675" s="797"/>
      <c r="G675" s="796" t="s">
        <v>1448</v>
      </c>
      <c r="H675" s="796" t="s">
        <v>1449</v>
      </c>
      <c r="I675" s="220" t="str">
        <f>IF(ISBLANK(regional!I290),"",regional!I290)</f>
        <v/>
      </c>
      <c r="K675" s="225" t="s">
        <v>4159</v>
      </c>
      <c r="O675" s="225" t="s">
        <v>4159</v>
      </c>
    </row>
    <row r="676" spans="1:15" ht="12.75" customHeight="1" x14ac:dyDescent="0.3">
      <c r="A676" s="797"/>
      <c r="B676" s="797" t="s">
        <v>1450</v>
      </c>
      <c r="C676" s="797"/>
      <c r="D676" s="797"/>
      <c r="E676" s="797"/>
      <c r="F676" s="797"/>
      <c r="G676" s="797" t="s">
        <v>1451</v>
      </c>
      <c r="H676" s="796" t="s">
        <v>866</v>
      </c>
      <c r="I676" s="220" t="str">
        <f>IF(ISBLANK(regional!I291),"",regional!I291)</f>
        <v/>
      </c>
      <c r="K676" s="225" t="s">
        <v>4159</v>
      </c>
      <c r="O676" s="225" t="s">
        <v>4159</v>
      </c>
    </row>
    <row r="677" spans="1:15" ht="12.75" customHeight="1" x14ac:dyDescent="0.3">
      <c r="A677" s="797"/>
      <c r="B677" s="797" t="s">
        <v>1453</v>
      </c>
      <c r="C677" s="797"/>
      <c r="D677" s="797"/>
      <c r="E677" s="797"/>
      <c r="F677" s="797"/>
      <c r="G677" s="796" t="s">
        <v>1454</v>
      </c>
      <c r="H677" s="796" t="s">
        <v>291</v>
      </c>
      <c r="I677" s="220" t="str">
        <f>IF(ISBLANK(regional!I292),"",regional!I292)</f>
        <v/>
      </c>
      <c r="K677" s="225" t="s">
        <v>4159</v>
      </c>
      <c r="O677" s="225" t="s">
        <v>4159</v>
      </c>
    </row>
    <row r="678" spans="1:15" ht="12.75" customHeight="1" x14ac:dyDescent="0.3">
      <c r="A678" s="797"/>
      <c r="B678" s="797"/>
      <c r="C678" s="797" t="s">
        <v>1455</v>
      </c>
      <c r="D678" s="797"/>
      <c r="E678" s="797"/>
      <c r="F678" s="797"/>
      <c r="G678" s="796" t="s">
        <v>1456</v>
      </c>
      <c r="H678" s="796" t="s">
        <v>291</v>
      </c>
      <c r="I678" s="220" t="str">
        <f>IF(ISBLANK(regional!I293),"",regional!I293)</f>
        <v/>
      </c>
      <c r="K678" s="225" t="s">
        <v>4159</v>
      </c>
      <c r="O678" s="225" t="s">
        <v>4159</v>
      </c>
    </row>
    <row r="679" spans="1:15" ht="12.75" customHeight="1" x14ac:dyDescent="0.3">
      <c r="A679" s="797"/>
      <c r="B679" s="797"/>
      <c r="C679" s="797"/>
      <c r="D679" s="797" t="s">
        <v>1457</v>
      </c>
      <c r="E679" s="797"/>
      <c r="F679" s="797"/>
      <c r="G679" s="797" t="s">
        <v>1458</v>
      </c>
      <c r="H679" s="796" t="s">
        <v>291</v>
      </c>
      <c r="I679" s="220" t="str">
        <f>IF(ISBLANK(regional!I294),"",regional!I294)</f>
        <v/>
      </c>
      <c r="K679" s="225" t="s">
        <v>4159</v>
      </c>
      <c r="O679" s="225" t="s">
        <v>4159</v>
      </c>
    </row>
    <row r="680" spans="1:15" ht="12.75" customHeight="1" x14ac:dyDescent="0.3">
      <c r="A680" s="797"/>
      <c r="B680" s="797"/>
      <c r="C680" s="797"/>
      <c r="D680" s="797"/>
      <c r="E680" s="797" t="s">
        <v>1459</v>
      </c>
      <c r="F680" s="797"/>
      <c r="G680" s="797" t="s">
        <v>1460</v>
      </c>
      <c r="H680" s="796" t="s">
        <v>291</v>
      </c>
      <c r="I680" s="220" t="str">
        <f>IF(ISBLANK(regional!I295),"",regional!I295)</f>
        <v/>
      </c>
      <c r="K680" s="225" t="s">
        <v>4159</v>
      </c>
      <c r="O680" s="225" t="s">
        <v>4159</v>
      </c>
    </row>
    <row r="681" spans="1:15" ht="12.75" customHeight="1" x14ac:dyDescent="0.3">
      <c r="A681" s="797"/>
      <c r="B681" s="797"/>
      <c r="C681" s="797"/>
      <c r="D681" s="797"/>
      <c r="E681" s="797"/>
      <c r="F681" s="797" t="s">
        <v>1461</v>
      </c>
      <c r="G681" s="797" t="s">
        <v>1462</v>
      </c>
      <c r="H681" s="796" t="s">
        <v>1463</v>
      </c>
      <c r="I681" s="220" t="str">
        <f>IF(ISBLANK(regional!I296),"",regional!I296)</f>
        <v/>
      </c>
      <c r="K681" s="225" t="s">
        <v>4159</v>
      </c>
      <c r="O681" s="225" t="s">
        <v>4159</v>
      </c>
    </row>
    <row r="682" spans="1:15" ht="12.75" customHeight="1" x14ac:dyDescent="0.3">
      <c r="A682" s="797"/>
      <c r="B682" s="797"/>
      <c r="C682" s="797" t="s">
        <v>1465</v>
      </c>
      <c r="D682" s="797"/>
      <c r="E682" s="797"/>
      <c r="F682" s="797"/>
      <c r="G682" s="796" t="s">
        <v>1466</v>
      </c>
      <c r="H682" s="796" t="s">
        <v>291</v>
      </c>
      <c r="I682" s="220" t="str">
        <f>IF(ISBLANK(regional!I297),"",regional!I297)</f>
        <v/>
      </c>
      <c r="K682" s="225" t="s">
        <v>4159</v>
      </c>
      <c r="O682" s="225" t="s">
        <v>4159</v>
      </c>
    </row>
    <row r="683" spans="1:15" ht="12.75" customHeight="1" x14ac:dyDescent="0.3">
      <c r="A683" s="797"/>
      <c r="B683" s="797"/>
      <c r="C683" s="797" t="s">
        <v>1467</v>
      </c>
      <c r="D683" s="797"/>
      <c r="E683" s="797"/>
      <c r="F683" s="797"/>
      <c r="G683" s="796" t="s">
        <v>1468</v>
      </c>
      <c r="H683" s="796" t="s">
        <v>291</v>
      </c>
      <c r="I683" s="220" t="str">
        <f>IF(ISBLANK(regional!I298),"",regional!I298)</f>
        <v/>
      </c>
      <c r="K683" s="225" t="s">
        <v>4159</v>
      </c>
      <c r="O683" s="225" t="s">
        <v>4159</v>
      </c>
    </row>
    <row r="684" spans="1:15" ht="12.75" customHeight="1" x14ac:dyDescent="0.3">
      <c r="A684" s="797"/>
      <c r="B684" s="797"/>
      <c r="C684" s="797"/>
      <c r="D684" s="797" t="s">
        <v>1469</v>
      </c>
      <c r="E684" s="797"/>
      <c r="F684" s="797"/>
      <c r="G684" s="797" t="s">
        <v>1470</v>
      </c>
      <c r="H684" s="796" t="s">
        <v>291</v>
      </c>
      <c r="I684" s="220" t="str">
        <f>IF(ISBLANK(regional!I299),"",regional!I299)</f>
        <v/>
      </c>
      <c r="K684" s="225" t="s">
        <v>4159</v>
      </c>
      <c r="O684" s="225" t="s">
        <v>4159</v>
      </c>
    </row>
    <row r="685" spans="1:15" ht="12.75" customHeight="1" x14ac:dyDescent="0.3">
      <c r="A685" s="797"/>
      <c r="B685" s="797"/>
      <c r="C685" s="797"/>
      <c r="D685" s="797" t="s">
        <v>1471</v>
      </c>
      <c r="E685" s="797"/>
      <c r="F685" s="797"/>
      <c r="G685" s="797" t="s">
        <v>1472</v>
      </c>
      <c r="H685" s="796" t="s">
        <v>1473</v>
      </c>
      <c r="I685" s="220" t="str">
        <f>IF(ISBLANK(regional!I300),"",regional!I300)</f>
        <v/>
      </c>
      <c r="K685" s="225" t="s">
        <v>4159</v>
      </c>
      <c r="O685" s="225" t="s">
        <v>4159</v>
      </c>
    </row>
    <row r="686" spans="1:15" ht="12.75" customHeight="1" x14ac:dyDescent="0.3">
      <c r="A686" s="797"/>
      <c r="B686" s="797"/>
      <c r="C686" s="797"/>
      <c r="D686" s="797" t="s">
        <v>1474</v>
      </c>
      <c r="E686" s="797"/>
      <c r="F686" s="797"/>
      <c r="G686" s="797" t="s">
        <v>1475</v>
      </c>
      <c r="H686" s="796" t="s">
        <v>291</v>
      </c>
      <c r="I686" s="220" t="str">
        <f>IF(ISBLANK(regional!I301),"",regional!I301)</f>
        <v/>
      </c>
      <c r="K686" s="225" t="s">
        <v>4159</v>
      </c>
      <c r="O686" s="225" t="s">
        <v>4159</v>
      </c>
    </row>
    <row r="687" spans="1:15" ht="12.75" customHeight="1" x14ac:dyDescent="0.3">
      <c r="A687" s="797"/>
      <c r="B687" s="797"/>
      <c r="C687" s="797"/>
      <c r="D687" s="797" t="s">
        <v>1476</v>
      </c>
      <c r="E687" s="797"/>
      <c r="F687" s="797"/>
      <c r="G687" s="796" t="s">
        <v>1477</v>
      </c>
      <c r="H687" s="796" t="s">
        <v>291</v>
      </c>
      <c r="I687" s="220" t="str">
        <f>IF(ISBLANK(regional!I302),"",regional!I302)</f>
        <v/>
      </c>
      <c r="K687" s="225" t="s">
        <v>4159</v>
      </c>
      <c r="O687" s="225" t="s">
        <v>4159</v>
      </c>
    </row>
    <row r="688" spans="1:15" ht="12.75" customHeight="1" x14ac:dyDescent="0.3">
      <c r="A688" s="352" t="s">
        <v>1478</v>
      </c>
      <c r="I688" s="220" t="str">
        <f>IF(ISBLANK(regional!I303),"",regional!I303)</f>
        <v/>
      </c>
      <c r="J688" s="635"/>
      <c r="K688" s="225" t="s">
        <v>4159</v>
      </c>
      <c r="O688" s="225" t="s">
        <v>4159</v>
      </c>
    </row>
    <row r="689" spans="1:15" ht="12.75" customHeight="1" x14ac:dyDescent="0.3">
      <c r="A689" s="797" t="s">
        <v>1479</v>
      </c>
      <c r="B689" s="797"/>
      <c r="C689" s="797"/>
      <c r="D689" s="797"/>
      <c r="E689" s="797"/>
      <c r="F689" s="797"/>
      <c r="G689" s="796" t="s">
        <v>1480</v>
      </c>
      <c r="H689" s="796" t="s">
        <v>335</v>
      </c>
      <c r="I689" s="220" t="str">
        <f>IF(ISBLANK(regional!I304),"",regional!I304)</f>
        <v/>
      </c>
      <c r="K689" s="225" t="s">
        <v>4159</v>
      </c>
      <c r="O689" s="225" t="s">
        <v>4159</v>
      </c>
    </row>
    <row r="690" spans="1:15" ht="12.75" customHeight="1" x14ac:dyDescent="0.3">
      <c r="A690" s="797" t="s">
        <v>1481</v>
      </c>
      <c r="B690" s="797"/>
      <c r="C690" s="797"/>
      <c r="D690" s="797"/>
      <c r="E690" s="797"/>
      <c r="F690" s="797"/>
      <c r="G690" s="796" t="s">
        <v>1482</v>
      </c>
      <c r="H690" s="796" t="s">
        <v>335</v>
      </c>
      <c r="I690" s="220" t="str">
        <f>IF(ISBLANK(regional!I305),"",regional!I305)</f>
        <v/>
      </c>
      <c r="K690" s="225" t="s">
        <v>4159</v>
      </c>
      <c r="O690" s="225" t="s">
        <v>4159</v>
      </c>
    </row>
    <row r="691" spans="1:15" ht="12.75" customHeight="1" x14ac:dyDescent="0.3">
      <c r="A691" s="797" t="s">
        <v>1483</v>
      </c>
      <c r="B691" s="797"/>
      <c r="C691" s="797"/>
      <c r="D691" s="797"/>
      <c r="E691" s="797"/>
      <c r="F691" s="797"/>
      <c r="G691" s="796" t="s">
        <v>1484</v>
      </c>
      <c r="H691" s="796" t="s">
        <v>335</v>
      </c>
      <c r="I691" s="220" t="str">
        <f>IF(ISBLANK(regional!I306),"",regional!I306)</f>
        <v/>
      </c>
      <c r="K691" s="225" t="s">
        <v>4159</v>
      </c>
      <c r="O691" s="225" t="s">
        <v>4159</v>
      </c>
    </row>
    <row r="692" spans="1:15" ht="12.75" customHeight="1" x14ac:dyDescent="0.3">
      <c r="A692" s="797"/>
      <c r="B692" s="797" t="s">
        <v>1485</v>
      </c>
      <c r="C692" s="797"/>
      <c r="D692" s="797"/>
      <c r="E692" s="797"/>
      <c r="F692" s="797"/>
      <c r="G692" s="796" t="s">
        <v>1486</v>
      </c>
      <c r="H692" s="796" t="s">
        <v>708</v>
      </c>
      <c r="I692" s="220" t="str">
        <f>IF(ISBLANK(regional!I307),"",regional!I307)</f>
        <v/>
      </c>
      <c r="K692" s="225" t="s">
        <v>4159</v>
      </c>
      <c r="O692" s="225" t="s">
        <v>4159</v>
      </c>
    </row>
    <row r="693" spans="1:15" ht="12.75" customHeight="1" x14ac:dyDescent="0.3">
      <c r="A693" s="797"/>
      <c r="B693" s="797" t="s">
        <v>727</v>
      </c>
      <c r="C693" s="797"/>
      <c r="D693" s="797"/>
      <c r="E693" s="797"/>
      <c r="F693" s="797"/>
      <c r="G693" s="796" t="s">
        <v>728</v>
      </c>
      <c r="H693" s="796" t="s">
        <v>729</v>
      </c>
      <c r="I693" s="220" t="str">
        <f>IF(ISBLANK(input!I284),"",input!I284)</f>
        <v/>
      </c>
      <c r="K693" s="225" t="s">
        <v>4159</v>
      </c>
      <c r="O693" s="225" t="s">
        <v>4159</v>
      </c>
    </row>
    <row r="694" spans="1:15" ht="12.75" customHeight="1" x14ac:dyDescent="0.3">
      <c r="A694" s="797"/>
      <c r="B694" s="797" t="s">
        <v>1390</v>
      </c>
      <c r="C694" s="797"/>
      <c r="D694" s="797"/>
      <c r="E694" s="797"/>
      <c r="F694" s="797"/>
      <c r="G694" s="796" t="s">
        <v>1487</v>
      </c>
      <c r="H694" s="796" t="s">
        <v>335</v>
      </c>
      <c r="I694" s="220" t="str">
        <f>IF(ISBLANK(regional!I308),"",regional!I308)</f>
        <v/>
      </c>
      <c r="K694" s="225" t="s">
        <v>4159</v>
      </c>
      <c r="O694" s="225" t="s">
        <v>4159</v>
      </c>
    </row>
    <row r="695" spans="1:15" ht="12.75" customHeight="1" x14ac:dyDescent="0.3">
      <c r="A695" s="797"/>
      <c r="B695" s="797" t="s">
        <v>1392</v>
      </c>
      <c r="C695" s="797"/>
      <c r="D695" s="797"/>
      <c r="E695" s="797"/>
      <c r="F695" s="797"/>
      <c r="G695" s="796" t="s">
        <v>1488</v>
      </c>
      <c r="H695" s="796" t="s">
        <v>335</v>
      </c>
      <c r="I695" s="220" t="str">
        <f>IF(ISBLANK(regional!I309),"",regional!I309)</f>
        <v/>
      </c>
      <c r="K695" s="225" t="s">
        <v>4159</v>
      </c>
      <c r="O695" s="225" t="s">
        <v>4159</v>
      </c>
    </row>
    <row r="696" spans="1:15" ht="12.75" customHeight="1" x14ac:dyDescent="0.3">
      <c r="A696" s="352" t="s">
        <v>1489</v>
      </c>
      <c r="I696" s="220" t="str">
        <f>IF(ISBLANK(regional!I310),"",regional!I310)</f>
        <v/>
      </c>
      <c r="K696" s="225" t="s">
        <v>4159</v>
      </c>
      <c r="O696" s="225" t="s">
        <v>4159</v>
      </c>
    </row>
    <row r="697" spans="1:15" ht="12.75" customHeight="1" x14ac:dyDescent="0.3">
      <c r="A697" s="797" t="s">
        <v>1490</v>
      </c>
      <c r="B697" s="797"/>
      <c r="C697" s="797"/>
      <c r="D697" s="797"/>
      <c r="E697" s="797"/>
      <c r="F697" s="797"/>
      <c r="G697" s="796" t="s">
        <v>1491</v>
      </c>
      <c r="H697" s="796" t="s">
        <v>335</v>
      </c>
      <c r="I697" s="220" t="str">
        <f>IF(ISBLANK(regional!I311),"",regional!I311)</f>
        <v/>
      </c>
      <c r="K697" s="225" t="s">
        <v>4159</v>
      </c>
      <c r="O697" s="225" t="s">
        <v>4159</v>
      </c>
    </row>
    <row r="698" spans="1:15" ht="12.75" customHeight="1" x14ac:dyDescent="0.3">
      <c r="A698" s="797"/>
      <c r="B698" s="797" t="s">
        <v>1492</v>
      </c>
      <c r="C698" s="797"/>
      <c r="D698" s="797"/>
      <c r="E698" s="797"/>
      <c r="F698" s="797"/>
      <c r="G698" s="796" t="s">
        <v>1493</v>
      </c>
      <c r="H698" s="796" t="s">
        <v>1449</v>
      </c>
      <c r="I698" s="220" t="str">
        <f>IF(ISBLANK(regional!I312),"",regional!I312)</f>
        <v/>
      </c>
      <c r="K698" s="225" t="s">
        <v>4159</v>
      </c>
      <c r="O698" s="225" t="s">
        <v>4159</v>
      </c>
    </row>
    <row r="699" spans="1:15" ht="12.75" customHeight="1" x14ac:dyDescent="0.3">
      <c r="A699" s="797"/>
      <c r="B699" s="797" t="s">
        <v>1494</v>
      </c>
      <c r="C699" s="797"/>
      <c r="D699" s="797"/>
      <c r="E699" s="797"/>
      <c r="F699" s="797"/>
      <c r="G699" s="797" t="s">
        <v>1495</v>
      </c>
      <c r="H699" s="796" t="s">
        <v>866</v>
      </c>
      <c r="I699" s="220" t="str">
        <f>IF(ISBLANK(regional!I313),"",regional!I313)</f>
        <v/>
      </c>
      <c r="K699" s="225" t="s">
        <v>4159</v>
      </c>
      <c r="O699" s="225" t="s">
        <v>4159</v>
      </c>
    </row>
    <row r="700" spans="1:15" ht="12.75" customHeight="1" x14ac:dyDescent="0.3">
      <c r="A700" s="797"/>
      <c r="B700" s="797" t="s">
        <v>1453</v>
      </c>
      <c r="C700" s="797"/>
      <c r="D700" s="797"/>
      <c r="E700" s="797"/>
      <c r="F700" s="797"/>
      <c r="G700" s="796" t="s">
        <v>1496</v>
      </c>
      <c r="H700" s="796" t="s">
        <v>291</v>
      </c>
      <c r="I700" s="220" t="str">
        <f>IF(ISBLANK(regional!I314),"",regional!I314)</f>
        <v/>
      </c>
      <c r="K700" s="225" t="s">
        <v>4159</v>
      </c>
      <c r="O700" s="225" t="s">
        <v>4159</v>
      </c>
    </row>
    <row r="701" spans="1:15" ht="12.75" customHeight="1" x14ac:dyDescent="0.3">
      <c r="A701" s="797"/>
      <c r="B701" s="797"/>
      <c r="C701" s="797" t="s">
        <v>1455</v>
      </c>
      <c r="D701" s="797"/>
      <c r="E701" s="797"/>
      <c r="F701" s="797"/>
      <c r="G701" s="796" t="s">
        <v>1497</v>
      </c>
      <c r="H701" s="796" t="s">
        <v>291</v>
      </c>
      <c r="I701" s="220" t="str">
        <f>IF(ISBLANK(regional!I315),"",regional!I315)</f>
        <v/>
      </c>
      <c r="K701" s="225" t="s">
        <v>4159</v>
      </c>
      <c r="O701" s="225" t="s">
        <v>4159</v>
      </c>
    </row>
    <row r="702" spans="1:15" ht="12.75" customHeight="1" x14ac:dyDescent="0.3">
      <c r="A702" s="797"/>
      <c r="B702" s="797"/>
      <c r="C702" s="797"/>
      <c r="D702" s="797" t="s">
        <v>1457</v>
      </c>
      <c r="E702" s="797"/>
      <c r="F702" s="797"/>
      <c r="G702" s="797" t="s">
        <v>1498</v>
      </c>
      <c r="H702" s="796" t="s">
        <v>291</v>
      </c>
      <c r="I702" s="220" t="str">
        <f>IF(ISBLANK(regional!I316),"",regional!I316)</f>
        <v/>
      </c>
      <c r="K702" s="225" t="s">
        <v>4159</v>
      </c>
      <c r="O702" s="225" t="s">
        <v>4159</v>
      </c>
    </row>
    <row r="703" spans="1:15" ht="12.75" customHeight="1" x14ac:dyDescent="0.3">
      <c r="A703" s="797"/>
      <c r="B703" s="797"/>
      <c r="C703" s="797"/>
      <c r="D703" s="797"/>
      <c r="E703" s="797" t="s">
        <v>1499</v>
      </c>
      <c r="F703" s="797"/>
      <c r="G703" s="797" t="s">
        <v>1500</v>
      </c>
      <c r="H703" s="796" t="s">
        <v>291</v>
      </c>
      <c r="I703" s="220" t="str">
        <f>IF(ISBLANK(regional!I317),"",regional!I317)</f>
        <v/>
      </c>
      <c r="K703" s="225" t="s">
        <v>4159</v>
      </c>
      <c r="O703" s="225" t="s">
        <v>4159</v>
      </c>
    </row>
    <row r="704" spans="1:15" ht="12.75" customHeight="1" x14ac:dyDescent="0.3">
      <c r="A704" s="797"/>
      <c r="B704" s="797"/>
      <c r="C704" s="797"/>
      <c r="D704" s="797"/>
      <c r="E704" s="797"/>
      <c r="F704" s="797" t="s">
        <v>1501</v>
      </c>
      <c r="G704" s="797" t="s">
        <v>1502</v>
      </c>
      <c r="H704" s="796" t="s">
        <v>1463</v>
      </c>
      <c r="I704" s="220" t="str">
        <f>IF(ISBLANK(regional!I318),"",regional!I318)</f>
        <v/>
      </c>
      <c r="K704" s="225" t="s">
        <v>4159</v>
      </c>
      <c r="O704" s="225" t="s">
        <v>4159</v>
      </c>
    </row>
    <row r="705" spans="1:15" ht="12.75" customHeight="1" x14ac:dyDescent="0.3">
      <c r="A705" s="797"/>
      <c r="B705" s="797"/>
      <c r="C705" s="797" t="s">
        <v>1465</v>
      </c>
      <c r="D705" s="797"/>
      <c r="E705" s="797"/>
      <c r="F705" s="797"/>
      <c r="G705" s="796" t="s">
        <v>1504</v>
      </c>
      <c r="H705" s="796" t="s">
        <v>291</v>
      </c>
      <c r="I705" s="220" t="str">
        <f>IF(ISBLANK(regional!I319),"",regional!I319)</f>
        <v/>
      </c>
      <c r="K705" s="225" t="s">
        <v>4159</v>
      </c>
      <c r="O705" s="225" t="s">
        <v>4159</v>
      </c>
    </row>
    <row r="706" spans="1:15" ht="12.75" customHeight="1" x14ac:dyDescent="0.3">
      <c r="A706" s="797"/>
      <c r="B706" s="797"/>
      <c r="C706" s="797" t="s">
        <v>1467</v>
      </c>
      <c r="D706" s="797"/>
      <c r="E706" s="797"/>
      <c r="F706" s="797"/>
      <c r="G706" s="796" t="s">
        <v>1505</v>
      </c>
      <c r="H706" s="796" t="s">
        <v>291</v>
      </c>
      <c r="I706" s="220" t="str">
        <f>IF(ISBLANK(regional!I320),"",regional!I320)</f>
        <v/>
      </c>
      <c r="K706" s="225" t="s">
        <v>4159</v>
      </c>
      <c r="O706" s="225" t="s">
        <v>4159</v>
      </c>
    </row>
    <row r="707" spans="1:15" ht="12.75" customHeight="1" x14ac:dyDescent="0.3">
      <c r="A707" s="797"/>
      <c r="B707" s="797"/>
      <c r="C707" s="797"/>
      <c r="D707" s="797" t="s">
        <v>1469</v>
      </c>
      <c r="E707" s="797"/>
      <c r="F707" s="797"/>
      <c r="G707" s="797" t="s">
        <v>1506</v>
      </c>
      <c r="H707" s="796" t="s">
        <v>291</v>
      </c>
      <c r="I707" s="220" t="str">
        <f>IF(ISBLANK(regional!I321),"",regional!I321)</f>
        <v/>
      </c>
      <c r="K707" s="225" t="s">
        <v>4159</v>
      </c>
      <c r="O707" s="225" t="s">
        <v>4159</v>
      </c>
    </row>
    <row r="708" spans="1:15" ht="12.75" customHeight="1" x14ac:dyDescent="0.3">
      <c r="A708" s="797"/>
      <c r="B708" s="797"/>
      <c r="C708" s="797"/>
      <c r="D708" s="797" t="s">
        <v>1471</v>
      </c>
      <c r="E708" s="797"/>
      <c r="F708" s="797"/>
      <c r="G708" s="797" t="s">
        <v>1507</v>
      </c>
      <c r="H708" s="796" t="s">
        <v>1473</v>
      </c>
      <c r="I708" s="220" t="str">
        <f>IF(ISBLANK(regional!I322),"",regional!I322)</f>
        <v/>
      </c>
      <c r="K708" s="225" t="s">
        <v>4159</v>
      </c>
      <c r="O708" s="225" t="s">
        <v>4159</v>
      </c>
    </row>
    <row r="709" spans="1:15" ht="12.75" customHeight="1" x14ac:dyDescent="0.3">
      <c r="A709" s="797"/>
      <c r="B709" s="797"/>
      <c r="C709" s="797"/>
      <c r="D709" s="797" t="s">
        <v>1474</v>
      </c>
      <c r="E709" s="797"/>
      <c r="F709" s="797"/>
      <c r="G709" s="797" t="s">
        <v>1508</v>
      </c>
      <c r="H709" s="796" t="s">
        <v>291</v>
      </c>
      <c r="I709" s="220" t="str">
        <f>IF(ISBLANK(regional!I323),"",regional!I323)</f>
        <v/>
      </c>
      <c r="K709" s="225" t="s">
        <v>4159</v>
      </c>
      <c r="O709" s="225" t="s">
        <v>4159</v>
      </c>
    </row>
    <row r="710" spans="1:15" ht="12.75" customHeight="1" x14ac:dyDescent="0.3">
      <c r="A710" s="797"/>
      <c r="B710" s="797"/>
      <c r="C710" s="797"/>
      <c r="D710" s="797" t="s">
        <v>1476</v>
      </c>
      <c r="E710" s="797"/>
      <c r="F710" s="797"/>
      <c r="G710" s="796" t="s">
        <v>1509</v>
      </c>
      <c r="H710" s="796" t="s">
        <v>291</v>
      </c>
      <c r="I710" s="220" t="str">
        <f>IF(ISBLANK(regional!I324),"",regional!I324)</f>
        <v/>
      </c>
      <c r="K710" s="225" t="s">
        <v>4159</v>
      </c>
      <c r="O710" s="225" t="s">
        <v>4159</v>
      </c>
    </row>
    <row r="711" spans="1:15" ht="12.75" customHeight="1" x14ac:dyDescent="0.3">
      <c r="A711" s="797" t="s">
        <v>1510</v>
      </c>
      <c r="B711" s="797"/>
      <c r="C711" s="797"/>
      <c r="D711" s="797"/>
      <c r="E711" s="797"/>
      <c r="F711" s="797"/>
      <c r="G711" s="796" t="s">
        <v>1511</v>
      </c>
      <c r="H711" s="796" t="s">
        <v>335</v>
      </c>
      <c r="I711" s="220" t="str">
        <f>IF(ISBLANK(regional!I325),"",regional!I325)</f>
        <v/>
      </c>
      <c r="K711" s="225" t="s">
        <v>4159</v>
      </c>
      <c r="O711" s="225" t="s">
        <v>4159</v>
      </c>
    </row>
    <row r="712" spans="1:15" ht="12.75" customHeight="1" x14ac:dyDescent="0.3">
      <c r="A712" s="797"/>
      <c r="B712" s="797" t="s">
        <v>1492</v>
      </c>
      <c r="C712" s="797"/>
      <c r="D712" s="797"/>
      <c r="E712" s="797"/>
      <c r="F712" s="797"/>
      <c r="G712" s="796" t="s">
        <v>1512</v>
      </c>
      <c r="H712" s="796" t="s">
        <v>1449</v>
      </c>
      <c r="I712" s="220" t="str">
        <f>IF(ISBLANK(regional!I326),"",regional!I326)</f>
        <v/>
      </c>
      <c r="J712" s="635"/>
      <c r="K712" s="225" t="s">
        <v>4159</v>
      </c>
      <c r="O712" s="225" t="s">
        <v>4159</v>
      </c>
    </row>
    <row r="713" spans="1:15" ht="12.75" customHeight="1" x14ac:dyDescent="0.3">
      <c r="A713" s="797"/>
      <c r="B713" s="797" t="s">
        <v>1494</v>
      </c>
      <c r="C713" s="797"/>
      <c r="D713" s="797"/>
      <c r="E713" s="797"/>
      <c r="F713" s="797"/>
      <c r="G713" s="797" t="s">
        <v>1513</v>
      </c>
      <c r="H713" s="796" t="s">
        <v>866</v>
      </c>
      <c r="I713" s="220" t="str">
        <f>IF(ISBLANK(regional!I327),"",regional!I327)</f>
        <v/>
      </c>
      <c r="K713" s="225" t="s">
        <v>4159</v>
      </c>
      <c r="O713" s="225" t="s">
        <v>4159</v>
      </c>
    </row>
    <row r="714" spans="1:15" ht="12.75" customHeight="1" x14ac:dyDescent="0.3">
      <c r="A714" s="797"/>
      <c r="B714" s="797" t="s">
        <v>1453</v>
      </c>
      <c r="C714" s="797"/>
      <c r="D714" s="797"/>
      <c r="E714" s="797"/>
      <c r="F714" s="797"/>
      <c r="G714" s="796" t="s">
        <v>1514</v>
      </c>
      <c r="H714" s="796" t="s">
        <v>291</v>
      </c>
      <c r="I714" s="220" t="str">
        <f>IF(ISBLANK(regional!I328),"",regional!I328)</f>
        <v/>
      </c>
      <c r="K714" s="225" t="s">
        <v>4159</v>
      </c>
      <c r="O714" s="225" t="s">
        <v>4159</v>
      </c>
    </row>
    <row r="715" spans="1:15" ht="12.75" customHeight="1" x14ac:dyDescent="0.3">
      <c r="A715" s="797"/>
      <c r="B715" s="797"/>
      <c r="C715" s="797" t="s">
        <v>1455</v>
      </c>
      <c r="D715" s="797"/>
      <c r="E715" s="797"/>
      <c r="F715" s="797"/>
      <c r="G715" s="796" t="s">
        <v>1515</v>
      </c>
      <c r="H715" s="796" t="s">
        <v>291</v>
      </c>
      <c r="I715" s="220" t="str">
        <f>IF(ISBLANK(regional!I329),"",regional!I329)</f>
        <v/>
      </c>
      <c r="K715" s="225" t="s">
        <v>4159</v>
      </c>
      <c r="O715" s="225" t="s">
        <v>4159</v>
      </c>
    </row>
    <row r="716" spans="1:15" ht="12.75" customHeight="1" x14ac:dyDescent="0.3">
      <c r="A716" s="797"/>
      <c r="B716" s="797"/>
      <c r="C716" s="797"/>
      <c r="D716" s="797" t="s">
        <v>1457</v>
      </c>
      <c r="E716" s="797"/>
      <c r="F716" s="797"/>
      <c r="G716" s="797" t="s">
        <v>1516</v>
      </c>
      <c r="H716" s="796" t="s">
        <v>291</v>
      </c>
      <c r="I716" s="220" t="str">
        <f>IF(ISBLANK(regional!I330),"",regional!I330)</f>
        <v/>
      </c>
      <c r="K716" s="225" t="s">
        <v>4159</v>
      </c>
      <c r="O716" s="225" t="s">
        <v>4159</v>
      </c>
    </row>
    <row r="717" spans="1:15" ht="12.75" customHeight="1" x14ac:dyDescent="0.3">
      <c r="A717" s="797"/>
      <c r="B717" s="797"/>
      <c r="C717" s="797"/>
      <c r="D717" s="797"/>
      <c r="E717" s="797" t="s">
        <v>1499</v>
      </c>
      <c r="F717" s="797"/>
      <c r="G717" s="797" t="s">
        <v>1517</v>
      </c>
      <c r="H717" s="796" t="s">
        <v>291</v>
      </c>
      <c r="I717" s="220" t="str">
        <f>IF(ISBLANK(regional!I331),"",regional!I331)</f>
        <v/>
      </c>
      <c r="K717" s="225" t="s">
        <v>4159</v>
      </c>
      <c r="O717" s="225" t="s">
        <v>4159</v>
      </c>
    </row>
    <row r="718" spans="1:15" ht="12.75" customHeight="1" x14ac:dyDescent="0.3">
      <c r="A718" s="797"/>
      <c r="B718" s="797"/>
      <c r="C718" s="797"/>
      <c r="D718" s="797"/>
      <c r="E718" s="797"/>
      <c r="F718" s="797" t="s">
        <v>1501</v>
      </c>
      <c r="G718" s="797" t="s">
        <v>1518</v>
      </c>
      <c r="H718" s="796" t="s">
        <v>1463</v>
      </c>
      <c r="I718" s="220" t="str">
        <f>IF(ISBLANK(regional!I332),"",regional!I332)</f>
        <v/>
      </c>
      <c r="K718" s="225" t="s">
        <v>4159</v>
      </c>
      <c r="O718" s="225" t="s">
        <v>4159</v>
      </c>
    </row>
    <row r="719" spans="1:15" ht="12.75" customHeight="1" x14ac:dyDescent="0.3">
      <c r="A719" s="797"/>
      <c r="B719" s="797"/>
      <c r="C719" s="797" t="s">
        <v>1465</v>
      </c>
      <c r="D719" s="797"/>
      <c r="E719" s="797"/>
      <c r="F719" s="797"/>
      <c r="G719" s="796" t="s">
        <v>1520</v>
      </c>
      <c r="H719" s="796" t="s">
        <v>291</v>
      </c>
      <c r="I719" s="220" t="str">
        <f>IF(ISBLANK(regional!I333),"",regional!I333)</f>
        <v/>
      </c>
      <c r="K719" s="225" t="s">
        <v>4159</v>
      </c>
      <c r="O719" s="225" t="s">
        <v>4159</v>
      </c>
    </row>
    <row r="720" spans="1:15" ht="12.75" customHeight="1" x14ac:dyDescent="0.3">
      <c r="A720" s="797"/>
      <c r="B720" s="797"/>
      <c r="C720" s="797" t="s">
        <v>1467</v>
      </c>
      <c r="D720" s="797"/>
      <c r="E720" s="797"/>
      <c r="F720" s="797"/>
      <c r="G720" s="796" t="s">
        <v>1521</v>
      </c>
      <c r="H720" s="796" t="s">
        <v>291</v>
      </c>
      <c r="I720" s="220" t="str">
        <f>IF(ISBLANK(regional!I334),"",regional!I334)</f>
        <v/>
      </c>
      <c r="K720" s="225" t="s">
        <v>4159</v>
      </c>
      <c r="O720" s="225" t="s">
        <v>4159</v>
      </c>
    </row>
    <row r="721" spans="1:15" ht="12.75" customHeight="1" x14ac:dyDescent="0.3">
      <c r="A721" s="797"/>
      <c r="B721" s="797"/>
      <c r="C721" s="797"/>
      <c r="D721" s="797" t="s">
        <v>1471</v>
      </c>
      <c r="E721" s="797"/>
      <c r="F721" s="797"/>
      <c r="G721" s="797" t="s">
        <v>1522</v>
      </c>
      <c r="H721" s="796" t="s">
        <v>1473</v>
      </c>
      <c r="I721" s="220" t="str">
        <f>IF(ISBLANK(regional!I335),"",regional!I335)</f>
        <v/>
      </c>
      <c r="K721" s="225" t="s">
        <v>4159</v>
      </c>
      <c r="O721" s="225" t="s">
        <v>4159</v>
      </c>
    </row>
    <row r="722" spans="1:15" ht="12.75" customHeight="1" x14ac:dyDescent="0.3">
      <c r="A722" s="797"/>
      <c r="B722" s="797"/>
      <c r="C722" s="797"/>
      <c r="D722" s="797" t="s">
        <v>1474</v>
      </c>
      <c r="E722" s="797"/>
      <c r="F722" s="797"/>
      <c r="G722" s="797" t="s">
        <v>1523</v>
      </c>
      <c r="H722" s="796" t="s">
        <v>291</v>
      </c>
      <c r="I722" s="220" t="str">
        <f>IF(ISBLANK(regional!I336),"",regional!I336)</f>
        <v/>
      </c>
      <c r="K722" s="225" t="s">
        <v>4159</v>
      </c>
      <c r="O722" s="225" t="s">
        <v>4159</v>
      </c>
    </row>
    <row r="723" spans="1:15" ht="12.75" customHeight="1" x14ac:dyDescent="0.3">
      <c r="A723" s="797"/>
      <c r="B723" s="797"/>
      <c r="C723" s="797"/>
      <c r="D723" s="797" t="s">
        <v>1469</v>
      </c>
      <c r="E723" s="797"/>
      <c r="F723" s="797"/>
      <c r="G723" s="797" t="s">
        <v>1524</v>
      </c>
      <c r="H723" s="796" t="s">
        <v>291</v>
      </c>
      <c r="I723" s="220" t="str">
        <f>IF(ISBLANK(regional!I337),"",regional!I337)</f>
        <v/>
      </c>
      <c r="K723" s="225" t="s">
        <v>4159</v>
      </c>
      <c r="O723" s="225" t="s">
        <v>4159</v>
      </c>
    </row>
    <row r="724" spans="1:15" ht="12.75" customHeight="1" x14ac:dyDescent="0.3">
      <c r="A724" s="797"/>
      <c r="B724" s="797"/>
      <c r="C724" s="797"/>
      <c r="D724" s="797" t="s">
        <v>1476</v>
      </c>
      <c r="E724" s="797"/>
      <c r="F724" s="797"/>
      <c r="G724" s="796" t="s">
        <v>1525</v>
      </c>
      <c r="H724" s="796" t="s">
        <v>291</v>
      </c>
      <c r="I724" s="220" t="str">
        <f>IF(ISBLANK(regional!I338),"",regional!I338)</f>
        <v/>
      </c>
      <c r="K724" s="225" t="s">
        <v>4159</v>
      </c>
      <c r="O724" s="225" t="s">
        <v>4159</v>
      </c>
    </row>
    <row r="725" spans="1:15" ht="12.75" customHeight="1" x14ac:dyDescent="0.3">
      <c r="A725" s="797" t="s">
        <v>1526</v>
      </c>
      <c r="B725" s="797"/>
      <c r="C725" s="797"/>
      <c r="D725" s="797"/>
      <c r="E725" s="797"/>
      <c r="F725" s="797"/>
      <c r="G725" s="796" t="s">
        <v>1527</v>
      </c>
      <c r="H725" s="796" t="s">
        <v>335</v>
      </c>
      <c r="I725" s="220" t="str">
        <f>IF(ISBLANK(regional!I339),"",regional!I339)</f>
        <v/>
      </c>
      <c r="K725" s="225" t="s">
        <v>4159</v>
      </c>
      <c r="O725" s="225" t="s">
        <v>4159</v>
      </c>
    </row>
    <row r="726" spans="1:15" ht="12.75" customHeight="1" x14ac:dyDescent="0.3">
      <c r="A726" s="797"/>
      <c r="B726" s="797" t="s">
        <v>1492</v>
      </c>
      <c r="C726" s="797"/>
      <c r="D726" s="797"/>
      <c r="E726" s="797"/>
      <c r="F726" s="797"/>
      <c r="G726" s="796" t="s">
        <v>1528</v>
      </c>
      <c r="H726" s="796" t="s">
        <v>1449</v>
      </c>
      <c r="I726" s="220" t="str">
        <f>IF(ISBLANK(regional!I340),"",regional!I340)</f>
        <v/>
      </c>
      <c r="K726" s="225" t="s">
        <v>4159</v>
      </c>
      <c r="O726" s="225" t="s">
        <v>4159</v>
      </c>
    </row>
    <row r="727" spans="1:15" ht="12.75" customHeight="1" x14ac:dyDescent="0.3">
      <c r="A727" s="797"/>
      <c r="B727" s="797" t="s">
        <v>1494</v>
      </c>
      <c r="C727" s="797"/>
      <c r="D727" s="797"/>
      <c r="E727" s="797"/>
      <c r="F727" s="797"/>
      <c r="G727" s="797" t="s">
        <v>1529</v>
      </c>
      <c r="H727" s="796" t="s">
        <v>866</v>
      </c>
      <c r="I727" s="220" t="str">
        <f>IF(ISBLANK(regional!I341),"",regional!I341)</f>
        <v/>
      </c>
      <c r="K727" s="225" t="s">
        <v>4159</v>
      </c>
      <c r="O727" s="225" t="s">
        <v>4159</v>
      </c>
    </row>
    <row r="728" spans="1:15" ht="12.75" customHeight="1" x14ac:dyDescent="0.3">
      <c r="A728" s="797"/>
      <c r="B728" s="797" t="s">
        <v>1453</v>
      </c>
      <c r="C728" s="797"/>
      <c r="D728" s="797"/>
      <c r="E728" s="797"/>
      <c r="F728" s="797"/>
      <c r="G728" s="796" t="s">
        <v>1530</v>
      </c>
      <c r="H728" s="796" t="s">
        <v>291</v>
      </c>
      <c r="I728" s="220" t="str">
        <f>IF(ISBLANK(regional!I342),"",regional!I342)</f>
        <v/>
      </c>
      <c r="K728" s="225" t="s">
        <v>4159</v>
      </c>
      <c r="O728" s="225" t="s">
        <v>4159</v>
      </c>
    </row>
    <row r="729" spans="1:15" ht="12.75" customHeight="1" x14ac:dyDescent="0.3">
      <c r="A729" s="797"/>
      <c r="B729" s="797"/>
      <c r="C729" s="797" t="s">
        <v>1455</v>
      </c>
      <c r="D729" s="797"/>
      <c r="E729" s="797"/>
      <c r="F729" s="797"/>
      <c r="G729" s="796" t="s">
        <v>1531</v>
      </c>
      <c r="H729" s="796" t="s">
        <v>291</v>
      </c>
      <c r="I729" s="220" t="str">
        <f>IF(ISBLANK(regional!I343),"",regional!I343)</f>
        <v/>
      </c>
      <c r="K729" s="225" t="s">
        <v>4159</v>
      </c>
      <c r="O729" s="225" t="s">
        <v>4159</v>
      </c>
    </row>
    <row r="730" spans="1:15" ht="12.75" customHeight="1" x14ac:dyDescent="0.3">
      <c r="A730" s="797"/>
      <c r="B730" s="797"/>
      <c r="C730" s="797"/>
      <c r="D730" s="797" t="s">
        <v>1457</v>
      </c>
      <c r="E730" s="797"/>
      <c r="F730" s="797"/>
      <c r="G730" s="797" t="s">
        <v>1532</v>
      </c>
      <c r="H730" s="796" t="s">
        <v>291</v>
      </c>
      <c r="I730" s="220" t="str">
        <f>IF(ISBLANK(regional!I344),"",regional!I344)</f>
        <v/>
      </c>
      <c r="K730" s="225" t="s">
        <v>4159</v>
      </c>
      <c r="O730" s="225" t="s">
        <v>4159</v>
      </c>
    </row>
    <row r="731" spans="1:15" ht="12.75" customHeight="1" x14ac:dyDescent="0.3">
      <c r="A731" s="797"/>
      <c r="B731" s="797"/>
      <c r="C731" s="797"/>
      <c r="D731" s="797"/>
      <c r="E731" s="797" t="s">
        <v>1499</v>
      </c>
      <c r="F731" s="797"/>
      <c r="G731" s="797" t="s">
        <v>1533</v>
      </c>
      <c r="H731" s="796" t="s">
        <v>291</v>
      </c>
      <c r="I731" s="220" t="str">
        <f>IF(ISBLANK(regional!I345),"",regional!I345)</f>
        <v/>
      </c>
      <c r="K731" s="225" t="s">
        <v>4159</v>
      </c>
      <c r="O731" s="225" t="s">
        <v>4159</v>
      </c>
    </row>
    <row r="732" spans="1:15" ht="12.75" customHeight="1" x14ac:dyDescent="0.3">
      <c r="A732" s="797"/>
      <c r="B732" s="797"/>
      <c r="C732" s="797"/>
      <c r="D732" s="797"/>
      <c r="E732" s="797"/>
      <c r="F732" s="797" t="s">
        <v>1501</v>
      </c>
      <c r="G732" s="797" t="s">
        <v>1534</v>
      </c>
      <c r="H732" s="796" t="s">
        <v>1463</v>
      </c>
      <c r="I732" s="220" t="str">
        <f>IF(ISBLANK(regional!I346),"",regional!I346)</f>
        <v/>
      </c>
      <c r="K732" s="225" t="s">
        <v>4159</v>
      </c>
      <c r="O732" s="225" t="s">
        <v>4159</v>
      </c>
    </row>
    <row r="733" spans="1:15" ht="12.75" customHeight="1" x14ac:dyDescent="0.3">
      <c r="A733" s="797"/>
      <c r="B733" s="797"/>
      <c r="C733" s="797" t="s">
        <v>1465</v>
      </c>
      <c r="D733" s="797"/>
      <c r="E733" s="797"/>
      <c r="F733" s="797"/>
      <c r="G733" s="796" t="s">
        <v>1535</v>
      </c>
      <c r="H733" s="796" t="s">
        <v>291</v>
      </c>
      <c r="I733" s="220" t="str">
        <f>IF(ISBLANK(regional!I347),"",regional!I347)</f>
        <v/>
      </c>
      <c r="K733" s="225" t="s">
        <v>4159</v>
      </c>
      <c r="O733" s="225" t="s">
        <v>4159</v>
      </c>
    </row>
    <row r="734" spans="1:15" ht="12.75" customHeight="1" x14ac:dyDescent="0.3">
      <c r="A734" s="797"/>
      <c r="B734" s="797"/>
      <c r="C734" s="797" t="s">
        <v>1467</v>
      </c>
      <c r="D734" s="797"/>
      <c r="E734" s="797"/>
      <c r="F734" s="797"/>
      <c r="G734" s="796" t="s">
        <v>1536</v>
      </c>
      <c r="H734" s="796" t="s">
        <v>291</v>
      </c>
      <c r="I734" s="220" t="str">
        <f>IF(ISBLANK(regional!I348),"",regional!I348)</f>
        <v/>
      </c>
      <c r="K734" s="225" t="s">
        <v>4159</v>
      </c>
      <c r="O734" s="225" t="s">
        <v>4159</v>
      </c>
    </row>
    <row r="735" spans="1:15" ht="12.75" customHeight="1" x14ac:dyDescent="0.3">
      <c r="A735" s="797"/>
      <c r="B735" s="797"/>
      <c r="C735" s="797"/>
      <c r="D735" s="797" t="s">
        <v>1471</v>
      </c>
      <c r="E735" s="797"/>
      <c r="F735" s="797"/>
      <c r="G735" s="797" t="s">
        <v>1537</v>
      </c>
      <c r="H735" s="796" t="s">
        <v>1473</v>
      </c>
      <c r="I735" s="220" t="str">
        <f>IF(ISBLANK(regional!I349),"",regional!I349)</f>
        <v/>
      </c>
      <c r="K735" s="225" t="s">
        <v>4159</v>
      </c>
      <c r="O735" s="225" t="s">
        <v>4159</v>
      </c>
    </row>
    <row r="736" spans="1:15" ht="12.75" customHeight="1" x14ac:dyDescent="0.3">
      <c r="A736" s="797"/>
      <c r="B736" s="797"/>
      <c r="C736" s="797"/>
      <c r="D736" s="797" t="s">
        <v>1474</v>
      </c>
      <c r="E736" s="797"/>
      <c r="F736" s="797"/>
      <c r="G736" s="797" t="s">
        <v>1538</v>
      </c>
      <c r="H736" s="796" t="s">
        <v>291</v>
      </c>
      <c r="I736" s="220" t="str">
        <f>IF(ISBLANK(regional!I350),"",regional!I350)</f>
        <v/>
      </c>
      <c r="K736" s="225" t="s">
        <v>4159</v>
      </c>
      <c r="O736" s="225" t="s">
        <v>4159</v>
      </c>
    </row>
    <row r="737" spans="1:15" ht="12.75" customHeight="1" x14ac:dyDescent="0.3">
      <c r="A737" s="797"/>
      <c r="B737" s="797"/>
      <c r="C737" s="797"/>
      <c r="D737" s="797" t="s">
        <v>1469</v>
      </c>
      <c r="E737" s="797"/>
      <c r="F737" s="797"/>
      <c r="G737" s="797" t="s">
        <v>1539</v>
      </c>
      <c r="H737" s="796" t="s">
        <v>291</v>
      </c>
      <c r="I737" s="220" t="str">
        <f>IF(ISBLANK(regional!I351),"",regional!I351)</f>
        <v/>
      </c>
      <c r="K737" s="225" t="s">
        <v>4159</v>
      </c>
      <c r="O737" s="225" t="s">
        <v>4159</v>
      </c>
    </row>
    <row r="738" spans="1:15" ht="12.75" customHeight="1" x14ac:dyDescent="0.3">
      <c r="A738" s="797"/>
      <c r="B738" s="797"/>
      <c r="C738" s="797"/>
      <c r="D738" s="797" t="s">
        <v>1476</v>
      </c>
      <c r="E738" s="797"/>
      <c r="F738" s="797"/>
      <c r="G738" s="796" t="s">
        <v>1540</v>
      </c>
      <c r="H738" s="796" t="s">
        <v>291</v>
      </c>
      <c r="I738" s="220" t="str">
        <f>IF(ISBLANK(regional!I352),"",regional!I352)</f>
        <v/>
      </c>
      <c r="K738" s="225" t="s">
        <v>4159</v>
      </c>
      <c r="O738" s="225" t="s">
        <v>4159</v>
      </c>
    </row>
    <row r="739" spans="1:15" ht="12.75" customHeight="1" x14ac:dyDescent="0.3">
      <c r="I739" s="220" t="str">
        <f>IF(ISBLANK(regional!I353),"",regional!I353)</f>
        <v/>
      </c>
      <c r="K739" s="225" t="s">
        <v>4159</v>
      </c>
      <c r="O739" s="225" t="s">
        <v>4159</v>
      </c>
    </row>
    <row r="740" spans="1:15" ht="12.75" customHeight="1" x14ac:dyDescent="0.3">
      <c r="A740" s="836" t="s">
        <v>1541</v>
      </c>
      <c r="B740" s="837"/>
      <c r="C740" s="837"/>
      <c r="D740" s="837"/>
      <c r="E740" s="837"/>
      <c r="F740" s="837"/>
      <c r="G740" s="836" t="s">
        <v>258</v>
      </c>
      <c r="H740" s="836" t="s">
        <v>274</v>
      </c>
      <c r="I740" s="220" t="str">
        <f>IF(ISBLANK(regional!I354),"",regional!I354)</f>
        <v>User input</v>
      </c>
      <c r="K740" s="225" t="s">
        <v>259</v>
      </c>
      <c r="O740" s="225" t="s">
        <v>259</v>
      </c>
    </row>
    <row r="741" spans="1:15" ht="12.75" customHeight="1" x14ac:dyDescent="0.3">
      <c r="A741" s="778" t="s">
        <v>1542</v>
      </c>
      <c r="I741" s="220" t="str">
        <f>IF(ISBLANK(regional!I355),"",regional!I355)</f>
        <v/>
      </c>
      <c r="K741" s="225" t="s">
        <v>4159</v>
      </c>
      <c r="O741" s="225" t="s">
        <v>4159</v>
      </c>
    </row>
    <row r="742" spans="1:15" ht="12.75" customHeight="1" x14ac:dyDescent="0.3">
      <c r="A742" s="797"/>
      <c r="B742" s="797" t="s">
        <v>1543</v>
      </c>
      <c r="C742" s="797"/>
      <c r="D742" s="797"/>
      <c r="E742" s="797"/>
      <c r="F742" s="797"/>
      <c r="G742" s="796" t="s">
        <v>1544</v>
      </c>
      <c r="H742" s="796" t="s">
        <v>813</v>
      </c>
      <c r="I742" s="220" t="str">
        <f>IF(ISBLANK(regional!I356),"",regional!I356)</f>
        <v/>
      </c>
      <c r="K742" s="225" t="s">
        <v>4159</v>
      </c>
      <c r="O742" s="225" t="s">
        <v>4159</v>
      </c>
    </row>
    <row r="743" spans="1:15" ht="12.75" customHeight="1" x14ac:dyDescent="0.3">
      <c r="A743" s="797"/>
      <c r="B743" s="797" t="s">
        <v>1546</v>
      </c>
      <c r="C743" s="797"/>
      <c r="D743" s="797"/>
      <c r="E743" s="797"/>
      <c r="F743" s="797"/>
      <c r="G743" s="796" t="s">
        <v>1547</v>
      </c>
      <c r="H743" s="796" t="s">
        <v>291</v>
      </c>
      <c r="I743" s="220" t="str">
        <f>IF(ISBLANK(regional!I357),"",regional!I357)</f>
        <v/>
      </c>
      <c r="J743" s="211"/>
      <c r="K743" s="225" t="s">
        <v>4159</v>
      </c>
      <c r="O743" s="225" t="s">
        <v>4159</v>
      </c>
    </row>
    <row r="744" spans="1:15" ht="12.75" customHeight="1" x14ac:dyDescent="0.3">
      <c r="A744" s="797"/>
      <c r="B744" s="797" t="s">
        <v>1549</v>
      </c>
      <c r="C744" s="797"/>
      <c r="D744" s="797"/>
      <c r="E744" s="797"/>
      <c r="F744" s="797"/>
      <c r="G744" s="796" t="s">
        <v>1550</v>
      </c>
      <c r="H744" s="796" t="s">
        <v>866</v>
      </c>
      <c r="I744" s="220" t="str">
        <f>IF(ISBLANK(regional!I358),"",regional!I358)</f>
        <v/>
      </c>
      <c r="J744" s="353"/>
      <c r="K744" s="225" t="s">
        <v>4159</v>
      </c>
      <c r="O744" s="225" t="s">
        <v>4159</v>
      </c>
    </row>
    <row r="745" spans="1:15" ht="12.75" customHeight="1" x14ac:dyDescent="0.3">
      <c r="A745" s="797"/>
      <c r="B745" s="797" t="s">
        <v>794</v>
      </c>
      <c r="C745" s="797"/>
      <c r="D745" s="797"/>
      <c r="E745" s="797"/>
      <c r="F745" s="797"/>
      <c r="G745" s="796" t="s">
        <v>795</v>
      </c>
      <c r="H745" s="796" t="s">
        <v>282</v>
      </c>
      <c r="I745" s="220" t="str">
        <f>IF(ISBLANK(input!I331),"",input!I331)</f>
        <v/>
      </c>
      <c r="J745" s="211"/>
      <c r="K745" s="225" t="s">
        <v>4159</v>
      </c>
      <c r="O745" s="225" t="s">
        <v>4159</v>
      </c>
    </row>
    <row r="746" spans="1:15" ht="12.75" customHeight="1" x14ac:dyDescent="0.3">
      <c r="A746" s="797"/>
      <c r="B746" s="797" t="s">
        <v>1553</v>
      </c>
      <c r="C746" s="797"/>
      <c r="D746" s="797"/>
      <c r="E746" s="797"/>
      <c r="F746" s="797"/>
      <c r="G746" s="796" t="s">
        <v>1554</v>
      </c>
      <c r="H746" s="796" t="s">
        <v>866</v>
      </c>
      <c r="I746" s="220" t="str">
        <f>IF(ISBLANK(regional!I359),"",regional!I359)</f>
        <v/>
      </c>
      <c r="K746" s="225" t="s">
        <v>4159</v>
      </c>
      <c r="O746" s="225" t="s">
        <v>4159</v>
      </c>
    </row>
    <row r="747" spans="1:15" ht="12.75" customHeight="1" x14ac:dyDescent="0.3">
      <c r="A747" s="797"/>
      <c r="B747" s="797" t="s">
        <v>1555</v>
      </c>
      <c r="C747" s="797"/>
      <c r="D747" s="797"/>
      <c r="E747" s="797"/>
      <c r="F747" s="797"/>
      <c r="G747" s="796" t="s">
        <v>1556</v>
      </c>
      <c r="H747" s="796" t="s">
        <v>291</v>
      </c>
      <c r="I747" s="220" t="str">
        <f>IF(ISBLANK(regional!I360),"",regional!I360)</f>
        <v/>
      </c>
      <c r="K747" s="225" t="s">
        <v>4159</v>
      </c>
      <c r="O747" s="225" t="s">
        <v>4159</v>
      </c>
    </row>
    <row r="748" spans="1:15" ht="12.75" customHeight="1" x14ac:dyDescent="0.3">
      <c r="A748" s="797"/>
      <c r="B748" s="797" t="s">
        <v>1557</v>
      </c>
      <c r="C748" s="797"/>
      <c r="D748" s="797"/>
      <c r="E748" s="797"/>
      <c r="F748" s="797"/>
      <c r="G748" s="796" t="s">
        <v>1558</v>
      </c>
      <c r="H748" s="796" t="s">
        <v>291</v>
      </c>
      <c r="I748" s="220" t="str">
        <f>IF(ISBLANK(regional!I361),"",regional!I361)</f>
        <v/>
      </c>
      <c r="K748" s="225" t="s">
        <v>4159</v>
      </c>
      <c r="O748" s="225" t="s">
        <v>4159</v>
      </c>
    </row>
    <row r="749" spans="1:15" ht="12.75" customHeight="1" x14ac:dyDescent="0.3">
      <c r="A749" s="797"/>
      <c r="B749" s="797" t="s">
        <v>1559</v>
      </c>
      <c r="C749" s="797"/>
      <c r="D749" s="797"/>
      <c r="E749" s="797"/>
      <c r="F749" s="797"/>
      <c r="G749" s="796" t="s">
        <v>1560</v>
      </c>
      <c r="H749" s="796" t="s">
        <v>291</v>
      </c>
      <c r="I749" s="220" t="str">
        <f>IF(ISBLANK(regional!I362),"",regional!I362)</f>
        <v/>
      </c>
      <c r="K749" s="225" t="s">
        <v>4159</v>
      </c>
      <c r="O749" s="225" t="s">
        <v>4159</v>
      </c>
    </row>
    <row r="750" spans="1:15" ht="12.75" customHeight="1" x14ac:dyDescent="0.3">
      <c r="A750" s="837" t="s">
        <v>1561</v>
      </c>
      <c r="B750" s="837"/>
      <c r="C750" s="837"/>
      <c r="D750" s="837"/>
      <c r="E750" s="837"/>
      <c r="F750" s="837"/>
      <c r="G750" s="837"/>
      <c r="H750" s="837"/>
      <c r="I750" s="220" t="str">
        <f>IF(ISBLANK(regional!I363),"",regional!I363)</f>
        <v/>
      </c>
      <c r="K750" s="225" t="s">
        <v>4159</v>
      </c>
      <c r="O750" s="225" t="s">
        <v>4159</v>
      </c>
    </row>
    <row r="751" spans="1:15" ht="12.75" customHeight="1" x14ac:dyDescent="0.3">
      <c r="A751" s="797"/>
      <c r="B751" s="797" t="s">
        <v>1562</v>
      </c>
      <c r="C751" s="797"/>
      <c r="D751" s="797"/>
      <c r="E751" s="797"/>
      <c r="F751" s="797"/>
      <c r="G751" s="797" t="s">
        <v>1563</v>
      </c>
      <c r="H751" s="797" t="s">
        <v>813</v>
      </c>
      <c r="I751" s="220" t="str">
        <f>IF(ISBLANK(regional!I364),"",regional!I364)</f>
        <v/>
      </c>
      <c r="K751" s="225" t="s">
        <v>4159</v>
      </c>
      <c r="O751" s="225" t="s">
        <v>4159</v>
      </c>
    </row>
    <row r="752" spans="1:15" ht="12.75" customHeight="1" x14ac:dyDescent="0.3">
      <c r="A752" s="797"/>
      <c r="B752" s="797" t="s">
        <v>1564</v>
      </c>
      <c r="C752" s="797"/>
      <c r="D752" s="797"/>
      <c r="E752" s="797"/>
      <c r="F752" s="797"/>
      <c r="G752" s="797" t="s">
        <v>1565</v>
      </c>
      <c r="H752" s="797" t="s">
        <v>282</v>
      </c>
      <c r="I752" s="220" t="str">
        <f>IF(ISBLANK(regional!I365),"",regional!I365)</f>
        <v/>
      </c>
      <c r="K752" s="225" t="s">
        <v>4159</v>
      </c>
      <c r="O752" s="225" t="s">
        <v>4159</v>
      </c>
    </row>
    <row r="753" spans="1:15" ht="12.75" customHeight="1" x14ac:dyDescent="0.3">
      <c r="A753" s="797"/>
      <c r="B753" s="797"/>
      <c r="C753" s="797" t="s">
        <v>1566</v>
      </c>
      <c r="D753" s="797"/>
      <c r="E753" s="797"/>
      <c r="F753" s="797"/>
      <c r="G753" s="797" t="s">
        <v>1567</v>
      </c>
      <c r="H753" s="797" t="s">
        <v>857</v>
      </c>
      <c r="I753" s="220" t="str">
        <f>IF(ISBLANK(regional!I366),"",regional!I366)</f>
        <v/>
      </c>
      <c r="K753" s="225" t="s">
        <v>4159</v>
      </c>
      <c r="O753" s="225" t="s">
        <v>4159</v>
      </c>
    </row>
    <row r="754" spans="1:15" ht="12.75" customHeight="1" x14ac:dyDescent="0.3">
      <c r="A754" s="797"/>
      <c r="B754" s="797"/>
      <c r="C754" s="797" t="s">
        <v>1568</v>
      </c>
      <c r="D754" s="797"/>
      <c r="E754" s="797"/>
      <c r="F754" s="797"/>
      <c r="G754" s="797" t="s">
        <v>1569</v>
      </c>
      <c r="H754" s="797" t="s">
        <v>888</v>
      </c>
      <c r="I754" s="220" t="str">
        <f>IF(ISBLANK(regional!I367),"",regional!I367)</f>
        <v/>
      </c>
      <c r="K754" s="225" t="s">
        <v>4159</v>
      </c>
      <c r="O754" s="225" t="s">
        <v>4159</v>
      </c>
    </row>
    <row r="755" spans="1:15" ht="12.75" customHeight="1" x14ac:dyDescent="0.3">
      <c r="A755" s="841" t="s">
        <v>1571</v>
      </c>
      <c r="B755" s="841"/>
      <c r="C755" s="841"/>
      <c r="D755" s="841"/>
      <c r="E755" s="841"/>
      <c r="F755" s="841"/>
      <c r="G755" s="844" t="s">
        <v>1572</v>
      </c>
      <c r="H755" s="844" t="s">
        <v>335</v>
      </c>
      <c r="I755" s="220" t="str">
        <f>IF(ISBLANK(regional!I368),"",regional!I368)</f>
        <v/>
      </c>
      <c r="K755" s="225" t="s">
        <v>4159</v>
      </c>
      <c r="O755" s="225" t="s">
        <v>4159</v>
      </c>
    </row>
    <row r="756" spans="1:15" ht="12.75" customHeight="1" x14ac:dyDescent="0.3">
      <c r="A756" s="797"/>
      <c r="B756" s="797" t="s">
        <v>1574</v>
      </c>
      <c r="C756" s="797"/>
      <c r="D756" s="797"/>
      <c r="E756" s="797"/>
      <c r="F756" s="797"/>
      <c r="G756" s="796" t="s">
        <v>1575</v>
      </c>
      <c r="H756" s="796" t="s">
        <v>1576</v>
      </c>
      <c r="I756" s="220" t="str">
        <f>IF(ISBLANK(regional!I369),"",regional!I369)</f>
        <v/>
      </c>
      <c r="K756" s="225" t="s">
        <v>4159</v>
      </c>
      <c r="O756" s="225" t="s">
        <v>4159</v>
      </c>
    </row>
    <row r="757" spans="1:15" ht="12.75" customHeight="1" x14ac:dyDescent="0.3">
      <c r="A757" s="797"/>
      <c r="B757" s="797" t="s">
        <v>1577</v>
      </c>
      <c r="C757" s="797"/>
      <c r="D757" s="797"/>
      <c r="E757" s="797"/>
      <c r="F757" s="797"/>
      <c r="G757" s="796" t="s">
        <v>1578</v>
      </c>
      <c r="H757" s="796" t="s">
        <v>291</v>
      </c>
      <c r="I757" s="220" t="str">
        <f>IF(ISBLANK(regional!I370),"",regional!I370)</f>
        <v/>
      </c>
      <c r="K757" s="225" t="s">
        <v>4159</v>
      </c>
      <c r="O757" s="225" t="s">
        <v>4159</v>
      </c>
    </row>
    <row r="758" spans="1:15" ht="12.75" customHeight="1" x14ac:dyDescent="0.3">
      <c r="A758" s="797"/>
      <c r="B758" s="797" t="s">
        <v>1580</v>
      </c>
      <c r="C758" s="797"/>
      <c r="D758" s="797"/>
      <c r="E758" s="797"/>
      <c r="F758" s="797"/>
      <c r="G758" s="796" t="s">
        <v>1581</v>
      </c>
      <c r="H758" s="796" t="s">
        <v>866</v>
      </c>
      <c r="I758" s="220" t="str">
        <f>IF(ISBLANK(regional!I371),"",regional!I371)</f>
        <v/>
      </c>
      <c r="K758" s="225" t="s">
        <v>4159</v>
      </c>
      <c r="O758" s="225" t="s">
        <v>4159</v>
      </c>
    </row>
    <row r="759" spans="1:15" ht="12.75" customHeight="1" x14ac:dyDescent="0.3">
      <c r="A759" s="797"/>
      <c r="B759" s="797" t="s">
        <v>1582</v>
      </c>
      <c r="C759" s="797"/>
      <c r="D759" s="797"/>
      <c r="E759" s="797"/>
      <c r="F759" s="797"/>
      <c r="G759" s="796" t="s">
        <v>1583</v>
      </c>
      <c r="H759" s="796" t="s">
        <v>291</v>
      </c>
      <c r="I759" s="220" t="str">
        <f>IF(ISBLANK(regional!I372),"",regional!I372)</f>
        <v/>
      </c>
      <c r="K759" s="225" t="s">
        <v>4159</v>
      </c>
      <c r="O759" s="225" t="s">
        <v>4159</v>
      </c>
    </row>
    <row r="760" spans="1:15" ht="12.75" customHeight="1" x14ac:dyDescent="0.3">
      <c r="A760" s="797"/>
      <c r="B760" s="797"/>
      <c r="C760" s="797" t="s">
        <v>1584</v>
      </c>
      <c r="D760" s="797"/>
      <c r="E760" s="797"/>
      <c r="F760" s="797"/>
      <c r="G760" s="796" t="s">
        <v>1585</v>
      </c>
      <c r="H760" s="796" t="s">
        <v>291</v>
      </c>
      <c r="I760" s="220" t="str">
        <f>IF(ISBLANK(regional!I373),"",regional!I373)</f>
        <v/>
      </c>
      <c r="K760" s="225" t="s">
        <v>4159</v>
      </c>
      <c r="O760" s="225" t="s">
        <v>4159</v>
      </c>
    </row>
    <row r="761" spans="1:15" ht="12.75" customHeight="1" x14ac:dyDescent="0.3">
      <c r="A761" s="797"/>
      <c r="B761" s="797"/>
      <c r="C761" s="797" t="s">
        <v>1586</v>
      </c>
      <c r="D761" s="797"/>
      <c r="E761" s="797"/>
      <c r="F761" s="797"/>
      <c r="G761" s="796" t="s">
        <v>1587</v>
      </c>
      <c r="H761" s="796" t="s">
        <v>291</v>
      </c>
      <c r="I761" s="220" t="str">
        <f>IF(ISBLANK(regional!I374),"",regional!I374)</f>
        <v/>
      </c>
      <c r="K761" s="225" t="s">
        <v>4159</v>
      </c>
      <c r="O761" s="225" t="s">
        <v>4159</v>
      </c>
    </row>
    <row r="762" spans="1:15" ht="12.75" customHeight="1" x14ac:dyDescent="0.3">
      <c r="A762" s="797"/>
      <c r="B762" s="797"/>
      <c r="C762" s="797" t="s">
        <v>1588</v>
      </c>
      <c r="D762" s="797"/>
      <c r="E762" s="797"/>
      <c r="F762" s="797"/>
      <c r="G762" s="796" t="s">
        <v>1589</v>
      </c>
      <c r="H762" s="796" t="s">
        <v>291</v>
      </c>
      <c r="I762" s="220" t="str">
        <f>IF(ISBLANK(regional!I375),"",regional!I375)</f>
        <v/>
      </c>
      <c r="K762" s="225" t="s">
        <v>4159</v>
      </c>
      <c r="O762" s="225" t="s">
        <v>4159</v>
      </c>
    </row>
    <row r="763" spans="1:15" ht="12.75" customHeight="1" x14ac:dyDescent="0.3">
      <c r="A763" s="797"/>
      <c r="B763" s="797"/>
      <c r="C763" s="797" t="s">
        <v>1590</v>
      </c>
      <c r="D763" s="797"/>
      <c r="E763" s="797"/>
      <c r="F763" s="797"/>
      <c r="G763" s="796" t="s">
        <v>1591</v>
      </c>
      <c r="H763" s="796" t="s">
        <v>291</v>
      </c>
      <c r="I763" s="220" t="str">
        <f>IF(ISBLANK(regional!I376),"",regional!I376)</f>
        <v/>
      </c>
      <c r="K763" s="225" t="s">
        <v>4159</v>
      </c>
      <c r="O763" s="225" t="s">
        <v>4159</v>
      </c>
    </row>
    <row r="764" spans="1:15" ht="12.75" customHeight="1" x14ac:dyDescent="0.3">
      <c r="A764" s="797" t="s">
        <v>1592</v>
      </c>
      <c r="B764" s="797"/>
      <c r="C764" s="797"/>
      <c r="D764" s="797"/>
      <c r="E764" s="797"/>
      <c r="F764" s="797"/>
      <c r="G764" s="796" t="s">
        <v>1593</v>
      </c>
      <c r="H764" s="796" t="s">
        <v>335</v>
      </c>
      <c r="I764" s="220" t="str">
        <f>IF(ISBLANK(regional!I377),"",regional!I377)</f>
        <v/>
      </c>
      <c r="K764" s="225" t="s">
        <v>4159</v>
      </c>
      <c r="O764" s="225" t="s">
        <v>4159</v>
      </c>
    </row>
    <row r="765" spans="1:15" ht="12.75" customHeight="1" x14ac:dyDescent="0.3">
      <c r="A765" s="797"/>
      <c r="B765" s="797" t="s">
        <v>1594</v>
      </c>
      <c r="C765" s="797"/>
      <c r="D765" s="797"/>
      <c r="E765" s="797"/>
      <c r="F765" s="797"/>
      <c r="G765" s="796" t="s">
        <v>1595</v>
      </c>
      <c r="H765" s="796" t="s">
        <v>291</v>
      </c>
      <c r="I765" s="220" t="str">
        <f>IF(ISBLANK(regional!I378),"",regional!I378)</f>
        <v/>
      </c>
      <c r="K765" s="225" t="s">
        <v>4159</v>
      </c>
      <c r="O765" s="225" t="s">
        <v>4159</v>
      </c>
    </row>
    <row r="766" spans="1:15" ht="12.75" customHeight="1" x14ac:dyDescent="0.3">
      <c r="A766" s="797"/>
      <c r="B766" s="797" t="s">
        <v>1596</v>
      </c>
      <c r="C766" s="797"/>
      <c r="D766" s="797"/>
      <c r="E766" s="797"/>
      <c r="F766" s="797"/>
      <c r="G766" s="796" t="s">
        <v>1597</v>
      </c>
      <c r="H766" s="796"/>
      <c r="I766" s="220" t="str">
        <f>IF(ISBLANK(regional!I379),"",regional!I379)</f>
        <v/>
      </c>
      <c r="K766" s="225" t="s">
        <v>4159</v>
      </c>
      <c r="O766" s="225" t="s">
        <v>4159</v>
      </c>
    </row>
    <row r="767" spans="1:15" ht="12.75" customHeight="1" x14ac:dyDescent="0.3">
      <c r="A767" s="797"/>
      <c r="B767" s="797" t="s">
        <v>1574</v>
      </c>
      <c r="C767" s="797"/>
      <c r="D767" s="797"/>
      <c r="E767" s="797"/>
      <c r="F767" s="797"/>
      <c r="G767" s="796" t="s">
        <v>1598</v>
      </c>
      <c r="H767" s="796" t="s">
        <v>1576</v>
      </c>
      <c r="I767" s="220" t="str">
        <f>IF(ISBLANK(regional!I380),"",regional!I380)</f>
        <v/>
      </c>
      <c r="K767" s="225" t="s">
        <v>4159</v>
      </c>
      <c r="O767" s="225" t="s">
        <v>4159</v>
      </c>
    </row>
    <row r="768" spans="1:15" ht="12.75" customHeight="1" x14ac:dyDescent="0.3">
      <c r="A768" s="797"/>
      <c r="B768" s="797" t="s">
        <v>1599</v>
      </c>
      <c r="C768" s="797"/>
      <c r="D768" s="797"/>
      <c r="E768" s="797"/>
      <c r="F768" s="797"/>
      <c r="G768" s="796" t="s">
        <v>1600</v>
      </c>
      <c r="H768" s="796" t="s">
        <v>291</v>
      </c>
      <c r="I768" s="220" t="str">
        <f>IF(ISBLANK(regional!I381),"",regional!I381)</f>
        <v/>
      </c>
      <c r="K768" s="225" t="s">
        <v>4159</v>
      </c>
      <c r="O768" s="225" t="s">
        <v>4159</v>
      </c>
    </row>
    <row r="769" spans="1:15" ht="12.75" customHeight="1" x14ac:dyDescent="0.3">
      <c r="A769" s="797"/>
      <c r="B769" s="797" t="s">
        <v>1580</v>
      </c>
      <c r="C769" s="797"/>
      <c r="D769" s="797"/>
      <c r="E769" s="797"/>
      <c r="F769" s="797"/>
      <c r="G769" s="796" t="s">
        <v>1601</v>
      </c>
      <c r="H769" s="796" t="s">
        <v>866</v>
      </c>
      <c r="I769" s="220" t="str">
        <f>IF(ISBLANK(regional!I382),"",regional!I382)</f>
        <v/>
      </c>
      <c r="K769" s="225" t="s">
        <v>4159</v>
      </c>
      <c r="O769" s="225" t="s">
        <v>4159</v>
      </c>
    </row>
    <row r="770" spans="1:15" ht="12.75" customHeight="1" x14ac:dyDescent="0.3">
      <c r="A770" s="797"/>
      <c r="B770" s="797" t="s">
        <v>1582</v>
      </c>
      <c r="C770" s="797"/>
      <c r="D770" s="797"/>
      <c r="E770" s="797"/>
      <c r="F770" s="797"/>
      <c r="G770" s="796" t="s">
        <v>1602</v>
      </c>
      <c r="H770" s="796" t="s">
        <v>291</v>
      </c>
      <c r="I770" s="220" t="str">
        <f>IF(ISBLANK(regional!I383),"",regional!I383)</f>
        <v/>
      </c>
      <c r="K770" s="225" t="s">
        <v>4159</v>
      </c>
      <c r="O770" s="225" t="s">
        <v>4159</v>
      </c>
    </row>
    <row r="771" spans="1:15" ht="12.75" customHeight="1" x14ac:dyDescent="0.3">
      <c r="A771" s="797"/>
      <c r="B771" s="797"/>
      <c r="C771" s="797" t="s">
        <v>1584</v>
      </c>
      <c r="D771" s="797"/>
      <c r="E771" s="797"/>
      <c r="F771" s="797"/>
      <c r="G771" s="796" t="s">
        <v>1603</v>
      </c>
      <c r="H771" s="796" t="s">
        <v>291</v>
      </c>
      <c r="I771" s="220" t="str">
        <f>IF(ISBLANK(regional!I384),"",regional!I384)</f>
        <v/>
      </c>
      <c r="K771" s="225" t="s">
        <v>4159</v>
      </c>
      <c r="O771" s="225" t="s">
        <v>4159</v>
      </c>
    </row>
    <row r="772" spans="1:15" ht="12.75" customHeight="1" x14ac:dyDescent="0.3">
      <c r="A772" s="797"/>
      <c r="B772" s="797"/>
      <c r="C772" s="797" t="s">
        <v>1586</v>
      </c>
      <c r="D772" s="797"/>
      <c r="E772" s="797"/>
      <c r="F772" s="797"/>
      <c r="G772" s="796" t="s">
        <v>1604</v>
      </c>
      <c r="H772" s="796" t="s">
        <v>291</v>
      </c>
      <c r="I772" s="220" t="str">
        <f>IF(ISBLANK(regional!I385),"",regional!I385)</f>
        <v/>
      </c>
      <c r="K772" s="225" t="s">
        <v>4159</v>
      </c>
      <c r="O772" s="225" t="s">
        <v>4159</v>
      </c>
    </row>
    <row r="773" spans="1:15" ht="12.75" customHeight="1" x14ac:dyDescent="0.3">
      <c r="A773" s="797"/>
      <c r="B773" s="797"/>
      <c r="C773" s="797" t="s">
        <v>1588</v>
      </c>
      <c r="D773" s="797"/>
      <c r="E773" s="797"/>
      <c r="F773" s="797"/>
      <c r="G773" s="796" t="s">
        <v>1605</v>
      </c>
      <c r="H773" s="796" t="s">
        <v>291</v>
      </c>
      <c r="I773" s="220" t="str">
        <f>IF(ISBLANK(regional!I386),"",regional!I386)</f>
        <v/>
      </c>
      <c r="K773" s="225" t="s">
        <v>4159</v>
      </c>
      <c r="O773" s="225" t="s">
        <v>4159</v>
      </c>
    </row>
    <row r="774" spans="1:15" ht="12.75" customHeight="1" x14ac:dyDescent="0.3">
      <c r="A774" s="797"/>
      <c r="B774" s="797"/>
      <c r="C774" s="797" t="s">
        <v>1590</v>
      </c>
      <c r="D774" s="797"/>
      <c r="E774" s="797"/>
      <c r="F774" s="797"/>
      <c r="G774" s="796" t="s">
        <v>1606</v>
      </c>
      <c r="H774" s="796" t="s">
        <v>291</v>
      </c>
      <c r="I774" s="220" t="str">
        <f>IF(ISBLANK(regional!I387),"",regional!I387)</f>
        <v/>
      </c>
      <c r="K774" s="225" t="s">
        <v>4159</v>
      </c>
      <c r="O774" s="225" t="s">
        <v>4159</v>
      </c>
    </row>
    <row r="775" spans="1:15" ht="12.75" customHeight="1" x14ac:dyDescent="0.3">
      <c r="A775" s="797" t="s">
        <v>1607</v>
      </c>
      <c r="B775" s="797"/>
      <c r="C775" s="797"/>
      <c r="D775" s="797"/>
      <c r="E775" s="797"/>
      <c r="F775" s="797"/>
      <c r="G775" s="796" t="s">
        <v>1608</v>
      </c>
      <c r="H775" s="796" t="s">
        <v>335</v>
      </c>
      <c r="I775" s="220" t="str">
        <f>IF(ISBLANK(regional!I388),"",regional!I388)</f>
        <v/>
      </c>
      <c r="K775" s="225" t="s">
        <v>4159</v>
      </c>
      <c r="O775" s="225" t="s">
        <v>4159</v>
      </c>
    </row>
    <row r="776" spans="1:15" ht="12.75" customHeight="1" x14ac:dyDescent="0.3">
      <c r="A776" s="841" t="s">
        <v>1610</v>
      </c>
      <c r="B776" s="841"/>
      <c r="C776" s="841"/>
      <c r="D776" s="841"/>
      <c r="E776" s="841"/>
      <c r="F776" s="841"/>
      <c r="G776" s="844" t="s">
        <v>1611</v>
      </c>
      <c r="H776" s="844" t="s">
        <v>335</v>
      </c>
      <c r="I776" s="220" t="str">
        <f>IF(ISBLANK(regional!I389),"",regional!I389)</f>
        <v/>
      </c>
      <c r="K776" s="225" t="s">
        <v>4159</v>
      </c>
      <c r="L776" s="225">
        <v>0</v>
      </c>
      <c r="O776" s="225" t="s">
        <v>4159</v>
      </c>
    </row>
    <row r="777" spans="1:15" ht="12.75" customHeight="1" x14ac:dyDescent="0.3">
      <c r="A777" s="797"/>
      <c r="B777" s="797" t="s">
        <v>1612</v>
      </c>
      <c r="C777" s="797"/>
      <c r="D777" s="797"/>
      <c r="E777" s="797"/>
      <c r="F777" s="797"/>
      <c r="G777" s="796" t="s">
        <v>1613</v>
      </c>
      <c r="H777" s="796" t="s">
        <v>866</v>
      </c>
      <c r="I777" s="220" t="str">
        <f>IF(ISBLANK(regional!I390),"",regional!I390)</f>
        <v/>
      </c>
      <c r="K777" s="225" t="s">
        <v>4159</v>
      </c>
      <c r="O777" s="225" t="s">
        <v>4159</v>
      </c>
    </row>
    <row r="778" spans="1:15" ht="12.75" customHeight="1" x14ac:dyDescent="0.3">
      <c r="A778" s="797"/>
      <c r="B778" s="797" t="s">
        <v>1614</v>
      </c>
      <c r="C778" s="797"/>
      <c r="D778" s="797"/>
      <c r="E778" s="797"/>
      <c r="F778" s="797"/>
      <c r="G778" s="796" t="s">
        <v>1615</v>
      </c>
      <c r="H778" s="796" t="s">
        <v>1616</v>
      </c>
      <c r="I778" s="220" t="str">
        <f>IF(ISBLANK(regional!I391),"",regional!I391)</f>
        <v/>
      </c>
      <c r="K778" s="225" t="s">
        <v>4159</v>
      </c>
      <c r="O778" s="225" t="s">
        <v>4159</v>
      </c>
    </row>
    <row r="779" spans="1:15" ht="12.75" customHeight="1" x14ac:dyDescent="0.3">
      <c r="A779" s="797"/>
      <c r="B779" s="797" t="s">
        <v>1619</v>
      </c>
      <c r="C779" s="797"/>
      <c r="D779" s="797"/>
      <c r="E779" s="797"/>
      <c r="F779" s="797"/>
      <c r="G779" s="796" t="s">
        <v>1620</v>
      </c>
      <c r="H779" s="796" t="s">
        <v>1616</v>
      </c>
      <c r="I779" s="220" t="str">
        <f>IF(ISBLANK(regional!I392),"",regional!I392)</f>
        <v/>
      </c>
      <c r="K779" s="225" t="s">
        <v>4159</v>
      </c>
      <c r="O779" s="225" t="s">
        <v>4159</v>
      </c>
    </row>
    <row r="780" spans="1:15" ht="12.75" customHeight="1" x14ac:dyDescent="0.3">
      <c r="A780" s="797"/>
      <c r="B780" s="797"/>
      <c r="C780" s="797" t="s">
        <v>1622</v>
      </c>
      <c r="D780" s="797"/>
      <c r="E780" s="797"/>
      <c r="F780" s="797"/>
      <c r="G780" s="796" t="s">
        <v>1623</v>
      </c>
      <c r="H780" s="796" t="s">
        <v>866</v>
      </c>
      <c r="I780" s="220" t="str">
        <f>IF(ISBLANK(regional!I393),"",regional!I393)</f>
        <v/>
      </c>
      <c r="K780" s="225" t="s">
        <v>4159</v>
      </c>
      <c r="O780" s="225" t="s">
        <v>4159</v>
      </c>
    </row>
    <row r="781" spans="1:15" ht="12.75" customHeight="1" x14ac:dyDescent="0.3">
      <c r="A781" s="797"/>
      <c r="B781" s="797"/>
      <c r="C781" s="797" t="s">
        <v>1584</v>
      </c>
      <c r="D781" s="797"/>
      <c r="E781" s="797"/>
      <c r="F781" s="797"/>
      <c r="G781" s="796" t="s">
        <v>1626</v>
      </c>
      <c r="H781" s="796" t="s">
        <v>291</v>
      </c>
      <c r="I781" s="220" t="str">
        <f>IF(ISBLANK(regional!I394),"",regional!I394)</f>
        <v/>
      </c>
      <c r="K781" s="225" t="s">
        <v>4159</v>
      </c>
      <c r="O781" s="225" t="s">
        <v>4159</v>
      </c>
    </row>
    <row r="782" spans="1:15" ht="12.75" customHeight="1" x14ac:dyDescent="0.3">
      <c r="A782" s="797"/>
      <c r="B782" s="797"/>
      <c r="C782" s="797" t="s">
        <v>1586</v>
      </c>
      <c r="D782" s="797"/>
      <c r="E782" s="797"/>
      <c r="F782" s="797"/>
      <c r="G782" s="796" t="s">
        <v>1628</v>
      </c>
      <c r="H782" s="796" t="s">
        <v>291</v>
      </c>
      <c r="I782" s="220" t="str">
        <f>IF(ISBLANK(regional!I395),"",regional!I395)</f>
        <v/>
      </c>
      <c r="J782" s="460"/>
      <c r="K782" s="225" t="s">
        <v>4159</v>
      </c>
      <c r="O782" s="225" t="s">
        <v>4159</v>
      </c>
    </row>
    <row r="783" spans="1:15" ht="12.75" customHeight="1" x14ac:dyDescent="0.3">
      <c r="A783" s="797"/>
      <c r="B783" s="797"/>
      <c r="C783" s="797"/>
      <c r="D783" s="797" t="s">
        <v>1629</v>
      </c>
      <c r="E783" s="797"/>
      <c r="F783" s="797"/>
      <c r="G783" s="796" t="s">
        <v>1630</v>
      </c>
      <c r="H783" s="796" t="s">
        <v>813</v>
      </c>
      <c r="I783" s="220" t="str">
        <f>IF(ISBLANK(regional!I396),"",regional!I396)</f>
        <v/>
      </c>
      <c r="J783" s="211"/>
      <c r="K783" s="225" t="s">
        <v>4159</v>
      </c>
      <c r="O783" s="225" t="s">
        <v>4159</v>
      </c>
    </row>
    <row r="784" spans="1:15" ht="12.75" customHeight="1" x14ac:dyDescent="0.3">
      <c r="A784" s="797"/>
      <c r="B784" s="797"/>
      <c r="C784" s="797"/>
      <c r="D784" s="797" t="s">
        <v>1631</v>
      </c>
      <c r="E784" s="797"/>
      <c r="F784" s="797"/>
      <c r="G784" s="796" t="s">
        <v>1632</v>
      </c>
      <c r="H784" s="796" t="s">
        <v>813</v>
      </c>
      <c r="I784" s="220" t="str">
        <f>IF(ISBLANK(regional!I397),"",regional!I397)</f>
        <v/>
      </c>
      <c r="J784" s="211"/>
      <c r="K784" s="225" t="s">
        <v>4159</v>
      </c>
      <c r="O784" s="225" t="s">
        <v>4159</v>
      </c>
    </row>
    <row r="785" spans="1:15" ht="12.75" customHeight="1" x14ac:dyDescent="0.3">
      <c r="A785" s="797"/>
      <c r="B785" s="797"/>
      <c r="C785" s="797"/>
      <c r="D785" s="797" t="s">
        <v>1633</v>
      </c>
      <c r="E785" s="797"/>
      <c r="F785" s="797"/>
      <c r="G785" s="796" t="s">
        <v>1634</v>
      </c>
      <c r="H785" s="796" t="s">
        <v>291</v>
      </c>
      <c r="I785" s="220" t="str">
        <f>IF(ISBLANK(regional!I398),"",regional!I398)</f>
        <v/>
      </c>
      <c r="J785" s="211"/>
      <c r="K785" s="225" t="s">
        <v>4159</v>
      </c>
      <c r="O785" s="225" t="s">
        <v>4159</v>
      </c>
    </row>
    <row r="786" spans="1:15" ht="12.75" customHeight="1" x14ac:dyDescent="0.3">
      <c r="A786" s="797"/>
      <c r="B786" s="797"/>
      <c r="C786" s="797" t="s">
        <v>1588</v>
      </c>
      <c r="D786" s="797"/>
      <c r="E786" s="797"/>
      <c r="F786" s="797"/>
      <c r="G786" s="796" t="s">
        <v>1636</v>
      </c>
      <c r="H786" s="796" t="s">
        <v>291</v>
      </c>
      <c r="I786" s="220" t="str">
        <f>IF(ISBLANK(regional!I399),"",regional!I399)</f>
        <v/>
      </c>
      <c r="J786" s="353"/>
      <c r="K786" s="225" t="s">
        <v>4159</v>
      </c>
      <c r="O786" s="225" t="s">
        <v>4159</v>
      </c>
    </row>
    <row r="787" spans="1:15" ht="12.75" customHeight="1" x14ac:dyDescent="0.3">
      <c r="A787" s="797" t="s">
        <v>1637</v>
      </c>
      <c r="B787" s="797"/>
      <c r="C787" s="797"/>
      <c r="D787" s="797"/>
      <c r="E787" s="797"/>
      <c r="F787" s="797"/>
      <c r="G787" s="796" t="s">
        <v>1638</v>
      </c>
      <c r="H787" s="796" t="s">
        <v>335</v>
      </c>
      <c r="I787" s="220" t="str">
        <f>IF(ISBLANK(regional!I400),"",regional!I400)</f>
        <v/>
      </c>
      <c r="J787" s="211"/>
      <c r="K787" s="225">
        <v>0</v>
      </c>
      <c r="L787" s="225">
        <v>0</v>
      </c>
      <c r="O787" s="225" t="s">
        <v>4159</v>
      </c>
    </row>
    <row r="788" spans="1:15" ht="12.75" customHeight="1" x14ac:dyDescent="0.3">
      <c r="A788" s="797"/>
      <c r="B788" s="797" t="s">
        <v>1612</v>
      </c>
      <c r="C788" s="797"/>
      <c r="D788" s="797"/>
      <c r="E788" s="797"/>
      <c r="F788" s="797"/>
      <c r="G788" s="796" t="s">
        <v>1639</v>
      </c>
      <c r="H788" s="796" t="s">
        <v>866</v>
      </c>
      <c r="I788" s="220" t="str">
        <f>IF(ISBLANK(regional!I401),"",regional!I401)</f>
        <v/>
      </c>
      <c r="K788" s="225" t="s">
        <v>4159</v>
      </c>
      <c r="O788" s="225" t="s">
        <v>4159</v>
      </c>
    </row>
    <row r="789" spans="1:15" ht="12.75" customHeight="1" x14ac:dyDescent="0.3">
      <c r="A789" s="797"/>
      <c r="B789" s="797" t="s">
        <v>1614</v>
      </c>
      <c r="C789" s="797"/>
      <c r="D789" s="797"/>
      <c r="E789" s="797"/>
      <c r="F789" s="797"/>
      <c r="G789" s="796" t="s">
        <v>1640</v>
      </c>
      <c r="H789" s="796" t="s">
        <v>1616</v>
      </c>
      <c r="I789" s="220" t="str">
        <f>IF(ISBLANK(regional!I402),"",regional!I402)</f>
        <v/>
      </c>
      <c r="K789" s="225" t="s">
        <v>4159</v>
      </c>
      <c r="O789" s="225" t="s">
        <v>4159</v>
      </c>
    </row>
    <row r="790" spans="1:15" ht="12.75" customHeight="1" x14ac:dyDescent="0.3">
      <c r="A790" s="797"/>
      <c r="B790" s="797" t="s">
        <v>1619</v>
      </c>
      <c r="C790" s="797"/>
      <c r="D790" s="797"/>
      <c r="E790" s="797"/>
      <c r="F790" s="797"/>
      <c r="G790" s="796" t="s">
        <v>1641</v>
      </c>
      <c r="H790" s="796" t="s">
        <v>1616</v>
      </c>
      <c r="I790" s="220" t="str">
        <f>IF(ISBLANK(regional!I403),"",regional!I403)</f>
        <v/>
      </c>
      <c r="K790" s="225" t="s">
        <v>4159</v>
      </c>
      <c r="O790" s="225" t="s">
        <v>4159</v>
      </c>
    </row>
    <row r="791" spans="1:15" ht="12.75" customHeight="1" x14ac:dyDescent="0.3">
      <c r="A791" s="797"/>
      <c r="B791" s="797"/>
      <c r="C791" s="797" t="s">
        <v>1622</v>
      </c>
      <c r="D791" s="797"/>
      <c r="E791" s="797"/>
      <c r="F791" s="797"/>
      <c r="G791" s="796" t="s">
        <v>1642</v>
      </c>
      <c r="H791" s="796" t="s">
        <v>866</v>
      </c>
      <c r="I791" s="220" t="str">
        <f>IF(ISBLANK(regional!I404),"",regional!I404)</f>
        <v/>
      </c>
      <c r="K791" s="225" t="s">
        <v>4159</v>
      </c>
      <c r="O791" s="225" t="s">
        <v>4159</v>
      </c>
    </row>
    <row r="792" spans="1:15" ht="12.75" customHeight="1" x14ac:dyDescent="0.3">
      <c r="A792" s="797"/>
      <c r="B792" s="797"/>
      <c r="C792" s="797" t="s">
        <v>1584</v>
      </c>
      <c r="D792" s="797"/>
      <c r="E792" s="797"/>
      <c r="F792" s="797"/>
      <c r="G792" s="796" t="s">
        <v>1643</v>
      </c>
      <c r="H792" s="796" t="s">
        <v>291</v>
      </c>
      <c r="I792" s="220" t="str">
        <f>IF(ISBLANK(regional!I405),"",regional!I405)</f>
        <v/>
      </c>
      <c r="K792" s="225" t="s">
        <v>4159</v>
      </c>
      <c r="O792" s="225" t="s">
        <v>4159</v>
      </c>
    </row>
    <row r="793" spans="1:15" ht="12.75" customHeight="1" x14ac:dyDescent="0.3">
      <c r="A793" s="797"/>
      <c r="B793" s="797"/>
      <c r="C793" s="797" t="s">
        <v>1586</v>
      </c>
      <c r="D793" s="797"/>
      <c r="E793" s="797"/>
      <c r="F793" s="797"/>
      <c r="G793" s="796" t="s">
        <v>1644</v>
      </c>
      <c r="H793" s="796" t="s">
        <v>291</v>
      </c>
      <c r="I793" s="220" t="str">
        <f>IF(ISBLANK(regional!I406),"",regional!I406)</f>
        <v/>
      </c>
      <c r="K793" s="225" t="s">
        <v>4159</v>
      </c>
      <c r="O793" s="225" t="s">
        <v>4159</v>
      </c>
    </row>
    <row r="794" spans="1:15" ht="12.75" customHeight="1" x14ac:dyDescent="0.3">
      <c r="A794" s="797"/>
      <c r="B794" s="797"/>
      <c r="C794" s="797"/>
      <c r="D794" s="797" t="s">
        <v>1629</v>
      </c>
      <c r="E794" s="797"/>
      <c r="F794" s="797"/>
      <c r="G794" s="796" t="s">
        <v>1645</v>
      </c>
      <c r="H794" s="796" t="s">
        <v>813</v>
      </c>
      <c r="I794" s="220" t="str">
        <f>IF(ISBLANK(regional!I407),"",regional!I407)</f>
        <v/>
      </c>
      <c r="K794" s="225" t="s">
        <v>4159</v>
      </c>
      <c r="O794" s="225" t="s">
        <v>4159</v>
      </c>
    </row>
    <row r="795" spans="1:15" ht="12.75" customHeight="1" x14ac:dyDescent="0.3">
      <c r="A795" s="797"/>
      <c r="B795" s="797"/>
      <c r="C795" s="797"/>
      <c r="D795" s="797" t="s">
        <v>1631</v>
      </c>
      <c r="E795" s="797"/>
      <c r="F795" s="797"/>
      <c r="G795" s="796" t="s">
        <v>1646</v>
      </c>
      <c r="H795" s="796" t="s">
        <v>813</v>
      </c>
      <c r="I795" s="220" t="str">
        <f>IF(ISBLANK(regional!I408),"",regional!I408)</f>
        <v/>
      </c>
      <c r="K795" s="225" t="s">
        <v>4159</v>
      </c>
      <c r="O795" s="225" t="s">
        <v>4159</v>
      </c>
    </row>
    <row r="796" spans="1:15" ht="12.75" customHeight="1" x14ac:dyDescent="0.3">
      <c r="A796" s="797"/>
      <c r="B796" s="797"/>
      <c r="C796" s="797"/>
      <c r="D796" s="797" t="s">
        <v>1633</v>
      </c>
      <c r="E796" s="797"/>
      <c r="F796" s="797"/>
      <c r="G796" s="796" t="s">
        <v>1647</v>
      </c>
      <c r="H796" s="796" t="s">
        <v>291</v>
      </c>
      <c r="I796" s="220" t="str">
        <f>IF(ISBLANK(regional!I409),"",regional!I409)</f>
        <v/>
      </c>
      <c r="K796" s="225" t="s">
        <v>4159</v>
      </c>
      <c r="O796" s="225" t="s">
        <v>4159</v>
      </c>
    </row>
    <row r="797" spans="1:15" ht="12.75" customHeight="1" x14ac:dyDescent="0.3">
      <c r="A797" s="797"/>
      <c r="B797" s="797"/>
      <c r="C797" s="797" t="s">
        <v>1588</v>
      </c>
      <c r="D797" s="797"/>
      <c r="E797" s="797"/>
      <c r="F797" s="797"/>
      <c r="G797" s="796" t="s">
        <v>1648</v>
      </c>
      <c r="H797" s="796" t="s">
        <v>291</v>
      </c>
      <c r="I797" s="220" t="str">
        <f>IF(ISBLANK(regional!I410),"",regional!I410)</f>
        <v/>
      </c>
      <c r="K797" s="225" t="s">
        <v>4159</v>
      </c>
      <c r="O797" s="225" t="s">
        <v>4159</v>
      </c>
    </row>
    <row r="798" spans="1:15" ht="12.75" customHeight="1" x14ac:dyDescent="0.3">
      <c r="A798" s="797" t="s">
        <v>1649</v>
      </c>
      <c r="B798" s="797"/>
      <c r="C798" s="797"/>
      <c r="D798" s="797"/>
      <c r="E798" s="797"/>
      <c r="F798" s="797"/>
      <c r="G798" s="796" t="s">
        <v>1650</v>
      </c>
      <c r="H798" s="796" t="s">
        <v>335</v>
      </c>
      <c r="I798" s="220" t="str">
        <f>IF(ISBLANK(regional!I411),"",regional!I411)</f>
        <v/>
      </c>
      <c r="K798" s="225">
        <v>0</v>
      </c>
      <c r="L798" s="225">
        <v>0</v>
      </c>
      <c r="O798" s="225" t="s">
        <v>4159</v>
      </c>
    </row>
    <row r="799" spans="1:15" ht="12.75" customHeight="1" x14ac:dyDescent="0.3">
      <c r="A799" s="797"/>
      <c r="B799" s="797" t="s">
        <v>1612</v>
      </c>
      <c r="C799" s="797"/>
      <c r="D799" s="797"/>
      <c r="E799" s="797"/>
      <c r="F799" s="797"/>
      <c r="G799" s="796" t="s">
        <v>1651</v>
      </c>
      <c r="H799" s="796" t="s">
        <v>866</v>
      </c>
      <c r="I799" s="220" t="str">
        <f>IF(ISBLANK(regional!I412),"",regional!I412)</f>
        <v/>
      </c>
      <c r="K799" s="225" t="s">
        <v>4159</v>
      </c>
      <c r="O799" s="225" t="s">
        <v>4159</v>
      </c>
    </row>
    <row r="800" spans="1:15" ht="12.75" customHeight="1" x14ac:dyDescent="0.3">
      <c r="A800" s="797"/>
      <c r="B800" s="797" t="s">
        <v>1614</v>
      </c>
      <c r="C800" s="797"/>
      <c r="D800" s="797"/>
      <c r="E800" s="797"/>
      <c r="F800" s="797"/>
      <c r="G800" s="796" t="s">
        <v>1652</v>
      </c>
      <c r="H800" s="796" t="s">
        <v>1616</v>
      </c>
      <c r="I800" s="220" t="str">
        <f>IF(ISBLANK(regional!I413),"",regional!I413)</f>
        <v/>
      </c>
      <c r="K800" s="225" t="s">
        <v>4159</v>
      </c>
      <c r="O800" s="225" t="s">
        <v>4159</v>
      </c>
    </row>
    <row r="801" spans="1:15" ht="12.75" customHeight="1" x14ac:dyDescent="0.3">
      <c r="A801" s="797"/>
      <c r="B801" s="797" t="s">
        <v>1619</v>
      </c>
      <c r="C801" s="797"/>
      <c r="D801" s="797"/>
      <c r="E801" s="797"/>
      <c r="F801" s="797"/>
      <c r="G801" s="796" t="s">
        <v>1653</v>
      </c>
      <c r="H801" s="796" t="s">
        <v>1616</v>
      </c>
      <c r="I801" s="220" t="str">
        <f>IF(ISBLANK(regional!I414),"",regional!I414)</f>
        <v/>
      </c>
      <c r="K801" s="225" t="s">
        <v>4159</v>
      </c>
      <c r="O801" s="225" t="s">
        <v>4159</v>
      </c>
    </row>
    <row r="802" spans="1:15" ht="12.75" customHeight="1" x14ac:dyDescent="0.3">
      <c r="A802" s="797"/>
      <c r="B802" s="797"/>
      <c r="C802" s="797" t="s">
        <v>1622</v>
      </c>
      <c r="D802" s="797"/>
      <c r="E802" s="797"/>
      <c r="F802" s="797"/>
      <c r="G802" s="796" t="s">
        <v>1654</v>
      </c>
      <c r="H802" s="796" t="s">
        <v>866</v>
      </c>
      <c r="I802" s="220" t="str">
        <f>IF(ISBLANK(regional!I415),"",regional!I415)</f>
        <v/>
      </c>
      <c r="K802" s="225" t="s">
        <v>4159</v>
      </c>
      <c r="O802" s="225" t="s">
        <v>4159</v>
      </c>
    </row>
    <row r="803" spans="1:15" ht="12.75" customHeight="1" x14ac:dyDescent="0.3">
      <c r="A803" s="797"/>
      <c r="B803" s="797"/>
      <c r="C803" s="797" t="s">
        <v>1584</v>
      </c>
      <c r="D803" s="797"/>
      <c r="E803" s="797"/>
      <c r="F803" s="797"/>
      <c r="G803" s="796" t="s">
        <v>1655</v>
      </c>
      <c r="H803" s="796" t="s">
        <v>291</v>
      </c>
      <c r="I803" s="220" t="str">
        <f>IF(ISBLANK(regional!I416),"",regional!I416)</f>
        <v/>
      </c>
      <c r="K803" s="225" t="s">
        <v>4159</v>
      </c>
      <c r="O803" s="225" t="s">
        <v>4159</v>
      </c>
    </row>
    <row r="804" spans="1:15" ht="12.75" customHeight="1" x14ac:dyDescent="0.3">
      <c r="A804" s="797"/>
      <c r="B804" s="797"/>
      <c r="C804" s="797" t="s">
        <v>1586</v>
      </c>
      <c r="D804" s="797"/>
      <c r="E804" s="797"/>
      <c r="F804" s="797"/>
      <c r="G804" s="796" t="s">
        <v>1656</v>
      </c>
      <c r="H804" s="796" t="s">
        <v>291</v>
      </c>
      <c r="I804" s="220" t="str">
        <f>IF(ISBLANK(regional!I417),"",regional!I417)</f>
        <v/>
      </c>
      <c r="K804" s="225" t="s">
        <v>4159</v>
      </c>
      <c r="O804" s="225" t="s">
        <v>4159</v>
      </c>
    </row>
    <row r="805" spans="1:15" ht="12.75" customHeight="1" x14ac:dyDescent="0.3">
      <c r="A805" s="797"/>
      <c r="B805" s="797"/>
      <c r="C805" s="797"/>
      <c r="D805" s="797" t="s">
        <v>1629</v>
      </c>
      <c r="E805" s="797"/>
      <c r="F805" s="797"/>
      <c r="G805" s="796" t="s">
        <v>1657</v>
      </c>
      <c r="H805" s="796" t="s">
        <v>813</v>
      </c>
      <c r="I805" s="220" t="str">
        <f>IF(ISBLANK(regional!I418),"",regional!I418)</f>
        <v/>
      </c>
      <c r="K805" s="225" t="s">
        <v>4159</v>
      </c>
      <c r="O805" s="225" t="s">
        <v>4159</v>
      </c>
    </row>
    <row r="806" spans="1:15" ht="12.75" customHeight="1" x14ac:dyDescent="0.3">
      <c r="A806" s="797"/>
      <c r="B806" s="797"/>
      <c r="C806" s="797"/>
      <c r="D806" s="797" t="s">
        <v>1631</v>
      </c>
      <c r="E806" s="797"/>
      <c r="F806" s="797"/>
      <c r="G806" s="796" t="s">
        <v>1658</v>
      </c>
      <c r="H806" s="796" t="s">
        <v>813</v>
      </c>
      <c r="I806" s="220" t="str">
        <f>IF(ISBLANK(regional!I419),"",regional!I419)</f>
        <v/>
      </c>
      <c r="K806" s="225" t="s">
        <v>4159</v>
      </c>
      <c r="O806" s="225" t="s">
        <v>4159</v>
      </c>
    </row>
    <row r="807" spans="1:15" ht="12.75" customHeight="1" x14ac:dyDescent="0.3">
      <c r="A807" s="797"/>
      <c r="B807" s="797"/>
      <c r="C807" s="797"/>
      <c r="D807" s="797" t="s">
        <v>1633</v>
      </c>
      <c r="E807" s="797"/>
      <c r="F807" s="797"/>
      <c r="G807" s="796" t="s">
        <v>1659</v>
      </c>
      <c r="H807" s="796" t="s">
        <v>291</v>
      </c>
      <c r="I807" s="220" t="str">
        <f>IF(ISBLANK(regional!I420),"",regional!I420)</f>
        <v/>
      </c>
      <c r="K807" s="225" t="s">
        <v>4159</v>
      </c>
      <c r="O807" s="225" t="s">
        <v>4159</v>
      </c>
    </row>
    <row r="808" spans="1:15" ht="12.75" customHeight="1" x14ac:dyDescent="0.3">
      <c r="A808" s="797"/>
      <c r="B808" s="797"/>
      <c r="C808" s="797" t="s">
        <v>1588</v>
      </c>
      <c r="D808" s="797"/>
      <c r="E808" s="797"/>
      <c r="F808" s="797"/>
      <c r="G808" s="796" t="s">
        <v>1660</v>
      </c>
      <c r="H808" s="796" t="s">
        <v>291</v>
      </c>
      <c r="I808" s="220" t="str">
        <f>IF(ISBLANK(regional!I421),"",regional!I421)</f>
        <v/>
      </c>
      <c r="K808" s="225" t="s">
        <v>4159</v>
      </c>
      <c r="O808" s="225" t="s">
        <v>4159</v>
      </c>
    </row>
    <row r="809" spans="1:15" ht="12.75" customHeight="1" x14ac:dyDescent="0.3">
      <c r="A809" s="797" t="s">
        <v>1661</v>
      </c>
      <c r="B809" s="797"/>
      <c r="C809" s="797"/>
      <c r="D809" s="797"/>
      <c r="E809" s="797"/>
      <c r="F809" s="797"/>
      <c r="G809" s="796" t="s">
        <v>1662</v>
      </c>
      <c r="H809" s="796" t="s">
        <v>335</v>
      </c>
      <c r="I809" s="220" t="str">
        <f>IF(ISBLANK(regional!I422),"",regional!I422)</f>
        <v/>
      </c>
      <c r="J809" s="635"/>
      <c r="K809" s="225" t="s">
        <v>4159</v>
      </c>
      <c r="L809" s="225">
        <v>0</v>
      </c>
      <c r="O809" s="225" t="s">
        <v>4159</v>
      </c>
    </row>
    <row r="810" spans="1:15" ht="12.75" customHeight="1" x14ac:dyDescent="0.3">
      <c r="A810" s="797"/>
      <c r="B810" s="797" t="s">
        <v>1612</v>
      </c>
      <c r="C810" s="797"/>
      <c r="D810" s="797"/>
      <c r="E810" s="797"/>
      <c r="F810" s="797"/>
      <c r="G810" s="796" t="s">
        <v>1663</v>
      </c>
      <c r="H810" s="796" t="s">
        <v>866</v>
      </c>
      <c r="I810" s="220" t="str">
        <f>IF(ISBLANK(regional!I423),"",regional!I423)</f>
        <v/>
      </c>
      <c r="K810" s="225" t="s">
        <v>4159</v>
      </c>
      <c r="O810" s="225" t="s">
        <v>4159</v>
      </c>
    </row>
    <row r="811" spans="1:15" ht="12.75" customHeight="1" x14ac:dyDescent="0.3">
      <c r="A811" s="797"/>
      <c r="B811" s="797" t="s">
        <v>1619</v>
      </c>
      <c r="C811" s="797"/>
      <c r="D811" s="797"/>
      <c r="E811" s="797"/>
      <c r="F811" s="797"/>
      <c r="G811" s="796" t="s">
        <v>1664</v>
      </c>
      <c r="H811" s="796" t="s">
        <v>1616</v>
      </c>
      <c r="I811" s="220" t="str">
        <f>IF(ISBLANK(regional!I424),"",regional!I424)</f>
        <v/>
      </c>
      <c r="K811" s="225" t="s">
        <v>4159</v>
      </c>
      <c r="O811" s="225" t="s">
        <v>4159</v>
      </c>
    </row>
    <row r="812" spans="1:15" ht="12.75" customHeight="1" x14ac:dyDescent="0.3">
      <c r="A812" s="797"/>
      <c r="B812" s="797"/>
      <c r="C812" s="797" t="s">
        <v>1584</v>
      </c>
      <c r="D812" s="797"/>
      <c r="E812" s="797"/>
      <c r="F812" s="797"/>
      <c r="G812" s="796" t="s">
        <v>1665</v>
      </c>
      <c r="H812" s="796" t="s">
        <v>291</v>
      </c>
      <c r="I812" s="220" t="str">
        <f>IF(ISBLANK(regional!I425),"",regional!I425)</f>
        <v/>
      </c>
      <c r="K812" s="225" t="s">
        <v>4159</v>
      </c>
      <c r="O812" s="225" t="s">
        <v>4159</v>
      </c>
    </row>
    <row r="813" spans="1:15" ht="12.75" customHeight="1" x14ac:dyDescent="0.3">
      <c r="A813" s="797"/>
      <c r="B813" s="797"/>
      <c r="C813" s="797" t="s">
        <v>1586</v>
      </c>
      <c r="D813" s="797"/>
      <c r="E813" s="797"/>
      <c r="F813" s="797"/>
      <c r="G813" s="796" t="s">
        <v>1666</v>
      </c>
      <c r="H813" s="796" t="s">
        <v>291</v>
      </c>
      <c r="I813" s="220" t="str">
        <f>IF(ISBLANK(regional!I426),"",regional!I426)</f>
        <v/>
      </c>
      <c r="K813" s="225" t="s">
        <v>4159</v>
      </c>
      <c r="O813" s="225" t="s">
        <v>4159</v>
      </c>
    </row>
    <row r="814" spans="1:15" ht="12.75" customHeight="1" x14ac:dyDescent="0.3">
      <c r="A814" s="797"/>
      <c r="B814" s="797"/>
      <c r="C814" s="797" t="s">
        <v>1588</v>
      </c>
      <c r="D814" s="797"/>
      <c r="E814" s="797"/>
      <c r="F814" s="797"/>
      <c r="G814" s="796" t="s">
        <v>1667</v>
      </c>
      <c r="H814" s="796" t="s">
        <v>291</v>
      </c>
      <c r="I814" s="220" t="str">
        <f>IF(ISBLANK(regional!I427),"",regional!I427)</f>
        <v/>
      </c>
      <c r="K814" s="225" t="s">
        <v>4159</v>
      </c>
      <c r="O814" s="225" t="s">
        <v>4159</v>
      </c>
    </row>
    <row r="815" spans="1:15" ht="12.75" customHeight="1" x14ac:dyDescent="0.3">
      <c r="A815" s="797" t="s">
        <v>1668</v>
      </c>
      <c r="B815" s="797"/>
      <c r="C815" s="797"/>
      <c r="D815" s="797"/>
      <c r="E815" s="797"/>
      <c r="F815" s="797"/>
      <c r="G815" s="796" t="s">
        <v>1669</v>
      </c>
      <c r="H815" s="796" t="s">
        <v>335</v>
      </c>
      <c r="I815" s="220" t="str">
        <f>IF(ISBLANK(regional!I428),"",regional!I428)</f>
        <v/>
      </c>
      <c r="K815" s="225">
        <v>0</v>
      </c>
      <c r="L815" s="225">
        <v>0</v>
      </c>
      <c r="O815" s="225" t="s">
        <v>4159</v>
      </c>
    </row>
    <row r="816" spans="1:15" ht="12.75" customHeight="1" x14ac:dyDescent="0.3">
      <c r="A816" s="797"/>
      <c r="B816" s="797" t="s">
        <v>1612</v>
      </c>
      <c r="C816" s="797"/>
      <c r="D816" s="797"/>
      <c r="E816" s="797"/>
      <c r="F816" s="797"/>
      <c r="G816" s="796" t="s">
        <v>1670</v>
      </c>
      <c r="H816" s="796" t="s">
        <v>866</v>
      </c>
      <c r="I816" s="220" t="str">
        <f>IF(ISBLANK(regional!I429),"",regional!I429)</f>
        <v/>
      </c>
      <c r="K816" s="225" t="s">
        <v>4159</v>
      </c>
      <c r="O816" s="225" t="s">
        <v>4159</v>
      </c>
    </row>
    <row r="817" spans="1:15" ht="12.75" customHeight="1" x14ac:dyDescent="0.3">
      <c r="A817" s="797"/>
      <c r="B817" s="797" t="s">
        <v>1619</v>
      </c>
      <c r="C817" s="797"/>
      <c r="D817" s="797"/>
      <c r="E817" s="797"/>
      <c r="F817" s="797"/>
      <c r="G817" s="796" t="s">
        <v>1671</v>
      </c>
      <c r="H817" s="796" t="s">
        <v>1616</v>
      </c>
      <c r="I817" s="220" t="str">
        <f>IF(ISBLANK(regional!I430),"",regional!I430)</f>
        <v/>
      </c>
      <c r="K817" s="225" t="s">
        <v>4159</v>
      </c>
      <c r="O817" s="225" t="s">
        <v>4159</v>
      </c>
    </row>
    <row r="818" spans="1:15" ht="12.75" customHeight="1" x14ac:dyDescent="0.3">
      <c r="A818" s="797"/>
      <c r="B818" s="797"/>
      <c r="C818" s="797" t="s">
        <v>1584</v>
      </c>
      <c r="D818" s="797"/>
      <c r="E818" s="797"/>
      <c r="F818" s="797"/>
      <c r="G818" s="796" t="s">
        <v>1672</v>
      </c>
      <c r="H818" s="796" t="s">
        <v>291</v>
      </c>
      <c r="I818" s="220" t="str">
        <f>IF(ISBLANK(regional!I431),"",regional!I431)</f>
        <v/>
      </c>
      <c r="K818" s="225" t="s">
        <v>4159</v>
      </c>
      <c r="O818" s="225" t="s">
        <v>4159</v>
      </c>
    </row>
    <row r="819" spans="1:15" ht="12.75" customHeight="1" x14ac:dyDescent="0.3">
      <c r="A819" s="797"/>
      <c r="B819" s="797"/>
      <c r="C819" s="797" t="s">
        <v>1586</v>
      </c>
      <c r="D819" s="797"/>
      <c r="E819" s="797"/>
      <c r="F819" s="797"/>
      <c r="G819" s="796" t="s">
        <v>1673</v>
      </c>
      <c r="H819" s="796" t="s">
        <v>291</v>
      </c>
      <c r="I819" s="220" t="str">
        <f>IF(ISBLANK(regional!I432),"",regional!I432)</f>
        <v/>
      </c>
      <c r="K819" s="225" t="s">
        <v>4159</v>
      </c>
      <c r="O819" s="225" t="s">
        <v>4159</v>
      </c>
    </row>
    <row r="820" spans="1:15" ht="12.75" customHeight="1" x14ac:dyDescent="0.3">
      <c r="A820" s="797"/>
      <c r="B820" s="797"/>
      <c r="C820" s="797" t="s">
        <v>1588</v>
      </c>
      <c r="D820" s="797"/>
      <c r="E820" s="797"/>
      <c r="F820" s="797"/>
      <c r="G820" s="796" t="s">
        <v>1674</v>
      </c>
      <c r="H820" s="796" t="s">
        <v>291</v>
      </c>
      <c r="I820" s="220" t="str">
        <f>IF(ISBLANK(regional!I433),"",regional!I433)</f>
        <v/>
      </c>
      <c r="K820" s="225" t="s">
        <v>4159</v>
      </c>
      <c r="O820" s="225" t="s">
        <v>4159</v>
      </c>
    </row>
    <row r="821" spans="1:15" ht="12.75" customHeight="1" x14ac:dyDescent="0.3">
      <c r="A821" s="797" t="s">
        <v>1675</v>
      </c>
      <c r="B821" s="797"/>
      <c r="C821" s="797"/>
      <c r="D821" s="797"/>
      <c r="E821" s="797"/>
      <c r="F821" s="797"/>
      <c r="G821" s="796" t="s">
        <v>1676</v>
      </c>
      <c r="H821" s="796" t="s">
        <v>335</v>
      </c>
      <c r="I821" s="220" t="str">
        <f>IF(ISBLANK(regional!I434),"",regional!I434)</f>
        <v/>
      </c>
      <c r="K821" s="225">
        <v>0</v>
      </c>
      <c r="L821" s="225">
        <v>0</v>
      </c>
      <c r="O821" s="225" t="s">
        <v>4159</v>
      </c>
    </row>
    <row r="822" spans="1:15" ht="12.75" customHeight="1" x14ac:dyDescent="0.3">
      <c r="A822" s="797"/>
      <c r="B822" s="797" t="s">
        <v>1612</v>
      </c>
      <c r="C822" s="797"/>
      <c r="D822" s="797"/>
      <c r="E822" s="797"/>
      <c r="F822" s="797"/>
      <c r="G822" s="796" t="s">
        <v>1677</v>
      </c>
      <c r="H822" s="796" t="s">
        <v>866</v>
      </c>
      <c r="I822" s="220" t="str">
        <f>IF(ISBLANK(regional!I435),"",regional!I435)</f>
        <v/>
      </c>
      <c r="K822" s="225" t="s">
        <v>4159</v>
      </c>
      <c r="O822" s="225" t="s">
        <v>4159</v>
      </c>
    </row>
    <row r="823" spans="1:15" ht="12.75" customHeight="1" x14ac:dyDescent="0.3">
      <c r="A823" s="797"/>
      <c r="B823" s="797" t="s">
        <v>1619</v>
      </c>
      <c r="C823" s="797"/>
      <c r="D823" s="797"/>
      <c r="E823" s="797"/>
      <c r="F823" s="797"/>
      <c r="G823" s="796" t="s">
        <v>1678</v>
      </c>
      <c r="H823" s="796" t="s">
        <v>1616</v>
      </c>
      <c r="I823" s="220" t="str">
        <f>IF(ISBLANK(regional!I436),"",regional!I436)</f>
        <v/>
      </c>
      <c r="K823" s="225" t="s">
        <v>4159</v>
      </c>
      <c r="O823" s="225" t="s">
        <v>4159</v>
      </c>
    </row>
    <row r="824" spans="1:15" ht="12.75" customHeight="1" x14ac:dyDescent="0.3">
      <c r="A824" s="797"/>
      <c r="B824" s="797"/>
      <c r="C824" s="797" t="s">
        <v>1584</v>
      </c>
      <c r="D824" s="797"/>
      <c r="E824" s="797"/>
      <c r="F824" s="797"/>
      <c r="G824" s="796" t="s">
        <v>1679</v>
      </c>
      <c r="H824" s="796" t="s">
        <v>291</v>
      </c>
      <c r="I824" s="220" t="str">
        <f>IF(ISBLANK(regional!I437),"",regional!I437)</f>
        <v/>
      </c>
      <c r="K824" s="225" t="s">
        <v>4159</v>
      </c>
      <c r="O824" s="225" t="s">
        <v>4159</v>
      </c>
    </row>
    <row r="825" spans="1:15" ht="12.75" customHeight="1" x14ac:dyDescent="0.3">
      <c r="A825" s="797"/>
      <c r="B825" s="797"/>
      <c r="C825" s="797" t="s">
        <v>1586</v>
      </c>
      <c r="D825" s="797"/>
      <c r="E825" s="797"/>
      <c r="F825" s="797"/>
      <c r="G825" s="796" t="s">
        <v>1680</v>
      </c>
      <c r="H825" s="796" t="s">
        <v>291</v>
      </c>
      <c r="I825" s="220" t="str">
        <f>IF(ISBLANK(regional!I438),"",regional!I438)</f>
        <v/>
      </c>
      <c r="K825" s="225" t="s">
        <v>4159</v>
      </c>
      <c r="O825" s="225" t="s">
        <v>4159</v>
      </c>
    </row>
    <row r="826" spans="1:15" ht="12.75" customHeight="1" x14ac:dyDescent="0.3">
      <c r="A826" s="797"/>
      <c r="B826" s="797"/>
      <c r="C826" s="797" t="s">
        <v>1588</v>
      </c>
      <c r="D826" s="797"/>
      <c r="E826" s="797"/>
      <c r="F826" s="797"/>
      <c r="G826" s="796" t="s">
        <v>1681</v>
      </c>
      <c r="H826" s="796" t="s">
        <v>291</v>
      </c>
      <c r="I826" s="220" t="str">
        <f>IF(ISBLANK(regional!I439),"",regional!I439)</f>
        <v/>
      </c>
      <c r="K826" s="225" t="s">
        <v>4159</v>
      </c>
      <c r="O826" s="225" t="s">
        <v>4159</v>
      </c>
    </row>
    <row r="827" spans="1:15" ht="12.75" customHeight="1" x14ac:dyDescent="0.3">
      <c r="A827" s="797" t="s">
        <v>1682</v>
      </c>
      <c r="B827" s="797"/>
      <c r="C827" s="797"/>
      <c r="D827" s="797"/>
      <c r="E827" s="797"/>
      <c r="F827" s="797"/>
      <c r="G827" s="796" t="s">
        <v>1683</v>
      </c>
      <c r="H827" s="796" t="s">
        <v>335</v>
      </c>
      <c r="I827" s="220" t="str">
        <f>IF(ISBLANK(regional!I440),"",regional!I440)</f>
        <v/>
      </c>
      <c r="K827" s="225" t="s">
        <v>4159</v>
      </c>
      <c r="L827" s="225">
        <v>0</v>
      </c>
      <c r="O827" s="225" t="s">
        <v>4159</v>
      </c>
    </row>
    <row r="828" spans="1:15" ht="12.75" customHeight="1" x14ac:dyDescent="0.3">
      <c r="A828" s="797" t="s">
        <v>1685</v>
      </c>
      <c r="B828" s="797"/>
      <c r="C828" s="797"/>
      <c r="D828" s="797"/>
      <c r="E828" s="797"/>
      <c r="F828" s="797"/>
      <c r="G828" s="796" t="s">
        <v>1686</v>
      </c>
      <c r="H828" s="796" t="s">
        <v>335</v>
      </c>
      <c r="I828" s="220" t="str">
        <f>IF(ISBLANK(regional!I441),"",regional!I441)</f>
        <v/>
      </c>
      <c r="K828" s="225">
        <v>0</v>
      </c>
      <c r="L828" s="225">
        <v>0</v>
      </c>
      <c r="O828" s="225" t="s">
        <v>4159</v>
      </c>
    </row>
    <row r="829" spans="1:15" ht="12.75" customHeight="1" x14ac:dyDescent="0.3">
      <c r="A829" s="797" t="s">
        <v>1687</v>
      </c>
      <c r="B829" s="797"/>
      <c r="C829" s="797"/>
      <c r="D829" s="797"/>
      <c r="E829" s="797"/>
      <c r="F829" s="797"/>
      <c r="G829" s="796" t="s">
        <v>1688</v>
      </c>
      <c r="H829" s="796" t="s">
        <v>335</v>
      </c>
      <c r="I829" s="220" t="str">
        <f>IF(ISBLANK(regional!I442),"",regional!I442)</f>
        <v/>
      </c>
      <c r="K829" s="225">
        <v>0</v>
      </c>
      <c r="L829" s="225">
        <v>0</v>
      </c>
      <c r="M829" s="225" t="s">
        <v>4159</v>
      </c>
      <c r="N829" s="225" t="s">
        <v>4159</v>
      </c>
      <c r="O829" s="225" t="s">
        <v>4159</v>
      </c>
    </row>
    <row r="830" spans="1:15" ht="12.75" customHeight="1" x14ac:dyDescent="0.3">
      <c r="A830" s="797" t="s">
        <v>1689</v>
      </c>
      <c r="B830" s="797"/>
      <c r="C830" s="797"/>
      <c r="D830" s="797"/>
      <c r="E830" s="797"/>
      <c r="F830" s="797"/>
      <c r="G830" s="796" t="s">
        <v>1690</v>
      </c>
      <c r="H830" s="796" t="s">
        <v>335</v>
      </c>
      <c r="I830" s="220" t="str">
        <f>IF(ISBLANK(regional!I443),"",regional!I443)</f>
        <v/>
      </c>
      <c r="J830" s="211"/>
      <c r="K830" s="225">
        <v>0</v>
      </c>
      <c r="L830" s="225">
        <v>0</v>
      </c>
      <c r="M830" s="225">
        <v>0</v>
      </c>
      <c r="N830" s="225">
        <v>0</v>
      </c>
      <c r="O830" s="225" t="s">
        <v>4159</v>
      </c>
    </row>
    <row r="831" spans="1:15" ht="12.75" customHeight="1" x14ac:dyDescent="0.3">
      <c r="A831" s="797"/>
      <c r="B831" s="797" t="s">
        <v>1612</v>
      </c>
      <c r="C831" s="797"/>
      <c r="D831" s="797"/>
      <c r="E831" s="797"/>
      <c r="F831" s="797"/>
      <c r="G831" s="796" t="s">
        <v>1691</v>
      </c>
      <c r="H831" s="796" t="s">
        <v>866</v>
      </c>
      <c r="I831" s="220" t="str">
        <f>IF(ISBLANK(regional!I444),"",regional!I444)</f>
        <v/>
      </c>
      <c r="J831" s="353"/>
      <c r="K831" s="225" t="s">
        <v>4159</v>
      </c>
      <c r="M831" s="225" t="s">
        <v>4159</v>
      </c>
      <c r="N831" s="225" t="s">
        <v>4159</v>
      </c>
      <c r="O831" s="225" t="s">
        <v>4159</v>
      </c>
    </row>
    <row r="832" spans="1:15" ht="12.75" customHeight="1" x14ac:dyDescent="0.3">
      <c r="A832" s="797"/>
      <c r="B832" s="797"/>
      <c r="C832" s="797" t="s">
        <v>1692</v>
      </c>
      <c r="D832" s="797"/>
      <c r="E832" s="797"/>
      <c r="F832" s="797"/>
      <c r="G832" s="797" t="s">
        <v>1693</v>
      </c>
      <c r="H832" s="796" t="s">
        <v>1616</v>
      </c>
      <c r="I832" s="220" t="str">
        <f>IF(ISBLANK(regional!I445),"",regional!I445)</f>
        <v/>
      </c>
      <c r="J832" s="211"/>
      <c r="K832" s="225" t="s">
        <v>4159</v>
      </c>
      <c r="M832" s="225" t="s">
        <v>4159</v>
      </c>
      <c r="N832" s="225" t="s">
        <v>4159</v>
      </c>
      <c r="O832" s="225" t="s">
        <v>4159</v>
      </c>
    </row>
    <row r="833" spans="1:15" ht="12.75" customHeight="1" x14ac:dyDescent="0.3">
      <c r="A833" s="797"/>
      <c r="B833" s="797"/>
      <c r="C833" s="797" t="s">
        <v>1694</v>
      </c>
      <c r="D833" s="797"/>
      <c r="E833" s="797"/>
      <c r="F833" s="797"/>
      <c r="G833" s="796" t="s">
        <v>1695</v>
      </c>
      <c r="H833" s="796" t="s">
        <v>1616</v>
      </c>
      <c r="I833" s="220" t="str">
        <f>IF(ISBLANK(regional!I446),"",regional!I446)</f>
        <v/>
      </c>
      <c r="K833" s="225" t="s">
        <v>4159</v>
      </c>
      <c r="M833" s="225" t="s">
        <v>4159</v>
      </c>
      <c r="N833" s="225" t="s">
        <v>4159</v>
      </c>
      <c r="O833" s="225" t="s">
        <v>4159</v>
      </c>
    </row>
    <row r="834" spans="1:15" ht="12.75" customHeight="1" x14ac:dyDescent="0.3">
      <c r="A834" s="797"/>
      <c r="B834" s="797"/>
      <c r="C834" s="797" t="s">
        <v>1696</v>
      </c>
      <c r="D834" s="797"/>
      <c r="E834" s="797"/>
      <c r="F834" s="797"/>
      <c r="G834" s="796" t="s">
        <v>1697</v>
      </c>
      <c r="H834" s="796" t="s">
        <v>866</v>
      </c>
      <c r="I834" s="220" t="str">
        <f>IF(ISBLANK(regional!I447),"",regional!I447)</f>
        <v/>
      </c>
      <c r="K834" s="225" t="s">
        <v>4159</v>
      </c>
      <c r="M834" s="225" t="s">
        <v>4159</v>
      </c>
      <c r="N834" s="225" t="s">
        <v>4159</v>
      </c>
      <c r="O834" s="225" t="s">
        <v>4159</v>
      </c>
    </row>
    <row r="835" spans="1:15" ht="12.75" customHeight="1" x14ac:dyDescent="0.3">
      <c r="A835" s="797"/>
      <c r="B835" s="797"/>
      <c r="C835" s="797"/>
      <c r="D835" s="797" t="s">
        <v>1584</v>
      </c>
      <c r="E835" s="797"/>
      <c r="F835" s="797"/>
      <c r="G835" s="796" t="s">
        <v>1698</v>
      </c>
      <c r="H835" s="796" t="s">
        <v>291</v>
      </c>
      <c r="I835" s="220" t="str">
        <f>IF(ISBLANK(regional!I448),"",regional!I448)</f>
        <v/>
      </c>
      <c r="K835" s="225" t="s">
        <v>4159</v>
      </c>
      <c r="M835" s="225" t="s">
        <v>4159</v>
      </c>
      <c r="N835" s="225" t="s">
        <v>4159</v>
      </c>
      <c r="O835" s="225" t="s">
        <v>4159</v>
      </c>
    </row>
    <row r="836" spans="1:15" ht="12.75" customHeight="1" x14ac:dyDescent="0.3">
      <c r="A836" s="797"/>
      <c r="B836" s="797"/>
      <c r="C836" s="797"/>
      <c r="D836" s="797" t="s">
        <v>1588</v>
      </c>
      <c r="E836" s="797"/>
      <c r="F836" s="797"/>
      <c r="G836" s="796" t="s">
        <v>1699</v>
      </c>
      <c r="H836" s="796" t="s">
        <v>291</v>
      </c>
      <c r="I836" s="220" t="str">
        <f>IF(ISBLANK(regional!I449),"",regional!I449)</f>
        <v/>
      </c>
      <c r="K836" s="225" t="s">
        <v>4159</v>
      </c>
      <c r="M836" s="225" t="s">
        <v>4159</v>
      </c>
      <c r="N836" s="225" t="s">
        <v>4159</v>
      </c>
      <c r="O836" s="225" t="s">
        <v>4159</v>
      </c>
    </row>
    <row r="837" spans="1:15" ht="12.75" customHeight="1" x14ac:dyDescent="0.3">
      <c r="A837" s="797" t="s">
        <v>1700</v>
      </c>
      <c r="B837" s="797"/>
      <c r="C837" s="797"/>
      <c r="D837" s="797"/>
      <c r="E837" s="797"/>
      <c r="F837" s="797"/>
      <c r="G837" s="796" t="s">
        <v>1701</v>
      </c>
      <c r="H837" s="796" t="s">
        <v>335</v>
      </c>
      <c r="I837" s="220" t="str">
        <f>IF(ISBLANK(regional!I450),"",regional!I450)</f>
        <v/>
      </c>
      <c r="K837" s="225" t="s">
        <v>4159</v>
      </c>
      <c r="L837" s="225">
        <v>0</v>
      </c>
      <c r="M837" s="225" t="s">
        <v>4159</v>
      </c>
      <c r="N837" s="225" t="s">
        <v>4159</v>
      </c>
      <c r="O837" s="225" t="s">
        <v>4159</v>
      </c>
    </row>
    <row r="838" spans="1:15" ht="12.75" customHeight="1" x14ac:dyDescent="0.3">
      <c r="A838" s="797"/>
      <c r="B838" s="797" t="s">
        <v>1612</v>
      </c>
      <c r="C838" s="797"/>
      <c r="D838" s="797"/>
      <c r="E838" s="797"/>
      <c r="F838" s="797"/>
      <c r="G838" s="796" t="s">
        <v>1702</v>
      </c>
      <c r="H838" s="796" t="s">
        <v>866</v>
      </c>
      <c r="I838" s="220" t="str">
        <f>IF(ISBLANK(regional!I451),"",regional!I451)</f>
        <v/>
      </c>
      <c r="K838" s="225" t="s">
        <v>4159</v>
      </c>
      <c r="M838" s="225" t="s">
        <v>4159</v>
      </c>
      <c r="N838" s="225" t="s">
        <v>4159</v>
      </c>
      <c r="O838" s="225" t="s">
        <v>4159</v>
      </c>
    </row>
    <row r="839" spans="1:15" ht="12.75" customHeight="1" x14ac:dyDescent="0.3">
      <c r="A839" s="797"/>
      <c r="B839" s="797"/>
      <c r="C839" s="797" t="s">
        <v>1703</v>
      </c>
      <c r="D839" s="797"/>
      <c r="E839" s="797"/>
      <c r="F839" s="797"/>
      <c r="G839" s="797" t="s">
        <v>1704</v>
      </c>
      <c r="H839" s="796" t="s">
        <v>1616</v>
      </c>
      <c r="I839" s="220" t="str">
        <f>IF(ISBLANK(regional!I452),"",regional!I452)</f>
        <v/>
      </c>
      <c r="K839" s="225" t="s">
        <v>4159</v>
      </c>
      <c r="M839" s="225" t="s">
        <v>4159</v>
      </c>
      <c r="N839" s="225" t="s">
        <v>4159</v>
      </c>
      <c r="O839" s="225" t="s">
        <v>4159</v>
      </c>
    </row>
    <row r="840" spans="1:15" ht="12.75" customHeight="1" x14ac:dyDescent="0.3">
      <c r="A840" s="797" t="s">
        <v>1705</v>
      </c>
      <c r="B840" s="797"/>
      <c r="C840" s="797"/>
      <c r="D840" s="797"/>
      <c r="E840" s="797"/>
      <c r="F840" s="797"/>
      <c r="G840" s="796" t="s">
        <v>1706</v>
      </c>
      <c r="H840" s="796" t="s">
        <v>335</v>
      </c>
      <c r="I840" s="220" t="str">
        <f>IF(ISBLANK(regional!I453),"",regional!I453)</f>
        <v/>
      </c>
      <c r="K840" s="225">
        <v>0</v>
      </c>
      <c r="L840" s="225">
        <v>0</v>
      </c>
      <c r="M840" s="225">
        <v>0</v>
      </c>
      <c r="N840" s="225">
        <v>0</v>
      </c>
      <c r="O840" s="225" t="s">
        <v>4159</v>
      </c>
    </row>
    <row r="841" spans="1:15" ht="12.75" customHeight="1" x14ac:dyDescent="0.3">
      <c r="A841" s="797"/>
      <c r="B841" s="797" t="s">
        <v>1612</v>
      </c>
      <c r="C841" s="797"/>
      <c r="D841" s="797"/>
      <c r="E841" s="797"/>
      <c r="F841" s="797"/>
      <c r="G841" s="796" t="s">
        <v>1707</v>
      </c>
      <c r="H841" s="796" t="s">
        <v>866</v>
      </c>
      <c r="I841" s="220" t="str">
        <f>IF(ISBLANK(regional!I454),"",regional!I454)</f>
        <v/>
      </c>
      <c r="K841" s="225" t="s">
        <v>4159</v>
      </c>
      <c r="M841" s="225" t="s">
        <v>4159</v>
      </c>
      <c r="N841" s="225" t="s">
        <v>4159</v>
      </c>
      <c r="O841" s="225" t="s">
        <v>4159</v>
      </c>
    </row>
    <row r="842" spans="1:15" ht="12.75" customHeight="1" x14ac:dyDescent="0.3">
      <c r="A842" s="797"/>
      <c r="B842" s="797"/>
      <c r="C842" s="797" t="s">
        <v>1708</v>
      </c>
      <c r="D842" s="797"/>
      <c r="E842" s="797"/>
      <c r="F842" s="797"/>
      <c r="G842" s="797" t="s">
        <v>1709</v>
      </c>
      <c r="H842" s="796" t="s">
        <v>1616</v>
      </c>
      <c r="I842" s="220" t="str">
        <f>IF(ISBLANK(regional!I455),"",regional!I455)</f>
        <v/>
      </c>
      <c r="K842" s="225" t="s">
        <v>4159</v>
      </c>
      <c r="M842" s="225" t="s">
        <v>4159</v>
      </c>
      <c r="N842" s="225" t="s">
        <v>4159</v>
      </c>
      <c r="O842" s="225" t="s">
        <v>4159</v>
      </c>
    </row>
    <row r="843" spans="1:15" ht="12.75" customHeight="1" x14ac:dyDescent="0.3">
      <c r="A843" s="797" t="s">
        <v>1710</v>
      </c>
      <c r="B843" s="797"/>
      <c r="C843" s="797"/>
      <c r="D843" s="797"/>
      <c r="E843" s="797"/>
      <c r="F843" s="797"/>
      <c r="G843" s="797" t="s">
        <v>1711</v>
      </c>
      <c r="H843" s="796" t="s">
        <v>335</v>
      </c>
      <c r="I843" s="220" t="str">
        <f>IF(ISBLANK(regional!I456),"",regional!I456)</f>
        <v/>
      </c>
      <c r="K843" s="225">
        <v>0</v>
      </c>
      <c r="L843" s="225">
        <v>0</v>
      </c>
      <c r="M843" s="225">
        <v>0</v>
      </c>
      <c r="N843" s="225">
        <v>0</v>
      </c>
      <c r="O843" s="225" t="s">
        <v>4159</v>
      </c>
    </row>
    <row r="844" spans="1:15" ht="12.75" customHeight="1" x14ac:dyDescent="0.3">
      <c r="A844" s="797"/>
      <c r="B844" s="797" t="s">
        <v>1612</v>
      </c>
      <c r="C844" s="797"/>
      <c r="D844" s="797"/>
      <c r="E844" s="797"/>
      <c r="F844" s="797"/>
      <c r="G844" s="796" t="s">
        <v>1712</v>
      </c>
      <c r="H844" s="796" t="s">
        <v>866</v>
      </c>
      <c r="I844" s="220" t="str">
        <f>IF(ISBLANK(regional!I457),"",regional!I457)</f>
        <v/>
      </c>
      <c r="K844" s="225" t="s">
        <v>4159</v>
      </c>
      <c r="O844" s="225" t="s">
        <v>4159</v>
      </c>
    </row>
    <row r="845" spans="1:15" ht="12.75" customHeight="1" x14ac:dyDescent="0.3">
      <c r="A845" s="797"/>
      <c r="B845" s="797"/>
      <c r="C845" s="797" t="s">
        <v>1713</v>
      </c>
      <c r="D845" s="797"/>
      <c r="E845" s="797"/>
      <c r="F845" s="797"/>
      <c r="G845" s="796" t="s">
        <v>1714</v>
      </c>
      <c r="H845" s="796" t="s">
        <v>1616</v>
      </c>
      <c r="I845" s="220" t="str">
        <f>IF(ISBLANK(regional!I458),"",regional!I458)</f>
        <v/>
      </c>
      <c r="K845" s="225" t="s">
        <v>4159</v>
      </c>
      <c r="O845" s="225" t="s">
        <v>4159</v>
      </c>
    </row>
    <row r="846" spans="1:15" ht="12.75" customHeight="1" x14ac:dyDescent="0.3">
      <c r="A846" s="797"/>
      <c r="B846" s="797"/>
      <c r="C846" s="797"/>
      <c r="D846" s="797" t="s">
        <v>1584</v>
      </c>
      <c r="E846" s="797"/>
      <c r="F846" s="797"/>
      <c r="G846" s="796" t="s">
        <v>1715</v>
      </c>
      <c r="H846" s="796" t="s">
        <v>291</v>
      </c>
      <c r="I846" s="220" t="str">
        <f>IF(ISBLANK(regional!I459),"",regional!I459)</f>
        <v/>
      </c>
      <c r="K846" s="225" t="s">
        <v>4159</v>
      </c>
      <c r="O846" s="225" t="s">
        <v>4159</v>
      </c>
    </row>
    <row r="847" spans="1:15" ht="12.75" customHeight="1" x14ac:dyDescent="0.3">
      <c r="A847" s="797"/>
      <c r="B847" s="797"/>
      <c r="C847" s="797"/>
      <c r="D847" s="797" t="s">
        <v>1588</v>
      </c>
      <c r="E847" s="797"/>
      <c r="F847" s="797"/>
      <c r="G847" s="796" t="s">
        <v>1716</v>
      </c>
      <c r="H847" s="796" t="s">
        <v>291</v>
      </c>
      <c r="I847" s="220" t="str">
        <f>IF(ISBLANK(regional!I460),"",regional!I460)</f>
        <v/>
      </c>
      <c r="K847" s="225" t="s">
        <v>4159</v>
      </c>
      <c r="O847" s="225" t="s">
        <v>4159</v>
      </c>
    </row>
    <row r="848" spans="1:15" ht="12.75" customHeight="1" x14ac:dyDescent="0.3">
      <c r="A848" s="797" t="s">
        <v>1717</v>
      </c>
      <c r="B848" s="797"/>
      <c r="C848" s="797"/>
      <c r="D848" s="797"/>
      <c r="E848" s="797"/>
      <c r="F848" s="797"/>
      <c r="G848" s="797" t="s">
        <v>1718</v>
      </c>
      <c r="H848" s="796" t="s">
        <v>335</v>
      </c>
      <c r="I848" s="220" t="str">
        <f>IF(ISBLANK(regional!I461),"",regional!I461)</f>
        <v/>
      </c>
      <c r="K848" s="225" t="s">
        <v>4159</v>
      </c>
      <c r="L848" s="225">
        <v>0</v>
      </c>
      <c r="O848" s="225" t="s">
        <v>4159</v>
      </c>
    </row>
    <row r="849" spans="1:15" ht="12.75" customHeight="1" x14ac:dyDescent="0.3">
      <c r="A849" s="797"/>
      <c r="B849" s="797" t="s">
        <v>1612</v>
      </c>
      <c r="C849" s="797"/>
      <c r="D849" s="797"/>
      <c r="E849" s="797"/>
      <c r="F849" s="797"/>
      <c r="G849" s="796" t="s">
        <v>1719</v>
      </c>
      <c r="H849" s="796" t="s">
        <v>866</v>
      </c>
      <c r="I849" s="220" t="str">
        <f>IF(ISBLANK(regional!I462),"",regional!I462)</f>
        <v/>
      </c>
      <c r="K849" s="225" t="s">
        <v>4159</v>
      </c>
      <c r="O849" s="225" t="s">
        <v>4159</v>
      </c>
    </row>
    <row r="850" spans="1:15" ht="12.75" customHeight="1" x14ac:dyDescent="0.3">
      <c r="A850" s="797" t="s">
        <v>1720</v>
      </c>
      <c r="B850" s="797"/>
      <c r="C850" s="797"/>
      <c r="D850" s="797"/>
      <c r="E850" s="797"/>
      <c r="F850" s="797"/>
      <c r="G850" s="797" t="s">
        <v>1721</v>
      </c>
      <c r="H850" s="796" t="s">
        <v>335</v>
      </c>
      <c r="I850" s="220" t="str">
        <f>IF(ISBLANK(regional!I463),"",regional!I463)</f>
        <v/>
      </c>
      <c r="K850" s="225">
        <v>0</v>
      </c>
      <c r="L850" s="225">
        <v>0</v>
      </c>
      <c r="M850" s="225">
        <v>0</v>
      </c>
      <c r="N850" s="225">
        <v>0</v>
      </c>
      <c r="O850" s="225" t="s">
        <v>4159</v>
      </c>
    </row>
    <row r="851" spans="1:15" ht="12.75" customHeight="1" x14ac:dyDescent="0.3">
      <c r="A851" s="797"/>
      <c r="B851" s="797" t="s">
        <v>1612</v>
      </c>
      <c r="C851" s="797"/>
      <c r="D851" s="797"/>
      <c r="E851" s="797"/>
      <c r="F851" s="797"/>
      <c r="G851" s="796" t="s">
        <v>1722</v>
      </c>
      <c r="H851" s="796" t="s">
        <v>866</v>
      </c>
      <c r="I851" s="220" t="str">
        <f>IF(ISBLANK(regional!I464),"",regional!I464)</f>
        <v/>
      </c>
      <c r="K851" s="225" t="s">
        <v>4159</v>
      </c>
      <c r="M851" s="225" t="s">
        <v>4159</v>
      </c>
      <c r="N851" s="225" t="s">
        <v>4159</v>
      </c>
      <c r="O851" s="225" t="s">
        <v>4159</v>
      </c>
    </row>
    <row r="852" spans="1:15" ht="12.75" customHeight="1" x14ac:dyDescent="0.3">
      <c r="A852" s="797" t="s">
        <v>1723</v>
      </c>
      <c r="B852" s="797"/>
      <c r="C852" s="797"/>
      <c r="D852" s="797"/>
      <c r="E852" s="797"/>
      <c r="F852" s="797"/>
      <c r="G852" s="797" t="s">
        <v>1724</v>
      </c>
      <c r="H852" s="796" t="s">
        <v>335</v>
      </c>
      <c r="I852" s="220" t="str">
        <f>IF(ISBLANK(regional!I465),"",regional!I465)</f>
        <v/>
      </c>
      <c r="K852" s="225">
        <v>0</v>
      </c>
      <c r="L852" s="225">
        <v>0</v>
      </c>
      <c r="M852" s="225">
        <v>0</v>
      </c>
      <c r="N852" s="225">
        <v>0</v>
      </c>
      <c r="O852" s="225" t="s">
        <v>4159</v>
      </c>
    </row>
    <row r="853" spans="1:15" ht="12.75" customHeight="1" x14ac:dyDescent="0.3">
      <c r="A853" s="797" t="s">
        <v>1725</v>
      </c>
      <c r="B853" s="797"/>
      <c r="C853" s="797"/>
      <c r="D853" s="797"/>
      <c r="E853" s="797"/>
      <c r="F853" s="797"/>
      <c r="G853" s="797" t="s">
        <v>1726</v>
      </c>
      <c r="H853" s="796" t="s">
        <v>335</v>
      </c>
      <c r="I853" s="220" t="str">
        <f>IF(ISBLANK(regional!I466),"",regional!I466)</f>
        <v/>
      </c>
      <c r="K853" s="225" t="s">
        <v>4159</v>
      </c>
      <c r="L853" s="225">
        <v>0</v>
      </c>
      <c r="M853" s="225" t="s">
        <v>4159</v>
      </c>
      <c r="N853" s="225" t="s">
        <v>4159</v>
      </c>
      <c r="O853" s="225" t="s">
        <v>4159</v>
      </c>
    </row>
    <row r="854" spans="1:15" ht="12.75" customHeight="1" x14ac:dyDescent="0.3">
      <c r="A854" s="797" t="s">
        <v>1727</v>
      </c>
      <c r="B854" s="797"/>
      <c r="C854" s="797"/>
      <c r="D854" s="797"/>
      <c r="E854" s="797"/>
      <c r="F854" s="797"/>
      <c r="G854" s="797" t="s">
        <v>1728</v>
      </c>
      <c r="H854" s="796" t="s">
        <v>335</v>
      </c>
      <c r="I854" s="220" t="str">
        <f>IF(ISBLANK(regional!I467),"",regional!I467)</f>
        <v/>
      </c>
      <c r="K854" s="225">
        <v>0</v>
      </c>
      <c r="L854" s="225">
        <v>0</v>
      </c>
      <c r="M854" s="225">
        <v>0</v>
      </c>
      <c r="N854" s="225">
        <v>0</v>
      </c>
      <c r="O854" s="225" t="s">
        <v>4159</v>
      </c>
    </row>
    <row r="855" spans="1:15" ht="12.75" customHeight="1" x14ac:dyDescent="0.3">
      <c r="A855" s="841" t="s">
        <v>1729</v>
      </c>
      <c r="B855" s="841"/>
      <c r="C855" s="841"/>
      <c r="D855" s="841"/>
      <c r="E855" s="841"/>
      <c r="F855" s="841"/>
      <c r="G855" s="844" t="s">
        <v>1730</v>
      </c>
      <c r="H855" s="844" t="s">
        <v>335</v>
      </c>
      <c r="I855" s="220" t="str">
        <f>IF(ISBLANK(regional!I468),"",regional!I468)</f>
        <v/>
      </c>
      <c r="K855" s="225" t="s">
        <v>4159</v>
      </c>
      <c r="L855" s="225">
        <v>9.9999999999999995E-21</v>
      </c>
      <c r="M855" s="225" t="s">
        <v>4159</v>
      </c>
      <c r="N855" s="225" t="s">
        <v>4159</v>
      </c>
      <c r="O855" s="225" t="s">
        <v>4159</v>
      </c>
    </row>
    <row r="856" spans="1:15" ht="12.75" customHeight="1" x14ac:dyDescent="0.3">
      <c r="A856" s="797" t="s">
        <v>1732</v>
      </c>
      <c r="B856" s="797"/>
      <c r="C856" s="797"/>
      <c r="D856" s="797"/>
      <c r="E856" s="797"/>
      <c r="F856" s="797"/>
      <c r="G856" s="796" t="s">
        <v>1733</v>
      </c>
      <c r="H856" s="796" t="s">
        <v>335</v>
      </c>
      <c r="I856" s="220" t="str">
        <f>IF(ISBLANK(regional!I469),"",regional!I469)</f>
        <v/>
      </c>
      <c r="K856" s="225">
        <v>0</v>
      </c>
      <c r="L856" s="225">
        <v>9.9999999999999995E-21</v>
      </c>
      <c r="M856" s="225" t="s">
        <v>4159</v>
      </c>
      <c r="N856" s="225" t="s">
        <v>4159</v>
      </c>
      <c r="O856" s="225" t="s">
        <v>4159</v>
      </c>
    </row>
    <row r="857" spans="1:15" ht="12.75" customHeight="1" x14ac:dyDescent="0.3">
      <c r="A857" s="797" t="s">
        <v>1734</v>
      </c>
      <c r="B857" s="797"/>
      <c r="C857" s="797"/>
      <c r="D857" s="797"/>
      <c r="E857" s="797"/>
      <c r="F857" s="797"/>
      <c r="G857" s="796" t="s">
        <v>1735</v>
      </c>
      <c r="H857" s="796" t="s">
        <v>335</v>
      </c>
      <c r="I857" s="220" t="str">
        <f>IF(ISBLANK(regional!I470),"",regional!I470)</f>
        <v/>
      </c>
      <c r="K857" s="225">
        <v>0</v>
      </c>
      <c r="L857" s="225">
        <v>9.9999999999999995E-21</v>
      </c>
      <c r="M857" s="225" t="s">
        <v>4159</v>
      </c>
      <c r="N857" s="225" t="s">
        <v>4159</v>
      </c>
      <c r="O857" s="225" t="s">
        <v>4159</v>
      </c>
    </row>
    <row r="858" spans="1:15" ht="12.75" customHeight="1" x14ac:dyDescent="0.3">
      <c r="A858" s="797" t="s">
        <v>1736</v>
      </c>
      <c r="B858" s="797"/>
      <c r="C858" s="797"/>
      <c r="D858" s="797"/>
      <c r="E858" s="797"/>
      <c r="F858" s="797"/>
      <c r="G858" s="796" t="s">
        <v>1737</v>
      </c>
      <c r="H858" s="796" t="s">
        <v>335</v>
      </c>
      <c r="I858" s="220" t="str">
        <f>IF(ISBLANK(regional!I471),"",regional!I471)</f>
        <v/>
      </c>
      <c r="K858" s="225" t="s">
        <v>4159</v>
      </c>
      <c r="L858" s="225">
        <v>9.9999999999999995E-21</v>
      </c>
      <c r="M858" s="225" t="s">
        <v>4159</v>
      </c>
      <c r="N858" s="225" t="s">
        <v>4159</v>
      </c>
      <c r="O858" s="225" t="s">
        <v>4159</v>
      </c>
    </row>
    <row r="859" spans="1:15" ht="12.75" customHeight="1" x14ac:dyDescent="0.3">
      <c r="A859" s="797" t="s">
        <v>1738</v>
      </c>
      <c r="B859" s="797"/>
      <c r="C859" s="797"/>
      <c r="D859" s="797"/>
      <c r="E859" s="797"/>
      <c r="F859" s="797"/>
      <c r="G859" s="796" t="s">
        <v>1739</v>
      </c>
      <c r="H859" s="796" t="s">
        <v>335</v>
      </c>
      <c r="I859" s="220" t="str">
        <f>IF(ISBLANK(regional!I472),"",regional!I472)</f>
        <v/>
      </c>
      <c r="K859" s="225">
        <v>0</v>
      </c>
      <c r="L859" s="225">
        <v>9.9999999999999995E-21</v>
      </c>
      <c r="M859" s="225" t="s">
        <v>4159</v>
      </c>
      <c r="N859" s="225" t="s">
        <v>4159</v>
      </c>
      <c r="O859" s="225" t="s">
        <v>4159</v>
      </c>
    </row>
    <row r="860" spans="1:15" ht="12.75" customHeight="1" x14ac:dyDescent="0.3">
      <c r="A860" s="797" t="s">
        <v>1740</v>
      </c>
      <c r="B860" s="797"/>
      <c r="C860" s="797"/>
      <c r="D860" s="797"/>
      <c r="E860" s="797"/>
      <c r="F860" s="797"/>
      <c r="G860" s="796" t="s">
        <v>1741</v>
      </c>
      <c r="H860" s="796" t="s">
        <v>335</v>
      </c>
      <c r="I860" s="220" t="str">
        <f>IF(ISBLANK(regional!I473),"",regional!I473)</f>
        <v/>
      </c>
      <c r="K860" s="225">
        <v>0</v>
      </c>
      <c r="L860" s="225">
        <v>9.9999999999999995E-21</v>
      </c>
      <c r="M860" s="225" t="s">
        <v>4159</v>
      </c>
      <c r="N860" s="225" t="s">
        <v>4159</v>
      </c>
      <c r="O860" s="225" t="s">
        <v>4159</v>
      </c>
    </row>
    <row r="861" spans="1:15" ht="12.75" customHeight="1" x14ac:dyDescent="0.3">
      <c r="A861" s="797" t="s">
        <v>1742</v>
      </c>
      <c r="B861" s="797"/>
      <c r="C861" s="797"/>
      <c r="D861" s="797"/>
      <c r="E861" s="797"/>
      <c r="F861" s="797"/>
      <c r="G861" s="796" t="s">
        <v>1743</v>
      </c>
      <c r="H861" s="796" t="s">
        <v>335</v>
      </c>
      <c r="I861" s="220" t="str">
        <f>IF(ISBLANK(regional!I474),"",regional!I474)</f>
        <v/>
      </c>
      <c r="K861" s="225" t="s">
        <v>4159</v>
      </c>
      <c r="L861" s="225">
        <v>9.9999999999999995E-21</v>
      </c>
      <c r="M861" s="225" t="s">
        <v>4159</v>
      </c>
      <c r="N861" s="225" t="s">
        <v>4159</v>
      </c>
      <c r="O861" s="225" t="s">
        <v>4159</v>
      </c>
    </row>
    <row r="862" spans="1:15" ht="12.75" customHeight="1" x14ac:dyDescent="0.3">
      <c r="A862" s="797" t="s">
        <v>1744</v>
      </c>
      <c r="B862" s="797"/>
      <c r="C862" s="797"/>
      <c r="D862" s="797"/>
      <c r="E862" s="797"/>
      <c r="F862" s="797"/>
      <c r="G862" s="796" t="s">
        <v>1745</v>
      </c>
      <c r="H862" s="796" t="s">
        <v>335</v>
      </c>
      <c r="I862" s="220" t="str">
        <f>IF(ISBLANK(regional!I475),"",regional!I475)</f>
        <v/>
      </c>
      <c r="K862" s="225">
        <v>0</v>
      </c>
      <c r="L862" s="225">
        <v>9.9999999999999995E-21</v>
      </c>
      <c r="M862" s="225" t="s">
        <v>4159</v>
      </c>
      <c r="N862" s="225" t="s">
        <v>4159</v>
      </c>
      <c r="O862" s="225" t="s">
        <v>4159</v>
      </c>
    </row>
    <row r="863" spans="1:15" ht="12.75" customHeight="1" x14ac:dyDescent="0.3">
      <c r="A863" s="797" t="s">
        <v>1746</v>
      </c>
      <c r="B863" s="797"/>
      <c r="C863" s="797"/>
      <c r="D863" s="797"/>
      <c r="E863" s="797"/>
      <c r="F863" s="797"/>
      <c r="G863" s="796" t="s">
        <v>1747</v>
      </c>
      <c r="H863" s="796" t="s">
        <v>335</v>
      </c>
      <c r="I863" s="220" t="str">
        <f>IF(ISBLANK(regional!I476),"",regional!I476)</f>
        <v/>
      </c>
      <c r="K863" s="225">
        <v>0</v>
      </c>
      <c r="L863" s="225">
        <v>9.9999999999999995E-21</v>
      </c>
      <c r="M863" s="225" t="s">
        <v>4159</v>
      </c>
      <c r="N863" s="225" t="s">
        <v>4159</v>
      </c>
      <c r="O863" s="225" t="s">
        <v>4159</v>
      </c>
    </row>
    <row r="864" spans="1:15" ht="12.75" customHeight="1" x14ac:dyDescent="0.3">
      <c r="A864" s="797" t="s">
        <v>1748</v>
      </c>
      <c r="B864" s="797"/>
      <c r="C864" s="797"/>
      <c r="D864" s="797"/>
      <c r="E864" s="797"/>
      <c r="F864" s="797"/>
      <c r="G864" s="796" t="s">
        <v>1749</v>
      </c>
      <c r="H864" s="796" t="s">
        <v>335</v>
      </c>
      <c r="I864" s="220" t="str">
        <f>IF(ISBLANK(regional!I477),"",regional!I477)</f>
        <v/>
      </c>
      <c r="J864" s="211"/>
      <c r="K864" s="225">
        <v>0</v>
      </c>
      <c r="L864" s="225">
        <v>9.9999999999999995E-21</v>
      </c>
      <c r="M864" s="225">
        <v>0</v>
      </c>
      <c r="N864" s="225">
        <v>0</v>
      </c>
      <c r="O864" s="225" t="s">
        <v>4159</v>
      </c>
    </row>
    <row r="865" spans="1:15" ht="12.75" customHeight="1" x14ac:dyDescent="0.3">
      <c r="A865" s="797" t="s">
        <v>1750</v>
      </c>
      <c r="B865" s="797"/>
      <c r="C865" s="797"/>
      <c r="D865" s="797"/>
      <c r="E865" s="797"/>
      <c r="F865" s="797"/>
      <c r="G865" s="796" t="s">
        <v>1751</v>
      </c>
      <c r="H865" s="796" t="s">
        <v>335</v>
      </c>
      <c r="I865" s="220" t="str">
        <f>IF(ISBLANK(regional!I478),"",regional!I478)</f>
        <v/>
      </c>
      <c r="J865" s="353"/>
      <c r="K865" s="225" t="s">
        <v>4159</v>
      </c>
      <c r="L865" s="225">
        <v>9.9999999999999995E-21</v>
      </c>
      <c r="M865" s="225" t="s">
        <v>4159</v>
      </c>
      <c r="N865" s="225" t="s">
        <v>4159</v>
      </c>
      <c r="O865" s="225" t="s">
        <v>4159</v>
      </c>
    </row>
    <row r="866" spans="1:15" ht="12.75" customHeight="1" x14ac:dyDescent="0.3">
      <c r="A866" s="797" t="s">
        <v>1752</v>
      </c>
      <c r="B866" s="797"/>
      <c r="C866" s="797"/>
      <c r="D866" s="797"/>
      <c r="E866" s="797"/>
      <c r="F866" s="797"/>
      <c r="G866" s="796" t="s">
        <v>1753</v>
      </c>
      <c r="H866" s="796" t="s">
        <v>335</v>
      </c>
      <c r="I866" s="220" t="str">
        <f>IF(ISBLANK(regional!I479),"",regional!I479)</f>
        <v/>
      </c>
      <c r="J866" s="211"/>
      <c r="K866" s="225">
        <v>0</v>
      </c>
      <c r="L866" s="225">
        <v>9.9999999999999995E-21</v>
      </c>
      <c r="M866" s="225">
        <v>0</v>
      </c>
      <c r="N866" s="225">
        <v>0</v>
      </c>
      <c r="O866" s="225" t="s">
        <v>4159</v>
      </c>
    </row>
    <row r="867" spans="1:15" ht="12.75" customHeight="1" x14ac:dyDescent="0.3">
      <c r="A867" s="797" t="s">
        <v>1754</v>
      </c>
      <c r="B867" s="797"/>
      <c r="C867" s="797"/>
      <c r="D867" s="797"/>
      <c r="E867" s="797"/>
      <c r="F867" s="797"/>
      <c r="G867" s="796" t="s">
        <v>1755</v>
      </c>
      <c r="H867" s="796" t="s">
        <v>335</v>
      </c>
      <c r="I867" s="220" t="str">
        <f>IF(ISBLANK(regional!I480),"",regional!I480)</f>
        <v/>
      </c>
      <c r="K867" s="225">
        <v>0</v>
      </c>
      <c r="L867" s="225">
        <v>9.9999999999999995E-21</v>
      </c>
      <c r="M867" s="225">
        <v>0</v>
      </c>
      <c r="N867" s="225">
        <v>0</v>
      </c>
      <c r="O867" s="225" t="s">
        <v>4159</v>
      </c>
    </row>
    <row r="868" spans="1:15" ht="12.75" customHeight="1" x14ac:dyDescent="0.3">
      <c r="A868" s="797" t="s">
        <v>1756</v>
      </c>
      <c r="B868" s="797"/>
      <c r="C868" s="797"/>
      <c r="D868" s="797"/>
      <c r="E868" s="797"/>
      <c r="F868" s="797"/>
      <c r="G868" s="796" t="s">
        <v>1757</v>
      </c>
      <c r="H868" s="796" t="s">
        <v>335</v>
      </c>
      <c r="I868" s="220" t="str">
        <f>IF(ISBLANK(regional!I481),"",regional!I481)</f>
        <v/>
      </c>
      <c r="K868" s="225" t="s">
        <v>4159</v>
      </c>
      <c r="L868" s="225">
        <v>9.9999999999999995E-21</v>
      </c>
      <c r="M868" s="225" t="s">
        <v>4159</v>
      </c>
      <c r="N868" s="225" t="s">
        <v>4159</v>
      </c>
      <c r="O868" s="225" t="s">
        <v>4159</v>
      </c>
    </row>
    <row r="869" spans="1:15" ht="12.75" customHeight="1" x14ac:dyDescent="0.3">
      <c r="A869" s="797" t="s">
        <v>1758</v>
      </c>
      <c r="B869" s="797"/>
      <c r="C869" s="797"/>
      <c r="D869" s="797"/>
      <c r="E869" s="797"/>
      <c r="F869" s="797"/>
      <c r="G869" s="796" t="s">
        <v>1759</v>
      </c>
      <c r="H869" s="796" t="s">
        <v>335</v>
      </c>
      <c r="I869" s="220" t="str">
        <f>IF(ISBLANK(regional!I482),"",regional!I482)</f>
        <v/>
      </c>
      <c r="K869" s="225">
        <v>0</v>
      </c>
      <c r="L869" s="225">
        <v>9.9999999999999995E-21</v>
      </c>
      <c r="M869" s="225">
        <v>0</v>
      </c>
      <c r="N869" s="225">
        <v>0</v>
      </c>
      <c r="O869" s="225" t="s">
        <v>4159</v>
      </c>
    </row>
    <row r="870" spans="1:15" ht="12.75" customHeight="1" x14ac:dyDescent="0.3">
      <c r="A870" s="797" t="s">
        <v>1760</v>
      </c>
      <c r="B870" s="797"/>
      <c r="C870" s="797"/>
      <c r="D870" s="797"/>
      <c r="E870" s="797"/>
      <c r="F870" s="797"/>
      <c r="G870" s="796" t="s">
        <v>1761</v>
      </c>
      <c r="H870" s="796" t="s">
        <v>335</v>
      </c>
      <c r="I870" s="220" t="str">
        <f>IF(ISBLANK(regional!I483),"",regional!I483)</f>
        <v/>
      </c>
      <c r="K870" s="225">
        <v>0</v>
      </c>
      <c r="L870" s="225">
        <v>9.9999999999999995E-21</v>
      </c>
      <c r="M870" s="225">
        <v>0</v>
      </c>
      <c r="N870" s="225">
        <v>0</v>
      </c>
      <c r="O870" s="225" t="s">
        <v>4159</v>
      </c>
    </row>
    <row r="871" spans="1:15" ht="12.75" customHeight="1" x14ac:dyDescent="0.3">
      <c r="A871" s="797" t="s">
        <v>1762</v>
      </c>
      <c r="B871" s="797"/>
      <c r="C871" s="797"/>
      <c r="D871" s="797"/>
      <c r="E871" s="797"/>
      <c r="F871" s="797"/>
      <c r="G871" s="796" t="s">
        <v>1763</v>
      </c>
      <c r="H871" s="796" t="s">
        <v>335</v>
      </c>
      <c r="I871" s="220" t="str">
        <f>IF(ISBLANK(regional!I484),"",regional!I484)</f>
        <v/>
      </c>
      <c r="K871" s="225" t="s">
        <v>4159</v>
      </c>
      <c r="L871" s="225">
        <v>9.9999999999999995E-21</v>
      </c>
      <c r="M871" s="225" t="s">
        <v>4159</v>
      </c>
      <c r="N871" s="225" t="s">
        <v>4159</v>
      </c>
      <c r="O871" s="225" t="s">
        <v>4159</v>
      </c>
    </row>
    <row r="872" spans="1:15" ht="12.75" customHeight="1" x14ac:dyDescent="0.3">
      <c r="A872" s="797" t="s">
        <v>1764</v>
      </c>
      <c r="B872" s="797"/>
      <c r="C872" s="797"/>
      <c r="D872" s="797"/>
      <c r="E872" s="797"/>
      <c r="F872" s="797"/>
      <c r="G872" s="796" t="s">
        <v>1765</v>
      </c>
      <c r="H872" s="796" t="s">
        <v>335</v>
      </c>
      <c r="I872" s="220" t="str">
        <f>IF(ISBLANK(regional!I485),"",regional!I485)</f>
        <v/>
      </c>
      <c r="K872" s="225">
        <v>0</v>
      </c>
      <c r="L872" s="225">
        <v>9.9999999999999995E-21</v>
      </c>
      <c r="M872" s="225">
        <v>0</v>
      </c>
      <c r="N872" s="225">
        <v>0</v>
      </c>
      <c r="O872" s="225" t="s">
        <v>4159</v>
      </c>
    </row>
    <row r="873" spans="1:15" ht="12.75" customHeight="1" x14ac:dyDescent="0.3">
      <c r="A873" s="841" t="s">
        <v>1766</v>
      </c>
      <c r="B873" s="841"/>
      <c r="C873" s="841"/>
      <c r="D873" s="841"/>
      <c r="E873" s="841"/>
      <c r="F873" s="841"/>
      <c r="G873" s="844" t="s">
        <v>1767</v>
      </c>
      <c r="H873" s="844" t="s">
        <v>335</v>
      </c>
      <c r="I873" s="220" t="str">
        <f>IF(ISBLANK(regional!I486),"",regional!I486)</f>
        <v/>
      </c>
      <c r="K873" s="225" t="s">
        <v>4159</v>
      </c>
      <c r="O873" s="225" t="s">
        <v>4159</v>
      </c>
    </row>
    <row r="874" spans="1:15" ht="12.75" customHeight="1" x14ac:dyDescent="0.3">
      <c r="A874" s="797" t="s">
        <v>1768</v>
      </c>
      <c r="B874" s="797"/>
      <c r="C874" s="797"/>
      <c r="D874" s="797"/>
      <c r="E874" s="797"/>
      <c r="F874" s="797"/>
      <c r="G874" s="796" t="s">
        <v>1769</v>
      </c>
      <c r="H874" s="796" t="s">
        <v>335</v>
      </c>
      <c r="I874" s="220" t="str">
        <f>IF(ISBLANK(regional!I487),"",regional!I487)</f>
        <v/>
      </c>
      <c r="K874" s="225" t="s">
        <v>4159</v>
      </c>
      <c r="O874" s="225" t="s">
        <v>4159</v>
      </c>
    </row>
    <row r="875" spans="1:15" ht="12.75" customHeight="1" x14ac:dyDescent="0.3">
      <c r="A875" s="797" t="s">
        <v>1770</v>
      </c>
      <c r="B875" s="797"/>
      <c r="C875" s="797"/>
      <c r="D875" s="797"/>
      <c r="E875" s="797"/>
      <c r="F875" s="797"/>
      <c r="G875" s="796" t="s">
        <v>1771</v>
      </c>
      <c r="H875" s="796" t="s">
        <v>335</v>
      </c>
      <c r="I875" s="220" t="str">
        <f>IF(ISBLANK(regional!I488),"",regional!I488)</f>
        <v/>
      </c>
      <c r="K875" s="225" t="s">
        <v>4159</v>
      </c>
      <c r="O875" s="225" t="s">
        <v>4159</v>
      </c>
    </row>
    <row r="876" spans="1:15" ht="12.75" customHeight="1" x14ac:dyDescent="0.3">
      <c r="A876" s="797" t="s">
        <v>1772</v>
      </c>
      <c r="B876" s="797"/>
      <c r="C876" s="797"/>
      <c r="D876" s="797"/>
      <c r="E876" s="797"/>
      <c r="F876" s="797"/>
      <c r="G876" s="796" t="s">
        <v>1773</v>
      </c>
      <c r="H876" s="796" t="s">
        <v>335</v>
      </c>
      <c r="I876" s="220" t="str">
        <f>IF(ISBLANK(regional!I489),"",regional!I489)</f>
        <v/>
      </c>
      <c r="K876" s="225" t="s">
        <v>4159</v>
      </c>
      <c r="O876" s="225" t="s">
        <v>4159</v>
      </c>
    </row>
    <row r="877" spans="1:15" ht="12.75" customHeight="1" x14ac:dyDescent="0.3">
      <c r="A877" s="797" t="s">
        <v>1774</v>
      </c>
      <c r="B877" s="797"/>
      <c r="C877" s="797"/>
      <c r="D877" s="797"/>
      <c r="E877" s="797"/>
      <c r="F877" s="797"/>
      <c r="G877" s="796" t="s">
        <v>1775</v>
      </c>
      <c r="H877" s="796" t="s">
        <v>335</v>
      </c>
      <c r="I877" s="220" t="str">
        <f>IF(ISBLANK(regional!I490),"",regional!I490)</f>
        <v/>
      </c>
      <c r="K877" s="225" t="s">
        <v>4159</v>
      </c>
      <c r="O877" s="225" t="s">
        <v>4159</v>
      </c>
    </row>
    <row r="878" spans="1:15" ht="12.75" customHeight="1" x14ac:dyDescent="0.3">
      <c r="A878" s="797" t="s">
        <v>1776</v>
      </c>
      <c r="B878" s="797"/>
      <c r="C878" s="797"/>
      <c r="D878" s="797"/>
      <c r="E878" s="797"/>
      <c r="F878" s="797"/>
      <c r="G878" s="796" t="s">
        <v>1777</v>
      </c>
      <c r="H878" s="796" t="s">
        <v>335</v>
      </c>
      <c r="I878" s="220" t="str">
        <f>IF(ISBLANK(regional!I491),"",regional!I491)</f>
        <v/>
      </c>
      <c r="K878" s="225" t="s">
        <v>4159</v>
      </c>
      <c r="O878" s="225" t="s">
        <v>4159</v>
      </c>
    </row>
    <row r="879" spans="1:15" ht="12.75" customHeight="1" x14ac:dyDescent="0.3">
      <c r="A879" s="797" t="s">
        <v>1778</v>
      </c>
      <c r="B879" s="797"/>
      <c r="C879" s="797"/>
      <c r="D879" s="797"/>
      <c r="E879" s="797"/>
      <c r="F879" s="797"/>
      <c r="G879" s="796" t="s">
        <v>1779</v>
      </c>
      <c r="H879" s="796" t="s">
        <v>335</v>
      </c>
      <c r="I879" s="220" t="str">
        <f>IF(ISBLANK(regional!I492),"",regional!I492)</f>
        <v/>
      </c>
      <c r="K879" s="225" t="s">
        <v>4159</v>
      </c>
      <c r="O879" s="225" t="s">
        <v>4159</v>
      </c>
    </row>
    <row r="880" spans="1:15" ht="12.75" customHeight="1" x14ac:dyDescent="0.3">
      <c r="A880" s="797" t="s">
        <v>1780</v>
      </c>
      <c r="B880" s="797"/>
      <c r="C880" s="797"/>
      <c r="D880" s="797"/>
      <c r="E880" s="797"/>
      <c r="F880" s="797"/>
      <c r="G880" s="796" t="s">
        <v>1781</v>
      </c>
      <c r="H880" s="796" t="s">
        <v>335</v>
      </c>
      <c r="I880" s="220" t="str">
        <f>IF(ISBLANK(regional!I493),"",regional!I493)</f>
        <v/>
      </c>
      <c r="K880" s="225" t="s">
        <v>4159</v>
      </c>
      <c r="O880" s="225" t="s">
        <v>4159</v>
      </c>
    </row>
    <row r="881" spans="1:15" ht="12.75" customHeight="1" x14ac:dyDescent="0.3">
      <c r="A881" s="797" t="s">
        <v>1782</v>
      </c>
      <c r="B881" s="797"/>
      <c r="C881" s="797"/>
      <c r="D881" s="797"/>
      <c r="E881" s="797"/>
      <c r="F881" s="797"/>
      <c r="G881" s="796" t="s">
        <v>1783</v>
      </c>
      <c r="H881" s="796" t="s">
        <v>335</v>
      </c>
      <c r="I881" s="220" t="str">
        <f>IF(ISBLANK(regional!I494),"",regional!I494)</f>
        <v/>
      </c>
      <c r="K881" s="225" t="s">
        <v>4159</v>
      </c>
      <c r="O881" s="225" t="s">
        <v>4159</v>
      </c>
    </row>
    <row r="882" spans="1:15" ht="12.75" customHeight="1" x14ac:dyDescent="0.3">
      <c r="A882" s="841" t="s">
        <v>1784</v>
      </c>
      <c r="B882" s="841"/>
      <c r="C882" s="841"/>
      <c r="D882" s="841"/>
      <c r="E882" s="841"/>
      <c r="F882" s="841"/>
      <c r="G882" s="844" t="s">
        <v>1785</v>
      </c>
      <c r="H882" s="844" t="s">
        <v>335</v>
      </c>
      <c r="I882" s="220" t="str">
        <f>IF(ISBLANK(regional!I495),"",regional!I495)</f>
        <v/>
      </c>
      <c r="K882" s="225" t="s">
        <v>4159</v>
      </c>
      <c r="O882" s="225" t="s">
        <v>4159</v>
      </c>
    </row>
    <row r="883" spans="1:15" ht="12.75" customHeight="1" x14ac:dyDescent="0.3">
      <c r="A883" s="797" t="s">
        <v>1787</v>
      </c>
      <c r="B883" s="797"/>
      <c r="C883" s="797"/>
      <c r="D883" s="797"/>
      <c r="E883" s="797"/>
      <c r="F883" s="797"/>
      <c r="G883" s="796" t="s">
        <v>1788</v>
      </c>
      <c r="H883" s="796" t="s">
        <v>335</v>
      </c>
      <c r="I883" s="220" t="str">
        <f>IF(ISBLANK(regional!I496),"",regional!I496)</f>
        <v/>
      </c>
      <c r="K883" s="225" t="s">
        <v>4159</v>
      </c>
      <c r="O883" s="225" t="s">
        <v>4159</v>
      </c>
    </row>
    <row r="884" spans="1:15" ht="12.75" customHeight="1" x14ac:dyDescent="0.3">
      <c r="A884" s="797" t="s">
        <v>1789</v>
      </c>
      <c r="B884" s="797"/>
      <c r="C884" s="797"/>
      <c r="D884" s="797"/>
      <c r="E884" s="797"/>
      <c r="F884" s="797"/>
      <c r="G884" s="796" t="s">
        <v>1790</v>
      </c>
      <c r="H884" s="796" t="s">
        <v>335</v>
      </c>
      <c r="I884" s="220" t="str">
        <f>IF(ISBLANK(regional!I497),"",regional!I497)</f>
        <v/>
      </c>
      <c r="K884" s="225" t="s">
        <v>4159</v>
      </c>
      <c r="O884" s="225" t="s">
        <v>4159</v>
      </c>
    </row>
    <row r="885" spans="1:15" ht="12.75" customHeight="1" x14ac:dyDescent="0.3">
      <c r="A885" s="797" t="s">
        <v>1791</v>
      </c>
      <c r="B885" s="797"/>
      <c r="C885" s="797"/>
      <c r="D885" s="797"/>
      <c r="E885" s="797"/>
      <c r="F885" s="797"/>
      <c r="G885" s="796" t="s">
        <v>1792</v>
      </c>
      <c r="H885" s="796" t="s">
        <v>335</v>
      </c>
      <c r="I885" s="220" t="str">
        <f>IF(ISBLANK(regional!I498),"",regional!I498)</f>
        <v/>
      </c>
      <c r="K885" s="225" t="s">
        <v>4159</v>
      </c>
      <c r="O885" s="225" t="s">
        <v>4159</v>
      </c>
    </row>
    <row r="886" spans="1:15" ht="12.75" customHeight="1" x14ac:dyDescent="0.3">
      <c r="A886" s="797" t="s">
        <v>1793</v>
      </c>
      <c r="B886" s="797"/>
      <c r="C886" s="797"/>
      <c r="D886" s="797"/>
      <c r="E886" s="797"/>
      <c r="F886" s="797"/>
      <c r="G886" s="796" t="s">
        <v>1794</v>
      </c>
      <c r="H886" s="796" t="s">
        <v>335</v>
      </c>
      <c r="I886" s="220" t="str">
        <f>IF(ISBLANK(regional!I499),"",regional!I499)</f>
        <v/>
      </c>
      <c r="K886" s="225" t="s">
        <v>4159</v>
      </c>
      <c r="O886" s="225" t="s">
        <v>4159</v>
      </c>
    </row>
    <row r="887" spans="1:15" ht="12.75" customHeight="1" x14ac:dyDescent="0.3">
      <c r="A887" s="797" t="s">
        <v>1795</v>
      </c>
      <c r="B887" s="797"/>
      <c r="C887" s="797"/>
      <c r="D887" s="797"/>
      <c r="E887" s="797"/>
      <c r="F887" s="797"/>
      <c r="G887" s="796" t="s">
        <v>1796</v>
      </c>
      <c r="H887" s="796" t="s">
        <v>335</v>
      </c>
      <c r="I887" s="220" t="str">
        <f>IF(ISBLANK(regional!I500),"",regional!I500)</f>
        <v/>
      </c>
      <c r="K887" s="225" t="s">
        <v>4159</v>
      </c>
      <c r="O887" s="225" t="s">
        <v>4159</v>
      </c>
    </row>
    <row r="888" spans="1:15" ht="12.75" customHeight="1" x14ac:dyDescent="0.3">
      <c r="A888" s="797" t="s">
        <v>1797</v>
      </c>
      <c r="B888" s="797"/>
      <c r="C888" s="797"/>
      <c r="D888" s="797"/>
      <c r="E888" s="797"/>
      <c r="F888" s="797"/>
      <c r="G888" s="796" t="s">
        <v>1798</v>
      </c>
      <c r="H888" s="796" t="s">
        <v>335</v>
      </c>
      <c r="I888" s="220" t="str">
        <f>IF(ISBLANK(regional!I501),"",regional!I501)</f>
        <v/>
      </c>
      <c r="K888" s="225" t="s">
        <v>4159</v>
      </c>
      <c r="O888" s="225" t="s">
        <v>4159</v>
      </c>
    </row>
    <row r="889" spans="1:15" ht="12.75" customHeight="1" x14ac:dyDescent="0.3">
      <c r="A889" s="797" t="s">
        <v>1799</v>
      </c>
      <c r="B889" s="797"/>
      <c r="C889" s="797"/>
      <c r="D889" s="797"/>
      <c r="E889" s="797"/>
      <c r="F889" s="797"/>
      <c r="G889" s="796" t="s">
        <v>1800</v>
      </c>
      <c r="H889" s="796" t="s">
        <v>335</v>
      </c>
      <c r="I889" s="220" t="str">
        <f>IF(ISBLANK(regional!I502),"",regional!I502)</f>
        <v/>
      </c>
      <c r="K889" s="225" t="s">
        <v>4159</v>
      </c>
      <c r="O889" s="225" t="s">
        <v>4159</v>
      </c>
    </row>
    <row r="890" spans="1:15" ht="12.75" customHeight="1" x14ac:dyDescent="0.3">
      <c r="A890" s="852" t="s">
        <v>1801</v>
      </c>
      <c r="B890" s="852"/>
      <c r="C890" s="852"/>
      <c r="D890" s="852"/>
      <c r="E890" s="852"/>
      <c r="F890" s="852"/>
      <c r="G890" s="853" t="s">
        <v>1802</v>
      </c>
      <c r="H890" s="853" t="s">
        <v>335</v>
      </c>
      <c r="I890" s="220" t="str">
        <f>IF(ISBLANK(regional!I503),"",regional!I503)</f>
        <v/>
      </c>
      <c r="K890" s="225" t="s">
        <v>4159</v>
      </c>
      <c r="O890" s="225" t="s">
        <v>4159</v>
      </c>
    </row>
    <row r="891" spans="1:15" ht="12.75" customHeight="1" x14ac:dyDescent="0.3">
      <c r="A891" s="841" t="s">
        <v>1803</v>
      </c>
      <c r="B891" s="841"/>
      <c r="C891" s="841"/>
      <c r="D891" s="841"/>
      <c r="E891" s="841"/>
      <c r="F891" s="841"/>
      <c r="G891" s="844" t="s">
        <v>4655</v>
      </c>
      <c r="H891" s="796" t="s">
        <v>335</v>
      </c>
      <c r="I891" s="220" t="str">
        <f>IF(ISBLANK(regional!I504),"",regional!I504)</f>
        <v/>
      </c>
    </row>
    <row r="892" spans="1:15" ht="12.75" customHeight="1" x14ac:dyDescent="0.3">
      <c r="A892" s="797" t="s">
        <v>1806</v>
      </c>
      <c r="B892" s="797"/>
      <c r="C892" s="797"/>
      <c r="D892" s="797"/>
      <c r="E892" s="797"/>
      <c r="F892" s="797"/>
      <c r="G892" s="796" t="s">
        <v>4656</v>
      </c>
      <c r="H892" s="796" t="s">
        <v>335</v>
      </c>
      <c r="I892" s="220" t="str">
        <f>IF(ISBLANK(regional!I505),"",regional!I505)</f>
        <v/>
      </c>
    </row>
    <row r="893" spans="1:15" ht="12.75" customHeight="1" x14ac:dyDescent="0.3">
      <c r="A893" s="797" t="s">
        <v>1808</v>
      </c>
      <c r="B893" s="797"/>
      <c r="C893" s="797"/>
      <c r="D893" s="797"/>
      <c r="E893" s="797"/>
      <c r="F893" s="797"/>
      <c r="G893" s="796" t="s">
        <v>4657</v>
      </c>
      <c r="H893" s="796" t="s">
        <v>335</v>
      </c>
      <c r="I893" s="220" t="str">
        <f>IF(ISBLANK(regional!I506),"",regional!I506)</f>
        <v/>
      </c>
    </row>
    <row r="894" spans="1:15" ht="12.75" customHeight="1" x14ac:dyDescent="0.3">
      <c r="A894" s="797" t="s">
        <v>1810</v>
      </c>
      <c r="B894" s="797"/>
      <c r="C894" s="797"/>
      <c r="D894" s="797"/>
      <c r="E894" s="797"/>
      <c r="F894" s="797"/>
      <c r="G894" s="796" t="s">
        <v>4658</v>
      </c>
      <c r="H894" s="796" t="s">
        <v>335</v>
      </c>
      <c r="I894" s="220" t="str">
        <f>IF(ISBLANK(regional!I507),"",regional!I507)</f>
        <v/>
      </c>
    </row>
    <row r="895" spans="1:15" ht="12.75" customHeight="1" x14ac:dyDescent="0.3">
      <c r="A895" s="797" t="s">
        <v>1812</v>
      </c>
      <c r="B895" s="797"/>
      <c r="C895" s="797"/>
      <c r="D895" s="797"/>
      <c r="E895" s="797"/>
      <c r="F895" s="797"/>
      <c r="G895" s="796" t="s">
        <v>4659</v>
      </c>
      <c r="H895" s="796" t="s">
        <v>335</v>
      </c>
      <c r="I895" s="220" t="str">
        <f>IF(ISBLANK(regional!I508),"",regional!I508)</f>
        <v/>
      </c>
    </row>
    <row r="896" spans="1:15" ht="12.75" customHeight="1" x14ac:dyDescent="0.3">
      <c r="A896" s="797" t="s">
        <v>1814</v>
      </c>
      <c r="B896" s="797"/>
      <c r="C896" s="797"/>
      <c r="D896" s="797"/>
      <c r="E896" s="797"/>
      <c r="F896" s="797"/>
      <c r="G896" s="796" t="s">
        <v>4660</v>
      </c>
      <c r="H896" s="796" t="s">
        <v>335</v>
      </c>
      <c r="I896" s="220" t="str">
        <f>IF(ISBLANK(regional!I509),"",regional!I509)</f>
        <v/>
      </c>
    </row>
    <row r="897" spans="1:15" ht="12.75" customHeight="1" x14ac:dyDescent="0.3">
      <c r="A897" s="797" t="s">
        <v>1816</v>
      </c>
      <c r="B897" s="797"/>
      <c r="C897" s="797"/>
      <c r="D897" s="797"/>
      <c r="E897" s="797"/>
      <c r="F897" s="797"/>
      <c r="G897" s="796" t="s">
        <v>4661</v>
      </c>
      <c r="H897" s="796" t="s">
        <v>335</v>
      </c>
      <c r="I897" s="220" t="str">
        <f>IF(ISBLANK(regional!I510),"",regional!I510)</f>
        <v/>
      </c>
    </row>
    <row r="898" spans="1:15" ht="12.75" customHeight="1" x14ac:dyDescent="0.3">
      <c r="A898" s="797" t="s">
        <v>1819</v>
      </c>
      <c r="B898" s="797"/>
      <c r="C898" s="797"/>
      <c r="D898" s="797"/>
      <c r="E898" s="797"/>
      <c r="F898" s="797"/>
      <c r="G898" s="796" t="s">
        <v>4662</v>
      </c>
      <c r="H898" s="796" t="s">
        <v>335</v>
      </c>
      <c r="I898" s="220" t="str">
        <f>IF(ISBLANK(regional!I511),"",regional!I511)</f>
        <v/>
      </c>
    </row>
    <row r="899" spans="1:15" ht="12.75" customHeight="1" x14ac:dyDescent="0.3">
      <c r="A899" s="852" t="s">
        <v>1821</v>
      </c>
      <c r="B899" s="852"/>
      <c r="C899" s="852"/>
      <c r="D899" s="852"/>
      <c r="E899" s="852"/>
      <c r="F899" s="852"/>
      <c r="G899" s="853" t="s">
        <v>4663</v>
      </c>
      <c r="H899" s="853" t="s">
        <v>335</v>
      </c>
      <c r="I899" s="220" t="str">
        <f>IF(ISBLANK(regional!I512),"",regional!I512)</f>
        <v/>
      </c>
    </row>
    <row r="900" spans="1:15" ht="12.75" customHeight="1" x14ac:dyDescent="0.3">
      <c r="A900" s="841" t="s">
        <v>1803</v>
      </c>
      <c r="B900" s="841"/>
      <c r="C900" s="841"/>
      <c r="D900" s="841"/>
      <c r="E900" s="841"/>
      <c r="F900" s="841"/>
      <c r="G900" s="844" t="s">
        <v>1804</v>
      </c>
      <c r="H900" s="796" t="s">
        <v>335</v>
      </c>
      <c r="I900" s="220" t="str">
        <f>IF(ISBLANK(regional!I513),"",regional!I513)</f>
        <v/>
      </c>
      <c r="K900" s="225" t="s">
        <v>4159</v>
      </c>
      <c r="O900" s="225" t="s">
        <v>4159</v>
      </c>
    </row>
    <row r="901" spans="1:15" ht="12.75" customHeight="1" x14ac:dyDescent="0.3">
      <c r="A901" s="797" t="s">
        <v>1806</v>
      </c>
      <c r="B901" s="797"/>
      <c r="C901" s="797"/>
      <c r="D901" s="797"/>
      <c r="E901" s="797"/>
      <c r="F901" s="797"/>
      <c r="G901" s="796" t="s">
        <v>1807</v>
      </c>
      <c r="H901" s="796" t="s">
        <v>335</v>
      </c>
      <c r="I901" s="220" t="str">
        <f>IF(ISBLANK(regional!I514),"",regional!I514)</f>
        <v/>
      </c>
      <c r="K901" s="225" t="s">
        <v>4159</v>
      </c>
      <c r="O901" s="225" t="s">
        <v>4159</v>
      </c>
    </row>
    <row r="902" spans="1:15" ht="12.75" customHeight="1" x14ac:dyDescent="0.3">
      <c r="A902" s="797" t="s">
        <v>1808</v>
      </c>
      <c r="B902" s="797"/>
      <c r="C902" s="797"/>
      <c r="D902" s="797"/>
      <c r="E902" s="797"/>
      <c r="F902" s="797"/>
      <c r="G902" s="796" t="s">
        <v>1809</v>
      </c>
      <c r="H902" s="796" t="s">
        <v>335</v>
      </c>
      <c r="I902" s="220" t="str">
        <f>IF(ISBLANK(regional!I515),"",regional!I515)</f>
        <v/>
      </c>
      <c r="K902" s="225" t="s">
        <v>4159</v>
      </c>
      <c r="O902" s="225" t="s">
        <v>4159</v>
      </c>
    </row>
    <row r="903" spans="1:15" ht="12.75" customHeight="1" x14ac:dyDescent="0.3">
      <c r="A903" s="797" t="s">
        <v>1810</v>
      </c>
      <c r="B903" s="797"/>
      <c r="C903" s="797"/>
      <c r="D903" s="797"/>
      <c r="E903" s="797"/>
      <c r="F903" s="797"/>
      <c r="G903" s="796" t="s">
        <v>1811</v>
      </c>
      <c r="H903" s="796" t="s">
        <v>335</v>
      </c>
      <c r="I903" s="220" t="str">
        <f>IF(ISBLANK(regional!I516),"",regional!I516)</f>
        <v/>
      </c>
      <c r="K903" s="225" t="s">
        <v>4159</v>
      </c>
      <c r="O903" s="225" t="s">
        <v>4159</v>
      </c>
    </row>
    <row r="904" spans="1:15" ht="12.75" customHeight="1" x14ac:dyDescent="0.3">
      <c r="A904" s="797" t="s">
        <v>1812</v>
      </c>
      <c r="B904" s="797"/>
      <c r="C904" s="797"/>
      <c r="D904" s="797"/>
      <c r="E904" s="797"/>
      <c r="F904" s="797"/>
      <c r="G904" s="796" t="s">
        <v>1813</v>
      </c>
      <c r="H904" s="796" t="s">
        <v>335</v>
      </c>
      <c r="I904" s="220" t="str">
        <f>IF(ISBLANK(regional!I517),"",regional!I517)</f>
        <v/>
      </c>
      <c r="J904" s="635"/>
      <c r="K904" s="225" t="s">
        <v>4159</v>
      </c>
      <c r="O904" s="225" t="s">
        <v>4159</v>
      </c>
    </row>
    <row r="905" spans="1:15" ht="12.75" customHeight="1" x14ac:dyDescent="0.3">
      <c r="A905" s="797" t="s">
        <v>1814</v>
      </c>
      <c r="B905" s="797"/>
      <c r="C905" s="797"/>
      <c r="D905" s="797"/>
      <c r="E905" s="797"/>
      <c r="F905" s="797"/>
      <c r="G905" s="796" t="s">
        <v>1815</v>
      </c>
      <c r="H905" s="796" t="s">
        <v>335</v>
      </c>
      <c r="I905" s="220" t="str">
        <f>IF(ISBLANK(regional!I518),"",regional!I518)</f>
        <v/>
      </c>
      <c r="K905" s="225" t="s">
        <v>4159</v>
      </c>
      <c r="O905" s="225" t="s">
        <v>4159</v>
      </c>
    </row>
    <row r="906" spans="1:15" ht="12.75" customHeight="1" x14ac:dyDescent="0.3">
      <c r="A906" s="797" t="s">
        <v>1816</v>
      </c>
      <c r="B906" s="797"/>
      <c r="C906" s="797"/>
      <c r="D906" s="797"/>
      <c r="E906" s="797"/>
      <c r="F906" s="797"/>
      <c r="G906" s="796" t="s">
        <v>1817</v>
      </c>
      <c r="H906" s="796" t="s">
        <v>335</v>
      </c>
      <c r="I906" s="220" t="str">
        <f>IF(ISBLANK(regional!I519),"",regional!I519)</f>
        <v/>
      </c>
      <c r="K906" s="225" t="s">
        <v>4159</v>
      </c>
      <c r="O906" s="225" t="s">
        <v>4159</v>
      </c>
    </row>
    <row r="907" spans="1:15" ht="12.75" customHeight="1" x14ac:dyDescent="0.3">
      <c r="A907" s="797" t="s">
        <v>1819</v>
      </c>
      <c r="B907" s="797"/>
      <c r="C907" s="797"/>
      <c r="D907" s="797"/>
      <c r="E907" s="797"/>
      <c r="F907" s="797"/>
      <c r="G907" s="796" t="s">
        <v>1820</v>
      </c>
      <c r="H907" s="796" t="s">
        <v>335</v>
      </c>
      <c r="I907" s="220" t="str">
        <f>IF(ISBLANK(regional!I520),"",regional!I520)</f>
        <v/>
      </c>
      <c r="K907" s="225" t="s">
        <v>4159</v>
      </c>
      <c r="O907" s="225" t="s">
        <v>4159</v>
      </c>
    </row>
    <row r="908" spans="1:15" ht="12.75" customHeight="1" x14ac:dyDescent="0.3">
      <c r="A908" s="852" t="s">
        <v>1821</v>
      </c>
      <c r="B908" s="852"/>
      <c r="C908" s="852"/>
      <c r="D908" s="852"/>
      <c r="E908" s="852"/>
      <c r="F908" s="852"/>
      <c r="G908" s="853" t="s">
        <v>1822</v>
      </c>
      <c r="H908" s="853" t="s">
        <v>335</v>
      </c>
      <c r="I908" s="220" t="str">
        <f>IF(ISBLANK(regional!I521),"",regional!I521)</f>
        <v/>
      </c>
      <c r="K908" s="225" t="s">
        <v>4159</v>
      </c>
      <c r="O908" s="225" t="s">
        <v>4159</v>
      </c>
    </row>
    <row r="909" spans="1:15" ht="12.75" customHeight="1" x14ac:dyDescent="0.3">
      <c r="A909" s="826"/>
      <c r="B909" s="826"/>
      <c r="C909" s="826"/>
      <c r="D909" s="826"/>
      <c r="E909" s="826"/>
      <c r="F909" s="826"/>
      <c r="G909" s="827"/>
      <c r="H909" s="827"/>
      <c r="I909" s="220" t="str">
        <f>IF(ISBLANK(regional!I522),"",regional!I522)</f>
        <v/>
      </c>
      <c r="K909" s="225" t="s">
        <v>4159</v>
      </c>
      <c r="O909" s="225" t="s">
        <v>4159</v>
      </c>
    </row>
    <row r="910" spans="1:15" ht="12.75" customHeight="1" x14ac:dyDescent="0.3">
      <c r="A910" s="836" t="s">
        <v>1823</v>
      </c>
      <c r="B910" s="837"/>
      <c r="C910" s="837"/>
      <c r="D910" s="837"/>
      <c r="E910" s="837"/>
      <c r="F910" s="837"/>
      <c r="G910" s="836" t="s">
        <v>258</v>
      </c>
      <c r="H910" s="836" t="s">
        <v>274</v>
      </c>
      <c r="I910" s="220" t="str">
        <f>IF(ISBLANK(regional!I523),"",regional!I523)</f>
        <v>User input</v>
      </c>
      <c r="K910" s="225" t="s">
        <v>259</v>
      </c>
      <c r="O910" s="225" t="s">
        <v>259</v>
      </c>
    </row>
    <row r="911" spans="1:15" ht="12.75" customHeight="1" x14ac:dyDescent="0.3">
      <c r="A911" s="796" t="s">
        <v>1267</v>
      </c>
      <c r="B911" s="797"/>
      <c r="C911" s="797"/>
      <c r="D911" s="797"/>
      <c r="E911" s="797"/>
      <c r="F911" s="797"/>
      <c r="G911" s="796" t="s">
        <v>1824</v>
      </c>
      <c r="H911" s="796" t="s">
        <v>4690</v>
      </c>
      <c r="I911" s="220" t="str">
        <f>IF(ISBLANK(regional!I524),"",regional!I524)</f>
        <v/>
      </c>
      <c r="K911" s="225" t="s">
        <v>4159</v>
      </c>
      <c r="O911" s="225" t="s">
        <v>4159</v>
      </c>
    </row>
    <row r="912" spans="1:15" ht="12.75" customHeight="1" x14ac:dyDescent="0.3">
      <c r="A912" s="796" t="s">
        <v>1267</v>
      </c>
      <c r="B912" s="797"/>
      <c r="C912" s="797"/>
      <c r="D912" s="797"/>
      <c r="E912" s="797"/>
      <c r="F912" s="797"/>
      <c r="G912" s="796" t="s">
        <v>1825</v>
      </c>
      <c r="H912" s="796" t="s">
        <v>4690</v>
      </c>
      <c r="I912" s="220" t="str">
        <f>IF(ISBLANK(regional!I525),"",regional!I525)</f>
        <v/>
      </c>
      <c r="K912" s="225" t="s">
        <v>4159</v>
      </c>
      <c r="O912" s="225" t="s">
        <v>4159</v>
      </c>
    </row>
    <row r="913" spans="1:15" ht="12.75" customHeight="1" x14ac:dyDescent="0.3">
      <c r="A913" s="796" t="s">
        <v>1267</v>
      </c>
      <c r="B913" s="797"/>
      <c r="C913" s="797"/>
      <c r="D913" s="797"/>
      <c r="E913" s="797"/>
      <c r="F913" s="797"/>
      <c r="G913" s="796" t="s">
        <v>1826</v>
      </c>
      <c r="H913" s="796" t="s">
        <v>4690</v>
      </c>
      <c r="I913" s="220" t="str">
        <f>IF(ISBLANK(regional!I526),"",regional!I526)</f>
        <v/>
      </c>
      <c r="K913" s="225" t="s">
        <v>4159</v>
      </c>
      <c r="O913" s="225" t="s">
        <v>4159</v>
      </c>
    </row>
    <row r="914" spans="1:15" ht="12.75" customHeight="1" x14ac:dyDescent="0.3">
      <c r="A914" s="796" t="s">
        <v>1268</v>
      </c>
      <c r="B914" s="797"/>
      <c r="C914" s="797"/>
      <c r="D914" s="797"/>
      <c r="E914" s="797"/>
      <c r="F914" s="797"/>
      <c r="G914" s="796" t="s">
        <v>1827</v>
      </c>
      <c r="H914" s="796" t="s">
        <v>4690</v>
      </c>
      <c r="I914" s="220" t="str">
        <f>IF(ISBLANK(regional!I527),"",regional!I527)</f>
        <v/>
      </c>
      <c r="K914" s="225" t="s">
        <v>4159</v>
      </c>
      <c r="O914" s="225" t="s">
        <v>4159</v>
      </c>
    </row>
    <row r="915" spans="1:15" ht="12.75" customHeight="1" x14ac:dyDescent="0.3">
      <c r="A915" s="796" t="s">
        <v>1268</v>
      </c>
      <c r="B915" s="797"/>
      <c r="C915" s="797"/>
      <c r="D915" s="797"/>
      <c r="E915" s="797"/>
      <c r="F915" s="797"/>
      <c r="G915" s="796" t="s">
        <v>1829</v>
      </c>
      <c r="H915" s="796" t="s">
        <v>4690</v>
      </c>
      <c r="I915" s="220" t="str">
        <f>IF(ISBLANK(regional!I528),"",regional!I528)</f>
        <v/>
      </c>
      <c r="K915" s="225" t="s">
        <v>4159</v>
      </c>
      <c r="O915" s="225" t="s">
        <v>4159</v>
      </c>
    </row>
    <row r="916" spans="1:15" ht="12.75" customHeight="1" x14ac:dyDescent="0.3">
      <c r="A916" s="796" t="s">
        <v>1268</v>
      </c>
      <c r="B916" s="797"/>
      <c r="C916" s="797"/>
      <c r="D916" s="797"/>
      <c r="E916" s="797"/>
      <c r="F916" s="797"/>
      <c r="G916" s="796" t="s">
        <v>1830</v>
      </c>
      <c r="H916" s="796" t="s">
        <v>4690</v>
      </c>
      <c r="I916" s="220" t="str">
        <f>IF(ISBLANK(regional!I529),"",regional!I529)</f>
        <v/>
      </c>
      <c r="K916" s="225" t="s">
        <v>4159</v>
      </c>
      <c r="O916" s="225" t="s">
        <v>4159</v>
      </c>
    </row>
    <row r="917" spans="1:15" ht="12.75" customHeight="1" x14ac:dyDescent="0.3">
      <c r="A917" s="796" t="s">
        <v>1269</v>
      </c>
      <c r="B917" s="797"/>
      <c r="C917" s="797"/>
      <c r="D917" s="797"/>
      <c r="E917" s="797"/>
      <c r="F917" s="797"/>
      <c r="G917" s="796" t="s">
        <v>1831</v>
      </c>
      <c r="H917" s="796" t="s">
        <v>4690</v>
      </c>
      <c r="I917" s="220" t="str">
        <f>IF(ISBLANK(regional!I530),"",regional!I530)</f>
        <v/>
      </c>
      <c r="K917" s="225" t="s">
        <v>4159</v>
      </c>
      <c r="O917" s="225" t="s">
        <v>4159</v>
      </c>
    </row>
    <row r="918" spans="1:15" ht="12.75" customHeight="1" x14ac:dyDescent="0.3">
      <c r="A918" s="796" t="s">
        <v>1269</v>
      </c>
      <c r="B918" s="797"/>
      <c r="C918" s="797"/>
      <c r="D918" s="797"/>
      <c r="E918" s="797"/>
      <c r="F918" s="797"/>
      <c r="G918" s="796" t="s">
        <v>1832</v>
      </c>
      <c r="H918" s="796" t="s">
        <v>4690</v>
      </c>
      <c r="I918" s="220" t="str">
        <f>IF(ISBLANK(regional!I531),"",regional!I531)</f>
        <v/>
      </c>
      <c r="J918" s="635"/>
      <c r="K918" s="225" t="s">
        <v>4159</v>
      </c>
      <c r="O918" s="225" t="s">
        <v>4159</v>
      </c>
    </row>
    <row r="919" spans="1:15" ht="12.75" customHeight="1" x14ac:dyDescent="0.3">
      <c r="A919" s="796" t="s">
        <v>1269</v>
      </c>
      <c r="B919" s="797"/>
      <c r="C919" s="797"/>
      <c r="D919" s="797"/>
      <c r="E919" s="797"/>
      <c r="F919" s="797"/>
      <c r="G919" s="796" t="s">
        <v>1833</v>
      </c>
      <c r="H919" s="796" t="s">
        <v>4690</v>
      </c>
      <c r="I919" s="220" t="str">
        <f>IF(ISBLANK(regional!I532),"",regional!I532)</f>
        <v/>
      </c>
      <c r="K919" s="225" t="s">
        <v>4159</v>
      </c>
      <c r="O919" s="225" t="s">
        <v>4159</v>
      </c>
    </row>
    <row r="920" spans="1:15" ht="12.75" customHeight="1" x14ac:dyDescent="0.3">
      <c r="A920" s="796" t="s">
        <v>1270</v>
      </c>
      <c r="B920" s="797"/>
      <c r="C920" s="797"/>
      <c r="D920" s="797"/>
      <c r="E920" s="797"/>
      <c r="F920" s="797"/>
      <c r="G920" s="796" t="s">
        <v>1834</v>
      </c>
      <c r="H920" s="796" t="s">
        <v>4690</v>
      </c>
      <c r="I920" s="220" t="str">
        <f>IF(ISBLANK(regional!I533),"",regional!I533)</f>
        <v/>
      </c>
      <c r="K920" s="225" t="s">
        <v>4159</v>
      </c>
      <c r="O920" s="225" t="s">
        <v>4159</v>
      </c>
    </row>
    <row r="921" spans="1:15" ht="12.75" customHeight="1" x14ac:dyDescent="0.3">
      <c r="A921" s="796" t="s">
        <v>1270</v>
      </c>
      <c r="B921" s="797"/>
      <c r="C921" s="797"/>
      <c r="D921" s="797"/>
      <c r="E921" s="797"/>
      <c r="F921" s="797"/>
      <c r="G921" s="796" t="s">
        <v>1835</v>
      </c>
      <c r="H921" s="796" t="s">
        <v>4690</v>
      </c>
      <c r="I921" s="220" t="str">
        <f>IF(ISBLANK(regional!I534),"",regional!I534)</f>
        <v/>
      </c>
      <c r="K921" s="225" t="s">
        <v>4159</v>
      </c>
      <c r="O921" s="225" t="s">
        <v>4159</v>
      </c>
    </row>
    <row r="922" spans="1:15" ht="12.75" customHeight="1" x14ac:dyDescent="0.3">
      <c r="A922" s="796" t="s">
        <v>1270</v>
      </c>
      <c r="B922" s="797"/>
      <c r="C922" s="797"/>
      <c r="D922" s="797"/>
      <c r="E922" s="797"/>
      <c r="F922" s="797"/>
      <c r="G922" s="796" t="s">
        <v>1836</v>
      </c>
      <c r="H922" s="796" t="s">
        <v>4690</v>
      </c>
      <c r="I922" s="220" t="str">
        <f>IF(ISBLANK(regional!I535),"",regional!I535)</f>
        <v/>
      </c>
      <c r="K922" s="225" t="s">
        <v>4159</v>
      </c>
      <c r="O922" s="225" t="s">
        <v>4159</v>
      </c>
    </row>
    <row r="923" spans="1:15" ht="12.75" customHeight="1" x14ac:dyDescent="0.3">
      <c r="A923" s="796" t="s">
        <v>1271</v>
      </c>
      <c r="B923" s="797"/>
      <c r="C923" s="797"/>
      <c r="D923" s="797"/>
      <c r="E923" s="797"/>
      <c r="F923" s="797"/>
      <c r="G923" s="796" t="s">
        <v>1837</v>
      </c>
      <c r="H923" s="796" t="s">
        <v>4690</v>
      </c>
      <c r="I923" s="220" t="str">
        <f>IF(ISBLANK(regional!I536),"",regional!I536)</f>
        <v/>
      </c>
      <c r="K923" s="225" t="s">
        <v>4159</v>
      </c>
      <c r="O923" s="225" t="s">
        <v>4159</v>
      </c>
    </row>
    <row r="924" spans="1:15" ht="12.75" customHeight="1" x14ac:dyDescent="0.3">
      <c r="A924" s="796" t="s">
        <v>1271</v>
      </c>
      <c r="B924" s="797"/>
      <c r="C924" s="797"/>
      <c r="D924" s="797"/>
      <c r="E924" s="797"/>
      <c r="F924" s="797"/>
      <c r="G924" s="796" t="s">
        <v>1838</v>
      </c>
      <c r="H924" s="796" t="s">
        <v>4690</v>
      </c>
      <c r="I924" s="220" t="str">
        <f>IF(ISBLANK(regional!I537),"",regional!I537)</f>
        <v/>
      </c>
      <c r="K924" s="225" t="s">
        <v>4159</v>
      </c>
      <c r="O924" s="225" t="s">
        <v>4159</v>
      </c>
    </row>
    <row r="925" spans="1:15" ht="12.75" customHeight="1" x14ac:dyDescent="0.3">
      <c r="A925" s="796" t="s">
        <v>1271</v>
      </c>
      <c r="B925" s="797"/>
      <c r="C925" s="797"/>
      <c r="D925" s="797"/>
      <c r="E925" s="797"/>
      <c r="F925" s="797"/>
      <c r="G925" s="796" t="s">
        <v>1839</v>
      </c>
      <c r="H925" s="796" t="s">
        <v>4690</v>
      </c>
      <c r="I925" s="220" t="str">
        <f>IF(ISBLANK(regional!I538),"",regional!I538)</f>
        <v/>
      </c>
      <c r="K925" s="225" t="s">
        <v>4159</v>
      </c>
      <c r="O925" s="225" t="s">
        <v>4159</v>
      </c>
    </row>
    <row r="926" spans="1:15" ht="12.75" customHeight="1" x14ac:dyDescent="0.3">
      <c r="A926" s="796" t="s">
        <v>1273</v>
      </c>
      <c r="B926" s="797"/>
      <c r="C926" s="797"/>
      <c r="D926" s="797"/>
      <c r="E926" s="797"/>
      <c r="F926" s="797"/>
      <c r="G926" s="796" t="s">
        <v>1840</v>
      </c>
      <c r="H926" s="796" t="s">
        <v>4690</v>
      </c>
      <c r="I926" s="220" t="str">
        <f>IF(ISBLANK(regional!I539),"",regional!I539)</f>
        <v/>
      </c>
      <c r="K926" s="225" t="s">
        <v>4159</v>
      </c>
      <c r="O926" s="225" t="s">
        <v>4159</v>
      </c>
    </row>
    <row r="927" spans="1:15" ht="12.75" customHeight="1" x14ac:dyDescent="0.3">
      <c r="A927" s="796" t="s">
        <v>1273</v>
      </c>
      <c r="B927" s="797"/>
      <c r="C927" s="797"/>
      <c r="D927" s="797"/>
      <c r="E927" s="797"/>
      <c r="F927" s="797"/>
      <c r="G927" s="796" t="s">
        <v>1841</v>
      </c>
      <c r="H927" s="796" t="s">
        <v>4690</v>
      </c>
      <c r="I927" s="220" t="str">
        <f>IF(ISBLANK(regional!I540),"",regional!I540)</f>
        <v/>
      </c>
      <c r="J927" s="211"/>
      <c r="K927" s="225" t="s">
        <v>4159</v>
      </c>
      <c r="O927" s="225" t="s">
        <v>4159</v>
      </c>
    </row>
    <row r="928" spans="1:15" ht="12.75" customHeight="1" x14ac:dyDescent="0.3">
      <c r="A928" s="796" t="s">
        <v>1273</v>
      </c>
      <c r="B928" s="797"/>
      <c r="C928" s="797"/>
      <c r="D928" s="797"/>
      <c r="E928" s="797"/>
      <c r="F928" s="797"/>
      <c r="G928" s="796" t="s">
        <v>1842</v>
      </c>
      <c r="H928" s="796" t="s">
        <v>4690</v>
      </c>
      <c r="I928" s="220" t="str">
        <f>IF(ISBLANK(regional!I541),"",regional!I541)</f>
        <v/>
      </c>
      <c r="J928" s="353"/>
      <c r="K928" s="225" t="s">
        <v>4159</v>
      </c>
      <c r="O928" s="225" t="s">
        <v>4159</v>
      </c>
    </row>
    <row r="929" spans="1:15" ht="12.75" customHeight="1" x14ac:dyDescent="0.3">
      <c r="A929" s="796" t="s">
        <v>1274</v>
      </c>
      <c r="B929" s="797"/>
      <c r="C929" s="797"/>
      <c r="D929" s="797"/>
      <c r="E929" s="797"/>
      <c r="F929" s="797"/>
      <c r="G929" s="796" t="s">
        <v>1843</v>
      </c>
      <c r="H929" s="796" t="s">
        <v>4690</v>
      </c>
      <c r="I929" s="220" t="str">
        <f>IF(ISBLANK(regional!I542),"",regional!I542)</f>
        <v/>
      </c>
      <c r="J929" s="211"/>
      <c r="K929" s="225" t="s">
        <v>4159</v>
      </c>
      <c r="O929" s="225" t="s">
        <v>4159</v>
      </c>
    </row>
    <row r="930" spans="1:15" ht="12.75" customHeight="1" x14ac:dyDescent="0.3">
      <c r="A930" s="796" t="s">
        <v>1274</v>
      </c>
      <c r="B930" s="797"/>
      <c r="C930" s="797"/>
      <c r="D930" s="797"/>
      <c r="E930" s="797"/>
      <c r="F930" s="797"/>
      <c r="G930" s="796" t="s">
        <v>1844</v>
      </c>
      <c r="H930" s="796" t="s">
        <v>4690</v>
      </c>
      <c r="I930" s="220" t="str">
        <f>IF(ISBLANK(regional!I543),"",regional!I543)</f>
        <v/>
      </c>
      <c r="K930" s="225" t="s">
        <v>4159</v>
      </c>
      <c r="O930" s="225" t="s">
        <v>4159</v>
      </c>
    </row>
    <row r="931" spans="1:15" ht="12.75" customHeight="1" x14ac:dyDescent="0.3">
      <c r="A931" s="796" t="s">
        <v>1274</v>
      </c>
      <c r="B931" s="797"/>
      <c r="C931" s="797"/>
      <c r="D931" s="797"/>
      <c r="E931" s="797"/>
      <c r="F931" s="797"/>
      <c r="G931" s="796" t="s">
        <v>1845</v>
      </c>
      <c r="H931" s="796" t="s">
        <v>4690</v>
      </c>
      <c r="I931" s="220" t="str">
        <f>IF(ISBLANK(regional!I544),"",regional!I544)</f>
        <v/>
      </c>
      <c r="K931" s="225" t="s">
        <v>4159</v>
      </c>
      <c r="O931" s="225" t="s">
        <v>4159</v>
      </c>
    </row>
    <row r="932" spans="1:15" ht="12.75" customHeight="1" x14ac:dyDescent="0.3">
      <c r="A932" s="796" t="s">
        <v>1275</v>
      </c>
      <c r="B932" s="797"/>
      <c r="C932" s="797"/>
      <c r="D932" s="797"/>
      <c r="E932" s="797"/>
      <c r="F932" s="797"/>
      <c r="G932" s="796" t="s">
        <v>1846</v>
      </c>
      <c r="H932" s="796" t="s">
        <v>4690</v>
      </c>
      <c r="I932" s="220" t="str">
        <f>IF(ISBLANK(regional!I545),"",regional!I545)</f>
        <v/>
      </c>
      <c r="K932" s="225" t="s">
        <v>4159</v>
      </c>
      <c r="O932" s="225" t="s">
        <v>4159</v>
      </c>
    </row>
    <row r="933" spans="1:15" ht="12.75" customHeight="1" x14ac:dyDescent="0.3">
      <c r="A933" s="796" t="s">
        <v>1275</v>
      </c>
      <c r="B933" s="797"/>
      <c r="C933" s="797"/>
      <c r="D933" s="797"/>
      <c r="E933" s="797"/>
      <c r="F933" s="797"/>
      <c r="G933" s="796" t="s">
        <v>1847</v>
      </c>
      <c r="H933" s="796" t="s">
        <v>4690</v>
      </c>
      <c r="I933" s="220" t="str">
        <f>IF(ISBLANK(regional!I546),"",regional!I546)</f>
        <v/>
      </c>
      <c r="K933" s="225" t="s">
        <v>4159</v>
      </c>
      <c r="O933" s="225" t="s">
        <v>4159</v>
      </c>
    </row>
    <row r="934" spans="1:15" ht="12.75" customHeight="1" x14ac:dyDescent="0.3">
      <c r="A934" s="796" t="s">
        <v>1275</v>
      </c>
      <c r="B934" s="797"/>
      <c r="C934" s="797"/>
      <c r="D934" s="797"/>
      <c r="E934" s="797"/>
      <c r="F934" s="797"/>
      <c r="G934" s="796" t="s">
        <v>1848</v>
      </c>
      <c r="H934" s="796" t="s">
        <v>4690</v>
      </c>
      <c r="I934" s="220" t="str">
        <f>IF(ISBLANK(regional!I547),"",regional!I547)</f>
        <v/>
      </c>
      <c r="K934" s="225" t="s">
        <v>4159</v>
      </c>
      <c r="O934" s="225" t="s">
        <v>4159</v>
      </c>
    </row>
    <row r="935" spans="1:15" ht="12.75" customHeight="1" x14ac:dyDescent="0.3">
      <c r="A935" s="796" t="s">
        <v>1276</v>
      </c>
      <c r="B935" s="797"/>
      <c r="C935" s="797"/>
      <c r="D935" s="797"/>
      <c r="E935" s="797"/>
      <c r="F935" s="797"/>
      <c r="G935" s="796" t="s">
        <v>1849</v>
      </c>
      <c r="H935" s="796" t="s">
        <v>4690</v>
      </c>
      <c r="I935" s="220" t="str">
        <f>IF(ISBLANK(regional!I548),"",regional!I548)</f>
        <v/>
      </c>
      <c r="K935" s="225" t="s">
        <v>4159</v>
      </c>
      <c r="O935" s="225" t="s">
        <v>4159</v>
      </c>
    </row>
    <row r="936" spans="1:15" ht="12.75" customHeight="1" x14ac:dyDescent="0.3">
      <c r="A936" s="796" t="s">
        <v>1276</v>
      </c>
      <c r="B936" s="797"/>
      <c r="C936" s="797"/>
      <c r="D936" s="797"/>
      <c r="E936" s="797"/>
      <c r="F936" s="797"/>
      <c r="G936" s="796" t="s">
        <v>1850</v>
      </c>
      <c r="H936" s="796" t="s">
        <v>4690</v>
      </c>
      <c r="I936" s="220" t="str">
        <f>IF(ISBLANK(regional!I549),"",regional!I549)</f>
        <v/>
      </c>
      <c r="K936" s="225" t="s">
        <v>4159</v>
      </c>
      <c r="O936" s="225" t="s">
        <v>4159</v>
      </c>
    </row>
    <row r="937" spans="1:15" ht="12.75" customHeight="1" x14ac:dyDescent="0.3">
      <c r="A937" s="796" t="s">
        <v>1276</v>
      </c>
      <c r="B937" s="797"/>
      <c r="C937" s="797"/>
      <c r="D937" s="797"/>
      <c r="E937" s="797"/>
      <c r="F937" s="797"/>
      <c r="G937" s="796" t="s">
        <v>1851</v>
      </c>
      <c r="H937" s="796" t="s">
        <v>4690</v>
      </c>
      <c r="I937" s="220" t="str">
        <f>IF(ISBLANK(regional!I550),"",regional!I550)</f>
        <v/>
      </c>
      <c r="K937" s="225" t="s">
        <v>4159</v>
      </c>
      <c r="O937" s="225" t="s">
        <v>4159</v>
      </c>
    </row>
    <row r="938" spans="1:15" ht="12.75" customHeight="1" x14ac:dyDescent="0.3">
      <c r="A938" s="796" t="s">
        <v>1277</v>
      </c>
      <c r="B938" s="797"/>
      <c r="C938" s="797"/>
      <c r="D938" s="797"/>
      <c r="E938" s="797"/>
      <c r="F938" s="797"/>
      <c r="G938" s="796" t="s">
        <v>1852</v>
      </c>
      <c r="H938" s="796" t="s">
        <v>4690</v>
      </c>
      <c r="I938" s="220" t="str">
        <f>IF(ISBLANK(regional!I551),"",regional!I551)</f>
        <v/>
      </c>
      <c r="K938" s="225" t="s">
        <v>4159</v>
      </c>
      <c r="O938" s="225" t="s">
        <v>4159</v>
      </c>
    </row>
    <row r="939" spans="1:15" ht="12.75" customHeight="1" x14ac:dyDescent="0.3">
      <c r="A939" s="796" t="s">
        <v>1277</v>
      </c>
      <c r="B939" s="797"/>
      <c r="C939" s="797"/>
      <c r="D939" s="797"/>
      <c r="E939" s="797"/>
      <c r="F939" s="797"/>
      <c r="G939" s="796" t="s">
        <v>1853</v>
      </c>
      <c r="H939" s="796" t="s">
        <v>4690</v>
      </c>
      <c r="I939" s="220" t="str">
        <f>IF(ISBLANK(regional!I552),"",regional!I552)</f>
        <v/>
      </c>
      <c r="K939" s="225" t="s">
        <v>4159</v>
      </c>
      <c r="O939" s="225" t="s">
        <v>4159</v>
      </c>
    </row>
    <row r="940" spans="1:15" ht="12.75" customHeight="1" x14ac:dyDescent="0.3">
      <c r="A940" s="796" t="s">
        <v>1277</v>
      </c>
      <c r="B940" s="797"/>
      <c r="C940" s="797"/>
      <c r="D940" s="797"/>
      <c r="E940" s="797"/>
      <c r="F940" s="797"/>
      <c r="G940" s="796" t="s">
        <v>1854</v>
      </c>
      <c r="H940" s="796" t="s">
        <v>4690</v>
      </c>
      <c r="I940" s="220" t="str">
        <f>IF(ISBLANK(regional!I553),"",regional!I553)</f>
        <v/>
      </c>
      <c r="K940" s="225" t="s">
        <v>4159</v>
      </c>
      <c r="O940" s="225" t="s">
        <v>4159</v>
      </c>
    </row>
    <row r="941" spans="1:15" ht="12.75" customHeight="1" x14ac:dyDescent="0.3">
      <c r="A941" s="797"/>
      <c r="B941" s="797" t="s">
        <v>1855</v>
      </c>
      <c r="C941" s="797"/>
      <c r="D941" s="797"/>
      <c r="E941" s="797"/>
      <c r="F941" s="797"/>
      <c r="G941" s="796" t="s">
        <v>1856</v>
      </c>
      <c r="H941" s="796" t="s">
        <v>335</v>
      </c>
      <c r="I941" s="220" t="str">
        <f>IF(ISBLANK(regional!I554),"",regional!I554)</f>
        <v/>
      </c>
      <c r="K941" s="225" t="s">
        <v>4159</v>
      </c>
      <c r="O941" s="225" t="s">
        <v>4159</v>
      </c>
    </row>
    <row r="942" spans="1:15" ht="12.75" customHeight="1" x14ac:dyDescent="0.3">
      <c r="A942" s="797"/>
      <c r="B942" s="797" t="s">
        <v>1858</v>
      </c>
      <c r="C942" s="797"/>
      <c r="D942" s="797"/>
      <c r="E942" s="797"/>
      <c r="F942" s="797"/>
      <c r="G942" s="796" t="s">
        <v>1859</v>
      </c>
      <c r="H942" s="796" t="s">
        <v>335</v>
      </c>
      <c r="I942" s="220" t="str">
        <f>IF(ISBLANK(regional!I555),"",regional!I555)</f>
        <v/>
      </c>
      <c r="K942" s="225" t="s">
        <v>4159</v>
      </c>
      <c r="O942" s="225" t="s">
        <v>4159</v>
      </c>
    </row>
    <row r="943" spans="1:15" ht="12.75" customHeight="1" x14ac:dyDescent="0.3">
      <c r="A943" s="797"/>
      <c r="B943" s="797" t="s">
        <v>1860</v>
      </c>
      <c r="C943" s="797"/>
      <c r="D943" s="797"/>
      <c r="E943" s="797"/>
      <c r="F943" s="797"/>
      <c r="G943" s="796" t="s">
        <v>1861</v>
      </c>
      <c r="H943" s="796" t="s">
        <v>335</v>
      </c>
      <c r="I943" s="220" t="str">
        <f>IF(ISBLANK(regional!I556),"",regional!I556)</f>
        <v/>
      </c>
      <c r="K943" s="225" t="s">
        <v>4159</v>
      </c>
      <c r="O943" s="225" t="s">
        <v>4159</v>
      </c>
    </row>
    <row r="944" spans="1:15" ht="12.75" customHeight="1" x14ac:dyDescent="0.3">
      <c r="A944" s="797"/>
      <c r="B944" s="797" t="s">
        <v>1862</v>
      </c>
      <c r="C944" s="797"/>
      <c r="D944" s="797"/>
      <c r="E944" s="797"/>
      <c r="F944" s="797"/>
      <c r="G944" s="796" t="s">
        <v>1863</v>
      </c>
      <c r="H944" s="796" t="s">
        <v>335</v>
      </c>
      <c r="I944" s="220" t="str">
        <f>IF(ISBLANK(regional!I557),"",regional!I557)</f>
        <v/>
      </c>
      <c r="K944" s="225" t="s">
        <v>4159</v>
      </c>
      <c r="O944" s="225" t="s">
        <v>4159</v>
      </c>
    </row>
    <row r="945" spans="1:15" ht="12.75" customHeight="1" x14ac:dyDescent="0.3">
      <c r="A945" s="797"/>
      <c r="B945" s="797" t="s">
        <v>1865</v>
      </c>
      <c r="C945" s="797"/>
      <c r="D945" s="797"/>
      <c r="E945" s="797"/>
      <c r="F945" s="797"/>
      <c r="G945" s="796" t="s">
        <v>1866</v>
      </c>
      <c r="H945" s="796" t="s">
        <v>335</v>
      </c>
      <c r="I945" s="220" t="str">
        <f>IF(ISBLANK(regional!I558),"",regional!I558)</f>
        <v/>
      </c>
      <c r="K945" s="225" t="s">
        <v>4159</v>
      </c>
      <c r="O945" s="225" t="s">
        <v>4159</v>
      </c>
    </row>
    <row r="946" spans="1:15" ht="12.75" customHeight="1" x14ac:dyDescent="0.3">
      <c r="A946" s="797"/>
      <c r="B946" s="797" t="s">
        <v>1867</v>
      </c>
      <c r="C946" s="797"/>
      <c r="D946" s="797"/>
      <c r="E946" s="797"/>
      <c r="F946" s="797"/>
      <c r="G946" s="796" t="s">
        <v>1868</v>
      </c>
      <c r="H946" s="796" t="s">
        <v>335</v>
      </c>
      <c r="I946" s="220" t="str">
        <f>IF(ISBLANK(regional!I559),"",regional!I559)</f>
        <v/>
      </c>
      <c r="K946" s="225" t="s">
        <v>4159</v>
      </c>
      <c r="O946" s="225" t="s">
        <v>4159</v>
      </c>
    </row>
    <row r="947" spans="1:15" ht="12.75" customHeight="1" x14ac:dyDescent="0.3">
      <c r="C947" s="779"/>
      <c r="D947" s="810"/>
      <c r="I947" s="612"/>
    </row>
    <row r="948" spans="1:15" ht="12.75" customHeight="1" x14ac:dyDescent="0.3">
      <c r="A948" s="233" t="s">
        <v>1869</v>
      </c>
      <c r="B948" s="860"/>
      <c r="C948" s="860"/>
      <c r="D948" s="860"/>
      <c r="E948" s="860"/>
      <c r="F948" s="860"/>
      <c r="G948" s="821"/>
      <c r="H948" s="860"/>
      <c r="I948" s="613" t="str">
        <f>IF(global!$I142="","",global!$I142)</f>
        <v/>
      </c>
      <c r="K948" s="225" t="s">
        <v>4159</v>
      </c>
      <c r="O948" s="225" t="s">
        <v>4159</v>
      </c>
    </row>
    <row r="949" spans="1:15" ht="12.75" customHeight="1" x14ac:dyDescent="0.3">
      <c r="A949" s="860"/>
      <c r="B949" s="860"/>
      <c r="C949" s="860"/>
      <c r="D949" s="860"/>
      <c r="E949" s="860"/>
      <c r="F949" s="860"/>
      <c r="G949" s="860"/>
      <c r="H949" s="860"/>
      <c r="I949" s="613" t="str">
        <f>IF(global!$I141="","",global!$I141)</f>
        <v/>
      </c>
      <c r="K949" s="225" t="s">
        <v>4159</v>
      </c>
      <c r="O949" s="225" t="s">
        <v>4159</v>
      </c>
    </row>
    <row r="950" spans="1:15" ht="12.75" customHeight="1" x14ac:dyDescent="0.3">
      <c r="A950" s="864" t="s">
        <v>947</v>
      </c>
      <c r="B950" s="864"/>
      <c r="C950" s="864"/>
      <c r="D950" s="864"/>
      <c r="E950" s="864"/>
      <c r="F950" s="864"/>
      <c r="G950" s="865" t="s">
        <v>258</v>
      </c>
      <c r="H950" s="865" t="s">
        <v>274</v>
      </c>
      <c r="I950" s="460"/>
      <c r="J950" s="460"/>
    </row>
    <row r="951" spans="1:15" ht="12.75" customHeight="1" x14ac:dyDescent="0.3">
      <c r="A951" s="860"/>
      <c r="B951" s="860"/>
      <c r="C951" s="821"/>
      <c r="D951" s="821"/>
      <c r="E951" s="860"/>
      <c r="F951" s="860"/>
      <c r="G951" s="860"/>
      <c r="H951" s="860"/>
      <c r="I951" s="16"/>
      <c r="J951" s="211"/>
    </row>
    <row r="952" spans="1:15" ht="12.75" customHeight="1" x14ac:dyDescent="0.3">
      <c r="A952" s="821" t="s">
        <v>948</v>
      </c>
      <c r="B952" s="860"/>
      <c r="C952" s="860"/>
      <c r="D952" s="860"/>
      <c r="E952" s="860"/>
      <c r="F952" s="860"/>
      <c r="G952" s="821" t="s">
        <v>1870</v>
      </c>
      <c r="H952" s="860" t="s">
        <v>4683</v>
      </c>
      <c r="I952" s="220" t="str">
        <f>IF(ISBLANK(continental!I5),"",continental!I5)</f>
        <v/>
      </c>
      <c r="J952" s="211"/>
      <c r="K952" s="225" t="s">
        <v>4159</v>
      </c>
      <c r="O952" s="225" t="s">
        <v>4159</v>
      </c>
    </row>
    <row r="953" spans="1:15" ht="12.75" customHeight="1" x14ac:dyDescent="0.3">
      <c r="A953" s="796" t="s">
        <v>1871</v>
      </c>
      <c r="B953" s="797"/>
      <c r="C953" s="797"/>
      <c r="D953" s="797"/>
      <c r="E953" s="797"/>
      <c r="F953" s="797"/>
      <c r="G953" s="796" t="s">
        <v>1872</v>
      </c>
      <c r="H953" s="797" t="s">
        <v>4683</v>
      </c>
      <c r="I953" s="220" t="str">
        <f>IF(ISBLANK(continental!I6),"",continental!I6)</f>
        <v/>
      </c>
      <c r="J953" s="211"/>
      <c r="K953" s="225" t="s">
        <v>4159</v>
      </c>
      <c r="O953" s="225" t="s">
        <v>4159</v>
      </c>
    </row>
    <row r="954" spans="1:15" ht="12.75" customHeight="1" x14ac:dyDescent="0.3">
      <c r="A954" s="821" t="s">
        <v>955</v>
      </c>
      <c r="B954" s="860"/>
      <c r="C954" s="860"/>
      <c r="D954" s="860"/>
      <c r="E954" s="860"/>
      <c r="F954" s="860"/>
      <c r="G954" s="821" t="s">
        <v>1873</v>
      </c>
      <c r="H954" s="821" t="s">
        <v>4683</v>
      </c>
      <c r="I954" s="220" t="str">
        <f>IF(ISBLANK(continental!I7),"",continental!I7)</f>
        <v/>
      </c>
      <c r="J954" s="211"/>
      <c r="K954" s="225" t="s">
        <v>4159</v>
      </c>
      <c r="O954" s="225" t="s">
        <v>4159</v>
      </c>
    </row>
    <row r="955" spans="1:15" ht="12.75" customHeight="1" x14ac:dyDescent="0.3">
      <c r="A955" s="821" t="s">
        <v>957</v>
      </c>
      <c r="B955" s="860"/>
      <c r="C955" s="860"/>
      <c r="D955" s="860"/>
      <c r="E955" s="860"/>
      <c r="F955" s="860"/>
      <c r="G955" s="821" t="s">
        <v>1874</v>
      </c>
      <c r="H955" s="860" t="s">
        <v>4683</v>
      </c>
      <c r="I955" s="220" t="str">
        <f>IF(ISBLANK(continental!I8),"",continental!I8)</f>
        <v/>
      </c>
      <c r="J955" s="353"/>
      <c r="K955" s="225" t="s">
        <v>4159</v>
      </c>
      <c r="O955" s="225" t="s">
        <v>4159</v>
      </c>
    </row>
    <row r="956" spans="1:15" ht="12.75" customHeight="1" x14ac:dyDescent="0.3">
      <c r="A956" s="821" t="s">
        <v>959</v>
      </c>
      <c r="B956" s="860"/>
      <c r="C956" s="860"/>
      <c r="D956" s="860"/>
      <c r="E956" s="860"/>
      <c r="F956" s="860"/>
      <c r="G956" s="821" t="s">
        <v>1875</v>
      </c>
      <c r="H956" s="860" t="s">
        <v>4683</v>
      </c>
      <c r="I956" s="220" t="str">
        <f>IF(ISBLANK(continental!I9),"",continental!I9)</f>
        <v/>
      </c>
      <c r="J956" s="640"/>
      <c r="K956" s="225" t="s">
        <v>4159</v>
      </c>
      <c r="O956" s="225" t="s">
        <v>4159</v>
      </c>
    </row>
    <row r="957" spans="1:15" ht="12.75" customHeight="1" x14ac:dyDescent="0.3">
      <c r="A957" s="796" t="s">
        <v>1876</v>
      </c>
      <c r="B957" s="797"/>
      <c r="C957" s="797"/>
      <c r="D957" s="797"/>
      <c r="E957" s="797"/>
      <c r="F957" s="797"/>
      <c r="G957" s="796" t="s">
        <v>1877</v>
      </c>
      <c r="H957" s="797" t="s">
        <v>4683</v>
      </c>
      <c r="I957" s="220" t="str">
        <f>IF(ISBLANK(continental!I10),"",continental!I10)</f>
        <v/>
      </c>
      <c r="K957" s="225" t="s">
        <v>4159</v>
      </c>
      <c r="O957" s="225" t="s">
        <v>4159</v>
      </c>
    </row>
    <row r="958" spans="1:15" ht="12.75" customHeight="1" x14ac:dyDescent="0.3">
      <c r="A958" s="821" t="s">
        <v>963</v>
      </c>
      <c r="B958" s="860"/>
      <c r="C958" s="860"/>
      <c r="D958" s="860"/>
      <c r="E958" s="860"/>
      <c r="F958" s="860"/>
      <c r="G958" s="821" t="s">
        <v>1878</v>
      </c>
      <c r="H958" s="860" t="s">
        <v>4683</v>
      </c>
      <c r="I958" s="220" t="str">
        <f>IF(ISBLANK(continental!I11),"",continental!I11)</f>
        <v/>
      </c>
      <c r="K958" s="225" t="s">
        <v>4159</v>
      </c>
      <c r="O958" s="225" t="s">
        <v>4159</v>
      </c>
    </row>
    <row r="959" spans="1:15" ht="12.75" customHeight="1" x14ac:dyDescent="0.3">
      <c r="A959" s="821" t="s">
        <v>965</v>
      </c>
      <c r="B959" s="860"/>
      <c r="C959" s="860"/>
      <c r="D959" s="860"/>
      <c r="E959" s="860"/>
      <c r="F959" s="860"/>
      <c r="G959" s="821" t="s">
        <v>1879</v>
      </c>
      <c r="H959" s="860" t="s">
        <v>4683</v>
      </c>
      <c r="I959" s="220" t="str">
        <f>IF(ISBLANK(continental!I12),"",continental!I12)</f>
        <v/>
      </c>
      <c r="K959" s="225" t="s">
        <v>4159</v>
      </c>
      <c r="O959" s="225" t="s">
        <v>4159</v>
      </c>
    </row>
    <row r="960" spans="1:15" ht="12.75" customHeight="1" x14ac:dyDescent="0.3">
      <c r="A960" s="821" t="s">
        <v>967</v>
      </c>
      <c r="B960" s="860"/>
      <c r="C960" s="860"/>
      <c r="D960" s="860"/>
      <c r="E960" s="860"/>
      <c r="F960" s="860"/>
      <c r="G960" s="821" t="s">
        <v>1880</v>
      </c>
      <c r="H960" s="860" t="s">
        <v>4683</v>
      </c>
      <c r="I960" s="220" t="str">
        <f>IF(ISBLANK(continental!I13),"",continental!I13)</f>
        <v/>
      </c>
      <c r="K960" s="225" t="s">
        <v>4159</v>
      </c>
      <c r="O960" s="225" t="s">
        <v>4159</v>
      </c>
    </row>
    <row r="961" spans="1:15" ht="12.75" customHeight="1" x14ac:dyDescent="0.3">
      <c r="A961" s="821" t="s">
        <v>969</v>
      </c>
      <c r="B961" s="860"/>
      <c r="C961" s="860"/>
      <c r="D961" s="860"/>
      <c r="E961" s="860"/>
      <c r="F961" s="860"/>
      <c r="G961" s="821" t="s">
        <v>1881</v>
      </c>
      <c r="H961" s="860" t="s">
        <v>4683</v>
      </c>
      <c r="I961" s="220" t="str">
        <f>IF(ISBLANK(continental!I14),"",continental!I14)</f>
        <v/>
      </c>
      <c r="K961" s="225" t="s">
        <v>4159</v>
      </c>
      <c r="O961" s="225" t="s">
        <v>4159</v>
      </c>
    </row>
    <row r="962" spans="1:15" ht="12.75" customHeight="1" x14ac:dyDescent="0.3">
      <c r="A962" s="821" t="s">
        <v>971</v>
      </c>
      <c r="B962" s="860"/>
      <c r="C962" s="860"/>
      <c r="D962" s="860"/>
      <c r="E962" s="860"/>
      <c r="F962" s="860"/>
      <c r="G962" s="821" t="s">
        <v>1882</v>
      </c>
      <c r="H962" s="860" t="s">
        <v>4683</v>
      </c>
      <c r="I962" s="220" t="str">
        <f>IF(ISBLANK(continental!I15),"",continental!I15)</f>
        <v/>
      </c>
      <c r="K962" s="225" t="s">
        <v>4159</v>
      </c>
      <c r="O962" s="225" t="s">
        <v>4159</v>
      </c>
    </row>
    <row r="963" spans="1:15" ht="12.75" customHeight="1" x14ac:dyDescent="0.3">
      <c r="A963" s="821"/>
      <c r="B963" s="872" t="s">
        <v>1883</v>
      </c>
      <c r="C963" s="860"/>
      <c r="D963" s="860"/>
      <c r="E963" s="860"/>
      <c r="F963" s="860"/>
      <c r="G963" s="821" t="s">
        <v>1884</v>
      </c>
      <c r="H963" s="860" t="s">
        <v>4684</v>
      </c>
      <c r="I963" s="220" t="str">
        <f>IF(ISBLANK(continental!I16),"",continental!I16)</f>
        <v/>
      </c>
      <c r="K963" s="225" t="s">
        <v>4159</v>
      </c>
      <c r="O963" s="225" t="s">
        <v>4159</v>
      </c>
    </row>
    <row r="964" spans="1:15" ht="12.75" customHeight="1" x14ac:dyDescent="0.3">
      <c r="A964" s="821"/>
      <c r="B964" s="821" t="s">
        <v>975</v>
      </c>
      <c r="C964" s="860"/>
      <c r="D964" s="860"/>
      <c r="E964" s="860"/>
      <c r="F964" s="860"/>
      <c r="G964" s="872" t="s">
        <v>1885</v>
      </c>
      <c r="H964" s="821" t="s">
        <v>291</v>
      </c>
      <c r="I964" s="220" t="str">
        <f>IF(ISBLANK(continental!I17),"",continental!I17)</f>
        <v/>
      </c>
      <c r="K964" s="225" t="s">
        <v>4159</v>
      </c>
      <c r="O964" s="225" t="s">
        <v>4159</v>
      </c>
    </row>
    <row r="965" spans="1:15" ht="12.75" customHeight="1" x14ac:dyDescent="0.3">
      <c r="A965" s="821"/>
      <c r="B965" s="821" t="s">
        <v>977</v>
      </c>
      <c r="C965" s="860"/>
      <c r="D965" s="860"/>
      <c r="E965" s="860"/>
      <c r="F965" s="860"/>
      <c r="G965" s="872" t="s">
        <v>1886</v>
      </c>
      <c r="H965" s="860" t="s">
        <v>291</v>
      </c>
      <c r="I965" s="220" t="str">
        <f>IF(ISBLANK(continental!I18),"",continental!I18)</f>
        <v/>
      </c>
      <c r="K965" s="225" t="s">
        <v>4159</v>
      </c>
      <c r="O965" s="225" t="s">
        <v>4159</v>
      </c>
    </row>
    <row r="966" spans="1:15" ht="12.75" customHeight="1" x14ac:dyDescent="0.3">
      <c r="A966" s="821"/>
      <c r="B966" s="821" t="s">
        <v>979</v>
      </c>
      <c r="C966" s="860"/>
      <c r="D966" s="860"/>
      <c r="E966" s="860"/>
      <c r="F966" s="860"/>
      <c r="G966" s="872" t="s">
        <v>1887</v>
      </c>
      <c r="H966" s="860" t="s">
        <v>291</v>
      </c>
      <c r="I966" s="220" t="str">
        <f>IF(ISBLANK(continental!I19),"",continental!I19)</f>
        <v/>
      </c>
      <c r="K966" s="225" t="s">
        <v>4159</v>
      </c>
      <c r="O966" s="225" t="s">
        <v>4159</v>
      </c>
    </row>
    <row r="967" spans="1:15" ht="12.75" customHeight="1" x14ac:dyDescent="0.3">
      <c r="A967" s="821"/>
      <c r="B967" s="821" t="s">
        <v>981</v>
      </c>
      <c r="C967" s="860"/>
      <c r="D967" s="860"/>
      <c r="E967" s="860"/>
      <c r="F967" s="860"/>
      <c r="G967" s="872" t="s">
        <v>1888</v>
      </c>
      <c r="H967" s="860" t="s">
        <v>291</v>
      </c>
      <c r="I967" s="220" t="str">
        <f>IF(ISBLANK(continental!I20),"",continental!I20)</f>
        <v/>
      </c>
      <c r="K967" s="225" t="s">
        <v>4159</v>
      </c>
      <c r="O967" s="225" t="s">
        <v>4159</v>
      </c>
    </row>
    <row r="968" spans="1:15" ht="12.75" customHeight="1" x14ac:dyDescent="0.3">
      <c r="A968" s="821"/>
      <c r="B968" s="821" t="s">
        <v>983</v>
      </c>
      <c r="C968" s="860"/>
      <c r="D968" s="860"/>
      <c r="E968" s="860"/>
      <c r="F968" s="860"/>
      <c r="G968" s="872" t="s">
        <v>1889</v>
      </c>
      <c r="H968" s="860" t="s">
        <v>291</v>
      </c>
      <c r="I968" s="220" t="str">
        <f>IF(ISBLANK(continental!I21),"",continental!I21)</f>
        <v/>
      </c>
      <c r="K968" s="225" t="s">
        <v>4159</v>
      </c>
      <c r="O968" s="225" t="s">
        <v>4159</v>
      </c>
    </row>
    <row r="969" spans="1:15" ht="12.75" customHeight="1" x14ac:dyDescent="0.3">
      <c r="A969" s="821"/>
      <c r="B969" s="821" t="s">
        <v>985</v>
      </c>
      <c r="C969" s="860"/>
      <c r="D969" s="860"/>
      <c r="E969" s="860"/>
      <c r="F969" s="860"/>
      <c r="G969" s="872" t="s">
        <v>1890</v>
      </c>
      <c r="H969" s="860" t="s">
        <v>291</v>
      </c>
      <c r="I969" s="220" t="str">
        <f>IF(ISBLANK(continental!I22),"",continental!I22)</f>
        <v/>
      </c>
      <c r="K969" s="225" t="s">
        <v>4159</v>
      </c>
      <c r="O969" s="225" t="s">
        <v>4159</v>
      </c>
    </row>
    <row r="970" spans="1:15" ht="12.75" customHeight="1" x14ac:dyDescent="0.3">
      <c r="A970" s="821"/>
      <c r="B970" s="860"/>
      <c r="C970" s="821" t="s">
        <v>987</v>
      </c>
      <c r="D970" s="872"/>
      <c r="E970" s="872"/>
      <c r="F970" s="860"/>
      <c r="G970" s="872" t="s">
        <v>1891</v>
      </c>
      <c r="H970" s="860" t="s">
        <v>813</v>
      </c>
      <c r="I970" s="220" t="str">
        <f>IF(ISBLANK(continental!I23),"",continental!I23)</f>
        <v/>
      </c>
      <c r="K970" s="225" t="s">
        <v>4159</v>
      </c>
      <c r="O970" s="225" t="s">
        <v>4159</v>
      </c>
    </row>
    <row r="971" spans="1:15" ht="12.75" customHeight="1" x14ac:dyDescent="0.3">
      <c r="A971" s="821"/>
      <c r="B971" s="860"/>
      <c r="C971" s="821" t="s">
        <v>989</v>
      </c>
      <c r="D971" s="872"/>
      <c r="E971" s="872"/>
      <c r="F971" s="860"/>
      <c r="G971" s="872" t="s">
        <v>1892</v>
      </c>
      <c r="H971" s="821" t="s">
        <v>813</v>
      </c>
      <c r="I971" s="220" t="str">
        <f>IF(ISBLANK(continental!I24),"",continental!I24)</f>
        <v/>
      </c>
      <c r="K971" s="225" t="s">
        <v>4159</v>
      </c>
      <c r="O971" s="225" t="s">
        <v>4159</v>
      </c>
    </row>
    <row r="972" spans="1:15" ht="12.75" customHeight="1" x14ac:dyDescent="0.3">
      <c r="A972" s="821"/>
      <c r="B972" s="860"/>
      <c r="C972" s="821" t="s">
        <v>991</v>
      </c>
      <c r="D972" s="872"/>
      <c r="E972" s="872"/>
      <c r="F972" s="860"/>
      <c r="G972" s="872" t="s">
        <v>1893</v>
      </c>
      <c r="H972" s="860" t="s">
        <v>813</v>
      </c>
      <c r="I972" s="220" t="str">
        <f>IF(ISBLANK(continental!I25),"",continental!I25)</f>
        <v/>
      </c>
      <c r="K972" s="225" t="s">
        <v>4159</v>
      </c>
      <c r="O972" s="225" t="s">
        <v>4159</v>
      </c>
    </row>
    <row r="973" spans="1:15" ht="12.75" customHeight="1" x14ac:dyDescent="0.3">
      <c r="A973" s="821"/>
      <c r="B973" s="860"/>
      <c r="C973" s="821" t="s">
        <v>993</v>
      </c>
      <c r="D973" s="872"/>
      <c r="E973" s="872"/>
      <c r="F973" s="860"/>
      <c r="G973" s="872" t="s">
        <v>1894</v>
      </c>
      <c r="H973" s="860" t="s">
        <v>813</v>
      </c>
      <c r="I973" s="220" t="str">
        <f>IF(ISBLANK(continental!I26),"",continental!I26)</f>
        <v/>
      </c>
      <c r="K973" s="225" t="s">
        <v>4159</v>
      </c>
      <c r="O973" s="225" t="s">
        <v>4159</v>
      </c>
    </row>
    <row r="974" spans="1:15" ht="12.75" customHeight="1" x14ac:dyDescent="0.3">
      <c r="A974" s="796"/>
      <c r="B974" s="797"/>
      <c r="C974" s="796" t="s">
        <v>1895</v>
      </c>
      <c r="D974" s="802"/>
      <c r="E974" s="802"/>
      <c r="F974" s="797"/>
      <c r="G974" s="802" t="s">
        <v>1896</v>
      </c>
      <c r="H974" s="797" t="s">
        <v>997</v>
      </c>
      <c r="I974" s="220" t="str">
        <f>IF(ISBLANK(continental!I27),"",continental!I27)</f>
        <v/>
      </c>
      <c r="K974" s="225" t="s">
        <v>4159</v>
      </c>
      <c r="O974" s="225" t="s">
        <v>4159</v>
      </c>
    </row>
    <row r="975" spans="1:15" ht="12.75" customHeight="1" x14ac:dyDescent="0.3">
      <c r="A975" s="821"/>
      <c r="B975" s="860"/>
      <c r="C975" s="821" t="s">
        <v>998</v>
      </c>
      <c r="D975" s="872"/>
      <c r="E975" s="872"/>
      <c r="F975" s="860"/>
      <c r="G975" s="872" t="s">
        <v>1897</v>
      </c>
      <c r="H975" s="860" t="s">
        <v>997</v>
      </c>
      <c r="I975" s="220" t="str">
        <f>IF(ISBLANK(continental!I28),"",continental!I28)</f>
        <v/>
      </c>
      <c r="K975" s="225" t="s">
        <v>4159</v>
      </c>
      <c r="O975" s="225" t="s">
        <v>4159</v>
      </c>
    </row>
    <row r="976" spans="1:15" ht="12.75" customHeight="1" x14ac:dyDescent="0.3">
      <c r="A976" s="821"/>
      <c r="B976" s="860"/>
      <c r="C976" s="821" t="s">
        <v>1000</v>
      </c>
      <c r="D976" s="872"/>
      <c r="E976" s="872"/>
      <c r="F976" s="860"/>
      <c r="G976" s="872" t="s">
        <v>1898</v>
      </c>
      <c r="H976" s="860" t="s">
        <v>997</v>
      </c>
      <c r="I976" s="220" t="str">
        <f>IF(ISBLANK(continental!I29),"",continental!I29)</f>
        <v/>
      </c>
      <c r="K976" s="225" t="s">
        <v>4159</v>
      </c>
      <c r="O976" s="225" t="s">
        <v>4159</v>
      </c>
    </row>
    <row r="977" spans="1:221" ht="12.75" customHeight="1" x14ac:dyDescent="0.3">
      <c r="A977" s="821"/>
      <c r="B977" s="860"/>
      <c r="C977" s="821" t="s">
        <v>4685</v>
      </c>
      <c r="D977" s="872"/>
      <c r="E977" s="872"/>
      <c r="F977" s="860"/>
      <c r="G977" s="872" t="s">
        <v>1899</v>
      </c>
      <c r="H977" s="860" t="s">
        <v>813</v>
      </c>
      <c r="I977" s="220" t="str">
        <f>IF(ISBLANK(continental!I30),"",continental!I30)</f>
        <v/>
      </c>
      <c r="K977" s="225" t="s">
        <v>4159</v>
      </c>
      <c r="O977" s="225" t="s">
        <v>4159</v>
      </c>
    </row>
    <row r="978" spans="1:221" ht="12.75" customHeight="1" x14ac:dyDescent="0.3">
      <c r="A978" s="821"/>
      <c r="B978" s="860"/>
      <c r="C978" s="821" t="s">
        <v>4758</v>
      </c>
      <c r="D978" s="872"/>
      <c r="E978" s="872"/>
      <c r="F978" s="860"/>
      <c r="G978" s="872" t="s">
        <v>1900</v>
      </c>
      <c r="H978" s="860" t="s">
        <v>813</v>
      </c>
      <c r="I978" s="220" t="str">
        <f>IF(ISBLANK(continental!I31),"",continental!I31)</f>
        <v/>
      </c>
      <c r="K978" s="225" t="s">
        <v>4159</v>
      </c>
      <c r="O978" s="225" t="s">
        <v>4159</v>
      </c>
    </row>
    <row r="979" spans="1:221" ht="12.75" customHeight="1" x14ac:dyDescent="0.3">
      <c r="A979" s="821"/>
      <c r="B979" s="860"/>
      <c r="C979" s="821" t="s">
        <v>4687</v>
      </c>
      <c r="D979" s="872"/>
      <c r="E979" s="872"/>
      <c r="F979" s="860"/>
      <c r="G979" s="872" t="s">
        <v>1901</v>
      </c>
      <c r="H979" s="860" t="s">
        <v>813</v>
      </c>
      <c r="I979" s="220" t="str">
        <f>IF(ISBLANK(continental!I32),"",continental!I32)</f>
        <v/>
      </c>
      <c r="K979" s="225" t="s">
        <v>4159</v>
      </c>
      <c r="O979" s="225" t="s">
        <v>4159</v>
      </c>
    </row>
    <row r="980" spans="1:221" ht="12.75" customHeight="1" x14ac:dyDescent="0.3">
      <c r="A980" s="797"/>
      <c r="B980" s="797"/>
      <c r="C980" s="797" t="s">
        <v>1005</v>
      </c>
      <c r="D980" s="797"/>
      <c r="E980" s="797"/>
      <c r="F980" s="797"/>
      <c r="G980" s="796" t="s">
        <v>4759</v>
      </c>
      <c r="H980" s="796" t="s">
        <v>1007</v>
      </c>
      <c r="I980" s="220" t="str">
        <f>IF(ISBLANK(continental!I33),"",continental!I33)</f>
        <v/>
      </c>
      <c r="K980" s="225" t="s">
        <v>4159</v>
      </c>
      <c r="O980" s="225" t="s">
        <v>4159</v>
      </c>
    </row>
    <row r="981" spans="1:221" ht="12.75" customHeight="1" x14ac:dyDescent="0.3">
      <c r="A981" s="860"/>
      <c r="B981" s="860"/>
      <c r="C981" s="860" t="s">
        <v>1009</v>
      </c>
      <c r="D981" s="860"/>
      <c r="E981" s="860"/>
      <c r="F981" s="860"/>
      <c r="G981" s="821" t="s">
        <v>4760</v>
      </c>
      <c r="H981" s="821" t="s">
        <v>1007</v>
      </c>
      <c r="I981" s="220" t="str">
        <f>IF(ISBLANK(continental!I34),"",continental!I34)</f>
        <v/>
      </c>
      <c r="K981" s="225" t="s">
        <v>4159</v>
      </c>
      <c r="O981" s="225" t="s">
        <v>4159</v>
      </c>
    </row>
    <row r="982" spans="1:221" ht="12.75" customHeight="1" x14ac:dyDescent="0.3">
      <c r="A982" s="860"/>
      <c r="B982" s="860"/>
      <c r="C982" s="860" t="s">
        <v>1012</v>
      </c>
      <c r="D982" s="860"/>
      <c r="E982" s="860"/>
      <c r="F982" s="860"/>
      <c r="G982" s="821" t="s">
        <v>4761</v>
      </c>
      <c r="H982" s="821" t="s">
        <v>1007</v>
      </c>
      <c r="I982" s="220" t="str">
        <f>IF(ISBLANK(continental!I35),"",continental!I35)</f>
        <v/>
      </c>
      <c r="K982" s="225" t="s">
        <v>4159</v>
      </c>
      <c r="O982" s="225" t="s">
        <v>4159</v>
      </c>
    </row>
    <row r="983" spans="1:221" ht="12.75" customHeight="1" x14ac:dyDescent="0.3">
      <c r="A983" s="821"/>
      <c r="B983" s="860"/>
      <c r="C983" s="821" t="s">
        <v>1014</v>
      </c>
      <c r="D983" s="872"/>
      <c r="E983" s="872"/>
      <c r="F983" s="860"/>
      <c r="G983" s="872" t="s">
        <v>1905</v>
      </c>
      <c r="H983" s="860" t="s">
        <v>1007</v>
      </c>
      <c r="I983" s="220" t="str">
        <f>IF(ISBLANK(continental!I36),"",continental!I36)</f>
        <v/>
      </c>
      <c r="K983" s="225" t="s">
        <v>4159</v>
      </c>
      <c r="O983" s="225" t="s">
        <v>4159</v>
      </c>
    </row>
    <row r="984" spans="1:221" ht="12.75" customHeight="1" x14ac:dyDescent="0.3">
      <c r="A984" s="821"/>
      <c r="B984" s="860"/>
      <c r="C984" s="821" t="s">
        <v>1016</v>
      </c>
      <c r="D984" s="872"/>
      <c r="E984" s="872"/>
      <c r="F984" s="860"/>
      <c r="G984" s="872" t="s">
        <v>1906</v>
      </c>
      <c r="H984" s="860" t="s">
        <v>1007</v>
      </c>
      <c r="I984" s="220" t="str">
        <f>IF(ISBLANK(continental!I37),"",continental!I37)</f>
        <v/>
      </c>
      <c r="K984" s="225" t="s">
        <v>4159</v>
      </c>
      <c r="O984" s="225" t="s">
        <v>4159</v>
      </c>
    </row>
    <row r="985" spans="1:221" ht="12.75" customHeight="1" x14ac:dyDescent="0.3">
      <c r="A985" s="821"/>
      <c r="B985" s="860"/>
      <c r="C985" s="821" t="s">
        <v>1018</v>
      </c>
      <c r="D985" s="872"/>
      <c r="E985" s="872"/>
      <c r="F985" s="860"/>
      <c r="G985" s="872" t="s">
        <v>1907</v>
      </c>
      <c r="H985" s="860" t="s">
        <v>1007</v>
      </c>
      <c r="I985" s="220" t="str">
        <f>IF(ISBLANK(continental!I38),"",continental!I38)</f>
        <v/>
      </c>
      <c r="K985" s="225" t="s">
        <v>4159</v>
      </c>
      <c r="O985" s="225" t="s">
        <v>4159</v>
      </c>
      <c r="HM985" s="21"/>
    </row>
    <row r="986" spans="1:221" ht="12.75" customHeight="1" x14ac:dyDescent="0.3">
      <c r="A986" s="821"/>
      <c r="B986" s="860"/>
      <c r="C986" s="821" t="s">
        <v>1020</v>
      </c>
      <c r="D986" s="872"/>
      <c r="E986" s="872"/>
      <c r="F986" s="860"/>
      <c r="G986" s="872" t="s">
        <v>1908</v>
      </c>
      <c r="H986" s="860" t="s">
        <v>1007</v>
      </c>
      <c r="I986" s="220" t="str">
        <f>IF(ISBLANK(continental!I39),"",continental!I39)</f>
        <v/>
      </c>
      <c r="K986" s="225" t="s">
        <v>4159</v>
      </c>
      <c r="O986" s="225" t="s">
        <v>4159</v>
      </c>
    </row>
    <row r="987" spans="1:221" ht="12.75" customHeight="1" x14ac:dyDescent="0.3">
      <c r="A987" s="821"/>
      <c r="B987" s="860"/>
      <c r="C987" s="821" t="s">
        <v>1022</v>
      </c>
      <c r="D987" s="872"/>
      <c r="E987" s="872"/>
      <c r="F987" s="860"/>
      <c r="G987" s="872" t="s">
        <v>1909</v>
      </c>
      <c r="H987" s="860" t="s">
        <v>1007</v>
      </c>
      <c r="I987" s="220" t="str">
        <f>IF(ISBLANK(continental!I40),"",continental!I40)</f>
        <v/>
      </c>
      <c r="K987" s="225" t="s">
        <v>4159</v>
      </c>
      <c r="O987" s="225" t="s">
        <v>4159</v>
      </c>
    </row>
    <row r="988" spans="1:221" ht="12.75" customHeight="1" x14ac:dyDescent="0.3">
      <c r="A988" s="821"/>
      <c r="B988" s="860"/>
      <c r="C988" s="821" t="s">
        <v>1024</v>
      </c>
      <c r="D988" s="872"/>
      <c r="E988" s="872"/>
      <c r="F988" s="860"/>
      <c r="G988" s="872" t="s">
        <v>1910</v>
      </c>
      <c r="H988" s="860" t="s">
        <v>1007</v>
      </c>
      <c r="I988" s="220" t="str">
        <f>IF(ISBLANK(continental!I41),"",continental!I41)</f>
        <v/>
      </c>
      <c r="K988" s="225" t="s">
        <v>4159</v>
      </c>
      <c r="O988" s="225" t="s">
        <v>4159</v>
      </c>
    </row>
    <row r="989" spans="1:221" ht="12.75" customHeight="1" x14ac:dyDescent="0.3">
      <c r="A989" s="821"/>
      <c r="B989" s="860"/>
      <c r="C989" s="821" t="s">
        <v>1026</v>
      </c>
      <c r="D989" s="872"/>
      <c r="E989" s="872"/>
      <c r="F989" s="860"/>
      <c r="G989" s="872" t="s">
        <v>1911</v>
      </c>
      <c r="H989" s="860" t="s">
        <v>1007</v>
      </c>
      <c r="I989" s="220" t="str">
        <f>IF(ISBLANK(continental!I42),"",continental!I42)</f>
        <v/>
      </c>
      <c r="K989" s="225" t="s">
        <v>4159</v>
      </c>
      <c r="O989" s="225" t="s">
        <v>4159</v>
      </c>
    </row>
    <row r="990" spans="1:221" ht="12.75" customHeight="1" x14ac:dyDescent="0.3">
      <c r="A990" s="821"/>
      <c r="B990" s="860"/>
      <c r="C990" s="821" t="s">
        <v>1028</v>
      </c>
      <c r="D990" s="872"/>
      <c r="E990" s="872"/>
      <c r="F990" s="860"/>
      <c r="G990" s="872" t="s">
        <v>1912</v>
      </c>
      <c r="H990" s="860" t="s">
        <v>1007</v>
      </c>
      <c r="I990" s="220" t="str">
        <f>IF(ISBLANK(continental!I43),"",continental!I43)</f>
        <v/>
      </c>
      <c r="J990" s="211"/>
      <c r="K990" s="225" t="s">
        <v>4159</v>
      </c>
      <c r="O990" s="225" t="s">
        <v>4159</v>
      </c>
    </row>
    <row r="991" spans="1:221" ht="12.75" customHeight="1" x14ac:dyDescent="0.3">
      <c r="A991" s="821"/>
      <c r="B991" s="860"/>
      <c r="C991" s="821" t="s">
        <v>1030</v>
      </c>
      <c r="D991" s="872"/>
      <c r="E991" s="872"/>
      <c r="F991" s="860"/>
      <c r="G991" s="872" t="s">
        <v>1913</v>
      </c>
      <c r="H991" s="860" t="s">
        <v>1007</v>
      </c>
      <c r="I991" s="220" t="str">
        <f>IF(ISBLANK(continental!I44),"",continental!I44)</f>
        <v/>
      </c>
      <c r="J991" s="353"/>
      <c r="K991" s="225" t="s">
        <v>4159</v>
      </c>
      <c r="O991" s="225" t="s">
        <v>4159</v>
      </c>
    </row>
    <row r="992" spans="1:221" ht="12.75" customHeight="1" x14ac:dyDescent="0.3">
      <c r="A992" s="821"/>
      <c r="B992" s="860"/>
      <c r="C992" s="821" t="s">
        <v>1032</v>
      </c>
      <c r="D992" s="872"/>
      <c r="E992" s="872"/>
      <c r="F992" s="860"/>
      <c r="G992" s="872" t="s">
        <v>1914</v>
      </c>
      <c r="H992" s="860" t="s">
        <v>1007</v>
      </c>
      <c r="I992" s="220" t="str">
        <f>IF(ISBLANK(continental!I45),"",continental!I45)</f>
        <v/>
      </c>
      <c r="J992" s="211"/>
      <c r="K992" s="225" t="s">
        <v>4159</v>
      </c>
      <c r="O992" s="225" t="s">
        <v>4159</v>
      </c>
    </row>
    <row r="993" spans="1:15" ht="12.75" customHeight="1" x14ac:dyDescent="0.3">
      <c r="A993" s="821"/>
      <c r="B993" s="860"/>
      <c r="C993" s="821" t="s">
        <v>1034</v>
      </c>
      <c r="D993" s="872"/>
      <c r="E993" s="872"/>
      <c r="F993" s="860"/>
      <c r="G993" s="872" t="s">
        <v>1915</v>
      </c>
      <c r="H993" s="860" t="s">
        <v>1007</v>
      </c>
      <c r="I993" s="220" t="str">
        <f>IF(ISBLANK(continental!I46),"",continental!I46)</f>
        <v/>
      </c>
      <c r="K993" s="225" t="s">
        <v>4159</v>
      </c>
      <c r="O993" s="225" t="s">
        <v>4159</v>
      </c>
    </row>
    <row r="994" spans="1:15" ht="12.75" customHeight="1" x14ac:dyDescent="0.3">
      <c r="A994" s="821"/>
      <c r="B994" s="860"/>
      <c r="C994" s="821"/>
      <c r="D994" s="872"/>
      <c r="E994" s="872"/>
      <c r="F994" s="860"/>
      <c r="G994" s="872"/>
      <c r="H994" s="872"/>
      <c r="I994" s="220" t="str">
        <f>IF(ISBLANK(continental!I47),"",continental!I47)</f>
        <v/>
      </c>
      <c r="K994" s="225" t="s">
        <v>4159</v>
      </c>
      <c r="O994" s="225" t="s">
        <v>4159</v>
      </c>
    </row>
    <row r="995" spans="1:15" ht="12.75" customHeight="1" x14ac:dyDescent="0.3">
      <c r="A995" s="821" t="s">
        <v>1916</v>
      </c>
      <c r="B995" s="860"/>
      <c r="C995" s="860"/>
      <c r="D995" s="860"/>
      <c r="E995" s="860"/>
      <c r="F995" s="860"/>
      <c r="G995" s="821" t="s">
        <v>1917</v>
      </c>
      <c r="H995" s="821" t="s">
        <v>4690</v>
      </c>
      <c r="I995" s="220" t="str">
        <f>IF(ISBLANK(continental!I48),"",continental!I48)</f>
        <v/>
      </c>
      <c r="K995" s="225" t="s">
        <v>4159</v>
      </c>
      <c r="L995" s="225">
        <v>0</v>
      </c>
      <c r="O995" s="225" t="s">
        <v>4159</v>
      </c>
    </row>
    <row r="996" spans="1:15" ht="12.75" customHeight="1" x14ac:dyDescent="0.3">
      <c r="A996" s="821" t="s">
        <v>1918</v>
      </c>
      <c r="B996" s="860"/>
      <c r="C996" s="860"/>
      <c r="D996" s="860"/>
      <c r="E996" s="860"/>
      <c r="F996" s="860"/>
      <c r="G996" s="821" t="s">
        <v>1919</v>
      </c>
      <c r="H996" s="821" t="s">
        <v>4690</v>
      </c>
      <c r="I996" s="220" t="str">
        <f>IF(ISBLANK(continental!I49),"",continental!I49)</f>
        <v/>
      </c>
      <c r="K996" s="225" t="s">
        <v>4159</v>
      </c>
      <c r="O996" s="225" t="s">
        <v>4159</v>
      </c>
    </row>
    <row r="997" spans="1:15" ht="12.75" customHeight="1" x14ac:dyDescent="0.3">
      <c r="A997" s="821"/>
      <c r="B997" s="821"/>
      <c r="C997" s="821" t="s">
        <v>1920</v>
      </c>
      <c r="D997" s="860"/>
      <c r="E997" s="860"/>
      <c r="F997" s="860"/>
      <c r="G997" s="821" t="s">
        <v>1921</v>
      </c>
      <c r="H997" s="860" t="s">
        <v>1041</v>
      </c>
      <c r="I997" s="220" t="str">
        <f>IF(ISBLANK(continental!I50),"",continental!I50)</f>
        <v/>
      </c>
      <c r="K997" s="225" t="s">
        <v>4159</v>
      </c>
      <c r="O997" s="225" t="s">
        <v>4159</v>
      </c>
    </row>
    <row r="998" spans="1:15" ht="12.75" customHeight="1" x14ac:dyDescent="0.3">
      <c r="A998" s="821"/>
      <c r="B998" s="860"/>
      <c r="C998" s="821"/>
      <c r="D998" s="872"/>
      <c r="E998" s="872"/>
      <c r="F998" s="860"/>
      <c r="G998" s="872"/>
      <c r="H998" s="872"/>
      <c r="I998" s="220" t="str">
        <f>IF(ISBLANK(continental!I51),"",continental!I51)</f>
        <v/>
      </c>
      <c r="K998" s="225" t="s">
        <v>4159</v>
      </c>
      <c r="O998" s="225" t="s">
        <v>4159</v>
      </c>
    </row>
    <row r="999" spans="1:15" ht="12.75" customHeight="1" x14ac:dyDescent="0.3">
      <c r="A999" s="821" t="s">
        <v>1922</v>
      </c>
      <c r="B999" s="860"/>
      <c r="C999" s="860"/>
      <c r="D999" s="860"/>
      <c r="E999" s="860"/>
      <c r="F999" s="860"/>
      <c r="G999" s="821" t="s">
        <v>1923</v>
      </c>
      <c r="H999" s="821" t="s">
        <v>4690</v>
      </c>
      <c r="I999" s="220" t="str">
        <f>IF(ISBLANK(continental!I52),"",continental!I52)</f>
        <v/>
      </c>
      <c r="K999" s="225" t="s">
        <v>4159</v>
      </c>
      <c r="O999" s="225" t="s">
        <v>4159</v>
      </c>
    </row>
    <row r="1000" spans="1:15" ht="12.75" customHeight="1" x14ac:dyDescent="0.3">
      <c r="A1000" s="821" t="s">
        <v>1924</v>
      </c>
      <c r="B1000" s="860"/>
      <c r="C1000" s="860"/>
      <c r="D1000" s="860"/>
      <c r="E1000" s="860"/>
      <c r="F1000" s="860"/>
      <c r="G1000" s="821" t="s">
        <v>1925</v>
      </c>
      <c r="H1000" s="821" t="s">
        <v>4690</v>
      </c>
      <c r="I1000" s="220" t="str">
        <f>IF(ISBLANK(continental!I53),"",continental!I53)</f>
        <v/>
      </c>
      <c r="K1000" s="225" t="s">
        <v>4159</v>
      </c>
      <c r="O1000" s="225" t="s">
        <v>4159</v>
      </c>
    </row>
    <row r="1001" spans="1:15" ht="12.75" customHeight="1" x14ac:dyDescent="0.3">
      <c r="A1001" s="821" t="s">
        <v>1926</v>
      </c>
      <c r="B1001" s="860"/>
      <c r="C1001" s="860"/>
      <c r="D1001" s="860"/>
      <c r="E1001" s="860"/>
      <c r="F1001" s="860"/>
      <c r="G1001" s="821" t="s">
        <v>1927</v>
      </c>
      <c r="H1001" s="821" t="s">
        <v>4690</v>
      </c>
      <c r="I1001" s="220" t="str">
        <f>IF(ISBLANK(continental!I54),"",continental!I54)</f>
        <v/>
      </c>
      <c r="K1001" s="225" t="s">
        <v>4159</v>
      </c>
      <c r="O1001" s="225" t="s">
        <v>4159</v>
      </c>
    </row>
    <row r="1002" spans="1:15" ht="12.75" customHeight="1" x14ac:dyDescent="0.3">
      <c r="A1002" s="821" t="s">
        <v>1928</v>
      </c>
      <c r="B1002" s="860"/>
      <c r="C1002" s="860"/>
      <c r="D1002" s="860"/>
      <c r="E1002" s="860"/>
      <c r="F1002" s="860"/>
      <c r="G1002" s="821" t="s">
        <v>1929</v>
      </c>
      <c r="H1002" s="821" t="s">
        <v>4690</v>
      </c>
      <c r="I1002" s="220" t="str">
        <f>IF(ISBLANK(continental!I55),"",continental!I55)</f>
        <v/>
      </c>
      <c r="K1002" s="225" t="s">
        <v>4159</v>
      </c>
      <c r="L1002" s="225">
        <v>0</v>
      </c>
      <c r="O1002" s="225" t="s">
        <v>4159</v>
      </c>
    </row>
    <row r="1003" spans="1:15" ht="12.75" customHeight="1" x14ac:dyDescent="0.3">
      <c r="A1003" s="821" t="s">
        <v>1930</v>
      </c>
      <c r="B1003" s="860"/>
      <c r="C1003" s="860"/>
      <c r="D1003" s="860"/>
      <c r="E1003" s="860"/>
      <c r="F1003" s="860"/>
      <c r="G1003" s="821" t="s">
        <v>1931</v>
      </c>
      <c r="H1003" s="821" t="s">
        <v>4690</v>
      </c>
      <c r="I1003" s="220" t="str">
        <f>IF(ISBLANK(continental!I56),"",continental!I56)</f>
        <v/>
      </c>
      <c r="K1003" s="225" t="s">
        <v>4159</v>
      </c>
      <c r="O1003" s="225" t="s">
        <v>4159</v>
      </c>
    </row>
    <row r="1004" spans="1:15" ht="12.75" customHeight="1" x14ac:dyDescent="0.3">
      <c r="A1004" s="821"/>
      <c r="B1004" s="821" t="s">
        <v>1932</v>
      </c>
      <c r="C1004" s="860"/>
      <c r="D1004" s="860"/>
      <c r="E1004" s="872"/>
      <c r="F1004" s="872"/>
      <c r="G1004" s="872" t="s">
        <v>1933</v>
      </c>
      <c r="H1004" s="821" t="s">
        <v>4691</v>
      </c>
      <c r="I1004" s="220" t="str">
        <f>IF(ISBLANK(continental!I57),"",continental!I57)</f>
        <v/>
      </c>
      <c r="K1004" s="225" t="s">
        <v>4159</v>
      </c>
      <c r="O1004" s="225" t="s">
        <v>4159</v>
      </c>
    </row>
    <row r="1005" spans="1:15" ht="12.75" customHeight="1" x14ac:dyDescent="0.3">
      <c r="A1005" s="821"/>
      <c r="B1005" s="821" t="s">
        <v>1934</v>
      </c>
      <c r="C1005" s="860"/>
      <c r="D1005" s="860"/>
      <c r="E1005" s="872"/>
      <c r="F1005" s="872"/>
      <c r="G1005" s="872" t="s">
        <v>1935</v>
      </c>
      <c r="H1005" s="821" t="s">
        <v>4691</v>
      </c>
      <c r="I1005" s="220" t="str">
        <f>IF(ISBLANK(continental!I58),"",continental!I58)</f>
        <v/>
      </c>
      <c r="K1005" s="225" t="s">
        <v>4159</v>
      </c>
      <c r="O1005" s="225" t="s">
        <v>4159</v>
      </c>
    </row>
    <row r="1006" spans="1:15" ht="12.75" customHeight="1" x14ac:dyDescent="0.3">
      <c r="A1006" s="821"/>
      <c r="B1006" s="821" t="s">
        <v>1936</v>
      </c>
      <c r="C1006" s="860"/>
      <c r="D1006" s="860"/>
      <c r="E1006" s="872"/>
      <c r="F1006" s="872"/>
      <c r="G1006" s="872" t="s">
        <v>1937</v>
      </c>
      <c r="H1006" s="821" t="s">
        <v>4691</v>
      </c>
      <c r="I1006" s="220" t="str">
        <f>IF(ISBLANK(continental!I59),"",continental!I59)</f>
        <v/>
      </c>
      <c r="K1006" s="225" t="s">
        <v>4159</v>
      </c>
      <c r="O1006" s="225" t="s">
        <v>4159</v>
      </c>
    </row>
    <row r="1007" spans="1:15" ht="12.75" customHeight="1" x14ac:dyDescent="0.3">
      <c r="A1007" s="821"/>
      <c r="B1007" s="821" t="s">
        <v>1938</v>
      </c>
      <c r="C1007" s="860"/>
      <c r="D1007" s="860"/>
      <c r="E1007" s="872"/>
      <c r="F1007" s="872"/>
      <c r="G1007" s="872" t="s">
        <v>1939</v>
      </c>
      <c r="H1007" s="860" t="s">
        <v>4691</v>
      </c>
      <c r="I1007" s="220" t="str">
        <f>IF(ISBLANK(continental!I60),"",continental!I60)</f>
        <v/>
      </c>
      <c r="K1007" s="225" t="s">
        <v>4159</v>
      </c>
      <c r="O1007" s="225" t="s">
        <v>4159</v>
      </c>
    </row>
    <row r="1008" spans="1:15" ht="12.75" customHeight="1" x14ac:dyDescent="0.3">
      <c r="A1008" s="821"/>
      <c r="B1008" s="821" t="s">
        <v>1940</v>
      </c>
      <c r="C1008" s="860"/>
      <c r="D1008" s="860"/>
      <c r="E1008" s="872"/>
      <c r="F1008" s="872"/>
      <c r="G1008" s="872" t="s">
        <v>1941</v>
      </c>
      <c r="H1008" s="860" t="s">
        <v>4691</v>
      </c>
      <c r="I1008" s="220" t="str">
        <f>IF(ISBLANK(continental!I61),"",continental!I61)</f>
        <v/>
      </c>
      <c r="K1008" s="225" t="s">
        <v>4159</v>
      </c>
      <c r="O1008" s="225" t="s">
        <v>4159</v>
      </c>
    </row>
    <row r="1009" spans="1:15" ht="12.75" customHeight="1" x14ac:dyDescent="0.3">
      <c r="A1009" s="821" t="s">
        <v>1942</v>
      </c>
      <c r="B1009" s="860"/>
      <c r="C1009" s="860"/>
      <c r="D1009" s="860"/>
      <c r="E1009" s="860"/>
      <c r="F1009" s="860"/>
      <c r="G1009" s="821" t="s">
        <v>1943</v>
      </c>
      <c r="H1009" s="821" t="s">
        <v>4690</v>
      </c>
      <c r="I1009" s="220" t="str">
        <f>IF(ISBLANK(continental!I62),"",continental!I62)</f>
        <v/>
      </c>
      <c r="K1009" s="225" t="s">
        <v>4159</v>
      </c>
      <c r="L1009" s="225">
        <v>0</v>
      </c>
      <c r="O1009" s="225" t="s">
        <v>4159</v>
      </c>
    </row>
    <row r="1010" spans="1:15" ht="12.75" customHeight="1" x14ac:dyDescent="0.3">
      <c r="A1010" s="821" t="s">
        <v>1944</v>
      </c>
      <c r="B1010" s="860"/>
      <c r="C1010" s="860"/>
      <c r="D1010" s="860"/>
      <c r="E1010" s="860"/>
      <c r="F1010" s="860"/>
      <c r="G1010" s="821" t="s">
        <v>1945</v>
      </c>
      <c r="H1010" s="821" t="s">
        <v>4690</v>
      </c>
      <c r="I1010" s="220" t="str">
        <f>IF(ISBLANK(continental!I63),"",continental!I63)</f>
        <v/>
      </c>
      <c r="K1010" s="225" t="s">
        <v>4159</v>
      </c>
      <c r="O1010" s="225" t="s">
        <v>4159</v>
      </c>
    </row>
    <row r="1011" spans="1:15" ht="12.75" customHeight="1" x14ac:dyDescent="0.3">
      <c r="A1011" s="821"/>
      <c r="B1011" s="821" t="s">
        <v>1946</v>
      </c>
      <c r="C1011" s="860"/>
      <c r="D1011" s="860"/>
      <c r="E1011" s="860"/>
      <c r="F1011" s="860"/>
      <c r="G1011" s="872" t="s">
        <v>1947</v>
      </c>
      <c r="H1011" s="860" t="s">
        <v>4691</v>
      </c>
      <c r="I1011" s="220" t="str">
        <f>IF(ISBLANK(continental!I64),"",continental!I64)</f>
        <v/>
      </c>
      <c r="K1011" s="225" t="s">
        <v>4159</v>
      </c>
      <c r="L1011" s="225">
        <v>0</v>
      </c>
      <c r="O1011" s="225" t="s">
        <v>4159</v>
      </c>
    </row>
    <row r="1012" spans="1:15" ht="12.75" customHeight="1" x14ac:dyDescent="0.3">
      <c r="A1012" s="821"/>
      <c r="B1012" s="821" t="s">
        <v>1948</v>
      </c>
      <c r="C1012" s="860"/>
      <c r="D1012" s="860"/>
      <c r="E1012" s="872"/>
      <c r="F1012" s="872"/>
      <c r="G1012" s="872" t="s">
        <v>1949</v>
      </c>
      <c r="H1012" s="860" t="s">
        <v>4691</v>
      </c>
      <c r="I1012" s="220" t="str">
        <f>IF(ISBLANK(continental!I65),"",continental!I65)</f>
        <v/>
      </c>
      <c r="K1012" s="225" t="s">
        <v>4159</v>
      </c>
      <c r="O1012" s="225" t="s">
        <v>4159</v>
      </c>
    </row>
    <row r="1013" spans="1:15" ht="12.75" customHeight="1" x14ac:dyDescent="0.3">
      <c r="A1013" s="821"/>
      <c r="B1013" s="821"/>
      <c r="C1013" s="821" t="s">
        <v>1950</v>
      </c>
      <c r="D1013" s="860"/>
      <c r="E1013" s="860"/>
      <c r="F1013" s="860"/>
      <c r="G1013" s="821" t="s">
        <v>1951</v>
      </c>
      <c r="H1013" s="821" t="s">
        <v>1041</v>
      </c>
      <c r="I1013" s="220" t="str">
        <f>IF(ISBLANK(continental!I66),"",continental!I66)</f>
        <v/>
      </c>
      <c r="K1013" s="225" t="s">
        <v>4159</v>
      </c>
      <c r="O1013" s="225" t="s">
        <v>4159</v>
      </c>
    </row>
    <row r="1014" spans="1:15" ht="12.75" customHeight="1" x14ac:dyDescent="0.3">
      <c r="A1014" s="860"/>
      <c r="B1014" s="860"/>
      <c r="C1014" s="860"/>
      <c r="D1014" s="860"/>
      <c r="E1014" s="860"/>
      <c r="F1014" s="860"/>
      <c r="G1014" s="860"/>
      <c r="H1014" s="860"/>
      <c r="I1014" s="220" t="str">
        <f>IF(ISBLANK(continental!I67),"",continental!I67)</f>
        <v/>
      </c>
      <c r="K1014" s="225" t="s">
        <v>4159</v>
      </c>
      <c r="O1014" s="225" t="s">
        <v>4159</v>
      </c>
    </row>
    <row r="1015" spans="1:15" ht="12.75" customHeight="1" x14ac:dyDescent="0.3">
      <c r="A1015" s="865" t="s">
        <v>1952</v>
      </c>
      <c r="B1015" s="864"/>
      <c r="C1015" s="864"/>
      <c r="D1015" s="864"/>
      <c r="E1015" s="864"/>
      <c r="F1015" s="864"/>
      <c r="G1015" s="865" t="s">
        <v>258</v>
      </c>
      <c r="H1015" s="865" t="s">
        <v>274</v>
      </c>
      <c r="I1015" s="220" t="str">
        <f>IF(ISBLANK(continental!I68),"",continental!I68)</f>
        <v>User input</v>
      </c>
      <c r="K1015" s="225" t="s">
        <v>259</v>
      </c>
      <c r="O1015" s="225" t="s">
        <v>259</v>
      </c>
    </row>
    <row r="1016" spans="1:15" ht="12.75" customHeight="1" x14ac:dyDescent="0.3">
      <c r="A1016" s="878"/>
      <c r="B1016" s="879"/>
      <c r="C1016" s="880"/>
      <c r="D1016" s="880"/>
      <c r="E1016" s="878"/>
      <c r="F1016" s="878"/>
      <c r="G1016" s="878"/>
      <c r="H1016" s="880"/>
      <c r="I1016" s="220" t="str">
        <f>IF(ISBLANK(continental!I69),"",continental!I69)</f>
        <v/>
      </c>
      <c r="K1016" s="225" t="s">
        <v>4159</v>
      </c>
      <c r="O1016" s="225" t="s">
        <v>4159</v>
      </c>
    </row>
    <row r="1017" spans="1:15" ht="12.75" customHeight="1" x14ac:dyDescent="0.3">
      <c r="A1017" s="5"/>
      <c r="B1017" s="821" t="s">
        <v>1953</v>
      </c>
      <c r="C1017" s="821"/>
      <c r="D1017" s="821"/>
      <c r="E1017" s="821"/>
      <c r="F1017" s="821"/>
      <c r="G1017" s="821" t="s">
        <v>4762</v>
      </c>
      <c r="H1017" s="821" t="s">
        <v>291</v>
      </c>
      <c r="I1017" s="220" t="str">
        <f>IF(ISBLANK(continental!I70),"",continental!I70)</f>
        <v/>
      </c>
      <c r="K1017" s="225" t="s">
        <v>4159</v>
      </c>
      <c r="O1017" s="225" t="s">
        <v>4159</v>
      </c>
    </row>
    <row r="1018" spans="1:15" ht="12.75" customHeight="1" x14ac:dyDescent="0.3">
      <c r="A1018" s="860"/>
      <c r="B1018" s="860" t="s">
        <v>1955</v>
      </c>
      <c r="C1018" s="860"/>
      <c r="D1018" s="860"/>
      <c r="E1018" s="860"/>
      <c r="F1018" s="860"/>
      <c r="G1018" s="860" t="s">
        <v>1956</v>
      </c>
      <c r="H1018" s="860" t="s">
        <v>291</v>
      </c>
      <c r="I1018" s="220" t="str">
        <f>IF(ISBLANK(continental!I71),"",continental!I71)</f>
        <v/>
      </c>
      <c r="K1018" s="225" t="s">
        <v>4159</v>
      </c>
      <c r="O1018" s="225" t="s">
        <v>4159</v>
      </c>
    </row>
    <row r="1019" spans="1:15" ht="12.75" customHeight="1" x14ac:dyDescent="0.3">
      <c r="A1019" s="860"/>
      <c r="B1019" s="860" t="s">
        <v>1957</v>
      </c>
      <c r="C1019" s="860"/>
      <c r="D1019" s="860"/>
      <c r="E1019" s="860"/>
      <c r="F1019" s="860"/>
      <c r="G1019" s="860" t="s">
        <v>1958</v>
      </c>
      <c r="H1019" s="860" t="s">
        <v>291</v>
      </c>
      <c r="I1019" s="220" t="str">
        <f>IF(ISBLANK(continental!I72),"",continental!I72)</f>
        <v/>
      </c>
      <c r="K1019" s="225" t="s">
        <v>4159</v>
      </c>
      <c r="O1019" s="225" t="s">
        <v>4159</v>
      </c>
    </row>
    <row r="1020" spans="1:15" ht="12.75" customHeight="1" x14ac:dyDescent="0.3">
      <c r="A1020" s="860"/>
      <c r="B1020" s="860"/>
      <c r="C1020" s="821" t="s">
        <v>1959</v>
      </c>
      <c r="D1020" s="821"/>
      <c r="E1020" s="821"/>
      <c r="F1020" s="821"/>
      <c r="G1020" s="821" t="s">
        <v>4763</v>
      </c>
      <c r="H1020" s="821" t="s">
        <v>291</v>
      </c>
      <c r="I1020" s="220" t="str">
        <f>IF(ISBLANK(continental!I73),"",continental!I73)</f>
        <v/>
      </c>
      <c r="K1020" s="225" t="s">
        <v>4159</v>
      </c>
      <c r="O1020" s="225" t="s">
        <v>4159</v>
      </c>
    </row>
    <row r="1021" spans="1:15" ht="12.75" customHeight="1" x14ac:dyDescent="0.35">
      <c r="A1021" s="860"/>
      <c r="B1021" s="860"/>
      <c r="C1021" s="860" t="s">
        <v>1961</v>
      </c>
      <c r="D1021" s="860"/>
      <c r="E1021" s="860"/>
      <c r="F1021" s="860"/>
      <c r="G1021" s="860" t="s">
        <v>1962</v>
      </c>
      <c r="H1021" s="860" t="s">
        <v>4701</v>
      </c>
      <c r="I1021" s="220" t="str">
        <f>IF(ISBLANK(continental!I74),"",continental!I74)</f>
        <v/>
      </c>
      <c r="K1021" s="225" t="s">
        <v>4159</v>
      </c>
      <c r="O1021" s="225" t="s">
        <v>4159</v>
      </c>
    </row>
    <row r="1022" spans="1:15" ht="12.75" customHeight="1" x14ac:dyDescent="0.35">
      <c r="A1022" s="860"/>
      <c r="B1022" s="860"/>
      <c r="C1022" s="860" t="s">
        <v>1963</v>
      </c>
      <c r="D1022" s="860"/>
      <c r="E1022" s="860"/>
      <c r="F1022" s="860"/>
      <c r="G1022" s="860" t="s">
        <v>1964</v>
      </c>
      <c r="H1022" s="860" t="s">
        <v>4703</v>
      </c>
      <c r="I1022" s="220" t="str">
        <f>IF(ISBLANK(continental!I75),"",continental!I75)</f>
        <v/>
      </c>
      <c r="K1022" s="225" t="s">
        <v>4159</v>
      </c>
      <c r="O1022" s="225" t="s">
        <v>4159</v>
      </c>
    </row>
    <row r="1023" spans="1:15" ht="12.75" customHeight="1" x14ac:dyDescent="0.3">
      <c r="A1023" s="821"/>
      <c r="B1023" s="821" t="s">
        <v>1965</v>
      </c>
      <c r="C1023" s="872"/>
      <c r="D1023" s="860"/>
      <c r="E1023" s="860"/>
      <c r="F1023" s="860"/>
      <c r="G1023" s="872" t="s">
        <v>1966</v>
      </c>
      <c r="H1023" s="821" t="s">
        <v>291</v>
      </c>
      <c r="I1023" s="220" t="str">
        <f>IF(ISBLANK(continental!I76),"",continental!I76)</f>
        <v/>
      </c>
      <c r="K1023" s="225" t="s">
        <v>4159</v>
      </c>
      <c r="O1023" s="225" t="s">
        <v>4159</v>
      </c>
    </row>
    <row r="1024" spans="1:15" ht="12.75" customHeight="1" x14ac:dyDescent="0.3">
      <c r="A1024" s="821"/>
      <c r="B1024" s="860"/>
      <c r="C1024" s="821" t="s">
        <v>1075</v>
      </c>
      <c r="D1024" s="860"/>
      <c r="E1024" s="860"/>
      <c r="F1024" s="860"/>
      <c r="G1024" s="872" t="s">
        <v>1967</v>
      </c>
      <c r="H1024" s="821" t="s">
        <v>4706</v>
      </c>
      <c r="I1024" s="220" t="str">
        <f>IF(ISBLANK(continental!I77),"",continental!I77)</f>
        <v/>
      </c>
      <c r="J1024" s="211"/>
      <c r="K1024" s="225" t="s">
        <v>4159</v>
      </c>
      <c r="O1024" s="225" t="s">
        <v>4159</v>
      </c>
    </row>
    <row r="1025" spans="1:15" ht="12.75" customHeight="1" x14ac:dyDescent="0.3">
      <c r="A1025" s="821"/>
      <c r="B1025" s="860"/>
      <c r="C1025" s="821" t="s">
        <v>1079</v>
      </c>
      <c r="D1025" s="860"/>
      <c r="E1025" s="860"/>
      <c r="F1025" s="860"/>
      <c r="G1025" s="872" t="s">
        <v>1968</v>
      </c>
      <c r="H1025" s="821" t="s">
        <v>291</v>
      </c>
      <c r="I1025" s="220" t="str">
        <f>IF(ISBLANK(continental!I78),"",continental!I78)</f>
        <v/>
      </c>
      <c r="J1025" s="353"/>
      <c r="K1025" s="225" t="s">
        <v>4159</v>
      </c>
      <c r="O1025" s="225" t="s">
        <v>4159</v>
      </c>
    </row>
    <row r="1026" spans="1:15" ht="12.75" customHeight="1" x14ac:dyDescent="0.3">
      <c r="A1026" s="821"/>
      <c r="B1026" s="860"/>
      <c r="C1026" s="821" t="s">
        <v>723</v>
      </c>
      <c r="D1026" s="860"/>
      <c r="E1026" s="860"/>
      <c r="F1026" s="860"/>
      <c r="G1026" s="872" t="s">
        <v>755</v>
      </c>
      <c r="H1026" s="821" t="s">
        <v>4785</v>
      </c>
      <c r="I1026" s="220" t="str">
        <f>IF(ISBLANK(input!I311),"",input!I311)</f>
        <v/>
      </c>
      <c r="J1026" s="211"/>
      <c r="K1026" s="225" t="s">
        <v>4159</v>
      </c>
      <c r="O1026" s="225" t="s">
        <v>4159</v>
      </c>
    </row>
    <row r="1027" spans="1:15" ht="12.75" customHeight="1" x14ac:dyDescent="0.3">
      <c r="A1027" s="821"/>
      <c r="B1027" s="860"/>
      <c r="C1027" s="821" t="s">
        <v>1081</v>
      </c>
      <c r="D1027" s="860"/>
      <c r="E1027" s="860"/>
      <c r="F1027" s="860"/>
      <c r="G1027" s="872" t="s">
        <v>1969</v>
      </c>
      <c r="H1027" s="821" t="s">
        <v>1083</v>
      </c>
      <c r="I1027" s="220" t="str">
        <f>IF(ISBLANK(continental!I79),"",continental!I79)</f>
        <v/>
      </c>
      <c r="K1027" s="225" t="s">
        <v>4159</v>
      </c>
      <c r="O1027" s="225" t="s">
        <v>4159</v>
      </c>
    </row>
    <row r="1028" spans="1:15" ht="12.75" customHeight="1" x14ac:dyDescent="0.3">
      <c r="A1028" s="821"/>
      <c r="B1028" s="860"/>
      <c r="C1028" s="821" t="s">
        <v>714</v>
      </c>
      <c r="D1028" s="860"/>
      <c r="E1028" s="860"/>
      <c r="F1028" s="860"/>
      <c r="G1028" s="872" t="s">
        <v>752</v>
      </c>
      <c r="H1028" s="821" t="s">
        <v>716</v>
      </c>
      <c r="I1028" s="220" t="str">
        <f>IF(ISBLANK(input!I308),"",input!I308)</f>
        <v/>
      </c>
      <c r="K1028" s="225" t="s">
        <v>4159</v>
      </c>
      <c r="O1028" s="225" t="s">
        <v>4159</v>
      </c>
    </row>
    <row r="1029" spans="1:15" ht="12.75" customHeight="1" x14ac:dyDescent="0.3">
      <c r="A1029" s="821"/>
      <c r="B1029" s="821" t="s">
        <v>4764</v>
      </c>
      <c r="C1029" s="872"/>
      <c r="D1029" s="860"/>
      <c r="E1029" s="860"/>
      <c r="F1029" s="860"/>
      <c r="G1029" s="872" t="s">
        <v>1970</v>
      </c>
      <c r="H1029" s="821" t="s">
        <v>291</v>
      </c>
      <c r="I1029" s="220" t="str">
        <f>IF(ISBLANK(continental!I80),"",continental!I80)</f>
        <v/>
      </c>
      <c r="K1029" s="225" t="s">
        <v>4159</v>
      </c>
      <c r="O1029" s="225" t="s">
        <v>4159</v>
      </c>
    </row>
    <row r="1030" spans="1:15" ht="12.75" customHeight="1" x14ac:dyDescent="0.3">
      <c r="A1030" s="821"/>
      <c r="B1030" s="860"/>
      <c r="C1030" s="821" t="s">
        <v>1075</v>
      </c>
      <c r="D1030" s="860"/>
      <c r="E1030" s="860"/>
      <c r="F1030" s="860"/>
      <c r="G1030" s="872" t="s">
        <v>1971</v>
      </c>
      <c r="H1030" s="821" t="s">
        <v>1083</v>
      </c>
      <c r="I1030" s="220" t="str">
        <f>IF(ISBLANK(continental!I81),"",continental!I81)</f>
        <v/>
      </c>
      <c r="K1030" s="225" t="s">
        <v>4159</v>
      </c>
      <c r="O1030" s="225" t="s">
        <v>4159</v>
      </c>
    </row>
    <row r="1031" spans="1:15" ht="12.75" customHeight="1" x14ac:dyDescent="0.3">
      <c r="A1031" s="821"/>
      <c r="B1031" s="860"/>
      <c r="C1031" s="821" t="s">
        <v>1079</v>
      </c>
      <c r="D1031" s="860"/>
      <c r="E1031" s="860"/>
      <c r="F1031" s="860"/>
      <c r="G1031" s="872" t="s">
        <v>1972</v>
      </c>
      <c r="H1031" s="821" t="s">
        <v>291</v>
      </c>
      <c r="I1031" s="220" t="str">
        <f>IF(ISBLANK(continental!I82),"",continental!I82)</f>
        <v/>
      </c>
      <c r="K1031" s="225" t="s">
        <v>4159</v>
      </c>
      <c r="O1031" s="225" t="s">
        <v>4159</v>
      </c>
    </row>
    <row r="1032" spans="1:15" ht="12.75" customHeight="1" x14ac:dyDescent="0.3">
      <c r="A1032" s="821"/>
      <c r="B1032" s="860"/>
      <c r="C1032" s="821" t="s">
        <v>723</v>
      </c>
      <c r="D1032" s="860"/>
      <c r="E1032" s="860"/>
      <c r="F1032" s="860"/>
      <c r="G1032" s="872" t="s">
        <v>756</v>
      </c>
      <c r="H1032" s="821" t="s">
        <v>716</v>
      </c>
      <c r="I1032" s="220" t="str">
        <f>IF(ISBLANK(input!I312),"",input!I312)</f>
        <v/>
      </c>
      <c r="K1032" s="225" t="s">
        <v>4159</v>
      </c>
      <c r="O1032" s="225" t="s">
        <v>4159</v>
      </c>
    </row>
    <row r="1033" spans="1:15" ht="12.75" customHeight="1" x14ac:dyDescent="0.3">
      <c r="A1033" s="821"/>
      <c r="B1033" s="860"/>
      <c r="C1033" s="821" t="s">
        <v>1081</v>
      </c>
      <c r="D1033" s="860"/>
      <c r="E1033" s="860"/>
      <c r="F1033" s="860"/>
      <c r="G1033" s="872" t="s">
        <v>1973</v>
      </c>
      <c r="H1033" s="821" t="s">
        <v>1083</v>
      </c>
      <c r="I1033" s="220" t="str">
        <f>IF(ISBLANK(continental!I83),"",continental!I83)</f>
        <v/>
      </c>
      <c r="K1033" s="225" t="s">
        <v>4159</v>
      </c>
      <c r="O1033" s="225" t="s">
        <v>4159</v>
      </c>
    </row>
    <row r="1034" spans="1:15" ht="12.75" customHeight="1" x14ac:dyDescent="0.3">
      <c r="A1034" s="821"/>
      <c r="B1034" s="860"/>
      <c r="C1034" s="821" t="s">
        <v>714</v>
      </c>
      <c r="D1034" s="860"/>
      <c r="E1034" s="860"/>
      <c r="F1034" s="860"/>
      <c r="G1034" s="872" t="s">
        <v>753</v>
      </c>
      <c r="H1034" s="821" t="s">
        <v>716</v>
      </c>
      <c r="I1034" s="220" t="str">
        <f>IF(ISBLANK(input!I309),"",input!I309)</f>
        <v/>
      </c>
      <c r="K1034" s="225" t="s">
        <v>4159</v>
      </c>
      <c r="O1034" s="225" t="s">
        <v>4159</v>
      </c>
    </row>
    <row r="1035" spans="1:15" ht="12.75" customHeight="1" x14ac:dyDescent="0.3">
      <c r="A1035" s="821"/>
      <c r="B1035" s="821" t="s">
        <v>4765</v>
      </c>
      <c r="C1035" s="872"/>
      <c r="D1035" s="860"/>
      <c r="E1035" s="860"/>
      <c r="F1035" s="860"/>
      <c r="G1035" s="872" t="s">
        <v>1974</v>
      </c>
      <c r="H1035" s="821" t="s">
        <v>291</v>
      </c>
      <c r="I1035" s="220" t="str">
        <f>IF(ISBLANK(continental!I84),"",continental!I84)</f>
        <v/>
      </c>
      <c r="K1035" s="225" t="s">
        <v>4159</v>
      </c>
      <c r="O1035" s="225" t="s">
        <v>4159</v>
      </c>
    </row>
    <row r="1036" spans="1:15" ht="12.75" customHeight="1" x14ac:dyDescent="0.3">
      <c r="A1036" s="821"/>
      <c r="B1036" s="860"/>
      <c r="C1036" s="821" t="s">
        <v>1075</v>
      </c>
      <c r="D1036" s="860"/>
      <c r="E1036" s="860"/>
      <c r="F1036" s="860"/>
      <c r="G1036" s="872" t="s">
        <v>1975</v>
      </c>
      <c r="H1036" s="821" t="s">
        <v>1083</v>
      </c>
      <c r="I1036" s="220" t="str">
        <f>IF(ISBLANK(continental!I85),"",continental!I85)</f>
        <v/>
      </c>
      <c r="K1036" s="225" t="s">
        <v>4159</v>
      </c>
      <c r="O1036" s="225" t="s">
        <v>4159</v>
      </c>
    </row>
    <row r="1037" spans="1:15" ht="12.75" customHeight="1" x14ac:dyDescent="0.3">
      <c r="A1037" s="821"/>
      <c r="B1037" s="860"/>
      <c r="C1037" s="821" t="s">
        <v>1079</v>
      </c>
      <c r="D1037" s="860"/>
      <c r="E1037" s="860"/>
      <c r="F1037" s="860"/>
      <c r="G1037" s="872" t="s">
        <v>1976</v>
      </c>
      <c r="H1037" s="821" t="s">
        <v>291</v>
      </c>
      <c r="I1037" s="220" t="str">
        <f>IF(ISBLANK(continental!I86),"",continental!I86)</f>
        <v/>
      </c>
      <c r="K1037" s="225" t="s">
        <v>4159</v>
      </c>
      <c r="O1037" s="225" t="s">
        <v>4159</v>
      </c>
    </row>
    <row r="1038" spans="1:15" ht="12.75" customHeight="1" x14ac:dyDescent="0.3">
      <c r="A1038" s="821"/>
      <c r="B1038" s="860"/>
      <c r="C1038" s="821" t="s">
        <v>725</v>
      </c>
      <c r="D1038" s="860"/>
      <c r="E1038" s="860"/>
      <c r="F1038" s="860"/>
      <c r="G1038" s="872" t="s">
        <v>757</v>
      </c>
      <c r="H1038" s="821" t="s">
        <v>716</v>
      </c>
      <c r="I1038" s="220" t="str">
        <f>IF(ISBLANK(input!I313),"",input!I313)</f>
        <v/>
      </c>
      <c r="K1038" s="225" t="s">
        <v>4159</v>
      </c>
      <c r="O1038" s="225" t="s">
        <v>4159</v>
      </c>
    </row>
    <row r="1039" spans="1:15" ht="12.75" customHeight="1" x14ac:dyDescent="0.3">
      <c r="A1039" s="821"/>
      <c r="B1039" s="860"/>
      <c r="C1039" s="821" t="s">
        <v>1081</v>
      </c>
      <c r="D1039" s="860"/>
      <c r="E1039" s="860"/>
      <c r="F1039" s="860"/>
      <c r="G1039" s="872" t="s">
        <v>1977</v>
      </c>
      <c r="H1039" s="821" t="s">
        <v>1083</v>
      </c>
      <c r="I1039" s="220" t="str">
        <f>IF(ISBLANK(continental!I87),"",continental!I87)</f>
        <v/>
      </c>
      <c r="K1039" s="225" t="s">
        <v>4159</v>
      </c>
      <c r="O1039" s="225" t="s">
        <v>4159</v>
      </c>
    </row>
    <row r="1040" spans="1:15" ht="12.75" customHeight="1" x14ac:dyDescent="0.3">
      <c r="A1040" s="821"/>
      <c r="B1040" s="860"/>
      <c r="C1040" s="821" t="s">
        <v>714</v>
      </c>
      <c r="D1040" s="860"/>
      <c r="E1040" s="860"/>
      <c r="F1040" s="860"/>
      <c r="G1040" s="872" t="s">
        <v>754</v>
      </c>
      <c r="H1040" s="821" t="s">
        <v>716</v>
      </c>
      <c r="I1040" s="220" t="str">
        <f>IF(ISBLANK(input!I310),"",input!I310)</f>
        <v/>
      </c>
      <c r="K1040" s="225" t="s">
        <v>4159</v>
      </c>
      <c r="O1040" s="225" t="s">
        <v>4159</v>
      </c>
    </row>
    <row r="1041" spans="1:15" ht="12.75" customHeight="1" x14ac:dyDescent="0.3">
      <c r="A1041" s="796"/>
      <c r="B1041" s="796" t="s">
        <v>1090</v>
      </c>
      <c r="C1041" s="802"/>
      <c r="D1041" s="797"/>
      <c r="E1041" s="797"/>
      <c r="F1041" s="797"/>
      <c r="G1041" s="802" t="s">
        <v>1978</v>
      </c>
      <c r="H1041" s="796" t="s">
        <v>291</v>
      </c>
      <c r="I1041" s="220" t="str">
        <f>IF(ISBLANK(continental!I88),"",continental!I88)</f>
        <v/>
      </c>
      <c r="K1041" s="225" t="s">
        <v>4159</v>
      </c>
      <c r="O1041" s="225" t="s">
        <v>4159</v>
      </c>
    </row>
    <row r="1042" spans="1:15" ht="12.75" customHeight="1" x14ac:dyDescent="0.3">
      <c r="A1042" s="796"/>
      <c r="B1042" s="797"/>
      <c r="C1042" s="796" t="s">
        <v>1092</v>
      </c>
      <c r="D1042" s="797"/>
      <c r="E1042" s="797"/>
      <c r="F1042" s="797"/>
      <c r="G1042" s="802" t="s">
        <v>1979</v>
      </c>
      <c r="H1042" s="796" t="s">
        <v>1083</v>
      </c>
      <c r="I1042" s="220" t="str">
        <f>IF(ISBLANK(continental!I89),"",continental!I89)</f>
        <v/>
      </c>
      <c r="K1042" s="225" t="s">
        <v>4159</v>
      </c>
      <c r="O1042" s="225" t="s">
        <v>4159</v>
      </c>
    </row>
    <row r="1043" spans="1:15" ht="12.75" customHeight="1" x14ac:dyDescent="0.3">
      <c r="A1043" s="796"/>
      <c r="B1043" s="797"/>
      <c r="C1043" s="796" t="s">
        <v>1094</v>
      </c>
      <c r="D1043" s="797"/>
      <c r="E1043" s="797"/>
      <c r="F1043" s="797"/>
      <c r="G1043" s="802" t="s">
        <v>1980</v>
      </c>
      <c r="H1043" s="796" t="s">
        <v>291</v>
      </c>
      <c r="I1043" s="220" t="str">
        <f>IF(ISBLANK(continental!I90),"",continental!I90)</f>
        <v/>
      </c>
      <c r="K1043" s="225" t="s">
        <v>4159</v>
      </c>
      <c r="O1043" s="225" t="s">
        <v>4159</v>
      </c>
    </row>
    <row r="1044" spans="1:15" ht="12.75" customHeight="1" x14ac:dyDescent="0.3">
      <c r="A1044" s="821"/>
      <c r="B1044" s="821" t="s">
        <v>1096</v>
      </c>
      <c r="C1044" s="872"/>
      <c r="D1044" s="860"/>
      <c r="E1044" s="860"/>
      <c r="F1044" s="860"/>
      <c r="G1044" s="872" t="s">
        <v>1981</v>
      </c>
      <c r="H1044" s="821" t="s">
        <v>291</v>
      </c>
      <c r="I1044" s="220" t="str">
        <f>IF(ISBLANK(continental!I91),"",continental!I91)</f>
        <v/>
      </c>
      <c r="K1044" s="225" t="s">
        <v>4159</v>
      </c>
      <c r="O1044" s="225" t="s">
        <v>4159</v>
      </c>
    </row>
    <row r="1045" spans="1:15" ht="12.75" customHeight="1" x14ac:dyDescent="0.3">
      <c r="A1045" s="821"/>
      <c r="B1045" s="860"/>
      <c r="C1045" s="821" t="s">
        <v>1098</v>
      </c>
      <c r="D1045" s="860"/>
      <c r="E1045" s="860"/>
      <c r="F1045" s="860"/>
      <c r="G1045" s="872" t="s">
        <v>1982</v>
      </c>
      <c r="H1045" s="821" t="s">
        <v>1083</v>
      </c>
      <c r="I1045" s="220" t="str">
        <f>IF(ISBLANK(continental!I92),"",continental!I92)</f>
        <v/>
      </c>
      <c r="K1045" s="225" t="s">
        <v>4159</v>
      </c>
      <c r="O1045" s="225" t="s">
        <v>4159</v>
      </c>
    </row>
    <row r="1046" spans="1:15" ht="12.75" customHeight="1" x14ac:dyDescent="0.3">
      <c r="A1046" s="821"/>
      <c r="B1046" s="860"/>
      <c r="C1046" s="821" t="s">
        <v>1100</v>
      </c>
      <c r="D1046" s="860"/>
      <c r="E1046" s="860"/>
      <c r="F1046" s="860"/>
      <c r="G1046" s="872" t="s">
        <v>1983</v>
      </c>
      <c r="H1046" s="821" t="s">
        <v>291</v>
      </c>
      <c r="I1046" s="220" t="str">
        <f>IF(ISBLANK(continental!I93),"",continental!I93)</f>
        <v/>
      </c>
      <c r="K1046" s="225" t="s">
        <v>4159</v>
      </c>
      <c r="O1046" s="225" t="s">
        <v>4159</v>
      </c>
    </row>
    <row r="1047" spans="1:15" ht="12.75" customHeight="1" x14ac:dyDescent="0.3">
      <c r="A1047" s="821"/>
      <c r="B1047" s="821" t="s">
        <v>1102</v>
      </c>
      <c r="C1047" s="872"/>
      <c r="D1047" s="860"/>
      <c r="E1047" s="860"/>
      <c r="F1047" s="860"/>
      <c r="G1047" s="872" t="s">
        <v>1984</v>
      </c>
      <c r="H1047" s="821" t="s">
        <v>291</v>
      </c>
      <c r="I1047" s="220" t="str">
        <f>IF(ISBLANK(continental!I94),"",continental!I94)</f>
        <v/>
      </c>
      <c r="K1047" s="225" t="s">
        <v>4159</v>
      </c>
      <c r="O1047" s="225" t="s">
        <v>4159</v>
      </c>
    </row>
    <row r="1048" spans="1:15" ht="12.75" customHeight="1" x14ac:dyDescent="0.3">
      <c r="A1048" s="821"/>
      <c r="B1048" s="860"/>
      <c r="C1048" s="821" t="s">
        <v>1104</v>
      </c>
      <c r="D1048" s="860"/>
      <c r="E1048" s="860"/>
      <c r="F1048" s="860"/>
      <c r="G1048" s="872" t="s">
        <v>1985</v>
      </c>
      <c r="H1048" s="821" t="s">
        <v>1083</v>
      </c>
      <c r="I1048" s="220" t="str">
        <f>IF(ISBLANK(continental!I95),"",continental!I95)</f>
        <v/>
      </c>
      <c r="K1048" s="225" t="s">
        <v>4159</v>
      </c>
      <c r="O1048" s="225" t="s">
        <v>4159</v>
      </c>
    </row>
    <row r="1049" spans="1:15" ht="12.75" customHeight="1" x14ac:dyDescent="0.3">
      <c r="A1049" s="821"/>
      <c r="B1049" s="860"/>
      <c r="C1049" s="821" t="s">
        <v>1106</v>
      </c>
      <c r="D1049" s="860"/>
      <c r="E1049" s="860"/>
      <c r="F1049" s="860"/>
      <c r="G1049" s="872" t="s">
        <v>1986</v>
      </c>
      <c r="H1049" s="821" t="s">
        <v>291</v>
      </c>
      <c r="I1049" s="220" t="str">
        <f>IF(ISBLANK(continental!I96),"",continental!I96)</f>
        <v/>
      </c>
      <c r="K1049" s="225" t="s">
        <v>4159</v>
      </c>
      <c r="O1049" s="225" t="s">
        <v>4159</v>
      </c>
    </row>
    <row r="1050" spans="1:15" ht="12.75" customHeight="1" x14ac:dyDescent="0.3">
      <c r="A1050" s="821"/>
      <c r="B1050" s="821" t="s">
        <v>1108</v>
      </c>
      <c r="C1050" s="872"/>
      <c r="D1050" s="860"/>
      <c r="E1050" s="860"/>
      <c r="F1050" s="860"/>
      <c r="G1050" s="872" t="s">
        <v>1987</v>
      </c>
      <c r="H1050" s="821" t="s">
        <v>291</v>
      </c>
      <c r="I1050" s="220" t="str">
        <f>IF(ISBLANK(continental!I97),"",continental!I97)</f>
        <v/>
      </c>
      <c r="K1050" s="225" t="s">
        <v>4159</v>
      </c>
      <c r="O1050" s="225" t="s">
        <v>4159</v>
      </c>
    </row>
    <row r="1051" spans="1:15" ht="12.75" customHeight="1" x14ac:dyDescent="0.3">
      <c r="A1051" s="821"/>
      <c r="B1051" s="821" t="s">
        <v>1988</v>
      </c>
      <c r="C1051" s="872"/>
      <c r="D1051" s="860"/>
      <c r="E1051" s="860"/>
      <c r="F1051" s="860"/>
      <c r="G1051" s="872" t="s">
        <v>1989</v>
      </c>
      <c r="H1051" s="821" t="s">
        <v>291</v>
      </c>
      <c r="I1051" s="220" t="str">
        <f>IF(ISBLANK(continental!I98),"",continental!I98)</f>
        <v/>
      </c>
      <c r="K1051" s="225" t="s">
        <v>4159</v>
      </c>
      <c r="O1051" s="225" t="s">
        <v>4159</v>
      </c>
    </row>
    <row r="1052" spans="1:15" ht="12.75" customHeight="1" x14ac:dyDescent="0.3">
      <c r="A1052" s="821"/>
      <c r="B1052" s="821" t="s">
        <v>1990</v>
      </c>
      <c r="C1052" s="872"/>
      <c r="D1052" s="860"/>
      <c r="E1052" s="860"/>
      <c r="F1052" s="860"/>
      <c r="G1052" s="872" t="s">
        <v>1991</v>
      </c>
      <c r="H1052" s="821" t="s">
        <v>291</v>
      </c>
      <c r="I1052" s="220" t="str">
        <f>IF(ISBLANK(continental!I99),"",continental!I99)</f>
        <v/>
      </c>
      <c r="K1052" s="225" t="s">
        <v>4159</v>
      </c>
      <c r="O1052" s="225" t="s">
        <v>4159</v>
      </c>
    </row>
    <row r="1053" spans="1:15" ht="12.75" customHeight="1" x14ac:dyDescent="0.3">
      <c r="A1053" s="821"/>
      <c r="B1053" s="860"/>
      <c r="C1053" s="821" t="s">
        <v>1111</v>
      </c>
      <c r="D1053" s="860"/>
      <c r="E1053" s="860"/>
      <c r="F1053" s="860"/>
      <c r="G1053" s="872" t="s">
        <v>1992</v>
      </c>
      <c r="H1053" s="821" t="s">
        <v>1083</v>
      </c>
      <c r="I1053" s="220" t="str">
        <f>IF(ISBLANK(continental!I100),"",continental!I100)</f>
        <v/>
      </c>
      <c r="K1053" s="225" t="s">
        <v>4159</v>
      </c>
      <c r="O1053" s="225" t="s">
        <v>4159</v>
      </c>
    </row>
    <row r="1054" spans="1:15" ht="12.75" customHeight="1" x14ac:dyDescent="0.3">
      <c r="A1054" s="821"/>
      <c r="B1054" s="860"/>
      <c r="C1054" s="821" t="s">
        <v>1113</v>
      </c>
      <c r="D1054" s="860"/>
      <c r="E1054" s="860"/>
      <c r="F1054" s="860"/>
      <c r="G1054" s="872" t="s">
        <v>1993</v>
      </c>
      <c r="H1054" s="821" t="s">
        <v>291</v>
      </c>
      <c r="I1054" s="220" t="str">
        <f>IF(ISBLANK(continental!I101),"",continental!I101)</f>
        <v/>
      </c>
      <c r="K1054" s="225" t="s">
        <v>4159</v>
      </c>
      <c r="O1054" s="225" t="s">
        <v>4159</v>
      </c>
    </row>
    <row r="1055" spans="1:15" ht="12.75" customHeight="1" x14ac:dyDescent="0.3">
      <c r="A1055" s="821"/>
      <c r="B1055" s="821" t="s">
        <v>1115</v>
      </c>
      <c r="C1055" s="872"/>
      <c r="D1055" s="860"/>
      <c r="E1055" s="860"/>
      <c r="F1055" s="860"/>
      <c r="G1055" s="872" t="s">
        <v>1994</v>
      </c>
      <c r="H1055" s="821" t="s">
        <v>291</v>
      </c>
      <c r="I1055" s="220" t="str">
        <f>IF(ISBLANK(continental!I102),"",continental!I102)</f>
        <v/>
      </c>
      <c r="K1055" s="225" t="s">
        <v>4159</v>
      </c>
      <c r="O1055" s="225" t="s">
        <v>4159</v>
      </c>
    </row>
    <row r="1056" spans="1:15" ht="12.75" customHeight="1" x14ac:dyDescent="0.3">
      <c r="A1056" s="821"/>
      <c r="B1056" s="821" t="s">
        <v>1995</v>
      </c>
      <c r="C1056" s="872"/>
      <c r="D1056" s="860"/>
      <c r="E1056" s="860"/>
      <c r="F1056" s="860"/>
      <c r="G1056" s="872" t="s">
        <v>1996</v>
      </c>
      <c r="H1056" s="821" t="s">
        <v>291</v>
      </c>
      <c r="I1056" s="220" t="str">
        <f>IF(ISBLANK(continental!I103),"",continental!I103)</f>
        <v/>
      </c>
      <c r="K1056" s="225" t="s">
        <v>4159</v>
      </c>
      <c r="O1056" s="225" t="s">
        <v>4159</v>
      </c>
    </row>
    <row r="1057" spans="1:15" ht="12.75" customHeight="1" x14ac:dyDescent="0.3">
      <c r="A1057" s="821"/>
      <c r="B1057" s="821" t="s">
        <v>1997</v>
      </c>
      <c r="C1057" s="872"/>
      <c r="D1057" s="860"/>
      <c r="E1057" s="860"/>
      <c r="F1057" s="860"/>
      <c r="G1057" s="872" t="s">
        <v>1998</v>
      </c>
      <c r="H1057" s="821" t="s">
        <v>291</v>
      </c>
      <c r="I1057" s="220" t="str">
        <f>IF(ISBLANK(continental!I104),"",continental!I104)</f>
        <v/>
      </c>
      <c r="K1057" s="225" t="s">
        <v>4159</v>
      </c>
      <c r="O1057" s="225" t="s">
        <v>4159</v>
      </c>
    </row>
    <row r="1058" spans="1:15" ht="12.75" customHeight="1" x14ac:dyDescent="0.3">
      <c r="A1058" s="821"/>
      <c r="B1058" s="860"/>
      <c r="C1058" s="821" t="s">
        <v>1118</v>
      </c>
      <c r="D1058" s="860"/>
      <c r="E1058" s="860"/>
      <c r="F1058" s="860"/>
      <c r="G1058" s="872" t="s">
        <v>1999</v>
      </c>
      <c r="H1058" s="821" t="s">
        <v>1083</v>
      </c>
      <c r="I1058" s="220" t="str">
        <f>IF(ISBLANK(continental!I105),"",continental!I105)</f>
        <v/>
      </c>
      <c r="K1058" s="225" t="s">
        <v>4159</v>
      </c>
      <c r="O1058" s="225" t="s">
        <v>4159</v>
      </c>
    </row>
    <row r="1059" spans="1:15" ht="12.75" customHeight="1" x14ac:dyDescent="0.3">
      <c r="A1059" s="821"/>
      <c r="B1059" s="860"/>
      <c r="C1059" s="821" t="s">
        <v>1120</v>
      </c>
      <c r="D1059" s="860"/>
      <c r="E1059" s="860"/>
      <c r="F1059" s="860"/>
      <c r="G1059" s="872" t="s">
        <v>2000</v>
      </c>
      <c r="H1059" s="821" t="s">
        <v>291</v>
      </c>
      <c r="I1059" s="220" t="str">
        <f>IF(ISBLANK(continental!I106),"",continental!I106)</f>
        <v/>
      </c>
      <c r="K1059" s="225" t="s">
        <v>4159</v>
      </c>
      <c r="O1059" s="225" t="s">
        <v>4159</v>
      </c>
    </row>
    <row r="1060" spans="1:15" ht="12.75" customHeight="1" x14ac:dyDescent="0.3">
      <c r="A1060" s="821"/>
      <c r="B1060" s="821" t="s">
        <v>1122</v>
      </c>
      <c r="C1060" s="872"/>
      <c r="D1060" s="860"/>
      <c r="E1060" s="860"/>
      <c r="F1060" s="860"/>
      <c r="G1060" s="872" t="s">
        <v>2001</v>
      </c>
      <c r="H1060" s="821" t="s">
        <v>291</v>
      </c>
      <c r="I1060" s="220" t="str">
        <f>IF(ISBLANK(continental!I107),"",continental!I107)</f>
        <v/>
      </c>
      <c r="K1060" s="225" t="s">
        <v>4159</v>
      </c>
      <c r="O1060" s="225" t="s">
        <v>4159</v>
      </c>
    </row>
    <row r="1061" spans="1:15" ht="12.75" customHeight="1" x14ac:dyDescent="0.3">
      <c r="A1061" s="821"/>
      <c r="B1061" s="821" t="s">
        <v>2002</v>
      </c>
      <c r="C1061" s="872"/>
      <c r="D1061" s="860"/>
      <c r="E1061" s="860"/>
      <c r="F1061" s="860"/>
      <c r="G1061" s="872" t="s">
        <v>2003</v>
      </c>
      <c r="H1061" s="821" t="s">
        <v>291</v>
      </c>
      <c r="I1061" s="220" t="str">
        <f>IF(ISBLANK(continental!I108),"",continental!I108)</f>
        <v/>
      </c>
      <c r="K1061" s="225" t="s">
        <v>4159</v>
      </c>
      <c r="O1061" s="225" t="s">
        <v>4159</v>
      </c>
    </row>
    <row r="1062" spans="1:15" ht="12.75" customHeight="1" x14ac:dyDescent="0.3">
      <c r="A1062" s="821"/>
      <c r="B1062" s="821" t="s">
        <v>2004</v>
      </c>
      <c r="C1062" s="872"/>
      <c r="D1062" s="860"/>
      <c r="E1062" s="860"/>
      <c r="F1062" s="860"/>
      <c r="G1062" s="872" t="s">
        <v>2005</v>
      </c>
      <c r="H1062" s="821" t="s">
        <v>291</v>
      </c>
      <c r="I1062" s="220" t="str">
        <f>IF(ISBLANK(continental!I109),"",continental!I109)</f>
        <v/>
      </c>
      <c r="K1062" s="225" t="s">
        <v>4159</v>
      </c>
      <c r="O1062" s="225" t="s">
        <v>4159</v>
      </c>
    </row>
    <row r="1063" spans="1:15" ht="12.75" customHeight="1" x14ac:dyDescent="0.3">
      <c r="A1063" s="821"/>
      <c r="B1063" s="860"/>
      <c r="C1063" s="821" t="s">
        <v>1125</v>
      </c>
      <c r="D1063" s="860"/>
      <c r="E1063" s="860"/>
      <c r="F1063" s="860"/>
      <c r="G1063" s="872" t="s">
        <v>2006</v>
      </c>
      <c r="H1063" s="821" t="s">
        <v>1083</v>
      </c>
      <c r="I1063" s="220" t="str">
        <f>IF(ISBLANK(continental!I110),"",continental!I110)</f>
        <v/>
      </c>
      <c r="K1063" s="225" t="s">
        <v>4159</v>
      </c>
      <c r="O1063" s="225" t="s">
        <v>4159</v>
      </c>
    </row>
    <row r="1064" spans="1:15" ht="12.75" customHeight="1" x14ac:dyDescent="0.3">
      <c r="A1064" s="821"/>
      <c r="B1064" s="860"/>
      <c r="C1064" s="821" t="s">
        <v>1127</v>
      </c>
      <c r="D1064" s="860"/>
      <c r="E1064" s="860"/>
      <c r="F1064" s="860"/>
      <c r="G1064" s="872" t="s">
        <v>2007</v>
      </c>
      <c r="H1064" s="821" t="s">
        <v>291</v>
      </c>
      <c r="I1064" s="220" t="str">
        <f>IF(ISBLANK(continental!I111),"",continental!I111)</f>
        <v/>
      </c>
      <c r="K1064" s="225" t="s">
        <v>4159</v>
      </c>
      <c r="O1064" s="225" t="s">
        <v>4159</v>
      </c>
    </row>
    <row r="1065" spans="1:15" ht="12.75" customHeight="1" x14ac:dyDescent="0.3">
      <c r="A1065" s="860"/>
      <c r="B1065" s="860"/>
      <c r="C1065" s="860"/>
      <c r="D1065" s="860"/>
      <c r="E1065" s="860"/>
      <c r="F1065" s="860"/>
      <c r="G1065" s="860"/>
      <c r="H1065" s="860"/>
      <c r="I1065" s="220" t="str">
        <f>IF(ISBLANK(continental!I112),"",continental!I112)</f>
        <v/>
      </c>
      <c r="K1065" s="225" t="s">
        <v>4159</v>
      </c>
      <c r="O1065" s="225" t="s">
        <v>4159</v>
      </c>
    </row>
    <row r="1066" spans="1:15" ht="12.75" customHeight="1" x14ac:dyDescent="0.3">
      <c r="A1066" s="865" t="s">
        <v>1129</v>
      </c>
      <c r="B1066" s="864"/>
      <c r="C1066" s="864"/>
      <c r="D1066" s="864"/>
      <c r="E1066" s="864"/>
      <c r="F1066" s="864"/>
      <c r="G1066" s="865" t="s">
        <v>258</v>
      </c>
      <c r="H1066" s="865" t="s">
        <v>274</v>
      </c>
      <c r="I1066" s="220" t="str">
        <f>IF(ISBLANK(continental!I113),"",continental!I113)</f>
        <v>User input</v>
      </c>
      <c r="K1066" s="225" t="s">
        <v>259</v>
      </c>
      <c r="O1066" s="225" t="s">
        <v>259</v>
      </c>
    </row>
    <row r="1067" spans="1:15" ht="12.75" customHeight="1" x14ac:dyDescent="0.3">
      <c r="A1067" s="860"/>
      <c r="B1067" s="860"/>
      <c r="C1067" s="860"/>
      <c r="D1067" s="860"/>
      <c r="E1067" s="860"/>
      <c r="F1067" s="860"/>
      <c r="G1067" s="860"/>
      <c r="H1067" s="860"/>
      <c r="I1067" s="220" t="str">
        <f>IF(ISBLANK(continental!I114),"",continental!I114)</f>
        <v/>
      </c>
      <c r="K1067" s="225" t="s">
        <v>4159</v>
      </c>
      <c r="O1067" s="225" t="s">
        <v>4159</v>
      </c>
    </row>
    <row r="1068" spans="1:15" ht="12.75" customHeight="1" x14ac:dyDescent="0.3">
      <c r="A1068" s="821" t="s">
        <v>2008</v>
      </c>
      <c r="B1068" s="860"/>
      <c r="C1068" s="860"/>
      <c r="D1068" s="860"/>
      <c r="E1068" s="860"/>
      <c r="F1068" s="860"/>
      <c r="G1068" s="821" t="s">
        <v>2009</v>
      </c>
      <c r="H1068" s="821" t="s">
        <v>4690</v>
      </c>
      <c r="I1068" s="220" t="str">
        <f>IF(ISBLANK(continental!I115),"",continental!I115)</f>
        <v/>
      </c>
      <c r="K1068" s="225" t="s">
        <v>4159</v>
      </c>
      <c r="O1068" s="225" t="s">
        <v>4159</v>
      </c>
    </row>
    <row r="1069" spans="1:15" ht="12.75" customHeight="1" x14ac:dyDescent="0.3">
      <c r="A1069" s="821" t="s">
        <v>2010</v>
      </c>
      <c r="B1069" s="860"/>
      <c r="C1069" s="860"/>
      <c r="D1069" s="860"/>
      <c r="E1069" s="860"/>
      <c r="F1069" s="860"/>
      <c r="G1069" s="821" t="s">
        <v>2011</v>
      </c>
      <c r="H1069" s="821" t="s">
        <v>4690</v>
      </c>
      <c r="I1069" s="220" t="str">
        <f>IF(ISBLANK(continental!I116),"",continental!I116)</f>
        <v/>
      </c>
      <c r="K1069" s="225" t="s">
        <v>4159</v>
      </c>
      <c r="O1069" s="225" t="s">
        <v>4159</v>
      </c>
    </row>
    <row r="1070" spans="1:15" ht="12.75" customHeight="1" x14ac:dyDescent="0.3">
      <c r="A1070" s="821" t="s">
        <v>2012</v>
      </c>
      <c r="B1070" s="860"/>
      <c r="C1070" s="860"/>
      <c r="D1070" s="860"/>
      <c r="E1070" s="860"/>
      <c r="F1070" s="860"/>
      <c r="G1070" s="821" t="s">
        <v>2013</v>
      </c>
      <c r="H1070" s="821" t="s">
        <v>4690</v>
      </c>
      <c r="I1070" s="220" t="str">
        <f>IF(ISBLANK(continental!I117),"",continental!I117)</f>
        <v/>
      </c>
      <c r="K1070" s="225" t="s">
        <v>4159</v>
      </c>
      <c r="O1070" s="225" t="s">
        <v>4159</v>
      </c>
    </row>
    <row r="1071" spans="1:15" ht="12.75" customHeight="1" x14ac:dyDescent="0.3">
      <c r="A1071" s="821" t="s">
        <v>2014</v>
      </c>
      <c r="B1071" s="860"/>
      <c r="C1071" s="860"/>
      <c r="D1071" s="860"/>
      <c r="E1071" s="860"/>
      <c r="F1071" s="860"/>
      <c r="G1071" s="821" t="s">
        <v>2015</v>
      </c>
      <c r="H1071" s="821" t="s">
        <v>4690</v>
      </c>
      <c r="I1071" s="220" t="str">
        <f>IF(ISBLANK(continental!I118),"",continental!I118)</f>
        <v/>
      </c>
      <c r="K1071" s="225" t="s">
        <v>4159</v>
      </c>
      <c r="O1071" s="225" t="s">
        <v>4159</v>
      </c>
    </row>
    <row r="1072" spans="1:15" ht="12.75" customHeight="1" x14ac:dyDescent="0.3">
      <c r="A1072" s="821" t="s">
        <v>2016</v>
      </c>
      <c r="B1072" s="860"/>
      <c r="C1072" s="860"/>
      <c r="D1072" s="860"/>
      <c r="E1072" s="860"/>
      <c r="F1072" s="860"/>
      <c r="G1072" s="821" t="s">
        <v>2017</v>
      </c>
      <c r="H1072" s="821" t="s">
        <v>4690</v>
      </c>
      <c r="I1072" s="220" t="str">
        <f>IF(ISBLANK(continental!I119),"",continental!I119)</f>
        <v/>
      </c>
      <c r="K1072" s="225" t="s">
        <v>4159</v>
      </c>
      <c r="O1072" s="225" t="s">
        <v>4159</v>
      </c>
    </row>
    <row r="1073" spans="1:15" ht="12.75" customHeight="1" x14ac:dyDescent="0.3">
      <c r="A1073" s="821" t="s">
        <v>2018</v>
      </c>
      <c r="B1073" s="860"/>
      <c r="C1073" s="860"/>
      <c r="D1073" s="860"/>
      <c r="E1073" s="860"/>
      <c r="F1073" s="860"/>
      <c r="G1073" s="821" t="s">
        <v>2019</v>
      </c>
      <c r="H1073" s="821" t="s">
        <v>4690</v>
      </c>
      <c r="I1073" s="220" t="str">
        <f>IF(ISBLANK(continental!I120),"",continental!I120)</f>
        <v/>
      </c>
      <c r="K1073" s="225" t="s">
        <v>4159</v>
      </c>
      <c r="O1073" s="225" t="s">
        <v>4159</v>
      </c>
    </row>
    <row r="1074" spans="1:15" ht="12.75" customHeight="1" x14ac:dyDescent="0.3">
      <c r="A1074" s="821" t="s">
        <v>2020</v>
      </c>
      <c r="B1074" s="860"/>
      <c r="C1074" s="860"/>
      <c r="D1074" s="860"/>
      <c r="E1074" s="860"/>
      <c r="F1074" s="860"/>
      <c r="G1074" s="821" t="s">
        <v>2021</v>
      </c>
      <c r="H1074" s="821" t="s">
        <v>4690</v>
      </c>
      <c r="I1074" s="220" t="str">
        <f>IF(ISBLANK(continental!I121),"",continental!I121)</f>
        <v/>
      </c>
      <c r="K1074" s="225" t="s">
        <v>4159</v>
      </c>
      <c r="O1074" s="225" t="s">
        <v>4159</v>
      </c>
    </row>
    <row r="1075" spans="1:15" ht="12.75" customHeight="1" x14ac:dyDescent="0.3">
      <c r="A1075" s="821" t="s">
        <v>2020</v>
      </c>
      <c r="B1075" s="860"/>
      <c r="C1075" s="860"/>
      <c r="D1075" s="860"/>
      <c r="E1075" s="860"/>
      <c r="F1075" s="860"/>
      <c r="G1075" s="821" t="s">
        <v>2022</v>
      </c>
      <c r="H1075" s="821" t="s">
        <v>4690</v>
      </c>
      <c r="I1075" s="220" t="str">
        <f>IF(ISBLANK(continental!I122),"",continental!I122)</f>
        <v/>
      </c>
      <c r="K1075" s="225" t="s">
        <v>4159</v>
      </c>
      <c r="O1075" s="225" t="s">
        <v>4159</v>
      </c>
    </row>
    <row r="1076" spans="1:15" ht="12.75" customHeight="1" x14ac:dyDescent="0.3">
      <c r="A1076" s="821" t="s">
        <v>2023</v>
      </c>
      <c r="B1076" s="860"/>
      <c r="C1076" s="860"/>
      <c r="D1076" s="860"/>
      <c r="E1076" s="860"/>
      <c r="F1076" s="860"/>
      <c r="G1076" s="821" t="s">
        <v>2024</v>
      </c>
      <c r="H1076" s="821" t="s">
        <v>4690</v>
      </c>
      <c r="I1076" s="220" t="str">
        <f>IF(ISBLANK(continental!I123),"",continental!I123)</f>
        <v/>
      </c>
      <c r="K1076" s="225" t="s">
        <v>4159</v>
      </c>
      <c r="O1076" s="225" t="s">
        <v>4159</v>
      </c>
    </row>
    <row r="1077" spans="1:15" ht="12.75" customHeight="1" x14ac:dyDescent="0.3">
      <c r="A1077" s="821" t="s">
        <v>2025</v>
      </c>
      <c r="B1077" s="860"/>
      <c r="C1077" s="860"/>
      <c r="D1077" s="860"/>
      <c r="E1077" s="860"/>
      <c r="F1077" s="860"/>
      <c r="G1077" s="821" t="s">
        <v>2026</v>
      </c>
      <c r="H1077" s="821" t="s">
        <v>4690</v>
      </c>
      <c r="I1077" s="220" t="str">
        <f>IF(ISBLANK(continental!I124),"",continental!I124)</f>
        <v/>
      </c>
      <c r="K1077" s="225" t="s">
        <v>4159</v>
      </c>
      <c r="O1077" s="225" t="s">
        <v>4159</v>
      </c>
    </row>
    <row r="1078" spans="1:15" ht="12.75" customHeight="1" x14ac:dyDescent="0.3">
      <c r="A1078" s="821" t="s">
        <v>2027</v>
      </c>
      <c r="B1078" s="860"/>
      <c r="C1078" s="860"/>
      <c r="D1078" s="860"/>
      <c r="E1078" s="860"/>
      <c r="F1078" s="860"/>
      <c r="G1078" s="821" t="s">
        <v>2028</v>
      </c>
      <c r="H1078" s="821" t="s">
        <v>4690</v>
      </c>
      <c r="I1078" s="220" t="str">
        <f>IF(ISBLANK(continental!I125),"",continental!I125)</f>
        <v/>
      </c>
      <c r="J1078" s="211"/>
      <c r="K1078" s="225" t="s">
        <v>4159</v>
      </c>
      <c r="O1078" s="225" t="s">
        <v>4159</v>
      </c>
    </row>
    <row r="1079" spans="1:15" ht="12.75" customHeight="1" x14ac:dyDescent="0.3">
      <c r="A1079" s="821" t="s">
        <v>2029</v>
      </c>
      <c r="B1079" s="860"/>
      <c r="C1079" s="860"/>
      <c r="D1079" s="860"/>
      <c r="E1079" s="860"/>
      <c r="F1079" s="860"/>
      <c r="G1079" s="821" t="s">
        <v>2030</v>
      </c>
      <c r="H1079" s="821" t="s">
        <v>4690</v>
      </c>
      <c r="I1079" s="220" t="str">
        <f>IF(ISBLANK(continental!I126),"",continental!I126)</f>
        <v/>
      </c>
      <c r="J1079" s="353"/>
      <c r="K1079" s="225" t="s">
        <v>4159</v>
      </c>
      <c r="O1079" s="225" t="s">
        <v>4159</v>
      </c>
    </row>
    <row r="1080" spans="1:15" ht="12.75" customHeight="1" x14ac:dyDescent="0.3">
      <c r="A1080" s="821"/>
      <c r="B1080" s="860" t="s">
        <v>2031</v>
      </c>
      <c r="C1080" s="860"/>
      <c r="D1080" s="860"/>
      <c r="E1080" s="860"/>
      <c r="F1080" s="860"/>
      <c r="G1080" s="821" t="s">
        <v>2032</v>
      </c>
      <c r="H1080" s="821" t="s">
        <v>335</v>
      </c>
      <c r="I1080" s="220" t="str">
        <f>IF(ISBLANK(continental!I127),"",continental!I127)</f>
        <v/>
      </c>
      <c r="J1080" s="211"/>
      <c r="K1080" s="225" t="s">
        <v>4159</v>
      </c>
      <c r="O1080" s="225" t="s">
        <v>4159</v>
      </c>
    </row>
    <row r="1081" spans="1:15" ht="12.75" customHeight="1" x14ac:dyDescent="0.3">
      <c r="A1081" s="821"/>
      <c r="B1081" s="860"/>
      <c r="C1081" s="860" t="s">
        <v>2033</v>
      </c>
      <c r="D1081" s="860"/>
      <c r="E1081" s="860"/>
      <c r="F1081" s="860"/>
      <c r="G1081" s="821" t="s">
        <v>2034</v>
      </c>
      <c r="H1081" s="821" t="s">
        <v>335</v>
      </c>
      <c r="I1081" s="220" t="str">
        <f>IF(ISBLANK(continental!I128),"",continental!I128)</f>
        <v/>
      </c>
      <c r="K1081" s="225" t="s">
        <v>4159</v>
      </c>
      <c r="O1081" s="225" t="s">
        <v>4159</v>
      </c>
    </row>
    <row r="1082" spans="1:15" ht="12.75" customHeight="1" x14ac:dyDescent="0.3">
      <c r="A1082" s="821"/>
      <c r="B1082" s="860"/>
      <c r="C1082" s="860"/>
      <c r="D1082" s="860" t="s">
        <v>2035</v>
      </c>
      <c r="E1082" s="860"/>
      <c r="F1082" s="860"/>
      <c r="G1082" s="821" t="s">
        <v>2036</v>
      </c>
      <c r="H1082" s="821" t="s">
        <v>335</v>
      </c>
      <c r="I1082" s="220" t="str">
        <f>IF(ISBLANK(continental!I129),"",continental!I129)</f>
        <v/>
      </c>
      <c r="K1082" s="225" t="s">
        <v>4159</v>
      </c>
      <c r="O1082" s="225" t="s">
        <v>4159</v>
      </c>
    </row>
    <row r="1083" spans="1:15" ht="12.75" customHeight="1" x14ac:dyDescent="0.3">
      <c r="A1083" s="821"/>
      <c r="B1083" s="860"/>
      <c r="C1083" s="860"/>
      <c r="D1083" s="860" t="s">
        <v>2037</v>
      </c>
      <c r="E1083" s="860"/>
      <c r="F1083" s="860"/>
      <c r="G1083" s="821" t="s">
        <v>2038</v>
      </c>
      <c r="H1083" s="821" t="s">
        <v>335</v>
      </c>
      <c r="I1083" s="220" t="str">
        <f>IF(ISBLANK(continental!I130),"",continental!I130)</f>
        <v/>
      </c>
      <c r="K1083" s="225" t="s">
        <v>4159</v>
      </c>
      <c r="O1083" s="225" t="s">
        <v>4159</v>
      </c>
    </row>
    <row r="1084" spans="1:15" ht="12.75" customHeight="1" x14ac:dyDescent="0.3">
      <c r="A1084" s="821"/>
      <c r="B1084" s="860" t="s">
        <v>1148</v>
      </c>
      <c r="C1084" s="860"/>
      <c r="D1084" s="860"/>
      <c r="E1084" s="860"/>
      <c r="F1084" s="860"/>
      <c r="G1084" s="821" t="s">
        <v>2039</v>
      </c>
      <c r="H1084" s="821" t="s">
        <v>1150</v>
      </c>
      <c r="I1084" s="220" t="str">
        <f>IF(ISBLANK(continental!I131),"",continental!I131)</f>
        <v/>
      </c>
      <c r="K1084" s="225" t="s">
        <v>4159</v>
      </c>
      <c r="O1084" s="225" t="s">
        <v>4159</v>
      </c>
    </row>
    <row r="1085" spans="1:15" ht="12.75" customHeight="1" x14ac:dyDescent="0.3">
      <c r="A1085" s="821"/>
      <c r="B1085" s="860" t="s">
        <v>1151</v>
      </c>
      <c r="C1085" s="860"/>
      <c r="D1085" s="860"/>
      <c r="E1085" s="860"/>
      <c r="F1085" s="860"/>
      <c r="G1085" s="821" t="s">
        <v>2040</v>
      </c>
      <c r="H1085" s="821" t="s">
        <v>1150</v>
      </c>
      <c r="I1085" s="220" t="str">
        <f>IF(ISBLANK(continental!I132),"",continental!I132)</f>
        <v/>
      </c>
      <c r="K1085" s="225" t="s">
        <v>4159</v>
      </c>
      <c r="O1085" s="225" t="s">
        <v>4159</v>
      </c>
    </row>
    <row r="1086" spans="1:15" ht="12.75" customHeight="1" x14ac:dyDescent="0.3">
      <c r="A1086" s="821"/>
      <c r="B1086" s="860" t="s">
        <v>1153</v>
      </c>
      <c r="C1086" s="860"/>
      <c r="D1086" s="860"/>
      <c r="E1086" s="860"/>
      <c r="F1086" s="860"/>
      <c r="G1086" s="821" t="s">
        <v>2041</v>
      </c>
      <c r="H1086" s="821" t="s">
        <v>866</v>
      </c>
      <c r="I1086" s="220" t="str">
        <f>IF(ISBLANK(continental!I133),"",continental!I133)</f>
        <v/>
      </c>
      <c r="K1086" s="225" t="s">
        <v>4159</v>
      </c>
      <c r="O1086" s="225" t="s">
        <v>4159</v>
      </c>
    </row>
    <row r="1087" spans="1:15" ht="12.75" customHeight="1" x14ac:dyDescent="0.3">
      <c r="A1087" s="821"/>
      <c r="B1087" s="860" t="s">
        <v>1156</v>
      </c>
      <c r="C1087" s="860"/>
      <c r="D1087" s="860"/>
      <c r="E1087" s="860"/>
      <c r="F1087" s="860"/>
      <c r="G1087" s="821" t="s">
        <v>2042</v>
      </c>
      <c r="H1087" s="821" t="s">
        <v>866</v>
      </c>
      <c r="I1087" s="220" t="str">
        <f>IF(ISBLANK(continental!I134),"",continental!I134)</f>
        <v/>
      </c>
      <c r="K1087" s="225" t="s">
        <v>4159</v>
      </c>
      <c r="O1087" s="225" t="s">
        <v>4159</v>
      </c>
    </row>
    <row r="1088" spans="1:15" ht="12.75" customHeight="1" x14ac:dyDescent="0.3">
      <c r="A1088" s="821"/>
      <c r="B1088" s="860" t="s">
        <v>2043</v>
      </c>
      <c r="C1088" s="860"/>
      <c r="D1088" s="860"/>
      <c r="E1088" s="860"/>
      <c r="F1088" s="860"/>
      <c r="G1088" s="821" t="s">
        <v>2044</v>
      </c>
      <c r="H1088" s="821" t="s">
        <v>866</v>
      </c>
      <c r="I1088" s="220" t="str">
        <f>IF(ISBLANK(continental!I135),"",continental!I135)</f>
        <v/>
      </c>
      <c r="K1088" s="225" t="s">
        <v>4159</v>
      </c>
      <c r="O1088" s="225" t="s">
        <v>4159</v>
      </c>
    </row>
    <row r="1089" spans="1:15" ht="12.75" customHeight="1" x14ac:dyDescent="0.3">
      <c r="A1089" s="821"/>
      <c r="B1089" s="860"/>
      <c r="C1089" s="860" t="s">
        <v>1160</v>
      </c>
      <c r="D1089" s="860"/>
      <c r="E1089" s="860"/>
      <c r="F1089" s="860"/>
      <c r="G1089" s="821" t="s">
        <v>2045</v>
      </c>
      <c r="H1089" s="821" t="s">
        <v>866</v>
      </c>
      <c r="I1089" s="220" t="str">
        <f>IF(ISBLANK(continental!I136),"",continental!I136)</f>
        <v/>
      </c>
      <c r="K1089" s="225" t="s">
        <v>4159</v>
      </c>
      <c r="O1089" s="225" t="s">
        <v>4159</v>
      </c>
    </row>
    <row r="1090" spans="1:15" ht="12.75" customHeight="1" x14ac:dyDescent="0.3">
      <c r="A1090" s="821"/>
      <c r="B1090" s="860"/>
      <c r="C1090" s="860" t="s">
        <v>1162</v>
      </c>
      <c r="D1090" s="860"/>
      <c r="E1090" s="860"/>
      <c r="F1090" s="860"/>
      <c r="G1090" s="821" t="s">
        <v>2046</v>
      </c>
      <c r="H1090" s="821" t="s">
        <v>291</v>
      </c>
      <c r="I1090" s="220" t="str">
        <f>IF(ISBLANK(continental!I137),"",continental!I137)</f>
        <v/>
      </c>
      <c r="K1090" s="225" t="s">
        <v>4159</v>
      </c>
      <c r="O1090" s="225" t="s">
        <v>4159</v>
      </c>
    </row>
    <row r="1091" spans="1:15" ht="12.75" customHeight="1" x14ac:dyDescent="0.3">
      <c r="A1091" s="821"/>
      <c r="B1091" s="860" t="s">
        <v>1164</v>
      </c>
      <c r="C1091" s="860"/>
      <c r="D1091" s="860"/>
      <c r="E1091" s="860"/>
      <c r="F1091" s="860"/>
      <c r="G1091" s="821" t="s">
        <v>2047</v>
      </c>
      <c r="H1091" s="821" t="s">
        <v>866</v>
      </c>
      <c r="I1091" s="220" t="str">
        <f>IF(ISBLANK(continental!I138),"",continental!I138)</f>
        <v/>
      </c>
      <c r="K1091" s="225" t="s">
        <v>4159</v>
      </c>
      <c r="O1091" s="225" t="s">
        <v>4159</v>
      </c>
    </row>
    <row r="1092" spans="1:15" ht="12.75" customHeight="1" x14ac:dyDescent="0.3">
      <c r="A1092" s="821"/>
      <c r="B1092" s="860" t="s">
        <v>1166</v>
      </c>
      <c r="C1092" s="860"/>
      <c r="D1092" s="860"/>
      <c r="E1092" s="860"/>
      <c r="F1092" s="860"/>
      <c r="G1092" s="821" t="s">
        <v>2048</v>
      </c>
      <c r="H1092" s="821" t="s">
        <v>866</v>
      </c>
      <c r="I1092" s="220" t="str">
        <f>IF(ISBLANK(continental!I139),"",continental!I139)</f>
        <v/>
      </c>
      <c r="K1092" s="225" t="s">
        <v>4159</v>
      </c>
      <c r="O1092" s="225" t="s">
        <v>4159</v>
      </c>
    </row>
    <row r="1093" spans="1:15" ht="12.75" customHeight="1" x14ac:dyDescent="0.3">
      <c r="A1093" s="821"/>
      <c r="B1093" s="860" t="s">
        <v>1168</v>
      </c>
      <c r="C1093" s="860"/>
      <c r="D1093" s="860"/>
      <c r="E1093" s="860"/>
      <c r="F1093" s="860"/>
      <c r="G1093" s="821" t="s">
        <v>2049</v>
      </c>
      <c r="H1093" s="821" t="s">
        <v>866</v>
      </c>
      <c r="I1093" s="220" t="str">
        <f>IF(ISBLANK(continental!I140),"",continental!I140)</f>
        <v/>
      </c>
      <c r="K1093" s="225" t="s">
        <v>4159</v>
      </c>
      <c r="O1093" s="225" t="s">
        <v>4159</v>
      </c>
    </row>
    <row r="1094" spans="1:15" ht="12.75" customHeight="1" x14ac:dyDescent="0.3">
      <c r="A1094" s="821"/>
      <c r="B1094" s="860" t="s">
        <v>1170</v>
      </c>
      <c r="C1094" s="860"/>
      <c r="D1094" s="860"/>
      <c r="E1094" s="860"/>
      <c r="F1094" s="860"/>
      <c r="G1094" s="821" t="s">
        <v>2050</v>
      </c>
      <c r="H1094" s="821" t="s">
        <v>866</v>
      </c>
      <c r="I1094" s="220" t="str">
        <f>IF(ISBLANK(continental!I141),"",continental!I141)</f>
        <v/>
      </c>
      <c r="K1094" s="225" t="s">
        <v>4159</v>
      </c>
      <c r="O1094" s="225" t="s">
        <v>4159</v>
      </c>
    </row>
    <row r="1095" spans="1:15" ht="12.75" customHeight="1" x14ac:dyDescent="0.3">
      <c r="A1095" s="821"/>
      <c r="B1095" s="860" t="s">
        <v>1172</v>
      </c>
      <c r="C1095" s="860"/>
      <c r="D1095" s="860"/>
      <c r="E1095" s="860"/>
      <c r="F1095" s="860"/>
      <c r="G1095" s="821" t="s">
        <v>2051</v>
      </c>
      <c r="H1095" s="821" t="s">
        <v>866</v>
      </c>
      <c r="I1095" s="220" t="str">
        <f>IF(ISBLANK(continental!I142),"",continental!I142)</f>
        <v/>
      </c>
      <c r="K1095" s="225" t="s">
        <v>4159</v>
      </c>
      <c r="O1095" s="225" t="s">
        <v>4159</v>
      </c>
    </row>
    <row r="1096" spans="1:15" ht="12.75" customHeight="1" x14ac:dyDescent="0.3">
      <c r="A1096" s="821"/>
      <c r="B1096" s="860"/>
      <c r="C1096" s="860" t="s">
        <v>1174</v>
      </c>
      <c r="D1096" s="860"/>
      <c r="E1096" s="860"/>
      <c r="F1096" s="860"/>
      <c r="G1096" s="821" t="s">
        <v>2052</v>
      </c>
      <c r="H1096" s="821" t="s">
        <v>866</v>
      </c>
      <c r="I1096" s="220" t="str">
        <f>IF(ISBLANK(continental!I143),"",continental!I143)</f>
        <v/>
      </c>
      <c r="K1096" s="225" t="s">
        <v>4159</v>
      </c>
      <c r="O1096" s="225" t="s">
        <v>4159</v>
      </c>
    </row>
    <row r="1097" spans="1:15" ht="12.75" customHeight="1" x14ac:dyDescent="0.3">
      <c r="A1097" s="821"/>
      <c r="B1097" s="860"/>
      <c r="C1097" s="860" t="s">
        <v>1176</v>
      </c>
      <c r="D1097" s="860"/>
      <c r="E1097" s="860"/>
      <c r="F1097" s="860"/>
      <c r="G1097" s="821" t="s">
        <v>2053</v>
      </c>
      <c r="H1097" s="821" t="s">
        <v>866</v>
      </c>
      <c r="I1097" s="220" t="str">
        <f>IF(ISBLANK(continental!I144),"",continental!I144)</f>
        <v/>
      </c>
      <c r="K1097" s="225" t="s">
        <v>4159</v>
      </c>
      <c r="O1097" s="225" t="s">
        <v>4159</v>
      </c>
    </row>
    <row r="1098" spans="1:15" ht="12.75" customHeight="1" x14ac:dyDescent="0.3">
      <c r="A1098" s="821"/>
      <c r="B1098" s="860" t="s">
        <v>2054</v>
      </c>
      <c r="C1098" s="860"/>
      <c r="D1098" s="860"/>
      <c r="E1098" s="860"/>
      <c r="F1098" s="860"/>
      <c r="G1098" s="821" t="s">
        <v>2055</v>
      </c>
      <c r="H1098" s="821" t="s">
        <v>866</v>
      </c>
      <c r="I1098" s="220" t="str">
        <f>IF(ISBLANK(continental!I145),"",continental!I145)</f>
        <v/>
      </c>
      <c r="K1098" s="225" t="s">
        <v>4159</v>
      </c>
      <c r="O1098" s="225" t="s">
        <v>4159</v>
      </c>
    </row>
    <row r="1099" spans="1:15" ht="12.75" customHeight="1" x14ac:dyDescent="0.3">
      <c r="A1099" s="821"/>
      <c r="B1099" s="860" t="s">
        <v>2056</v>
      </c>
      <c r="C1099" s="860"/>
      <c r="D1099" s="860"/>
      <c r="E1099" s="860"/>
      <c r="F1099" s="860"/>
      <c r="G1099" s="821" t="s">
        <v>2057</v>
      </c>
      <c r="H1099" s="821" t="s">
        <v>866</v>
      </c>
      <c r="I1099" s="220" t="str">
        <f>IF(ISBLANK(continental!I146),"",continental!I146)</f>
        <v/>
      </c>
      <c r="K1099" s="225" t="s">
        <v>4159</v>
      </c>
      <c r="O1099" s="225" t="s">
        <v>4159</v>
      </c>
    </row>
    <row r="1100" spans="1:15" ht="12.75" customHeight="1" x14ac:dyDescent="0.3">
      <c r="A1100" s="821"/>
      <c r="B1100" s="860" t="s">
        <v>2058</v>
      </c>
      <c r="C1100" s="860"/>
      <c r="D1100" s="860"/>
      <c r="E1100" s="860"/>
      <c r="F1100" s="860"/>
      <c r="G1100" s="821" t="s">
        <v>2059</v>
      </c>
      <c r="H1100" s="821" t="s">
        <v>866</v>
      </c>
      <c r="I1100" s="220" t="str">
        <f>IF(ISBLANK(continental!I147),"",continental!I147)</f>
        <v/>
      </c>
      <c r="K1100" s="225" t="s">
        <v>4159</v>
      </c>
      <c r="O1100" s="225" t="s">
        <v>4159</v>
      </c>
    </row>
    <row r="1101" spans="1:15" ht="12.75" customHeight="1" x14ac:dyDescent="0.3">
      <c r="A1101" s="821"/>
      <c r="B1101" s="860"/>
      <c r="C1101" s="860" t="s">
        <v>1181</v>
      </c>
      <c r="D1101" s="860"/>
      <c r="E1101" s="860"/>
      <c r="F1101" s="860"/>
      <c r="G1101" s="821" t="s">
        <v>2060</v>
      </c>
      <c r="H1101" s="821" t="s">
        <v>866</v>
      </c>
      <c r="I1101" s="220" t="str">
        <f>IF(ISBLANK(continental!I148),"",continental!I148)</f>
        <v/>
      </c>
      <c r="J1101" s="460"/>
      <c r="K1101" s="225" t="s">
        <v>4159</v>
      </c>
      <c r="O1101" s="225" t="s">
        <v>4159</v>
      </c>
    </row>
    <row r="1102" spans="1:15" ht="12.75" customHeight="1" x14ac:dyDescent="0.3">
      <c r="A1102" s="821"/>
      <c r="B1102" s="860"/>
      <c r="C1102" s="860" t="s">
        <v>1183</v>
      </c>
      <c r="D1102" s="860"/>
      <c r="E1102" s="860"/>
      <c r="F1102" s="860"/>
      <c r="G1102" s="821" t="s">
        <v>2061</v>
      </c>
      <c r="H1102" s="821" t="s">
        <v>866</v>
      </c>
      <c r="I1102" s="220" t="str">
        <f>IF(ISBLANK(continental!I149),"",continental!I149)</f>
        <v/>
      </c>
      <c r="J1102" s="211"/>
      <c r="K1102" s="225" t="s">
        <v>4159</v>
      </c>
      <c r="O1102" s="225" t="s">
        <v>4159</v>
      </c>
    </row>
    <row r="1103" spans="1:15" ht="12.75" customHeight="1" x14ac:dyDescent="0.3">
      <c r="A1103" s="821"/>
      <c r="B1103" s="860"/>
      <c r="C1103" s="860" t="s">
        <v>1185</v>
      </c>
      <c r="D1103" s="860"/>
      <c r="E1103" s="860"/>
      <c r="F1103" s="860"/>
      <c r="G1103" s="821" t="s">
        <v>2063</v>
      </c>
      <c r="H1103" s="821" t="s">
        <v>291</v>
      </c>
      <c r="I1103" s="220" t="str">
        <f>IF(ISBLANK(continental!I150),"",continental!I150)</f>
        <v/>
      </c>
      <c r="J1103" s="211"/>
      <c r="K1103" s="225" t="s">
        <v>4159</v>
      </c>
      <c r="O1103" s="225" t="s">
        <v>4159</v>
      </c>
    </row>
    <row r="1104" spans="1:15" ht="12.75" customHeight="1" x14ac:dyDescent="0.3">
      <c r="A1104" s="821"/>
      <c r="B1104" s="860"/>
      <c r="C1104" s="860" t="s">
        <v>1185</v>
      </c>
      <c r="D1104" s="860"/>
      <c r="E1104" s="860"/>
      <c r="F1104" s="860"/>
      <c r="G1104" s="821" t="s">
        <v>2064</v>
      </c>
      <c r="H1104" s="821" t="s">
        <v>291</v>
      </c>
      <c r="I1104" s="220" t="str">
        <f>IF(ISBLANK(continental!I151),"",continental!I151)</f>
        <v/>
      </c>
      <c r="J1104" s="211"/>
      <c r="K1104" s="225" t="s">
        <v>4159</v>
      </c>
      <c r="O1104" s="225" t="s">
        <v>4159</v>
      </c>
    </row>
    <row r="1105" spans="1:15" ht="12.75" customHeight="1" x14ac:dyDescent="0.3">
      <c r="A1105" s="821"/>
      <c r="B1105" s="860"/>
      <c r="C1105" s="860" t="s">
        <v>1185</v>
      </c>
      <c r="D1105" s="860"/>
      <c r="E1105" s="860"/>
      <c r="F1105" s="860"/>
      <c r="G1105" s="821" t="s">
        <v>2065</v>
      </c>
      <c r="H1105" s="821" t="s">
        <v>291</v>
      </c>
      <c r="I1105" s="220" t="str">
        <f>IF(ISBLANK(continental!I152),"",continental!I152)</f>
        <v/>
      </c>
      <c r="J1105" s="211"/>
      <c r="K1105" s="225" t="s">
        <v>4159</v>
      </c>
      <c r="O1105" s="225" t="s">
        <v>4159</v>
      </c>
    </row>
    <row r="1106" spans="1:15" ht="12.75" customHeight="1" x14ac:dyDescent="0.3">
      <c r="A1106" s="821"/>
      <c r="B1106" s="860"/>
      <c r="C1106" s="821"/>
      <c r="D1106" s="872"/>
      <c r="E1106" s="872"/>
      <c r="F1106" s="860"/>
      <c r="G1106" s="872"/>
      <c r="H1106" s="872"/>
      <c r="I1106" s="220" t="str">
        <f>IF(ISBLANK(continental!I153),"",continental!I153)</f>
        <v/>
      </c>
      <c r="J1106" s="353"/>
      <c r="K1106" s="225" t="s">
        <v>4159</v>
      </c>
      <c r="O1106" s="225" t="s">
        <v>4159</v>
      </c>
    </row>
    <row r="1107" spans="1:15" ht="12.75" customHeight="1" x14ac:dyDescent="0.3">
      <c r="A1107" s="796" t="s">
        <v>1190</v>
      </c>
      <c r="B1107" s="797"/>
      <c r="C1107" s="797"/>
      <c r="D1107" s="797"/>
      <c r="E1107" s="797"/>
      <c r="F1107" s="797"/>
      <c r="G1107" s="796" t="s">
        <v>2066</v>
      </c>
      <c r="H1107" s="796" t="s">
        <v>4690</v>
      </c>
      <c r="I1107" s="220" t="str">
        <f>IF(ISBLANK(continental!I154),"",continental!I154)</f>
        <v/>
      </c>
      <c r="J1107" s="211"/>
      <c r="K1107" s="225" t="s">
        <v>4159</v>
      </c>
      <c r="O1107" s="225" t="s">
        <v>4159</v>
      </c>
    </row>
    <row r="1108" spans="1:15" ht="12.75" customHeight="1" x14ac:dyDescent="0.3">
      <c r="A1108" s="821" t="s">
        <v>1193</v>
      </c>
      <c r="B1108" s="860"/>
      <c r="C1108" s="860"/>
      <c r="D1108" s="860"/>
      <c r="E1108" s="860"/>
      <c r="F1108" s="860"/>
      <c r="G1108" s="821" t="s">
        <v>2067</v>
      </c>
      <c r="H1108" s="821" t="s">
        <v>4690</v>
      </c>
      <c r="I1108" s="220" t="str">
        <f>IF(ISBLANK(continental!I155),"",continental!I155)</f>
        <v/>
      </c>
      <c r="K1108" s="225" t="s">
        <v>4159</v>
      </c>
      <c r="O1108" s="225" t="s">
        <v>4159</v>
      </c>
    </row>
    <row r="1109" spans="1:15" ht="12.75" customHeight="1" x14ac:dyDescent="0.3">
      <c r="A1109" s="821" t="s">
        <v>1195</v>
      </c>
      <c r="B1109" s="860"/>
      <c r="C1109" s="860"/>
      <c r="D1109" s="860"/>
      <c r="E1109" s="860"/>
      <c r="F1109" s="860"/>
      <c r="G1109" s="821" t="s">
        <v>2068</v>
      </c>
      <c r="H1109" s="821" t="s">
        <v>4690</v>
      </c>
      <c r="I1109" s="220" t="str">
        <f>IF(ISBLANK(continental!I156),"",continental!I156)</f>
        <v/>
      </c>
      <c r="K1109" s="225" t="s">
        <v>4159</v>
      </c>
      <c r="O1109" s="225" t="s">
        <v>4159</v>
      </c>
    </row>
    <row r="1110" spans="1:15" ht="12.75" customHeight="1" x14ac:dyDescent="0.3">
      <c r="A1110" s="796" t="s">
        <v>1197</v>
      </c>
      <c r="B1110" s="797"/>
      <c r="C1110" s="797"/>
      <c r="D1110" s="797"/>
      <c r="E1110" s="797"/>
      <c r="F1110" s="797"/>
      <c r="G1110" s="796" t="s">
        <v>2069</v>
      </c>
      <c r="H1110" s="796" t="s">
        <v>4690</v>
      </c>
      <c r="I1110" s="220" t="str">
        <f>IF(ISBLANK(continental!I157),"",continental!I157)</f>
        <v/>
      </c>
      <c r="K1110" s="225" t="s">
        <v>4159</v>
      </c>
      <c r="O1110" s="225" t="s">
        <v>4159</v>
      </c>
    </row>
    <row r="1111" spans="1:15" ht="12.75" customHeight="1" x14ac:dyDescent="0.3">
      <c r="A1111" s="821" t="s">
        <v>1200</v>
      </c>
      <c r="B1111" s="860"/>
      <c r="C1111" s="860"/>
      <c r="D1111" s="860"/>
      <c r="E1111" s="860"/>
      <c r="F1111" s="860"/>
      <c r="G1111" s="821" t="s">
        <v>2070</v>
      </c>
      <c r="H1111" s="821" t="s">
        <v>4690</v>
      </c>
      <c r="I1111" s="220" t="str">
        <f>IF(ISBLANK(continental!I158),"",continental!I158)</f>
        <v/>
      </c>
      <c r="K1111" s="225" t="s">
        <v>4159</v>
      </c>
      <c r="O1111" s="225" t="s">
        <v>4159</v>
      </c>
    </row>
    <row r="1112" spans="1:15" ht="12.75" customHeight="1" x14ac:dyDescent="0.3">
      <c r="A1112" s="821" t="s">
        <v>1202</v>
      </c>
      <c r="B1112" s="860"/>
      <c r="C1112" s="860"/>
      <c r="D1112" s="860"/>
      <c r="E1112" s="860"/>
      <c r="F1112" s="860"/>
      <c r="G1112" s="821" t="s">
        <v>2071</v>
      </c>
      <c r="H1112" s="821" t="s">
        <v>4690</v>
      </c>
      <c r="I1112" s="220" t="str">
        <f>IF(ISBLANK(continental!I159),"",continental!I159)</f>
        <v/>
      </c>
      <c r="K1112" s="225" t="s">
        <v>4159</v>
      </c>
      <c r="O1112" s="225" t="s">
        <v>4159</v>
      </c>
    </row>
    <row r="1113" spans="1:15" ht="12.75" customHeight="1" x14ac:dyDescent="0.3">
      <c r="A1113" s="796"/>
      <c r="B1113" s="797" t="s">
        <v>1204</v>
      </c>
      <c r="C1113" s="797"/>
      <c r="D1113" s="797"/>
      <c r="E1113" s="797"/>
      <c r="F1113" s="797"/>
      <c r="G1113" s="796" t="s">
        <v>2072</v>
      </c>
      <c r="H1113" s="796" t="s">
        <v>866</v>
      </c>
      <c r="I1113" s="220" t="str">
        <f>IF(ISBLANK(continental!I160),"",continental!I160)</f>
        <v/>
      </c>
      <c r="K1113" s="225" t="s">
        <v>4159</v>
      </c>
      <c r="O1113" s="225" t="s">
        <v>4159</v>
      </c>
    </row>
    <row r="1114" spans="1:15" ht="12.75" customHeight="1" x14ac:dyDescent="0.3">
      <c r="A1114" s="796"/>
      <c r="B1114" s="797" t="s">
        <v>1206</v>
      </c>
      <c r="C1114" s="797"/>
      <c r="D1114" s="797"/>
      <c r="E1114" s="797"/>
      <c r="F1114" s="797"/>
      <c r="G1114" s="796" t="s">
        <v>2073</v>
      </c>
      <c r="H1114" s="796" t="s">
        <v>866</v>
      </c>
      <c r="I1114" s="220" t="str">
        <f>IF(ISBLANK(continental!I161),"",continental!I161)</f>
        <v/>
      </c>
      <c r="K1114" s="225" t="s">
        <v>4159</v>
      </c>
      <c r="O1114" s="225" t="s">
        <v>4159</v>
      </c>
    </row>
    <row r="1115" spans="1:15" ht="12.75" customHeight="1" x14ac:dyDescent="0.3">
      <c r="A1115" s="789"/>
      <c r="B1115" s="789" t="s">
        <v>1204</v>
      </c>
      <c r="C1115" s="790"/>
      <c r="D1115" s="790"/>
      <c r="E1115" s="790"/>
      <c r="F1115" s="790"/>
      <c r="G1115" s="813" t="s">
        <v>2074</v>
      </c>
      <c r="H1115" s="789" t="s">
        <v>4735</v>
      </c>
      <c r="I1115" s="220" t="str">
        <f>IF(ISBLANK(continental!I162),"",continental!I162)</f>
        <v/>
      </c>
      <c r="K1115" s="225" t="s">
        <v>4159</v>
      </c>
      <c r="O1115" s="225" t="s">
        <v>4159</v>
      </c>
    </row>
    <row r="1116" spans="1:15" ht="12.75" customHeight="1" x14ac:dyDescent="0.3">
      <c r="A1116" s="789"/>
      <c r="B1116" s="789" t="s">
        <v>1206</v>
      </c>
      <c r="C1116" s="790"/>
      <c r="D1116" s="790"/>
      <c r="E1116" s="790"/>
      <c r="F1116" s="790"/>
      <c r="G1116" s="813" t="s">
        <v>2075</v>
      </c>
      <c r="H1116" s="789" t="s">
        <v>4735</v>
      </c>
      <c r="I1116" s="220" t="str">
        <f>IF(ISBLANK(continental!I163),"",continental!I163)</f>
        <v/>
      </c>
      <c r="K1116" s="225" t="s">
        <v>4159</v>
      </c>
      <c r="O1116" s="225" t="s">
        <v>4159</v>
      </c>
    </row>
    <row r="1117" spans="1:15" ht="12.75" customHeight="1" x14ac:dyDescent="0.3">
      <c r="A1117" s="789"/>
      <c r="B1117" s="789" t="s">
        <v>1210</v>
      </c>
      <c r="C1117" s="790"/>
      <c r="D1117" s="790"/>
      <c r="E1117" s="790"/>
      <c r="F1117" s="790"/>
      <c r="G1117" s="813" t="s">
        <v>2076</v>
      </c>
      <c r="H1117" s="789" t="s">
        <v>4735</v>
      </c>
      <c r="I1117" s="220" t="str">
        <f>IF(ISBLANK(continental!I164),"",continental!I164)</f>
        <v/>
      </c>
      <c r="K1117" s="225" t="s">
        <v>4159</v>
      </c>
      <c r="O1117" s="225" t="s">
        <v>4159</v>
      </c>
    </row>
    <row r="1118" spans="1:15" ht="12.75" customHeight="1" x14ac:dyDescent="0.3">
      <c r="A1118" s="789"/>
      <c r="B1118" s="789" t="s">
        <v>1212</v>
      </c>
      <c r="C1118" s="790"/>
      <c r="D1118" s="790"/>
      <c r="E1118" s="790"/>
      <c r="F1118" s="790"/>
      <c r="G1118" s="813" t="s">
        <v>2077</v>
      </c>
      <c r="H1118" s="789" t="s">
        <v>4735</v>
      </c>
      <c r="I1118" s="220" t="str">
        <f>IF(ISBLANK(continental!I165),"",continental!I165)</f>
        <v/>
      </c>
      <c r="K1118" s="225" t="s">
        <v>4159</v>
      </c>
      <c r="O1118" s="225" t="s">
        <v>4159</v>
      </c>
    </row>
    <row r="1119" spans="1:15" ht="12.75" customHeight="1" x14ac:dyDescent="0.3">
      <c r="A1119" s="796"/>
      <c r="B1119" s="796"/>
      <c r="C1119" s="796" t="s">
        <v>1214</v>
      </c>
      <c r="D1119" s="797"/>
      <c r="E1119" s="797"/>
      <c r="F1119" s="797"/>
      <c r="G1119" s="887" t="s">
        <v>2078</v>
      </c>
      <c r="H1119" s="802" t="s">
        <v>4734</v>
      </c>
      <c r="I1119" s="220" t="str">
        <f>IF(ISBLANK(continental!I166),"",continental!I166)</f>
        <v/>
      </c>
      <c r="K1119" s="225" t="s">
        <v>4159</v>
      </c>
      <c r="O1119" s="225" t="s">
        <v>4159</v>
      </c>
    </row>
    <row r="1120" spans="1:15" ht="12.75" customHeight="1" x14ac:dyDescent="0.3">
      <c r="A1120" s="789"/>
      <c r="B1120" s="789"/>
      <c r="C1120" s="789" t="s">
        <v>1216</v>
      </c>
      <c r="D1120" s="790"/>
      <c r="E1120" s="790"/>
      <c r="F1120" s="790"/>
      <c r="G1120" s="888" t="s">
        <v>2079</v>
      </c>
      <c r="H1120" s="801" t="s">
        <v>4734</v>
      </c>
      <c r="I1120" s="220" t="str">
        <f>IF(ISBLANK(continental!I167),"",continental!I167)</f>
        <v/>
      </c>
      <c r="K1120" s="225" t="s">
        <v>4159</v>
      </c>
      <c r="O1120" s="225" t="s">
        <v>4159</v>
      </c>
    </row>
    <row r="1121" spans="1:15" ht="12.75" customHeight="1" x14ac:dyDescent="0.3">
      <c r="A1121" s="789"/>
      <c r="B1121" s="789"/>
      <c r="C1121" s="789" t="s">
        <v>1218</v>
      </c>
      <c r="D1121" s="790"/>
      <c r="E1121" s="790"/>
      <c r="F1121" s="790"/>
      <c r="G1121" s="888" t="s">
        <v>2080</v>
      </c>
      <c r="H1121" s="801" t="s">
        <v>4734</v>
      </c>
      <c r="I1121" s="220" t="str">
        <f>IF(ISBLANK(continental!I168),"",continental!I168)</f>
        <v/>
      </c>
      <c r="K1121" s="225" t="s">
        <v>4159</v>
      </c>
      <c r="O1121" s="225" t="s">
        <v>4159</v>
      </c>
    </row>
    <row r="1122" spans="1:15" ht="12.75" customHeight="1" x14ac:dyDescent="0.3">
      <c r="A1122" s="789"/>
      <c r="B1122" s="789"/>
      <c r="C1122" s="790"/>
      <c r="D1122" s="789" t="s">
        <v>1220</v>
      </c>
      <c r="E1122" s="801"/>
      <c r="F1122" s="801"/>
      <c r="G1122" s="888" t="s">
        <v>2081</v>
      </c>
      <c r="H1122" s="801" t="s">
        <v>4734</v>
      </c>
      <c r="I1122" s="220" t="str">
        <f>IF(ISBLANK(continental!I169),"",continental!I169)</f>
        <v/>
      </c>
      <c r="K1122" s="225" t="s">
        <v>4159</v>
      </c>
      <c r="O1122" s="225" t="s">
        <v>4159</v>
      </c>
    </row>
    <row r="1123" spans="1:15" ht="12.75" customHeight="1" x14ac:dyDescent="0.3">
      <c r="A1123" s="796"/>
      <c r="B1123" s="796"/>
      <c r="C1123" s="797"/>
      <c r="D1123" s="796" t="s">
        <v>1223</v>
      </c>
      <c r="E1123" s="802"/>
      <c r="F1123" s="802"/>
      <c r="G1123" s="887" t="s">
        <v>2082</v>
      </c>
      <c r="H1123" s="802" t="s">
        <v>4734</v>
      </c>
      <c r="I1123" s="220" t="str">
        <f>IF(ISBLANK(continental!I170),"",continental!I170)</f>
        <v/>
      </c>
      <c r="K1123" s="225" t="s">
        <v>4159</v>
      </c>
      <c r="O1123" s="225" t="s">
        <v>4159</v>
      </c>
    </row>
    <row r="1124" spans="1:15" ht="12.75" customHeight="1" x14ac:dyDescent="0.3">
      <c r="A1124" s="789"/>
      <c r="B1124" s="789"/>
      <c r="C1124" s="790"/>
      <c r="D1124" s="789" t="s">
        <v>1225</v>
      </c>
      <c r="E1124" s="801"/>
      <c r="F1124" s="801"/>
      <c r="G1124" s="888" t="s">
        <v>2083</v>
      </c>
      <c r="H1124" s="801" t="s">
        <v>4734</v>
      </c>
      <c r="I1124" s="220" t="str">
        <f>IF(ISBLANK(continental!I171),"",continental!I171)</f>
        <v/>
      </c>
      <c r="K1124" s="225" t="s">
        <v>4159</v>
      </c>
      <c r="O1124" s="225" t="s">
        <v>4159</v>
      </c>
    </row>
    <row r="1125" spans="1:15" ht="12.75" customHeight="1" x14ac:dyDescent="0.3">
      <c r="A1125" s="789"/>
      <c r="B1125" s="789"/>
      <c r="C1125" s="790"/>
      <c r="D1125" s="789" t="s">
        <v>1228</v>
      </c>
      <c r="E1125" s="801"/>
      <c r="F1125" s="801"/>
      <c r="G1125" s="888" t="s">
        <v>2084</v>
      </c>
      <c r="H1125" s="801" t="s">
        <v>4734</v>
      </c>
      <c r="I1125" s="220" t="str">
        <f>IF(ISBLANK(continental!I172),"",continental!I172)</f>
        <v/>
      </c>
      <c r="K1125" s="225" t="s">
        <v>4159</v>
      </c>
      <c r="O1125" s="225" t="s">
        <v>4159</v>
      </c>
    </row>
    <row r="1126" spans="1:15" ht="12.75" customHeight="1" x14ac:dyDescent="0.3">
      <c r="A1126" s="789"/>
      <c r="B1126" s="789"/>
      <c r="C1126" s="790"/>
      <c r="D1126" s="790"/>
      <c r="E1126" s="789" t="s">
        <v>1230</v>
      </c>
      <c r="F1126" s="789"/>
      <c r="G1126" s="888" t="s">
        <v>2085</v>
      </c>
      <c r="H1126" s="789" t="s">
        <v>4744</v>
      </c>
      <c r="I1126" s="220" t="str">
        <f>IF(ISBLANK(continental!I173),"",continental!I173)</f>
        <v/>
      </c>
      <c r="K1126" s="225" t="s">
        <v>4159</v>
      </c>
      <c r="O1126" s="225" t="s">
        <v>4159</v>
      </c>
    </row>
    <row r="1127" spans="1:15" ht="12.75" customHeight="1" x14ac:dyDescent="0.3">
      <c r="A1127" s="789"/>
      <c r="B1127" s="789"/>
      <c r="C1127" s="790"/>
      <c r="D1127" s="790"/>
      <c r="E1127" s="789" t="s">
        <v>1234</v>
      </c>
      <c r="F1127" s="789"/>
      <c r="G1127" s="888" t="s">
        <v>2086</v>
      </c>
      <c r="H1127" s="789" t="s">
        <v>4744</v>
      </c>
      <c r="I1127" s="220" t="str">
        <f>IF(ISBLANK(continental!I174),"",continental!I174)</f>
        <v/>
      </c>
      <c r="K1127" s="225" t="s">
        <v>4159</v>
      </c>
      <c r="O1127" s="225" t="s">
        <v>4159</v>
      </c>
    </row>
    <row r="1128" spans="1:15" ht="12.75" customHeight="1" x14ac:dyDescent="0.3">
      <c r="A1128" s="790"/>
      <c r="B1128" s="790" t="s">
        <v>1236</v>
      </c>
      <c r="C1128" s="801"/>
      <c r="D1128" s="801"/>
      <c r="E1128" s="790"/>
      <c r="F1128" s="790"/>
      <c r="G1128" s="813" t="s">
        <v>2087</v>
      </c>
      <c r="H1128" s="789" t="s">
        <v>4735</v>
      </c>
      <c r="I1128" s="220" t="str">
        <f>IF(ISBLANK(continental!I175),"",continental!I175)</f>
        <v/>
      </c>
      <c r="K1128" s="225" t="s">
        <v>4159</v>
      </c>
      <c r="O1128" s="225" t="s">
        <v>4159</v>
      </c>
    </row>
    <row r="1129" spans="1:15" ht="12.75" customHeight="1" x14ac:dyDescent="0.3">
      <c r="A1129" s="790"/>
      <c r="B1129" s="790" t="s">
        <v>1238</v>
      </c>
      <c r="C1129" s="801"/>
      <c r="D1129" s="801"/>
      <c r="E1129" s="790"/>
      <c r="F1129" s="790"/>
      <c r="G1129" s="813" t="s">
        <v>2088</v>
      </c>
      <c r="H1129" s="789" t="s">
        <v>4735</v>
      </c>
      <c r="I1129" s="220" t="str">
        <f>IF(ISBLANK(continental!I176),"",continental!I176)</f>
        <v/>
      </c>
      <c r="K1129" s="225" t="s">
        <v>4159</v>
      </c>
      <c r="O1129" s="225" t="s">
        <v>4159</v>
      </c>
    </row>
    <row r="1130" spans="1:15" ht="12.75" customHeight="1" x14ac:dyDescent="0.3">
      <c r="A1130" s="790"/>
      <c r="B1130" s="790" t="s">
        <v>1240</v>
      </c>
      <c r="C1130" s="801"/>
      <c r="D1130" s="801"/>
      <c r="E1130" s="790"/>
      <c r="F1130" s="801"/>
      <c r="G1130" s="813" t="s">
        <v>2089</v>
      </c>
      <c r="H1130" s="789" t="s">
        <v>4735</v>
      </c>
      <c r="I1130" s="220" t="str">
        <f>IF(ISBLANK(continental!I177),"",continental!I177)</f>
        <v/>
      </c>
      <c r="K1130" s="225" t="s">
        <v>4159</v>
      </c>
      <c r="O1130" s="225" t="s">
        <v>4159</v>
      </c>
    </row>
    <row r="1131" spans="1:15" ht="12.75" customHeight="1" x14ac:dyDescent="0.3">
      <c r="A1131" s="790"/>
      <c r="B1131" s="790" t="s">
        <v>1242</v>
      </c>
      <c r="C1131" s="801"/>
      <c r="D1131" s="801"/>
      <c r="E1131" s="790"/>
      <c r="F1131" s="801"/>
      <c r="G1131" s="813" t="s">
        <v>2090</v>
      </c>
      <c r="H1131" s="789" t="s">
        <v>4735</v>
      </c>
      <c r="I1131" s="220" t="str">
        <f>IF(ISBLANK(continental!I178),"",continental!I178)</f>
        <v/>
      </c>
      <c r="K1131" s="225" t="s">
        <v>4159</v>
      </c>
      <c r="O1131" s="225" t="s">
        <v>4159</v>
      </c>
    </row>
    <row r="1132" spans="1:15" ht="12.75" customHeight="1" x14ac:dyDescent="0.3">
      <c r="A1132" s="789"/>
      <c r="B1132" s="789"/>
      <c r="C1132" s="790" t="s">
        <v>1244</v>
      </c>
      <c r="D1132" s="790"/>
      <c r="E1132" s="801"/>
      <c r="F1132" s="801"/>
      <c r="G1132" s="790" t="s">
        <v>2091</v>
      </c>
      <c r="H1132" s="801" t="s">
        <v>4734</v>
      </c>
      <c r="I1132" s="220" t="str">
        <f>IF(ISBLANK(continental!I179),"",continental!I179)</f>
        <v/>
      </c>
      <c r="K1132" s="225" t="s">
        <v>4159</v>
      </c>
      <c r="O1132" s="225" t="s">
        <v>4159</v>
      </c>
    </row>
    <row r="1133" spans="1:15" ht="12.75" customHeight="1" x14ac:dyDescent="0.3">
      <c r="A1133" s="789"/>
      <c r="B1133" s="789"/>
      <c r="C1133" s="790" t="s">
        <v>1246</v>
      </c>
      <c r="D1133" s="790"/>
      <c r="E1133" s="801"/>
      <c r="F1133" s="801"/>
      <c r="G1133" s="790" t="s">
        <v>2092</v>
      </c>
      <c r="H1133" s="801" t="s">
        <v>4734</v>
      </c>
      <c r="I1133" s="220" t="str">
        <f>IF(ISBLANK(continental!I180),"",continental!I180)</f>
        <v/>
      </c>
      <c r="K1133" s="225" t="s">
        <v>4159</v>
      </c>
      <c r="O1133" s="225" t="s">
        <v>4159</v>
      </c>
    </row>
    <row r="1134" spans="1:15" ht="12.75" customHeight="1" x14ac:dyDescent="0.3">
      <c r="A1134" s="821"/>
      <c r="B1134" s="860"/>
      <c r="C1134" s="821"/>
      <c r="D1134" s="872"/>
      <c r="E1134" s="872"/>
      <c r="F1134" s="860"/>
      <c r="G1134" s="872"/>
      <c r="H1134" s="872"/>
      <c r="I1134" s="220" t="str">
        <f>IF(ISBLANK(continental!I181),"",continental!I181)</f>
        <v/>
      </c>
      <c r="K1134" s="225" t="s">
        <v>4159</v>
      </c>
      <c r="O1134" s="225" t="s">
        <v>4159</v>
      </c>
    </row>
    <row r="1135" spans="1:15" ht="12.75" customHeight="1" x14ac:dyDescent="0.3">
      <c r="A1135" s="821" t="s">
        <v>2093</v>
      </c>
      <c r="B1135" s="860"/>
      <c r="C1135" s="860"/>
      <c r="D1135" s="860"/>
      <c r="E1135" s="860"/>
      <c r="F1135" s="860"/>
      <c r="G1135" s="821" t="s">
        <v>4667</v>
      </c>
      <c r="H1135" s="821" t="s">
        <v>4690</v>
      </c>
      <c r="I1135" s="220" t="str">
        <f>IF(ISBLANK(continental!I182),"",continental!I182)</f>
        <v/>
      </c>
      <c r="K1135" s="225" t="s">
        <v>4159</v>
      </c>
      <c r="O1135" s="225" t="s">
        <v>4159</v>
      </c>
    </row>
    <row r="1136" spans="1:15" ht="12.75" customHeight="1" x14ac:dyDescent="0.3">
      <c r="A1136" s="821" t="s">
        <v>2095</v>
      </c>
      <c r="B1136" s="860"/>
      <c r="C1136" s="860"/>
      <c r="D1136" s="860"/>
      <c r="E1136" s="860"/>
      <c r="F1136" s="860"/>
      <c r="G1136" s="821" t="s">
        <v>4668</v>
      </c>
      <c r="H1136" s="821" t="s">
        <v>4690</v>
      </c>
      <c r="I1136" s="220" t="str">
        <f>IF(ISBLANK(continental!I183),"",continental!I183)</f>
        <v/>
      </c>
      <c r="K1136" s="225" t="s">
        <v>4159</v>
      </c>
      <c r="O1136" s="225" t="s">
        <v>4159</v>
      </c>
    </row>
    <row r="1137" spans="1:15" ht="12.75" customHeight="1" x14ac:dyDescent="0.3">
      <c r="A1137" s="821" t="s">
        <v>2097</v>
      </c>
      <c r="B1137" s="860"/>
      <c r="C1137" s="860"/>
      <c r="D1137" s="860"/>
      <c r="E1137" s="860"/>
      <c r="F1137" s="860"/>
      <c r="G1137" s="821" t="s">
        <v>4669</v>
      </c>
      <c r="H1137" s="821" t="s">
        <v>4690</v>
      </c>
      <c r="I1137" s="220" t="str">
        <f>IF(ISBLANK(continental!I184),"",continental!I184)</f>
        <v/>
      </c>
      <c r="K1137" s="225" t="s">
        <v>4159</v>
      </c>
      <c r="O1137" s="225" t="s">
        <v>4159</v>
      </c>
    </row>
    <row r="1138" spans="1:15" ht="12.75" customHeight="1" x14ac:dyDescent="0.3">
      <c r="A1138" s="821" t="s">
        <v>2093</v>
      </c>
      <c r="B1138" s="860"/>
      <c r="C1138" s="860"/>
      <c r="D1138" s="860"/>
      <c r="E1138" s="860"/>
      <c r="F1138" s="860"/>
      <c r="G1138" s="821" t="s">
        <v>4670</v>
      </c>
      <c r="H1138" s="821" t="s">
        <v>335</v>
      </c>
      <c r="I1138" s="220" t="str">
        <f>IF(ISBLANK(continental!I185),"",continental!I185)</f>
        <v/>
      </c>
    </row>
    <row r="1139" spans="1:15" ht="12.75" customHeight="1" x14ac:dyDescent="0.3">
      <c r="A1139" s="821" t="s">
        <v>2095</v>
      </c>
      <c r="B1139" s="860"/>
      <c r="C1139" s="860"/>
      <c r="D1139" s="860"/>
      <c r="E1139" s="860"/>
      <c r="F1139" s="860"/>
      <c r="G1139" s="821" t="s">
        <v>4671</v>
      </c>
      <c r="H1139" s="821" t="s">
        <v>335</v>
      </c>
      <c r="I1139" s="220" t="str">
        <f>IF(ISBLANK(continental!I186),"",continental!I186)</f>
        <v/>
      </c>
    </row>
    <row r="1140" spans="1:15" ht="12.75" customHeight="1" x14ac:dyDescent="0.3">
      <c r="A1140" s="821" t="s">
        <v>2097</v>
      </c>
      <c r="B1140" s="860"/>
      <c r="C1140" s="860"/>
      <c r="D1140" s="860"/>
      <c r="E1140" s="860"/>
      <c r="F1140" s="860"/>
      <c r="G1140" s="821" t="s">
        <v>4672</v>
      </c>
      <c r="H1140" s="821" t="s">
        <v>335</v>
      </c>
      <c r="I1140" s="220" t="str">
        <f>IF(ISBLANK(continental!I187),"",continental!I187)</f>
        <v/>
      </c>
    </row>
    <row r="1141" spans="1:15" ht="12.75" customHeight="1" x14ac:dyDescent="0.3">
      <c r="A1141" s="821"/>
      <c r="B1141" s="872" t="s">
        <v>1251</v>
      </c>
      <c r="C1141" s="860"/>
      <c r="D1141" s="872"/>
      <c r="E1141" s="872"/>
      <c r="F1141" s="872"/>
      <c r="G1141" s="891" t="s">
        <v>2099</v>
      </c>
      <c r="H1141" s="872" t="s">
        <v>4734</v>
      </c>
      <c r="I1141" s="220" t="str">
        <f>IF(ISBLANK(continental!I188),"",continental!I188)</f>
        <v/>
      </c>
      <c r="K1141" s="225" t="s">
        <v>4159</v>
      </c>
      <c r="O1141" s="225" t="s">
        <v>4159</v>
      </c>
    </row>
    <row r="1142" spans="1:15" ht="12.75" customHeight="1" x14ac:dyDescent="0.3">
      <c r="A1142" s="821"/>
      <c r="B1142" s="872" t="s">
        <v>1253</v>
      </c>
      <c r="C1142" s="860"/>
      <c r="D1142" s="872"/>
      <c r="E1142" s="872"/>
      <c r="F1142" s="872"/>
      <c r="G1142" s="891" t="s">
        <v>2100</v>
      </c>
      <c r="H1142" s="872" t="s">
        <v>4734</v>
      </c>
      <c r="I1142" s="220" t="str">
        <f>IF(ISBLANK(continental!I189),"",continental!I189)</f>
        <v/>
      </c>
      <c r="K1142" s="225" t="s">
        <v>4159</v>
      </c>
      <c r="O1142" s="225" t="s">
        <v>4159</v>
      </c>
    </row>
    <row r="1143" spans="1:15" ht="12.75" customHeight="1" x14ac:dyDescent="0.3">
      <c r="A1143" s="821"/>
      <c r="B1143" s="872" t="s">
        <v>1255</v>
      </c>
      <c r="C1143" s="860"/>
      <c r="D1143" s="872"/>
      <c r="E1143" s="872"/>
      <c r="F1143" s="872"/>
      <c r="G1143" s="891" t="s">
        <v>2101</v>
      </c>
      <c r="H1143" s="872" t="s">
        <v>4734</v>
      </c>
      <c r="I1143" s="220" t="str">
        <f>IF(ISBLANK(continental!I190),"",continental!I190)</f>
        <v/>
      </c>
      <c r="K1143" s="225" t="s">
        <v>4159</v>
      </c>
      <c r="O1143" s="225" t="s">
        <v>4159</v>
      </c>
    </row>
    <row r="1144" spans="1:15" ht="12.75" customHeight="1" x14ac:dyDescent="0.3">
      <c r="A1144" s="821"/>
      <c r="B1144" s="821" t="s">
        <v>1257</v>
      </c>
      <c r="C1144" s="860"/>
      <c r="D1144" s="872"/>
      <c r="E1144" s="872"/>
      <c r="F1144" s="872"/>
      <c r="G1144" s="891" t="s">
        <v>2102</v>
      </c>
      <c r="H1144" s="821" t="s">
        <v>291</v>
      </c>
      <c r="I1144" s="220" t="str">
        <f>IF(ISBLANK(continental!I191),"",continental!I191)</f>
        <v/>
      </c>
      <c r="J1144" s="211"/>
      <c r="K1144" s="225" t="s">
        <v>4159</v>
      </c>
      <c r="O1144" s="225" t="s">
        <v>4159</v>
      </c>
    </row>
    <row r="1145" spans="1:15" ht="12.75" customHeight="1" x14ac:dyDescent="0.3">
      <c r="A1145" s="821"/>
      <c r="B1145" s="821" t="s">
        <v>1259</v>
      </c>
      <c r="C1145" s="860"/>
      <c r="D1145" s="872"/>
      <c r="E1145" s="872"/>
      <c r="F1145" s="872"/>
      <c r="G1145" s="891" t="s">
        <v>2103</v>
      </c>
      <c r="H1145" s="821" t="s">
        <v>291</v>
      </c>
      <c r="I1145" s="220" t="str">
        <f>IF(ISBLANK(continental!I192),"",continental!I192)</f>
        <v/>
      </c>
      <c r="J1145" s="353"/>
      <c r="K1145" s="225" t="s">
        <v>4159</v>
      </c>
      <c r="O1145" s="225" t="s">
        <v>4159</v>
      </c>
    </row>
    <row r="1146" spans="1:15" ht="12.75" customHeight="1" x14ac:dyDescent="0.3">
      <c r="A1146" s="821"/>
      <c r="B1146" s="821" t="s">
        <v>1261</v>
      </c>
      <c r="C1146" s="860"/>
      <c r="D1146" s="872"/>
      <c r="E1146" s="872"/>
      <c r="F1146" s="872"/>
      <c r="G1146" s="891" t="s">
        <v>2104</v>
      </c>
      <c r="H1146" s="821" t="s">
        <v>291</v>
      </c>
      <c r="I1146" s="220" t="str">
        <f>IF(ISBLANK(continental!I193),"",continental!I193)</f>
        <v/>
      </c>
      <c r="J1146" s="211"/>
      <c r="K1146" s="225" t="s">
        <v>4159</v>
      </c>
      <c r="O1146" s="225" t="s">
        <v>4159</v>
      </c>
    </row>
    <row r="1147" spans="1:15" ht="12.75" customHeight="1" x14ac:dyDescent="0.3">
      <c r="A1147" s="821"/>
      <c r="B1147" s="860" t="s">
        <v>1185</v>
      </c>
      <c r="C1147" s="860"/>
      <c r="D1147" s="872"/>
      <c r="E1147" s="872"/>
      <c r="F1147" s="872"/>
      <c r="G1147" s="894" t="s">
        <v>2105</v>
      </c>
      <c r="H1147" s="860" t="s">
        <v>291</v>
      </c>
      <c r="I1147" s="220" t="str">
        <f>IF(ISBLANK(continental!I194),"",continental!I194)</f>
        <v/>
      </c>
      <c r="K1147" s="225" t="s">
        <v>4159</v>
      </c>
      <c r="O1147" s="225" t="s">
        <v>4159</v>
      </c>
    </row>
    <row r="1148" spans="1:15" ht="12.75" customHeight="1" x14ac:dyDescent="0.3">
      <c r="A1148" s="821"/>
      <c r="B1148" s="860" t="s">
        <v>1185</v>
      </c>
      <c r="C1148" s="860"/>
      <c r="D1148" s="872"/>
      <c r="E1148" s="872"/>
      <c r="F1148" s="872"/>
      <c r="G1148" s="894" t="s">
        <v>2106</v>
      </c>
      <c r="H1148" s="860" t="s">
        <v>291</v>
      </c>
      <c r="I1148" s="220" t="str">
        <f>IF(ISBLANK(continental!I195),"",continental!I195)</f>
        <v/>
      </c>
      <c r="K1148" s="225" t="s">
        <v>4159</v>
      </c>
      <c r="O1148" s="225" t="s">
        <v>4159</v>
      </c>
    </row>
    <row r="1149" spans="1:15" ht="12.75" customHeight="1" x14ac:dyDescent="0.3">
      <c r="A1149" s="821"/>
      <c r="B1149" s="860" t="s">
        <v>1185</v>
      </c>
      <c r="C1149" s="860"/>
      <c r="D1149" s="872"/>
      <c r="E1149" s="872"/>
      <c r="F1149" s="872"/>
      <c r="G1149" s="894" t="s">
        <v>2107</v>
      </c>
      <c r="H1149" s="860" t="s">
        <v>291</v>
      </c>
      <c r="I1149" s="220" t="str">
        <f>IF(ISBLANK(continental!I196),"",continental!I196)</f>
        <v/>
      </c>
      <c r="K1149" s="225" t="s">
        <v>4159</v>
      </c>
      <c r="O1149" s="225" t="s">
        <v>4159</v>
      </c>
    </row>
    <row r="1150" spans="1:15" ht="12.75" customHeight="1" x14ac:dyDescent="0.3">
      <c r="A1150" s="860"/>
      <c r="B1150" s="860"/>
      <c r="C1150" s="860"/>
      <c r="D1150" s="860"/>
      <c r="E1150" s="860"/>
      <c r="F1150" s="860"/>
      <c r="G1150" s="860"/>
      <c r="H1150" s="860"/>
      <c r="I1150" s="220" t="str">
        <f>IF(ISBLANK(continental!I197),"",continental!I197)</f>
        <v/>
      </c>
      <c r="K1150" s="225" t="s">
        <v>4159</v>
      </c>
      <c r="O1150" s="225" t="s">
        <v>4159</v>
      </c>
    </row>
    <row r="1151" spans="1:15" ht="12.75" customHeight="1" x14ac:dyDescent="0.3">
      <c r="A1151" s="865" t="s">
        <v>1266</v>
      </c>
      <c r="B1151" s="864"/>
      <c r="C1151" s="864"/>
      <c r="D1151" s="864"/>
      <c r="E1151" s="864"/>
      <c r="F1151" s="864"/>
      <c r="G1151" s="865" t="s">
        <v>258</v>
      </c>
      <c r="H1151" s="865" t="s">
        <v>274</v>
      </c>
      <c r="I1151" s="220" t="str">
        <f>IF(ISBLANK(continental!I198),"",continental!I198)</f>
        <v>User input</v>
      </c>
      <c r="K1151" s="225" t="s">
        <v>259</v>
      </c>
      <c r="O1151" s="225" t="s">
        <v>259</v>
      </c>
    </row>
    <row r="1152" spans="1:15" ht="12.75" customHeight="1" x14ac:dyDescent="0.3">
      <c r="A1152" s="821"/>
      <c r="B1152" s="860"/>
      <c r="C1152" s="860"/>
      <c r="D1152" s="860"/>
      <c r="E1152" s="860"/>
      <c r="F1152" s="860"/>
      <c r="G1152" s="860"/>
      <c r="H1152" s="860"/>
      <c r="I1152" s="220" t="str">
        <f>IF(ISBLANK(continental!I199),"",continental!I199)</f>
        <v/>
      </c>
      <c r="K1152" s="225" t="s">
        <v>4159</v>
      </c>
      <c r="O1152" s="225" t="s">
        <v>4159</v>
      </c>
    </row>
    <row r="1153" spans="1:15" ht="12.75" customHeight="1" x14ac:dyDescent="0.3">
      <c r="A1153" s="821" t="s">
        <v>1267</v>
      </c>
      <c r="B1153" s="860"/>
      <c r="C1153" s="860"/>
      <c r="D1153" s="860"/>
      <c r="E1153" s="860"/>
      <c r="F1153" s="860"/>
      <c r="G1153" s="821" t="s">
        <v>2108</v>
      </c>
      <c r="H1153" s="821" t="s">
        <v>4690</v>
      </c>
      <c r="I1153" s="220" t="str">
        <f>IF(ISBLANK(continental!I200),"",continental!I200)</f>
        <v/>
      </c>
      <c r="K1153" s="225" t="s">
        <v>4159</v>
      </c>
      <c r="O1153" s="225" t="s">
        <v>4159</v>
      </c>
    </row>
    <row r="1154" spans="1:15" ht="12.75" customHeight="1" x14ac:dyDescent="0.3">
      <c r="A1154" s="821" t="s">
        <v>1268</v>
      </c>
      <c r="B1154" s="860"/>
      <c r="C1154" s="860"/>
      <c r="D1154" s="860"/>
      <c r="E1154" s="860"/>
      <c r="F1154" s="860"/>
      <c r="G1154" s="821" t="s">
        <v>2109</v>
      </c>
      <c r="H1154" s="821" t="s">
        <v>4690</v>
      </c>
      <c r="I1154" s="220" t="str">
        <f>IF(ISBLANK(continental!I201),"",continental!I201)</f>
        <v/>
      </c>
      <c r="K1154" s="225" t="s">
        <v>4159</v>
      </c>
      <c r="O1154" s="225" t="s">
        <v>4159</v>
      </c>
    </row>
    <row r="1155" spans="1:15" ht="12.75" customHeight="1" x14ac:dyDescent="0.3">
      <c r="A1155" s="821" t="s">
        <v>1269</v>
      </c>
      <c r="B1155" s="860"/>
      <c r="C1155" s="860"/>
      <c r="D1155" s="860"/>
      <c r="E1155" s="860"/>
      <c r="F1155" s="860"/>
      <c r="G1155" s="821" t="s">
        <v>2110</v>
      </c>
      <c r="H1155" s="821" t="s">
        <v>4690</v>
      </c>
      <c r="I1155" s="220" t="str">
        <f>IF(ISBLANK(continental!I202),"",continental!I202)</f>
        <v/>
      </c>
      <c r="K1155" s="225" t="s">
        <v>4159</v>
      </c>
      <c r="O1155" s="225" t="s">
        <v>4159</v>
      </c>
    </row>
    <row r="1156" spans="1:15" ht="12.75" customHeight="1" x14ac:dyDescent="0.3">
      <c r="A1156" s="821" t="s">
        <v>1270</v>
      </c>
      <c r="B1156" s="860"/>
      <c r="C1156" s="860"/>
      <c r="D1156" s="860"/>
      <c r="E1156" s="860"/>
      <c r="F1156" s="860"/>
      <c r="G1156" s="821" t="s">
        <v>2111</v>
      </c>
      <c r="H1156" s="821" t="s">
        <v>4690</v>
      </c>
      <c r="I1156" s="220" t="str">
        <f>IF(ISBLANK(continental!I203),"",continental!I203)</f>
        <v/>
      </c>
      <c r="K1156" s="225" t="s">
        <v>4159</v>
      </c>
      <c r="O1156" s="225" t="s">
        <v>4159</v>
      </c>
    </row>
    <row r="1157" spans="1:15" ht="12.75" customHeight="1" x14ac:dyDescent="0.3">
      <c r="A1157" s="821" t="s">
        <v>1271</v>
      </c>
      <c r="B1157" s="860"/>
      <c r="C1157" s="860"/>
      <c r="D1157" s="860"/>
      <c r="E1157" s="860"/>
      <c r="F1157" s="860"/>
      <c r="G1157" s="821" t="s">
        <v>2112</v>
      </c>
      <c r="H1157" s="821" t="s">
        <v>4690</v>
      </c>
      <c r="I1157" s="220" t="str">
        <f>IF(ISBLANK(continental!I204),"",continental!I204)</f>
        <v/>
      </c>
      <c r="K1157" s="225" t="s">
        <v>4159</v>
      </c>
      <c r="O1157" s="225" t="s">
        <v>4159</v>
      </c>
    </row>
    <row r="1158" spans="1:15" ht="12.75" customHeight="1" x14ac:dyDescent="0.3">
      <c r="A1158" s="821" t="s">
        <v>1273</v>
      </c>
      <c r="B1158" s="860"/>
      <c r="C1158" s="860"/>
      <c r="D1158" s="860"/>
      <c r="E1158" s="860"/>
      <c r="F1158" s="860"/>
      <c r="G1158" s="821" t="s">
        <v>2113</v>
      </c>
      <c r="H1158" s="821" t="s">
        <v>4690</v>
      </c>
      <c r="I1158" s="220" t="str">
        <f>IF(ISBLANK(continental!I205),"",continental!I205)</f>
        <v/>
      </c>
      <c r="K1158" s="225" t="s">
        <v>4159</v>
      </c>
      <c r="O1158" s="225" t="s">
        <v>4159</v>
      </c>
    </row>
    <row r="1159" spans="1:15" ht="12.75" customHeight="1" x14ac:dyDescent="0.3">
      <c r="A1159" s="821" t="s">
        <v>1274</v>
      </c>
      <c r="B1159" s="860"/>
      <c r="C1159" s="860"/>
      <c r="D1159" s="860"/>
      <c r="E1159" s="860"/>
      <c r="F1159" s="860"/>
      <c r="G1159" s="821" t="s">
        <v>2114</v>
      </c>
      <c r="H1159" s="821" t="s">
        <v>4690</v>
      </c>
      <c r="I1159" s="220" t="str">
        <f>IF(ISBLANK(continental!I206),"",continental!I206)</f>
        <v/>
      </c>
      <c r="K1159" s="225" t="s">
        <v>4159</v>
      </c>
      <c r="O1159" s="225" t="s">
        <v>4159</v>
      </c>
    </row>
    <row r="1160" spans="1:15" ht="12.75" customHeight="1" x14ac:dyDescent="0.3">
      <c r="A1160" s="821" t="s">
        <v>1275</v>
      </c>
      <c r="B1160" s="860"/>
      <c r="C1160" s="860"/>
      <c r="D1160" s="860"/>
      <c r="E1160" s="860"/>
      <c r="F1160" s="860"/>
      <c r="G1160" s="821" t="s">
        <v>2115</v>
      </c>
      <c r="H1160" s="821" t="s">
        <v>4690</v>
      </c>
      <c r="I1160" s="220" t="str">
        <f>IF(ISBLANK(continental!I207),"",continental!I207)</f>
        <v/>
      </c>
      <c r="K1160" s="225" t="s">
        <v>4159</v>
      </c>
      <c r="O1160" s="225" t="s">
        <v>4159</v>
      </c>
    </row>
    <row r="1161" spans="1:15" ht="12.75" customHeight="1" x14ac:dyDescent="0.3">
      <c r="A1161" s="821" t="s">
        <v>1275</v>
      </c>
      <c r="B1161" s="860"/>
      <c r="C1161" s="860"/>
      <c r="D1161" s="860"/>
      <c r="E1161" s="860"/>
      <c r="F1161" s="860"/>
      <c r="G1161" s="821" t="s">
        <v>2116</v>
      </c>
      <c r="H1161" s="821" t="s">
        <v>4690</v>
      </c>
      <c r="I1161" s="220" t="str">
        <f>IF(ISBLANK(continental!I208),"",continental!I208)</f>
        <v/>
      </c>
      <c r="K1161" s="225" t="s">
        <v>4159</v>
      </c>
      <c r="O1161" s="225" t="s">
        <v>4159</v>
      </c>
    </row>
    <row r="1162" spans="1:15" ht="12.75" customHeight="1" x14ac:dyDescent="0.3">
      <c r="A1162" s="821" t="s">
        <v>1275</v>
      </c>
      <c r="B1162" s="860"/>
      <c r="C1162" s="860"/>
      <c r="D1162" s="860"/>
      <c r="E1162" s="860"/>
      <c r="F1162" s="860"/>
      <c r="G1162" s="821" t="s">
        <v>2117</v>
      </c>
      <c r="H1162" s="821" t="s">
        <v>4690</v>
      </c>
      <c r="I1162" s="220" t="str">
        <f>IF(ISBLANK(continental!I209),"",continental!I209)</f>
        <v/>
      </c>
      <c r="K1162" s="225" t="s">
        <v>4159</v>
      </c>
      <c r="O1162" s="225" t="s">
        <v>4159</v>
      </c>
    </row>
    <row r="1163" spans="1:15" ht="12.75" customHeight="1" x14ac:dyDescent="0.3">
      <c r="A1163" s="821"/>
      <c r="B1163" s="821" t="s">
        <v>1278</v>
      </c>
      <c r="C1163" s="872"/>
      <c r="D1163" s="860"/>
      <c r="E1163" s="860"/>
      <c r="F1163" s="860"/>
      <c r="G1163" s="872" t="s">
        <v>2118</v>
      </c>
      <c r="H1163" s="821" t="s">
        <v>4690</v>
      </c>
      <c r="I1163" s="220" t="str">
        <f>IF(ISBLANK(continental!I210),"",continental!I210)</f>
        <v/>
      </c>
      <c r="K1163" s="225" t="s">
        <v>4159</v>
      </c>
      <c r="O1163" s="225" t="s">
        <v>4159</v>
      </c>
    </row>
    <row r="1164" spans="1:15" ht="12.75" customHeight="1" x14ac:dyDescent="0.3">
      <c r="A1164" s="821"/>
      <c r="B1164" s="821" t="s">
        <v>1280</v>
      </c>
      <c r="C1164" s="860"/>
      <c r="D1164" s="860"/>
      <c r="E1164" s="860"/>
      <c r="F1164" s="860"/>
      <c r="G1164" s="821" t="s">
        <v>2119</v>
      </c>
      <c r="H1164" s="821" t="s">
        <v>4690</v>
      </c>
      <c r="I1164" s="220" t="str">
        <f>IF(ISBLANK(continental!I211),"",continental!I211)</f>
        <v/>
      </c>
      <c r="K1164" s="225" t="s">
        <v>4159</v>
      </c>
      <c r="O1164" s="225" t="s">
        <v>4159</v>
      </c>
    </row>
    <row r="1165" spans="1:15" ht="12.75" customHeight="1" x14ac:dyDescent="0.3">
      <c r="A1165" s="872"/>
      <c r="B1165" s="872"/>
      <c r="C1165" s="821" t="s">
        <v>2120</v>
      </c>
      <c r="D1165" s="860"/>
      <c r="E1165" s="860"/>
      <c r="F1165" s="860"/>
      <c r="G1165" s="821" t="s">
        <v>2121</v>
      </c>
      <c r="H1165" s="821" t="s">
        <v>4757</v>
      </c>
      <c r="I1165" s="220" t="str">
        <f>IF(ISBLANK(continental!I212),"",continental!I212)</f>
        <v/>
      </c>
      <c r="K1165" s="225" t="s">
        <v>4159</v>
      </c>
      <c r="O1165" s="225" t="s">
        <v>4159</v>
      </c>
    </row>
    <row r="1166" spans="1:15" ht="12.75" customHeight="1" x14ac:dyDescent="0.3">
      <c r="A1166" s="872"/>
      <c r="B1166" s="872"/>
      <c r="C1166" s="821" t="s">
        <v>2122</v>
      </c>
      <c r="D1166" s="860"/>
      <c r="E1166" s="860"/>
      <c r="F1166" s="860"/>
      <c r="G1166" s="821" t="s">
        <v>2123</v>
      </c>
      <c r="H1166" s="821" t="s">
        <v>291</v>
      </c>
      <c r="I1166" s="220" t="str">
        <f>IF(ISBLANK(continental!I213),"",continental!I213)</f>
        <v/>
      </c>
      <c r="K1166" s="225" t="s">
        <v>4159</v>
      </c>
      <c r="O1166" s="225" t="s">
        <v>4159</v>
      </c>
    </row>
    <row r="1167" spans="1:15" ht="12.75" customHeight="1" x14ac:dyDescent="0.3">
      <c r="A1167" s="821"/>
      <c r="B1167" s="821" t="s">
        <v>1287</v>
      </c>
      <c r="C1167" s="860"/>
      <c r="D1167" s="860"/>
      <c r="E1167" s="860"/>
      <c r="F1167" s="860"/>
      <c r="G1167" s="821" t="s">
        <v>2124</v>
      </c>
      <c r="H1167" s="821" t="s">
        <v>4690</v>
      </c>
      <c r="I1167" s="220" t="str">
        <f>IF(ISBLANK(continental!I214),"",continental!I214)</f>
        <v/>
      </c>
      <c r="K1167" s="225" t="s">
        <v>4159</v>
      </c>
      <c r="O1167" s="225" t="s">
        <v>4159</v>
      </c>
    </row>
    <row r="1168" spans="1:15" ht="12.75" customHeight="1" x14ac:dyDescent="0.3">
      <c r="A1168" s="821"/>
      <c r="B1168" s="821" t="s">
        <v>1289</v>
      </c>
      <c r="C1168" s="860"/>
      <c r="D1168" s="860"/>
      <c r="E1168" s="860"/>
      <c r="F1168" s="860"/>
      <c r="G1168" s="821" t="s">
        <v>2125</v>
      </c>
      <c r="H1168" s="821" t="s">
        <v>4690</v>
      </c>
      <c r="I1168" s="220" t="str">
        <f>IF(ISBLANK(continental!I215),"",continental!I215)</f>
        <v/>
      </c>
      <c r="K1168" s="225" t="s">
        <v>4159</v>
      </c>
      <c r="O1168" s="225" t="s">
        <v>4159</v>
      </c>
    </row>
    <row r="1169" spans="1:15" ht="12.75" customHeight="1" x14ac:dyDescent="0.3">
      <c r="A1169" s="821"/>
      <c r="B1169" s="821" t="s">
        <v>1291</v>
      </c>
      <c r="C1169" s="860"/>
      <c r="D1169" s="860"/>
      <c r="E1169" s="860"/>
      <c r="F1169" s="860"/>
      <c r="G1169" s="821" t="s">
        <v>2126</v>
      </c>
      <c r="H1169" s="821" t="s">
        <v>4690</v>
      </c>
      <c r="I1169" s="220" t="str">
        <f>IF(ISBLANK(continental!I216),"",continental!I216)</f>
        <v/>
      </c>
      <c r="K1169" s="225" t="s">
        <v>4159</v>
      </c>
      <c r="O1169" s="225" t="s">
        <v>4159</v>
      </c>
    </row>
    <row r="1170" spans="1:15" ht="12.75" customHeight="1" x14ac:dyDescent="0.3">
      <c r="A1170" s="821"/>
      <c r="B1170" s="821"/>
      <c r="C1170" s="821" t="s">
        <v>1293</v>
      </c>
      <c r="D1170" s="860"/>
      <c r="E1170" s="860"/>
      <c r="F1170" s="860"/>
      <c r="G1170" s="872" t="s">
        <v>2127</v>
      </c>
      <c r="H1170" s="821" t="s">
        <v>1295</v>
      </c>
      <c r="I1170" s="220" t="str">
        <f>IF(ISBLANK(continental!I217),"",continental!I217)</f>
        <v/>
      </c>
      <c r="K1170" s="225" t="s">
        <v>4159</v>
      </c>
      <c r="O1170" s="225" t="s">
        <v>4159</v>
      </c>
    </row>
    <row r="1171" spans="1:15" ht="12.75" customHeight="1" x14ac:dyDescent="0.3">
      <c r="A1171" s="821"/>
      <c r="B1171" s="821"/>
      <c r="C1171" s="821" t="s">
        <v>1297</v>
      </c>
      <c r="D1171" s="860"/>
      <c r="E1171" s="860"/>
      <c r="F1171" s="860"/>
      <c r="G1171" s="872" t="s">
        <v>2128</v>
      </c>
      <c r="H1171" s="821" t="s">
        <v>1295</v>
      </c>
      <c r="I1171" s="220" t="str">
        <f>IF(ISBLANK(continental!I218),"",continental!I218)</f>
        <v/>
      </c>
      <c r="K1171" s="225" t="s">
        <v>4159</v>
      </c>
      <c r="O1171" s="225" t="s">
        <v>4159</v>
      </c>
    </row>
    <row r="1172" spans="1:15" ht="12.75" customHeight="1" x14ac:dyDescent="0.3">
      <c r="A1172" s="821"/>
      <c r="B1172" s="821"/>
      <c r="C1172" s="821" t="s">
        <v>1299</v>
      </c>
      <c r="D1172" s="860"/>
      <c r="E1172" s="860"/>
      <c r="F1172" s="860"/>
      <c r="G1172" s="872" t="s">
        <v>2129</v>
      </c>
      <c r="H1172" s="821" t="s">
        <v>1295</v>
      </c>
      <c r="I1172" s="220" t="str">
        <f>IF(ISBLANK(continental!I219),"",continental!I219)</f>
        <v/>
      </c>
      <c r="K1172" s="225" t="s">
        <v>4159</v>
      </c>
      <c r="O1172" s="225" t="s">
        <v>4159</v>
      </c>
    </row>
    <row r="1173" spans="1:15" ht="12.75" customHeight="1" x14ac:dyDescent="0.3">
      <c r="A1173" s="872"/>
      <c r="B1173" s="872"/>
      <c r="C1173" s="821" t="s">
        <v>1301</v>
      </c>
      <c r="D1173" s="860"/>
      <c r="E1173" s="860"/>
      <c r="F1173" s="860"/>
      <c r="G1173" s="821" t="s">
        <v>2130</v>
      </c>
      <c r="H1173" s="821" t="s">
        <v>291</v>
      </c>
      <c r="I1173" s="220" t="str">
        <f>IF(ISBLANK(continental!I220),"",continental!I220)</f>
        <v/>
      </c>
      <c r="K1173" s="225" t="s">
        <v>4159</v>
      </c>
      <c r="O1173" s="225" t="s">
        <v>4159</v>
      </c>
    </row>
    <row r="1174" spans="1:15" ht="12.75" customHeight="1" x14ac:dyDescent="0.3">
      <c r="A1174" s="872"/>
      <c r="B1174" s="821" t="s">
        <v>2131</v>
      </c>
      <c r="C1174" s="860"/>
      <c r="D1174" s="860"/>
      <c r="E1174" s="860"/>
      <c r="F1174" s="860"/>
      <c r="G1174" s="821" t="s">
        <v>2132</v>
      </c>
      <c r="H1174" s="821" t="s">
        <v>4690</v>
      </c>
      <c r="I1174" s="220" t="str">
        <f>IF(ISBLANK(continental!I221),"",continental!I221)</f>
        <v/>
      </c>
      <c r="K1174" s="225" t="s">
        <v>4159</v>
      </c>
      <c r="O1174" s="225" t="s">
        <v>4159</v>
      </c>
    </row>
    <row r="1175" spans="1:15" ht="12.75" customHeight="1" x14ac:dyDescent="0.3">
      <c r="A1175" s="821"/>
      <c r="B1175" s="821" t="s">
        <v>1305</v>
      </c>
      <c r="C1175" s="860"/>
      <c r="D1175" s="860"/>
      <c r="E1175" s="860"/>
      <c r="F1175" s="860"/>
      <c r="G1175" s="821" t="s">
        <v>2133</v>
      </c>
      <c r="H1175" s="821" t="s">
        <v>4690</v>
      </c>
      <c r="I1175" s="220" t="str">
        <f>IF(ISBLANK(continental!I222),"",continental!I222)</f>
        <v/>
      </c>
      <c r="K1175" s="225" t="s">
        <v>4159</v>
      </c>
      <c r="O1175" s="225" t="s">
        <v>4159</v>
      </c>
    </row>
    <row r="1176" spans="1:15" ht="12.75" customHeight="1" x14ac:dyDescent="0.3">
      <c r="A1176" s="821"/>
      <c r="B1176" s="821" t="s">
        <v>1307</v>
      </c>
      <c r="C1176" s="860"/>
      <c r="D1176" s="860"/>
      <c r="E1176" s="860"/>
      <c r="F1176" s="860"/>
      <c r="G1176" s="821" t="s">
        <v>2134</v>
      </c>
      <c r="H1176" s="821" t="s">
        <v>4690</v>
      </c>
      <c r="I1176" s="220" t="str">
        <f>IF(ISBLANK(continental!I223),"",continental!I223)</f>
        <v/>
      </c>
      <c r="K1176" s="225" t="s">
        <v>4159</v>
      </c>
      <c r="O1176" s="225" t="s">
        <v>4159</v>
      </c>
    </row>
    <row r="1177" spans="1:15" ht="12.75" customHeight="1" x14ac:dyDescent="0.3">
      <c r="A1177" s="821"/>
      <c r="B1177" s="821" t="s">
        <v>1309</v>
      </c>
      <c r="C1177" s="860"/>
      <c r="D1177" s="860"/>
      <c r="E1177" s="860"/>
      <c r="F1177" s="860"/>
      <c r="G1177" s="821" t="s">
        <v>2135</v>
      </c>
      <c r="H1177" s="821" t="s">
        <v>4690</v>
      </c>
      <c r="I1177" s="220" t="str">
        <f>IF(ISBLANK(continental!I224),"",continental!I224)</f>
        <v/>
      </c>
      <c r="K1177" s="225" t="s">
        <v>4159</v>
      </c>
      <c r="O1177" s="225" t="s">
        <v>4159</v>
      </c>
    </row>
    <row r="1178" spans="1:15" ht="12.75" customHeight="1" x14ac:dyDescent="0.3">
      <c r="A1178" s="821"/>
      <c r="B1178" s="821" t="s">
        <v>1311</v>
      </c>
      <c r="C1178" s="860"/>
      <c r="D1178" s="860"/>
      <c r="E1178" s="860"/>
      <c r="F1178" s="860"/>
      <c r="G1178" s="821" t="s">
        <v>2136</v>
      </c>
      <c r="H1178" s="821" t="s">
        <v>4690</v>
      </c>
      <c r="I1178" s="220" t="str">
        <f>IF(ISBLANK(continental!I225),"",continental!I225)</f>
        <v/>
      </c>
      <c r="J1178" s="211"/>
      <c r="K1178" s="225" t="s">
        <v>4159</v>
      </c>
      <c r="O1178" s="225" t="s">
        <v>4159</v>
      </c>
    </row>
    <row r="1179" spans="1:15" ht="12.75" customHeight="1" x14ac:dyDescent="0.3">
      <c r="A1179" s="821"/>
      <c r="B1179" s="821" t="s">
        <v>1313</v>
      </c>
      <c r="C1179" s="860"/>
      <c r="D1179" s="860"/>
      <c r="E1179" s="860"/>
      <c r="F1179" s="860"/>
      <c r="G1179" s="821" t="s">
        <v>2137</v>
      </c>
      <c r="H1179" s="821" t="s">
        <v>4690</v>
      </c>
      <c r="I1179" s="220" t="str">
        <f>IF(ISBLANK(continental!I226),"",continental!I226)</f>
        <v/>
      </c>
      <c r="J1179" s="353"/>
      <c r="K1179" s="225" t="s">
        <v>4159</v>
      </c>
      <c r="O1179" s="225" t="s">
        <v>4159</v>
      </c>
    </row>
    <row r="1180" spans="1:15" ht="12.75" customHeight="1" x14ac:dyDescent="0.3">
      <c r="A1180" s="821"/>
      <c r="B1180" s="821"/>
      <c r="C1180" s="821" t="s">
        <v>1315</v>
      </c>
      <c r="D1180" s="860"/>
      <c r="E1180" s="860"/>
      <c r="F1180" s="860"/>
      <c r="G1180" s="872" t="s">
        <v>2138</v>
      </c>
      <c r="H1180" s="821" t="s">
        <v>291</v>
      </c>
      <c r="I1180" s="220" t="str">
        <f>IF(ISBLANK(continental!I227),"",continental!I227)</f>
        <v/>
      </c>
      <c r="J1180" s="211"/>
      <c r="K1180" s="225" t="s">
        <v>4159</v>
      </c>
      <c r="O1180" s="225" t="s">
        <v>4159</v>
      </c>
    </row>
    <row r="1181" spans="1:15" ht="12.75" customHeight="1" x14ac:dyDescent="0.3">
      <c r="A1181" s="821"/>
      <c r="B1181" s="821"/>
      <c r="C1181" s="821" t="s">
        <v>1317</v>
      </c>
      <c r="D1181" s="860"/>
      <c r="E1181" s="860"/>
      <c r="F1181" s="860"/>
      <c r="G1181" s="872" t="s">
        <v>2139</v>
      </c>
      <c r="H1181" s="821" t="s">
        <v>291</v>
      </c>
      <c r="I1181" s="220" t="str">
        <f>IF(ISBLANK(continental!I228),"",continental!I228)</f>
        <v/>
      </c>
      <c r="K1181" s="225" t="s">
        <v>4159</v>
      </c>
      <c r="O1181" s="225" t="s">
        <v>4159</v>
      </c>
    </row>
    <row r="1182" spans="1:15" ht="12.75" customHeight="1" x14ac:dyDescent="0.3">
      <c r="A1182" s="860"/>
      <c r="B1182" s="860"/>
      <c r="C1182" s="821" t="s">
        <v>1319</v>
      </c>
      <c r="D1182" s="860"/>
      <c r="E1182" s="860"/>
      <c r="F1182" s="860"/>
      <c r="G1182" s="872" t="s">
        <v>2140</v>
      </c>
      <c r="H1182" s="821" t="s">
        <v>291</v>
      </c>
      <c r="I1182" s="220" t="str">
        <f>IF(ISBLANK(continental!I229),"",continental!I229)</f>
        <v/>
      </c>
      <c r="K1182" s="225" t="s">
        <v>4159</v>
      </c>
      <c r="O1182" s="225" t="s">
        <v>4159</v>
      </c>
    </row>
    <row r="1183" spans="1:15" ht="12.75" customHeight="1" x14ac:dyDescent="0.3">
      <c r="A1183" s="821"/>
      <c r="B1183" s="821"/>
      <c r="C1183" s="860" t="s">
        <v>1185</v>
      </c>
      <c r="D1183" s="860"/>
      <c r="E1183" s="872"/>
      <c r="F1183" s="872"/>
      <c r="G1183" s="821" t="s">
        <v>2141</v>
      </c>
      <c r="H1183" s="860" t="s">
        <v>291</v>
      </c>
      <c r="I1183" s="220" t="str">
        <f>IF(ISBLANK(continental!I230),"",continental!I230)</f>
        <v/>
      </c>
      <c r="K1183" s="225" t="s">
        <v>4159</v>
      </c>
      <c r="O1183" s="225" t="s">
        <v>4159</v>
      </c>
    </row>
    <row r="1184" spans="1:15" ht="12.75" customHeight="1" x14ac:dyDescent="0.3">
      <c r="A1184" s="821"/>
      <c r="B1184" s="821"/>
      <c r="C1184" s="860" t="s">
        <v>1185</v>
      </c>
      <c r="D1184" s="860"/>
      <c r="E1184" s="872"/>
      <c r="F1184" s="872"/>
      <c r="G1184" s="821" t="s">
        <v>2142</v>
      </c>
      <c r="H1184" s="860" t="s">
        <v>291</v>
      </c>
      <c r="I1184" s="220" t="str">
        <f>IF(ISBLANK(continental!I231),"",continental!I231)</f>
        <v/>
      </c>
      <c r="K1184" s="225" t="s">
        <v>4159</v>
      </c>
      <c r="O1184" s="225" t="s">
        <v>4159</v>
      </c>
    </row>
    <row r="1185" spans="1:15" ht="12.75" customHeight="1" x14ac:dyDescent="0.3">
      <c r="A1185" s="821"/>
      <c r="B1185" s="821"/>
      <c r="C1185" s="860" t="s">
        <v>1185</v>
      </c>
      <c r="D1185" s="860"/>
      <c r="E1185" s="872"/>
      <c r="F1185" s="872"/>
      <c r="G1185" s="821" t="s">
        <v>2143</v>
      </c>
      <c r="H1185" s="860" t="s">
        <v>291</v>
      </c>
      <c r="I1185" s="220" t="str">
        <f>IF(ISBLANK(continental!I232),"",continental!I232)</f>
        <v/>
      </c>
      <c r="K1185" s="225" t="s">
        <v>4159</v>
      </c>
      <c r="O1185" s="225" t="s">
        <v>4159</v>
      </c>
    </row>
    <row r="1186" spans="1:15" ht="12.75" customHeight="1" x14ac:dyDescent="0.3">
      <c r="A1186" s="895"/>
      <c r="B1186" s="895"/>
      <c r="C1186" s="895"/>
      <c r="D1186" s="895"/>
      <c r="E1186" s="895"/>
      <c r="F1186" s="895"/>
      <c r="G1186" s="895"/>
      <c r="H1186" s="895"/>
      <c r="I1186" s="220" t="str">
        <f>IF(ISBLANK(continental!I233),"",continental!I233)</f>
        <v/>
      </c>
      <c r="K1186" s="225" t="s">
        <v>4159</v>
      </c>
      <c r="O1186" s="225" t="s">
        <v>4159</v>
      </c>
    </row>
    <row r="1187" spans="1:15" ht="12.75" customHeight="1" x14ac:dyDescent="0.3">
      <c r="G1187" s="778"/>
      <c r="H1187" s="778"/>
      <c r="I1187" s="220" t="str">
        <f>IF(ISBLANK(continental!I234),"",continental!I234)</f>
        <v/>
      </c>
      <c r="K1187" s="225" t="s">
        <v>4159</v>
      </c>
      <c r="O1187" s="225" t="s">
        <v>4159</v>
      </c>
    </row>
    <row r="1188" spans="1:15" ht="12.75" customHeight="1" x14ac:dyDescent="0.3">
      <c r="A1188" s="785" t="s">
        <v>1325</v>
      </c>
      <c r="B1188" s="784"/>
      <c r="C1188" s="784"/>
      <c r="D1188" s="784"/>
      <c r="E1188" s="784"/>
      <c r="F1188" s="784"/>
      <c r="G1188" s="785" t="s">
        <v>258</v>
      </c>
      <c r="H1188" s="785" t="s">
        <v>274</v>
      </c>
      <c r="I1188" s="220" t="str">
        <f>IF(ISBLANK(continental!I235),"",continental!I235)</f>
        <v>User input</v>
      </c>
      <c r="K1188" s="225" t="s">
        <v>259</v>
      </c>
      <c r="O1188" s="225" t="s">
        <v>259</v>
      </c>
    </row>
    <row r="1189" spans="1:15" ht="12.75" customHeight="1" x14ac:dyDescent="0.3">
      <c r="A1189" s="352" t="s">
        <v>1328</v>
      </c>
      <c r="B1189" s="352"/>
      <c r="C1189" s="352"/>
      <c r="D1189" s="352"/>
      <c r="E1189" s="352"/>
      <c r="F1189" s="352"/>
      <c r="G1189" s="520"/>
      <c r="H1189" s="520"/>
      <c r="I1189" s="220" t="str">
        <f>IF(ISBLANK(continental!I236),"",continental!I236)</f>
        <v/>
      </c>
      <c r="K1189" s="225" t="s">
        <v>4159</v>
      </c>
      <c r="O1189" s="225" t="s">
        <v>4159</v>
      </c>
    </row>
    <row r="1190" spans="1:15" ht="12.75" customHeight="1" x14ac:dyDescent="0.3">
      <c r="A1190" s="797" t="s">
        <v>1329</v>
      </c>
      <c r="B1190" s="797"/>
      <c r="C1190" s="797"/>
      <c r="D1190" s="797"/>
      <c r="E1190" s="797"/>
      <c r="F1190" s="797"/>
      <c r="G1190" s="797" t="s">
        <v>2144</v>
      </c>
      <c r="H1190" s="796" t="s">
        <v>335</v>
      </c>
      <c r="I1190" s="220" t="str">
        <f>IF(ISBLANK(continental!I237),"",continental!I237)</f>
        <v/>
      </c>
      <c r="K1190" s="225" t="s">
        <v>4159</v>
      </c>
      <c r="O1190" s="225" t="s">
        <v>4159</v>
      </c>
    </row>
    <row r="1191" spans="1:15" ht="12.75" customHeight="1" x14ac:dyDescent="0.3">
      <c r="A1191" s="797"/>
      <c r="B1191" s="797" t="s">
        <v>1332</v>
      </c>
      <c r="C1191" s="797"/>
      <c r="D1191" s="797"/>
      <c r="E1191" s="797"/>
      <c r="F1191" s="797"/>
      <c r="G1191" s="797" t="s">
        <v>2145</v>
      </c>
      <c r="H1191" s="797" t="s">
        <v>335</v>
      </c>
      <c r="I1191" s="220" t="str">
        <f>IF(ISBLANK(continental!I238),"",continental!I238)</f>
        <v/>
      </c>
      <c r="K1191" s="225" t="s">
        <v>4159</v>
      </c>
      <c r="O1191" s="225" t="s">
        <v>4159</v>
      </c>
    </row>
    <row r="1192" spans="1:15" ht="12.75" customHeight="1" x14ac:dyDescent="0.3">
      <c r="A1192" s="797"/>
      <c r="B1192" s="797"/>
      <c r="C1192" s="797" t="s">
        <v>706</v>
      </c>
      <c r="D1192" s="797"/>
      <c r="E1192" s="797"/>
      <c r="F1192" s="797"/>
      <c r="G1192" s="797" t="s">
        <v>749</v>
      </c>
      <c r="H1192" s="796" t="s">
        <v>708</v>
      </c>
      <c r="I1192" s="220" t="str">
        <f>IF(ISBLANK(input!I305),"",input!I305)</f>
        <v/>
      </c>
      <c r="K1192" s="225" t="s">
        <v>4159</v>
      </c>
      <c r="O1192" s="225" t="s">
        <v>4159</v>
      </c>
    </row>
    <row r="1193" spans="1:15" ht="12.75" customHeight="1" x14ac:dyDescent="0.3">
      <c r="A1193" s="797"/>
      <c r="B1193" s="797"/>
      <c r="C1193" s="797" t="s">
        <v>1339</v>
      </c>
      <c r="D1193" s="797"/>
      <c r="E1193" s="797"/>
      <c r="F1193" s="797"/>
      <c r="G1193" s="796" t="s">
        <v>2146</v>
      </c>
      <c r="H1193" s="796" t="s">
        <v>866</v>
      </c>
      <c r="I1193" s="220" t="str">
        <f>IF(ISBLANK(continental!I239),"",continental!I239)</f>
        <v/>
      </c>
      <c r="K1193" s="225" t="s">
        <v>4159</v>
      </c>
      <c r="O1193" s="225" t="s">
        <v>4159</v>
      </c>
    </row>
    <row r="1194" spans="1:15" ht="12.75" customHeight="1" x14ac:dyDescent="0.3">
      <c r="A1194" s="797"/>
      <c r="B1194" s="797"/>
      <c r="C1194" s="797" t="s">
        <v>1337</v>
      </c>
      <c r="D1194" s="797"/>
      <c r="E1194" s="797"/>
      <c r="F1194" s="797"/>
      <c r="G1194" s="797" t="s">
        <v>2147</v>
      </c>
      <c r="H1194" s="797" t="s">
        <v>900</v>
      </c>
      <c r="I1194" s="220" t="str">
        <f>IF(ISBLANK(continental!I240),"",continental!I240)</f>
        <v/>
      </c>
      <c r="K1194" s="225" t="s">
        <v>4159</v>
      </c>
      <c r="O1194" s="225" t="s">
        <v>4159</v>
      </c>
    </row>
    <row r="1195" spans="1:15" ht="12.75" customHeight="1" x14ac:dyDescent="0.3">
      <c r="A1195" s="797"/>
      <c r="B1195" s="797"/>
      <c r="C1195" s="797" t="s">
        <v>1334</v>
      </c>
      <c r="D1195" s="797"/>
      <c r="E1195" s="797"/>
      <c r="F1195" s="797"/>
      <c r="G1195" s="796" t="s">
        <v>2148</v>
      </c>
      <c r="H1195" s="796" t="s">
        <v>291</v>
      </c>
      <c r="I1195" s="220" t="str">
        <f>IF(ISBLANK(continental!I241),"",continental!I241)</f>
        <v/>
      </c>
      <c r="K1195" s="225" t="s">
        <v>4159</v>
      </c>
      <c r="O1195" s="225" t="s">
        <v>4159</v>
      </c>
    </row>
    <row r="1196" spans="1:15" ht="12.75" customHeight="1" x14ac:dyDescent="0.3">
      <c r="A1196" s="797" t="s">
        <v>1341</v>
      </c>
      <c r="B1196" s="797"/>
      <c r="C1196" s="797"/>
      <c r="D1196" s="797"/>
      <c r="E1196" s="797"/>
      <c r="F1196" s="797"/>
      <c r="G1196" s="797" t="s">
        <v>2149</v>
      </c>
      <c r="H1196" s="797" t="s">
        <v>335</v>
      </c>
      <c r="I1196" s="220" t="str">
        <f>IF(ISBLANK(continental!I242),"",continental!I242)</f>
        <v/>
      </c>
      <c r="K1196" s="225" t="s">
        <v>4159</v>
      </c>
      <c r="O1196" s="225" t="s">
        <v>4159</v>
      </c>
    </row>
    <row r="1197" spans="1:15" ht="12.75" customHeight="1" x14ac:dyDescent="0.3">
      <c r="A1197" s="797"/>
      <c r="B1197" s="797"/>
      <c r="C1197" s="797" t="s">
        <v>710</v>
      </c>
      <c r="D1197" s="797"/>
      <c r="E1197" s="797"/>
      <c r="F1197" s="797"/>
      <c r="G1197" s="797" t="s">
        <v>750</v>
      </c>
      <c r="H1197" s="796" t="s">
        <v>708</v>
      </c>
      <c r="I1197" s="220" t="str">
        <f>IF(ISBLANK(input!I306),"",input!I306)</f>
        <v/>
      </c>
      <c r="K1197" s="225" t="s">
        <v>4159</v>
      </c>
      <c r="O1197" s="225" t="s">
        <v>4159</v>
      </c>
    </row>
    <row r="1198" spans="1:15" ht="12.75" customHeight="1" x14ac:dyDescent="0.3">
      <c r="A1198" s="797"/>
      <c r="B1198" s="797"/>
      <c r="C1198" s="797" t="s">
        <v>1343</v>
      </c>
      <c r="D1198" s="797"/>
      <c r="E1198" s="797"/>
      <c r="F1198" s="797"/>
      <c r="G1198" s="796" t="s">
        <v>2150</v>
      </c>
      <c r="H1198" s="796" t="s">
        <v>866</v>
      </c>
      <c r="I1198" s="220" t="str">
        <f>IF(ISBLANK(continental!I243),"",continental!I243)</f>
        <v/>
      </c>
      <c r="K1198" s="225" t="s">
        <v>4159</v>
      </c>
      <c r="O1198" s="225" t="s">
        <v>4159</v>
      </c>
    </row>
    <row r="1199" spans="1:15" ht="12.75" customHeight="1" x14ac:dyDescent="0.3">
      <c r="A1199" s="797"/>
      <c r="B1199" s="797"/>
      <c r="C1199" s="797" t="s">
        <v>1345</v>
      </c>
      <c r="D1199" s="797"/>
      <c r="E1199" s="797"/>
      <c r="F1199" s="797"/>
      <c r="G1199" s="797" t="s">
        <v>2151</v>
      </c>
      <c r="H1199" s="797" t="s">
        <v>900</v>
      </c>
      <c r="I1199" s="220" t="str">
        <f>IF(ISBLANK(continental!I244),"",continental!I244)</f>
        <v/>
      </c>
      <c r="K1199" s="225" t="s">
        <v>4159</v>
      </c>
      <c r="O1199" s="225" t="s">
        <v>4159</v>
      </c>
    </row>
    <row r="1200" spans="1:15" ht="12.75" customHeight="1" x14ac:dyDescent="0.3">
      <c r="A1200" s="797"/>
      <c r="B1200" s="797"/>
      <c r="C1200" s="797" t="s">
        <v>1347</v>
      </c>
      <c r="D1200" s="797"/>
      <c r="E1200" s="797"/>
      <c r="F1200" s="797"/>
      <c r="G1200" s="796" t="s">
        <v>2152</v>
      </c>
      <c r="H1200" s="796" t="s">
        <v>291</v>
      </c>
      <c r="I1200" s="220" t="str">
        <f>IF(ISBLANK(continental!I245),"",continental!I245)</f>
        <v/>
      </c>
      <c r="K1200" s="225" t="s">
        <v>4159</v>
      </c>
      <c r="O1200" s="225" t="s">
        <v>4159</v>
      </c>
    </row>
    <row r="1201" spans="1:15" ht="12.75" customHeight="1" x14ac:dyDescent="0.3">
      <c r="A1201" s="797" t="s">
        <v>1349</v>
      </c>
      <c r="B1201" s="797"/>
      <c r="C1201" s="797"/>
      <c r="D1201" s="797"/>
      <c r="E1201" s="797"/>
      <c r="F1201" s="797"/>
      <c r="G1201" s="796" t="s">
        <v>2153</v>
      </c>
      <c r="H1201" s="796" t="s">
        <v>335</v>
      </c>
      <c r="I1201" s="220" t="str">
        <f>IF(ISBLANK(continental!I246),"",continental!I246)</f>
        <v/>
      </c>
      <c r="K1201" s="225" t="s">
        <v>4159</v>
      </c>
      <c r="O1201" s="225" t="s">
        <v>4159</v>
      </c>
    </row>
    <row r="1202" spans="1:15" ht="12.75" customHeight="1" x14ac:dyDescent="0.3">
      <c r="A1202" s="797"/>
      <c r="B1202" s="797" t="s">
        <v>712</v>
      </c>
      <c r="C1202" s="797"/>
      <c r="D1202" s="797"/>
      <c r="E1202" s="797"/>
      <c r="F1202" s="797"/>
      <c r="G1202" s="797" t="s">
        <v>751</v>
      </c>
      <c r="H1202" s="796" t="s">
        <v>708</v>
      </c>
      <c r="I1202" s="220" t="str">
        <f>IF(ISBLANK(input!I307),"",input!I307)</f>
        <v/>
      </c>
      <c r="K1202" s="225" t="s">
        <v>4159</v>
      </c>
      <c r="O1202" s="225" t="s">
        <v>4159</v>
      </c>
    </row>
    <row r="1203" spans="1:15" ht="12.75" customHeight="1" x14ac:dyDescent="0.3">
      <c r="A1203" s="797"/>
      <c r="B1203" s="797" t="s">
        <v>1351</v>
      </c>
      <c r="C1203" s="797"/>
      <c r="D1203" s="797"/>
      <c r="E1203" s="797"/>
      <c r="F1203" s="797"/>
      <c r="G1203" s="796" t="s">
        <v>2154</v>
      </c>
      <c r="H1203" s="796" t="s">
        <v>866</v>
      </c>
      <c r="I1203" s="220" t="str">
        <f>IF(ISBLANK(continental!I247),"",continental!I247)</f>
        <v/>
      </c>
      <c r="K1203" s="225" t="s">
        <v>4159</v>
      </c>
      <c r="O1203" s="225" t="s">
        <v>4159</v>
      </c>
    </row>
    <row r="1204" spans="1:15" ht="12.75" customHeight="1" x14ac:dyDescent="0.3">
      <c r="A1204" s="797"/>
      <c r="B1204" s="797" t="s">
        <v>1353</v>
      </c>
      <c r="C1204" s="797"/>
      <c r="D1204" s="797"/>
      <c r="E1204" s="797"/>
      <c r="F1204" s="797"/>
      <c r="G1204" s="797" t="s">
        <v>2155</v>
      </c>
      <c r="H1204" s="797" t="s">
        <v>900</v>
      </c>
      <c r="I1204" s="220" t="str">
        <f>IF(ISBLANK(continental!I248),"",continental!I248)</f>
        <v/>
      </c>
      <c r="K1204" s="225" t="s">
        <v>4159</v>
      </c>
      <c r="O1204" s="225" t="s">
        <v>4159</v>
      </c>
    </row>
    <row r="1205" spans="1:15" ht="12.75" customHeight="1" x14ac:dyDescent="0.3">
      <c r="A1205" s="797"/>
      <c r="B1205" s="797" t="s">
        <v>1355</v>
      </c>
      <c r="C1205" s="797"/>
      <c r="D1205" s="797"/>
      <c r="E1205" s="797"/>
      <c r="F1205" s="797"/>
      <c r="G1205" s="796" t="s">
        <v>2156</v>
      </c>
      <c r="H1205" s="796" t="s">
        <v>291</v>
      </c>
      <c r="I1205" s="220" t="str">
        <f>IF(ISBLANK(continental!I249),"",continental!I249)</f>
        <v/>
      </c>
      <c r="K1205" s="225" t="s">
        <v>4159</v>
      </c>
      <c r="O1205" s="225" t="s">
        <v>4159</v>
      </c>
    </row>
    <row r="1206" spans="1:15" ht="12.75" customHeight="1" x14ac:dyDescent="0.3">
      <c r="A1206" s="352" t="s">
        <v>1357</v>
      </c>
      <c r="B1206" s="352"/>
      <c r="C1206" s="352"/>
      <c r="D1206" s="352"/>
      <c r="E1206" s="352"/>
      <c r="F1206" s="352"/>
      <c r="G1206" s="520"/>
      <c r="H1206" s="520"/>
      <c r="I1206" s="220" t="str">
        <f>IF(ISBLANK(continental!I250),"",continental!I250)</f>
        <v/>
      </c>
      <c r="K1206" s="225" t="s">
        <v>4159</v>
      </c>
      <c r="O1206" s="225" t="s">
        <v>4159</v>
      </c>
    </row>
    <row r="1207" spans="1:15" ht="12.75" customHeight="1" x14ac:dyDescent="0.3">
      <c r="A1207" s="797" t="s">
        <v>1358</v>
      </c>
      <c r="B1207" s="797"/>
      <c r="C1207" s="797"/>
      <c r="D1207" s="797"/>
      <c r="E1207" s="797"/>
      <c r="F1207" s="797"/>
      <c r="G1207" s="797" t="s">
        <v>2157</v>
      </c>
      <c r="H1207" s="797" t="s">
        <v>335</v>
      </c>
      <c r="I1207" s="220" t="str">
        <f>IF(ISBLANK(continental!I251),"",continental!I251)</f>
        <v/>
      </c>
      <c r="K1207" s="225" t="s">
        <v>4159</v>
      </c>
      <c r="O1207" s="225" t="s">
        <v>4159</v>
      </c>
    </row>
    <row r="1208" spans="1:15" ht="12.75" customHeight="1" x14ac:dyDescent="0.3">
      <c r="A1208" s="797"/>
      <c r="B1208" s="797" t="s">
        <v>1360</v>
      </c>
      <c r="C1208" s="797"/>
      <c r="D1208" s="797"/>
      <c r="E1208" s="797"/>
      <c r="F1208" s="797"/>
      <c r="G1208" s="797" t="s">
        <v>2158</v>
      </c>
      <c r="H1208" s="797" t="s">
        <v>708</v>
      </c>
      <c r="I1208" s="220" t="str">
        <f>IF(ISBLANK(continental!I252),"",continental!I252)</f>
        <v/>
      </c>
      <c r="K1208" s="225" t="s">
        <v>4159</v>
      </c>
      <c r="O1208" s="225" t="s">
        <v>4159</v>
      </c>
    </row>
    <row r="1209" spans="1:15" ht="12.75" customHeight="1" x14ac:dyDescent="0.3">
      <c r="A1209" s="797"/>
      <c r="B1209" s="797" t="s">
        <v>1362</v>
      </c>
      <c r="C1209" s="797"/>
      <c r="D1209" s="797"/>
      <c r="E1209" s="797"/>
      <c r="F1209" s="797"/>
      <c r="G1209" s="797" t="s">
        <v>2159</v>
      </c>
      <c r="H1209" s="797" t="s">
        <v>335</v>
      </c>
      <c r="I1209" s="220" t="str">
        <f>IF(ISBLANK(continental!I253),"",continental!I253)</f>
        <v/>
      </c>
      <c r="K1209" s="225" t="s">
        <v>4159</v>
      </c>
      <c r="O1209" s="225" t="s">
        <v>4159</v>
      </c>
    </row>
    <row r="1210" spans="1:15" ht="12.75" customHeight="1" x14ac:dyDescent="0.3">
      <c r="A1210" s="797"/>
      <c r="B1210" s="797"/>
      <c r="C1210" s="797" t="s">
        <v>1364</v>
      </c>
      <c r="D1210" s="797"/>
      <c r="E1210" s="797"/>
      <c r="F1210" s="797"/>
      <c r="G1210" s="796" t="s">
        <v>2160</v>
      </c>
      <c r="H1210" s="796" t="s">
        <v>335</v>
      </c>
      <c r="I1210" s="220" t="str">
        <f>IF(ISBLANK(continental!I254),"",continental!I254)</f>
        <v/>
      </c>
      <c r="K1210" s="225" t="s">
        <v>4159</v>
      </c>
      <c r="O1210" s="225" t="s">
        <v>4159</v>
      </c>
    </row>
    <row r="1211" spans="1:15" ht="12.75" customHeight="1" x14ac:dyDescent="0.3">
      <c r="A1211" s="797"/>
      <c r="B1211" s="797"/>
      <c r="C1211" s="797"/>
      <c r="D1211" s="797" t="s">
        <v>1366</v>
      </c>
      <c r="E1211" s="797"/>
      <c r="F1211" s="797"/>
      <c r="G1211" s="797" t="s">
        <v>2161</v>
      </c>
      <c r="H1211" s="797" t="s">
        <v>335</v>
      </c>
      <c r="I1211" s="220" t="str">
        <f>IF(ISBLANK(continental!I255),"",continental!I255)</f>
        <v/>
      </c>
      <c r="K1211" s="225" t="s">
        <v>4159</v>
      </c>
      <c r="O1211" s="225" t="s">
        <v>4159</v>
      </c>
    </row>
    <row r="1212" spans="1:15" ht="12.75" customHeight="1" x14ac:dyDescent="0.3">
      <c r="A1212" s="797" t="s">
        <v>1369</v>
      </c>
      <c r="B1212" s="797"/>
      <c r="C1212" s="797"/>
      <c r="D1212" s="797"/>
      <c r="E1212" s="797"/>
      <c r="F1212" s="797"/>
      <c r="G1212" s="796" t="s">
        <v>2162</v>
      </c>
      <c r="H1212" s="796" t="s">
        <v>335</v>
      </c>
      <c r="I1212" s="220" t="str">
        <f>IF(ISBLANK(continental!I256),"",continental!I256)</f>
        <v/>
      </c>
      <c r="K1212" s="225" t="s">
        <v>4159</v>
      </c>
      <c r="O1212" s="225" t="s">
        <v>4159</v>
      </c>
    </row>
    <row r="1213" spans="1:15" ht="12.75" customHeight="1" x14ac:dyDescent="0.3">
      <c r="A1213" s="797"/>
      <c r="B1213" s="797" t="s">
        <v>1371</v>
      </c>
      <c r="C1213" s="797"/>
      <c r="D1213" s="797"/>
      <c r="E1213" s="797"/>
      <c r="F1213" s="797"/>
      <c r="G1213" s="796" t="s">
        <v>2163</v>
      </c>
      <c r="H1213" s="796" t="s">
        <v>708</v>
      </c>
      <c r="I1213" s="220" t="str">
        <f>IF(ISBLANK(continental!I257),"",continental!I257)</f>
        <v/>
      </c>
      <c r="K1213" s="225" t="s">
        <v>4159</v>
      </c>
      <c r="O1213" s="225" t="s">
        <v>4159</v>
      </c>
    </row>
    <row r="1214" spans="1:15" ht="12.75" customHeight="1" x14ac:dyDescent="0.3">
      <c r="A1214" s="797"/>
      <c r="B1214" s="797" t="s">
        <v>1374</v>
      </c>
      <c r="C1214" s="797"/>
      <c r="D1214" s="797"/>
      <c r="E1214" s="797"/>
      <c r="F1214" s="797"/>
      <c r="G1214" s="796" t="s">
        <v>2164</v>
      </c>
      <c r="H1214" s="796" t="s">
        <v>335</v>
      </c>
      <c r="I1214" s="220" t="str">
        <f>IF(ISBLANK(continental!I258),"",continental!I258)</f>
        <v/>
      </c>
      <c r="K1214" s="225" t="s">
        <v>4159</v>
      </c>
      <c r="O1214" s="225" t="s">
        <v>4159</v>
      </c>
    </row>
    <row r="1215" spans="1:15" ht="12.75" customHeight="1" x14ac:dyDescent="0.3">
      <c r="A1215" s="797"/>
      <c r="B1215" s="797"/>
      <c r="C1215" s="797" t="s">
        <v>1364</v>
      </c>
      <c r="D1215" s="797"/>
      <c r="E1215" s="797"/>
      <c r="F1215" s="797"/>
      <c r="G1215" s="796" t="s">
        <v>2165</v>
      </c>
      <c r="H1215" s="796" t="s">
        <v>335</v>
      </c>
      <c r="I1215" s="220" t="str">
        <f>IF(ISBLANK(continental!I259),"",continental!I259)</f>
        <v/>
      </c>
      <c r="K1215" s="225" t="s">
        <v>4159</v>
      </c>
      <c r="O1215" s="225" t="s">
        <v>4159</v>
      </c>
    </row>
    <row r="1216" spans="1:15" ht="12.75" customHeight="1" x14ac:dyDescent="0.3">
      <c r="A1216" s="797"/>
      <c r="B1216" s="797"/>
      <c r="C1216" s="797"/>
      <c r="D1216" s="797" t="s">
        <v>1377</v>
      </c>
      <c r="E1216" s="797"/>
      <c r="F1216" s="797"/>
      <c r="G1216" s="796" t="s">
        <v>2166</v>
      </c>
      <c r="H1216" s="796" t="s">
        <v>335</v>
      </c>
      <c r="I1216" s="220" t="str">
        <f>IF(ISBLANK(continental!I260),"",continental!I260)</f>
        <v/>
      </c>
      <c r="K1216" s="225" t="s">
        <v>4159</v>
      </c>
      <c r="O1216" s="225" t="s">
        <v>4159</v>
      </c>
    </row>
    <row r="1217" spans="1:15" ht="12.75" customHeight="1" x14ac:dyDescent="0.3">
      <c r="A1217" s="797" t="s">
        <v>1380</v>
      </c>
      <c r="B1217" s="797"/>
      <c r="C1217" s="797"/>
      <c r="D1217" s="797"/>
      <c r="E1217" s="797"/>
      <c r="F1217" s="797"/>
      <c r="G1217" s="796" t="s">
        <v>2167</v>
      </c>
      <c r="H1217" s="796" t="s">
        <v>335</v>
      </c>
      <c r="I1217" s="220" t="str">
        <f>IF(ISBLANK(continental!I261),"",continental!I261)</f>
        <v/>
      </c>
      <c r="K1217" s="225" t="s">
        <v>4159</v>
      </c>
      <c r="O1217" s="225" t="s">
        <v>4159</v>
      </c>
    </row>
    <row r="1218" spans="1:15" ht="12.75" customHeight="1" x14ac:dyDescent="0.3">
      <c r="A1218" s="797"/>
      <c r="B1218" s="797" t="s">
        <v>1382</v>
      </c>
      <c r="C1218" s="797"/>
      <c r="D1218" s="797"/>
      <c r="E1218" s="797"/>
      <c r="F1218" s="797"/>
      <c r="G1218" s="796" t="s">
        <v>2168</v>
      </c>
      <c r="H1218" s="796" t="s">
        <v>708</v>
      </c>
      <c r="I1218" s="220" t="str">
        <f>IF(ISBLANK(continental!I262),"",continental!I262)</f>
        <v/>
      </c>
      <c r="K1218" s="225" t="s">
        <v>4159</v>
      </c>
      <c r="O1218" s="225" t="s">
        <v>4159</v>
      </c>
    </row>
    <row r="1219" spans="1:15" ht="12.75" customHeight="1" x14ac:dyDescent="0.3">
      <c r="A1219" s="797"/>
      <c r="B1219" s="797" t="s">
        <v>1385</v>
      </c>
      <c r="C1219" s="797"/>
      <c r="D1219" s="797"/>
      <c r="E1219" s="797"/>
      <c r="F1219" s="797"/>
      <c r="G1219" s="796" t="s">
        <v>2169</v>
      </c>
      <c r="H1219" s="796" t="s">
        <v>335</v>
      </c>
      <c r="I1219" s="220" t="str">
        <f>IF(ISBLANK(continental!I263),"",continental!I263)</f>
        <v/>
      </c>
      <c r="K1219" s="225" t="s">
        <v>4159</v>
      </c>
      <c r="O1219" s="225" t="s">
        <v>4159</v>
      </c>
    </row>
    <row r="1220" spans="1:15" ht="12.75" customHeight="1" x14ac:dyDescent="0.3">
      <c r="A1220" s="797"/>
      <c r="B1220" s="797"/>
      <c r="C1220" s="797" t="s">
        <v>1364</v>
      </c>
      <c r="D1220" s="797"/>
      <c r="E1220" s="797"/>
      <c r="F1220" s="797"/>
      <c r="G1220" s="796" t="s">
        <v>2170</v>
      </c>
      <c r="H1220" s="796" t="s">
        <v>335</v>
      </c>
      <c r="I1220" s="220" t="str">
        <f>IF(ISBLANK(continental!I264),"",continental!I264)</f>
        <v/>
      </c>
      <c r="K1220" s="225" t="s">
        <v>4159</v>
      </c>
      <c r="O1220" s="225" t="s">
        <v>4159</v>
      </c>
    </row>
    <row r="1221" spans="1:15" ht="12.75" customHeight="1" x14ac:dyDescent="0.3">
      <c r="A1221" s="797"/>
      <c r="B1221" s="797"/>
      <c r="C1221" s="797"/>
      <c r="D1221" s="797" t="s">
        <v>1388</v>
      </c>
      <c r="E1221" s="797"/>
      <c r="F1221" s="797"/>
      <c r="G1221" s="796" t="s">
        <v>2171</v>
      </c>
      <c r="H1221" s="796" t="s">
        <v>335</v>
      </c>
      <c r="I1221" s="220" t="str">
        <f>IF(ISBLANK(continental!I265),"",continental!I265)</f>
        <v/>
      </c>
      <c r="K1221" s="225" t="s">
        <v>4159</v>
      </c>
      <c r="O1221" s="225" t="s">
        <v>4159</v>
      </c>
    </row>
    <row r="1222" spans="1:15" ht="12.75" customHeight="1" x14ac:dyDescent="0.3">
      <c r="A1222" s="797"/>
      <c r="B1222" s="797"/>
      <c r="C1222" s="797" t="s">
        <v>1390</v>
      </c>
      <c r="D1222" s="797"/>
      <c r="E1222" s="797"/>
      <c r="F1222" s="797"/>
      <c r="G1222" s="797" t="s">
        <v>2172</v>
      </c>
      <c r="H1222" s="797" t="s">
        <v>335</v>
      </c>
      <c r="I1222" s="220" t="str">
        <f>IF(ISBLANK(continental!I266),"",continental!I266)</f>
        <v/>
      </c>
      <c r="K1222" s="225" t="s">
        <v>4159</v>
      </c>
      <c r="O1222" s="225" t="s">
        <v>4159</v>
      </c>
    </row>
    <row r="1223" spans="1:15" ht="12.75" customHeight="1" x14ac:dyDescent="0.3">
      <c r="A1223" s="797"/>
      <c r="B1223" s="797"/>
      <c r="C1223" s="797" t="s">
        <v>1392</v>
      </c>
      <c r="D1223" s="797"/>
      <c r="E1223" s="797"/>
      <c r="F1223" s="797"/>
      <c r="G1223" s="796" t="s">
        <v>2173</v>
      </c>
      <c r="H1223" s="796" t="s">
        <v>335</v>
      </c>
      <c r="I1223" s="220" t="str">
        <f>IF(ISBLANK(continental!I267),"",continental!I267)</f>
        <v/>
      </c>
      <c r="K1223" s="225" t="s">
        <v>4159</v>
      </c>
      <c r="O1223" s="225" t="s">
        <v>4159</v>
      </c>
    </row>
    <row r="1224" spans="1:15" ht="12.75" customHeight="1" x14ac:dyDescent="0.3">
      <c r="A1224" s="352" t="s">
        <v>1394</v>
      </c>
      <c r="B1224" s="352"/>
      <c r="C1224" s="352"/>
      <c r="D1224" s="352"/>
      <c r="E1224" s="352"/>
      <c r="F1224" s="352"/>
      <c r="G1224" s="520"/>
      <c r="H1224" s="520"/>
      <c r="I1224" s="220" t="str">
        <f>IF(ISBLANK(continental!I268),"",continental!I268)</f>
        <v/>
      </c>
      <c r="K1224" s="225" t="s">
        <v>4159</v>
      </c>
      <c r="O1224" s="225" t="s">
        <v>4159</v>
      </c>
    </row>
    <row r="1225" spans="1:15" ht="12.75" customHeight="1" x14ac:dyDescent="0.3">
      <c r="A1225" s="797" t="s">
        <v>1395</v>
      </c>
      <c r="B1225" s="797"/>
      <c r="C1225" s="797"/>
      <c r="D1225" s="797"/>
      <c r="E1225" s="797"/>
      <c r="F1225" s="797"/>
      <c r="G1225" s="796" t="s">
        <v>2174</v>
      </c>
      <c r="H1225" s="796" t="s">
        <v>335</v>
      </c>
      <c r="I1225" s="220" t="str">
        <f>IF(ISBLANK(continental!I269),"",continental!I269)</f>
        <v/>
      </c>
      <c r="K1225" s="225" t="s">
        <v>4159</v>
      </c>
      <c r="O1225" s="225" t="s">
        <v>4159</v>
      </c>
    </row>
    <row r="1226" spans="1:15" ht="12.75" customHeight="1" x14ac:dyDescent="0.3">
      <c r="A1226" s="797"/>
      <c r="B1226" s="797" t="s">
        <v>1397</v>
      </c>
      <c r="C1226" s="797"/>
      <c r="D1226" s="797"/>
      <c r="E1226" s="797"/>
      <c r="F1226" s="797"/>
      <c r="G1226" s="796" t="s">
        <v>2175</v>
      </c>
      <c r="H1226" s="796" t="s">
        <v>708</v>
      </c>
      <c r="I1226" s="220" t="str">
        <f>IF(ISBLANK(continental!I270),"",continental!I270)</f>
        <v/>
      </c>
      <c r="K1226" s="225" t="s">
        <v>4159</v>
      </c>
      <c r="O1226" s="225" t="s">
        <v>4159</v>
      </c>
    </row>
    <row r="1227" spans="1:15" ht="12.75" customHeight="1" x14ac:dyDescent="0.3">
      <c r="A1227" s="797"/>
      <c r="B1227" s="797" t="s">
        <v>1400</v>
      </c>
      <c r="C1227" s="797"/>
      <c r="D1227" s="797"/>
      <c r="E1227" s="797"/>
      <c r="F1227" s="797"/>
      <c r="G1227" s="796" t="s">
        <v>2176</v>
      </c>
      <c r="H1227" s="797" t="s">
        <v>335</v>
      </c>
      <c r="I1227" s="220" t="str">
        <f>IF(ISBLANK(continental!I271),"",continental!I271)</f>
        <v/>
      </c>
      <c r="K1227" s="225" t="s">
        <v>4159</v>
      </c>
      <c r="O1227" s="225" t="s">
        <v>4159</v>
      </c>
    </row>
    <row r="1228" spans="1:15" ht="12.75" customHeight="1" x14ac:dyDescent="0.3">
      <c r="A1228" s="797"/>
      <c r="B1228" s="797"/>
      <c r="C1228" s="797" t="s">
        <v>1402</v>
      </c>
      <c r="D1228" s="797"/>
      <c r="E1228" s="797"/>
      <c r="F1228" s="797"/>
      <c r="G1228" s="796" t="s">
        <v>2177</v>
      </c>
      <c r="H1228" s="796" t="s">
        <v>335</v>
      </c>
      <c r="I1228" s="220" t="str">
        <f>IF(ISBLANK(continental!I272),"",continental!I272)</f>
        <v/>
      </c>
      <c r="K1228" s="225" t="s">
        <v>4159</v>
      </c>
      <c r="O1228" s="225" t="s">
        <v>4159</v>
      </c>
    </row>
    <row r="1229" spans="1:15" ht="12.75" customHeight="1" x14ac:dyDescent="0.3">
      <c r="A1229" s="797" t="s">
        <v>1404</v>
      </c>
      <c r="B1229" s="797"/>
      <c r="C1229" s="797"/>
      <c r="D1229" s="797"/>
      <c r="E1229" s="797"/>
      <c r="F1229" s="797"/>
      <c r="G1229" s="796" t="s">
        <v>2178</v>
      </c>
      <c r="H1229" s="796" t="s">
        <v>335</v>
      </c>
      <c r="I1229" s="220" t="str">
        <f>IF(ISBLANK(continental!I273),"",continental!I273)</f>
        <v/>
      </c>
      <c r="K1229" s="225" t="s">
        <v>4159</v>
      </c>
      <c r="O1229" s="225" t="s">
        <v>4159</v>
      </c>
    </row>
    <row r="1230" spans="1:15" ht="12.75" customHeight="1" x14ac:dyDescent="0.3">
      <c r="A1230" s="797"/>
      <c r="B1230" s="797" t="s">
        <v>1406</v>
      </c>
      <c r="C1230" s="797"/>
      <c r="D1230" s="797"/>
      <c r="E1230" s="797"/>
      <c r="F1230" s="797"/>
      <c r="G1230" s="796" t="s">
        <v>2179</v>
      </c>
      <c r="H1230" s="796" t="s">
        <v>708</v>
      </c>
      <c r="I1230" s="220" t="str">
        <f>IF(ISBLANK(continental!I274),"",continental!I274)</f>
        <v/>
      </c>
      <c r="K1230" s="225" t="s">
        <v>4159</v>
      </c>
      <c r="O1230" s="225" t="s">
        <v>4159</v>
      </c>
    </row>
    <row r="1231" spans="1:15" ht="12.75" customHeight="1" x14ac:dyDescent="0.3">
      <c r="A1231" s="797"/>
      <c r="B1231" s="797" t="s">
        <v>1409</v>
      </c>
      <c r="C1231" s="797"/>
      <c r="D1231" s="797"/>
      <c r="E1231" s="797"/>
      <c r="F1231" s="797"/>
      <c r="G1231" s="796" t="s">
        <v>2180</v>
      </c>
      <c r="H1231" s="797" t="s">
        <v>335</v>
      </c>
      <c r="I1231" s="220" t="str">
        <f>IF(ISBLANK(continental!I275),"",continental!I275)</f>
        <v/>
      </c>
      <c r="K1231" s="225" t="s">
        <v>4159</v>
      </c>
      <c r="O1231" s="225" t="s">
        <v>4159</v>
      </c>
    </row>
    <row r="1232" spans="1:15" ht="12.75" customHeight="1" x14ac:dyDescent="0.3">
      <c r="A1232" s="797"/>
      <c r="B1232" s="797"/>
      <c r="C1232" s="797" t="s">
        <v>1402</v>
      </c>
      <c r="D1232" s="797"/>
      <c r="E1232" s="797"/>
      <c r="F1232" s="797"/>
      <c r="G1232" s="796" t="s">
        <v>2181</v>
      </c>
      <c r="H1232" s="796" t="s">
        <v>335</v>
      </c>
      <c r="I1232" s="220" t="str">
        <f>IF(ISBLANK(continental!I276),"",continental!I276)</f>
        <v/>
      </c>
      <c r="J1232" s="211"/>
      <c r="K1232" s="225" t="s">
        <v>4159</v>
      </c>
      <c r="O1232" s="225" t="s">
        <v>4159</v>
      </c>
    </row>
    <row r="1233" spans="1:15" ht="12.75" customHeight="1" x14ac:dyDescent="0.3">
      <c r="A1233" s="797" t="s">
        <v>1412</v>
      </c>
      <c r="B1233" s="797"/>
      <c r="C1233" s="797"/>
      <c r="D1233" s="797"/>
      <c r="E1233" s="797"/>
      <c r="F1233" s="797"/>
      <c r="G1233" s="796" t="s">
        <v>2182</v>
      </c>
      <c r="H1233" s="796" t="s">
        <v>335</v>
      </c>
      <c r="I1233" s="220" t="str">
        <f>IF(ISBLANK(continental!I277),"",continental!I277)</f>
        <v/>
      </c>
      <c r="J1233" s="353"/>
      <c r="K1233" s="225" t="s">
        <v>4159</v>
      </c>
      <c r="O1233" s="225" t="s">
        <v>4159</v>
      </c>
    </row>
    <row r="1234" spans="1:15" ht="12.75" customHeight="1" x14ac:dyDescent="0.3">
      <c r="A1234" s="797"/>
      <c r="B1234" s="797" t="s">
        <v>1406</v>
      </c>
      <c r="C1234" s="797"/>
      <c r="D1234" s="797"/>
      <c r="E1234" s="797"/>
      <c r="F1234" s="797"/>
      <c r="G1234" s="796" t="s">
        <v>2183</v>
      </c>
      <c r="H1234" s="796" t="s">
        <v>708</v>
      </c>
      <c r="I1234" s="220" t="str">
        <f>IF(ISBLANK(continental!I278),"",continental!I278)</f>
        <v/>
      </c>
      <c r="J1234" s="211"/>
      <c r="K1234" s="225" t="s">
        <v>4159</v>
      </c>
      <c r="O1234" s="225" t="s">
        <v>4159</v>
      </c>
    </row>
    <row r="1235" spans="1:15" ht="12.75" customHeight="1" x14ac:dyDescent="0.3">
      <c r="A1235" s="797"/>
      <c r="B1235" s="797" t="s">
        <v>1417</v>
      </c>
      <c r="C1235" s="797"/>
      <c r="D1235" s="797"/>
      <c r="E1235" s="797"/>
      <c r="F1235" s="797"/>
      <c r="G1235" s="796" t="s">
        <v>2184</v>
      </c>
      <c r="H1235" s="797" t="s">
        <v>335</v>
      </c>
      <c r="I1235" s="220" t="str">
        <f>IF(ISBLANK(continental!I279),"",continental!I279)</f>
        <v/>
      </c>
      <c r="K1235" s="225" t="s">
        <v>4159</v>
      </c>
      <c r="O1235" s="225" t="s">
        <v>4159</v>
      </c>
    </row>
    <row r="1236" spans="1:15" ht="12.75" customHeight="1" x14ac:dyDescent="0.3">
      <c r="A1236" s="797"/>
      <c r="B1236" s="797"/>
      <c r="C1236" s="797" t="s">
        <v>1402</v>
      </c>
      <c r="D1236" s="797"/>
      <c r="E1236" s="797"/>
      <c r="F1236" s="797"/>
      <c r="G1236" s="796" t="s">
        <v>2185</v>
      </c>
      <c r="H1236" s="796" t="s">
        <v>335</v>
      </c>
      <c r="I1236" s="220" t="str">
        <f>IF(ISBLANK(continental!I280),"",continental!I280)</f>
        <v/>
      </c>
      <c r="K1236" s="225" t="s">
        <v>4159</v>
      </c>
      <c r="O1236" s="225" t="s">
        <v>4159</v>
      </c>
    </row>
    <row r="1237" spans="1:15" ht="12.75" customHeight="1" x14ac:dyDescent="0.3">
      <c r="A1237" s="797"/>
      <c r="B1237" s="797"/>
      <c r="C1237" s="797" t="s">
        <v>1420</v>
      </c>
      <c r="D1237" s="797"/>
      <c r="E1237" s="797"/>
      <c r="F1237" s="797"/>
      <c r="G1237" s="796" t="s">
        <v>2186</v>
      </c>
      <c r="H1237" s="796" t="s">
        <v>335</v>
      </c>
      <c r="I1237" s="220" t="str">
        <f>IF(ISBLANK(continental!I281),"",continental!I281)</f>
        <v/>
      </c>
      <c r="K1237" s="225" t="s">
        <v>4159</v>
      </c>
      <c r="O1237" s="225" t="s">
        <v>4159</v>
      </c>
    </row>
    <row r="1238" spans="1:15" ht="12.75" customHeight="1" x14ac:dyDescent="0.3">
      <c r="A1238" s="797"/>
      <c r="B1238" s="797"/>
      <c r="C1238" s="797" t="s">
        <v>2187</v>
      </c>
      <c r="D1238" s="797"/>
      <c r="E1238" s="797"/>
      <c r="F1238" s="797"/>
      <c r="G1238" s="796" t="s">
        <v>2188</v>
      </c>
      <c r="H1238" s="796" t="s">
        <v>335</v>
      </c>
      <c r="I1238" s="220" t="str">
        <f>IF(ISBLANK(continental!I282),"",continental!I282)</f>
        <v/>
      </c>
      <c r="K1238" s="225" t="s">
        <v>4159</v>
      </c>
      <c r="O1238" s="225" t="s">
        <v>4159</v>
      </c>
    </row>
    <row r="1239" spans="1:15" ht="12.75" customHeight="1" x14ac:dyDescent="0.3">
      <c r="A1239" s="352" t="s">
        <v>1424</v>
      </c>
      <c r="I1239" s="220" t="str">
        <f>IF(ISBLANK(continental!I283),"",continental!I283)</f>
        <v/>
      </c>
      <c r="K1239" s="225" t="s">
        <v>4159</v>
      </c>
      <c r="O1239" s="225" t="s">
        <v>4159</v>
      </c>
    </row>
    <row r="1240" spans="1:15" ht="12.75" customHeight="1" x14ac:dyDescent="0.3">
      <c r="A1240" s="797" t="s">
        <v>1425</v>
      </c>
      <c r="B1240" s="797"/>
      <c r="C1240" s="797"/>
      <c r="D1240" s="797"/>
      <c r="E1240" s="797"/>
      <c r="F1240" s="797"/>
      <c r="G1240" s="796" t="s">
        <v>2189</v>
      </c>
      <c r="H1240" s="796" t="s">
        <v>335</v>
      </c>
      <c r="I1240" s="220" t="str">
        <f>IF(ISBLANK(continental!I284),"",continental!I284)</f>
        <v/>
      </c>
      <c r="K1240" s="225" t="s">
        <v>4159</v>
      </c>
      <c r="O1240" s="225" t="s">
        <v>4159</v>
      </c>
    </row>
    <row r="1241" spans="1:15" ht="12.75" customHeight="1" x14ac:dyDescent="0.3">
      <c r="A1241" s="797"/>
      <c r="B1241" s="797" t="s">
        <v>1427</v>
      </c>
      <c r="C1241" s="797"/>
      <c r="D1241" s="797"/>
      <c r="E1241" s="797"/>
      <c r="F1241" s="797"/>
      <c r="G1241" s="797" t="s">
        <v>2191</v>
      </c>
      <c r="H1241" s="797" t="s">
        <v>708</v>
      </c>
      <c r="I1241" s="220" t="str">
        <f>IF(ISBLANK(continental!I285),"",continental!I285)</f>
        <v/>
      </c>
      <c r="K1241" s="225" t="s">
        <v>4159</v>
      </c>
      <c r="O1241" s="225" t="s">
        <v>4159</v>
      </c>
    </row>
    <row r="1242" spans="1:15" ht="12.75" customHeight="1" x14ac:dyDescent="0.3">
      <c r="A1242" s="797" t="s">
        <v>1430</v>
      </c>
      <c r="B1242" s="797"/>
      <c r="C1242" s="797"/>
      <c r="D1242" s="797"/>
      <c r="E1242" s="797"/>
      <c r="F1242" s="797"/>
      <c r="G1242" s="796" t="s">
        <v>2193</v>
      </c>
      <c r="H1242" s="796" t="s">
        <v>335</v>
      </c>
      <c r="I1242" s="220" t="str">
        <f>IF(ISBLANK(continental!I286),"",continental!I286)</f>
        <v/>
      </c>
      <c r="K1242" s="225" t="s">
        <v>4159</v>
      </c>
      <c r="O1242" s="225" t="s">
        <v>4159</v>
      </c>
    </row>
    <row r="1243" spans="1:15" ht="12.75" customHeight="1" x14ac:dyDescent="0.3">
      <c r="A1243" s="797"/>
      <c r="B1243" s="797" t="s">
        <v>1432</v>
      </c>
      <c r="C1243" s="797"/>
      <c r="D1243" s="797"/>
      <c r="E1243" s="797"/>
      <c r="F1243" s="797"/>
      <c r="G1243" s="796" t="s">
        <v>2194</v>
      </c>
      <c r="H1243" s="796" t="s">
        <v>708</v>
      </c>
      <c r="I1243" s="220" t="str">
        <f>IF(ISBLANK(continental!I287),"",continental!I287)</f>
        <v/>
      </c>
      <c r="K1243" s="225" t="s">
        <v>4159</v>
      </c>
      <c r="O1243" s="225" t="s">
        <v>4159</v>
      </c>
    </row>
    <row r="1244" spans="1:15" ht="12.75" customHeight="1" x14ac:dyDescent="0.3">
      <c r="A1244" s="797" t="s">
        <v>1434</v>
      </c>
      <c r="B1244" s="797"/>
      <c r="C1244" s="797"/>
      <c r="D1244" s="797"/>
      <c r="E1244" s="797"/>
      <c r="F1244" s="797"/>
      <c r="G1244" s="796" t="s">
        <v>2195</v>
      </c>
      <c r="H1244" s="796" t="s">
        <v>335</v>
      </c>
      <c r="I1244" s="220" t="str">
        <f>IF(ISBLANK(continental!I288),"",continental!I288)</f>
        <v/>
      </c>
      <c r="K1244" s="225" t="s">
        <v>4159</v>
      </c>
      <c r="O1244" s="225" t="s">
        <v>4159</v>
      </c>
    </row>
    <row r="1245" spans="1:15" ht="12.75" customHeight="1" x14ac:dyDescent="0.3">
      <c r="A1245" s="797"/>
      <c r="B1245" s="797" t="s">
        <v>1436</v>
      </c>
      <c r="C1245" s="797"/>
      <c r="D1245" s="797"/>
      <c r="E1245" s="797"/>
      <c r="F1245" s="797"/>
      <c r="G1245" s="796" t="s">
        <v>2196</v>
      </c>
      <c r="H1245" s="796" t="s">
        <v>708</v>
      </c>
      <c r="I1245" s="220" t="str">
        <f>IF(ISBLANK(continental!I289),"",continental!I289)</f>
        <v/>
      </c>
      <c r="K1245" s="225" t="s">
        <v>4159</v>
      </c>
      <c r="O1245" s="225" t="s">
        <v>4159</v>
      </c>
    </row>
    <row r="1246" spans="1:15" ht="12.75" customHeight="1" x14ac:dyDescent="0.3">
      <c r="A1246" s="797"/>
      <c r="B1246" s="797"/>
      <c r="C1246" s="797" t="s">
        <v>1390</v>
      </c>
      <c r="D1246" s="797"/>
      <c r="E1246" s="797"/>
      <c r="F1246" s="797"/>
      <c r="G1246" s="797" t="s">
        <v>2197</v>
      </c>
      <c r="H1246" s="797" t="s">
        <v>335</v>
      </c>
      <c r="I1246" s="220" t="str">
        <f>IF(ISBLANK(continental!I290),"",continental!I290)</f>
        <v/>
      </c>
      <c r="K1246" s="225" t="s">
        <v>4159</v>
      </c>
      <c r="O1246" s="225" t="s">
        <v>4159</v>
      </c>
    </row>
    <row r="1247" spans="1:15" ht="12.75" customHeight="1" x14ac:dyDescent="0.3">
      <c r="A1247" s="797"/>
      <c r="B1247" s="797"/>
      <c r="C1247" s="797" t="s">
        <v>1392</v>
      </c>
      <c r="D1247" s="797"/>
      <c r="E1247" s="797"/>
      <c r="F1247" s="797"/>
      <c r="G1247" s="796" t="s">
        <v>2198</v>
      </c>
      <c r="H1247" s="796" t="s">
        <v>335</v>
      </c>
      <c r="I1247" s="220" t="str">
        <f>IF(ISBLANK(continental!I291),"",continental!I291)</f>
        <v/>
      </c>
      <c r="K1247" s="225" t="s">
        <v>4159</v>
      </c>
      <c r="O1247" s="225" t="s">
        <v>4159</v>
      </c>
    </row>
    <row r="1248" spans="1:15" ht="12.75" customHeight="1" x14ac:dyDescent="0.3">
      <c r="A1248" s="352" t="s">
        <v>1440</v>
      </c>
      <c r="I1248" s="220" t="str">
        <f>IF(ISBLANK(continental!I292),"",continental!I292)</f>
        <v/>
      </c>
      <c r="K1248" s="225" t="s">
        <v>4159</v>
      </c>
      <c r="O1248" s="225" t="s">
        <v>4159</v>
      </c>
    </row>
    <row r="1249" spans="1:15" ht="12.75" customHeight="1" x14ac:dyDescent="0.3">
      <c r="A1249" s="797" t="s">
        <v>2199</v>
      </c>
      <c r="B1249" s="797"/>
      <c r="C1249" s="797"/>
      <c r="D1249" s="797"/>
      <c r="E1249" s="797"/>
      <c r="F1249" s="797"/>
      <c r="G1249" s="796" t="s">
        <v>2200</v>
      </c>
      <c r="H1249" s="796" t="s">
        <v>335</v>
      </c>
      <c r="I1249" s="220" t="str">
        <f>IF(ISBLANK(continental!I293),"",continental!I293)</f>
        <v/>
      </c>
      <c r="K1249" s="225" t="s">
        <v>4159</v>
      </c>
      <c r="O1249" s="225" t="s">
        <v>4159</v>
      </c>
    </row>
    <row r="1250" spans="1:15" ht="12.75" customHeight="1" x14ac:dyDescent="0.3">
      <c r="A1250" s="797" t="s">
        <v>2201</v>
      </c>
      <c r="B1250" s="797"/>
      <c r="C1250" s="797"/>
      <c r="D1250" s="797"/>
      <c r="E1250" s="797"/>
      <c r="F1250" s="797"/>
      <c r="G1250" s="796" t="s">
        <v>2202</v>
      </c>
      <c r="H1250" s="796" t="s">
        <v>335</v>
      </c>
      <c r="I1250" s="220" t="str">
        <f>IF(ISBLANK(continental!I294),"",continental!I294)</f>
        <v/>
      </c>
      <c r="K1250" s="225" t="s">
        <v>4159</v>
      </c>
      <c r="O1250" s="225" t="s">
        <v>4159</v>
      </c>
    </row>
    <row r="1251" spans="1:15" ht="12.75" customHeight="1" x14ac:dyDescent="0.3">
      <c r="A1251" s="797" t="s">
        <v>2203</v>
      </c>
      <c r="B1251" s="797"/>
      <c r="C1251" s="797"/>
      <c r="D1251" s="797"/>
      <c r="E1251" s="797"/>
      <c r="F1251" s="797"/>
      <c r="G1251" s="796" t="s">
        <v>2204</v>
      </c>
      <c r="H1251" s="796" t="s">
        <v>335</v>
      </c>
      <c r="I1251" s="220" t="str">
        <f>IF(ISBLANK(continental!I295),"",continental!I295)</f>
        <v/>
      </c>
      <c r="K1251" s="225" t="s">
        <v>4159</v>
      </c>
      <c r="O1251" s="225" t="s">
        <v>4159</v>
      </c>
    </row>
    <row r="1252" spans="1:15" ht="12.75" customHeight="1" x14ac:dyDescent="0.3">
      <c r="A1252" s="797"/>
      <c r="B1252" s="797" t="s">
        <v>1447</v>
      </c>
      <c r="C1252" s="797"/>
      <c r="D1252" s="797"/>
      <c r="E1252" s="797"/>
      <c r="F1252" s="797"/>
      <c r="G1252" s="796" t="s">
        <v>2205</v>
      </c>
      <c r="H1252" s="796" t="s">
        <v>1449</v>
      </c>
      <c r="I1252" s="220" t="str">
        <f>IF(ISBLANK(continental!I296),"",continental!I296)</f>
        <v/>
      </c>
      <c r="K1252" s="225" t="s">
        <v>4159</v>
      </c>
      <c r="O1252" s="225" t="s">
        <v>4159</v>
      </c>
    </row>
    <row r="1253" spans="1:15" ht="12.75" customHeight="1" x14ac:dyDescent="0.3">
      <c r="A1253" s="797"/>
      <c r="B1253" s="797" t="s">
        <v>1450</v>
      </c>
      <c r="C1253" s="797"/>
      <c r="D1253" s="797"/>
      <c r="E1253" s="797"/>
      <c r="F1253" s="797"/>
      <c r="G1253" s="797" t="s">
        <v>2206</v>
      </c>
      <c r="H1253" s="796" t="s">
        <v>866</v>
      </c>
      <c r="I1253" s="220" t="str">
        <f>IF(ISBLANK(continental!I297),"",continental!I297)</f>
        <v/>
      </c>
      <c r="K1253" s="225" t="s">
        <v>4159</v>
      </c>
      <c r="O1253" s="225" t="s">
        <v>4159</v>
      </c>
    </row>
    <row r="1254" spans="1:15" ht="12.75" customHeight="1" x14ac:dyDescent="0.3">
      <c r="A1254" s="797"/>
      <c r="B1254" s="797" t="s">
        <v>1453</v>
      </c>
      <c r="C1254" s="797"/>
      <c r="D1254" s="797"/>
      <c r="E1254" s="797"/>
      <c r="F1254" s="797"/>
      <c r="G1254" s="796" t="s">
        <v>2207</v>
      </c>
      <c r="H1254" s="796" t="s">
        <v>291</v>
      </c>
      <c r="I1254" s="220" t="str">
        <f>IF(ISBLANK(continental!I298),"",continental!I298)</f>
        <v/>
      </c>
      <c r="K1254" s="225" t="s">
        <v>4159</v>
      </c>
      <c r="O1254" s="225" t="s">
        <v>4159</v>
      </c>
    </row>
    <row r="1255" spans="1:15" ht="12.75" customHeight="1" x14ac:dyDescent="0.3">
      <c r="A1255" s="797"/>
      <c r="B1255" s="797"/>
      <c r="C1255" s="797" t="s">
        <v>1455</v>
      </c>
      <c r="D1255" s="797"/>
      <c r="E1255" s="797"/>
      <c r="F1255" s="797"/>
      <c r="G1255" s="796" t="s">
        <v>2208</v>
      </c>
      <c r="H1255" s="796" t="s">
        <v>291</v>
      </c>
      <c r="I1255" s="220" t="str">
        <f>IF(ISBLANK(continental!I299),"",continental!I299)</f>
        <v/>
      </c>
      <c r="K1255" s="225" t="s">
        <v>4159</v>
      </c>
      <c r="O1255" s="225" t="s">
        <v>4159</v>
      </c>
    </row>
    <row r="1256" spans="1:15" ht="12.75" customHeight="1" x14ac:dyDescent="0.3">
      <c r="A1256" s="797"/>
      <c r="B1256" s="797"/>
      <c r="C1256" s="797"/>
      <c r="D1256" s="797" t="s">
        <v>1457</v>
      </c>
      <c r="E1256" s="797"/>
      <c r="F1256" s="797"/>
      <c r="G1256" s="797" t="s">
        <v>2209</v>
      </c>
      <c r="H1256" s="796" t="s">
        <v>291</v>
      </c>
      <c r="I1256" s="220" t="str">
        <f>IF(ISBLANK(continental!I300),"",continental!I300)</f>
        <v/>
      </c>
      <c r="K1256" s="225" t="s">
        <v>4159</v>
      </c>
      <c r="O1256" s="225" t="s">
        <v>4159</v>
      </c>
    </row>
    <row r="1257" spans="1:15" ht="12.75" customHeight="1" x14ac:dyDescent="0.3">
      <c r="A1257" s="797"/>
      <c r="B1257" s="797"/>
      <c r="C1257" s="797"/>
      <c r="D1257" s="797"/>
      <c r="E1257" s="797" t="s">
        <v>1459</v>
      </c>
      <c r="F1257" s="797"/>
      <c r="G1257" s="797" t="s">
        <v>2210</v>
      </c>
      <c r="H1257" s="796" t="s">
        <v>291</v>
      </c>
      <c r="I1257" s="220" t="str">
        <f>IF(ISBLANK(continental!I301),"",continental!I301)</f>
        <v/>
      </c>
      <c r="K1257" s="225" t="s">
        <v>4159</v>
      </c>
      <c r="O1257" s="225" t="s">
        <v>4159</v>
      </c>
    </row>
    <row r="1258" spans="1:15" ht="12.75" customHeight="1" x14ac:dyDescent="0.3">
      <c r="A1258" s="797"/>
      <c r="B1258" s="797"/>
      <c r="C1258" s="797"/>
      <c r="D1258" s="797"/>
      <c r="E1258" s="797"/>
      <c r="F1258" s="797" t="s">
        <v>1461</v>
      </c>
      <c r="G1258" s="797" t="s">
        <v>2211</v>
      </c>
      <c r="H1258" s="796" t="s">
        <v>1463</v>
      </c>
      <c r="I1258" s="220" t="str">
        <f>IF(ISBLANK(continental!I302),"",continental!I302)</f>
        <v/>
      </c>
      <c r="K1258" s="225" t="s">
        <v>4159</v>
      </c>
      <c r="O1258" s="225" t="s">
        <v>4159</v>
      </c>
    </row>
    <row r="1259" spans="1:15" ht="12.75" customHeight="1" x14ac:dyDescent="0.3">
      <c r="A1259" s="797"/>
      <c r="B1259" s="797"/>
      <c r="C1259" s="797" t="s">
        <v>1465</v>
      </c>
      <c r="D1259" s="797"/>
      <c r="E1259" s="797"/>
      <c r="F1259" s="797"/>
      <c r="G1259" s="796" t="s">
        <v>2212</v>
      </c>
      <c r="H1259" s="796" t="s">
        <v>291</v>
      </c>
      <c r="I1259" s="220" t="str">
        <f>IF(ISBLANK(continental!I303),"",continental!I303)</f>
        <v/>
      </c>
      <c r="K1259" s="225" t="s">
        <v>4159</v>
      </c>
      <c r="O1259" s="225" t="s">
        <v>4159</v>
      </c>
    </row>
    <row r="1260" spans="1:15" ht="12.75" customHeight="1" x14ac:dyDescent="0.3">
      <c r="A1260" s="797"/>
      <c r="B1260" s="797"/>
      <c r="C1260" s="797" t="s">
        <v>1467</v>
      </c>
      <c r="D1260" s="797"/>
      <c r="E1260" s="797"/>
      <c r="F1260" s="797"/>
      <c r="G1260" s="796" t="s">
        <v>2213</v>
      </c>
      <c r="H1260" s="796" t="s">
        <v>291</v>
      </c>
      <c r="I1260" s="220" t="str">
        <f>IF(ISBLANK(continental!I304),"",continental!I304)</f>
        <v/>
      </c>
      <c r="K1260" s="225" t="s">
        <v>4159</v>
      </c>
      <c r="O1260" s="225" t="s">
        <v>4159</v>
      </c>
    </row>
    <row r="1261" spans="1:15" ht="12.75" customHeight="1" x14ac:dyDescent="0.3">
      <c r="A1261" s="797"/>
      <c r="B1261" s="797"/>
      <c r="C1261" s="797"/>
      <c r="D1261" s="797" t="s">
        <v>1469</v>
      </c>
      <c r="E1261" s="797"/>
      <c r="F1261" s="797"/>
      <c r="G1261" s="797" t="s">
        <v>2214</v>
      </c>
      <c r="H1261" s="796" t="s">
        <v>291</v>
      </c>
      <c r="I1261" s="220" t="str">
        <f>IF(ISBLANK(continental!I305),"",continental!I305)</f>
        <v/>
      </c>
      <c r="K1261" s="225" t="s">
        <v>4159</v>
      </c>
      <c r="O1261" s="225" t="s">
        <v>4159</v>
      </c>
    </row>
    <row r="1262" spans="1:15" ht="12.75" customHeight="1" x14ac:dyDescent="0.3">
      <c r="A1262" s="797"/>
      <c r="B1262" s="797"/>
      <c r="C1262" s="797"/>
      <c r="D1262" s="797" t="s">
        <v>1471</v>
      </c>
      <c r="E1262" s="797"/>
      <c r="F1262" s="797"/>
      <c r="G1262" s="797" t="s">
        <v>2215</v>
      </c>
      <c r="H1262" s="796" t="s">
        <v>1473</v>
      </c>
      <c r="I1262" s="220" t="str">
        <f>IF(ISBLANK(continental!I306),"",continental!I306)</f>
        <v/>
      </c>
      <c r="K1262" s="225" t="s">
        <v>4159</v>
      </c>
      <c r="O1262" s="225" t="s">
        <v>4159</v>
      </c>
    </row>
    <row r="1263" spans="1:15" ht="12.75" customHeight="1" x14ac:dyDescent="0.3">
      <c r="A1263" s="797"/>
      <c r="B1263" s="797"/>
      <c r="C1263" s="797"/>
      <c r="D1263" s="797" t="s">
        <v>1474</v>
      </c>
      <c r="E1263" s="797"/>
      <c r="F1263" s="797"/>
      <c r="G1263" s="797" t="s">
        <v>2216</v>
      </c>
      <c r="H1263" s="796" t="s">
        <v>291</v>
      </c>
      <c r="I1263" s="220" t="str">
        <f>IF(ISBLANK(continental!I307),"",continental!I307)</f>
        <v/>
      </c>
      <c r="K1263" s="225" t="s">
        <v>4159</v>
      </c>
      <c r="O1263" s="225" t="s">
        <v>4159</v>
      </c>
    </row>
    <row r="1264" spans="1:15" ht="12.75" customHeight="1" x14ac:dyDescent="0.3">
      <c r="A1264" s="797"/>
      <c r="B1264" s="797"/>
      <c r="C1264" s="797"/>
      <c r="D1264" s="797" t="s">
        <v>1476</v>
      </c>
      <c r="E1264" s="797"/>
      <c r="F1264" s="797"/>
      <c r="G1264" s="796" t="s">
        <v>2217</v>
      </c>
      <c r="H1264" s="796" t="s">
        <v>291</v>
      </c>
      <c r="I1264" s="220" t="str">
        <f>IF(ISBLANK(continental!I308),"",continental!I308)</f>
        <v/>
      </c>
      <c r="K1264" s="225" t="s">
        <v>4159</v>
      </c>
      <c r="O1264" s="225" t="s">
        <v>4159</v>
      </c>
    </row>
    <row r="1265" spans="1:15" ht="12.75" customHeight="1" x14ac:dyDescent="0.3">
      <c r="A1265" s="352" t="s">
        <v>1478</v>
      </c>
      <c r="I1265" s="220" t="str">
        <f>IF(ISBLANK(continental!I309),"",continental!I309)</f>
        <v/>
      </c>
      <c r="K1265" s="225" t="s">
        <v>4159</v>
      </c>
      <c r="O1265" s="225" t="s">
        <v>4159</v>
      </c>
    </row>
    <row r="1266" spans="1:15" ht="12.75" customHeight="1" x14ac:dyDescent="0.3">
      <c r="A1266" s="797" t="s">
        <v>1479</v>
      </c>
      <c r="B1266" s="797"/>
      <c r="C1266" s="797"/>
      <c r="D1266" s="797"/>
      <c r="E1266" s="797"/>
      <c r="F1266" s="797"/>
      <c r="G1266" s="796" t="s">
        <v>2218</v>
      </c>
      <c r="H1266" s="796" t="s">
        <v>335</v>
      </c>
      <c r="I1266" s="220" t="str">
        <f>IF(ISBLANK(continental!I310),"",continental!I310)</f>
        <v/>
      </c>
      <c r="K1266" s="225" t="s">
        <v>4159</v>
      </c>
      <c r="O1266" s="225" t="s">
        <v>4159</v>
      </c>
    </row>
    <row r="1267" spans="1:15" ht="12.75" customHeight="1" x14ac:dyDescent="0.3">
      <c r="A1267" s="797" t="s">
        <v>1481</v>
      </c>
      <c r="B1267" s="797"/>
      <c r="C1267" s="797"/>
      <c r="D1267" s="797"/>
      <c r="E1267" s="797"/>
      <c r="F1267" s="797"/>
      <c r="G1267" s="796" t="s">
        <v>2219</v>
      </c>
      <c r="H1267" s="796" t="s">
        <v>335</v>
      </c>
      <c r="I1267" s="220" t="str">
        <f>IF(ISBLANK(continental!I311),"",continental!I311)</f>
        <v/>
      </c>
      <c r="K1267" s="225" t="s">
        <v>4159</v>
      </c>
      <c r="O1267" s="225" t="s">
        <v>4159</v>
      </c>
    </row>
    <row r="1268" spans="1:15" ht="12.75" customHeight="1" x14ac:dyDescent="0.3">
      <c r="A1268" s="797" t="s">
        <v>1483</v>
      </c>
      <c r="B1268" s="797"/>
      <c r="C1268" s="797"/>
      <c r="D1268" s="797"/>
      <c r="E1268" s="797"/>
      <c r="F1268" s="797"/>
      <c r="G1268" s="796" t="s">
        <v>2220</v>
      </c>
      <c r="H1268" s="796" t="s">
        <v>335</v>
      </c>
      <c r="I1268" s="220" t="str">
        <f>IF(ISBLANK(continental!I312),"",continental!I312)</f>
        <v/>
      </c>
      <c r="K1268" s="225" t="s">
        <v>4159</v>
      </c>
      <c r="O1268" s="225" t="s">
        <v>4159</v>
      </c>
    </row>
    <row r="1269" spans="1:15" ht="12.75" customHeight="1" x14ac:dyDescent="0.3">
      <c r="A1269" s="797"/>
      <c r="B1269" s="797" t="s">
        <v>1485</v>
      </c>
      <c r="C1269" s="797"/>
      <c r="D1269" s="797"/>
      <c r="E1269" s="797"/>
      <c r="F1269" s="797"/>
      <c r="G1269" s="796" t="s">
        <v>2221</v>
      </c>
      <c r="H1269" s="796" t="s">
        <v>708</v>
      </c>
      <c r="I1269" s="220" t="str">
        <f>IF(ISBLANK(continental!I313),"",continental!I313)</f>
        <v/>
      </c>
      <c r="K1269" s="225" t="s">
        <v>4159</v>
      </c>
      <c r="O1269" s="225" t="s">
        <v>4159</v>
      </c>
    </row>
    <row r="1270" spans="1:15" ht="12.75" customHeight="1" x14ac:dyDescent="0.3">
      <c r="A1270" s="797"/>
      <c r="B1270" s="797" t="s">
        <v>727</v>
      </c>
      <c r="C1270" s="797"/>
      <c r="D1270" s="797"/>
      <c r="E1270" s="797"/>
      <c r="F1270" s="797"/>
      <c r="G1270" s="796" t="s">
        <v>758</v>
      </c>
      <c r="H1270" s="796" t="s">
        <v>729</v>
      </c>
      <c r="I1270" s="220" t="str">
        <f>IF(ISBLANK(input!I314),"",input!I314)</f>
        <v/>
      </c>
      <c r="K1270" s="225" t="s">
        <v>4159</v>
      </c>
      <c r="O1270" s="225" t="s">
        <v>4159</v>
      </c>
    </row>
    <row r="1271" spans="1:15" ht="12.75" customHeight="1" x14ac:dyDescent="0.3">
      <c r="A1271" s="797"/>
      <c r="B1271" s="797" t="s">
        <v>1390</v>
      </c>
      <c r="C1271" s="797"/>
      <c r="D1271" s="797"/>
      <c r="E1271" s="797"/>
      <c r="F1271" s="797"/>
      <c r="G1271" s="796" t="s">
        <v>2222</v>
      </c>
      <c r="H1271" s="796" t="s">
        <v>335</v>
      </c>
      <c r="I1271" s="220" t="str">
        <f>IF(ISBLANK(continental!I314),"",continental!I314)</f>
        <v/>
      </c>
      <c r="K1271" s="225" t="s">
        <v>4159</v>
      </c>
      <c r="O1271" s="225" t="s">
        <v>4159</v>
      </c>
    </row>
    <row r="1272" spans="1:15" ht="12.75" customHeight="1" x14ac:dyDescent="0.3">
      <c r="A1272" s="797"/>
      <c r="B1272" s="797" t="s">
        <v>1392</v>
      </c>
      <c r="C1272" s="797"/>
      <c r="D1272" s="797"/>
      <c r="E1272" s="797"/>
      <c r="F1272" s="797"/>
      <c r="G1272" s="796" t="s">
        <v>2223</v>
      </c>
      <c r="H1272" s="796" t="s">
        <v>335</v>
      </c>
      <c r="I1272" s="220" t="str">
        <f>IF(ISBLANK(continental!I315),"",continental!I315)</f>
        <v/>
      </c>
      <c r="K1272" s="225" t="s">
        <v>4159</v>
      </c>
      <c r="O1272" s="225" t="s">
        <v>4159</v>
      </c>
    </row>
    <row r="1273" spans="1:15" ht="12.75" customHeight="1" x14ac:dyDescent="0.3">
      <c r="A1273" s="352" t="s">
        <v>1489</v>
      </c>
      <c r="I1273" s="220" t="str">
        <f>IF(ISBLANK(continental!I316),"",continental!I316)</f>
        <v/>
      </c>
      <c r="K1273" s="225" t="s">
        <v>4159</v>
      </c>
      <c r="O1273" s="225" t="s">
        <v>4159</v>
      </c>
    </row>
    <row r="1274" spans="1:15" ht="12.75" customHeight="1" x14ac:dyDescent="0.3">
      <c r="A1274" s="797" t="s">
        <v>1490</v>
      </c>
      <c r="B1274" s="797"/>
      <c r="C1274" s="797"/>
      <c r="D1274" s="797"/>
      <c r="E1274" s="797"/>
      <c r="F1274" s="797"/>
      <c r="G1274" s="796" t="s">
        <v>2224</v>
      </c>
      <c r="H1274" s="796" t="s">
        <v>335</v>
      </c>
      <c r="I1274" s="220" t="str">
        <f>IF(ISBLANK(continental!I317),"",continental!I317)</f>
        <v/>
      </c>
      <c r="K1274" s="225" t="s">
        <v>4159</v>
      </c>
      <c r="O1274" s="225" t="s">
        <v>4159</v>
      </c>
    </row>
    <row r="1275" spans="1:15" ht="12.75" customHeight="1" x14ac:dyDescent="0.3">
      <c r="A1275" s="797"/>
      <c r="B1275" s="797" t="s">
        <v>1492</v>
      </c>
      <c r="C1275" s="797"/>
      <c r="D1275" s="797"/>
      <c r="E1275" s="797"/>
      <c r="F1275" s="797"/>
      <c r="G1275" s="796" t="s">
        <v>2225</v>
      </c>
      <c r="H1275" s="796" t="s">
        <v>1449</v>
      </c>
      <c r="I1275" s="220" t="str">
        <f>IF(ISBLANK(continental!I318),"",continental!I318)</f>
        <v/>
      </c>
      <c r="K1275" s="225" t="s">
        <v>4159</v>
      </c>
      <c r="O1275" s="225" t="s">
        <v>4159</v>
      </c>
    </row>
    <row r="1276" spans="1:15" ht="12.75" customHeight="1" x14ac:dyDescent="0.3">
      <c r="A1276" s="797"/>
      <c r="B1276" s="797" t="s">
        <v>1494</v>
      </c>
      <c r="C1276" s="797"/>
      <c r="D1276" s="797"/>
      <c r="E1276" s="797"/>
      <c r="F1276" s="797"/>
      <c r="G1276" s="797" t="s">
        <v>2226</v>
      </c>
      <c r="H1276" s="796" t="s">
        <v>866</v>
      </c>
      <c r="I1276" s="220" t="str">
        <f>IF(ISBLANK(continental!I319),"",continental!I319)</f>
        <v/>
      </c>
      <c r="K1276" s="225" t="s">
        <v>4159</v>
      </c>
      <c r="O1276" s="225" t="s">
        <v>4159</v>
      </c>
    </row>
    <row r="1277" spans="1:15" ht="12.75" customHeight="1" x14ac:dyDescent="0.3">
      <c r="A1277" s="797"/>
      <c r="B1277" s="797" t="s">
        <v>1453</v>
      </c>
      <c r="C1277" s="797"/>
      <c r="D1277" s="797"/>
      <c r="E1277" s="797"/>
      <c r="F1277" s="797"/>
      <c r="G1277" s="796" t="s">
        <v>2227</v>
      </c>
      <c r="H1277" s="796" t="s">
        <v>291</v>
      </c>
      <c r="I1277" s="220" t="str">
        <f>IF(ISBLANK(continental!I320),"",continental!I320)</f>
        <v/>
      </c>
      <c r="K1277" s="225" t="s">
        <v>4159</v>
      </c>
      <c r="O1277" s="225" t="s">
        <v>4159</v>
      </c>
    </row>
    <row r="1278" spans="1:15" ht="12.75" customHeight="1" x14ac:dyDescent="0.3">
      <c r="A1278" s="797"/>
      <c r="B1278" s="797"/>
      <c r="C1278" s="797" t="s">
        <v>1455</v>
      </c>
      <c r="D1278" s="797"/>
      <c r="E1278" s="797"/>
      <c r="F1278" s="797"/>
      <c r="G1278" s="796" t="s">
        <v>2228</v>
      </c>
      <c r="H1278" s="796" t="s">
        <v>291</v>
      </c>
      <c r="I1278" s="220" t="str">
        <f>IF(ISBLANK(continental!I321),"",continental!I321)</f>
        <v/>
      </c>
      <c r="K1278" s="225" t="s">
        <v>4159</v>
      </c>
      <c r="O1278" s="225" t="s">
        <v>4159</v>
      </c>
    </row>
    <row r="1279" spans="1:15" ht="12.75" customHeight="1" x14ac:dyDescent="0.3">
      <c r="A1279" s="797"/>
      <c r="B1279" s="797"/>
      <c r="C1279" s="797"/>
      <c r="D1279" s="797" t="s">
        <v>1457</v>
      </c>
      <c r="E1279" s="797"/>
      <c r="F1279" s="797"/>
      <c r="G1279" s="797" t="s">
        <v>2229</v>
      </c>
      <c r="H1279" s="796" t="s">
        <v>291</v>
      </c>
      <c r="I1279" s="220" t="str">
        <f>IF(ISBLANK(continental!I322),"",continental!I322)</f>
        <v/>
      </c>
      <c r="K1279" s="225" t="s">
        <v>4159</v>
      </c>
      <c r="O1279" s="225" t="s">
        <v>4159</v>
      </c>
    </row>
    <row r="1280" spans="1:15" ht="12.75" customHeight="1" x14ac:dyDescent="0.3">
      <c r="A1280" s="797"/>
      <c r="B1280" s="797"/>
      <c r="C1280" s="797"/>
      <c r="D1280" s="797"/>
      <c r="E1280" s="797" t="s">
        <v>1499</v>
      </c>
      <c r="F1280" s="797"/>
      <c r="G1280" s="797" t="s">
        <v>2230</v>
      </c>
      <c r="H1280" s="796" t="s">
        <v>291</v>
      </c>
      <c r="I1280" s="220" t="str">
        <f>IF(ISBLANK(continental!I323),"",continental!I323)</f>
        <v/>
      </c>
      <c r="K1280" s="225" t="s">
        <v>4159</v>
      </c>
      <c r="O1280" s="225" t="s">
        <v>4159</v>
      </c>
    </row>
    <row r="1281" spans="1:15" ht="12.75" customHeight="1" x14ac:dyDescent="0.3">
      <c r="A1281" s="797"/>
      <c r="B1281" s="797"/>
      <c r="C1281" s="797"/>
      <c r="D1281" s="797"/>
      <c r="E1281" s="797"/>
      <c r="F1281" s="797" t="s">
        <v>1501</v>
      </c>
      <c r="G1281" s="797" t="s">
        <v>2231</v>
      </c>
      <c r="H1281" s="796" t="s">
        <v>1463</v>
      </c>
      <c r="I1281" s="220" t="str">
        <f>IF(ISBLANK(continental!I324),"",continental!I324)</f>
        <v/>
      </c>
      <c r="K1281" s="225" t="s">
        <v>4159</v>
      </c>
      <c r="O1281" s="225" t="s">
        <v>4159</v>
      </c>
    </row>
    <row r="1282" spans="1:15" ht="12.75" customHeight="1" x14ac:dyDescent="0.3">
      <c r="A1282" s="797"/>
      <c r="B1282" s="797"/>
      <c r="C1282" s="797" t="s">
        <v>1465</v>
      </c>
      <c r="D1282" s="797"/>
      <c r="E1282" s="797"/>
      <c r="F1282" s="797"/>
      <c r="G1282" s="796" t="s">
        <v>2232</v>
      </c>
      <c r="H1282" s="796" t="s">
        <v>291</v>
      </c>
      <c r="I1282" s="220" t="str">
        <f>IF(ISBLANK(continental!I325),"",continental!I325)</f>
        <v/>
      </c>
      <c r="K1282" s="225" t="s">
        <v>4159</v>
      </c>
      <c r="O1282" s="225" t="s">
        <v>4159</v>
      </c>
    </row>
    <row r="1283" spans="1:15" ht="12.75" customHeight="1" x14ac:dyDescent="0.3">
      <c r="A1283" s="797"/>
      <c r="B1283" s="797"/>
      <c r="C1283" s="797" t="s">
        <v>1467</v>
      </c>
      <c r="D1283" s="797"/>
      <c r="E1283" s="797"/>
      <c r="F1283" s="797"/>
      <c r="G1283" s="796" t="s">
        <v>2233</v>
      </c>
      <c r="H1283" s="796" t="s">
        <v>291</v>
      </c>
      <c r="I1283" s="220" t="str">
        <f>IF(ISBLANK(continental!I326),"",continental!I326)</f>
        <v/>
      </c>
      <c r="K1283" s="225" t="s">
        <v>4159</v>
      </c>
      <c r="O1283" s="225" t="s">
        <v>4159</v>
      </c>
    </row>
    <row r="1284" spans="1:15" ht="12.75" customHeight="1" x14ac:dyDescent="0.3">
      <c r="A1284" s="797"/>
      <c r="B1284" s="797"/>
      <c r="C1284" s="797"/>
      <c r="D1284" s="797" t="s">
        <v>1469</v>
      </c>
      <c r="E1284" s="797"/>
      <c r="F1284" s="797"/>
      <c r="G1284" s="797" t="s">
        <v>2234</v>
      </c>
      <c r="H1284" s="796" t="s">
        <v>291</v>
      </c>
      <c r="I1284" s="220" t="str">
        <f>IF(ISBLANK(continental!I327),"",continental!I327)</f>
        <v/>
      </c>
      <c r="K1284" s="225" t="s">
        <v>4159</v>
      </c>
      <c r="O1284" s="225" t="s">
        <v>4159</v>
      </c>
    </row>
    <row r="1285" spans="1:15" ht="12.75" customHeight="1" x14ac:dyDescent="0.3">
      <c r="A1285" s="797"/>
      <c r="B1285" s="797"/>
      <c r="C1285" s="797"/>
      <c r="D1285" s="797" t="s">
        <v>1471</v>
      </c>
      <c r="E1285" s="797"/>
      <c r="F1285" s="797"/>
      <c r="G1285" s="797" t="s">
        <v>2235</v>
      </c>
      <c r="H1285" s="796" t="s">
        <v>1473</v>
      </c>
      <c r="I1285" s="220" t="str">
        <f>IF(ISBLANK(continental!I328),"",continental!I328)</f>
        <v/>
      </c>
      <c r="K1285" s="225" t="s">
        <v>4159</v>
      </c>
      <c r="O1285" s="225" t="s">
        <v>4159</v>
      </c>
    </row>
    <row r="1286" spans="1:15" ht="12.75" customHeight="1" x14ac:dyDescent="0.3">
      <c r="A1286" s="797"/>
      <c r="B1286" s="797"/>
      <c r="C1286" s="797"/>
      <c r="D1286" s="797" t="s">
        <v>1474</v>
      </c>
      <c r="E1286" s="797"/>
      <c r="F1286" s="797"/>
      <c r="G1286" s="797" t="s">
        <v>2236</v>
      </c>
      <c r="H1286" s="796" t="s">
        <v>291</v>
      </c>
      <c r="I1286" s="220" t="str">
        <f>IF(ISBLANK(continental!I329),"",continental!I329)</f>
        <v/>
      </c>
      <c r="K1286" s="225" t="s">
        <v>4159</v>
      </c>
      <c r="O1286" s="225" t="s">
        <v>4159</v>
      </c>
    </row>
    <row r="1287" spans="1:15" ht="12.75" customHeight="1" x14ac:dyDescent="0.3">
      <c r="A1287" s="797"/>
      <c r="B1287" s="797"/>
      <c r="C1287" s="797"/>
      <c r="D1287" s="797" t="s">
        <v>1476</v>
      </c>
      <c r="E1287" s="797"/>
      <c r="F1287" s="797"/>
      <c r="G1287" s="796" t="s">
        <v>2237</v>
      </c>
      <c r="H1287" s="796" t="s">
        <v>291</v>
      </c>
      <c r="I1287" s="220" t="str">
        <f>IF(ISBLANK(continental!I330),"",continental!I330)</f>
        <v/>
      </c>
      <c r="K1287" s="225" t="s">
        <v>4159</v>
      </c>
      <c r="O1287" s="225" t="s">
        <v>4159</v>
      </c>
    </row>
    <row r="1288" spans="1:15" ht="12.75" customHeight="1" x14ac:dyDescent="0.3">
      <c r="A1288" s="797" t="s">
        <v>1510</v>
      </c>
      <c r="B1288" s="797"/>
      <c r="C1288" s="797"/>
      <c r="D1288" s="797"/>
      <c r="E1288" s="797"/>
      <c r="F1288" s="797"/>
      <c r="G1288" s="796" t="s">
        <v>2238</v>
      </c>
      <c r="H1288" s="796" t="s">
        <v>335</v>
      </c>
      <c r="I1288" s="220" t="str">
        <f>IF(ISBLANK(continental!I331),"",continental!I331)</f>
        <v/>
      </c>
      <c r="K1288" s="225" t="s">
        <v>4159</v>
      </c>
      <c r="O1288" s="225" t="s">
        <v>4159</v>
      </c>
    </row>
    <row r="1289" spans="1:15" ht="12.75" customHeight="1" x14ac:dyDescent="0.3">
      <c r="A1289" s="797"/>
      <c r="B1289" s="797" t="s">
        <v>1492</v>
      </c>
      <c r="C1289" s="797"/>
      <c r="D1289" s="797"/>
      <c r="E1289" s="797"/>
      <c r="F1289" s="797"/>
      <c r="G1289" s="796" t="s">
        <v>2239</v>
      </c>
      <c r="H1289" s="796" t="s">
        <v>1449</v>
      </c>
      <c r="I1289" s="220" t="str">
        <f>IF(ISBLANK(continental!I332),"",continental!I332)</f>
        <v/>
      </c>
      <c r="K1289" s="225" t="s">
        <v>4159</v>
      </c>
      <c r="O1289" s="225" t="s">
        <v>4159</v>
      </c>
    </row>
    <row r="1290" spans="1:15" ht="12.75" customHeight="1" x14ac:dyDescent="0.3">
      <c r="A1290" s="797"/>
      <c r="B1290" s="797" t="s">
        <v>1494</v>
      </c>
      <c r="C1290" s="797"/>
      <c r="D1290" s="797"/>
      <c r="E1290" s="797"/>
      <c r="F1290" s="797"/>
      <c r="G1290" s="797" t="s">
        <v>2240</v>
      </c>
      <c r="H1290" s="796" t="s">
        <v>866</v>
      </c>
      <c r="I1290" s="220" t="str">
        <f>IF(ISBLANK(continental!I333),"",continental!I333)</f>
        <v/>
      </c>
      <c r="K1290" s="225" t="s">
        <v>4159</v>
      </c>
      <c r="O1290" s="225" t="s">
        <v>4159</v>
      </c>
    </row>
    <row r="1291" spans="1:15" ht="12.75" customHeight="1" x14ac:dyDescent="0.3">
      <c r="A1291" s="797"/>
      <c r="B1291" s="797" t="s">
        <v>1453</v>
      </c>
      <c r="C1291" s="797"/>
      <c r="D1291" s="797"/>
      <c r="E1291" s="797"/>
      <c r="F1291" s="797"/>
      <c r="G1291" s="796" t="s">
        <v>2241</v>
      </c>
      <c r="H1291" s="796" t="s">
        <v>291</v>
      </c>
      <c r="I1291" s="220" t="str">
        <f>IF(ISBLANK(continental!I334),"",continental!I334)</f>
        <v/>
      </c>
      <c r="K1291" s="225" t="s">
        <v>4159</v>
      </c>
      <c r="O1291" s="225" t="s">
        <v>4159</v>
      </c>
    </row>
    <row r="1292" spans="1:15" ht="12.75" customHeight="1" x14ac:dyDescent="0.3">
      <c r="A1292" s="797"/>
      <c r="B1292" s="797"/>
      <c r="C1292" s="797" t="s">
        <v>1455</v>
      </c>
      <c r="D1292" s="797"/>
      <c r="E1292" s="797"/>
      <c r="F1292" s="797"/>
      <c r="G1292" s="796" t="s">
        <v>2242</v>
      </c>
      <c r="H1292" s="796" t="s">
        <v>291</v>
      </c>
      <c r="I1292" s="220" t="str">
        <f>IF(ISBLANK(continental!I335),"",continental!I335)</f>
        <v/>
      </c>
      <c r="K1292" s="225" t="s">
        <v>4159</v>
      </c>
      <c r="O1292" s="225" t="s">
        <v>4159</v>
      </c>
    </row>
    <row r="1293" spans="1:15" ht="12.75" customHeight="1" x14ac:dyDescent="0.3">
      <c r="A1293" s="797"/>
      <c r="B1293" s="797"/>
      <c r="C1293" s="797"/>
      <c r="D1293" s="797" t="s">
        <v>1457</v>
      </c>
      <c r="E1293" s="797"/>
      <c r="F1293" s="797"/>
      <c r="G1293" s="797" t="s">
        <v>2243</v>
      </c>
      <c r="H1293" s="796" t="s">
        <v>291</v>
      </c>
      <c r="I1293" s="220" t="str">
        <f>IF(ISBLANK(continental!I336),"",continental!I336)</f>
        <v/>
      </c>
      <c r="K1293" s="225" t="s">
        <v>4159</v>
      </c>
      <c r="O1293" s="225" t="s">
        <v>4159</v>
      </c>
    </row>
    <row r="1294" spans="1:15" ht="12.75" customHeight="1" x14ac:dyDescent="0.3">
      <c r="A1294" s="797"/>
      <c r="B1294" s="797"/>
      <c r="C1294" s="797"/>
      <c r="D1294" s="797"/>
      <c r="E1294" s="797" t="s">
        <v>1499</v>
      </c>
      <c r="F1294" s="797"/>
      <c r="G1294" s="797" t="s">
        <v>2244</v>
      </c>
      <c r="H1294" s="796" t="s">
        <v>291</v>
      </c>
      <c r="I1294" s="220" t="str">
        <f>IF(ISBLANK(continental!I337),"",continental!I337)</f>
        <v/>
      </c>
      <c r="K1294" s="225" t="s">
        <v>4159</v>
      </c>
      <c r="O1294" s="225" t="s">
        <v>4159</v>
      </c>
    </row>
    <row r="1295" spans="1:15" ht="12.75" customHeight="1" x14ac:dyDescent="0.3">
      <c r="A1295" s="797"/>
      <c r="B1295" s="797"/>
      <c r="C1295" s="797"/>
      <c r="D1295" s="797"/>
      <c r="E1295" s="797"/>
      <c r="F1295" s="797" t="s">
        <v>1501</v>
      </c>
      <c r="G1295" s="797" t="s">
        <v>2245</v>
      </c>
      <c r="H1295" s="796" t="s">
        <v>1463</v>
      </c>
      <c r="I1295" s="220" t="str">
        <f>IF(ISBLANK(continental!I338),"",continental!I338)</f>
        <v/>
      </c>
      <c r="K1295" s="225" t="s">
        <v>4159</v>
      </c>
      <c r="O1295" s="225" t="s">
        <v>4159</v>
      </c>
    </row>
    <row r="1296" spans="1:15" ht="12.75" customHeight="1" x14ac:dyDescent="0.3">
      <c r="A1296" s="797"/>
      <c r="B1296" s="797"/>
      <c r="C1296" s="797" t="s">
        <v>1465</v>
      </c>
      <c r="D1296" s="797"/>
      <c r="E1296" s="797"/>
      <c r="F1296" s="797"/>
      <c r="G1296" s="796" t="s">
        <v>2246</v>
      </c>
      <c r="H1296" s="796" t="s">
        <v>291</v>
      </c>
      <c r="I1296" s="220" t="str">
        <f>IF(ISBLANK(continental!I339),"",continental!I339)</f>
        <v/>
      </c>
      <c r="K1296" s="225" t="s">
        <v>4159</v>
      </c>
      <c r="O1296" s="225" t="s">
        <v>4159</v>
      </c>
    </row>
    <row r="1297" spans="1:15" ht="12.75" customHeight="1" x14ac:dyDescent="0.3">
      <c r="A1297" s="797"/>
      <c r="B1297" s="797"/>
      <c r="C1297" s="797" t="s">
        <v>1467</v>
      </c>
      <c r="D1297" s="797"/>
      <c r="E1297" s="797"/>
      <c r="F1297" s="797"/>
      <c r="G1297" s="796" t="s">
        <v>2247</v>
      </c>
      <c r="H1297" s="796" t="s">
        <v>291</v>
      </c>
      <c r="I1297" s="220" t="str">
        <f>IF(ISBLANK(continental!I340),"",continental!I340)</f>
        <v/>
      </c>
      <c r="K1297" s="225" t="s">
        <v>4159</v>
      </c>
      <c r="O1297" s="225" t="s">
        <v>4159</v>
      </c>
    </row>
    <row r="1298" spans="1:15" ht="12.75" customHeight="1" x14ac:dyDescent="0.3">
      <c r="A1298" s="797"/>
      <c r="B1298" s="797"/>
      <c r="C1298" s="797"/>
      <c r="D1298" s="797" t="s">
        <v>1471</v>
      </c>
      <c r="E1298" s="797"/>
      <c r="F1298" s="797"/>
      <c r="G1298" s="797" t="s">
        <v>2248</v>
      </c>
      <c r="H1298" s="796" t="s">
        <v>1473</v>
      </c>
      <c r="I1298" s="220" t="str">
        <f>IF(ISBLANK(continental!I341),"",continental!I341)</f>
        <v/>
      </c>
      <c r="K1298" s="225" t="s">
        <v>4159</v>
      </c>
      <c r="O1298" s="225" t="s">
        <v>4159</v>
      </c>
    </row>
    <row r="1299" spans="1:15" ht="12.75" customHeight="1" x14ac:dyDescent="0.3">
      <c r="A1299" s="797"/>
      <c r="B1299" s="797"/>
      <c r="C1299" s="797"/>
      <c r="D1299" s="797" t="s">
        <v>1474</v>
      </c>
      <c r="E1299" s="797"/>
      <c r="F1299" s="797"/>
      <c r="G1299" s="797" t="s">
        <v>2249</v>
      </c>
      <c r="H1299" s="796" t="s">
        <v>291</v>
      </c>
      <c r="I1299" s="220" t="str">
        <f>IF(ISBLANK(continental!I342),"",continental!I342)</f>
        <v/>
      </c>
      <c r="K1299" s="225" t="s">
        <v>4159</v>
      </c>
      <c r="O1299" s="225" t="s">
        <v>4159</v>
      </c>
    </row>
    <row r="1300" spans="1:15" ht="12.75" customHeight="1" x14ac:dyDescent="0.3">
      <c r="A1300" s="797"/>
      <c r="B1300" s="797"/>
      <c r="C1300" s="797"/>
      <c r="D1300" s="797" t="s">
        <v>1469</v>
      </c>
      <c r="E1300" s="797"/>
      <c r="F1300" s="797"/>
      <c r="G1300" s="797" t="s">
        <v>2250</v>
      </c>
      <c r="H1300" s="796" t="s">
        <v>291</v>
      </c>
      <c r="I1300" s="220" t="str">
        <f>IF(ISBLANK(continental!I343),"",continental!I343)</f>
        <v/>
      </c>
      <c r="K1300" s="225" t="s">
        <v>4159</v>
      </c>
      <c r="O1300" s="225" t="s">
        <v>4159</v>
      </c>
    </row>
    <row r="1301" spans="1:15" ht="12.75" customHeight="1" x14ac:dyDescent="0.3">
      <c r="A1301" s="797"/>
      <c r="B1301" s="797"/>
      <c r="C1301" s="797"/>
      <c r="D1301" s="797" t="s">
        <v>1476</v>
      </c>
      <c r="E1301" s="797"/>
      <c r="F1301" s="797"/>
      <c r="G1301" s="796" t="s">
        <v>2251</v>
      </c>
      <c r="H1301" s="796" t="s">
        <v>291</v>
      </c>
      <c r="I1301" s="220" t="str">
        <f>IF(ISBLANK(continental!I344),"",continental!I344)</f>
        <v/>
      </c>
      <c r="K1301" s="225" t="s">
        <v>4159</v>
      </c>
      <c r="O1301" s="225" t="s">
        <v>4159</v>
      </c>
    </row>
    <row r="1302" spans="1:15" ht="12.75" customHeight="1" x14ac:dyDescent="0.3">
      <c r="A1302" s="797" t="s">
        <v>1526</v>
      </c>
      <c r="B1302" s="797"/>
      <c r="C1302" s="797"/>
      <c r="D1302" s="797"/>
      <c r="E1302" s="797"/>
      <c r="F1302" s="797"/>
      <c r="G1302" s="796" t="s">
        <v>2252</v>
      </c>
      <c r="H1302" s="796" t="s">
        <v>335</v>
      </c>
      <c r="I1302" s="220" t="str">
        <f>IF(ISBLANK(continental!I345),"",continental!I345)</f>
        <v/>
      </c>
      <c r="K1302" s="225" t="s">
        <v>4159</v>
      </c>
      <c r="O1302" s="225" t="s">
        <v>4159</v>
      </c>
    </row>
    <row r="1303" spans="1:15" ht="12.75" customHeight="1" x14ac:dyDescent="0.3">
      <c r="A1303" s="797"/>
      <c r="B1303" s="797" t="s">
        <v>1492</v>
      </c>
      <c r="C1303" s="797"/>
      <c r="D1303" s="797"/>
      <c r="E1303" s="797"/>
      <c r="F1303" s="797"/>
      <c r="G1303" s="796" t="s">
        <v>2253</v>
      </c>
      <c r="H1303" s="796" t="s">
        <v>1449</v>
      </c>
      <c r="I1303" s="220" t="str">
        <f>IF(ISBLANK(continental!I346),"",continental!I346)</f>
        <v/>
      </c>
      <c r="K1303" s="225" t="s">
        <v>4159</v>
      </c>
      <c r="O1303" s="225" t="s">
        <v>4159</v>
      </c>
    </row>
    <row r="1304" spans="1:15" ht="12.75" customHeight="1" x14ac:dyDescent="0.3">
      <c r="A1304" s="797"/>
      <c r="B1304" s="797" t="s">
        <v>1494</v>
      </c>
      <c r="C1304" s="797"/>
      <c r="D1304" s="797"/>
      <c r="E1304" s="797"/>
      <c r="F1304" s="797"/>
      <c r="G1304" s="797" t="s">
        <v>2254</v>
      </c>
      <c r="H1304" s="796" t="s">
        <v>866</v>
      </c>
      <c r="I1304" s="220" t="str">
        <f>IF(ISBLANK(continental!I347),"",continental!I347)</f>
        <v/>
      </c>
      <c r="K1304" s="225" t="s">
        <v>4159</v>
      </c>
      <c r="O1304" s="225" t="s">
        <v>4159</v>
      </c>
    </row>
    <row r="1305" spans="1:15" ht="12.75" customHeight="1" x14ac:dyDescent="0.3">
      <c r="A1305" s="797"/>
      <c r="B1305" s="797" t="s">
        <v>1453</v>
      </c>
      <c r="C1305" s="797"/>
      <c r="D1305" s="797"/>
      <c r="E1305" s="797"/>
      <c r="F1305" s="797"/>
      <c r="G1305" s="796" t="s">
        <v>2255</v>
      </c>
      <c r="H1305" s="796" t="s">
        <v>291</v>
      </c>
      <c r="I1305" s="220" t="str">
        <f>IF(ISBLANK(continental!I348),"",continental!I348)</f>
        <v/>
      </c>
      <c r="K1305" s="225" t="s">
        <v>4159</v>
      </c>
      <c r="O1305" s="225" t="s">
        <v>4159</v>
      </c>
    </row>
    <row r="1306" spans="1:15" ht="12.75" customHeight="1" x14ac:dyDescent="0.3">
      <c r="A1306" s="797"/>
      <c r="B1306" s="797"/>
      <c r="C1306" s="797" t="s">
        <v>1455</v>
      </c>
      <c r="D1306" s="797"/>
      <c r="E1306" s="797"/>
      <c r="F1306" s="797"/>
      <c r="G1306" s="796" t="s">
        <v>2256</v>
      </c>
      <c r="H1306" s="796" t="s">
        <v>291</v>
      </c>
      <c r="I1306" s="220" t="str">
        <f>IF(ISBLANK(continental!I349),"",continental!I349)</f>
        <v/>
      </c>
      <c r="K1306" s="225" t="s">
        <v>4159</v>
      </c>
      <c r="O1306" s="225" t="s">
        <v>4159</v>
      </c>
    </row>
    <row r="1307" spans="1:15" ht="12.75" customHeight="1" x14ac:dyDescent="0.3">
      <c r="A1307" s="797"/>
      <c r="B1307" s="797"/>
      <c r="C1307" s="797"/>
      <c r="D1307" s="797" t="s">
        <v>1457</v>
      </c>
      <c r="E1307" s="797"/>
      <c r="F1307" s="797"/>
      <c r="G1307" s="797" t="s">
        <v>2257</v>
      </c>
      <c r="H1307" s="796" t="s">
        <v>291</v>
      </c>
      <c r="I1307" s="220" t="str">
        <f>IF(ISBLANK(continental!I350),"",continental!I350)</f>
        <v/>
      </c>
      <c r="K1307" s="225" t="s">
        <v>4159</v>
      </c>
      <c r="O1307" s="225" t="s">
        <v>4159</v>
      </c>
    </row>
    <row r="1308" spans="1:15" ht="12.75" customHeight="1" x14ac:dyDescent="0.3">
      <c r="A1308" s="797"/>
      <c r="B1308" s="797"/>
      <c r="C1308" s="797"/>
      <c r="D1308" s="797"/>
      <c r="E1308" s="797" t="s">
        <v>1499</v>
      </c>
      <c r="F1308" s="797"/>
      <c r="G1308" s="797" t="s">
        <v>2258</v>
      </c>
      <c r="H1308" s="796" t="s">
        <v>291</v>
      </c>
      <c r="I1308" s="220" t="str">
        <f>IF(ISBLANK(continental!I351),"",continental!I351)</f>
        <v/>
      </c>
      <c r="K1308" s="225" t="s">
        <v>4159</v>
      </c>
      <c r="O1308" s="225" t="s">
        <v>4159</v>
      </c>
    </row>
    <row r="1309" spans="1:15" ht="12.75" customHeight="1" x14ac:dyDescent="0.3">
      <c r="A1309" s="797"/>
      <c r="B1309" s="797"/>
      <c r="C1309" s="797"/>
      <c r="D1309" s="797"/>
      <c r="E1309" s="797"/>
      <c r="F1309" s="797" t="s">
        <v>1501</v>
      </c>
      <c r="G1309" s="797" t="s">
        <v>2259</v>
      </c>
      <c r="H1309" s="796" t="s">
        <v>1463</v>
      </c>
      <c r="I1309" s="220" t="str">
        <f>IF(ISBLANK(continental!I352),"",continental!I352)</f>
        <v/>
      </c>
      <c r="K1309" s="225" t="s">
        <v>4159</v>
      </c>
      <c r="O1309" s="225" t="s">
        <v>4159</v>
      </c>
    </row>
    <row r="1310" spans="1:15" ht="12.75" customHeight="1" x14ac:dyDescent="0.3">
      <c r="A1310" s="797"/>
      <c r="B1310" s="797"/>
      <c r="C1310" s="797" t="s">
        <v>1465</v>
      </c>
      <c r="D1310" s="797"/>
      <c r="E1310" s="797"/>
      <c r="F1310" s="797"/>
      <c r="G1310" s="796" t="s">
        <v>2260</v>
      </c>
      <c r="H1310" s="796" t="s">
        <v>291</v>
      </c>
      <c r="I1310" s="220" t="str">
        <f>IF(ISBLANK(continental!I353),"",continental!I353)</f>
        <v/>
      </c>
      <c r="K1310" s="225" t="s">
        <v>4159</v>
      </c>
      <c r="O1310" s="225" t="s">
        <v>4159</v>
      </c>
    </row>
    <row r="1311" spans="1:15" ht="12.75" customHeight="1" x14ac:dyDescent="0.3">
      <c r="A1311" s="797"/>
      <c r="B1311" s="797"/>
      <c r="C1311" s="797" t="s">
        <v>1467</v>
      </c>
      <c r="D1311" s="797"/>
      <c r="E1311" s="797"/>
      <c r="F1311" s="797"/>
      <c r="G1311" s="796" t="s">
        <v>2261</v>
      </c>
      <c r="H1311" s="796" t="s">
        <v>291</v>
      </c>
      <c r="I1311" s="220" t="str">
        <f>IF(ISBLANK(continental!I354),"",continental!I354)</f>
        <v/>
      </c>
      <c r="K1311" s="225" t="s">
        <v>4159</v>
      </c>
      <c r="O1311" s="225" t="s">
        <v>4159</v>
      </c>
    </row>
    <row r="1312" spans="1:15" ht="12.75" customHeight="1" x14ac:dyDescent="0.3">
      <c r="A1312" s="797"/>
      <c r="B1312" s="797"/>
      <c r="C1312" s="797"/>
      <c r="D1312" s="797" t="s">
        <v>1471</v>
      </c>
      <c r="E1312" s="797"/>
      <c r="F1312" s="797"/>
      <c r="G1312" s="797" t="s">
        <v>2262</v>
      </c>
      <c r="H1312" s="796" t="s">
        <v>1473</v>
      </c>
      <c r="I1312" s="220" t="str">
        <f>IF(ISBLANK(continental!I355),"",continental!I355)</f>
        <v/>
      </c>
      <c r="K1312" s="225" t="s">
        <v>4159</v>
      </c>
      <c r="O1312" s="225" t="s">
        <v>4159</v>
      </c>
    </row>
    <row r="1313" spans="1:15" ht="12.75" customHeight="1" x14ac:dyDescent="0.3">
      <c r="A1313" s="797"/>
      <c r="B1313" s="797"/>
      <c r="C1313" s="797"/>
      <c r="D1313" s="797" t="s">
        <v>1474</v>
      </c>
      <c r="E1313" s="797"/>
      <c r="F1313" s="797"/>
      <c r="G1313" s="797" t="s">
        <v>2263</v>
      </c>
      <c r="H1313" s="796" t="s">
        <v>291</v>
      </c>
      <c r="I1313" s="220" t="str">
        <f>IF(ISBLANK(continental!I356),"",continental!I356)</f>
        <v/>
      </c>
      <c r="K1313" s="225" t="s">
        <v>4159</v>
      </c>
      <c r="O1313" s="225" t="s">
        <v>4159</v>
      </c>
    </row>
    <row r="1314" spans="1:15" ht="12.75" customHeight="1" x14ac:dyDescent="0.3">
      <c r="A1314" s="797"/>
      <c r="B1314" s="797"/>
      <c r="C1314" s="797"/>
      <c r="D1314" s="797" t="s">
        <v>1469</v>
      </c>
      <c r="E1314" s="797"/>
      <c r="F1314" s="797"/>
      <c r="G1314" s="797" t="s">
        <v>2264</v>
      </c>
      <c r="H1314" s="796" t="s">
        <v>291</v>
      </c>
      <c r="I1314" s="220" t="str">
        <f>IF(ISBLANK(continental!I357),"",continental!I357)</f>
        <v/>
      </c>
      <c r="K1314" s="225" t="s">
        <v>4159</v>
      </c>
      <c r="O1314" s="225" t="s">
        <v>4159</v>
      </c>
    </row>
    <row r="1315" spans="1:15" ht="12.75" customHeight="1" x14ac:dyDescent="0.3">
      <c r="A1315" s="797"/>
      <c r="B1315" s="797"/>
      <c r="C1315" s="797"/>
      <c r="D1315" s="797" t="s">
        <v>1476</v>
      </c>
      <c r="E1315" s="797"/>
      <c r="F1315" s="797"/>
      <c r="G1315" s="796" t="s">
        <v>2265</v>
      </c>
      <c r="H1315" s="796" t="s">
        <v>291</v>
      </c>
      <c r="I1315" s="220" t="str">
        <f>IF(ISBLANK(continental!I358),"",continental!I358)</f>
        <v/>
      </c>
      <c r="K1315" s="225" t="s">
        <v>4159</v>
      </c>
      <c r="O1315" s="225" t="s">
        <v>4159</v>
      </c>
    </row>
    <row r="1316" spans="1:15" ht="12.75" customHeight="1" x14ac:dyDescent="0.3">
      <c r="I1316" s="220" t="str">
        <f>IF(ISBLANK(continental!I359),"",continental!I359)</f>
        <v/>
      </c>
      <c r="K1316" s="225" t="s">
        <v>4159</v>
      </c>
      <c r="O1316" s="225" t="s">
        <v>4159</v>
      </c>
    </row>
    <row r="1317" spans="1:15" ht="12.75" customHeight="1" x14ac:dyDescent="0.3">
      <c r="A1317" s="836" t="s">
        <v>1541</v>
      </c>
      <c r="B1317" s="837"/>
      <c r="C1317" s="837"/>
      <c r="D1317" s="837"/>
      <c r="E1317" s="837"/>
      <c r="F1317" s="837"/>
      <c r="G1317" s="836" t="s">
        <v>258</v>
      </c>
      <c r="H1317" s="836" t="s">
        <v>274</v>
      </c>
      <c r="I1317" s="220" t="str">
        <f>IF(ISBLANK(continental!I360),"",continental!I360)</f>
        <v>User input</v>
      </c>
      <c r="K1317" s="225" t="s">
        <v>259</v>
      </c>
      <c r="O1317" s="225" t="s">
        <v>259</v>
      </c>
    </row>
    <row r="1318" spans="1:15" ht="12.75" customHeight="1" x14ac:dyDescent="0.3">
      <c r="A1318" s="784" t="s">
        <v>1542</v>
      </c>
      <c r="B1318" s="784"/>
      <c r="C1318" s="784"/>
      <c r="D1318" s="784"/>
      <c r="E1318" s="784"/>
      <c r="F1318" s="784"/>
      <c r="G1318" s="785"/>
      <c r="H1318" s="785"/>
      <c r="I1318" s="220" t="str">
        <f>IF(ISBLANK(continental!I361),"",continental!I361)</f>
        <v/>
      </c>
      <c r="K1318" s="225" t="s">
        <v>4159</v>
      </c>
      <c r="O1318" s="225" t="s">
        <v>4159</v>
      </c>
    </row>
    <row r="1319" spans="1:15" ht="12.75" customHeight="1" x14ac:dyDescent="0.3">
      <c r="A1319" s="797"/>
      <c r="B1319" s="797" t="s">
        <v>1543</v>
      </c>
      <c r="C1319" s="797"/>
      <c r="D1319" s="797"/>
      <c r="E1319" s="797"/>
      <c r="F1319" s="797"/>
      <c r="G1319" s="796" t="s">
        <v>2266</v>
      </c>
      <c r="H1319" s="796" t="s">
        <v>813</v>
      </c>
      <c r="I1319" s="220" t="str">
        <f>IF(ISBLANK(continental!I362),"",continental!I362)</f>
        <v/>
      </c>
      <c r="K1319" s="225" t="s">
        <v>4159</v>
      </c>
      <c r="O1319" s="225" t="s">
        <v>4159</v>
      </c>
    </row>
    <row r="1320" spans="1:15" ht="12.75" customHeight="1" x14ac:dyDescent="0.3">
      <c r="A1320" s="797"/>
      <c r="B1320" s="797" t="s">
        <v>1546</v>
      </c>
      <c r="C1320" s="797"/>
      <c r="D1320" s="797"/>
      <c r="E1320" s="797"/>
      <c r="F1320" s="797"/>
      <c r="G1320" s="796" t="s">
        <v>2267</v>
      </c>
      <c r="H1320" s="796" t="s">
        <v>291</v>
      </c>
      <c r="I1320" s="220" t="str">
        <f>IF(ISBLANK(continental!I363),"",continental!I363)</f>
        <v/>
      </c>
      <c r="K1320" s="225" t="s">
        <v>4159</v>
      </c>
      <c r="O1320" s="225" t="s">
        <v>4159</v>
      </c>
    </row>
    <row r="1321" spans="1:15" ht="12.75" customHeight="1" x14ac:dyDescent="0.3">
      <c r="A1321" s="797"/>
      <c r="B1321" s="797" t="s">
        <v>1549</v>
      </c>
      <c r="C1321" s="797"/>
      <c r="D1321" s="797"/>
      <c r="E1321" s="797"/>
      <c r="F1321" s="797"/>
      <c r="G1321" s="796" t="s">
        <v>2268</v>
      </c>
      <c r="H1321" s="796" t="s">
        <v>866</v>
      </c>
      <c r="I1321" s="220" t="str">
        <f>IF(ISBLANK(continental!I364),"",continental!I364)</f>
        <v/>
      </c>
      <c r="K1321" s="225" t="s">
        <v>4159</v>
      </c>
      <c r="O1321" s="225" t="s">
        <v>4159</v>
      </c>
    </row>
    <row r="1322" spans="1:15" ht="12.75" customHeight="1" x14ac:dyDescent="0.3">
      <c r="A1322" s="797"/>
      <c r="B1322" s="797" t="s">
        <v>1553</v>
      </c>
      <c r="C1322" s="797"/>
      <c r="D1322" s="797"/>
      <c r="E1322" s="797"/>
      <c r="F1322" s="797"/>
      <c r="G1322" s="796" t="s">
        <v>2269</v>
      </c>
      <c r="H1322" s="796" t="s">
        <v>866</v>
      </c>
      <c r="I1322" s="220" t="str">
        <f>IF(ISBLANK(continental!I365),"",continental!I365)</f>
        <v/>
      </c>
      <c r="K1322" s="225" t="s">
        <v>4159</v>
      </c>
      <c r="O1322" s="225" t="s">
        <v>4159</v>
      </c>
    </row>
    <row r="1323" spans="1:15" ht="12.75" customHeight="1" x14ac:dyDescent="0.3">
      <c r="A1323" s="797"/>
      <c r="B1323" s="797" t="s">
        <v>1555</v>
      </c>
      <c r="C1323" s="797"/>
      <c r="D1323" s="797"/>
      <c r="E1323" s="797"/>
      <c r="F1323" s="797"/>
      <c r="G1323" s="796" t="s">
        <v>2270</v>
      </c>
      <c r="H1323" s="796" t="s">
        <v>291</v>
      </c>
      <c r="I1323" s="220" t="str">
        <f>IF(ISBLANK(continental!I366),"",continental!I366)</f>
        <v/>
      </c>
      <c r="K1323" s="225" t="s">
        <v>4159</v>
      </c>
      <c r="O1323" s="225" t="s">
        <v>4159</v>
      </c>
    </row>
    <row r="1324" spans="1:15" ht="12.75" customHeight="1" x14ac:dyDescent="0.3">
      <c r="A1324" s="797"/>
      <c r="B1324" s="797" t="s">
        <v>1557</v>
      </c>
      <c r="C1324" s="797"/>
      <c r="D1324" s="797"/>
      <c r="E1324" s="797"/>
      <c r="F1324" s="797"/>
      <c r="G1324" s="796" t="s">
        <v>2271</v>
      </c>
      <c r="H1324" s="796" t="s">
        <v>291</v>
      </c>
      <c r="I1324" s="220" t="str">
        <f>IF(ISBLANK(continental!I367),"",continental!I367)</f>
        <v/>
      </c>
      <c r="K1324" s="225" t="s">
        <v>4159</v>
      </c>
      <c r="O1324" s="225" t="s">
        <v>4159</v>
      </c>
    </row>
    <row r="1325" spans="1:15" ht="12.75" customHeight="1" x14ac:dyDescent="0.3">
      <c r="A1325" s="797"/>
      <c r="B1325" s="797" t="s">
        <v>1559</v>
      </c>
      <c r="C1325" s="797"/>
      <c r="D1325" s="797"/>
      <c r="E1325" s="797"/>
      <c r="F1325" s="797"/>
      <c r="G1325" s="796" t="s">
        <v>2272</v>
      </c>
      <c r="H1325" s="796" t="s">
        <v>291</v>
      </c>
      <c r="I1325" s="220" t="str">
        <f>IF(ISBLANK(continental!I368),"",continental!I368)</f>
        <v/>
      </c>
      <c r="K1325" s="225" t="s">
        <v>4159</v>
      </c>
      <c r="O1325" s="225" t="s">
        <v>4159</v>
      </c>
    </row>
    <row r="1326" spans="1:15" ht="12.75" customHeight="1" x14ac:dyDescent="0.3">
      <c r="A1326" s="784" t="s">
        <v>2274</v>
      </c>
      <c r="B1326" s="784"/>
      <c r="C1326" s="784"/>
      <c r="D1326" s="784"/>
      <c r="E1326" s="784"/>
      <c r="F1326" s="784"/>
      <c r="G1326" s="784"/>
      <c r="H1326" s="784"/>
      <c r="I1326" s="220" t="str">
        <f>IF(ISBLANK(continental!I369),"",continental!I369)</f>
        <v/>
      </c>
      <c r="K1326" s="225" t="s">
        <v>4159</v>
      </c>
      <c r="O1326" s="225" t="s">
        <v>4159</v>
      </c>
    </row>
    <row r="1327" spans="1:15" ht="12.75" customHeight="1" x14ac:dyDescent="0.3">
      <c r="A1327" s="797"/>
      <c r="B1327" s="797" t="s">
        <v>1562</v>
      </c>
      <c r="C1327" s="797"/>
      <c r="D1327" s="797"/>
      <c r="E1327" s="797"/>
      <c r="F1327" s="797"/>
      <c r="G1327" s="797" t="s">
        <v>2275</v>
      </c>
      <c r="H1327" s="797" t="s">
        <v>813</v>
      </c>
      <c r="I1327" s="220" t="str">
        <f>IF(ISBLANK(continental!I370),"",continental!I370)</f>
        <v/>
      </c>
      <c r="K1327" s="225" t="s">
        <v>4159</v>
      </c>
      <c r="O1327" s="225" t="s">
        <v>4159</v>
      </c>
    </row>
    <row r="1328" spans="1:15" ht="12.75" customHeight="1" x14ac:dyDescent="0.3">
      <c r="A1328" s="797"/>
      <c r="B1328" s="797" t="s">
        <v>1564</v>
      </c>
      <c r="C1328" s="797"/>
      <c r="D1328" s="797"/>
      <c r="E1328" s="797"/>
      <c r="F1328" s="797"/>
      <c r="G1328" s="797" t="s">
        <v>2276</v>
      </c>
      <c r="H1328" s="797" t="s">
        <v>282</v>
      </c>
      <c r="I1328" s="220" t="str">
        <f>IF(ISBLANK(continental!I371),"",continental!I371)</f>
        <v/>
      </c>
      <c r="K1328" s="225" t="s">
        <v>4159</v>
      </c>
      <c r="O1328" s="225" t="s">
        <v>4159</v>
      </c>
    </row>
    <row r="1329" spans="1:15" ht="12.75" customHeight="1" x14ac:dyDescent="0.3">
      <c r="A1329" s="797"/>
      <c r="B1329" s="797"/>
      <c r="C1329" s="797" t="s">
        <v>1566</v>
      </c>
      <c r="D1329" s="797"/>
      <c r="E1329" s="797"/>
      <c r="F1329" s="797"/>
      <c r="G1329" s="797" t="s">
        <v>2277</v>
      </c>
      <c r="H1329" s="797" t="s">
        <v>857</v>
      </c>
      <c r="I1329" s="220" t="str">
        <f>IF(ISBLANK(continental!I372),"",continental!I372)</f>
        <v/>
      </c>
      <c r="K1329" s="225" t="s">
        <v>4159</v>
      </c>
      <c r="O1329" s="225" t="s">
        <v>4159</v>
      </c>
    </row>
    <row r="1330" spans="1:15" ht="12.75" customHeight="1" x14ac:dyDescent="0.3">
      <c r="A1330" s="797"/>
      <c r="B1330" s="797"/>
      <c r="C1330" s="797" t="s">
        <v>1568</v>
      </c>
      <c r="D1330" s="797"/>
      <c r="E1330" s="797"/>
      <c r="F1330" s="797"/>
      <c r="G1330" s="797" t="s">
        <v>2278</v>
      </c>
      <c r="H1330" s="797" t="s">
        <v>888</v>
      </c>
      <c r="I1330" s="220" t="str">
        <f>IF(ISBLANK(continental!I373),"",continental!I373)</f>
        <v/>
      </c>
      <c r="K1330" s="225" t="s">
        <v>4159</v>
      </c>
      <c r="O1330" s="225" t="s">
        <v>4159</v>
      </c>
    </row>
    <row r="1331" spans="1:15" ht="12.75" customHeight="1" x14ac:dyDescent="0.3">
      <c r="A1331" s="841" t="s">
        <v>1571</v>
      </c>
      <c r="B1331" s="841"/>
      <c r="C1331" s="841"/>
      <c r="D1331" s="841"/>
      <c r="E1331" s="841"/>
      <c r="F1331" s="841"/>
      <c r="G1331" s="844" t="s">
        <v>2279</v>
      </c>
      <c r="H1331" s="844" t="s">
        <v>335</v>
      </c>
      <c r="I1331" s="220" t="str">
        <f>IF(ISBLANK(continental!I374),"",continental!I374)</f>
        <v/>
      </c>
      <c r="K1331" s="225" t="s">
        <v>4159</v>
      </c>
      <c r="O1331" s="225" t="s">
        <v>4159</v>
      </c>
    </row>
    <row r="1332" spans="1:15" ht="12.75" customHeight="1" x14ac:dyDescent="0.3">
      <c r="A1332" s="797"/>
      <c r="B1332" s="797" t="s">
        <v>1574</v>
      </c>
      <c r="C1332" s="797"/>
      <c r="D1332" s="797"/>
      <c r="E1332" s="797"/>
      <c r="F1332" s="797"/>
      <c r="G1332" s="796" t="s">
        <v>2281</v>
      </c>
      <c r="H1332" s="796" t="s">
        <v>1576</v>
      </c>
      <c r="I1332" s="220" t="str">
        <f>IF(ISBLANK(continental!I375),"",continental!I375)</f>
        <v/>
      </c>
      <c r="K1332" s="225" t="s">
        <v>4159</v>
      </c>
      <c r="O1332" s="225" t="s">
        <v>4159</v>
      </c>
    </row>
    <row r="1333" spans="1:15" ht="12.75" customHeight="1" x14ac:dyDescent="0.3">
      <c r="A1333" s="797"/>
      <c r="B1333" s="797" t="s">
        <v>1577</v>
      </c>
      <c r="C1333" s="797"/>
      <c r="D1333" s="797"/>
      <c r="E1333" s="797"/>
      <c r="F1333" s="797"/>
      <c r="G1333" s="796" t="s">
        <v>2282</v>
      </c>
      <c r="H1333" s="796" t="s">
        <v>291</v>
      </c>
      <c r="I1333" s="220" t="str">
        <f>IF(ISBLANK(continental!I376),"",continental!I376)</f>
        <v/>
      </c>
      <c r="K1333" s="225" t="s">
        <v>4159</v>
      </c>
      <c r="O1333" s="225" t="s">
        <v>4159</v>
      </c>
    </row>
    <row r="1334" spans="1:15" ht="12.75" customHeight="1" x14ac:dyDescent="0.3">
      <c r="A1334" s="797"/>
      <c r="B1334" s="797" t="s">
        <v>1580</v>
      </c>
      <c r="C1334" s="797"/>
      <c r="D1334" s="797"/>
      <c r="E1334" s="797"/>
      <c r="F1334" s="797"/>
      <c r="G1334" s="796" t="s">
        <v>2283</v>
      </c>
      <c r="H1334" s="796" t="s">
        <v>866</v>
      </c>
      <c r="I1334" s="220" t="str">
        <f>IF(ISBLANK(continental!I377),"",continental!I377)</f>
        <v/>
      </c>
      <c r="K1334" s="225" t="s">
        <v>4159</v>
      </c>
      <c r="O1334" s="225" t="s">
        <v>4159</v>
      </c>
    </row>
    <row r="1335" spans="1:15" ht="12.75" customHeight="1" x14ac:dyDescent="0.3">
      <c r="A1335" s="797"/>
      <c r="B1335" s="797" t="s">
        <v>1582</v>
      </c>
      <c r="C1335" s="797"/>
      <c r="D1335" s="797"/>
      <c r="E1335" s="797"/>
      <c r="F1335" s="797"/>
      <c r="G1335" s="796" t="s">
        <v>2284</v>
      </c>
      <c r="H1335" s="796" t="s">
        <v>291</v>
      </c>
      <c r="I1335" s="220" t="str">
        <f>IF(ISBLANK(continental!I378),"",continental!I378)</f>
        <v/>
      </c>
      <c r="K1335" s="225" t="s">
        <v>4159</v>
      </c>
      <c r="O1335" s="225" t="s">
        <v>4159</v>
      </c>
    </row>
    <row r="1336" spans="1:15" ht="12.75" customHeight="1" x14ac:dyDescent="0.3">
      <c r="A1336" s="797"/>
      <c r="B1336" s="797"/>
      <c r="C1336" s="797" t="s">
        <v>1584</v>
      </c>
      <c r="D1336" s="797"/>
      <c r="E1336" s="797"/>
      <c r="F1336" s="797"/>
      <c r="G1336" s="796" t="s">
        <v>2285</v>
      </c>
      <c r="H1336" s="796" t="s">
        <v>291</v>
      </c>
      <c r="I1336" s="220" t="str">
        <f>IF(ISBLANK(continental!I379),"",continental!I379)</f>
        <v/>
      </c>
      <c r="K1336" s="225" t="s">
        <v>4159</v>
      </c>
      <c r="O1336" s="225" t="s">
        <v>4159</v>
      </c>
    </row>
    <row r="1337" spans="1:15" ht="12.75" customHeight="1" x14ac:dyDescent="0.3">
      <c r="A1337" s="797"/>
      <c r="B1337" s="797"/>
      <c r="C1337" s="797" t="s">
        <v>1586</v>
      </c>
      <c r="D1337" s="797"/>
      <c r="E1337" s="797"/>
      <c r="F1337" s="797"/>
      <c r="G1337" s="796" t="s">
        <v>2286</v>
      </c>
      <c r="H1337" s="796" t="s">
        <v>291</v>
      </c>
      <c r="I1337" s="220" t="str">
        <f>IF(ISBLANK(continental!I380),"",continental!I380)</f>
        <v/>
      </c>
      <c r="K1337" s="225" t="s">
        <v>4159</v>
      </c>
      <c r="O1337" s="225" t="s">
        <v>4159</v>
      </c>
    </row>
    <row r="1338" spans="1:15" ht="12.75" customHeight="1" x14ac:dyDescent="0.3">
      <c r="A1338" s="797"/>
      <c r="B1338" s="797"/>
      <c r="C1338" s="797" t="s">
        <v>1588</v>
      </c>
      <c r="D1338" s="797"/>
      <c r="E1338" s="797"/>
      <c r="F1338" s="797"/>
      <c r="G1338" s="796" t="s">
        <v>2287</v>
      </c>
      <c r="H1338" s="796" t="s">
        <v>291</v>
      </c>
      <c r="I1338" s="220" t="str">
        <f>IF(ISBLANK(continental!I381),"",continental!I381)</f>
        <v/>
      </c>
      <c r="K1338" s="225" t="s">
        <v>4159</v>
      </c>
      <c r="O1338" s="225" t="s">
        <v>4159</v>
      </c>
    </row>
    <row r="1339" spans="1:15" ht="12.75" customHeight="1" x14ac:dyDescent="0.3">
      <c r="A1339" s="797"/>
      <c r="B1339" s="797"/>
      <c r="C1339" s="797" t="s">
        <v>1590</v>
      </c>
      <c r="D1339" s="797"/>
      <c r="E1339" s="797"/>
      <c r="F1339" s="797"/>
      <c r="G1339" s="796" t="s">
        <v>2288</v>
      </c>
      <c r="H1339" s="796" t="s">
        <v>291</v>
      </c>
      <c r="I1339" s="220" t="str">
        <f>IF(ISBLANK(continental!I382),"",continental!I382)</f>
        <v/>
      </c>
      <c r="K1339" s="225" t="s">
        <v>4159</v>
      </c>
      <c r="O1339" s="225" t="s">
        <v>4159</v>
      </c>
    </row>
    <row r="1340" spans="1:15" ht="12.75" customHeight="1" x14ac:dyDescent="0.3">
      <c r="A1340" s="797" t="s">
        <v>1592</v>
      </c>
      <c r="B1340" s="797"/>
      <c r="C1340" s="797"/>
      <c r="D1340" s="797"/>
      <c r="E1340" s="797"/>
      <c r="F1340" s="797"/>
      <c r="G1340" s="796" t="s">
        <v>2289</v>
      </c>
      <c r="H1340" s="796" t="s">
        <v>335</v>
      </c>
      <c r="I1340" s="220" t="str">
        <f>IF(ISBLANK(continental!I383),"",continental!I383)</f>
        <v/>
      </c>
      <c r="K1340" s="225" t="s">
        <v>4159</v>
      </c>
      <c r="O1340" s="225" t="s">
        <v>4159</v>
      </c>
    </row>
    <row r="1341" spans="1:15" ht="12.75" customHeight="1" x14ac:dyDescent="0.3">
      <c r="A1341" s="797"/>
      <c r="B1341" s="797" t="s">
        <v>1594</v>
      </c>
      <c r="C1341" s="797"/>
      <c r="D1341" s="797"/>
      <c r="E1341" s="797"/>
      <c r="F1341" s="797"/>
      <c r="G1341" s="796" t="s">
        <v>2290</v>
      </c>
      <c r="H1341" s="796" t="s">
        <v>291</v>
      </c>
      <c r="I1341" s="220" t="str">
        <f>IF(ISBLANK(continental!I384),"",continental!I384)</f>
        <v/>
      </c>
      <c r="K1341" s="225" t="s">
        <v>4159</v>
      </c>
      <c r="O1341" s="225" t="s">
        <v>4159</v>
      </c>
    </row>
    <row r="1342" spans="1:15" ht="12.75" customHeight="1" x14ac:dyDescent="0.3">
      <c r="A1342" s="797"/>
      <c r="B1342" s="797" t="s">
        <v>1596</v>
      </c>
      <c r="C1342" s="797"/>
      <c r="D1342" s="797"/>
      <c r="E1342" s="797"/>
      <c r="F1342" s="797"/>
      <c r="G1342" s="796" t="s">
        <v>2291</v>
      </c>
      <c r="H1342" s="796"/>
      <c r="I1342" s="220" t="str">
        <f>IF(ISBLANK(continental!I385),"",continental!I385)</f>
        <v/>
      </c>
      <c r="K1342" s="225" t="s">
        <v>4159</v>
      </c>
      <c r="O1342" s="225" t="s">
        <v>4159</v>
      </c>
    </row>
    <row r="1343" spans="1:15" ht="12.75" customHeight="1" x14ac:dyDescent="0.3">
      <c r="A1343" s="797"/>
      <c r="B1343" s="797" t="s">
        <v>1574</v>
      </c>
      <c r="C1343" s="797"/>
      <c r="D1343" s="797"/>
      <c r="E1343" s="797"/>
      <c r="F1343" s="797"/>
      <c r="G1343" s="796" t="s">
        <v>2292</v>
      </c>
      <c r="H1343" s="796" t="s">
        <v>1576</v>
      </c>
      <c r="I1343" s="220" t="str">
        <f>IF(ISBLANK(continental!I386),"",continental!I386)</f>
        <v/>
      </c>
      <c r="K1343" s="225" t="s">
        <v>4159</v>
      </c>
      <c r="O1343" s="225" t="s">
        <v>4159</v>
      </c>
    </row>
    <row r="1344" spans="1:15" ht="12.75" customHeight="1" x14ac:dyDescent="0.3">
      <c r="A1344" s="797"/>
      <c r="B1344" s="797" t="s">
        <v>1599</v>
      </c>
      <c r="C1344" s="797"/>
      <c r="D1344" s="797"/>
      <c r="E1344" s="797"/>
      <c r="F1344" s="797"/>
      <c r="G1344" s="796" t="s">
        <v>2293</v>
      </c>
      <c r="H1344" s="796" t="s">
        <v>291</v>
      </c>
      <c r="I1344" s="220" t="str">
        <f>IF(ISBLANK(continental!I387),"",continental!I387)</f>
        <v/>
      </c>
      <c r="K1344" s="225" t="s">
        <v>4159</v>
      </c>
      <c r="O1344" s="225" t="s">
        <v>4159</v>
      </c>
    </row>
    <row r="1345" spans="1:15" ht="12.75" customHeight="1" x14ac:dyDescent="0.3">
      <c r="A1345" s="797"/>
      <c r="B1345" s="797" t="s">
        <v>1580</v>
      </c>
      <c r="C1345" s="797"/>
      <c r="D1345" s="797"/>
      <c r="E1345" s="797"/>
      <c r="F1345" s="797"/>
      <c r="G1345" s="796" t="s">
        <v>2294</v>
      </c>
      <c r="H1345" s="796" t="s">
        <v>866</v>
      </c>
      <c r="I1345" s="220" t="str">
        <f>IF(ISBLANK(continental!I388),"",continental!I388)</f>
        <v/>
      </c>
      <c r="K1345" s="225" t="s">
        <v>4159</v>
      </c>
      <c r="O1345" s="225" t="s">
        <v>4159</v>
      </c>
    </row>
    <row r="1346" spans="1:15" ht="12.75" customHeight="1" x14ac:dyDescent="0.3">
      <c r="A1346" s="797"/>
      <c r="B1346" s="797" t="s">
        <v>1582</v>
      </c>
      <c r="C1346" s="797"/>
      <c r="D1346" s="797"/>
      <c r="E1346" s="797"/>
      <c r="F1346" s="797"/>
      <c r="G1346" s="796" t="s">
        <v>2295</v>
      </c>
      <c r="H1346" s="796" t="s">
        <v>291</v>
      </c>
      <c r="I1346" s="220" t="str">
        <f>IF(ISBLANK(continental!I389),"",continental!I389)</f>
        <v/>
      </c>
      <c r="K1346" s="225" t="s">
        <v>4159</v>
      </c>
      <c r="O1346" s="225" t="s">
        <v>4159</v>
      </c>
    </row>
    <row r="1347" spans="1:15" ht="12.75" customHeight="1" x14ac:dyDescent="0.3">
      <c r="A1347" s="797"/>
      <c r="B1347" s="797"/>
      <c r="C1347" s="797" t="s">
        <v>1584</v>
      </c>
      <c r="D1347" s="797"/>
      <c r="E1347" s="797"/>
      <c r="F1347" s="797"/>
      <c r="G1347" s="796" t="s">
        <v>2296</v>
      </c>
      <c r="H1347" s="796" t="s">
        <v>291</v>
      </c>
      <c r="I1347" s="220" t="str">
        <f>IF(ISBLANK(continental!I390),"",continental!I390)</f>
        <v/>
      </c>
      <c r="K1347" s="225" t="s">
        <v>4159</v>
      </c>
      <c r="O1347" s="225" t="s">
        <v>4159</v>
      </c>
    </row>
    <row r="1348" spans="1:15" ht="12.75" customHeight="1" x14ac:dyDescent="0.3">
      <c r="A1348" s="797"/>
      <c r="B1348" s="797"/>
      <c r="C1348" s="797" t="s">
        <v>1586</v>
      </c>
      <c r="D1348" s="797"/>
      <c r="E1348" s="797"/>
      <c r="F1348" s="797"/>
      <c r="G1348" s="796" t="s">
        <v>2297</v>
      </c>
      <c r="H1348" s="796" t="s">
        <v>291</v>
      </c>
      <c r="I1348" s="220" t="str">
        <f>IF(ISBLANK(continental!I391),"",continental!I391)</f>
        <v/>
      </c>
      <c r="K1348" s="225" t="s">
        <v>4159</v>
      </c>
      <c r="O1348" s="225" t="s">
        <v>4159</v>
      </c>
    </row>
    <row r="1349" spans="1:15" ht="12.75" customHeight="1" x14ac:dyDescent="0.3">
      <c r="A1349" s="797"/>
      <c r="B1349" s="797"/>
      <c r="C1349" s="797" t="s">
        <v>1588</v>
      </c>
      <c r="D1349" s="797"/>
      <c r="E1349" s="797"/>
      <c r="F1349" s="797"/>
      <c r="G1349" s="796" t="s">
        <v>2298</v>
      </c>
      <c r="H1349" s="796" t="s">
        <v>291</v>
      </c>
      <c r="I1349" s="220" t="str">
        <f>IF(ISBLANK(continental!I392),"",continental!I392)</f>
        <v/>
      </c>
      <c r="K1349" s="225" t="s">
        <v>4159</v>
      </c>
      <c r="O1349" s="225" t="s">
        <v>4159</v>
      </c>
    </row>
    <row r="1350" spans="1:15" ht="12.75" customHeight="1" x14ac:dyDescent="0.3">
      <c r="A1350" s="797"/>
      <c r="B1350" s="797"/>
      <c r="C1350" s="797" t="s">
        <v>1590</v>
      </c>
      <c r="D1350" s="797"/>
      <c r="E1350" s="797"/>
      <c r="F1350" s="797"/>
      <c r="G1350" s="796" t="s">
        <v>2299</v>
      </c>
      <c r="H1350" s="796" t="s">
        <v>291</v>
      </c>
      <c r="I1350" s="220" t="str">
        <f>IF(ISBLANK(continental!I393),"",continental!I393)</f>
        <v/>
      </c>
      <c r="K1350" s="225" t="s">
        <v>4159</v>
      </c>
      <c r="O1350" s="225" t="s">
        <v>4159</v>
      </c>
    </row>
    <row r="1351" spans="1:15" ht="12.75" customHeight="1" x14ac:dyDescent="0.3">
      <c r="A1351" s="797" t="s">
        <v>1607</v>
      </c>
      <c r="B1351" s="797"/>
      <c r="C1351" s="797"/>
      <c r="D1351" s="797"/>
      <c r="E1351" s="797"/>
      <c r="F1351" s="797"/>
      <c r="G1351" s="796" t="s">
        <v>2300</v>
      </c>
      <c r="H1351" s="796" t="s">
        <v>335</v>
      </c>
      <c r="I1351" s="220" t="str">
        <f>IF(ISBLANK(continental!I394),"",continental!I394)</f>
        <v/>
      </c>
      <c r="K1351" s="225" t="s">
        <v>4159</v>
      </c>
      <c r="O1351" s="225" t="s">
        <v>4159</v>
      </c>
    </row>
    <row r="1352" spans="1:15" ht="12.75" customHeight="1" x14ac:dyDescent="0.3">
      <c r="A1352" s="841" t="s">
        <v>1610</v>
      </c>
      <c r="B1352" s="841"/>
      <c r="C1352" s="841"/>
      <c r="D1352" s="841"/>
      <c r="E1352" s="841"/>
      <c r="F1352" s="841"/>
      <c r="G1352" s="844" t="s">
        <v>2301</v>
      </c>
      <c r="H1352" s="844" t="s">
        <v>335</v>
      </c>
      <c r="I1352" s="220" t="str">
        <f>IF(ISBLANK(continental!I395),"",continental!I395)</f>
        <v/>
      </c>
      <c r="K1352" s="225" t="s">
        <v>4159</v>
      </c>
      <c r="O1352" s="225" t="s">
        <v>4159</v>
      </c>
    </row>
    <row r="1353" spans="1:15" ht="12.75" customHeight="1" x14ac:dyDescent="0.3">
      <c r="A1353" s="797"/>
      <c r="B1353" s="797" t="s">
        <v>1612</v>
      </c>
      <c r="C1353" s="797"/>
      <c r="D1353" s="797"/>
      <c r="E1353" s="797"/>
      <c r="F1353" s="797"/>
      <c r="G1353" s="796" t="s">
        <v>2302</v>
      </c>
      <c r="H1353" s="796" t="s">
        <v>866</v>
      </c>
      <c r="I1353" s="220" t="str">
        <f>IF(ISBLANK(continental!I396),"",continental!I396)</f>
        <v/>
      </c>
      <c r="K1353" s="225" t="s">
        <v>4159</v>
      </c>
      <c r="O1353" s="225" t="s">
        <v>4159</v>
      </c>
    </row>
    <row r="1354" spans="1:15" ht="12.75" customHeight="1" x14ac:dyDescent="0.3">
      <c r="A1354" s="797"/>
      <c r="B1354" s="797" t="s">
        <v>1614</v>
      </c>
      <c r="C1354" s="797"/>
      <c r="D1354" s="797"/>
      <c r="E1354" s="797"/>
      <c r="F1354" s="797"/>
      <c r="G1354" s="796" t="s">
        <v>2303</v>
      </c>
      <c r="H1354" s="796" t="s">
        <v>1616</v>
      </c>
      <c r="I1354" s="220" t="str">
        <f>IF(ISBLANK(continental!I397),"",continental!I397)</f>
        <v/>
      </c>
      <c r="K1354" s="225" t="s">
        <v>4159</v>
      </c>
      <c r="O1354" s="225" t="s">
        <v>4159</v>
      </c>
    </row>
    <row r="1355" spans="1:15" ht="12.75" customHeight="1" x14ac:dyDescent="0.3">
      <c r="A1355" s="797"/>
      <c r="B1355" s="797" t="s">
        <v>1619</v>
      </c>
      <c r="C1355" s="797"/>
      <c r="D1355" s="797"/>
      <c r="E1355" s="797"/>
      <c r="F1355" s="797"/>
      <c r="G1355" s="796" t="s">
        <v>2304</v>
      </c>
      <c r="H1355" s="796" t="s">
        <v>1616</v>
      </c>
      <c r="I1355" s="220" t="str">
        <f>IF(ISBLANK(continental!I398),"",continental!I398)</f>
        <v/>
      </c>
      <c r="K1355" s="225" t="s">
        <v>4159</v>
      </c>
      <c r="O1355" s="225" t="s">
        <v>4159</v>
      </c>
    </row>
    <row r="1356" spans="1:15" ht="12.75" customHeight="1" x14ac:dyDescent="0.3">
      <c r="A1356" s="797"/>
      <c r="B1356" s="797"/>
      <c r="C1356" s="797" t="s">
        <v>1622</v>
      </c>
      <c r="D1356" s="797"/>
      <c r="E1356" s="797"/>
      <c r="F1356" s="797"/>
      <c r="G1356" s="796" t="s">
        <v>2305</v>
      </c>
      <c r="H1356" s="796" t="s">
        <v>866</v>
      </c>
      <c r="I1356" s="220" t="str">
        <f>IF(ISBLANK(continental!I399),"",continental!I399)</f>
        <v/>
      </c>
      <c r="K1356" s="225" t="s">
        <v>4159</v>
      </c>
      <c r="O1356" s="225" t="s">
        <v>4159</v>
      </c>
    </row>
    <row r="1357" spans="1:15" ht="12.75" customHeight="1" x14ac:dyDescent="0.3">
      <c r="A1357" s="797"/>
      <c r="B1357" s="797"/>
      <c r="C1357" s="797" t="s">
        <v>1584</v>
      </c>
      <c r="D1357" s="797"/>
      <c r="E1357" s="797"/>
      <c r="F1357" s="797"/>
      <c r="G1357" s="796" t="s">
        <v>2306</v>
      </c>
      <c r="H1357" s="796" t="s">
        <v>291</v>
      </c>
      <c r="I1357" s="220" t="str">
        <f>IF(ISBLANK(continental!I400),"",continental!I400)</f>
        <v/>
      </c>
      <c r="K1357" s="225" t="s">
        <v>4159</v>
      </c>
      <c r="O1357" s="225" t="s">
        <v>4159</v>
      </c>
    </row>
    <row r="1358" spans="1:15" ht="12.75" customHeight="1" x14ac:dyDescent="0.3">
      <c r="A1358" s="797"/>
      <c r="B1358" s="797"/>
      <c r="C1358" s="797" t="s">
        <v>1586</v>
      </c>
      <c r="D1358" s="797"/>
      <c r="E1358" s="797"/>
      <c r="F1358" s="797"/>
      <c r="G1358" s="796" t="s">
        <v>2307</v>
      </c>
      <c r="H1358" s="796" t="s">
        <v>291</v>
      </c>
      <c r="I1358" s="220" t="str">
        <f>IF(ISBLANK(continental!I401),"",continental!I401)</f>
        <v/>
      </c>
      <c r="K1358" s="225" t="s">
        <v>4159</v>
      </c>
      <c r="O1358" s="225" t="s">
        <v>4159</v>
      </c>
    </row>
    <row r="1359" spans="1:15" ht="12.75" customHeight="1" x14ac:dyDescent="0.3">
      <c r="A1359" s="797"/>
      <c r="B1359" s="797"/>
      <c r="C1359" s="797"/>
      <c r="D1359" s="797" t="s">
        <v>1629</v>
      </c>
      <c r="E1359" s="797"/>
      <c r="F1359" s="797"/>
      <c r="G1359" s="796" t="s">
        <v>2308</v>
      </c>
      <c r="H1359" s="796" t="s">
        <v>813</v>
      </c>
      <c r="I1359" s="220" t="str">
        <f>IF(ISBLANK(continental!I402),"",continental!I402)</f>
        <v/>
      </c>
      <c r="K1359" s="225" t="s">
        <v>4159</v>
      </c>
      <c r="O1359" s="225" t="s">
        <v>4159</v>
      </c>
    </row>
    <row r="1360" spans="1:15" ht="12.75" customHeight="1" x14ac:dyDescent="0.3">
      <c r="A1360" s="797"/>
      <c r="B1360" s="797"/>
      <c r="C1360" s="797"/>
      <c r="D1360" s="797" t="s">
        <v>1631</v>
      </c>
      <c r="E1360" s="797"/>
      <c r="F1360" s="797"/>
      <c r="G1360" s="796" t="s">
        <v>2309</v>
      </c>
      <c r="H1360" s="796" t="s">
        <v>813</v>
      </c>
      <c r="I1360" s="220" t="str">
        <f>IF(ISBLANK(continental!I403),"",continental!I403)</f>
        <v/>
      </c>
      <c r="K1360" s="225" t="s">
        <v>4159</v>
      </c>
      <c r="O1360" s="225" t="s">
        <v>4159</v>
      </c>
    </row>
    <row r="1361" spans="1:15" ht="12.75" customHeight="1" x14ac:dyDescent="0.3">
      <c r="A1361" s="797"/>
      <c r="B1361" s="797"/>
      <c r="C1361" s="797"/>
      <c r="D1361" s="797" t="s">
        <v>1633</v>
      </c>
      <c r="E1361" s="797"/>
      <c r="F1361" s="797"/>
      <c r="G1361" s="796" t="s">
        <v>2310</v>
      </c>
      <c r="H1361" s="796" t="s">
        <v>291</v>
      </c>
      <c r="I1361" s="220" t="str">
        <f>IF(ISBLANK(continental!I404),"",continental!I404)</f>
        <v/>
      </c>
      <c r="K1361" s="225" t="s">
        <v>4159</v>
      </c>
      <c r="O1361" s="225" t="s">
        <v>4159</v>
      </c>
    </row>
    <row r="1362" spans="1:15" ht="12.75" customHeight="1" x14ac:dyDescent="0.3">
      <c r="A1362" s="797"/>
      <c r="B1362" s="797"/>
      <c r="C1362" s="797" t="s">
        <v>1588</v>
      </c>
      <c r="D1362" s="797"/>
      <c r="E1362" s="797"/>
      <c r="F1362" s="797"/>
      <c r="G1362" s="796" t="s">
        <v>2311</v>
      </c>
      <c r="H1362" s="796" t="s">
        <v>291</v>
      </c>
      <c r="I1362" s="220" t="str">
        <f>IF(ISBLANK(continental!I405),"",continental!I405)</f>
        <v/>
      </c>
      <c r="K1362" s="225" t="s">
        <v>4159</v>
      </c>
      <c r="O1362" s="225" t="s">
        <v>4159</v>
      </c>
    </row>
    <row r="1363" spans="1:15" ht="12.75" customHeight="1" x14ac:dyDescent="0.3">
      <c r="A1363" s="797" t="s">
        <v>1637</v>
      </c>
      <c r="B1363" s="797"/>
      <c r="C1363" s="797"/>
      <c r="D1363" s="797"/>
      <c r="E1363" s="797"/>
      <c r="F1363" s="797"/>
      <c r="G1363" s="796" t="s">
        <v>2312</v>
      </c>
      <c r="H1363" s="796" t="s">
        <v>335</v>
      </c>
      <c r="I1363" s="220" t="str">
        <f>IF(ISBLANK(continental!I406),"",continental!I406)</f>
        <v/>
      </c>
      <c r="K1363" s="225" t="s">
        <v>4159</v>
      </c>
      <c r="O1363" s="225" t="s">
        <v>4159</v>
      </c>
    </row>
    <row r="1364" spans="1:15" ht="12.75" customHeight="1" x14ac:dyDescent="0.3">
      <c r="A1364" s="797"/>
      <c r="B1364" s="797" t="s">
        <v>1612</v>
      </c>
      <c r="C1364" s="797"/>
      <c r="D1364" s="797"/>
      <c r="E1364" s="797"/>
      <c r="F1364" s="797"/>
      <c r="G1364" s="796" t="s">
        <v>2313</v>
      </c>
      <c r="H1364" s="796" t="s">
        <v>866</v>
      </c>
      <c r="I1364" s="220" t="str">
        <f>IF(ISBLANK(continental!I407),"",continental!I407)</f>
        <v/>
      </c>
      <c r="K1364" s="225" t="s">
        <v>4159</v>
      </c>
      <c r="O1364" s="225" t="s">
        <v>4159</v>
      </c>
    </row>
    <row r="1365" spans="1:15" ht="12.75" customHeight="1" x14ac:dyDescent="0.3">
      <c r="A1365" s="797"/>
      <c r="B1365" s="797" t="s">
        <v>1614</v>
      </c>
      <c r="C1365" s="797"/>
      <c r="D1365" s="797"/>
      <c r="E1365" s="797"/>
      <c r="F1365" s="797"/>
      <c r="G1365" s="796" t="s">
        <v>2314</v>
      </c>
      <c r="H1365" s="796" t="s">
        <v>1616</v>
      </c>
      <c r="I1365" s="220" t="str">
        <f>IF(ISBLANK(continental!I408),"",continental!I408)</f>
        <v/>
      </c>
      <c r="K1365" s="225" t="s">
        <v>4159</v>
      </c>
      <c r="O1365" s="225" t="s">
        <v>4159</v>
      </c>
    </row>
    <row r="1366" spans="1:15" ht="12.75" customHeight="1" x14ac:dyDescent="0.3">
      <c r="A1366" s="797"/>
      <c r="B1366" s="797" t="s">
        <v>1619</v>
      </c>
      <c r="C1366" s="797"/>
      <c r="D1366" s="797"/>
      <c r="E1366" s="797"/>
      <c r="F1366" s="797"/>
      <c r="G1366" s="796" t="s">
        <v>2315</v>
      </c>
      <c r="H1366" s="796" t="s">
        <v>1616</v>
      </c>
      <c r="I1366" s="220" t="str">
        <f>IF(ISBLANK(continental!I409),"",continental!I409)</f>
        <v/>
      </c>
      <c r="K1366" s="225" t="s">
        <v>4159</v>
      </c>
      <c r="O1366" s="225" t="s">
        <v>4159</v>
      </c>
    </row>
    <row r="1367" spans="1:15" ht="12.75" customHeight="1" x14ac:dyDescent="0.3">
      <c r="A1367" s="797"/>
      <c r="B1367" s="797"/>
      <c r="C1367" s="797" t="s">
        <v>1622</v>
      </c>
      <c r="D1367" s="797"/>
      <c r="E1367" s="797"/>
      <c r="F1367" s="797"/>
      <c r="G1367" s="796" t="s">
        <v>2316</v>
      </c>
      <c r="H1367" s="796" t="s">
        <v>866</v>
      </c>
      <c r="I1367" s="220" t="str">
        <f>IF(ISBLANK(continental!I410),"",continental!I410)</f>
        <v/>
      </c>
      <c r="K1367" s="225" t="s">
        <v>4159</v>
      </c>
      <c r="O1367" s="225" t="s">
        <v>4159</v>
      </c>
    </row>
    <row r="1368" spans="1:15" ht="12.75" customHeight="1" x14ac:dyDescent="0.3">
      <c r="A1368" s="797"/>
      <c r="B1368" s="797"/>
      <c r="C1368" s="797" t="s">
        <v>1584</v>
      </c>
      <c r="D1368" s="797"/>
      <c r="E1368" s="797"/>
      <c r="F1368" s="797"/>
      <c r="G1368" s="796" t="s">
        <v>2317</v>
      </c>
      <c r="H1368" s="796" t="s">
        <v>291</v>
      </c>
      <c r="I1368" s="220" t="str">
        <f>IF(ISBLANK(continental!I411),"",continental!I411)</f>
        <v/>
      </c>
      <c r="K1368" s="225" t="s">
        <v>4159</v>
      </c>
      <c r="O1368" s="225" t="s">
        <v>4159</v>
      </c>
    </row>
    <row r="1369" spans="1:15" ht="12.75" customHeight="1" x14ac:dyDescent="0.3">
      <c r="A1369" s="797"/>
      <c r="B1369" s="797"/>
      <c r="C1369" s="797" t="s">
        <v>1586</v>
      </c>
      <c r="D1369" s="797"/>
      <c r="E1369" s="797"/>
      <c r="F1369" s="797"/>
      <c r="G1369" s="796" t="s">
        <v>2318</v>
      </c>
      <c r="H1369" s="796" t="s">
        <v>291</v>
      </c>
      <c r="I1369" s="220" t="str">
        <f>IF(ISBLANK(continental!I412),"",continental!I412)</f>
        <v/>
      </c>
      <c r="K1369" s="225" t="s">
        <v>4159</v>
      </c>
      <c r="O1369" s="225" t="s">
        <v>4159</v>
      </c>
    </row>
    <row r="1370" spans="1:15" ht="12.75" customHeight="1" x14ac:dyDescent="0.3">
      <c r="A1370" s="797"/>
      <c r="B1370" s="797"/>
      <c r="C1370" s="797"/>
      <c r="D1370" s="797" t="s">
        <v>1629</v>
      </c>
      <c r="E1370" s="797"/>
      <c r="F1370" s="797"/>
      <c r="G1370" s="796" t="s">
        <v>2319</v>
      </c>
      <c r="H1370" s="796" t="s">
        <v>813</v>
      </c>
      <c r="I1370" s="220" t="str">
        <f>IF(ISBLANK(continental!I413),"",continental!I413)</f>
        <v/>
      </c>
      <c r="K1370" s="225" t="s">
        <v>4159</v>
      </c>
      <c r="O1370" s="225" t="s">
        <v>4159</v>
      </c>
    </row>
    <row r="1371" spans="1:15" ht="12.75" customHeight="1" x14ac:dyDescent="0.3">
      <c r="A1371" s="797"/>
      <c r="B1371" s="797"/>
      <c r="C1371" s="797"/>
      <c r="D1371" s="797" t="s">
        <v>1631</v>
      </c>
      <c r="E1371" s="797"/>
      <c r="F1371" s="797"/>
      <c r="G1371" s="796" t="s">
        <v>2320</v>
      </c>
      <c r="H1371" s="796" t="s">
        <v>813</v>
      </c>
      <c r="I1371" s="220" t="str">
        <f>IF(ISBLANK(continental!I414),"",continental!I414)</f>
        <v/>
      </c>
      <c r="K1371" s="225" t="s">
        <v>4159</v>
      </c>
      <c r="O1371" s="225" t="s">
        <v>4159</v>
      </c>
    </row>
    <row r="1372" spans="1:15" ht="12.75" customHeight="1" x14ac:dyDescent="0.3">
      <c r="A1372" s="797"/>
      <c r="B1372" s="797"/>
      <c r="C1372" s="797"/>
      <c r="D1372" s="797" t="s">
        <v>1633</v>
      </c>
      <c r="E1372" s="797"/>
      <c r="F1372" s="797"/>
      <c r="G1372" s="796" t="s">
        <v>2321</v>
      </c>
      <c r="H1372" s="796" t="s">
        <v>291</v>
      </c>
      <c r="I1372" s="220" t="str">
        <f>IF(ISBLANK(continental!I415),"",continental!I415)</f>
        <v/>
      </c>
      <c r="K1372" s="225" t="s">
        <v>4159</v>
      </c>
      <c r="O1372" s="225" t="s">
        <v>4159</v>
      </c>
    </row>
    <row r="1373" spans="1:15" ht="12.75" customHeight="1" x14ac:dyDescent="0.3">
      <c r="A1373" s="797"/>
      <c r="B1373" s="797"/>
      <c r="C1373" s="797" t="s">
        <v>1588</v>
      </c>
      <c r="D1373" s="797"/>
      <c r="E1373" s="797"/>
      <c r="F1373" s="797"/>
      <c r="G1373" s="796" t="s">
        <v>2322</v>
      </c>
      <c r="H1373" s="796" t="s">
        <v>291</v>
      </c>
      <c r="I1373" s="220" t="str">
        <f>IF(ISBLANK(continental!I416),"",continental!I416)</f>
        <v/>
      </c>
      <c r="K1373" s="225" t="s">
        <v>4159</v>
      </c>
      <c r="O1373" s="225" t="s">
        <v>4159</v>
      </c>
    </row>
    <row r="1374" spans="1:15" ht="12.75" customHeight="1" x14ac:dyDescent="0.3">
      <c r="A1374" s="797" t="s">
        <v>1649</v>
      </c>
      <c r="B1374" s="797"/>
      <c r="C1374" s="797"/>
      <c r="D1374" s="797"/>
      <c r="E1374" s="797"/>
      <c r="F1374" s="797"/>
      <c r="G1374" s="796" t="s">
        <v>2323</v>
      </c>
      <c r="H1374" s="796" t="s">
        <v>335</v>
      </c>
      <c r="I1374" s="220" t="str">
        <f>IF(ISBLANK(continental!I417),"",continental!I417)</f>
        <v/>
      </c>
      <c r="K1374" s="225" t="s">
        <v>4159</v>
      </c>
      <c r="O1374" s="225" t="s">
        <v>4159</v>
      </c>
    </row>
    <row r="1375" spans="1:15" ht="12.75" customHeight="1" x14ac:dyDescent="0.3">
      <c r="A1375" s="797"/>
      <c r="B1375" s="797" t="s">
        <v>1612</v>
      </c>
      <c r="C1375" s="797"/>
      <c r="D1375" s="797"/>
      <c r="E1375" s="797"/>
      <c r="F1375" s="797"/>
      <c r="G1375" s="796" t="s">
        <v>2324</v>
      </c>
      <c r="H1375" s="796" t="s">
        <v>866</v>
      </c>
      <c r="I1375" s="220" t="str">
        <f>IF(ISBLANK(continental!I418),"",continental!I418)</f>
        <v/>
      </c>
      <c r="K1375" s="225" t="s">
        <v>4159</v>
      </c>
      <c r="O1375" s="225" t="s">
        <v>4159</v>
      </c>
    </row>
    <row r="1376" spans="1:15" ht="12.75" customHeight="1" x14ac:dyDescent="0.3">
      <c r="A1376" s="797"/>
      <c r="B1376" s="797" t="s">
        <v>1614</v>
      </c>
      <c r="C1376" s="797"/>
      <c r="D1376" s="797"/>
      <c r="E1376" s="797"/>
      <c r="F1376" s="797"/>
      <c r="G1376" s="796" t="s">
        <v>2325</v>
      </c>
      <c r="H1376" s="796" t="s">
        <v>1616</v>
      </c>
      <c r="I1376" s="220" t="str">
        <f>IF(ISBLANK(continental!I419),"",continental!I419)</f>
        <v/>
      </c>
      <c r="K1376" s="225" t="s">
        <v>4159</v>
      </c>
      <c r="O1376" s="225" t="s">
        <v>4159</v>
      </c>
    </row>
    <row r="1377" spans="1:15" ht="12.75" customHeight="1" x14ac:dyDescent="0.3">
      <c r="A1377" s="797"/>
      <c r="B1377" s="797" t="s">
        <v>1619</v>
      </c>
      <c r="C1377" s="797"/>
      <c r="D1377" s="797"/>
      <c r="E1377" s="797"/>
      <c r="F1377" s="797"/>
      <c r="G1377" s="796" t="s">
        <v>2326</v>
      </c>
      <c r="H1377" s="796" t="s">
        <v>1616</v>
      </c>
      <c r="I1377" s="220" t="str">
        <f>IF(ISBLANK(continental!I420),"",continental!I420)</f>
        <v/>
      </c>
      <c r="K1377" s="225" t="s">
        <v>4159</v>
      </c>
      <c r="O1377" s="225" t="s">
        <v>4159</v>
      </c>
    </row>
    <row r="1378" spans="1:15" ht="12.75" customHeight="1" x14ac:dyDescent="0.3">
      <c r="A1378" s="797"/>
      <c r="B1378" s="797"/>
      <c r="C1378" s="797" t="s">
        <v>1622</v>
      </c>
      <c r="D1378" s="797"/>
      <c r="E1378" s="797"/>
      <c r="F1378" s="797"/>
      <c r="G1378" s="796" t="s">
        <v>2327</v>
      </c>
      <c r="H1378" s="796" t="s">
        <v>866</v>
      </c>
      <c r="I1378" s="220" t="str">
        <f>IF(ISBLANK(continental!I421),"",continental!I421)</f>
        <v/>
      </c>
      <c r="K1378" s="225" t="s">
        <v>4159</v>
      </c>
      <c r="O1378" s="225" t="s">
        <v>4159</v>
      </c>
    </row>
    <row r="1379" spans="1:15" ht="12.75" customHeight="1" x14ac:dyDescent="0.3">
      <c r="A1379" s="797"/>
      <c r="B1379" s="797"/>
      <c r="C1379" s="797" t="s">
        <v>1584</v>
      </c>
      <c r="D1379" s="797"/>
      <c r="E1379" s="797"/>
      <c r="F1379" s="797"/>
      <c r="G1379" s="796" t="s">
        <v>2328</v>
      </c>
      <c r="H1379" s="796" t="s">
        <v>291</v>
      </c>
      <c r="I1379" s="220" t="str">
        <f>IF(ISBLANK(continental!I422),"",continental!I422)</f>
        <v/>
      </c>
      <c r="K1379" s="225" t="s">
        <v>4159</v>
      </c>
      <c r="O1379" s="225" t="s">
        <v>4159</v>
      </c>
    </row>
    <row r="1380" spans="1:15" ht="12.75" customHeight="1" x14ac:dyDescent="0.3">
      <c r="A1380" s="797"/>
      <c r="B1380" s="797"/>
      <c r="C1380" s="797" t="s">
        <v>1586</v>
      </c>
      <c r="D1380" s="797"/>
      <c r="E1380" s="797"/>
      <c r="F1380" s="797"/>
      <c r="G1380" s="796" t="s">
        <v>2329</v>
      </c>
      <c r="H1380" s="796" t="s">
        <v>291</v>
      </c>
      <c r="I1380" s="220" t="str">
        <f>IF(ISBLANK(continental!I423),"",continental!I423)</f>
        <v/>
      </c>
      <c r="K1380" s="225" t="s">
        <v>4159</v>
      </c>
      <c r="O1380" s="225" t="s">
        <v>4159</v>
      </c>
    </row>
    <row r="1381" spans="1:15" ht="12.75" customHeight="1" x14ac:dyDescent="0.3">
      <c r="A1381" s="797"/>
      <c r="B1381" s="797"/>
      <c r="C1381" s="797"/>
      <c r="D1381" s="797" t="s">
        <v>1629</v>
      </c>
      <c r="E1381" s="797"/>
      <c r="F1381" s="797"/>
      <c r="G1381" s="796" t="s">
        <v>2330</v>
      </c>
      <c r="H1381" s="796" t="s">
        <v>813</v>
      </c>
      <c r="I1381" s="220" t="str">
        <f>IF(ISBLANK(continental!I424),"",continental!I424)</f>
        <v/>
      </c>
      <c r="K1381" s="225" t="s">
        <v>4159</v>
      </c>
      <c r="O1381" s="225" t="s">
        <v>4159</v>
      </c>
    </row>
    <row r="1382" spans="1:15" ht="12.75" customHeight="1" x14ac:dyDescent="0.3">
      <c r="A1382" s="797"/>
      <c r="B1382" s="797"/>
      <c r="C1382" s="797"/>
      <c r="D1382" s="797" t="s">
        <v>1631</v>
      </c>
      <c r="E1382" s="797"/>
      <c r="F1382" s="797"/>
      <c r="G1382" s="796" t="s">
        <v>2331</v>
      </c>
      <c r="H1382" s="796" t="s">
        <v>813</v>
      </c>
      <c r="I1382" s="220" t="str">
        <f>IF(ISBLANK(continental!I425),"",continental!I425)</f>
        <v/>
      </c>
      <c r="K1382" s="225" t="s">
        <v>4159</v>
      </c>
      <c r="O1382" s="225" t="s">
        <v>4159</v>
      </c>
    </row>
    <row r="1383" spans="1:15" ht="12.75" customHeight="1" x14ac:dyDescent="0.3">
      <c r="A1383" s="797"/>
      <c r="B1383" s="797"/>
      <c r="C1383" s="797"/>
      <c r="D1383" s="797" t="s">
        <v>1633</v>
      </c>
      <c r="E1383" s="797"/>
      <c r="F1383" s="797"/>
      <c r="G1383" s="796" t="s">
        <v>2332</v>
      </c>
      <c r="H1383" s="796" t="s">
        <v>291</v>
      </c>
      <c r="I1383" s="220" t="str">
        <f>IF(ISBLANK(continental!I426),"",continental!I426)</f>
        <v/>
      </c>
      <c r="K1383" s="225" t="s">
        <v>4159</v>
      </c>
      <c r="O1383" s="225" t="s">
        <v>4159</v>
      </c>
    </row>
    <row r="1384" spans="1:15" ht="12.75" customHeight="1" x14ac:dyDescent="0.3">
      <c r="A1384" s="797"/>
      <c r="B1384" s="797"/>
      <c r="C1384" s="797" t="s">
        <v>1588</v>
      </c>
      <c r="D1384" s="797"/>
      <c r="E1384" s="797"/>
      <c r="F1384" s="797"/>
      <c r="G1384" s="796" t="s">
        <v>2333</v>
      </c>
      <c r="H1384" s="796" t="s">
        <v>291</v>
      </c>
      <c r="I1384" s="220" t="str">
        <f>IF(ISBLANK(continental!I427),"",continental!I427)</f>
        <v/>
      </c>
      <c r="K1384" s="225" t="s">
        <v>4159</v>
      </c>
      <c r="O1384" s="225" t="s">
        <v>4159</v>
      </c>
    </row>
    <row r="1385" spans="1:15" ht="12.75" customHeight="1" x14ac:dyDescent="0.3">
      <c r="A1385" s="797" t="s">
        <v>1661</v>
      </c>
      <c r="B1385" s="797"/>
      <c r="C1385" s="797"/>
      <c r="D1385" s="797"/>
      <c r="E1385" s="797"/>
      <c r="F1385" s="797"/>
      <c r="G1385" s="796" t="s">
        <v>2334</v>
      </c>
      <c r="H1385" s="796" t="s">
        <v>335</v>
      </c>
      <c r="I1385" s="220" t="str">
        <f>IF(ISBLANK(continental!I428),"",continental!I428)</f>
        <v/>
      </c>
      <c r="K1385" s="225" t="s">
        <v>4159</v>
      </c>
      <c r="O1385" s="225" t="s">
        <v>4159</v>
      </c>
    </row>
    <row r="1386" spans="1:15" ht="12.75" customHeight="1" x14ac:dyDescent="0.3">
      <c r="A1386" s="797"/>
      <c r="B1386" s="797" t="s">
        <v>1612</v>
      </c>
      <c r="C1386" s="797"/>
      <c r="D1386" s="797"/>
      <c r="E1386" s="797"/>
      <c r="F1386" s="797"/>
      <c r="G1386" s="796" t="s">
        <v>2335</v>
      </c>
      <c r="H1386" s="796" t="s">
        <v>866</v>
      </c>
      <c r="I1386" s="220" t="str">
        <f>IF(ISBLANK(continental!I429),"",continental!I429)</f>
        <v/>
      </c>
      <c r="K1386" s="225" t="s">
        <v>4159</v>
      </c>
      <c r="O1386" s="225" t="s">
        <v>4159</v>
      </c>
    </row>
    <row r="1387" spans="1:15" ht="12.75" customHeight="1" x14ac:dyDescent="0.3">
      <c r="A1387" s="797"/>
      <c r="B1387" s="797" t="s">
        <v>1619</v>
      </c>
      <c r="C1387" s="797"/>
      <c r="D1387" s="797"/>
      <c r="E1387" s="797"/>
      <c r="F1387" s="797"/>
      <c r="G1387" s="796" t="s">
        <v>2336</v>
      </c>
      <c r="H1387" s="796" t="s">
        <v>1616</v>
      </c>
      <c r="I1387" s="220" t="str">
        <f>IF(ISBLANK(continental!I430),"",continental!I430)</f>
        <v/>
      </c>
      <c r="K1387" s="225" t="s">
        <v>4159</v>
      </c>
      <c r="O1387" s="225" t="s">
        <v>4159</v>
      </c>
    </row>
    <row r="1388" spans="1:15" ht="12.75" customHeight="1" x14ac:dyDescent="0.3">
      <c r="A1388" s="797"/>
      <c r="B1388" s="797"/>
      <c r="C1388" s="797" t="s">
        <v>1584</v>
      </c>
      <c r="D1388" s="797"/>
      <c r="E1388" s="797"/>
      <c r="F1388" s="797"/>
      <c r="G1388" s="796" t="s">
        <v>2337</v>
      </c>
      <c r="H1388" s="796" t="s">
        <v>291</v>
      </c>
      <c r="I1388" s="220" t="str">
        <f>IF(ISBLANK(continental!I431),"",continental!I431)</f>
        <v/>
      </c>
      <c r="K1388" s="225" t="s">
        <v>4159</v>
      </c>
      <c r="O1388" s="225" t="s">
        <v>4159</v>
      </c>
    </row>
    <row r="1389" spans="1:15" ht="12.75" customHeight="1" x14ac:dyDescent="0.3">
      <c r="A1389" s="797"/>
      <c r="B1389" s="797"/>
      <c r="C1389" s="797" t="s">
        <v>1586</v>
      </c>
      <c r="D1389" s="797"/>
      <c r="E1389" s="797"/>
      <c r="F1389" s="797"/>
      <c r="G1389" s="796" t="s">
        <v>2338</v>
      </c>
      <c r="H1389" s="796" t="s">
        <v>291</v>
      </c>
      <c r="I1389" s="220" t="str">
        <f>IF(ISBLANK(continental!I432),"",continental!I432)</f>
        <v/>
      </c>
      <c r="K1389" s="225" t="s">
        <v>4159</v>
      </c>
      <c r="O1389" s="225" t="s">
        <v>4159</v>
      </c>
    </row>
    <row r="1390" spans="1:15" ht="12.75" customHeight="1" x14ac:dyDescent="0.3">
      <c r="A1390" s="797"/>
      <c r="B1390" s="797"/>
      <c r="C1390" s="797" t="s">
        <v>1588</v>
      </c>
      <c r="D1390" s="797"/>
      <c r="E1390" s="797"/>
      <c r="F1390" s="797"/>
      <c r="G1390" s="796" t="s">
        <v>2339</v>
      </c>
      <c r="H1390" s="796" t="s">
        <v>291</v>
      </c>
      <c r="I1390" s="220" t="str">
        <f>IF(ISBLANK(continental!I433),"",continental!I433)</f>
        <v/>
      </c>
      <c r="K1390" s="225" t="s">
        <v>4159</v>
      </c>
      <c r="O1390" s="225" t="s">
        <v>4159</v>
      </c>
    </row>
    <row r="1391" spans="1:15" ht="12.75" customHeight="1" x14ac:dyDescent="0.3">
      <c r="A1391" s="797" t="s">
        <v>1668</v>
      </c>
      <c r="B1391" s="797"/>
      <c r="C1391" s="797"/>
      <c r="D1391" s="797"/>
      <c r="E1391" s="797"/>
      <c r="F1391" s="797"/>
      <c r="G1391" s="796" t="s">
        <v>2340</v>
      </c>
      <c r="H1391" s="796" t="s">
        <v>335</v>
      </c>
      <c r="I1391" s="220" t="str">
        <f>IF(ISBLANK(continental!I434),"",continental!I434)</f>
        <v/>
      </c>
      <c r="K1391" s="225" t="s">
        <v>4159</v>
      </c>
      <c r="O1391" s="225" t="s">
        <v>4159</v>
      </c>
    </row>
    <row r="1392" spans="1:15" ht="12.75" customHeight="1" x14ac:dyDescent="0.3">
      <c r="A1392" s="797"/>
      <c r="B1392" s="797" t="s">
        <v>1612</v>
      </c>
      <c r="C1392" s="797"/>
      <c r="D1392" s="797"/>
      <c r="E1392" s="797"/>
      <c r="F1392" s="797"/>
      <c r="G1392" s="796" t="s">
        <v>2341</v>
      </c>
      <c r="H1392" s="796" t="s">
        <v>866</v>
      </c>
      <c r="I1392" s="220" t="str">
        <f>IF(ISBLANK(continental!I435),"",continental!I435)</f>
        <v/>
      </c>
      <c r="K1392" s="225" t="s">
        <v>4159</v>
      </c>
      <c r="O1392" s="225" t="s">
        <v>4159</v>
      </c>
    </row>
    <row r="1393" spans="1:15" ht="12.75" customHeight="1" x14ac:dyDescent="0.3">
      <c r="A1393" s="797"/>
      <c r="B1393" s="797" t="s">
        <v>1619</v>
      </c>
      <c r="C1393" s="797"/>
      <c r="D1393" s="797"/>
      <c r="E1393" s="797"/>
      <c r="F1393" s="797"/>
      <c r="G1393" s="796" t="s">
        <v>2342</v>
      </c>
      <c r="H1393" s="796" t="s">
        <v>1616</v>
      </c>
      <c r="I1393" s="220" t="str">
        <f>IF(ISBLANK(continental!I436),"",continental!I436)</f>
        <v/>
      </c>
      <c r="K1393" s="225" t="s">
        <v>4159</v>
      </c>
      <c r="O1393" s="225" t="s">
        <v>4159</v>
      </c>
    </row>
    <row r="1394" spans="1:15" ht="12.75" customHeight="1" x14ac:dyDescent="0.3">
      <c r="A1394" s="797"/>
      <c r="B1394" s="797"/>
      <c r="C1394" s="797" t="s">
        <v>1584</v>
      </c>
      <c r="D1394" s="797"/>
      <c r="E1394" s="797"/>
      <c r="F1394" s="797"/>
      <c r="G1394" s="796" t="s">
        <v>2343</v>
      </c>
      <c r="H1394" s="796" t="s">
        <v>291</v>
      </c>
      <c r="I1394" s="220" t="str">
        <f>IF(ISBLANK(continental!I437),"",continental!I437)</f>
        <v/>
      </c>
      <c r="K1394" s="225" t="s">
        <v>4159</v>
      </c>
      <c r="O1394" s="225" t="s">
        <v>4159</v>
      </c>
    </row>
    <row r="1395" spans="1:15" ht="12.75" customHeight="1" x14ac:dyDescent="0.3">
      <c r="A1395" s="797"/>
      <c r="B1395" s="797"/>
      <c r="C1395" s="797" t="s">
        <v>1586</v>
      </c>
      <c r="D1395" s="797"/>
      <c r="E1395" s="797"/>
      <c r="F1395" s="797"/>
      <c r="G1395" s="796" t="s">
        <v>2344</v>
      </c>
      <c r="H1395" s="796" t="s">
        <v>291</v>
      </c>
      <c r="I1395" s="220" t="str">
        <f>IF(ISBLANK(continental!I438),"",continental!I438)</f>
        <v/>
      </c>
      <c r="K1395" s="225" t="s">
        <v>4159</v>
      </c>
      <c r="O1395" s="225" t="s">
        <v>4159</v>
      </c>
    </row>
    <row r="1396" spans="1:15" ht="12.75" customHeight="1" x14ac:dyDescent="0.3">
      <c r="A1396" s="797"/>
      <c r="B1396" s="797"/>
      <c r="C1396" s="797" t="s">
        <v>1588</v>
      </c>
      <c r="D1396" s="797"/>
      <c r="E1396" s="797"/>
      <c r="F1396" s="797"/>
      <c r="G1396" s="796" t="s">
        <v>2345</v>
      </c>
      <c r="H1396" s="796" t="s">
        <v>291</v>
      </c>
      <c r="I1396" s="220" t="str">
        <f>IF(ISBLANK(continental!I439),"",continental!I439)</f>
        <v/>
      </c>
      <c r="K1396" s="225" t="s">
        <v>4159</v>
      </c>
      <c r="O1396" s="225" t="s">
        <v>4159</v>
      </c>
    </row>
    <row r="1397" spans="1:15" ht="12.75" customHeight="1" x14ac:dyDescent="0.3">
      <c r="A1397" s="797" t="s">
        <v>1675</v>
      </c>
      <c r="B1397" s="797"/>
      <c r="C1397" s="797"/>
      <c r="D1397" s="797"/>
      <c r="E1397" s="797"/>
      <c r="F1397" s="797"/>
      <c r="G1397" s="796" t="s">
        <v>2346</v>
      </c>
      <c r="H1397" s="796" t="s">
        <v>335</v>
      </c>
      <c r="I1397" s="220" t="str">
        <f>IF(ISBLANK(continental!I440),"",continental!I440)</f>
        <v/>
      </c>
      <c r="K1397" s="225" t="s">
        <v>4159</v>
      </c>
      <c r="O1397" s="225" t="s">
        <v>4159</v>
      </c>
    </row>
    <row r="1398" spans="1:15" ht="12.75" customHeight="1" x14ac:dyDescent="0.3">
      <c r="A1398" s="797"/>
      <c r="B1398" s="797" t="s">
        <v>1612</v>
      </c>
      <c r="C1398" s="797"/>
      <c r="D1398" s="797"/>
      <c r="E1398" s="797"/>
      <c r="F1398" s="797"/>
      <c r="G1398" s="796" t="s">
        <v>2347</v>
      </c>
      <c r="H1398" s="796" t="s">
        <v>866</v>
      </c>
      <c r="I1398" s="220" t="str">
        <f>IF(ISBLANK(continental!I441),"",continental!I441)</f>
        <v/>
      </c>
      <c r="K1398" s="225" t="s">
        <v>4159</v>
      </c>
      <c r="O1398" s="225" t="s">
        <v>4159</v>
      </c>
    </row>
    <row r="1399" spans="1:15" ht="12.75" customHeight="1" x14ac:dyDescent="0.3">
      <c r="A1399" s="797"/>
      <c r="B1399" s="797" t="s">
        <v>1619</v>
      </c>
      <c r="C1399" s="797"/>
      <c r="D1399" s="797"/>
      <c r="E1399" s="797"/>
      <c r="F1399" s="797"/>
      <c r="G1399" s="796" t="s">
        <v>2348</v>
      </c>
      <c r="H1399" s="796" t="s">
        <v>1616</v>
      </c>
      <c r="I1399" s="220" t="str">
        <f>IF(ISBLANK(continental!I442),"",continental!I442)</f>
        <v/>
      </c>
      <c r="K1399" s="225" t="s">
        <v>4159</v>
      </c>
      <c r="O1399" s="225" t="s">
        <v>4159</v>
      </c>
    </row>
    <row r="1400" spans="1:15" ht="12.75" customHeight="1" x14ac:dyDescent="0.3">
      <c r="A1400" s="797"/>
      <c r="B1400" s="797"/>
      <c r="C1400" s="797" t="s">
        <v>1584</v>
      </c>
      <c r="D1400" s="797"/>
      <c r="E1400" s="797"/>
      <c r="F1400" s="797"/>
      <c r="G1400" s="796" t="s">
        <v>2349</v>
      </c>
      <c r="H1400" s="796" t="s">
        <v>291</v>
      </c>
      <c r="I1400" s="220" t="str">
        <f>IF(ISBLANK(continental!I443),"",continental!I443)</f>
        <v/>
      </c>
      <c r="K1400" s="225" t="s">
        <v>4159</v>
      </c>
      <c r="O1400" s="225" t="s">
        <v>4159</v>
      </c>
    </row>
    <row r="1401" spans="1:15" ht="12.75" customHeight="1" x14ac:dyDescent="0.3">
      <c r="A1401" s="797"/>
      <c r="B1401" s="797"/>
      <c r="C1401" s="797" t="s">
        <v>1586</v>
      </c>
      <c r="D1401" s="797"/>
      <c r="E1401" s="797"/>
      <c r="F1401" s="797"/>
      <c r="G1401" s="796" t="s">
        <v>2350</v>
      </c>
      <c r="H1401" s="796" t="s">
        <v>291</v>
      </c>
      <c r="I1401" s="220" t="str">
        <f>IF(ISBLANK(continental!I444),"",continental!I444)</f>
        <v/>
      </c>
      <c r="K1401" s="225" t="s">
        <v>4159</v>
      </c>
      <c r="O1401" s="225" t="s">
        <v>4159</v>
      </c>
    </row>
    <row r="1402" spans="1:15" ht="12.75" customHeight="1" x14ac:dyDescent="0.3">
      <c r="A1402" s="797"/>
      <c r="B1402" s="797"/>
      <c r="C1402" s="797" t="s">
        <v>1588</v>
      </c>
      <c r="D1402" s="797"/>
      <c r="E1402" s="797"/>
      <c r="F1402" s="797"/>
      <c r="G1402" s="796" t="s">
        <v>2351</v>
      </c>
      <c r="H1402" s="796" t="s">
        <v>291</v>
      </c>
      <c r="I1402" s="220" t="str">
        <f>IF(ISBLANK(continental!I445),"",continental!I445)</f>
        <v/>
      </c>
      <c r="K1402" s="225" t="s">
        <v>4159</v>
      </c>
      <c r="O1402" s="225" t="s">
        <v>4159</v>
      </c>
    </row>
    <row r="1403" spans="1:15" ht="12.75" customHeight="1" x14ac:dyDescent="0.3">
      <c r="A1403" s="797" t="s">
        <v>1682</v>
      </c>
      <c r="B1403" s="797"/>
      <c r="C1403" s="797"/>
      <c r="D1403" s="797"/>
      <c r="E1403" s="797"/>
      <c r="F1403" s="797"/>
      <c r="G1403" s="796" t="s">
        <v>2352</v>
      </c>
      <c r="H1403" s="796" t="s">
        <v>335</v>
      </c>
      <c r="I1403" s="220" t="str">
        <f>IF(ISBLANK(continental!I446),"",continental!I446)</f>
        <v/>
      </c>
      <c r="K1403" s="225" t="s">
        <v>4159</v>
      </c>
      <c r="O1403" s="225" t="s">
        <v>4159</v>
      </c>
    </row>
    <row r="1404" spans="1:15" ht="12.75" customHeight="1" x14ac:dyDescent="0.3">
      <c r="A1404" s="797" t="s">
        <v>1685</v>
      </c>
      <c r="B1404" s="797"/>
      <c r="C1404" s="797"/>
      <c r="D1404" s="797"/>
      <c r="E1404" s="797"/>
      <c r="F1404" s="797"/>
      <c r="G1404" s="796" t="s">
        <v>2354</v>
      </c>
      <c r="H1404" s="796" t="s">
        <v>335</v>
      </c>
      <c r="I1404" s="220" t="str">
        <f>IF(ISBLANK(continental!I447),"",continental!I447)</f>
        <v/>
      </c>
      <c r="K1404" s="225" t="s">
        <v>4159</v>
      </c>
      <c r="O1404" s="225" t="s">
        <v>4159</v>
      </c>
    </row>
    <row r="1405" spans="1:15" ht="12.75" customHeight="1" x14ac:dyDescent="0.3">
      <c r="A1405" s="797" t="s">
        <v>1687</v>
      </c>
      <c r="B1405" s="797"/>
      <c r="C1405" s="797"/>
      <c r="D1405" s="797"/>
      <c r="E1405" s="797"/>
      <c r="F1405" s="797"/>
      <c r="G1405" s="796" t="s">
        <v>2355</v>
      </c>
      <c r="H1405" s="796" t="s">
        <v>335</v>
      </c>
      <c r="I1405" s="220" t="str">
        <f>IF(ISBLANK(continental!I448),"",continental!I448)</f>
        <v/>
      </c>
      <c r="K1405" s="225" t="s">
        <v>4159</v>
      </c>
      <c r="O1405" s="225" t="s">
        <v>4159</v>
      </c>
    </row>
    <row r="1406" spans="1:15" ht="12.75" customHeight="1" x14ac:dyDescent="0.3">
      <c r="A1406" s="797" t="s">
        <v>1689</v>
      </c>
      <c r="B1406" s="797"/>
      <c r="C1406" s="797"/>
      <c r="D1406" s="797"/>
      <c r="E1406" s="797"/>
      <c r="F1406" s="797"/>
      <c r="G1406" s="796" t="s">
        <v>2356</v>
      </c>
      <c r="H1406" s="796" t="s">
        <v>335</v>
      </c>
      <c r="I1406" s="220" t="str">
        <f>IF(ISBLANK(continental!I449),"",continental!I449)</f>
        <v/>
      </c>
      <c r="K1406" s="225" t="s">
        <v>4159</v>
      </c>
      <c r="O1406" s="225" t="s">
        <v>4159</v>
      </c>
    </row>
    <row r="1407" spans="1:15" ht="12.75" customHeight="1" x14ac:dyDescent="0.3">
      <c r="A1407" s="797"/>
      <c r="B1407" s="797" t="s">
        <v>1612</v>
      </c>
      <c r="C1407" s="797"/>
      <c r="D1407" s="797"/>
      <c r="E1407" s="797"/>
      <c r="F1407" s="797"/>
      <c r="G1407" s="796" t="s">
        <v>2357</v>
      </c>
      <c r="H1407" s="796" t="s">
        <v>866</v>
      </c>
      <c r="I1407" s="220" t="str">
        <f>IF(ISBLANK(continental!I450),"",continental!I450)</f>
        <v/>
      </c>
      <c r="K1407" s="225" t="s">
        <v>4159</v>
      </c>
      <c r="O1407" s="225" t="s">
        <v>4159</v>
      </c>
    </row>
    <row r="1408" spans="1:15" ht="12.75" customHeight="1" x14ac:dyDescent="0.3">
      <c r="A1408" s="797"/>
      <c r="B1408" s="797"/>
      <c r="C1408" s="797" t="s">
        <v>1692</v>
      </c>
      <c r="D1408" s="797"/>
      <c r="E1408" s="797"/>
      <c r="F1408" s="797"/>
      <c r="G1408" s="797" t="s">
        <v>2358</v>
      </c>
      <c r="H1408" s="796" t="s">
        <v>1616</v>
      </c>
      <c r="I1408" s="220" t="str">
        <f>IF(ISBLANK(continental!I451),"",continental!I451)</f>
        <v/>
      </c>
      <c r="K1408" s="225" t="s">
        <v>4159</v>
      </c>
      <c r="O1408" s="225" t="s">
        <v>4159</v>
      </c>
    </row>
    <row r="1409" spans="1:15" ht="12.75" customHeight="1" x14ac:dyDescent="0.3">
      <c r="A1409" s="797"/>
      <c r="B1409" s="797"/>
      <c r="C1409" s="797" t="s">
        <v>1694</v>
      </c>
      <c r="D1409" s="797"/>
      <c r="E1409" s="797"/>
      <c r="F1409" s="797"/>
      <c r="G1409" s="796" t="s">
        <v>2359</v>
      </c>
      <c r="H1409" s="796" t="s">
        <v>1616</v>
      </c>
      <c r="I1409" s="220" t="str">
        <f>IF(ISBLANK(continental!I452),"",continental!I452)</f>
        <v/>
      </c>
      <c r="K1409" s="225" t="s">
        <v>4159</v>
      </c>
      <c r="O1409" s="225" t="s">
        <v>4159</v>
      </c>
    </row>
    <row r="1410" spans="1:15" ht="12.75" customHeight="1" x14ac:dyDescent="0.3">
      <c r="A1410" s="797"/>
      <c r="B1410" s="797"/>
      <c r="C1410" s="797" t="s">
        <v>1696</v>
      </c>
      <c r="D1410" s="797"/>
      <c r="E1410" s="797"/>
      <c r="F1410" s="797"/>
      <c r="G1410" s="796" t="s">
        <v>2360</v>
      </c>
      <c r="H1410" s="796" t="s">
        <v>866</v>
      </c>
      <c r="I1410" s="220" t="str">
        <f>IF(ISBLANK(continental!I453),"",continental!I453)</f>
        <v/>
      </c>
      <c r="K1410" s="225" t="s">
        <v>4159</v>
      </c>
      <c r="O1410" s="225" t="s">
        <v>4159</v>
      </c>
    </row>
    <row r="1411" spans="1:15" ht="12.75" customHeight="1" x14ac:dyDescent="0.3">
      <c r="A1411" s="797"/>
      <c r="B1411" s="797"/>
      <c r="C1411" s="797"/>
      <c r="D1411" s="797" t="s">
        <v>1584</v>
      </c>
      <c r="E1411" s="797"/>
      <c r="F1411" s="797"/>
      <c r="G1411" s="796" t="s">
        <v>2361</v>
      </c>
      <c r="H1411" s="796" t="s">
        <v>291</v>
      </c>
      <c r="I1411" s="220" t="str">
        <f>IF(ISBLANK(continental!I454),"",continental!I454)</f>
        <v/>
      </c>
      <c r="K1411" s="225" t="s">
        <v>4159</v>
      </c>
      <c r="O1411" s="225" t="s">
        <v>4159</v>
      </c>
    </row>
    <row r="1412" spans="1:15" ht="12.75" customHeight="1" x14ac:dyDescent="0.3">
      <c r="A1412" s="797"/>
      <c r="B1412" s="797"/>
      <c r="C1412" s="797"/>
      <c r="D1412" s="797" t="s">
        <v>1588</v>
      </c>
      <c r="E1412" s="797"/>
      <c r="F1412" s="797"/>
      <c r="G1412" s="796" t="s">
        <v>2362</v>
      </c>
      <c r="H1412" s="796" t="s">
        <v>291</v>
      </c>
      <c r="I1412" s="220" t="str">
        <f>IF(ISBLANK(continental!I455),"",continental!I455)</f>
        <v/>
      </c>
      <c r="K1412" s="225" t="s">
        <v>4159</v>
      </c>
      <c r="O1412" s="225" t="s">
        <v>4159</v>
      </c>
    </row>
    <row r="1413" spans="1:15" ht="12.75" customHeight="1" x14ac:dyDescent="0.3">
      <c r="A1413" s="797" t="s">
        <v>1700</v>
      </c>
      <c r="B1413" s="797"/>
      <c r="C1413" s="797"/>
      <c r="D1413" s="797"/>
      <c r="E1413" s="797"/>
      <c r="F1413" s="797"/>
      <c r="G1413" s="796" t="s">
        <v>2363</v>
      </c>
      <c r="H1413" s="796" t="s">
        <v>335</v>
      </c>
      <c r="I1413" s="220" t="str">
        <f>IF(ISBLANK(continental!I456),"",continental!I456)</f>
        <v/>
      </c>
      <c r="K1413" s="225" t="s">
        <v>4159</v>
      </c>
      <c r="O1413" s="225" t="s">
        <v>4159</v>
      </c>
    </row>
    <row r="1414" spans="1:15" ht="12.75" customHeight="1" x14ac:dyDescent="0.3">
      <c r="A1414" s="797"/>
      <c r="B1414" s="797" t="s">
        <v>1612</v>
      </c>
      <c r="C1414" s="797"/>
      <c r="D1414" s="797"/>
      <c r="E1414" s="797"/>
      <c r="F1414" s="797"/>
      <c r="G1414" s="796" t="s">
        <v>2364</v>
      </c>
      <c r="H1414" s="796" t="s">
        <v>866</v>
      </c>
      <c r="I1414" s="220" t="str">
        <f>IF(ISBLANK(continental!I457),"",continental!I457)</f>
        <v/>
      </c>
      <c r="K1414" s="225" t="s">
        <v>4159</v>
      </c>
      <c r="O1414" s="225" t="s">
        <v>4159</v>
      </c>
    </row>
    <row r="1415" spans="1:15" ht="12.75" customHeight="1" x14ac:dyDescent="0.3">
      <c r="A1415" s="797"/>
      <c r="B1415" s="797"/>
      <c r="C1415" s="797" t="s">
        <v>1703</v>
      </c>
      <c r="D1415" s="797"/>
      <c r="E1415" s="797"/>
      <c r="F1415" s="797"/>
      <c r="G1415" s="797" t="s">
        <v>2365</v>
      </c>
      <c r="H1415" s="796" t="s">
        <v>1616</v>
      </c>
      <c r="I1415" s="220" t="str">
        <f>IF(ISBLANK(continental!I458),"",continental!I458)</f>
        <v/>
      </c>
      <c r="K1415" s="225" t="s">
        <v>4159</v>
      </c>
      <c r="O1415" s="225" t="s">
        <v>4159</v>
      </c>
    </row>
    <row r="1416" spans="1:15" ht="12.75" customHeight="1" x14ac:dyDescent="0.3">
      <c r="A1416" s="797" t="s">
        <v>1705</v>
      </c>
      <c r="B1416" s="797"/>
      <c r="C1416" s="797"/>
      <c r="D1416" s="797"/>
      <c r="E1416" s="797"/>
      <c r="F1416" s="797"/>
      <c r="G1416" s="796" t="s">
        <v>2366</v>
      </c>
      <c r="H1416" s="796" t="s">
        <v>335</v>
      </c>
      <c r="I1416" s="220" t="str">
        <f>IF(ISBLANK(continental!I459),"",continental!I459)</f>
        <v/>
      </c>
      <c r="K1416" s="225" t="s">
        <v>4159</v>
      </c>
      <c r="O1416" s="225" t="s">
        <v>4159</v>
      </c>
    </row>
    <row r="1417" spans="1:15" ht="12.75" customHeight="1" x14ac:dyDescent="0.3">
      <c r="A1417" s="797"/>
      <c r="B1417" s="797" t="s">
        <v>1612</v>
      </c>
      <c r="C1417" s="797"/>
      <c r="D1417" s="797"/>
      <c r="E1417" s="797"/>
      <c r="F1417" s="797"/>
      <c r="G1417" s="796" t="s">
        <v>2367</v>
      </c>
      <c r="H1417" s="796" t="s">
        <v>866</v>
      </c>
      <c r="I1417" s="220" t="str">
        <f>IF(ISBLANK(continental!I460),"",continental!I460)</f>
        <v/>
      </c>
      <c r="K1417" s="225" t="s">
        <v>4159</v>
      </c>
      <c r="O1417" s="225" t="s">
        <v>4159</v>
      </c>
    </row>
    <row r="1418" spans="1:15" ht="12.75" customHeight="1" x14ac:dyDescent="0.3">
      <c r="A1418" s="797"/>
      <c r="B1418" s="797"/>
      <c r="C1418" s="797" t="s">
        <v>1708</v>
      </c>
      <c r="D1418" s="797"/>
      <c r="E1418" s="797"/>
      <c r="F1418" s="797"/>
      <c r="G1418" s="797" t="s">
        <v>2368</v>
      </c>
      <c r="H1418" s="796" t="s">
        <v>1616</v>
      </c>
      <c r="I1418" s="220" t="str">
        <f>IF(ISBLANK(continental!I461),"",continental!I461)</f>
        <v/>
      </c>
      <c r="K1418" s="225" t="s">
        <v>4159</v>
      </c>
      <c r="O1418" s="225" t="s">
        <v>4159</v>
      </c>
    </row>
    <row r="1419" spans="1:15" ht="12.75" customHeight="1" x14ac:dyDescent="0.3">
      <c r="A1419" s="797" t="s">
        <v>1710</v>
      </c>
      <c r="B1419" s="797"/>
      <c r="C1419" s="797"/>
      <c r="D1419" s="797"/>
      <c r="E1419" s="797"/>
      <c r="F1419" s="797"/>
      <c r="G1419" s="797" t="s">
        <v>2369</v>
      </c>
      <c r="H1419" s="796" t="s">
        <v>335</v>
      </c>
      <c r="I1419" s="220" t="str">
        <f>IF(ISBLANK(continental!I462),"",continental!I462)</f>
        <v/>
      </c>
      <c r="K1419" s="225" t="s">
        <v>4159</v>
      </c>
      <c r="O1419" s="225" t="s">
        <v>4159</v>
      </c>
    </row>
    <row r="1420" spans="1:15" ht="12.75" customHeight="1" x14ac:dyDescent="0.3">
      <c r="A1420" s="797"/>
      <c r="B1420" s="797" t="s">
        <v>1612</v>
      </c>
      <c r="C1420" s="797"/>
      <c r="D1420" s="797"/>
      <c r="E1420" s="797"/>
      <c r="F1420" s="797"/>
      <c r="G1420" s="796" t="s">
        <v>2370</v>
      </c>
      <c r="H1420" s="796" t="s">
        <v>866</v>
      </c>
      <c r="I1420" s="220" t="str">
        <f>IF(ISBLANK(continental!I463),"",continental!I463)</f>
        <v/>
      </c>
      <c r="K1420" s="225" t="s">
        <v>4159</v>
      </c>
      <c r="O1420" s="225" t="s">
        <v>4159</v>
      </c>
    </row>
    <row r="1421" spans="1:15" ht="12.75" customHeight="1" x14ac:dyDescent="0.3">
      <c r="A1421" s="797"/>
      <c r="B1421" s="797"/>
      <c r="C1421" s="797" t="s">
        <v>1694</v>
      </c>
      <c r="D1421" s="797"/>
      <c r="E1421" s="797"/>
      <c r="F1421" s="797"/>
      <c r="G1421" s="796" t="s">
        <v>2371</v>
      </c>
      <c r="H1421" s="796" t="s">
        <v>1616</v>
      </c>
      <c r="I1421" s="220" t="str">
        <f>IF(ISBLANK(continental!I464),"",continental!I464)</f>
        <v/>
      </c>
      <c r="K1421" s="225" t="s">
        <v>4159</v>
      </c>
      <c r="O1421" s="225" t="s">
        <v>4159</v>
      </c>
    </row>
    <row r="1422" spans="1:15" ht="12.75" customHeight="1" x14ac:dyDescent="0.3">
      <c r="A1422" s="797"/>
      <c r="B1422" s="797"/>
      <c r="C1422" s="797"/>
      <c r="D1422" s="797" t="s">
        <v>1584</v>
      </c>
      <c r="E1422" s="797"/>
      <c r="F1422" s="797"/>
      <c r="G1422" s="796" t="s">
        <v>2372</v>
      </c>
      <c r="H1422" s="796" t="s">
        <v>291</v>
      </c>
      <c r="I1422" s="220" t="str">
        <f>IF(ISBLANK(continental!I465),"",continental!I465)</f>
        <v/>
      </c>
      <c r="K1422" s="225" t="s">
        <v>4159</v>
      </c>
      <c r="O1422" s="225" t="s">
        <v>4159</v>
      </c>
    </row>
    <row r="1423" spans="1:15" ht="12.75" customHeight="1" x14ac:dyDescent="0.3">
      <c r="A1423" s="797"/>
      <c r="B1423" s="797"/>
      <c r="C1423" s="797"/>
      <c r="D1423" s="797" t="s">
        <v>1588</v>
      </c>
      <c r="E1423" s="797"/>
      <c r="F1423" s="797"/>
      <c r="G1423" s="796" t="s">
        <v>2373</v>
      </c>
      <c r="H1423" s="796" t="s">
        <v>291</v>
      </c>
      <c r="I1423" s="220" t="str">
        <f>IF(ISBLANK(continental!I466),"",continental!I466)</f>
        <v/>
      </c>
      <c r="K1423" s="225" t="s">
        <v>4159</v>
      </c>
      <c r="O1423" s="225" t="s">
        <v>4159</v>
      </c>
    </row>
    <row r="1424" spans="1:15" ht="12.75" customHeight="1" x14ac:dyDescent="0.3">
      <c r="A1424" s="797" t="s">
        <v>1717</v>
      </c>
      <c r="B1424" s="797"/>
      <c r="C1424" s="797"/>
      <c r="D1424" s="797"/>
      <c r="E1424" s="797"/>
      <c r="F1424" s="797"/>
      <c r="G1424" s="797" t="s">
        <v>2374</v>
      </c>
      <c r="H1424" s="796" t="s">
        <v>335</v>
      </c>
      <c r="I1424" s="220" t="str">
        <f>IF(ISBLANK(continental!I467),"",continental!I467)</f>
        <v/>
      </c>
      <c r="K1424" s="225" t="s">
        <v>4159</v>
      </c>
      <c r="O1424" s="225" t="s">
        <v>4159</v>
      </c>
    </row>
    <row r="1425" spans="1:15" ht="12.75" customHeight="1" x14ac:dyDescent="0.3">
      <c r="A1425" s="797"/>
      <c r="B1425" s="797" t="s">
        <v>1612</v>
      </c>
      <c r="C1425" s="797"/>
      <c r="D1425" s="797"/>
      <c r="E1425" s="797"/>
      <c r="F1425" s="797"/>
      <c r="G1425" s="796" t="s">
        <v>2375</v>
      </c>
      <c r="H1425" s="796" t="s">
        <v>866</v>
      </c>
      <c r="I1425" s="220" t="str">
        <f>IF(ISBLANK(continental!I468),"",continental!I468)</f>
        <v/>
      </c>
      <c r="K1425" s="225" t="s">
        <v>4159</v>
      </c>
      <c r="O1425" s="225" t="s">
        <v>4159</v>
      </c>
    </row>
    <row r="1426" spans="1:15" ht="12.75" customHeight="1" x14ac:dyDescent="0.3">
      <c r="A1426" s="797" t="s">
        <v>1720</v>
      </c>
      <c r="B1426" s="797"/>
      <c r="C1426" s="797"/>
      <c r="D1426" s="797"/>
      <c r="E1426" s="797"/>
      <c r="F1426" s="797"/>
      <c r="G1426" s="797" t="s">
        <v>2376</v>
      </c>
      <c r="H1426" s="796" t="s">
        <v>335</v>
      </c>
      <c r="I1426" s="220" t="str">
        <f>IF(ISBLANK(continental!I469),"",continental!I469)</f>
        <v/>
      </c>
      <c r="K1426" s="225" t="s">
        <v>4159</v>
      </c>
      <c r="O1426" s="225" t="s">
        <v>4159</v>
      </c>
    </row>
    <row r="1427" spans="1:15" ht="12.75" customHeight="1" x14ac:dyDescent="0.3">
      <c r="A1427" s="797"/>
      <c r="B1427" s="797" t="s">
        <v>1612</v>
      </c>
      <c r="C1427" s="797"/>
      <c r="D1427" s="797"/>
      <c r="E1427" s="797"/>
      <c r="F1427" s="797"/>
      <c r="G1427" s="796" t="s">
        <v>2377</v>
      </c>
      <c r="H1427" s="796" t="s">
        <v>866</v>
      </c>
      <c r="I1427" s="220" t="str">
        <f>IF(ISBLANK(continental!I470),"",continental!I470)</f>
        <v/>
      </c>
      <c r="K1427" s="225" t="s">
        <v>4159</v>
      </c>
      <c r="O1427" s="225" t="s">
        <v>4159</v>
      </c>
    </row>
    <row r="1428" spans="1:15" ht="12.75" customHeight="1" x14ac:dyDescent="0.3">
      <c r="A1428" s="797" t="s">
        <v>1723</v>
      </c>
      <c r="B1428" s="797"/>
      <c r="C1428" s="797"/>
      <c r="D1428" s="797"/>
      <c r="E1428" s="797"/>
      <c r="F1428" s="797"/>
      <c r="G1428" s="797" t="s">
        <v>2378</v>
      </c>
      <c r="H1428" s="796" t="s">
        <v>335</v>
      </c>
      <c r="I1428" s="220" t="str">
        <f>IF(ISBLANK(continental!I471),"",continental!I471)</f>
        <v/>
      </c>
      <c r="K1428" s="225" t="s">
        <v>4159</v>
      </c>
      <c r="O1428" s="225" t="s">
        <v>4159</v>
      </c>
    </row>
    <row r="1429" spans="1:15" ht="12.75" customHeight="1" x14ac:dyDescent="0.3">
      <c r="A1429" s="797" t="s">
        <v>1725</v>
      </c>
      <c r="B1429" s="797"/>
      <c r="C1429" s="797"/>
      <c r="D1429" s="797"/>
      <c r="E1429" s="797"/>
      <c r="F1429" s="797"/>
      <c r="G1429" s="797" t="s">
        <v>2379</v>
      </c>
      <c r="H1429" s="796" t="s">
        <v>335</v>
      </c>
      <c r="I1429" s="220" t="str">
        <f>IF(ISBLANK(continental!I472),"",continental!I472)</f>
        <v/>
      </c>
      <c r="K1429" s="225" t="s">
        <v>4159</v>
      </c>
      <c r="O1429" s="225" t="s">
        <v>4159</v>
      </c>
    </row>
    <row r="1430" spans="1:15" ht="12.75" customHeight="1" x14ac:dyDescent="0.3">
      <c r="A1430" s="797" t="s">
        <v>1727</v>
      </c>
      <c r="B1430" s="797"/>
      <c r="C1430" s="797"/>
      <c r="D1430" s="797"/>
      <c r="E1430" s="797"/>
      <c r="F1430" s="797"/>
      <c r="G1430" s="797" t="s">
        <v>2380</v>
      </c>
      <c r="H1430" s="796" t="s">
        <v>335</v>
      </c>
      <c r="I1430" s="220" t="str">
        <f>IF(ISBLANK(continental!I473),"",continental!I473)</f>
        <v/>
      </c>
      <c r="K1430" s="225" t="s">
        <v>4159</v>
      </c>
      <c r="O1430" s="225" t="s">
        <v>4159</v>
      </c>
    </row>
    <row r="1431" spans="1:15" ht="12.75" customHeight="1" x14ac:dyDescent="0.3">
      <c r="A1431" s="841" t="s">
        <v>1729</v>
      </c>
      <c r="B1431" s="841"/>
      <c r="C1431" s="841"/>
      <c r="D1431" s="841"/>
      <c r="E1431" s="841"/>
      <c r="F1431" s="841"/>
      <c r="G1431" s="844" t="s">
        <v>2381</v>
      </c>
      <c r="H1431" s="844" t="s">
        <v>335</v>
      </c>
      <c r="I1431" s="220" t="str">
        <f>IF(ISBLANK(continental!I474),"",continental!I474)</f>
        <v/>
      </c>
      <c r="K1431" s="225" t="s">
        <v>4159</v>
      </c>
      <c r="O1431" s="225" t="s">
        <v>4159</v>
      </c>
    </row>
    <row r="1432" spans="1:15" ht="12.75" customHeight="1" x14ac:dyDescent="0.3">
      <c r="A1432" s="797" t="s">
        <v>1732</v>
      </c>
      <c r="B1432" s="797"/>
      <c r="C1432" s="797"/>
      <c r="D1432" s="797"/>
      <c r="E1432" s="797"/>
      <c r="F1432" s="797"/>
      <c r="G1432" s="796" t="s">
        <v>2382</v>
      </c>
      <c r="H1432" s="796" t="s">
        <v>335</v>
      </c>
      <c r="I1432" s="220" t="str">
        <f>IF(ISBLANK(continental!I475),"",continental!I475)</f>
        <v/>
      </c>
      <c r="K1432" s="225" t="s">
        <v>4159</v>
      </c>
      <c r="O1432" s="225" t="s">
        <v>4159</v>
      </c>
    </row>
    <row r="1433" spans="1:15" ht="12.75" customHeight="1" x14ac:dyDescent="0.3">
      <c r="A1433" s="797" t="s">
        <v>1734</v>
      </c>
      <c r="B1433" s="797"/>
      <c r="C1433" s="797"/>
      <c r="D1433" s="797"/>
      <c r="E1433" s="797"/>
      <c r="F1433" s="797"/>
      <c r="G1433" s="796" t="s">
        <v>2383</v>
      </c>
      <c r="H1433" s="796" t="s">
        <v>335</v>
      </c>
      <c r="I1433" s="220" t="str">
        <f>IF(ISBLANK(continental!I476),"",continental!I476)</f>
        <v/>
      </c>
      <c r="K1433" s="225" t="s">
        <v>4159</v>
      </c>
      <c r="O1433" s="225" t="s">
        <v>4159</v>
      </c>
    </row>
    <row r="1434" spans="1:15" ht="12.75" customHeight="1" x14ac:dyDescent="0.3">
      <c r="A1434" s="797" t="s">
        <v>1736</v>
      </c>
      <c r="B1434" s="797"/>
      <c r="C1434" s="797"/>
      <c r="D1434" s="797"/>
      <c r="E1434" s="797"/>
      <c r="F1434" s="797"/>
      <c r="G1434" s="796" t="s">
        <v>2384</v>
      </c>
      <c r="H1434" s="796" t="s">
        <v>335</v>
      </c>
      <c r="I1434" s="220" t="str">
        <f>IF(ISBLANK(continental!I477),"",continental!I477)</f>
        <v/>
      </c>
      <c r="K1434" s="225" t="s">
        <v>4159</v>
      </c>
      <c r="O1434" s="225" t="s">
        <v>4159</v>
      </c>
    </row>
    <row r="1435" spans="1:15" ht="12.75" customHeight="1" x14ac:dyDescent="0.3">
      <c r="A1435" s="797" t="s">
        <v>1738</v>
      </c>
      <c r="B1435" s="797"/>
      <c r="C1435" s="797"/>
      <c r="D1435" s="797"/>
      <c r="E1435" s="797"/>
      <c r="F1435" s="797"/>
      <c r="G1435" s="796" t="s">
        <v>2385</v>
      </c>
      <c r="H1435" s="796" t="s">
        <v>335</v>
      </c>
      <c r="I1435" s="220" t="str">
        <f>IF(ISBLANK(continental!I478),"",continental!I478)</f>
        <v/>
      </c>
      <c r="K1435" s="225" t="s">
        <v>4159</v>
      </c>
      <c r="O1435" s="225" t="s">
        <v>4159</v>
      </c>
    </row>
    <row r="1436" spans="1:15" ht="12.75" customHeight="1" x14ac:dyDescent="0.3">
      <c r="A1436" s="797" t="s">
        <v>1740</v>
      </c>
      <c r="B1436" s="797"/>
      <c r="C1436" s="797"/>
      <c r="D1436" s="797"/>
      <c r="E1436" s="797"/>
      <c r="F1436" s="797"/>
      <c r="G1436" s="796" t="s">
        <v>2386</v>
      </c>
      <c r="H1436" s="796" t="s">
        <v>335</v>
      </c>
      <c r="I1436" s="220" t="str">
        <f>IF(ISBLANK(continental!I479),"",continental!I479)</f>
        <v/>
      </c>
      <c r="K1436" s="225" t="s">
        <v>4159</v>
      </c>
      <c r="O1436" s="225" t="s">
        <v>4159</v>
      </c>
    </row>
    <row r="1437" spans="1:15" ht="12.75" customHeight="1" x14ac:dyDescent="0.3">
      <c r="A1437" s="797" t="s">
        <v>1742</v>
      </c>
      <c r="B1437" s="797"/>
      <c r="C1437" s="797"/>
      <c r="D1437" s="797"/>
      <c r="E1437" s="797"/>
      <c r="F1437" s="797"/>
      <c r="G1437" s="796" t="s">
        <v>2387</v>
      </c>
      <c r="H1437" s="796" t="s">
        <v>335</v>
      </c>
      <c r="I1437" s="220" t="str">
        <f>IF(ISBLANK(continental!I480),"",continental!I480)</f>
        <v/>
      </c>
      <c r="K1437" s="225" t="s">
        <v>4159</v>
      </c>
      <c r="O1437" s="225" t="s">
        <v>4159</v>
      </c>
    </row>
    <row r="1438" spans="1:15" ht="12.75" customHeight="1" x14ac:dyDescent="0.3">
      <c r="A1438" s="797" t="s">
        <v>1744</v>
      </c>
      <c r="B1438" s="797"/>
      <c r="C1438" s="797"/>
      <c r="D1438" s="797"/>
      <c r="E1438" s="797"/>
      <c r="F1438" s="797"/>
      <c r="G1438" s="796" t="s">
        <v>2388</v>
      </c>
      <c r="H1438" s="796" t="s">
        <v>335</v>
      </c>
      <c r="I1438" s="220" t="str">
        <f>IF(ISBLANK(continental!I481),"",continental!I481)</f>
        <v/>
      </c>
      <c r="K1438" s="225" t="s">
        <v>4159</v>
      </c>
      <c r="O1438" s="225" t="s">
        <v>4159</v>
      </c>
    </row>
    <row r="1439" spans="1:15" ht="12.75" customHeight="1" x14ac:dyDescent="0.3">
      <c r="A1439" s="797" t="s">
        <v>1746</v>
      </c>
      <c r="B1439" s="797"/>
      <c r="C1439" s="797"/>
      <c r="D1439" s="797"/>
      <c r="E1439" s="797"/>
      <c r="F1439" s="797"/>
      <c r="G1439" s="796" t="s">
        <v>2389</v>
      </c>
      <c r="H1439" s="796" t="s">
        <v>335</v>
      </c>
      <c r="I1439" s="220" t="str">
        <f>IF(ISBLANK(continental!I482),"",continental!I482)</f>
        <v/>
      </c>
      <c r="K1439" s="225" t="s">
        <v>4159</v>
      </c>
      <c r="O1439" s="225" t="s">
        <v>4159</v>
      </c>
    </row>
    <row r="1440" spans="1:15" ht="12.75" customHeight="1" x14ac:dyDescent="0.3">
      <c r="A1440" s="797" t="s">
        <v>1748</v>
      </c>
      <c r="B1440" s="797"/>
      <c r="C1440" s="797"/>
      <c r="D1440" s="797"/>
      <c r="E1440" s="797"/>
      <c r="F1440" s="797"/>
      <c r="G1440" s="796" t="s">
        <v>2390</v>
      </c>
      <c r="H1440" s="796" t="s">
        <v>335</v>
      </c>
      <c r="I1440" s="220" t="str">
        <f>IF(ISBLANK(continental!I483),"",continental!I483)</f>
        <v/>
      </c>
      <c r="K1440" s="225" t="s">
        <v>4159</v>
      </c>
      <c r="O1440" s="225" t="s">
        <v>4159</v>
      </c>
    </row>
    <row r="1441" spans="1:15" ht="12.75" customHeight="1" x14ac:dyDescent="0.3">
      <c r="A1441" s="797" t="s">
        <v>1750</v>
      </c>
      <c r="B1441" s="797"/>
      <c r="C1441" s="797"/>
      <c r="D1441" s="797"/>
      <c r="E1441" s="797"/>
      <c r="F1441" s="797"/>
      <c r="G1441" s="796" t="s">
        <v>2391</v>
      </c>
      <c r="H1441" s="796" t="s">
        <v>335</v>
      </c>
      <c r="I1441" s="220" t="str">
        <f>IF(ISBLANK(continental!I484),"",continental!I484)</f>
        <v/>
      </c>
      <c r="K1441" s="225" t="s">
        <v>4159</v>
      </c>
      <c r="O1441" s="225" t="s">
        <v>4159</v>
      </c>
    </row>
    <row r="1442" spans="1:15" ht="12.75" customHeight="1" x14ac:dyDescent="0.3">
      <c r="A1442" s="797" t="s">
        <v>1752</v>
      </c>
      <c r="B1442" s="797"/>
      <c r="C1442" s="797"/>
      <c r="D1442" s="797"/>
      <c r="E1442" s="797"/>
      <c r="F1442" s="797"/>
      <c r="G1442" s="796" t="s">
        <v>2392</v>
      </c>
      <c r="H1442" s="796" t="s">
        <v>335</v>
      </c>
      <c r="I1442" s="220" t="str">
        <f>IF(ISBLANK(continental!I485),"",continental!I485)</f>
        <v/>
      </c>
      <c r="K1442" s="225" t="s">
        <v>4159</v>
      </c>
      <c r="O1442" s="225" t="s">
        <v>4159</v>
      </c>
    </row>
    <row r="1443" spans="1:15" ht="12.75" customHeight="1" x14ac:dyDescent="0.3">
      <c r="A1443" s="797" t="s">
        <v>1754</v>
      </c>
      <c r="B1443" s="797"/>
      <c r="C1443" s="797"/>
      <c r="D1443" s="797"/>
      <c r="E1443" s="797"/>
      <c r="F1443" s="797"/>
      <c r="G1443" s="796" t="s">
        <v>2393</v>
      </c>
      <c r="H1443" s="796" t="s">
        <v>335</v>
      </c>
      <c r="I1443" s="220" t="str">
        <f>IF(ISBLANK(continental!I486),"",continental!I486)</f>
        <v/>
      </c>
      <c r="K1443" s="225" t="s">
        <v>4159</v>
      </c>
      <c r="O1443" s="225" t="s">
        <v>4159</v>
      </c>
    </row>
    <row r="1444" spans="1:15" ht="12.75" customHeight="1" x14ac:dyDescent="0.3">
      <c r="A1444" s="797" t="s">
        <v>1756</v>
      </c>
      <c r="B1444" s="797"/>
      <c r="C1444" s="797"/>
      <c r="D1444" s="797"/>
      <c r="E1444" s="797"/>
      <c r="F1444" s="797"/>
      <c r="G1444" s="796" t="s">
        <v>2394</v>
      </c>
      <c r="H1444" s="796" t="s">
        <v>335</v>
      </c>
      <c r="I1444" s="220" t="str">
        <f>IF(ISBLANK(continental!I487),"",continental!I487)</f>
        <v/>
      </c>
      <c r="K1444" s="225" t="s">
        <v>4159</v>
      </c>
      <c r="O1444" s="225" t="s">
        <v>4159</v>
      </c>
    </row>
    <row r="1445" spans="1:15" ht="12.75" customHeight="1" x14ac:dyDescent="0.3">
      <c r="A1445" s="797" t="s">
        <v>1758</v>
      </c>
      <c r="B1445" s="797"/>
      <c r="C1445" s="797"/>
      <c r="D1445" s="797"/>
      <c r="E1445" s="797"/>
      <c r="F1445" s="797"/>
      <c r="G1445" s="796" t="s">
        <v>2395</v>
      </c>
      <c r="H1445" s="796" t="s">
        <v>335</v>
      </c>
      <c r="I1445" s="220" t="str">
        <f>IF(ISBLANK(continental!I488),"",continental!I488)</f>
        <v/>
      </c>
      <c r="K1445" s="225" t="s">
        <v>4159</v>
      </c>
      <c r="O1445" s="225" t="s">
        <v>4159</v>
      </c>
    </row>
    <row r="1446" spans="1:15" ht="12.75" customHeight="1" x14ac:dyDescent="0.3">
      <c r="A1446" s="797" t="s">
        <v>1760</v>
      </c>
      <c r="B1446" s="797"/>
      <c r="C1446" s="797"/>
      <c r="D1446" s="797"/>
      <c r="E1446" s="797"/>
      <c r="F1446" s="797"/>
      <c r="G1446" s="796" t="s">
        <v>2396</v>
      </c>
      <c r="H1446" s="796" t="s">
        <v>335</v>
      </c>
      <c r="I1446" s="220" t="str">
        <f>IF(ISBLANK(continental!I489),"",continental!I489)</f>
        <v/>
      </c>
      <c r="K1446" s="225" t="s">
        <v>4159</v>
      </c>
      <c r="O1446" s="225" t="s">
        <v>4159</v>
      </c>
    </row>
    <row r="1447" spans="1:15" ht="12.75" customHeight="1" x14ac:dyDescent="0.3">
      <c r="A1447" s="797" t="s">
        <v>1762</v>
      </c>
      <c r="B1447" s="797"/>
      <c r="C1447" s="797"/>
      <c r="D1447" s="797"/>
      <c r="E1447" s="797"/>
      <c r="F1447" s="797"/>
      <c r="G1447" s="796" t="s">
        <v>2397</v>
      </c>
      <c r="H1447" s="796" t="s">
        <v>335</v>
      </c>
      <c r="I1447" s="220" t="str">
        <f>IF(ISBLANK(continental!I490),"",continental!I490)</f>
        <v/>
      </c>
      <c r="K1447" s="225" t="s">
        <v>4159</v>
      </c>
      <c r="O1447" s="225" t="s">
        <v>4159</v>
      </c>
    </row>
    <row r="1448" spans="1:15" ht="12.75" customHeight="1" x14ac:dyDescent="0.3">
      <c r="A1448" s="797" t="s">
        <v>1764</v>
      </c>
      <c r="B1448" s="797"/>
      <c r="C1448" s="797"/>
      <c r="D1448" s="797"/>
      <c r="E1448" s="797"/>
      <c r="F1448" s="797"/>
      <c r="G1448" s="796" t="s">
        <v>2398</v>
      </c>
      <c r="H1448" s="796" t="s">
        <v>335</v>
      </c>
      <c r="I1448" s="220" t="str">
        <f>IF(ISBLANK(continental!I491),"",continental!I491)</f>
        <v/>
      </c>
      <c r="K1448" s="225" t="s">
        <v>4159</v>
      </c>
      <c r="O1448" s="225" t="s">
        <v>4159</v>
      </c>
    </row>
    <row r="1449" spans="1:15" ht="12.75" customHeight="1" x14ac:dyDescent="0.3">
      <c r="A1449" s="841" t="s">
        <v>1766</v>
      </c>
      <c r="B1449" s="841"/>
      <c r="C1449" s="841"/>
      <c r="D1449" s="841"/>
      <c r="E1449" s="841"/>
      <c r="F1449" s="841"/>
      <c r="G1449" s="844" t="s">
        <v>2399</v>
      </c>
      <c r="H1449" s="844" t="s">
        <v>335</v>
      </c>
      <c r="I1449" s="220" t="str">
        <f>IF(ISBLANK(continental!I492),"",continental!I492)</f>
        <v/>
      </c>
      <c r="K1449" s="225" t="s">
        <v>4159</v>
      </c>
      <c r="O1449" s="225" t="s">
        <v>4159</v>
      </c>
    </row>
    <row r="1450" spans="1:15" ht="12.75" customHeight="1" x14ac:dyDescent="0.3">
      <c r="A1450" s="797" t="s">
        <v>1768</v>
      </c>
      <c r="B1450" s="797"/>
      <c r="C1450" s="797"/>
      <c r="D1450" s="797"/>
      <c r="E1450" s="797"/>
      <c r="F1450" s="797"/>
      <c r="G1450" s="796" t="s">
        <v>2400</v>
      </c>
      <c r="H1450" s="796" t="s">
        <v>335</v>
      </c>
      <c r="I1450" s="220" t="str">
        <f>IF(ISBLANK(continental!I493),"",continental!I493)</f>
        <v/>
      </c>
      <c r="K1450" s="225" t="s">
        <v>4159</v>
      </c>
      <c r="O1450" s="225" t="s">
        <v>4159</v>
      </c>
    </row>
    <row r="1451" spans="1:15" ht="12.75" customHeight="1" x14ac:dyDescent="0.3">
      <c r="A1451" s="797" t="s">
        <v>1770</v>
      </c>
      <c r="B1451" s="797"/>
      <c r="C1451" s="797"/>
      <c r="D1451" s="797"/>
      <c r="E1451" s="797"/>
      <c r="F1451" s="797"/>
      <c r="G1451" s="796" t="s">
        <v>2401</v>
      </c>
      <c r="H1451" s="796" t="s">
        <v>335</v>
      </c>
      <c r="I1451" s="220" t="str">
        <f>IF(ISBLANK(continental!I494),"",continental!I494)</f>
        <v/>
      </c>
      <c r="K1451" s="225" t="s">
        <v>4159</v>
      </c>
      <c r="O1451" s="225" t="s">
        <v>4159</v>
      </c>
    </row>
    <row r="1452" spans="1:15" ht="12.75" customHeight="1" x14ac:dyDescent="0.3">
      <c r="A1452" s="797" t="s">
        <v>1772</v>
      </c>
      <c r="B1452" s="797"/>
      <c r="C1452" s="797"/>
      <c r="D1452" s="797"/>
      <c r="E1452" s="797"/>
      <c r="F1452" s="797"/>
      <c r="G1452" s="796" t="s">
        <v>2402</v>
      </c>
      <c r="H1452" s="796" t="s">
        <v>335</v>
      </c>
      <c r="I1452" s="220" t="str">
        <f>IF(ISBLANK(continental!I495),"",continental!I495)</f>
        <v/>
      </c>
      <c r="K1452" s="225" t="s">
        <v>4159</v>
      </c>
      <c r="O1452" s="225" t="s">
        <v>4159</v>
      </c>
    </row>
    <row r="1453" spans="1:15" ht="12.75" customHeight="1" x14ac:dyDescent="0.3">
      <c r="A1453" s="797" t="s">
        <v>1774</v>
      </c>
      <c r="B1453" s="797"/>
      <c r="C1453" s="797"/>
      <c r="D1453" s="797"/>
      <c r="E1453" s="797"/>
      <c r="F1453" s="797"/>
      <c r="G1453" s="796" t="s">
        <v>2403</v>
      </c>
      <c r="H1453" s="796" t="s">
        <v>335</v>
      </c>
      <c r="I1453" s="220" t="str">
        <f>IF(ISBLANK(continental!I496),"",continental!I496)</f>
        <v/>
      </c>
      <c r="K1453" s="225" t="s">
        <v>4159</v>
      </c>
      <c r="O1453" s="225" t="s">
        <v>4159</v>
      </c>
    </row>
    <row r="1454" spans="1:15" ht="12.75" customHeight="1" x14ac:dyDescent="0.3">
      <c r="A1454" s="797" t="s">
        <v>1776</v>
      </c>
      <c r="B1454" s="797"/>
      <c r="C1454" s="797"/>
      <c r="D1454" s="797"/>
      <c r="E1454" s="797"/>
      <c r="F1454" s="797"/>
      <c r="G1454" s="796" t="s">
        <v>2404</v>
      </c>
      <c r="H1454" s="796" t="s">
        <v>335</v>
      </c>
      <c r="I1454" s="220" t="str">
        <f>IF(ISBLANK(continental!I497),"",continental!I497)</f>
        <v/>
      </c>
      <c r="K1454" s="225" t="s">
        <v>4159</v>
      </c>
      <c r="O1454" s="225" t="s">
        <v>4159</v>
      </c>
    </row>
    <row r="1455" spans="1:15" ht="12.75" customHeight="1" x14ac:dyDescent="0.3">
      <c r="A1455" s="797" t="s">
        <v>1778</v>
      </c>
      <c r="B1455" s="797"/>
      <c r="C1455" s="797"/>
      <c r="D1455" s="797"/>
      <c r="E1455" s="797"/>
      <c r="F1455" s="797"/>
      <c r="G1455" s="796" t="s">
        <v>2405</v>
      </c>
      <c r="H1455" s="796" t="s">
        <v>335</v>
      </c>
      <c r="I1455" s="220" t="str">
        <f>IF(ISBLANK(continental!I498),"",continental!I498)</f>
        <v/>
      </c>
      <c r="K1455" s="225" t="s">
        <v>4159</v>
      </c>
      <c r="O1455" s="225" t="s">
        <v>4159</v>
      </c>
    </row>
    <row r="1456" spans="1:15" ht="12.75" customHeight="1" x14ac:dyDescent="0.3">
      <c r="A1456" s="797" t="s">
        <v>1780</v>
      </c>
      <c r="B1456" s="797"/>
      <c r="C1456" s="797"/>
      <c r="D1456" s="797"/>
      <c r="E1456" s="797"/>
      <c r="F1456" s="797"/>
      <c r="G1456" s="796" t="s">
        <v>2406</v>
      </c>
      <c r="H1456" s="796" t="s">
        <v>335</v>
      </c>
      <c r="I1456" s="220" t="str">
        <f>IF(ISBLANK(continental!I499),"",continental!I499)</f>
        <v/>
      </c>
      <c r="K1456" s="225" t="s">
        <v>4159</v>
      </c>
      <c r="O1456" s="225" t="s">
        <v>4159</v>
      </c>
    </row>
    <row r="1457" spans="1:15" ht="12.75" customHeight="1" x14ac:dyDescent="0.3">
      <c r="A1457" s="797" t="s">
        <v>1782</v>
      </c>
      <c r="B1457" s="797"/>
      <c r="C1457" s="797"/>
      <c r="D1457" s="797"/>
      <c r="E1457" s="797"/>
      <c r="F1457" s="797"/>
      <c r="G1457" s="796" t="s">
        <v>2407</v>
      </c>
      <c r="H1457" s="796" t="s">
        <v>335</v>
      </c>
      <c r="I1457" s="220" t="str">
        <f>IF(ISBLANK(continental!I500),"",continental!I500)</f>
        <v/>
      </c>
      <c r="K1457" s="225" t="s">
        <v>4159</v>
      </c>
      <c r="O1457" s="225" t="s">
        <v>4159</v>
      </c>
    </row>
    <row r="1458" spans="1:15" ht="12.75" customHeight="1" x14ac:dyDescent="0.3">
      <c r="A1458" s="841" t="s">
        <v>1784</v>
      </c>
      <c r="B1458" s="841"/>
      <c r="C1458" s="841"/>
      <c r="D1458" s="841"/>
      <c r="E1458" s="841"/>
      <c r="F1458" s="841"/>
      <c r="G1458" s="844" t="s">
        <v>2408</v>
      </c>
      <c r="H1458" s="844" t="s">
        <v>335</v>
      </c>
      <c r="I1458" s="220" t="str">
        <f>IF(ISBLANK(continental!I501),"",continental!I501)</f>
        <v/>
      </c>
      <c r="K1458" s="225" t="s">
        <v>4159</v>
      </c>
      <c r="O1458" s="225" t="s">
        <v>4159</v>
      </c>
    </row>
    <row r="1459" spans="1:15" ht="12.75" customHeight="1" x14ac:dyDescent="0.3">
      <c r="A1459" s="797" t="s">
        <v>1787</v>
      </c>
      <c r="B1459" s="797"/>
      <c r="C1459" s="797"/>
      <c r="D1459" s="797"/>
      <c r="E1459" s="797"/>
      <c r="F1459" s="797"/>
      <c r="G1459" s="796" t="s">
        <v>2409</v>
      </c>
      <c r="H1459" s="796" t="s">
        <v>335</v>
      </c>
      <c r="I1459" s="220" t="str">
        <f>IF(ISBLANK(continental!I502),"",continental!I502)</f>
        <v/>
      </c>
      <c r="K1459" s="225" t="s">
        <v>4159</v>
      </c>
      <c r="O1459" s="225" t="s">
        <v>4159</v>
      </c>
    </row>
    <row r="1460" spans="1:15" ht="12.75" customHeight="1" x14ac:dyDescent="0.3">
      <c r="A1460" s="797" t="s">
        <v>1789</v>
      </c>
      <c r="B1460" s="797"/>
      <c r="C1460" s="797"/>
      <c r="D1460" s="797"/>
      <c r="E1460" s="797"/>
      <c r="F1460" s="797"/>
      <c r="G1460" s="796" t="s">
        <v>2410</v>
      </c>
      <c r="H1460" s="796" t="s">
        <v>335</v>
      </c>
      <c r="I1460" s="220" t="str">
        <f>IF(ISBLANK(continental!I503),"",continental!I503)</f>
        <v/>
      </c>
      <c r="K1460" s="225" t="s">
        <v>4159</v>
      </c>
      <c r="O1460" s="225" t="s">
        <v>4159</v>
      </c>
    </row>
    <row r="1461" spans="1:15" ht="12.75" customHeight="1" x14ac:dyDescent="0.3">
      <c r="A1461" s="797" t="s">
        <v>1791</v>
      </c>
      <c r="B1461" s="797"/>
      <c r="C1461" s="797"/>
      <c r="D1461" s="797"/>
      <c r="E1461" s="797"/>
      <c r="F1461" s="797"/>
      <c r="G1461" s="796" t="s">
        <v>2411</v>
      </c>
      <c r="H1461" s="796" t="s">
        <v>335</v>
      </c>
      <c r="I1461" s="220" t="str">
        <f>IF(ISBLANK(continental!I504),"",continental!I504)</f>
        <v/>
      </c>
      <c r="K1461" s="225" t="s">
        <v>4159</v>
      </c>
      <c r="O1461" s="225" t="s">
        <v>4159</v>
      </c>
    </row>
    <row r="1462" spans="1:15" ht="12.75" customHeight="1" x14ac:dyDescent="0.3">
      <c r="A1462" s="797" t="s">
        <v>1793</v>
      </c>
      <c r="B1462" s="797"/>
      <c r="C1462" s="797"/>
      <c r="D1462" s="797"/>
      <c r="E1462" s="797"/>
      <c r="F1462" s="797"/>
      <c r="G1462" s="796" t="s">
        <v>2412</v>
      </c>
      <c r="H1462" s="796" t="s">
        <v>335</v>
      </c>
      <c r="I1462" s="220" t="str">
        <f>IF(ISBLANK(continental!I505),"",continental!I505)</f>
        <v/>
      </c>
      <c r="K1462" s="225" t="s">
        <v>4159</v>
      </c>
      <c r="O1462" s="225" t="s">
        <v>4159</v>
      </c>
    </row>
    <row r="1463" spans="1:15" ht="12.75" customHeight="1" x14ac:dyDescent="0.3">
      <c r="A1463" s="797" t="s">
        <v>1795</v>
      </c>
      <c r="B1463" s="797"/>
      <c r="C1463" s="797"/>
      <c r="D1463" s="797"/>
      <c r="E1463" s="797"/>
      <c r="F1463" s="797"/>
      <c r="G1463" s="796" t="s">
        <v>2413</v>
      </c>
      <c r="H1463" s="796" t="s">
        <v>335</v>
      </c>
      <c r="I1463" s="220" t="str">
        <f>IF(ISBLANK(continental!I506),"",continental!I506)</f>
        <v/>
      </c>
      <c r="K1463" s="225" t="s">
        <v>4159</v>
      </c>
      <c r="O1463" s="225" t="s">
        <v>4159</v>
      </c>
    </row>
    <row r="1464" spans="1:15" ht="12.75" customHeight="1" x14ac:dyDescent="0.3">
      <c r="A1464" s="797" t="s">
        <v>1797</v>
      </c>
      <c r="B1464" s="797"/>
      <c r="C1464" s="797"/>
      <c r="D1464" s="797"/>
      <c r="E1464" s="797"/>
      <c r="F1464" s="797"/>
      <c r="G1464" s="796" t="s">
        <v>2414</v>
      </c>
      <c r="H1464" s="796" t="s">
        <v>335</v>
      </c>
      <c r="I1464" s="220" t="str">
        <f>IF(ISBLANK(continental!I507),"",continental!I507)</f>
        <v/>
      </c>
      <c r="K1464" s="225" t="s">
        <v>4159</v>
      </c>
      <c r="O1464" s="225" t="s">
        <v>4159</v>
      </c>
    </row>
    <row r="1465" spans="1:15" ht="12.75" customHeight="1" x14ac:dyDescent="0.3">
      <c r="A1465" s="797" t="s">
        <v>1799</v>
      </c>
      <c r="B1465" s="797"/>
      <c r="C1465" s="797"/>
      <c r="D1465" s="797"/>
      <c r="E1465" s="797"/>
      <c r="F1465" s="797"/>
      <c r="G1465" s="796" t="s">
        <v>2415</v>
      </c>
      <c r="H1465" s="796" t="s">
        <v>335</v>
      </c>
      <c r="I1465" s="220" t="str">
        <f>IF(ISBLANK(continental!I508),"",continental!I508)</f>
        <v/>
      </c>
      <c r="K1465" s="225" t="s">
        <v>4159</v>
      </c>
      <c r="O1465" s="225" t="s">
        <v>4159</v>
      </c>
    </row>
    <row r="1466" spans="1:15" ht="12.75" customHeight="1" x14ac:dyDescent="0.3">
      <c r="A1466" s="797" t="s">
        <v>1801</v>
      </c>
      <c r="B1466" s="797"/>
      <c r="C1466" s="797"/>
      <c r="D1466" s="797"/>
      <c r="E1466" s="797"/>
      <c r="F1466" s="797"/>
      <c r="G1466" s="796" t="s">
        <v>2416</v>
      </c>
      <c r="H1466" s="796" t="s">
        <v>335</v>
      </c>
      <c r="I1466" s="220" t="str">
        <f>IF(ISBLANK(continental!I509),"",continental!I509)</f>
        <v/>
      </c>
      <c r="K1466" s="225" t="s">
        <v>4159</v>
      </c>
      <c r="O1466" s="225" t="s">
        <v>4159</v>
      </c>
    </row>
    <row r="1467" spans="1:15" ht="12.75" customHeight="1" x14ac:dyDescent="0.3">
      <c r="A1467" s="797" t="s">
        <v>1803</v>
      </c>
      <c r="B1467" s="797"/>
      <c r="C1467" s="797"/>
      <c r="D1467" s="797"/>
      <c r="E1467" s="797"/>
      <c r="F1467" s="797"/>
      <c r="G1467" s="796" t="s">
        <v>4673</v>
      </c>
      <c r="H1467" s="796" t="s">
        <v>335</v>
      </c>
      <c r="I1467" s="220" t="str">
        <f>IF(ISBLANK(continental!I510),"",continental!I510)</f>
        <v/>
      </c>
    </row>
    <row r="1468" spans="1:15" ht="12.75" customHeight="1" x14ac:dyDescent="0.3">
      <c r="A1468" s="797" t="s">
        <v>1806</v>
      </c>
      <c r="B1468" s="797"/>
      <c r="C1468" s="797"/>
      <c r="D1468" s="797"/>
      <c r="E1468" s="797"/>
      <c r="F1468" s="797"/>
      <c r="G1468" s="796" t="s">
        <v>4674</v>
      </c>
      <c r="H1468" s="796" t="s">
        <v>335</v>
      </c>
      <c r="I1468" s="220" t="str">
        <f>IF(ISBLANK(continental!I511),"",continental!I511)</f>
        <v/>
      </c>
    </row>
    <row r="1469" spans="1:15" ht="12.75" customHeight="1" x14ac:dyDescent="0.3">
      <c r="A1469" s="797" t="s">
        <v>1808</v>
      </c>
      <c r="B1469" s="797"/>
      <c r="C1469" s="797"/>
      <c r="D1469" s="797"/>
      <c r="E1469" s="797"/>
      <c r="F1469" s="797"/>
      <c r="G1469" s="796" t="s">
        <v>4675</v>
      </c>
      <c r="H1469" s="796" t="s">
        <v>335</v>
      </c>
      <c r="I1469" s="220" t="str">
        <f>IF(ISBLANK(continental!I512),"",continental!I512)</f>
        <v/>
      </c>
    </row>
    <row r="1470" spans="1:15" ht="12.75" customHeight="1" x14ac:dyDescent="0.3">
      <c r="A1470" s="797" t="s">
        <v>1810</v>
      </c>
      <c r="B1470" s="797"/>
      <c r="C1470" s="797"/>
      <c r="D1470" s="797"/>
      <c r="E1470" s="797"/>
      <c r="F1470" s="797"/>
      <c r="G1470" s="796" t="s">
        <v>4676</v>
      </c>
      <c r="H1470" s="796" t="s">
        <v>335</v>
      </c>
      <c r="I1470" s="220" t="str">
        <f>IF(ISBLANK(continental!I513),"",continental!I513)</f>
        <v/>
      </c>
    </row>
    <row r="1471" spans="1:15" ht="12.75" customHeight="1" x14ac:dyDescent="0.3">
      <c r="A1471" s="797" t="s">
        <v>1812</v>
      </c>
      <c r="B1471" s="797"/>
      <c r="C1471" s="797"/>
      <c r="D1471" s="797"/>
      <c r="E1471" s="797"/>
      <c r="F1471" s="797"/>
      <c r="G1471" s="796" t="s">
        <v>4677</v>
      </c>
      <c r="H1471" s="796" t="s">
        <v>335</v>
      </c>
      <c r="I1471" s="220" t="str">
        <f>IF(ISBLANK(continental!I514),"",continental!I514)</f>
        <v/>
      </c>
    </row>
    <row r="1472" spans="1:15" ht="12.75" customHeight="1" x14ac:dyDescent="0.3">
      <c r="A1472" s="797" t="s">
        <v>1814</v>
      </c>
      <c r="B1472" s="797"/>
      <c r="C1472" s="797"/>
      <c r="D1472" s="797"/>
      <c r="E1472" s="797"/>
      <c r="F1472" s="797"/>
      <c r="G1472" s="796" t="s">
        <v>4678</v>
      </c>
      <c r="H1472" s="796" t="s">
        <v>335</v>
      </c>
      <c r="I1472" s="220" t="str">
        <f>IF(ISBLANK(continental!I515),"",continental!I515)</f>
        <v/>
      </c>
    </row>
    <row r="1473" spans="1:15" ht="12.75" customHeight="1" x14ac:dyDescent="0.3">
      <c r="A1473" s="797" t="s">
        <v>1816</v>
      </c>
      <c r="B1473" s="797"/>
      <c r="C1473" s="797"/>
      <c r="D1473" s="797"/>
      <c r="E1473" s="797"/>
      <c r="F1473" s="797"/>
      <c r="G1473" s="796" t="s">
        <v>4679</v>
      </c>
      <c r="H1473" s="796" t="s">
        <v>335</v>
      </c>
      <c r="I1473" s="220" t="str">
        <f>IF(ISBLANK(continental!I516),"",continental!I516)</f>
        <v/>
      </c>
    </row>
    <row r="1474" spans="1:15" ht="12.75" customHeight="1" x14ac:dyDescent="0.3">
      <c r="A1474" s="797" t="s">
        <v>1819</v>
      </c>
      <c r="B1474" s="797"/>
      <c r="C1474" s="797"/>
      <c r="D1474" s="797"/>
      <c r="E1474" s="797"/>
      <c r="F1474" s="797"/>
      <c r="G1474" s="796" t="s">
        <v>4680</v>
      </c>
      <c r="H1474" s="796" t="s">
        <v>335</v>
      </c>
      <c r="I1474" s="220" t="str">
        <f>IF(ISBLANK(continental!I517),"",continental!I517)</f>
        <v/>
      </c>
    </row>
    <row r="1475" spans="1:15" ht="12.75" customHeight="1" x14ac:dyDescent="0.3">
      <c r="A1475" s="797" t="s">
        <v>1821</v>
      </c>
      <c r="B1475" s="797"/>
      <c r="C1475" s="797"/>
      <c r="D1475" s="797"/>
      <c r="E1475" s="797"/>
      <c r="F1475" s="797"/>
      <c r="G1475" s="796" t="s">
        <v>4681</v>
      </c>
      <c r="H1475" s="796" t="s">
        <v>335</v>
      </c>
      <c r="I1475" s="220" t="str">
        <f>IF(ISBLANK(continental!I518),"",continental!I518)</f>
        <v/>
      </c>
    </row>
    <row r="1476" spans="1:15" ht="12.75" customHeight="1" x14ac:dyDescent="0.3">
      <c r="A1476" s="841" t="s">
        <v>1803</v>
      </c>
      <c r="B1476" s="841"/>
      <c r="C1476" s="841"/>
      <c r="D1476" s="841"/>
      <c r="E1476" s="841"/>
      <c r="F1476" s="841"/>
      <c r="G1476" s="844" t="s">
        <v>2417</v>
      </c>
      <c r="H1476" s="844" t="s">
        <v>335</v>
      </c>
      <c r="I1476" s="220" t="str">
        <f>IF(ISBLANK(continental!I519),"",continental!I519)</f>
        <v/>
      </c>
      <c r="K1476" s="225" t="s">
        <v>4159</v>
      </c>
      <c r="O1476" s="225" t="s">
        <v>4159</v>
      </c>
    </row>
    <row r="1477" spans="1:15" ht="12.75" customHeight="1" x14ac:dyDescent="0.3">
      <c r="A1477" s="797" t="s">
        <v>1806</v>
      </c>
      <c r="B1477" s="797"/>
      <c r="C1477" s="797"/>
      <c r="D1477" s="797"/>
      <c r="E1477" s="797"/>
      <c r="F1477" s="797"/>
      <c r="G1477" s="796" t="s">
        <v>2418</v>
      </c>
      <c r="H1477" s="796" t="s">
        <v>335</v>
      </c>
      <c r="I1477" s="220" t="str">
        <f>IF(ISBLANK(continental!I520),"",continental!I520)</f>
        <v/>
      </c>
      <c r="K1477" s="225" t="s">
        <v>4159</v>
      </c>
      <c r="O1477" s="225" t="s">
        <v>4159</v>
      </c>
    </row>
    <row r="1478" spans="1:15" ht="12.75" customHeight="1" x14ac:dyDescent="0.3">
      <c r="A1478" s="797" t="s">
        <v>1808</v>
      </c>
      <c r="B1478" s="797"/>
      <c r="C1478" s="797"/>
      <c r="D1478" s="797"/>
      <c r="E1478" s="797"/>
      <c r="F1478" s="797"/>
      <c r="G1478" s="796" t="s">
        <v>2419</v>
      </c>
      <c r="H1478" s="796" t="s">
        <v>335</v>
      </c>
      <c r="I1478" s="220" t="str">
        <f>IF(ISBLANK(continental!I521),"",continental!I521)</f>
        <v/>
      </c>
      <c r="K1478" s="225" t="s">
        <v>4159</v>
      </c>
      <c r="O1478" s="225" t="s">
        <v>4159</v>
      </c>
    </row>
    <row r="1479" spans="1:15" ht="12.75" customHeight="1" x14ac:dyDescent="0.3">
      <c r="A1479" s="797" t="s">
        <v>1810</v>
      </c>
      <c r="B1479" s="797"/>
      <c r="C1479" s="797"/>
      <c r="D1479" s="797"/>
      <c r="E1479" s="797"/>
      <c r="F1479" s="797"/>
      <c r="G1479" s="796" t="s">
        <v>2420</v>
      </c>
      <c r="H1479" s="796" t="s">
        <v>335</v>
      </c>
      <c r="I1479" s="220" t="str">
        <f>IF(ISBLANK(continental!I522),"",continental!I522)</f>
        <v/>
      </c>
      <c r="K1479" s="225" t="s">
        <v>4159</v>
      </c>
      <c r="O1479" s="225" t="s">
        <v>4159</v>
      </c>
    </row>
    <row r="1480" spans="1:15" ht="12.75" customHeight="1" x14ac:dyDescent="0.3">
      <c r="A1480" s="797" t="s">
        <v>1812</v>
      </c>
      <c r="B1480" s="797"/>
      <c r="C1480" s="797"/>
      <c r="D1480" s="797"/>
      <c r="E1480" s="797"/>
      <c r="F1480" s="797"/>
      <c r="G1480" s="796" t="s">
        <v>2421</v>
      </c>
      <c r="H1480" s="796" t="s">
        <v>335</v>
      </c>
      <c r="I1480" s="220" t="str">
        <f>IF(ISBLANK(continental!I523),"",continental!I523)</f>
        <v/>
      </c>
      <c r="K1480" s="225" t="s">
        <v>4159</v>
      </c>
      <c r="O1480" s="225" t="s">
        <v>4159</v>
      </c>
    </row>
    <row r="1481" spans="1:15" ht="12.75" customHeight="1" x14ac:dyDescent="0.3">
      <c r="A1481" s="797" t="s">
        <v>1814</v>
      </c>
      <c r="B1481" s="797"/>
      <c r="C1481" s="797"/>
      <c r="D1481" s="797"/>
      <c r="E1481" s="797"/>
      <c r="F1481" s="797"/>
      <c r="G1481" s="796" t="s">
        <v>2422</v>
      </c>
      <c r="H1481" s="796" t="s">
        <v>335</v>
      </c>
      <c r="I1481" s="220" t="str">
        <f>IF(ISBLANK(continental!I524),"",continental!I524)</f>
        <v/>
      </c>
      <c r="K1481" s="225" t="s">
        <v>4159</v>
      </c>
      <c r="O1481" s="225" t="s">
        <v>4159</v>
      </c>
    </row>
    <row r="1482" spans="1:15" ht="12.75" customHeight="1" x14ac:dyDescent="0.3">
      <c r="A1482" s="797" t="s">
        <v>1816</v>
      </c>
      <c r="B1482" s="797"/>
      <c r="C1482" s="797"/>
      <c r="D1482" s="797"/>
      <c r="E1482" s="797"/>
      <c r="F1482" s="797"/>
      <c r="G1482" s="796" t="s">
        <v>2423</v>
      </c>
      <c r="H1482" s="796" t="s">
        <v>335</v>
      </c>
      <c r="I1482" s="220" t="str">
        <f>IF(ISBLANK(continental!I525),"",continental!I525)</f>
        <v/>
      </c>
      <c r="K1482" s="225" t="s">
        <v>4159</v>
      </c>
      <c r="O1482" s="225" t="s">
        <v>4159</v>
      </c>
    </row>
    <row r="1483" spans="1:15" ht="12.75" customHeight="1" x14ac:dyDescent="0.3">
      <c r="A1483" s="797" t="s">
        <v>1819</v>
      </c>
      <c r="B1483" s="797"/>
      <c r="C1483" s="797"/>
      <c r="D1483" s="797"/>
      <c r="E1483" s="797"/>
      <c r="F1483" s="797"/>
      <c r="G1483" s="796" t="s">
        <v>2424</v>
      </c>
      <c r="H1483" s="796" t="s">
        <v>335</v>
      </c>
      <c r="I1483" s="220" t="str">
        <f>IF(ISBLANK(continental!I526),"",continental!I526)</f>
        <v/>
      </c>
      <c r="K1483" s="225" t="s">
        <v>4159</v>
      </c>
      <c r="O1483" s="225" t="s">
        <v>4159</v>
      </c>
    </row>
    <row r="1484" spans="1:15" ht="12.75" customHeight="1" x14ac:dyDescent="0.3">
      <c r="A1484" s="852" t="s">
        <v>1821</v>
      </c>
      <c r="B1484" s="852"/>
      <c r="C1484" s="852"/>
      <c r="D1484" s="852"/>
      <c r="E1484" s="852"/>
      <c r="F1484" s="852"/>
      <c r="G1484" s="853" t="s">
        <v>2425</v>
      </c>
      <c r="H1484" s="853" t="s">
        <v>335</v>
      </c>
      <c r="I1484" s="220" t="str">
        <f>IF(ISBLANK(continental!I527),"",continental!I527)</f>
        <v/>
      </c>
      <c r="K1484" s="225" t="s">
        <v>4159</v>
      </c>
      <c r="O1484" s="225" t="s">
        <v>4159</v>
      </c>
    </row>
    <row r="1485" spans="1:15" ht="12.75" customHeight="1" x14ac:dyDescent="0.3">
      <c r="A1485" s="826"/>
      <c r="B1485" s="826"/>
      <c r="C1485" s="826"/>
      <c r="D1485" s="826"/>
      <c r="E1485" s="826"/>
      <c r="F1485" s="826"/>
      <c r="G1485" s="827"/>
      <c r="H1485" s="827"/>
      <c r="I1485" s="220" t="str">
        <f>IF(ISBLANK(continental!I528),"",continental!I528)</f>
        <v/>
      </c>
      <c r="K1485" s="225" t="s">
        <v>4159</v>
      </c>
      <c r="O1485" s="225" t="s">
        <v>4159</v>
      </c>
    </row>
    <row r="1486" spans="1:15" ht="12.75" customHeight="1" x14ac:dyDescent="0.3">
      <c r="A1486" s="785" t="s">
        <v>2426</v>
      </c>
      <c r="B1486" s="784"/>
      <c r="C1486" s="784"/>
      <c r="D1486" s="784"/>
      <c r="E1486" s="784"/>
      <c r="F1486" s="784"/>
      <c r="G1486" s="785" t="s">
        <v>258</v>
      </c>
      <c r="H1486" s="785" t="s">
        <v>274</v>
      </c>
      <c r="I1486" s="220" t="str">
        <f>IF(ISBLANK(continental!I529),"",continental!I529)</f>
        <v>User input</v>
      </c>
      <c r="K1486" s="225" t="s">
        <v>259</v>
      </c>
      <c r="O1486" s="225" t="s">
        <v>259</v>
      </c>
    </row>
    <row r="1487" spans="1:15" ht="12.75" customHeight="1" x14ac:dyDescent="0.3">
      <c r="A1487" s="796" t="s">
        <v>1267</v>
      </c>
      <c r="B1487" s="797"/>
      <c r="C1487" s="797"/>
      <c r="D1487" s="797"/>
      <c r="E1487" s="797"/>
      <c r="F1487" s="797"/>
      <c r="G1487" s="796" t="s">
        <v>2427</v>
      </c>
      <c r="H1487" s="796" t="s">
        <v>4690</v>
      </c>
      <c r="I1487" s="220" t="str">
        <f>IF(ISBLANK(continental!I530),"",continental!I530)</f>
        <v/>
      </c>
      <c r="K1487" s="225" t="s">
        <v>4159</v>
      </c>
      <c r="O1487" s="225" t="s">
        <v>4159</v>
      </c>
    </row>
    <row r="1488" spans="1:15" ht="12.75" customHeight="1" x14ac:dyDescent="0.3">
      <c r="A1488" s="796" t="s">
        <v>1267</v>
      </c>
      <c r="B1488" s="797"/>
      <c r="C1488" s="797"/>
      <c r="D1488" s="797"/>
      <c r="E1488" s="797"/>
      <c r="F1488" s="797"/>
      <c r="G1488" s="796" t="s">
        <v>2428</v>
      </c>
      <c r="H1488" s="796" t="s">
        <v>4690</v>
      </c>
      <c r="I1488" s="220" t="str">
        <f>IF(ISBLANK(continental!I531),"",continental!I531)</f>
        <v/>
      </c>
      <c r="K1488" s="225" t="s">
        <v>4159</v>
      </c>
      <c r="O1488" s="225" t="s">
        <v>4159</v>
      </c>
    </row>
    <row r="1489" spans="1:15" ht="12.75" customHeight="1" x14ac:dyDescent="0.3">
      <c r="A1489" s="796" t="s">
        <v>1267</v>
      </c>
      <c r="B1489" s="797"/>
      <c r="C1489" s="797"/>
      <c r="D1489" s="797"/>
      <c r="E1489" s="797"/>
      <c r="F1489" s="797"/>
      <c r="G1489" s="796" t="s">
        <v>2429</v>
      </c>
      <c r="H1489" s="796" t="s">
        <v>4690</v>
      </c>
      <c r="I1489" s="220" t="str">
        <f>IF(ISBLANK(continental!I532),"",continental!I532)</f>
        <v/>
      </c>
      <c r="K1489" s="225" t="s">
        <v>4159</v>
      </c>
      <c r="O1489" s="225" t="s">
        <v>4159</v>
      </c>
    </row>
    <row r="1490" spans="1:15" ht="12.75" customHeight="1" x14ac:dyDescent="0.3">
      <c r="A1490" s="796" t="s">
        <v>1268</v>
      </c>
      <c r="B1490" s="797"/>
      <c r="C1490" s="797"/>
      <c r="D1490" s="797"/>
      <c r="E1490" s="797"/>
      <c r="F1490" s="797"/>
      <c r="G1490" s="796" t="s">
        <v>2430</v>
      </c>
      <c r="H1490" s="796" t="s">
        <v>4690</v>
      </c>
      <c r="I1490" s="220" t="str">
        <f>IF(ISBLANK(continental!I533),"",continental!I533)</f>
        <v/>
      </c>
      <c r="K1490" s="225" t="s">
        <v>4159</v>
      </c>
      <c r="O1490" s="225" t="s">
        <v>4159</v>
      </c>
    </row>
    <row r="1491" spans="1:15" ht="12.75" customHeight="1" x14ac:dyDescent="0.3">
      <c r="A1491" s="796" t="s">
        <v>1268</v>
      </c>
      <c r="B1491" s="797"/>
      <c r="C1491" s="797"/>
      <c r="D1491" s="797"/>
      <c r="E1491" s="797"/>
      <c r="F1491" s="797"/>
      <c r="G1491" s="796" t="s">
        <v>2431</v>
      </c>
      <c r="H1491" s="796" t="s">
        <v>4690</v>
      </c>
      <c r="I1491" s="220" t="str">
        <f>IF(ISBLANK(continental!I534),"",continental!I534)</f>
        <v/>
      </c>
      <c r="K1491" s="225" t="s">
        <v>4159</v>
      </c>
      <c r="O1491" s="225" t="s">
        <v>4159</v>
      </c>
    </row>
    <row r="1492" spans="1:15" ht="12.75" customHeight="1" x14ac:dyDescent="0.3">
      <c r="A1492" s="796" t="s">
        <v>1268</v>
      </c>
      <c r="B1492" s="797"/>
      <c r="C1492" s="797"/>
      <c r="D1492" s="797"/>
      <c r="E1492" s="797"/>
      <c r="F1492" s="797"/>
      <c r="G1492" s="796" t="s">
        <v>2432</v>
      </c>
      <c r="H1492" s="796" t="s">
        <v>4690</v>
      </c>
      <c r="I1492" s="220" t="str">
        <f>IF(ISBLANK(continental!I535),"",continental!I535)</f>
        <v/>
      </c>
      <c r="K1492" s="225" t="s">
        <v>4159</v>
      </c>
      <c r="O1492" s="225" t="s">
        <v>4159</v>
      </c>
    </row>
    <row r="1493" spans="1:15" ht="12.75" customHeight="1" x14ac:dyDescent="0.3">
      <c r="A1493" s="796" t="s">
        <v>1269</v>
      </c>
      <c r="B1493" s="797"/>
      <c r="C1493" s="797"/>
      <c r="D1493" s="797"/>
      <c r="E1493" s="797"/>
      <c r="F1493" s="797"/>
      <c r="G1493" s="796" t="s">
        <v>2433</v>
      </c>
      <c r="H1493" s="796" t="s">
        <v>4690</v>
      </c>
      <c r="I1493" s="220" t="str">
        <f>IF(ISBLANK(continental!I536),"",continental!I536)</f>
        <v/>
      </c>
      <c r="K1493" s="225" t="s">
        <v>4159</v>
      </c>
      <c r="O1493" s="225" t="s">
        <v>4159</v>
      </c>
    </row>
    <row r="1494" spans="1:15" ht="12.75" customHeight="1" x14ac:dyDescent="0.3">
      <c r="A1494" s="796" t="s">
        <v>1269</v>
      </c>
      <c r="B1494" s="797"/>
      <c r="C1494" s="797"/>
      <c r="D1494" s="797"/>
      <c r="E1494" s="797"/>
      <c r="F1494" s="797"/>
      <c r="G1494" s="796" t="s">
        <v>2434</v>
      </c>
      <c r="H1494" s="796" t="s">
        <v>4690</v>
      </c>
      <c r="I1494" s="220" t="str">
        <f>IF(ISBLANK(continental!I537),"",continental!I537)</f>
        <v/>
      </c>
      <c r="K1494" s="225" t="s">
        <v>4159</v>
      </c>
      <c r="O1494" s="225" t="s">
        <v>4159</v>
      </c>
    </row>
    <row r="1495" spans="1:15" ht="12.75" customHeight="1" x14ac:dyDescent="0.3">
      <c r="A1495" s="796" t="s">
        <v>1269</v>
      </c>
      <c r="B1495" s="797"/>
      <c r="C1495" s="797"/>
      <c r="D1495" s="797"/>
      <c r="E1495" s="797"/>
      <c r="F1495" s="797"/>
      <c r="G1495" s="796" t="s">
        <v>2435</v>
      </c>
      <c r="H1495" s="796" t="s">
        <v>4690</v>
      </c>
      <c r="I1495" s="220" t="str">
        <f>IF(ISBLANK(continental!I538),"",continental!I538)</f>
        <v/>
      </c>
      <c r="K1495" s="225" t="s">
        <v>4159</v>
      </c>
      <c r="O1495" s="225" t="s">
        <v>4159</v>
      </c>
    </row>
    <row r="1496" spans="1:15" ht="12.75" customHeight="1" x14ac:dyDescent="0.3">
      <c r="A1496" s="796" t="s">
        <v>1270</v>
      </c>
      <c r="B1496" s="797"/>
      <c r="C1496" s="797"/>
      <c r="D1496" s="797"/>
      <c r="E1496" s="797"/>
      <c r="F1496" s="797"/>
      <c r="G1496" s="796" t="s">
        <v>2436</v>
      </c>
      <c r="H1496" s="796" t="s">
        <v>4690</v>
      </c>
      <c r="I1496" s="220" t="str">
        <f>IF(ISBLANK(continental!I539),"",continental!I539)</f>
        <v/>
      </c>
      <c r="K1496" s="225" t="s">
        <v>4159</v>
      </c>
      <c r="O1496" s="225" t="s">
        <v>4159</v>
      </c>
    </row>
    <row r="1497" spans="1:15" ht="12.75" customHeight="1" x14ac:dyDescent="0.3">
      <c r="A1497" s="796" t="s">
        <v>1270</v>
      </c>
      <c r="B1497" s="797"/>
      <c r="C1497" s="797"/>
      <c r="D1497" s="797"/>
      <c r="E1497" s="797"/>
      <c r="F1497" s="797"/>
      <c r="G1497" s="796" t="s">
        <v>2437</v>
      </c>
      <c r="H1497" s="796" t="s">
        <v>4690</v>
      </c>
      <c r="I1497" s="220" t="str">
        <f>IF(ISBLANK(continental!I540),"",continental!I540)</f>
        <v/>
      </c>
      <c r="K1497" s="225" t="s">
        <v>4159</v>
      </c>
      <c r="O1497" s="225" t="s">
        <v>4159</v>
      </c>
    </row>
    <row r="1498" spans="1:15" ht="12.75" customHeight="1" x14ac:dyDescent="0.3">
      <c r="A1498" s="796" t="s">
        <v>1270</v>
      </c>
      <c r="B1498" s="797"/>
      <c r="C1498" s="797"/>
      <c r="D1498" s="797"/>
      <c r="E1498" s="797"/>
      <c r="F1498" s="797"/>
      <c r="G1498" s="796" t="s">
        <v>2438</v>
      </c>
      <c r="H1498" s="796" t="s">
        <v>4690</v>
      </c>
      <c r="I1498" s="220" t="str">
        <f>IF(ISBLANK(continental!I541),"",continental!I541)</f>
        <v/>
      </c>
      <c r="K1498" s="225" t="s">
        <v>4159</v>
      </c>
      <c r="O1498" s="225" t="s">
        <v>4159</v>
      </c>
    </row>
    <row r="1499" spans="1:15" ht="12.75" customHeight="1" x14ac:dyDescent="0.3">
      <c r="A1499" s="796" t="s">
        <v>1271</v>
      </c>
      <c r="B1499" s="797"/>
      <c r="C1499" s="797"/>
      <c r="D1499" s="797"/>
      <c r="E1499" s="797"/>
      <c r="F1499" s="797"/>
      <c r="G1499" s="796" t="s">
        <v>2439</v>
      </c>
      <c r="H1499" s="796" t="s">
        <v>4690</v>
      </c>
      <c r="I1499" s="220" t="str">
        <f>IF(ISBLANK(continental!I542),"",continental!I542)</f>
        <v/>
      </c>
      <c r="K1499" s="225" t="s">
        <v>4159</v>
      </c>
      <c r="O1499" s="225" t="s">
        <v>4159</v>
      </c>
    </row>
    <row r="1500" spans="1:15" ht="12.75" customHeight="1" x14ac:dyDescent="0.3">
      <c r="A1500" s="796" t="s">
        <v>1271</v>
      </c>
      <c r="B1500" s="797"/>
      <c r="C1500" s="797"/>
      <c r="D1500" s="797"/>
      <c r="E1500" s="797"/>
      <c r="F1500" s="797"/>
      <c r="G1500" s="796" t="s">
        <v>2440</v>
      </c>
      <c r="H1500" s="796" t="s">
        <v>4690</v>
      </c>
      <c r="I1500" s="220" t="str">
        <f>IF(ISBLANK(continental!I543),"",continental!I543)</f>
        <v/>
      </c>
      <c r="K1500" s="225" t="s">
        <v>4159</v>
      </c>
      <c r="O1500" s="225" t="s">
        <v>4159</v>
      </c>
    </row>
    <row r="1501" spans="1:15" ht="12.75" customHeight="1" x14ac:dyDescent="0.3">
      <c r="A1501" s="796" t="s">
        <v>1271</v>
      </c>
      <c r="B1501" s="797"/>
      <c r="C1501" s="797"/>
      <c r="D1501" s="797"/>
      <c r="E1501" s="797"/>
      <c r="F1501" s="797"/>
      <c r="G1501" s="796" t="s">
        <v>2441</v>
      </c>
      <c r="H1501" s="796" t="s">
        <v>4690</v>
      </c>
      <c r="I1501" s="220" t="str">
        <f>IF(ISBLANK(continental!I544),"",continental!I544)</f>
        <v/>
      </c>
      <c r="K1501" s="225" t="s">
        <v>4159</v>
      </c>
      <c r="O1501" s="225" t="s">
        <v>4159</v>
      </c>
    </row>
    <row r="1502" spans="1:15" ht="12.75" customHeight="1" x14ac:dyDescent="0.3">
      <c r="A1502" s="796" t="s">
        <v>1273</v>
      </c>
      <c r="B1502" s="797"/>
      <c r="C1502" s="797"/>
      <c r="D1502" s="797"/>
      <c r="E1502" s="797"/>
      <c r="F1502" s="797"/>
      <c r="G1502" s="796" t="s">
        <v>2442</v>
      </c>
      <c r="H1502" s="796" t="s">
        <v>4690</v>
      </c>
      <c r="I1502" s="220" t="str">
        <f>IF(ISBLANK(continental!I545),"",continental!I545)</f>
        <v/>
      </c>
      <c r="K1502" s="225" t="s">
        <v>4159</v>
      </c>
      <c r="O1502" s="225" t="s">
        <v>4159</v>
      </c>
    </row>
    <row r="1503" spans="1:15" ht="12.75" customHeight="1" x14ac:dyDescent="0.3">
      <c r="A1503" s="796" t="s">
        <v>1273</v>
      </c>
      <c r="B1503" s="797"/>
      <c r="C1503" s="797"/>
      <c r="D1503" s="797"/>
      <c r="E1503" s="797"/>
      <c r="F1503" s="797"/>
      <c r="G1503" s="796" t="s">
        <v>2443</v>
      </c>
      <c r="H1503" s="796" t="s">
        <v>4690</v>
      </c>
      <c r="I1503" s="220" t="str">
        <f>IF(ISBLANK(continental!I546),"",continental!I546)</f>
        <v/>
      </c>
      <c r="K1503" s="225" t="s">
        <v>4159</v>
      </c>
      <c r="O1503" s="225" t="s">
        <v>4159</v>
      </c>
    </row>
    <row r="1504" spans="1:15" ht="12.75" customHeight="1" x14ac:dyDescent="0.3">
      <c r="A1504" s="796" t="s">
        <v>1273</v>
      </c>
      <c r="B1504" s="797"/>
      <c r="C1504" s="797"/>
      <c r="D1504" s="797"/>
      <c r="E1504" s="797"/>
      <c r="F1504" s="797"/>
      <c r="G1504" s="796" t="s">
        <v>2444</v>
      </c>
      <c r="H1504" s="796" t="s">
        <v>4690</v>
      </c>
      <c r="I1504" s="220" t="str">
        <f>IF(ISBLANK(continental!I547),"",continental!I547)</f>
        <v/>
      </c>
      <c r="K1504" s="225" t="s">
        <v>4159</v>
      </c>
      <c r="O1504" s="225" t="s">
        <v>4159</v>
      </c>
    </row>
    <row r="1505" spans="1:15" ht="12.75" customHeight="1" x14ac:dyDescent="0.3">
      <c r="A1505" s="796" t="s">
        <v>1274</v>
      </c>
      <c r="B1505" s="797"/>
      <c r="C1505" s="797"/>
      <c r="D1505" s="797"/>
      <c r="E1505" s="797"/>
      <c r="F1505" s="797"/>
      <c r="G1505" s="796" t="s">
        <v>2445</v>
      </c>
      <c r="H1505" s="796" t="s">
        <v>4690</v>
      </c>
      <c r="I1505" s="220" t="str">
        <f>IF(ISBLANK(continental!I548),"",continental!I548)</f>
        <v/>
      </c>
      <c r="K1505" s="225" t="s">
        <v>4159</v>
      </c>
      <c r="O1505" s="225" t="s">
        <v>4159</v>
      </c>
    </row>
    <row r="1506" spans="1:15" ht="12.75" customHeight="1" x14ac:dyDescent="0.3">
      <c r="A1506" s="796" t="s">
        <v>1274</v>
      </c>
      <c r="B1506" s="797"/>
      <c r="C1506" s="797"/>
      <c r="D1506" s="797"/>
      <c r="E1506" s="797"/>
      <c r="F1506" s="797"/>
      <c r="G1506" s="796" t="s">
        <v>2446</v>
      </c>
      <c r="H1506" s="796" t="s">
        <v>4690</v>
      </c>
      <c r="I1506" s="220" t="str">
        <f>IF(ISBLANK(continental!I549),"",continental!I549)</f>
        <v/>
      </c>
      <c r="K1506" s="225" t="s">
        <v>4159</v>
      </c>
      <c r="O1506" s="225" t="s">
        <v>4159</v>
      </c>
    </row>
    <row r="1507" spans="1:15" ht="12.75" customHeight="1" x14ac:dyDescent="0.3">
      <c r="A1507" s="796" t="s">
        <v>1274</v>
      </c>
      <c r="B1507" s="797"/>
      <c r="C1507" s="797"/>
      <c r="D1507" s="797"/>
      <c r="E1507" s="797"/>
      <c r="F1507" s="797"/>
      <c r="G1507" s="796" t="s">
        <v>2447</v>
      </c>
      <c r="H1507" s="796" t="s">
        <v>4690</v>
      </c>
      <c r="I1507" s="220" t="str">
        <f>IF(ISBLANK(continental!I550),"",continental!I550)</f>
        <v/>
      </c>
      <c r="K1507" s="225" t="s">
        <v>4159</v>
      </c>
      <c r="O1507" s="225" t="s">
        <v>4159</v>
      </c>
    </row>
    <row r="1508" spans="1:15" ht="12.75" customHeight="1" x14ac:dyDescent="0.3">
      <c r="A1508" s="796" t="s">
        <v>1275</v>
      </c>
      <c r="B1508" s="797"/>
      <c r="C1508" s="797"/>
      <c r="D1508" s="797"/>
      <c r="E1508" s="797"/>
      <c r="F1508" s="797"/>
      <c r="G1508" s="796" t="s">
        <v>2448</v>
      </c>
      <c r="H1508" s="796" t="s">
        <v>4690</v>
      </c>
      <c r="I1508" s="220" t="str">
        <f>IF(ISBLANK(continental!I551),"",continental!I551)</f>
        <v/>
      </c>
      <c r="K1508" s="225" t="s">
        <v>4159</v>
      </c>
      <c r="O1508" s="225" t="s">
        <v>4159</v>
      </c>
    </row>
    <row r="1509" spans="1:15" ht="12.75" customHeight="1" x14ac:dyDescent="0.3">
      <c r="A1509" s="796" t="s">
        <v>1275</v>
      </c>
      <c r="B1509" s="797"/>
      <c r="C1509" s="797"/>
      <c r="D1509" s="797"/>
      <c r="E1509" s="797"/>
      <c r="F1509" s="797"/>
      <c r="G1509" s="796" t="s">
        <v>2449</v>
      </c>
      <c r="H1509" s="796" t="s">
        <v>4690</v>
      </c>
      <c r="I1509" s="220" t="str">
        <f>IF(ISBLANK(continental!I552),"",continental!I552)</f>
        <v/>
      </c>
      <c r="K1509" s="225" t="s">
        <v>4159</v>
      </c>
      <c r="O1509" s="225" t="s">
        <v>4159</v>
      </c>
    </row>
    <row r="1510" spans="1:15" ht="12.75" customHeight="1" x14ac:dyDescent="0.3">
      <c r="A1510" s="796" t="s">
        <v>1275</v>
      </c>
      <c r="B1510" s="797"/>
      <c r="C1510" s="797"/>
      <c r="D1510" s="797"/>
      <c r="E1510" s="797"/>
      <c r="F1510" s="797"/>
      <c r="G1510" s="796" t="s">
        <v>2450</v>
      </c>
      <c r="H1510" s="796" t="s">
        <v>4690</v>
      </c>
      <c r="I1510" s="220" t="str">
        <f>IF(ISBLANK(continental!I553),"",continental!I553)</f>
        <v/>
      </c>
      <c r="K1510" s="225" t="s">
        <v>4159</v>
      </c>
      <c r="O1510" s="225" t="s">
        <v>4159</v>
      </c>
    </row>
    <row r="1511" spans="1:15" ht="12.75" customHeight="1" x14ac:dyDescent="0.3">
      <c r="A1511" s="796" t="s">
        <v>1276</v>
      </c>
      <c r="B1511" s="797"/>
      <c r="C1511" s="797"/>
      <c r="D1511" s="797"/>
      <c r="E1511" s="797"/>
      <c r="F1511" s="797"/>
      <c r="G1511" s="796" t="s">
        <v>2451</v>
      </c>
      <c r="H1511" s="796" t="s">
        <v>4690</v>
      </c>
      <c r="I1511" s="220" t="str">
        <f>IF(ISBLANK(continental!I554),"",continental!I554)</f>
        <v/>
      </c>
      <c r="K1511" s="225" t="s">
        <v>4159</v>
      </c>
      <c r="O1511" s="225" t="s">
        <v>4159</v>
      </c>
    </row>
    <row r="1512" spans="1:15" ht="12.75" customHeight="1" x14ac:dyDescent="0.3">
      <c r="A1512" s="796" t="s">
        <v>1276</v>
      </c>
      <c r="B1512" s="797"/>
      <c r="C1512" s="797"/>
      <c r="D1512" s="797"/>
      <c r="E1512" s="797"/>
      <c r="F1512" s="797"/>
      <c r="G1512" s="796" t="s">
        <v>2452</v>
      </c>
      <c r="H1512" s="796" t="s">
        <v>4690</v>
      </c>
      <c r="I1512" s="220" t="str">
        <f>IF(ISBLANK(continental!I555),"",continental!I555)</f>
        <v/>
      </c>
      <c r="K1512" s="225" t="s">
        <v>4159</v>
      </c>
      <c r="O1512" s="225" t="s">
        <v>4159</v>
      </c>
    </row>
    <row r="1513" spans="1:15" ht="12.75" customHeight="1" x14ac:dyDescent="0.3">
      <c r="A1513" s="796" t="s">
        <v>1276</v>
      </c>
      <c r="B1513" s="797"/>
      <c r="C1513" s="797"/>
      <c r="D1513" s="797"/>
      <c r="E1513" s="797"/>
      <c r="F1513" s="797"/>
      <c r="G1513" s="796" t="s">
        <v>2453</v>
      </c>
      <c r="H1513" s="796" t="s">
        <v>4690</v>
      </c>
      <c r="I1513" s="220" t="str">
        <f>IF(ISBLANK(continental!I556),"",continental!I556)</f>
        <v/>
      </c>
      <c r="K1513" s="225" t="s">
        <v>4159</v>
      </c>
      <c r="O1513" s="225" t="s">
        <v>4159</v>
      </c>
    </row>
    <row r="1514" spans="1:15" ht="12.75" customHeight="1" x14ac:dyDescent="0.3">
      <c r="A1514" s="796" t="s">
        <v>1277</v>
      </c>
      <c r="B1514" s="797"/>
      <c r="C1514" s="797"/>
      <c r="D1514" s="797"/>
      <c r="E1514" s="797"/>
      <c r="F1514" s="797"/>
      <c r="G1514" s="796" t="s">
        <v>2454</v>
      </c>
      <c r="H1514" s="796" t="s">
        <v>4690</v>
      </c>
      <c r="I1514" s="220" t="str">
        <f>IF(ISBLANK(continental!I557),"",continental!I557)</f>
        <v/>
      </c>
      <c r="K1514" s="225" t="s">
        <v>4159</v>
      </c>
      <c r="O1514" s="225" t="s">
        <v>4159</v>
      </c>
    </row>
    <row r="1515" spans="1:15" ht="12.75" customHeight="1" x14ac:dyDescent="0.3">
      <c r="A1515" s="796" t="s">
        <v>1277</v>
      </c>
      <c r="B1515" s="797"/>
      <c r="C1515" s="797"/>
      <c r="D1515" s="797"/>
      <c r="E1515" s="797"/>
      <c r="F1515" s="797"/>
      <c r="G1515" s="796" t="s">
        <v>2455</v>
      </c>
      <c r="H1515" s="796" t="s">
        <v>4690</v>
      </c>
      <c r="I1515" s="220" t="str">
        <f>IF(ISBLANK(continental!I558),"",continental!I558)</f>
        <v/>
      </c>
      <c r="K1515" s="225" t="s">
        <v>4159</v>
      </c>
      <c r="O1515" s="225" t="s">
        <v>4159</v>
      </c>
    </row>
    <row r="1516" spans="1:15" ht="12.75" customHeight="1" x14ac:dyDescent="0.3">
      <c r="A1516" s="796" t="s">
        <v>1277</v>
      </c>
      <c r="B1516" s="797"/>
      <c r="C1516" s="797"/>
      <c r="D1516" s="797"/>
      <c r="E1516" s="797"/>
      <c r="F1516" s="797"/>
      <c r="G1516" s="796" t="s">
        <v>2456</v>
      </c>
      <c r="H1516" s="796" t="s">
        <v>4690</v>
      </c>
      <c r="I1516" s="220" t="str">
        <f>IF(ISBLANK(continental!I559),"",continental!I559)</f>
        <v/>
      </c>
      <c r="K1516" s="225" t="s">
        <v>4159</v>
      </c>
      <c r="O1516" s="225" t="s">
        <v>4159</v>
      </c>
    </row>
    <row r="1517" spans="1:15" ht="12.75" customHeight="1" x14ac:dyDescent="0.3">
      <c r="A1517" s="797"/>
      <c r="B1517" s="797" t="s">
        <v>1855</v>
      </c>
      <c r="C1517" s="797"/>
      <c r="D1517" s="797"/>
      <c r="E1517" s="797"/>
      <c r="F1517" s="797"/>
      <c r="G1517" s="796" t="s">
        <v>2457</v>
      </c>
      <c r="H1517" s="796" t="s">
        <v>335</v>
      </c>
      <c r="I1517" s="220" t="str">
        <f>IF(ISBLANK(continental!I560),"",continental!I560)</f>
        <v/>
      </c>
      <c r="K1517" s="225" t="s">
        <v>4159</v>
      </c>
      <c r="O1517" s="225" t="s">
        <v>4159</v>
      </c>
    </row>
    <row r="1518" spans="1:15" ht="12.75" customHeight="1" x14ac:dyDescent="0.3">
      <c r="A1518" s="797"/>
      <c r="B1518" s="797" t="s">
        <v>1858</v>
      </c>
      <c r="C1518" s="797"/>
      <c r="D1518" s="797"/>
      <c r="E1518" s="797"/>
      <c r="F1518" s="797"/>
      <c r="G1518" s="796" t="s">
        <v>2458</v>
      </c>
      <c r="H1518" s="796" t="s">
        <v>335</v>
      </c>
      <c r="I1518" s="220" t="str">
        <f>IF(ISBLANK(continental!I561),"",continental!I561)</f>
        <v/>
      </c>
      <c r="K1518" s="225" t="s">
        <v>4159</v>
      </c>
      <c r="O1518" s="225" t="s">
        <v>4159</v>
      </c>
    </row>
    <row r="1519" spans="1:15" ht="12.75" customHeight="1" x14ac:dyDescent="0.3">
      <c r="A1519" s="797"/>
      <c r="B1519" s="797" t="s">
        <v>1860</v>
      </c>
      <c r="C1519" s="797"/>
      <c r="D1519" s="797"/>
      <c r="E1519" s="797"/>
      <c r="F1519" s="797"/>
      <c r="G1519" s="796" t="s">
        <v>2459</v>
      </c>
      <c r="H1519" s="796" t="s">
        <v>335</v>
      </c>
      <c r="I1519" s="220" t="str">
        <f>IF(ISBLANK(continental!I562),"",continental!I562)</f>
        <v/>
      </c>
      <c r="K1519" s="225" t="s">
        <v>4159</v>
      </c>
      <c r="O1519" s="225" t="s">
        <v>4159</v>
      </c>
    </row>
    <row r="1520" spans="1:15" ht="12.75" customHeight="1" x14ac:dyDescent="0.3">
      <c r="A1520" s="797"/>
      <c r="B1520" s="797" t="s">
        <v>1862</v>
      </c>
      <c r="C1520" s="797"/>
      <c r="D1520" s="797"/>
      <c r="E1520" s="797"/>
      <c r="F1520" s="797"/>
      <c r="G1520" s="796" t="s">
        <v>2460</v>
      </c>
      <c r="H1520" s="796" t="s">
        <v>335</v>
      </c>
      <c r="I1520" s="220" t="str">
        <f>IF(ISBLANK(continental!I563),"",continental!I563)</f>
        <v/>
      </c>
      <c r="K1520" s="225" t="s">
        <v>4159</v>
      </c>
      <c r="O1520" s="225" t="s">
        <v>4159</v>
      </c>
    </row>
    <row r="1521" spans="1:15" ht="12.75" customHeight="1" x14ac:dyDescent="0.3">
      <c r="A1521" s="797"/>
      <c r="B1521" s="797" t="s">
        <v>1865</v>
      </c>
      <c r="C1521" s="797"/>
      <c r="D1521" s="797"/>
      <c r="E1521" s="797"/>
      <c r="F1521" s="797"/>
      <c r="G1521" s="796" t="s">
        <v>2461</v>
      </c>
      <c r="H1521" s="796" t="s">
        <v>335</v>
      </c>
      <c r="I1521" s="220" t="str">
        <f>IF(ISBLANK(continental!I564),"",continental!I564)</f>
        <v/>
      </c>
      <c r="K1521" s="225" t="s">
        <v>4159</v>
      </c>
      <c r="O1521" s="225" t="s">
        <v>4159</v>
      </c>
    </row>
    <row r="1522" spans="1:15" ht="12.75" customHeight="1" x14ac:dyDescent="0.3">
      <c r="A1522" s="797"/>
      <c r="B1522" s="797" t="s">
        <v>1867</v>
      </c>
      <c r="C1522" s="797"/>
      <c r="D1522" s="797"/>
      <c r="E1522" s="797"/>
      <c r="F1522" s="797"/>
      <c r="G1522" s="796" t="s">
        <v>2462</v>
      </c>
      <c r="H1522" s="796" t="s">
        <v>335</v>
      </c>
      <c r="I1522" s="220" t="str">
        <f>IF(ISBLANK(continental!I565),"",continental!I565)</f>
        <v/>
      </c>
      <c r="K1522" s="225" t="s">
        <v>4159</v>
      </c>
      <c r="O1522" s="225" t="s">
        <v>4159</v>
      </c>
    </row>
    <row r="1524" spans="1:15" ht="12.75" customHeight="1" x14ac:dyDescent="0.3">
      <c r="A1524" s="98" t="s">
        <v>2463</v>
      </c>
      <c r="B1524" s="860"/>
      <c r="C1524" s="860"/>
      <c r="D1524" s="860"/>
      <c r="E1524" s="860"/>
      <c r="F1524" s="860"/>
      <c r="G1524" s="821"/>
      <c r="H1524" s="821"/>
      <c r="I1524" s="35"/>
      <c r="J1524" s="208"/>
    </row>
    <row r="1525" spans="1:15" ht="12.75" customHeight="1" x14ac:dyDescent="0.3">
      <c r="A1525" s="860"/>
      <c r="B1525" s="860"/>
      <c r="C1525" s="860"/>
      <c r="D1525" s="860"/>
      <c r="E1525" s="860"/>
      <c r="F1525" s="860"/>
      <c r="G1525" s="821"/>
      <c r="H1525" s="821"/>
      <c r="I1525" s="35"/>
      <c r="J1525" s="208"/>
    </row>
    <row r="1526" spans="1:15" ht="12.75" customHeight="1" x14ac:dyDescent="0.3">
      <c r="A1526" s="864" t="s">
        <v>947</v>
      </c>
      <c r="B1526" s="864"/>
      <c r="C1526" s="864"/>
      <c r="D1526" s="864"/>
      <c r="E1526" s="864"/>
      <c r="F1526" s="864"/>
      <c r="G1526" s="865" t="s">
        <v>258</v>
      </c>
      <c r="H1526" s="865" t="s">
        <v>274</v>
      </c>
      <c r="I1526" s="145"/>
      <c r="J1526" s="637"/>
    </row>
    <row r="1527" spans="1:15" ht="12.75" customHeight="1" x14ac:dyDescent="0.3">
      <c r="A1527" s="860"/>
      <c r="B1527" s="860"/>
      <c r="C1527" s="860"/>
      <c r="D1527" s="860"/>
      <c r="E1527" s="860"/>
      <c r="F1527" s="860"/>
      <c r="G1527" s="860"/>
      <c r="H1527" s="821"/>
      <c r="I1527" s="35"/>
      <c r="J1527" s="208"/>
    </row>
    <row r="1528" spans="1:15" ht="12.75" customHeight="1" x14ac:dyDescent="0.3">
      <c r="A1528" s="821" t="s">
        <v>948</v>
      </c>
      <c r="B1528" s="860"/>
      <c r="C1528" s="860"/>
      <c r="D1528" s="860"/>
      <c r="E1528" s="860"/>
      <c r="F1528" s="860"/>
      <c r="G1528" s="821" t="s">
        <v>2464</v>
      </c>
      <c r="H1528" s="860" t="s">
        <v>4683</v>
      </c>
      <c r="I1528" s="220" t="str">
        <f>IF(ISBLANK(global!I5),"",global!I5)</f>
        <v/>
      </c>
      <c r="K1528" s="225" t="s">
        <v>4159</v>
      </c>
      <c r="O1528" s="225" t="s">
        <v>4159</v>
      </c>
    </row>
    <row r="1529" spans="1:15" ht="12.75" customHeight="1" x14ac:dyDescent="0.3">
      <c r="A1529" s="796" t="s">
        <v>1871</v>
      </c>
      <c r="B1529" s="797"/>
      <c r="C1529" s="797"/>
      <c r="D1529" s="797"/>
      <c r="E1529" s="797"/>
      <c r="F1529" s="797"/>
      <c r="G1529" s="796" t="s">
        <v>2465</v>
      </c>
      <c r="H1529" s="797" t="s">
        <v>4683</v>
      </c>
      <c r="I1529" s="220" t="str">
        <f>IF(ISBLANK(global!I6),"",global!I6)</f>
        <v/>
      </c>
      <c r="K1529" s="225" t="s">
        <v>4159</v>
      </c>
      <c r="O1529" s="225" t="s">
        <v>4159</v>
      </c>
    </row>
    <row r="1530" spans="1:15" ht="12.75" customHeight="1" x14ac:dyDescent="0.3">
      <c r="A1530" s="821" t="s">
        <v>2466</v>
      </c>
      <c r="B1530" s="860"/>
      <c r="C1530" s="860"/>
      <c r="D1530" s="860"/>
      <c r="E1530" s="860"/>
      <c r="F1530" s="860"/>
      <c r="G1530" s="821" t="s">
        <v>2467</v>
      </c>
      <c r="H1530" s="860" t="s">
        <v>4683</v>
      </c>
      <c r="I1530" s="220" t="str">
        <f>IF(ISBLANK(global!I7),"",global!I7)</f>
        <v/>
      </c>
      <c r="K1530" s="225" t="s">
        <v>4159</v>
      </c>
      <c r="O1530" s="225" t="s">
        <v>4159</v>
      </c>
    </row>
    <row r="1531" spans="1:15" ht="12.75" customHeight="1" x14ac:dyDescent="0.3">
      <c r="A1531" s="821" t="s">
        <v>2468</v>
      </c>
      <c r="B1531" s="860"/>
      <c r="C1531" s="860"/>
      <c r="D1531" s="860"/>
      <c r="E1531" s="860"/>
      <c r="F1531" s="860"/>
      <c r="G1531" s="821" t="s">
        <v>2469</v>
      </c>
      <c r="H1531" s="860" t="s">
        <v>4683</v>
      </c>
      <c r="I1531" s="220" t="str">
        <f>IF(ISBLANK(global!I8),"",global!I8)</f>
        <v/>
      </c>
      <c r="K1531" s="225" t="s">
        <v>4159</v>
      </c>
      <c r="O1531" s="225" t="s">
        <v>4159</v>
      </c>
    </row>
    <row r="1532" spans="1:15" ht="12.75" customHeight="1" x14ac:dyDescent="0.3">
      <c r="A1532" s="821" t="s">
        <v>2470</v>
      </c>
      <c r="B1532" s="860"/>
      <c r="C1532" s="860"/>
      <c r="D1532" s="860"/>
      <c r="E1532" s="860"/>
      <c r="F1532" s="860"/>
      <c r="G1532" s="821" t="s">
        <v>2471</v>
      </c>
      <c r="H1532" s="860" t="s">
        <v>4683</v>
      </c>
      <c r="I1532" s="220" t="str">
        <f>IF(ISBLANK(global!I9),"",global!I9)</f>
        <v/>
      </c>
      <c r="K1532" s="225" t="s">
        <v>4159</v>
      </c>
      <c r="O1532" s="225" t="s">
        <v>4159</v>
      </c>
    </row>
    <row r="1533" spans="1:15" ht="12.75" customHeight="1" x14ac:dyDescent="0.3">
      <c r="A1533" s="821" t="s">
        <v>2472</v>
      </c>
      <c r="B1533" s="860"/>
      <c r="C1533" s="860"/>
      <c r="D1533" s="860"/>
      <c r="E1533" s="860"/>
      <c r="F1533" s="860"/>
      <c r="G1533" s="821" t="s">
        <v>2473</v>
      </c>
      <c r="H1533" s="860" t="s">
        <v>4683</v>
      </c>
      <c r="I1533" s="220" t="str">
        <f>IF(ISBLANK(global!I10),"",global!I10)</f>
        <v/>
      </c>
      <c r="K1533" s="225" t="s">
        <v>4159</v>
      </c>
      <c r="O1533" s="225" t="s">
        <v>4159</v>
      </c>
    </row>
    <row r="1534" spans="1:15" ht="12.75" customHeight="1" x14ac:dyDescent="0.3">
      <c r="A1534" s="860"/>
      <c r="B1534" s="821" t="s">
        <v>2474</v>
      </c>
      <c r="C1534" s="860"/>
      <c r="D1534" s="860"/>
      <c r="E1534" s="860"/>
      <c r="F1534" s="860"/>
      <c r="G1534" s="821" t="s">
        <v>2475</v>
      </c>
      <c r="H1534" s="860" t="s">
        <v>4684</v>
      </c>
      <c r="I1534" s="220" t="str">
        <f>IF(ISBLANK(global!I11),"",global!I11)</f>
        <v/>
      </c>
      <c r="K1534" s="225" t="s">
        <v>4159</v>
      </c>
      <c r="O1534" s="225" t="s">
        <v>4159</v>
      </c>
    </row>
    <row r="1535" spans="1:15" ht="12.75" customHeight="1" x14ac:dyDescent="0.3">
      <c r="A1535" s="860"/>
      <c r="B1535" s="821" t="s">
        <v>4767</v>
      </c>
      <c r="C1535" s="860"/>
      <c r="D1535" s="860"/>
      <c r="E1535" s="860"/>
      <c r="F1535" s="860"/>
      <c r="G1535" s="872" t="s">
        <v>2476</v>
      </c>
      <c r="H1535" s="860" t="s">
        <v>291</v>
      </c>
      <c r="I1535" s="220" t="str">
        <f>IF(ISBLANK(global!I12),"",global!I12)</f>
        <v/>
      </c>
      <c r="K1535" s="225" t="s">
        <v>4159</v>
      </c>
      <c r="O1535" s="225" t="s">
        <v>4159</v>
      </c>
    </row>
    <row r="1536" spans="1:15" ht="12.75" customHeight="1" x14ac:dyDescent="0.3">
      <c r="A1536" s="860"/>
      <c r="B1536" s="821" t="s">
        <v>4768</v>
      </c>
      <c r="C1536" s="860"/>
      <c r="D1536" s="860"/>
      <c r="E1536" s="860"/>
      <c r="F1536" s="860"/>
      <c r="G1536" s="872" t="s">
        <v>2477</v>
      </c>
      <c r="H1536" s="860" t="s">
        <v>291</v>
      </c>
      <c r="I1536" s="220" t="str">
        <f>IF(ISBLANK(global!I13),"",global!I13)</f>
        <v/>
      </c>
      <c r="K1536" s="225" t="s">
        <v>4159</v>
      </c>
      <c r="O1536" s="225" t="s">
        <v>4159</v>
      </c>
    </row>
    <row r="1537" spans="1:15" ht="12.75" customHeight="1" x14ac:dyDescent="0.3">
      <c r="A1537" s="860"/>
      <c r="B1537" s="860"/>
      <c r="C1537" s="821" t="s">
        <v>987</v>
      </c>
      <c r="D1537" s="860"/>
      <c r="E1537" s="860"/>
      <c r="F1537" s="860"/>
      <c r="G1537" s="872" t="s">
        <v>2478</v>
      </c>
      <c r="H1537" s="821" t="s">
        <v>813</v>
      </c>
      <c r="I1537" s="220" t="str">
        <f>IF(ISBLANK(global!I14),"",global!I14)</f>
        <v/>
      </c>
      <c r="K1537" s="225" t="s">
        <v>4159</v>
      </c>
      <c r="O1537" s="225" t="s">
        <v>4159</v>
      </c>
    </row>
    <row r="1538" spans="1:15" ht="12.75" customHeight="1" x14ac:dyDescent="0.3">
      <c r="A1538" s="860"/>
      <c r="B1538" s="860"/>
      <c r="C1538" s="821" t="s">
        <v>2479</v>
      </c>
      <c r="D1538" s="860"/>
      <c r="E1538" s="860"/>
      <c r="F1538" s="860"/>
      <c r="G1538" s="872" t="s">
        <v>2480</v>
      </c>
      <c r="H1538" s="821" t="s">
        <v>813</v>
      </c>
      <c r="I1538" s="220" t="str">
        <f>IF(ISBLANK(global!I15),"",global!I15)</f>
        <v/>
      </c>
      <c r="K1538" s="225" t="s">
        <v>4159</v>
      </c>
      <c r="O1538" s="225" t="s">
        <v>4159</v>
      </c>
    </row>
    <row r="1539" spans="1:15" ht="12.75" customHeight="1" x14ac:dyDescent="0.3">
      <c r="A1539" s="860"/>
      <c r="B1539" s="860"/>
      <c r="C1539" s="821" t="s">
        <v>2481</v>
      </c>
      <c r="D1539" s="860"/>
      <c r="E1539" s="860"/>
      <c r="F1539" s="860"/>
      <c r="G1539" s="872" t="s">
        <v>2482</v>
      </c>
      <c r="H1539" s="821" t="s">
        <v>813</v>
      </c>
      <c r="I1539" s="220" t="str">
        <f>IF(ISBLANK(global!I16),"",global!I16)</f>
        <v/>
      </c>
      <c r="K1539" s="225" t="s">
        <v>4159</v>
      </c>
      <c r="O1539" s="225" t="s">
        <v>4159</v>
      </c>
    </row>
    <row r="1540" spans="1:15" ht="12.75" customHeight="1" x14ac:dyDescent="0.3">
      <c r="A1540" s="860"/>
      <c r="B1540" s="860"/>
      <c r="C1540" s="821" t="s">
        <v>2483</v>
      </c>
      <c r="D1540" s="860"/>
      <c r="E1540" s="860"/>
      <c r="F1540" s="860"/>
      <c r="G1540" s="872" t="s">
        <v>2484</v>
      </c>
      <c r="H1540" s="821" t="s">
        <v>997</v>
      </c>
      <c r="I1540" s="220" t="str">
        <f>IF(ISBLANK(global!I17),"",global!I17)</f>
        <v/>
      </c>
      <c r="K1540" s="225" t="s">
        <v>4159</v>
      </c>
      <c r="O1540" s="225" t="s">
        <v>4159</v>
      </c>
    </row>
    <row r="1541" spans="1:15" ht="12.75" customHeight="1" x14ac:dyDescent="0.3">
      <c r="A1541" s="821"/>
      <c r="B1541" s="860"/>
      <c r="C1541" s="821" t="s">
        <v>4769</v>
      </c>
      <c r="D1541" s="872"/>
      <c r="E1541" s="872"/>
      <c r="F1541" s="860"/>
      <c r="G1541" s="872" t="s">
        <v>2485</v>
      </c>
      <c r="H1541" s="821" t="s">
        <v>813</v>
      </c>
      <c r="I1541" s="220" t="str">
        <f>IF(ISBLANK(global!I18),"",global!I18)</f>
        <v/>
      </c>
      <c r="K1541" s="225" t="s">
        <v>4159</v>
      </c>
      <c r="O1541" s="225" t="s">
        <v>4159</v>
      </c>
    </row>
    <row r="1542" spans="1:15" ht="12.75" customHeight="1" x14ac:dyDescent="0.3">
      <c r="A1542" s="797"/>
      <c r="B1542" s="797"/>
      <c r="C1542" s="797" t="s">
        <v>1005</v>
      </c>
      <c r="D1542" s="797"/>
      <c r="E1542" s="797"/>
      <c r="F1542" s="797"/>
      <c r="G1542" s="796" t="s">
        <v>4770</v>
      </c>
      <c r="H1542" s="796" t="s">
        <v>1007</v>
      </c>
      <c r="I1542" s="220" t="str">
        <f>IF(ISBLANK(global!I19),"",global!I19)</f>
        <v/>
      </c>
      <c r="K1542" s="225" t="s">
        <v>4159</v>
      </c>
      <c r="O1542" s="225" t="s">
        <v>4159</v>
      </c>
    </row>
    <row r="1543" spans="1:15" ht="12.75" customHeight="1" x14ac:dyDescent="0.3">
      <c r="A1543" s="860"/>
      <c r="B1543" s="860"/>
      <c r="C1543" s="860" t="s">
        <v>1009</v>
      </c>
      <c r="D1543" s="860"/>
      <c r="E1543" s="860"/>
      <c r="F1543" s="860"/>
      <c r="G1543" s="821" t="s">
        <v>4771</v>
      </c>
      <c r="H1543" s="821" t="s">
        <v>1007</v>
      </c>
      <c r="I1543" s="220" t="str">
        <f>IF(ISBLANK(global!I20),"",global!I20)</f>
        <v/>
      </c>
      <c r="K1543" s="225" t="s">
        <v>4159</v>
      </c>
      <c r="O1543" s="225" t="s">
        <v>4159</v>
      </c>
    </row>
    <row r="1544" spans="1:15" ht="12.75" customHeight="1" x14ac:dyDescent="0.3">
      <c r="A1544" s="860"/>
      <c r="B1544" s="860"/>
      <c r="C1544" s="860" t="s">
        <v>1012</v>
      </c>
      <c r="D1544" s="860"/>
      <c r="E1544" s="860"/>
      <c r="F1544" s="860"/>
      <c r="G1544" s="821" t="s">
        <v>4772</v>
      </c>
      <c r="H1544" s="821" t="s">
        <v>1007</v>
      </c>
      <c r="I1544" s="220" t="str">
        <f>IF(ISBLANK(global!I21),"",global!I21)</f>
        <v/>
      </c>
      <c r="K1544" s="225" t="s">
        <v>4159</v>
      </c>
      <c r="O1544" s="225" t="s">
        <v>4159</v>
      </c>
    </row>
    <row r="1545" spans="1:15" ht="12.75" customHeight="1" x14ac:dyDescent="0.3">
      <c r="A1545" s="821"/>
      <c r="B1545" s="860"/>
      <c r="C1545" s="821" t="s">
        <v>2489</v>
      </c>
      <c r="D1545" s="872"/>
      <c r="E1545" s="872"/>
      <c r="F1545" s="860"/>
      <c r="G1545" s="872" t="s">
        <v>2490</v>
      </c>
      <c r="H1545" s="821" t="s">
        <v>1007</v>
      </c>
      <c r="I1545" s="220" t="str">
        <f>IF(ISBLANK(global!I22),"",global!I22)</f>
        <v/>
      </c>
      <c r="K1545" s="225" t="s">
        <v>4159</v>
      </c>
      <c r="O1545" s="225" t="s">
        <v>4159</v>
      </c>
    </row>
    <row r="1546" spans="1:15" ht="12.75" customHeight="1" x14ac:dyDescent="0.3">
      <c r="A1546" s="860"/>
      <c r="B1546" s="860"/>
      <c r="C1546" s="821" t="s">
        <v>2491</v>
      </c>
      <c r="D1546" s="860"/>
      <c r="E1546" s="860"/>
      <c r="F1546" s="860"/>
      <c r="G1546" s="872" t="s">
        <v>2492</v>
      </c>
      <c r="H1546" s="821" t="s">
        <v>1007</v>
      </c>
      <c r="I1546" s="220" t="str">
        <f>IF(ISBLANK(global!I23),"",global!I23)</f>
        <v/>
      </c>
      <c r="K1546" s="225" t="s">
        <v>4159</v>
      </c>
      <c r="O1546" s="225" t="s">
        <v>4159</v>
      </c>
    </row>
    <row r="1547" spans="1:15" ht="12.75" customHeight="1" x14ac:dyDescent="0.3">
      <c r="A1547" s="860"/>
      <c r="B1547" s="860"/>
      <c r="C1547" s="821" t="s">
        <v>2493</v>
      </c>
      <c r="D1547" s="860"/>
      <c r="E1547" s="860"/>
      <c r="F1547" s="860"/>
      <c r="G1547" s="872" t="s">
        <v>2494</v>
      </c>
      <c r="H1547" s="821" t="s">
        <v>1007</v>
      </c>
      <c r="I1547" s="220" t="str">
        <f>IF(ISBLANK(global!I24),"",global!I24)</f>
        <v/>
      </c>
      <c r="K1547" s="225" t="s">
        <v>4159</v>
      </c>
      <c r="O1547" s="225" t="s">
        <v>4159</v>
      </c>
    </row>
    <row r="1548" spans="1:15" ht="12.75" customHeight="1" x14ac:dyDescent="0.3">
      <c r="A1548" s="821"/>
      <c r="B1548" s="860"/>
      <c r="C1548" s="821" t="s">
        <v>1032</v>
      </c>
      <c r="D1548" s="872"/>
      <c r="E1548" s="872"/>
      <c r="F1548" s="860"/>
      <c r="G1548" s="872" t="s">
        <v>2495</v>
      </c>
      <c r="H1548" s="821" t="s">
        <v>1007</v>
      </c>
      <c r="I1548" s="220" t="str">
        <f>IF(ISBLANK(global!I25),"",global!I25)</f>
        <v/>
      </c>
      <c r="K1548" s="225" t="s">
        <v>4159</v>
      </c>
      <c r="O1548" s="225" t="s">
        <v>4159</v>
      </c>
    </row>
    <row r="1549" spans="1:15" ht="12.75" customHeight="1" x14ac:dyDescent="0.3">
      <c r="A1549" s="821"/>
      <c r="B1549" s="860"/>
      <c r="C1549" s="821" t="s">
        <v>1034</v>
      </c>
      <c r="D1549" s="872"/>
      <c r="E1549" s="872"/>
      <c r="F1549" s="860"/>
      <c r="G1549" s="872" t="s">
        <v>2496</v>
      </c>
      <c r="H1549" s="821" t="s">
        <v>1007</v>
      </c>
      <c r="I1549" s="220" t="str">
        <f>IF(ISBLANK(global!I26),"",global!I26)</f>
        <v/>
      </c>
      <c r="K1549" s="225" t="s">
        <v>4159</v>
      </c>
      <c r="O1549" s="225" t="s">
        <v>4159</v>
      </c>
    </row>
    <row r="1550" spans="1:15" ht="12.75" customHeight="1" x14ac:dyDescent="0.3">
      <c r="A1550" s="860"/>
      <c r="B1550" s="860"/>
      <c r="C1550" s="860"/>
      <c r="D1550" s="860"/>
      <c r="E1550" s="860"/>
      <c r="F1550" s="860"/>
      <c r="G1550" s="860"/>
      <c r="H1550" s="860"/>
      <c r="I1550" s="220" t="str">
        <f>IF(ISBLANK(global!I27),"",global!I27)</f>
        <v/>
      </c>
      <c r="K1550" s="225" t="s">
        <v>4159</v>
      </c>
      <c r="O1550" s="225" t="s">
        <v>4159</v>
      </c>
    </row>
    <row r="1551" spans="1:15" ht="12.75" customHeight="1" x14ac:dyDescent="0.3">
      <c r="A1551" s="789" t="s">
        <v>2497</v>
      </c>
      <c r="B1551" s="790"/>
      <c r="C1551" s="790"/>
      <c r="D1551" s="790"/>
      <c r="E1551" s="790"/>
      <c r="F1551" s="790"/>
      <c r="G1551" s="789" t="s">
        <v>2498</v>
      </c>
      <c r="H1551" s="789" t="s">
        <v>4690</v>
      </c>
      <c r="I1551" s="220" t="str">
        <f>IF(ISBLANK(global!I28),"",global!I28)</f>
        <v/>
      </c>
      <c r="K1551" s="225" t="s">
        <v>4159</v>
      </c>
      <c r="O1551" s="225" t="s">
        <v>4159</v>
      </c>
    </row>
    <row r="1552" spans="1:15" ht="12.75" customHeight="1" x14ac:dyDescent="0.3">
      <c r="A1552" s="789" t="s">
        <v>2499</v>
      </c>
      <c r="B1552" s="790"/>
      <c r="C1552" s="790"/>
      <c r="D1552" s="790"/>
      <c r="E1552" s="790"/>
      <c r="F1552" s="790"/>
      <c r="G1552" s="789" t="s">
        <v>2500</v>
      </c>
      <c r="H1552" s="789" t="s">
        <v>4690</v>
      </c>
      <c r="I1552" s="220" t="str">
        <f>IF(ISBLANK(global!I29),"",global!I29)</f>
        <v/>
      </c>
      <c r="K1552" s="225" t="s">
        <v>4159</v>
      </c>
      <c r="O1552" s="225" t="s">
        <v>4159</v>
      </c>
    </row>
    <row r="1553" spans="1:15" ht="12.75" customHeight="1" x14ac:dyDescent="0.3">
      <c r="A1553" s="789" t="s">
        <v>2501</v>
      </c>
      <c r="B1553" s="790"/>
      <c r="C1553" s="790"/>
      <c r="D1553" s="790"/>
      <c r="E1553" s="790"/>
      <c r="F1553" s="790"/>
      <c r="G1553" s="789" t="s">
        <v>2502</v>
      </c>
      <c r="H1553" s="789" t="s">
        <v>4690</v>
      </c>
      <c r="I1553" s="220" t="str">
        <f>IF(ISBLANK(global!I30),"",global!I30)</f>
        <v/>
      </c>
      <c r="K1553" s="225" t="s">
        <v>4159</v>
      </c>
      <c r="O1553" s="225" t="s">
        <v>4159</v>
      </c>
    </row>
    <row r="1554" spans="1:15" ht="12.75" customHeight="1" x14ac:dyDescent="0.3">
      <c r="A1554" s="860"/>
      <c r="B1554" s="860"/>
      <c r="C1554" s="860"/>
      <c r="D1554" s="872"/>
      <c r="E1554" s="860"/>
      <c r="F1554" s="860"/>
      <c r="G1554" s="821"/>
      <c r="H1554" s="860"/>
      <c r="I1554" s="220" t="str">
        <f>IF(ISBLANK(global!I31),"",global!I31)</f>
        <v/>
      </c>
      <c r="K1554" s="225" t="s">
        <v>4159</v>
      </c>
      <c r="O1554" s="225" t="s">
        <v>4159</v>
      </c>
    </row>
    <row r="1555" spans="1:15" ht="12.75" customHeight="1" x14ac:dyDescent="0.3">
      <c r="A1555" s="821" t="s">
        <v>4773</v>
      </c>
      <c r="B1555" s="860"/>
      <c r="C1555" s="860"/>
      <c r="D1555" s="860"/>
      <c r="E1555" s="860"/>
      <c r="F1555" s="860"/>
      <c r="G1555" s="821" t="s">
        <v>2503</v>
      </c>
      <c r="H1555" s="821" t="s">
        <v>4690</v>
      </c>
      <c r="I1555" s="220" t="str">
        <f>IF(ISBLANK(global!I32),"",global!I32)</f>
        <v/>
      </c>
      <c r="K1555" s="225" t="s">
        <v>4159</v>
      </c>
      <c r="O1555" s="225" t="s">
        <v>4159</v>
      </c>
    </row>
    <row r="1556" spans="1:15" ht="12.75" customHeight="1" x14ac:dyDescent="0.3">
      <c r="A1556" s="821" t="s">
        <v>4774</v>
      </c>
      <c r="B1556" s="860"/>
      <c r="C1556" s="860"/>
      <c r="D1556" s="860"/>
      <c r="E1556" s="860"/>
      <c r="F1556" s="860"/>
      <c r="G1556" s="821" t="s">
        <v>2504</v>
      </c>
      <c r="H1556" s="821" t="s">
        <v>4690</v>
      </c>
      <c r="I1556" s="220" t="str">
        <f>IF(ISBLANK(global!I33),"",global!I33)</f>
        <v/>
      </c>
      <c r="K1556" s="225" t="s">
        <v>4159</v>
      </c>
      <c r="O1556" s="225" t="s">
        <v>4159</v>
      </c>
    </row>
    <row r="1557" spans="1:15" ht="12.75" customHeight="1" x14ac:dyDescent="0.3">
      <c r="A1557" s="821" t="s">
        <v>4775</v>
      </c>
      <c r="B1557" s="860"/>
      <c r="C1557" s="860"/>
      <c r="D1557" s="860"/>
      <c r="E1557" s="860"/>
      <c r="F1557" s="860"/>
      <c r="G1557" s="821" t="s">
        <v>2505</v>
      </c>
      <c r="H1557" s="821" t="s">
        <v>4690</v>
      </c>
      <c r="I1557" s="220" t="str">
        <f>IF(ISBLANK(global!I34),"",global!I34)</f>
        <v/>
      </c>
      <c r="K1557" s="225" t="s">
        <v>4159</v>
      </c>
      <c r="O1557" s="225" t="s">
        <v>4159</v>
      </c>
    </row>
    <row r="1558" spans="1:15" ht="12.75" customHeight="1" x14ac:dyDescent="0.3">
      <c r="A1558" s="821" t="s">
        <v>2506</v>
      </c>
      <c r="B1558" s="860"/>
      <c r="C1558" s="860"/>
      <c r="D1558" s="860"/>
      <c r="E1558" s="860"/>
      <c r="F1558" s="860"/>
      <c r="G1558" s="821" t="s">
        <v>2507</v>
      </c>
      <c r="H1558" s="821" t="s">
        <v>4690</v>
      </c>
      <c r="I1558" s="220" t="str">
        <f>IF(ISBLANK(global!I35),"",global!I35)</f>
        <v/>
      </c>
      <c r="K1558" s="225" t="s">
        <v>4159</v>
      </c>
      <c r="O1558" s="225" t="s">
        <v>4159</v>
      </c>
    </row>
    <row r="1559" spans="1:15" ht="12.75" customHeight="1" x14ac:dyDescent="0.3">
      <c r="A1559" s="821" t="s">
        <v>2508</v>
      </c>
      <c r="B1559" s="860"/>
      <c r="C1559" s="860"/>
      <c r="D1559" s="860"/>
      <c r="E1559" s="860"/>
      <c r="F1559" s="860"/>
      <c r="G1559" s="821" t="s">
        <v>2509</v>
      </c>
      <c r="H1559" s="821" t="s">
        <v>4690</v>
      </c>
      <c r="I1559" s="220" t="str">
        <f>IF(ISBLANK(global!I36),"",global!I36)</f>
        <v/>
      </c>
      <c r="K1559" s="225" t="s">
        <v>4159</v>
      </c>
      <c r="O1559" s="225" t="s">
        <v>4159</v>
      </c>
    </row>
    <row r="1560" spans="1:15" ht="12.75" customHeight="1" x14ac:dyDescent="0.3">
      <c r="A1560" s="821"/>
      <c r="B1560" s="821" t="s">
        <v>2510</v>
      </c>
      <c r="C1560" s="860"/>
      <c r="D1560" s="860"/>
      <c r="E1560" s="860"/>
      <c r="F1560" s="860"/>
      <c r="G1560" s="872" t="s">
        <v>2511</v>
      </c>
      <c r="H1560" s="860" t="s">
        <v>4691</v>
      </c>
      <c r="I1560" s="220" t="str">
        <f>IF(ISBLANK(global!I37),"",global!I37)</f>
        <v/>
      </c>
      <c r="K1560" s="225" t="s">
        <v>4159</v>
      </c>
      <c r="O1560" s="225" t="s">
        <v>4159</v>
      </c>
    </row>
    <row r="1561" spans="1:15" ht="12.75" customHeight="1" x14ac:dyDescent="0.3">
      <c r="A1561" s="821"/>
      <c r="B1561" s="821" t="s">
        <v>2512</v>
      </c>
      <c r="C1561" s="860"/>
      <c r="D1561" s="860"/>
      <c r="E1561" s="860"/>
      <c r="F1561" s="860"/>
      <c r="G1561" s="872" t="s">
        <v>2513</v>
      </c>
      <c r="H1561" s="860" t="s">
        <v>4691</v>
      </c>
      <c r="I1561" s="220" t="str">
        <f>IF(ISBLANK(global!I38),"",global!I38)</f>
        <v/>
      </c>
      <c r="K1561" s="225" t="s">
        <v>4159</v>
      </c>
      <c r="O1561" s="225" t="s">
        <v>4159</v>
      </c>
    </row>
    <row r="1562" spans="1:15" ht="12.75" customHeight="1" x14ac:dyDescent="0.3">
      <c r="A1562" s="821"/>
      <c r="B1562" s="821" t="s">
        <v>2514</v>
      </c>
      <c r="C1562" s="860"/>
      <c r="D1562" s="860"/>
      <c r="E1562" s="860"/>
      <c r="F1562" s="860"/>
      <c r="G1562" s="872" t="s">
        <v>2515</v>
      </c>
      <c r="H1562" s="860" t="s">
        <v>4691</v>
      </c>
      <c r="I1562" s="220" t="str">
        <f>IF(ISBLANK(global!I39),"",global!I39)</f>
        <v/>
      </c>
      <c r="K1562" s="225" t="s">
        <v>4159</v>
      </c>
      <c r="O1562" s="225" t="s">
        <v>4159</v>
      </c>
    </row>
    <row r="1563" spans="1:15" ht="12.75" customHeight="1" x14ac:dyDescent="0.3">
      <c r="A1563" s="821"/>
      <c r="B1563" s="821"/>
      <c r="C1563" s="860" t="s">
        <v>2516</v>
      </c>
      <c r="D1563" s="860"/>
      <c r="E1563" s="860"/>
      <c r="F1563" s="860"/>
      <c r="G1563" s="821" t="s">
        <v>2517</v>
      </c>
      <c r="H1563" s="860" t="s">
        <v>4691</v>
      </c>
      <c r="I1563" s="220" t="str">
        <f>IF(ISBLANK(global!I40),"",global!I40)</f>
        <v/>
      </c>
      <c r="K1563" s="225" t="s">
        <v>4159</v>
      </c>
      <c r="O1563" s="225" t="s">
        <v>4159</v>
      </c>
    </row>
    <row r="1564" spans="1:15" ht="12.75" customHeight="1" x14ac:dyDescent="0.3">
      <c r="A1564" s="821" t="s">
        <v>2518</v>
      </c>
      <c r="B1564" s="860"/>
      <c r="C1564" s="860"/>
      <c r="D1564" s="860"/>
      <c r="E1564" s="860"/>
      <c r="F1564" s="860"/>
      <c r="G1564" s="821" t="s">
        <v>2519</v>
      </c>
      <c r="H1564" s="821" t="s">
        <v>4690</v>
      </c>
      <c r="I1564" s="220" t="str">
        <f>IF(ISBLANK(global!I41),"",global!I41)</f>
        <v/>
      </c>
      <c r="K1564" s="225" t="s">
        <v>4159</v>
      </c>
      <c r="O1564" s="225" t="s">
        <v>4159</v>
      </c>
    </row>
    <row r="1565" spans="1:15" ht="12.75" customHeight="1" x14ac:dyDescent="0.3">
      <c r="A1565" s="821" t="s">
        <v>2520</v>
      </c>
      <c r="B1565" s="860"/>
      <c r="C1565" s="860"/>
      <c r="D1565" s="860"/>
      <c r="E1565" s="860"/>
      <c r="F1565" s="860"/>
      <c r="G1565" s="821" t="s">
        <v>2521</v>
      </c>
      <c r="H1565" s="821" t="s">
        <v>4690</v>
      </c>
      <c r="I1565" s="220" t="str">
        <f>IF(ISBLANK(global!I42),"",global!I42)</f>
        <v/>
      </c>
      <c r="K1565" s="225" t="s">
        <v>4159</v>
      </c>
      <c r="O1565" s="225" t="s">
        <v>4159</v>
      </c>
    </row>
    <row r="1566" spans="1:15" ht="12.75" customHeight="1" x14ac:dyDescent="0.3">
      <c r="A1566" s="821"/>
      <c r="B1566" s="860" t="s">
        <v>2522</v>
      </c>
      <c r="C1566" s="860"/>
      <c r="D1566" s="860"/>
      <c r="E1566" s="860"/>
      <c r="F1566" s="860"/>
      <c r="G1566" s="821" t="s">
        <v>2523</v>
      </c>
      <c r="H1566" s="860" t="s">
        <v>4691</v>
      </c>
      <c r="I1566" s="220" t="str">
        <f>IF(ISBLANK(global!I43),"",global!I43)</f>
        <v/>
      </c>
      <c r="K1566" s="225" t="s">
        <v>4159</v>
      </c>
      <c r="O1566" s="225" t="s">
        <v>4159</v>
      </c>
    </row>
    <row r="1567" spans="1:15" ht="12.75" customHeight="1" x14ac:dyDescent="0.3">
      <c r="A1567" s="821"/>
      <c r="B1567" s="821"/>
      <c r="C1567" s="860" t="s">
        <v>2524</v>
      </c>
      <c r="D1567" s="860"/>
      <c r="E1567" s="860"/>
      <c r="F1567" s="860"/>
      <c r="G1567" s="821" t="s">
        <v>2525</v>
      </c>
      <c r="H1567" s="860" t="s">
        <v>1041</v>
      </c>
      <c r="I1567" s="220" t="str">
        <f>IF(ISBLANK(global!I44),"",global!I44)</f>
        <v/>
      </c>
      <c r="K1567" s="225" t="s">
        <v>4159</v>
      </c>
      <c r="O1567" s="225" t="s">
        <v>4159</v>
      </c>
    </row>
    <row r="1568" spans="1:15" ht="12.75" customHeight="1" x14ac:dyDescent="0.3">
      <c r="A1568" s="860"/>
      <c r="B1568" s="860"/>
      <c r="C1568" s="860"/>
      <c r="D1568" s="860"/>
      <c r="E1568" s="860"/>
      <c r="F1568" s="860"/>
      <c r="G1568" s="860"/>
      <c r="H1568" s="821"/>
      <c r="I1568" s="220" t="str">
        <f>IF(ISBLANK(global!I45),"",global!I45)</f>
        <v/>
      </c>
      <c r="K1568" s="225" t="s">
        <v>4159</v>
      </c>
      <c r="O1568" s="225" t="s">
        <v>4159</v>
      </c>
    </row>
    <row r="1569" spans="1:15" ht="12.75" customHeight="1" x14ac:dyDescent="0.3">
      <c r="A1569" s="865" t="s">
        <v>1952</v>
      </c>
      <c r="B1569" s="864"/>
      <c r="C1569" s="864"/>
      <c r="D1569" s="864"/>
      <c r="E1569" s="864"/>
      <c r="F1569" s="864"/>
      <c r="G1569" s="865" t="s">
        <v>258</v>
      </c>
      <c r="H1569" s="865" t="s">
        <v>274</v>
      </c>
      <c r="I1569" s="220" t="str">
        <f>IF(ISBLANK(global!I46),"",global!I46)</f>
        <v>User input</v>
      </c>
      <c r="K1569" s="225" t="s">
        <v>259</v>
      </c>
      <c r="O1569" s="225" t="s">
        <v>259</v>
      </c>
    </row>
    <row r="1570" spans="1:15" ht="12.75" customHeight="1" x14ac:dyDescent="0.3">
      <c r="A1570" s="860"/>
      <c r="B1570" s="860"/>
      <c r="C1570" s="860"/>
      <c r="D1570" s="860"/>
      <c r="E1570" s="860"/>
      <c r="F1570" s="860"/>
      <c r="G1570" s="860"/>
      <c r="H1570" s="821"/>
      <c r="I1570" s="220" t="str">
        <f>IF(ISBLANK(global!I47),"",global!I47)</f>
        <v/>
      </c>
      <c r="K1570" s="225" t="s">
        <v>4159</v>
      </c>
      <c r="O1570" s="225" t="s">
        <v>4159</v>
      </c>
    </row>
    <row r="1571" spans="1:15" ht="12.75" customHeight="1" x14ac:dyDescent="0.3">
      <c r="A1571" s="860"/>
      <c r="B1571" s="821" t="s">
        <v>2526</v>
      </c>
      <c r="C1571" s="821"/>
      <c r="D1571" s="821"/>
      <c r="E1571" s="821"/>
      <c r="F1571" s="821"/>
      <c r="G1571" s="821" t="s">
        <v>4776</v>
      </c>
      <c r="H1571" s="821" t="s">
        <v>291</v>
      </c>
      <c r="I1571" s="220" t="str">
        <f>IF(ISBLANK(global!I48),"",global!I48)</f>
        <v/>
      </c>
      <c r="K1571" s="225" t="s">
        <v>4159</v>
      </c>
      <c r="O1571" s="225" t="s">
        <v>4159</v>
      </c>
    </row>
    <row r="1572" spans="1:15" ht="12.75" customHeight="1" x14ac:dyDescent="0.3">
      <c r="A1572" s="860"/>
      <c r="B1572" s="860" t="s">
        <v>1955</v>
      </c>
      <c r="C1572" s="860"/>
      <c r="D1572" s="860"/>
      <c r="E1572" s="860"/>
      <c r="F1572" s="860"/>
      <c r="G1572" s="860" t="s">
        <v>2528</v>
      </c>
      <c r="H1572" s="860" t="s">
        <v>291</v>
      </c>
      <c r="I1572" s="220" t="str">
        <f>IF(ISBLANK(global!I49),"",global!I49)</f>
        <v/>
      </c>
      <c r="K1572" s="225" t="s">
        <v>4159</v>
      </c>
      <c r="O1572" s="225" t="s">
        <v>4159</v>
      </c>
    </row>
    <row r="1573" spans="1:15" ht="12.75" customHeight="1" x14ac:dyDescent="0.3">
      <c r="A1573" s="860"/>
      <c r="B1573" s="860" t="s">
        <v>1957</v>
      </c>
      <c r="C1573" s="860"/>
      <c r="D1573" s="860"/>
      <c r="E1573" s="860"/>
      <c r="F1573" s="860"/>
      <c r="G1573" s="860" t="s">
        <v>2529</v>
      </c>
      <c r="H1573" s="860" t="s">
        <v>291</v>
      </c>
      <c r="I1573" s="220" t="str">
        <f>IF(ISBLANK(global!I50),"",global!I50)</f>
        <v/>
      </c>
      <c r="K1573" s="225" t="s">
        <v>4159</v>
      </c>
      <c r="O1573" s="225" t="s">
        <v>4159</v>
      </c>
    </row>
    <row r="1574" spans="1:15" ht="12.75" customHeight="1" x14ac:dyDescent="0.3">
      <c r="A1574" s="860"/>
      <c r="B1574" s="821" t="s">
        <v>1959</v>
      </c>
      <c r="C1574" s="821"/>
      <c r="D1574" s="821"/>
      <c r="E1574" s="821"/>
      <c r="F1574" s="821"/>
      <c r="G1574" s="821" t="s">
        <v>4777</v>
      </c>
      <c r="H1574" s="821" t="s">
        <v>291</v>
      </c>
      <c r="I1574" s="220" t="str">
        <f>IF(ISBLANK(global!I51),"",global!I51)</f>
        <v/>
      </c>
      <c r="K1574" s="225" t="s">
        <v>4159</v>
      </c>
      <c r="O1574" s="225" t="s">
        <v>4159</v>
      </c>
    </row>
    <row r="1575" spans="1:15" ht="12.75" customHeight="1" x14ac:dyDescent="0.3">
      <c r="A1575" s="821"/>
      <c r="B1575" s="821"/>
      <c r="C1575" s="821" t="s">
        <v>2531</v>
      </c>
      <c r="D1575" s="821"/>
      <c r="E1575" s="821"/>
      <c r="F1575" s="821"/>
      <c r="G1575" s="821" t="s">
        <v>2532</v>
      </c>
      <c r="H1575" s="821" t="s">
        <v>4778</v>
      </c>
      <c r="I1575" s="220" t="str">
        <f>IF(ISBLANK(global!I52),"",global!I52)</f>
        <v/>
      </c>
      <c r="K1575" s="225" t="s">
        <v>4159</v>
      </c>
      <c r="O1575" s="225" t="s">
        <v>4159</v>
      </c>
    </row>
    <row r="1576" spans="1:15" ht="12.75" customHeight="1" x14ac:dyDescent="0.35">
      <c r="A1576" s="860"/>
      <c r="B1576" s="860"/>
      <c r="C1576" s="860" t="s">
        <v>1961</v>
      </c>
      <c r="D1576" s="860"/>
      <c r="E1576" s="860"/>
      <c r="F1576" s="860"/>
      <c r="G1576" s="860" t="s">
        <v>2533</v>
      </c>
      <c r="H1576" s="860" t="s">
        <v>4701</v>
      </c>
      <c r="I1576" s="220" t="str">
        <f>IF(ISBLANK(global!I53),"",global!I53)</f>
        <v/>
      </c>
      <c r="K1576" s="225" t="s">
        <v>4159</v>
      </c>
      <c r="O1576" s="225" t="s">
        <v>4159</v>
      </c>
    </row>
    <row r="1577" spans="1:15" ht="12.75" customHeight="1" x14ac:dyDescent="0.35">
      <c r="A1577" s="860"/>
      <c r="B1577" s="860"/>
      <c r="C1577" s="860" t="s">
        <v>1963</v>
      </c>
      <c r="D1577" s="860"/>
      <c r="E1577" s="860"/>
      <c r="F1577" s="860"/>
      <c r="G1577" s="860" t="s">
        <v>2534</v>
      </c>
      <c r="H1577" s="860" t="s">
        <v>4703</v>
      </c>
      <c r="I1577" s="220" t="str">
        <f>IF(ISBLANK(global!I54),"",global!I54)</f>
        <v/>
      </c>
      <c r="K1577" s="225" t="s">
        <v>4159</v>
      </c>
      <c r="O1577" s="225" t="s">
        <v>4159</v>
      </c>
    </row>
    <row r="1578" spans="1:15" ht="12.75" customHeight="1" x14ac:dyDescent="0.3">
      <c r="A1578" s="821"/>
      <c r="B1578" s="821" t="s">
        <v>4781</v>
      </c>
      <c r="C1578" s="872"/>
      <c r="D1578" s="860"/>
      <c r="E1578" s="860"/>
      <c r="F1578" s="860"/>
      <c r="G1578" s="821" t="s">
        <v>2535</v>
      </c>
      <c r="H1578" s="821" t="s">
        <v>291</v>
      </c>
      <c r="I1578" s="220" t="str">
        <f>IF(ISBLANK(global!I55),"",global!I55)</f>
        <v/>
      </c>
      <c r="K1578" s="225" t="s">
        <v>4159</v>
      </c>
      <c r="O1578" s="225" t="s">
        <v>4159</v>
      </c>
    </row>
    <row r="1579" spans="1:15" ht="12.75" customHeight="1" x14ac:dyDescent="0.3">
      <c r="A1579" s="821"/>
      <c r="B1579" s="821" t="s">
        <v>2536</v>
      </c>
      <c r="C1579" s="872"/>
      <c r="D1579" s="860"/>
      <c r="E1579" s="860"/>
      <c r="F1579" s="860"/>
      <c r="G1579" s="821" t="s">
        <v>2537</v>
      </c>
      <c r="H1579" s="821" t="s">
        <v>291</v>
      </c>
      <c r="I1579" s="220" t="str">
        <f>IF(ISBLANK(global!I56),"",global!I56)</f>
        <v/>
      </c>
      <c r="K1579" s="225" t="s">
        <v>4159</v>
      </c>
      <c r="O1579" s="225" t="s">
        <v>4159</v>
      </c>
    </row>
    <row r="1580" spans="1:15" ht="12.75" customHeight="1" x14ac:dyDescent="0.3">
      <c r="A1580" s="821"/>
      <c r="B1580" s="860"/>
      <c r="C1580" s="821" t="s">
        <v>4782</v>
      </c>
      <c r="D1580" s="860"/>
      <c r="E1580" s="860"/>
      <c r="F1580" s="860"/>
      <c r="G1580" s="872" t="s">
        <v>2538</v>
      </c>
      <c r="H1580" s="821" t="s">
        <v>4706</v>
      </c>
      <c r="I1580" s="220" t="str">
        <f>IF(ISBLANK(global!I57),"",global!I57)</f>
        <v/>
      </c>
      <c r="K1580" s="225" t="s">
        <v>4159</v>
      </c>
      <c r="O1580" s="225" t="s">
        <v>4159</v>
      </c>
    </row>
    <row r="1581" spans="1:15" ht="12.75" customHeight="1" x14ac:dyDescent="0.3">
      <c r="A1581" s="821"/>
      <c r="B1581" s="860"/>
      <c r="C1581" s="821" t="s">
        <v>2539</v>
      </c>
      <c r="D1581" s="860"/>
      <c r="E1581" s="860"/>
      <c r="F1581" s="860"/>
      <c r="G1581" s="872" t="s">
        <v>2540</v>
      </c>
      <c r="H1581" s="821" t="s">
        <v>1078</v>
      </c>
      <c r="I1581" s="220" t="str">
        <f>IF(ISBLANK(global!I58),"",global!I58)</f>
        <v/>
      </c>
      <c r="K1581" s="225" t="s">
        <v>4159</v>
      </c>
      <c r="O1581" s="225" t="s">
        <v>4159</v>
      </c>
    </row>
    <row r="1582" spans="1:15" ht="12.75" customHeight="1" x14ac:dyDescent="0.3">
      <c r="A1582" s="821"/>
      <c r="B1582" s="860"/>
      <c r="C1582" s="821" t="s">
        <v>4783</v>
      </c>
      <c r="D1582" s="860"/>
      <c r="E1582" s="860"/>
      <c r="F1582" s="860"/>
      <c r="G1582" s="872" t="s">
        <v>2541</v>
      </c>
      <c r="H1582" s="821" t="s">
        <v>291</v>
      </c>
      <c r="I1582" s="220" t="str">
        <f>IF(ISBLANK(global!I59),"",global!I59)</f>
        <v/>
      </c>
      <c r="K1582" s="225" t="s">
        <v>4159</v>
      </c>
      <c r="O1582" s="225" t="s">
        <v>4159</v>
      </c>
    </row>
    <row r="1583" spans="1:15" ht="12.75" customHeight="1" x14ac:dyDescent="0.3">
      <c r="A1583" s="821"/>
      <c r="B1583" s="860"/>
      <c r="C1583" s="821" t="s">
        <v>2542</v>
      </c>
      <c r="D1583" s="860"/>
      <c r="E1583" s="860"/>
      <c r="F1583" s="860"/>
      <c r="G1583" s="872" t="s">
        <v>2543</v>
      </c>
      <c r="H1583" s="821" t="s">
        <v>291</v>
      </c>
      <c r="I1583" s="220" t="str">
        <f>IF(ISBLANK(global!I60),"",global!I60)</f>
        <v/>
      </c>
      <c r="K1583" s="225" t="s">
        <v>4159</v>
      </c>
      <c r="O1583" s="225" t="s">
        <v>4159</v>
      </c>
    </row>
    <row r="1584" spans="1:15" ht="12.75" customHeight="1" x14ac:dyDescent="0.3">
      <c r="A1584" s="821"/>
      <c r="B1584" s="860"/>
      <c r="C1584" s="821" t="s">
        <v>4784</v>
      </c>
      <c r="D1584" s="860"/>
      <c r="E1584" s="860"/>
      <c r="F1584" s="860"/>
      <c r="G1584" s="872" t="s">
        <v>2544</v>
      </c>
      <c r="H1584" s="821" t="s">
        <v>4785</v>
      </c>
      <c r="I1584" s="220" t="str">
        <f>IF(ISBLANK(global!I61),"",global!I61)</f>
        <v/>
      </c>
      <c r="K1584" s="225" t="s">
        <v>4159</v>
      </c>
      <c r="O1584" s="225" t="s">
        <v>4159</v>
      </c>
    </row>
    <row r="1585" spans="1:15" ht="12.75" customHeight="1" x14ac:dyDescent="0.3">
      <c r="A1585" s="821"/>
      <c r="B1585" s="860"/>
      <c r="C1585" s="821" t="s">
        <v>2545</v>
      </c>
      <c r="D1585" s="860"/>
      <c r="E1585" s="860"/>
      <c r="F1585" s="860"/>
      <c r="G1585" s="872" t="s">
        <v>2546</v>
      </c>
      <c r="H1585" s="821" t="s">
        <v>4785</v>
      </c>
      <c r="I1585" s="220" t="str">
        <f>IF(ISBLANK(global!I62),"",global!I62)</f>
        <v/>
      </c>
      <c r="K1585" s="225" t="s">
        <v>4159</v>
      </c>
      <c r="O1585" s="225" t="s">
        <v>4159</v>
      </c>
    </row>
    <row r="1586" spans="1:15" ht="12.75" customHeight="1" x14ac:dyDescent="0.3">
      <c r="A1586" s="821"/>
      <c r="B1586" s="860"/>
      <c r="C1586" s="821" t="s">
        <v>4786</v>
      </c>
      <c r="D1586" s="860"/>
      <c r="E1586" s="860"/>
      <c r="F1586" s="860"/>
      <c r="G1586" s="872" t="s">
        <v>2547</v>
      </c>
      <c r="H1586" s="821" t="s">
        <v>1083</v>
      </c>
      <c r="I1586" s="220" t="str">
        <f>IF(ISBLANK(global!I63),"",global!I63)</f>
        <v/>
      </c>
      <c r="K1586" s="225" t="s">
        <v>4159</v>
      </c>
      <c r="O1586" s="225" t="s">
        <v>4159</v>
      </c>
    </row>
    <row r="1587" spans="1:15" ht="12.75" customHeight="1" x14ac:dyDescent="0.3">
      <c r="A1587" s="821"/>
      <c r="B1587" s="860"/>
      <c r="C1587" s="821" t="s">
        <v>2548</v>
      </c>
      <c r="D1587" s="860"/>
      <c r="E1587" s="860"/>
      <c r="F1587" s="860"/>
      <c r="G1587" s="872" t="s">
        <v>2549</v>
      </c>
      <c r="H1587" s="821" t="s">
        <v>1083</v>
      </c>
      <c r="I1587" s="220" t="str">
        <f>IF(ISBLANK(global!I64),"",global!I64)</f>
        <v/>
      </c>
      <c r="K1587" s="225" t="s">
        <v>4159</v>
      </c>
      <c r="O1587" s="225" t="s">
        <v>4159</v>
      </c>
    </row>
    <row r="1588" spans="1:15" ht="12.75" customHeight="1" x14ac:dyDescent="0.3">
      <c r="A1588" s="821"/>
      <c r="B1588" s="860"/>
      <c r="C1588" s="821" t="s">
        <v>4787</v>
      </c>
      <c r="D1588" s="860"/>
      <c r="E1588" s="860"/>
      <c r="F1588" s="860"/>
      <c r="G1588" s="872" t="s">
        <v>2550</v>
      </c>
      <c r="H1588" s="821" t="s">
        <v>716</v>
      </c>
      <c r="I1588" s="220" t="str">
        <f>IF(ISBLANK(global!I65),"",global!I65)</f>
        <v/>
      </c>
      <c r="K1588" s="225" t="s">
        <v>4159</v>
      </c>
      <c r="O1588" s="225" t="s">
        <v>4159</v>
      </c>
    </row>
    <row r="1589" spans="1:15" ht="12.75" customHeight="1" x14ac:dyDescent="0.3">
      <c r="A1589" s="821"/>
      <c r="B1589" s="860"/>
      <c r="C1589" s="821" t="s">
        <v>2551</v>
      </c>
      <c r="D1589" s="860"/>
      <c r="E1589" s="860"/>
      <c r="F1589" s="860"/>
      <c r="G1589" s="872" t="s">
        <v>2552</v>
      </c>
      <c r="H1589" s="821" t="s">
        <v>716</v>
      </c>
      <c r="I1589" s="220" t="str">
        <f>IF(ISBLANK(global!I66),"",global!I66)</f>
        <v/>
      </c>
      <c r="K1589" s="225" t="s">
        <v>4159</v>
      </c>
      <c r="O1589" s="225" t="s">
        <v>4159</v>
      </c>
    </row>
    <row r="1590" spans="1:15" ht="12.75" customHeight="1" x14ac:dyDescent="0.3">
      <c r="A1590" s="821"/>
      <c r="B1590" s="821" t="s">
        <v>2553</v>
      </c>
      <c r="C1590" s="872"/>
      <c r="D1590" s="860"/>
      <c r="E1590" s="860"/>
      <c r="F1590" s="860"/>
      <c r="G1590" s="872" t="s">
        <v>2554</v>
      </c>
      <c r="H1590" s="821" t="s">
        <v>291</v>
      </c>
      <c r="I1590" s="220" t="str">
        <f>IF(ISBLANK(global!I67),"",global!I67)</f>
        <v/>
      </c>
      <c r="K1590" s="225" t="s">
        <v>4159</v>
      </c>
      <c r="O1590" s="225" t="s">
        <v>4159</v>
      </c>
    </row>
    <row r="1591" spans="1:15" ht="12.75" customHeight="1" x14ac:dyDescent="0.3">
      <c r="A1591" s="821"/>
      <c r="B1591" s="860"/>
      <c r="C1591" s="821" t="s">
        <v>2555</v>
      </c>
      <c r="D1591" s="860"/>
      <c r="E1591" s="860"/>
      <c r="F1591" s="860"/>
      <c r="G1591" s="872" t="s">
        <v>2556</v>
      </c>
      <c r="H1591" s="821" t="s">
        <v>4706</v>
      </c>
      <c r="I1591" s="220" t="str">
        <f>IF(ISBLANK(global!I68),"",global!I68)</f>
        <v/>
      </c>
      <c r="K1591" s="225" t="s">
        <v>4159</v>
      </c>
      <c r="O1591" s="225" t="s">
        <v>4159</v>
      </c>
    </row>
    <row r="1592" spans="1:15" ht="12.75" customHeight="1" x14ac:dyDescent="0.3">
      <c r="A1592" s="821"/>
      <c r="B1592" s="860"/>
      <c r="C1592" s="821" t="s">
        <v>2557</v>
      </c>
      <c r="D1592" s="860"/>
      <c r="E1592" s="860"/>
      <c r="F1592" s="860"/>
      <c r="G1592" s="872" t="s">
        <v>2558</v>
      </c>
      <c r="H1592" s="821" t="s">
        <v>291</v>
      </c>
      <c r="I1592" s="220" t="str">
        <f>IF(ISBLANK(global!I69),"",global!I69)</f>
        <v/>
      </c>
      <c r="K1592" s="225" t="s">
        <v>4159</v>
      </c>
      <c r="O1592" s="225" t="s">
        <v>4159</v>
      </c>
    </row>
    <row r="1593" spans="1:15" ht="12.75" customHeight="1" x14ac:dyDescent="0.3">
      <c r="A1593" s="821"/>
      <c r="B1593" s="821" t="s">
        <v>2559</v>
      </c>
      <c r="C1593" s="872"/>
      <c r="D1593" s="860"/>
      <c r="E1593" s="860"/>
      <c r="F1593" s="860"/>
      <c r="G1593" s="872" t="s">
        <v>4788</v>
      </c>
      <c r="H1593" s="821" t="s">
        <v>291</v>
      </c>
      <c r="I1593" s="220" t="str">
        <f>IF(ISBLANK(global!I70),"",global!I70)</f>
        <v/>
      </c>
      <c r="K1593" s="225" t="s">
        <v>4159</v>
      </c>
      <c r="O1593" s="225" t="s">
        <v>4159</v>
      </c>
    </row>
    <row r="1594" spans="1:15" ht="12.75" customHeight="1" x14ac:dyDescent="0.3">
      <c r="A1594" s="821"/>
      <c r="B1594" s="821" t="s">
        <v>2561</v>
      </c>
      <c r="C1594" s="872"/>
      <c r="D1594" s="860"/>
      <c r="E1594" s="860"/>
      <c r="F1594" s="860"/>
      <c r="G1594" s="872" t="s">
        <v>2562</v>
      </c>
      <c r="H1594" s="821" t="s">
        <v>291</v>
      </c>
      <c r="I1594" s="220" t="str">
        <f>IF(ISBLANK(global!I71),"",global!I71)</f>
        <v/>
      </c>
      <c r="K1594" s="225" t="s">
        <v>4159</v>
      </c>
      <c r="O1594" s="225" t="s">
        <v>4159</v>
      </c>
    </row>
    <row r="1595" spans="1:15" ht="12.75" customHeight="1" x14ac:dyDescent="0.3">
      <c r="A1595" s="821"/>
      <c r="B1595" s="821" t="s">
        <v>2563</v>
      </c>
      <c r="C1595" s="872"/>
      <c r="D1595" s="860"/>
      <c r="E1595" s="860"/>
      <c r="F1595" s="860"/>
      <c r="G1595" s="872" t="s">
        <v>2564</v>
      </c>
      <c r="H1595" s="821" t="s">
        <v>291</v>
      </c>
      <c r="I1595" s="220" t="str">
        <f>IF(ISBLANK(global!I72),"",global!I72)</f>
        <v/>
      </c>
      <c r="K1595" s="225" t="s">
        <v>4159</v>
      </c>
      <c r="O1595" s="225" t="s">
        <v>4159</v>
      </c>
    </row>
    <row r="1596" spans="1:15" ht="12.75" customHeight="1" x14ac:dyDescent="0.3">
      <c r="A1596" s="821"/>
      <c r="B1596" s="860"/>
      <c r="C1596" s="821" t="s">
        <v>2565</v>
      </c>
      <c r="D1596" s="860"/>
      <c r="E1596" s="860"/>
      <c r="F1596" s="860"/>
      <c r="G1596" s="872" t="s">
        <v>2566</v>
      </c>
      <c r="H1596" s="821" t="s">
        <v>4706</v>
      </c>
      <c r="I1596" s="220" t="str">
        <f>IF(ISBLANK(global!I73),"",global!I73)</f>
        <v/>
      </c>
      <c r="K1596" s="225" t="s">
        <v>4159</v>
      </c>
      <c r="O1596" s="225" t="s">
        <v>4159</v>
      </c>
    </row>
    <row r="1597" spans="1:15" ht="12.75" customHeight="1" x14ac:dyDescent="0.3">
      <c r="A1597" s="821"/>
      <c r="B1597" s="860"/>
      <c r="C1597" s="821" t="s">
        <v>2567</v>
      </c>
      <c r="D1597" s="860"/>
      <c r="E1597" s="860"/>
      <c r="F1597" s="860"/>
      <c r="G1597" s="872" t="s">
        <v>2568</v>
      </c>
      <c r="H1597" s="821" t="s">
        <v>291</v>
      </c>
      <c r="I1597" s="220" t="str">
        <f>IF(ISBLANK(global!I74),"",global!I74)</f>
        <v/>
      </c>
      <c r="K1597" s="225" t="s">
        <v>4159</v>
      </c>
      <c r="O1597" s="225" t="s">
        <v>4159</v>
      </c>
    </row>
    <row r="1598" spans="1:15" ht="12.75" customHeight="1" x14ac:dyDescent="0.3">
      <c r="A1598" s="860"/>
      <c r="B1598" s="860"/>
      <c r="C1598" s="860"/>
      <c r="D1598" s="860"/>
      <c r="E1598" s="860"/>
      <c r="F1598" s="860"/>
      <c r="G1598" s="860"/>
      <c r="H1598" s="821"/>
      <c r="I1598" s="220" t="str">
        <f>IF(ISBLANK(global!I75),"",global!I75)</f>
        <v/>
      </c>
      <c r="K1598" s="225" t="s">
        <v>4159</v>
      </c>
      <c r="O1598" s="225" t="s">
        <v>4159</v>
      </c>
    </row>
    <row r="1599" spans="1:15" ht="12.75" customHeight="1" x14ac:dyDescent="0.3">
      <c r="A1599" s="865" t="s">
        <v>1129</v>
      </c>
      <c r="B1599" s="864"/>
      <c r="C1599" s="864"/>
      <c r="D1599" s="864"/>
      <c r="E1599" s="864"/>
      <c r="F1599" s="864"/>
      <c r="G1599" s="865" t="s">
        <v>258</v>
      </c>
      <c r="H1599" s="865" t="s">
        <v>274</v>
      </c>
      <c r="I1599" s="220" t="str">
        <f>IF(ISBLANK(global!I76),"",global!I76)</f>
        <v>User input</v>
      </c>
      <c r="K1599" s="225" t="s">
        <v>259</v>
      </c>
      <c r="O1599" s="225" t="s">
        <v>259</v>
      </c>
    </row>
    <row r="1600" spans="1:15" ht="12.75" customHeight="1" x14ac:dyDescent="0.3">
      <c r="A1600" s="860"/>
      <c r="B1600" s="860"/>
      <c r="C1600" s="860"/>
      <c r="D1600" s="860"/>
      <c r="E1600" s="860"/>
      <c r="F1600" s="860"/>
      <c r="G1600" s="860"/>
      <c r="H1600" s="821"/>
      <c r="I1600" s="220" t="str">
        <f>IF(ISBLANK(global!I77),"",global!I77)</f>
        <v/>
      </c>
      <c r="K1600" s="225" t="s">
        <v>4159</v>
      </c>
      <c r="O1600" s="225" t="s">
        <v>4159</v>
      </c>
    </row>
    <row r="1601" spans="1:15" ht="12.75" customHeight="1" x14ac:dyDescent="0.3">
      <c r="A1601" s="821" t="s">
        <v>2569</v>
      </c>
      <c r="B1601" s="860"/>
      <c r="C1601" s="860"/>
      <c r="D1601" s="860"/>
      <c r="E1601" s="860"/>
      <c r="F1601" s="860"/>
      <c r="G1601" s="821" t="s">
        <v>2570</v>
      </c>
      <c r="H1601" s="821" t="s">
        <v>4690</v>
      </c>
      <c r="I1601" s="220" t="str">
        <f>IF(ISBLANK(global!I78),"",global!I78)</f>
        <v/>
      </c>
      <c r="K1601" s="225" t="s">
        <v>4159</v>
      </c>
      <c r="O1601" s="225" t="s">
        <v>4159</v>
      </c>
    </row>
    <row r="1602" spans="1:15" ht="12.75" customHeight="1" x14ac:dyDescent="0.3">
      <c r="A1602" s="821" t="s">
        <v>2571</v>
      </c>
      <c r="B1602" s="860"/>
      <c r="C1602" s="860"/>
      <c r="D1602" s="860"/>
      <c r="E1602" s="860"/>
      <c r="F1602" s="860"/>
      <c r="G1602" s="821" t="s">
        <v>2572</v>
      </c>
      <c r="H1602" s="821" t="s">
        <v>4690</v>
      </c>
      <c r="I1602" s="220" t="str">
        <f>IF(ISBLANK(global!I79),"",global!I79)</f>
        <v/>
      </c>
      <c r="K1602" s="225" t="s">
        <v>4159</v>
      </c>
      <c r="O1602" s="225" t="s">
        <v>4159</v>
      </c>
    </row>
    <row r="1603" spans="1:15" ht="12.75" customHeight="1" x14ac:dyDescent="0.3">
      <c r="A1603" s="821" t="s">
        <v>2573</v>
      </c>
      <c r="B1603" s="860"/>
      <c r="C1603" s="860"/>
      <c r="D1603" s="860"/>
      <c r="E1603" s="860"/>
      <c r="F1603" s="860"/>
      <c r="G1603" s="821" t="s">
        <v>2574</v>
      </c>
      <c r="H1603" s="821" t="s">
        <v>4690</v>
      </c>
      <c r="I1603" s="220" t="str">
        <f>IF(ISBLANK(global!I80),"",global!I80)</f>
        <v/>
      </c>
      <c r="K1603" s="225" t="s">
        <v>4159</v>
      </c>
      <c r="O1603" s="225" t="s">
        <v>4159</v>
      </c>
    </row>
    <row r="1604" spans="1:15" ht="12.75" customHeight="1" x14ac:dyDescent="0.3">
      <c r="A1604" s="821" t="s">
        <v>2575</v>
      </c>
      <c r="B1604" s="860"/>
      <c r="C1604" s="860"/>
      <c r="D1604" s="860"/>
      <c r="E1604" s="860"/>
      <c r="F1604" s="860"/>
      <c r="G1604" s="821" t="s">
        <v>2576</v>
      </c>
      <c r="H1604" s="821" t="s">
        <v>4690</v>
      </c>
      <c r="I1604" s="220" t="str">
        <f>IF(ISBLANK(global!I81),"",global!I81)</f>
        <v/>
      </c>
      <c r="K1604" s="225" t="s">
        <v>4159</v>
      </c>
      <c r="O1604" s="225" t="s">
        <v>4159</v>
      </c>
    </row>
    <row r="1605" spans="1:15" ht="12.75" customHeight="1" x14ac:dyDescent="0.3">
      <c r="A1605" s="821"/>
      <c r="B1605" s="821" t="s">
        <v>2577</v>
      </c>
      <c r="C1605" s="860"/>
      <c r="D1605" s="860"/>
      <c r="E1605" s="860"/>
      <c r="F1605" s="860"/>
      <c r="G1605" s="821" t="s">
        <v>2578</v>
      </c>
      <c r="H1605" s="821" t="s">
        <v>4690</v>
      </c>
      <c r="I1605" s="220" t="str">
        <f>IF(ISBLANK(global!I82),"",global!I82)</f>
        <v/>
      </c>
      <c r="K1605" s="225" t="s">
        <v>4159</v>
      </c>
      <c r="O1605" s="225" t="s">
        <v>4159</v>
      </c>
    </row>
    <row r="1606" spans="1:15" ht="12.75" customHeight="1" x14ac:dyDescent="0.3">
      <c r="A1606" s="821"/>
      <c r="B1606" s="821"/>
      <c r="C1606" s="860" t="s">
        <v>2579</v>
      </c>
      <c r="D1606" s="860"/>
      <c r="E1606" s="860"/>
      <c r="F1606" s="860"/>
      <c r="G1606" s="821" t="s">
        <v>2580</v>
      </c>
      <c r="H1606" s="821" t="s">
        <v>4690</v>
      </c>
      <c r="I1606" s="220" t="str">
        <f>IF(ISBLANK(global!I83),"",global!I83)</f>
        <v/>
      </c>
      <c r="K1606" s="225" t="s">
        <v>4159</v>
      </c>
      <c r="O1606" s="225" t="s">
        <v>4159</v>
      </c>
    </row>
    <row r="1607" spans="1:15" ht="12.75" customHeight="1" x14ac:dyDescent="0.3">
      <c r="A1607" s="821"/>
      <c r="B1607" s="821"/>
      <c r="C1607" s="821"/>
      <c r="D1607" s="821" t="s">
        <v>2581</v>
      </c>
      <c r="E1607" s="860"/>
      <c r="F1607" s="860"/>
      <c r="G1607" s="821" t="s">
        <v>2582</v>
      </c>
      <c r="H1607" s="821" t="s">
        <v>4690</v>
      </c>
      <c r="I1607" s="220" t="str">
        <f>IF(ISBLANK(global!I84),"",global!I84)</f>
        <v/>
      </c>
      <c r="K1607" s="225" t="s">
        <v>4159</v>
      </c>
      <c r="O1607" s="225" t="s">
        <v>4159</v>
      </c>
    </row>
    <row r="1608" spans="1:15" ht="12.75" customHeight="1" x14ac:dyDescent="0.3">
      <c r="A1608" s="821"/>
      <c r="B1608" s="821"/>
      <c r="C1608" s="821"/>
      <c r="D1608" s="821" t="s">
        <v>2583</v>
      </c>
      <c r="E1608" s="860"/>
      <c r="F1608" s="860"/>
      <c r="G1608" s="821" t="s">
        <v>2584</v>
      </c>
      <c r="H1608" s="821" t="s">
        <v>4690</v>
      </c>
      <c r="I1608" s="220" t="str">
        <f>IF(ISBLANK(global!I85),"",global!I85)</f>
        <v/>
      </c>
      <c r="K1608" s="225" t="s">
        <v>4159</v>
      </c>
      <c r="O1608" s="225" t="s">
        <v>4159</v>
      </c>
    </row>
    <row r="1609" spans="1:15" ht="12.75" customHeight="1" x14ac:dyDescent="0.3">
      <c r="A1609" s="821"/>
      <c r="B1609" s="821"/>
      <c r="C1609" s="860" t="s">
        <v>1148</v>
      </c>
      <c r="D1609" s="860"/>
      <c r="E1609" s="860"/>
      <c r="F1609" s="860"/>
      <c r="G1609" s="860" t="s">
        <v>2585</v>
      </c>
      <c r="H1609" s="860" t="s">
        <v>1150</v>
      </c>
      <c r="I1609" s="220" t="str">
        <f>IF(ISBLANK(global!I86),"",global!I86)</f>
        <v/>
      </c>
      <c r="K1609" s="225" t="s">
        <v>4159</v>
      </c>
      <c r="O1609" s="225" t="s">
        <v>4159</v>
      </c>
    </row>
    <row r="1610" spans="1:15" ht="12.75" customHeight="1" x14ac:dyDescent="0.3">
      <c r="A1610" s="821"/>
      <c r="B1610" s="821"/>
      <c r="C1610" s="860" t="s">
        <v>1151</v>
      </c>
      <c r="D1610" s="860"/>
      <c r="E1610" s="860"/>
      <c r="F1610" s="860"/>
      <c r="G1610" s="860" t="s">
        <v>2586</v>
      </c>
      <c r="H1610" s="860" t="s">
        <v>1150</v>
      </c>
      <c r="I1610" s="220" t="str">
        <f>IF(ISBLANK(global!I87),"",global!I87)</f>
        <v/>
      </c>
      <c r="K1610" s="225" t="s">
        <v>4159</v>
      </c>
      <c r="O1610" s="225" t="s">
        <v>4159</v>
      </c>
    </row>
    <row r="1611" spans="1:15" ht="12.75" customHeight="1" x14ac:dyDescent="0.3">
      <c r="A1611" s="821"/>
      <c r="B1611" s="821"/>
      <c r="C1611" s="821" t="s">
        <v>1153</v>
      </c>
      <c r="D1611" s="860"/>
      <c r="E1611" s="860"/>
      <c r="F1611" s="860"/>
      <c r="G1611" s="872" t="s">
        <v>2587</v>
      </c>
      <c r="H1611" s="913" t="s">
        <v>4734</v>
      </c>
      <c r="I1611" s="220" t="str">
        <f>IF(ISBLANK(global!I88),"",global!I88)</f>
        <v/>
      </c>
      <c r="K1611" s="225" t="s">
        <v>4159</v>
      </c>
      <c r="O1611" s="225" t="s">
        <v>4159</v>
      </c>
    </row>
    <row r="1612" spans="1:15" ht="12.75" customHeight="1" x14ac:dyDescent="0.3">
      <c r="A1612" s="821"/>
      <c r="B1612" s="821"/>
      <c r="C1612" s="821" t="s">
        <v>1156</v>
      </c>
      <c r="D1612" s="860"/>
      <c r="E1612" s="860"/>
      <c r="F1612" s="860"/>
      <c r="G1612" s="821" t="s">
        <v>2588</v>
      </c>
      <c r="H1612" s="872" t="s">
        <v>4734</v>
      </c>
      <c r="I1612" s="220" t="str">
        <f>IF(ISBLANK(global!I89),"",global!I89)</f>
        <v/>
      </c>
      <c r="K1612" s="225" t="s">
        <v>4159</v>
      </c>
      <c r="O1612" s="225" t="s">
        <v>4159</v>
      </c>
    </row>
    <row r="1613" spans="1:15" ht="12.75" customHeight="1" x14ac:dyDescent="0.3">
      <c r="A1613" s="821"/>
      <c r="B1613" s="821"/>
      <c r="C1613" s="821" t="s">
        <v>2043</v>
      </c>
      <c r="D1613" s="860"/>
      <c r="E1613" s="860"/>
      <c r="F1613" s="860"/>
      <c r="G1613" s="821" t="s">
        <v>2589</v>
      </c>
      <c r="H1613" s="872" t="s">
        <v>4734</v>
      </c>
      <c r="I1613" s="220" t="str">
        <f>IF(ISBLANK(global!I90),"",global!I90)</f>
        <v/>
      </c>
      <c r="K1613" s="225" t="s">
        <v>4159</v>
      </c>
      <c r="O1613" s="225" t="s">
        <v>4159</v>
      </c>
    </row>
    <row r="1614" spans="1:15" ht="12.75" customHeight="1" x14ac:dyDescent="0.3">
      <c r="A1614" s="821"/>
      <c r="B1614" s="821"/>
      <c r="C1614" s="860"/>
      <c r="D1614" s="872" t="s">
        <v>1160</v>
      </c>
      <c r="E1614" s="872"/>
      <c r="F1614" s="872"/>
      <c r="G1614" s="872" t="s">
        <v>2590</v>
      </c>
      <c r="H1614" s="913" t="s">
        <v>4734</v>
      </c>
      <c r="I1614" s="220" t="str">
        <f>IF(ISBLANK(global!I91),"",global!I91)</f>
        <v/>
      </c>
      <c r="K1614" s="225" t="s">
        <v>4159</v>
      </c>
      <c r="O1614" s="225" t="s">
        <v>4159</v>
      </c>
    </row>
    <row r="1615" spans="1:15" ht="12.75" customHeight="1" x14ac:dyDescent="0.3">
      <c r="A1615" s="821"/>
      <c r="B1615" s="821"/>
      <c r="C1615" s="860"/>
      <c r="D1615" s="821" t="s">
        <v>2591</v>
      </c>
      <c r="E1615" s="872"/>
      <c r="F1615" s="872"/>
      <c r="G1615" s="872" t="s">
        <v>2592</v>
      </c>
      <c r="H1615" s="872" t="s">
        <v>4789</v>
      </c>
      <c r="I1615" s="220" t="str">
        <f>IF(ISBLANK(global!I92),"",global!I92)</f>
        <v/>
      </c>
      <c r="K1615" s="225" t="s">
        <v>4159</v>
      </c>
      <c r="O1615" s="225" t="s">
        <v>4159</v>
      </c>
    </row>
    <row r="1616" spans="1:15" ht="12.75" customHeight="1" x14ac:dyDescent="0.3">
      <c r="A1616" s="821"/>
      <c r="B1616" s="821"/>
      <c r="C1616" s="860"/>
      <c r="D1616" s="821" t="s">
        <v>1162</v>
      </c>
      <c r="E1616" s="860"/>
      <c r="F1616" s="860"/>
      <c r="G1616" s="872" t="s">
        <v>2594</v>
      </c>
      <c r="H1616" s="821" t="s">
        <v>291</v>
      </c>
      <c r="I1616" s="220" t="str">
        <f>IF(ISBLANK(global!I93),"",global!I93)</f>
        <v/>
      </c>
      <c r="K1616" s="225" t="s">
        <v>4159</v>
      </c>
      <c r="O1616" s="225" t="s">
        <v>4159</v>
      </c>
    </row>
    <row r="1617" spans="1:15" ht="12.75" customHeight="1" x14ac:dyDescent="0.3">
      <c r="A1617" s="821"/>
      <c r="B1617" s="821" t="s">
        <v>1164</v>
      </c>
      <c r="C1617" s="860"/>
      <c r="D1617" s="821"/>
      <c r="E1617" s="860"/>
      <c r="F1617" s="860"/>
      <c r="G1617" s="872" t="s">
        <v>2595</v>
      </c>
      <c r="H1617" s="821" t="s">
        <v>4734</v>
      </c>
      <c r="I1617" s="220" t="str">
        <f>IF(ISBLANK(global!I94),"",global!I94)</f>
        <v/>
      </c>
      <c r="K1617" s="225" t="s">
        <v>4159</v>
      </c>
      <c r="O1617" s="225" t="s">
        <v>4159</v>
      </c>
    </row>
    <row r="1618" spans="1:15" ht="12.75" customHeight="1" x14ac:dyDescent="0.3">
      <c r="A1618" s="821"/>
      <c r="B1618" s="821" t="s">
        <v>1166</v>
      </c>
      <c r="C1618" s="860"/>
      <c r="D1618" s="821"/>
      <c r="E1618" s="860"/>
      <c r="F1618" s="860"/>
      <c r="G1618" s="872" t="s">
        <v>2596</v>
      </c>
      <c r="H1618" s="821" t="s">
        <v>4734</v>
      </c>
      <c r="I1618" s="220" t="str">
        <f>IF(ISBLANK(global!I95),"",global!I95)</f>
        <v/>
      </c>
      <c r="K1618" s="225" t="s">
        <v>4159</v>
      </c>
      <c r="O1618" s="225" t="s">
        <v>4159</v>
      </c>
    </row>
    <row r="1619" spans="1:15" ht="12.75" customHeight="1" x14ac:dyDescent="0.3">
      <c r="A1619" s="821"/>
      <c r="B1619" s="821" t="s">
        <v>2597</v>
      </c>
      <c r="C1619" s="860"/>
      <c r="D1619" s="821"/>
      <c r="E1619" s="860"/>
      <c r="F1619" s="860"/>
      <c r="G1619" s="821" t="s">
        <v>2598</v>
      </c>
      <c r="H1619" s="821" t="s">
        <v>4734</v>
      </c>
      <c r="I1619" s="220" t="str">
        <f>IF(ISBLANK(global!I96),"",global!I96)</f>
        <v/>
      </c>
      <c r="K1619" s="225" t="s">
        <v>4159</v>
      </c>
      <c r="O1619" s="225" t="s">
        <v>4159</v>
      </c>
    </row>
    <row r="1620" spans="1:15" ht="12.75" customHeight="1" x14ac:dyDescent="0.3">
      <c r="A1620" s="821"/>
      <c r="B1620" s="821" t="s">
        <v>2599</v>
      </c>
      <c r="C1620" s="860"/>
      <c r="D1620" s="821"/>
      <c r="E1620" s="860"/>
      <c r="F1620" s="860"/>
      <c r="G1620" s="821" t="s">
        <v>2600</v>
      </c>
      <c r="H1620" s="821" t="s">
        <v>4734</v>
      </c>
      <c r="I1620" s="220" t="str">
        <f>IF(ISBLANK(global!I97),"",global!I97)</f>
        <v/>
      </c>
      <c r="K1620" s="225" t="s">
        <v>4159</v>
      </c>
      <c r="O1620" s="225" t="s">
        <v>4159</v>
      </c>
    </row>
    <row r="1621" spans="1:15" ht="12.75" customHeight="1" x14ac:dyDescent="0.3">
      <c r="A1621" s="821"/>
      <c r="B1621" s="821"/>
      <c r="C1621" s="860" t="s">
        <v>1174</v>
      </c>
      <c r="D1621" s="860"/>
      <c r="E1621" s="860"/>
      <c r="F1621" s="860"/>
      <c r="G1621" s="860" t="s">
        <v>4790</v>
      </c>
      <c r="H1621" s="913" t="s">
        <v>4734</v>
      </c>
      <c r="I1621" s="220" t="str">
        <f>IF(ISBLANK(global!I98),"",global!I98)</f>
        <v/>
      </c>
      <c r="K1621" s="225" t="s">
        <v>4159</v>
      </c>
      <c r="O1621" s="225" t="s">
        <v>4159</v>
      </c>
    </row>
    <row r="1622" spans="1:15" ht="12.75" customHeight="1" x14ac:dyDescent="0.3">
      <c r="A1622" s="821"/>
      <c r="B1622" s="821"/>
      <c r="C1622" s="860" t="s">
        <v>1176</v>
      </c>
      <c r="D1622" s="860"/>
      <c r="E1622" s="860"/>
      <c r="F1622" s="860"/>
      <c r="G1622" s="860" t="s">
        <v>4791</v>
      </c>
      <c r="H1622" s="913" t="s">
        <v>4734</v>
      </c>
      <c r="I1622" s="220" t="str">
        <f>IF(ISBLANK(global!I99),"",global!I99)</f>
        <v/>
      </c>
      <c r="K1622" s="225" t="s">
        <v>4159</v>
      </c>
      <c r="O1622" s="225" t="s">
        <v>4159</v>
      </c>
    </row>
    <row r="1623" spans="1:15" ht="12.75" customHeight="1" x14ac:dyDescent="0.3">
      <c r="A1623" s="821"/>
      <c r="B1623" s="821"/>
      <c r="C1623" s="860"/>
      <c r="D1623" s="872" t="s">
        <v>2603</v>
      </c>
      <c r="E1623" s="860"/>
      <c r="F1623" s="860"/>
      <c r="G1623" s="821" t="s">
        <v>2604</v>
      </c>
      <c r="H1623" s="913" t="s">
        <v>4734</v>
      </c>
      <c r="I1623" s="220" t="str">
        <f>IF(ISBLANK(global!I100),"",global!I100)</f>
        <v/>
      </c>
      <c r="K1623" s="225" t="s">
        <v>4159</v>
      </c>
      <c r="O1623" s="225" t="s">
        <v>4159</v>
      </c>
    </row>
    <row r="1624" spans="1:15" ht="12.75" customHeight="1" x14ac:dyDescent="0.3">
      <c r="A1624" s="821"/>
      <c r="B1624" s="821"/>
      <c r="C1624" s="860" t="s">
        <v>1181</v>
      </c>
      <c r="D1624" s="860"/>
      <c r="E1624" s="872"/>
      <c r="F1624" s="872"/>
      <c r="G1624" s="860" t="s">
        <v>4792</v>
      </c>
      <c r="H1624" s="913" t="s">
        <v>4734</v>
      </c>
      <c r="I1624" s="220" t="str">
        <f>IF(ISBLANK(global!I101),"",global!I101)</f>
        <v/>
      </c>
      <c r="K1624" s="225" t="s">
        <v>4159</v>
      </c>
      <c r="O1624" s="225" t="s">
        <v>4159</v>
      </c>
    </row>
    <row r="1625" spans="1:15" ht="12.75" customHeight="1" x14ac:dyDescent="0.3">
      <c r="A1625" s="821"/>
      <c r="B1625" s="821"/>
      <c r="C1625" s="860" t="s">
        <v>1183</v>
      </c>
      <c r="D1625" s="860"/>
      <c r="E1625" s="860"/>
      <c r="F1625" s="872"/>
      <c r="G1625" s="860" t="s">
        <v>4793</v>
      </c>
      <c r="H1625" s="872" t="s">
        <v>4734</v>
      </c>
      <c r="I1625" s="220" t="str">
        <f>IF(ISBLANK(global!I102),"",global!I102)</f>
        <v/>
      </c>
      <c r="K1625" s="225" t="s">
        <v>4159</v>
      </c>
      <c r="O1625" s="225" t="s">
        <v>4159</v>
      </c>
    </row>
    <row r="1626" spans="1:15" ht="12.75" customHeight="1" x14ac:dyDescent="0.3">
      <c r="A1626" s="821"/>
      <c r="B1626" s="821"/>
      <c r="C1626" s="860" t="s">
        <v>1185</v>
      </c>
      <c r="D1626" s="860"/>
      <c r="E1626" s="872"/>
      <c r="F1626" s="872"/>
      <c r="G1626" s="821" t="s">
        <v>2607</v>
      </c>
      <c r="H1626" s="860" t="s">
        <v>291</v>
      </c>
      <c r="I1626" s="220" t="str">
        <f>IF(ISBLANK(global!I103),"",global!I103)</f>
        <v/>
      </c>
      <c r="K1626" s="225" t="s">
        <v>4159</v>
      </c>
      <c r="O1626" s="225" t="s">
        <v>4159</v>
      </c>
    </row>
    <row r="1627" spans="1:15" ht="12.75" customHeight="1" x14ac:dyDescent="0.3">
      <c r="A1627" s="860"/>
      <c r="B1627" s="860"/>
      <c r="C1627" s="860"/>
      <c r="D1627" s="860"/>
      <c r="E1627" s="860"/>
      <c r="F1627" s="860"/>
      <c r="G1627" s="860"/>
      <c r="H1627" s="860"/>
      <c r="I1627" s="220" t="str">
        <f>IF(ISBLANK(global!I104),"",global!I104)</f>
        <v/>
      </c>
      <c r="K1627" s="225" t="s">
        <v>4159</v>
      </c>
      <c r="O1627" s="225" t="s">
        <v>4159</v>
      </c>
    </row>
    <row r="1628" spans="1:15" ht="12.75" customHeight="1" x14ac:dyDescent="0.3">
      <c r="A1628" s="821" t="s">
        <v>2608</v>
      </c>
      <c r="B1628" s="860"/>
      <c r="C1628" s="860"/>
      <c r="D1628" s="860"/>
      <c r="E1628" s="860"/>
      <c r="F1628" s="860"/>
      <c r="G1628" s="821" t="s">
        <v>2609</v>
      </c>
      <c r="H1628" s="821" t="s">
        <v>335</v>
      </c>
      <c r="I1628" s="220" t="str">
        <f>IF(ISBLANK(global!I105),"",global!I105)</f>
        <v/>
      </c>
      <c r="K1628" s="225" t="s">
        <v>4159</v>
      </c>
      <c r="O1628" s="225" t="s">
        <v>4159</v>
      </c>
    </row>
    <row r="1629" spans="1:15" ht="12.75" customHeight="1" x14ac:dyDescent="0.3">
      <c r="A1629" s="821" t="s">
        <v>2610</v>
      </c>
      <c r="B1629" s="860"/>
      <c r="C1629" s="860"/>
      <c r="D1629" s="860"/>
      <c r="E1629" s="860"/>
      <c r="F1629" s="860"/>
      <c r="G1629" s="821" t="s">
        <v>2611</v>
      </c>
      <c r="H1629" s="821" t="s">
        <v>335</v>
      </c>
      <c r="I1629" s="220" t="str">
        <f>IF(ISBLANK(global!I106),"",global!I106)</f>
        <v/>
      </c>
      <c r="K1629" s="225" t="s">
        <v>4159</v>
      </c>
      <c r="O1629" s="225" t="s">
        <v>4159</v>
      </c>
    </row>
    <row r="1630" spans="1:15" ht="12.75" customHeight="1" x14ac:dyDescent="0.3">
      <c r="A1630" s="821"/>
      <c r="B1630" s="821" t="s">
        <v>2612</v>
      </c>
      <c r="C1630" s="860"/>
      <c r="D1630" s="860"/>
      <c r="E1630" s="860"/>
      <c r="F1630" s="860"/>
      <c r="G1630" s="821" t="s">
        <v>2613</v>
      </c>
      <c r="H1630" s="860" t="s">
        <v>866</v>
      </c>
      <c r="I1630" s="220" t="str">
        <f>IF(ISBLANK(global!I107),"",global!I107)</f>
        <v/>
      </c>
      <c r="K1630" s="225" t="s">
        <v>4159</v>
      </c>
      <c r="O1630" s="225" t="s">
        <v>4159</v>
      </c>
    </row>
    <row r="1631" spans="1:15" ht="12.75" customHeight="1" x14ac:dyDescent="0.3">
      <c r="A1631" s="821"/>
      <c r="B1631" s="821" t="s">
        <v>2614</v>
      </c>
      <c r="C1631" s="860"/>
      <c r="D1631" s="860"/>
      <c r="E1631" s="860"/>
      <c r="F1631" s="860"/>
      <c r="G1631" s="821" t="s">
        <v>2615</v>
      </c>
      <c r="H1631" s="860" t="s">
        <v>866</v>
      </c>
      <c r="I1631" s="220" t="str">
        <f>IF(ISBLANK(global!I108),"",global!I108)</f>
        <v/>
      </c>
      <c r="K1631" s="225" t="s">
        <v>4159</v>
      </c>
      <c r="O1631" s="225" t="s">
        <v>4159</v>
      </c>
    </row>
    <row r="1632" spans="1:15" ht="12.75" customHeight="1" x14ac:dyDescent="0.3">
      <c r="A1632" s="821"/>
      <c r="B1632" s="821"/>
      <c r="C1632" s="821" t="s">
        <v>1216</v>
      </c>
      <c r="D1632" s="821"/>
      <c r="E1632" s="860"/>
      <c r="F1632" s="860"/>
      <c r="G1632" s="872" t="s">
        <v>2616</v>
      </c>
      <c r="H1632" s="913" t="s">
        <v>866</v>
      </c>
      <c r="I1632" s="220" t="str">
        <f>IF(ISBLANK(global!I109),"",global!I109)</f>
        <v/>
      </c>
      <c r="K1632" s="225" t="s">
        <v>4159</v>
      </c>
      <c r="O1632" s="225" t="s">
        <v>4159</v>
      </c>
    </row>
    <row r="1633" spans="1:15" ht="12.75" customHeight="1" x14ac:dyDescent="0.3">
      <c r="A1633" s="821"/>
      <c r="B1633" s="821"/>
      <c r="C1633" s="860"/>
      <c r="D1633" s="821" t="s">
        <v>1220</v>
      </c>
      <c r="E1633" s="872"/>
      <c r="F1633" s="872"/>
      <c r="G1633" s="872" t="s">
        <v>2617</v>
      </c>
      <c r="H1633" s="913" t="s">
        <v>866</v>
      </c>
      <c r="I1633" s="220" t="str">
        <f>IF(ISBLANK(global!I110),"",global!I110)</f>
        <v/>
      </c>
      <c r="K1633" s="225" t="s">
        <v>4159</v>
      </c>
      <c r="O1633" s="225" t="s">
        <v>4159</v>
      </c>
    </row>
    <row r="1634" spans="1:15" ht="12.75" customHeight="1" x14ac:dyDescent="0.3">
      <c r="A1634" s="821"/>
      <c r="B1634" s="821"/>
      <c r="C1634" s="860"/>
      <c r="D1634" s="821" t="s">
        <v>2618</v>
      </c>
      <c r="E1634" s="872"/>
      <c r="F1634" s="872"/>
      <c r="G1634" s="872" t="s">
        <v>2619</v>
      </c>
      <c r="H1634" s="913" t="s">
        <v>866</v>
      </c>
      <c r="I1634" s="220" t="str">
        <f>IF(ISBLANK(global!I111),"",global!I111)</f>
        <v/>
      </c>
      <c r="K1634" s="225" t="s">
        <v>4159</v>
      </c>
      <c r="O1634" s="225" t="s">
        <v>4159</v>
      </c>
    </row>
    <row r="1635" spans="1:15" ht="12.75" customHeight="1" x14ac:dyDescent="0.3">
      <c r="A1635" s="821"/>
      <c r="B1635" s="821"/>
      <c r="C1635" s="821"/>
      <c r="D1635" s="860"/>
      <c r="E1635" s="821" t="s">
        <v>2620</v>
      </c>
      <c r="F1635" s="821"/>
      <c r="G1635" s="872" t="s">
        <v>2621</v>
      </c>
      <c r="H1635" s="821" t="s">
        <v>2622</v>
      </c>
      <c r="I1635" s="220" t="str">
        <f>IF(ISBLANK(global!I112),"",global!I112)</f>
        <v/>
      </c>
      <c r="K1635" s="225" t="s">
        <v>4159</v>
      </c>
      <c r="O1635" s="225" t="s">
        <v>4159</v>
      </c>
    </row>
    <row r="1636" spans="1:15" ht="12.75" customHeight="1" x14ac:dyDescent="0.3">
      <c r="A1636" s="860"/>
      <c r="B1636" s="860" t="s">
        <v>2623</v>
      </c>
      <c r="C1636" s="821"/>
      <c r="D1636" s="860"/>
      <c r="E1636" s="872"/>
      <c r="F1636" s="872"/>
      <c r="G1636" s="821" t="s">
        <v>2624</v>
      </c>
      <c r="H1636" s="860" t="s">
        <v>866</v>
      </c>
      <c r="I1636" s="220" t="str">
        <f>IF(ISBLANK(global!I113),"",global!I113)</f>
        <v/>
      </c>
      <c r="K1636" s="225" t="s">
        <v>4159</v>
      </c>
      <c r="O1636" s="225" t="s">
        <v>4159</v>
      </c>
    </row>
    <row r="1637" spans="1:15" ht="12.75" customHeight="1" x14ac:dyDescent="0.3">
      <c r="A1637" s="860"/>
      <c r="B1637" s="860" t="s">
        <v>2625</v>
      </c>
      <c r="C1637" s="821"/>
      <c r="D1637" s="860"/>
      <c r="E1637" s="872"/>
      <c r="F1637" s="872"/>
      <c r="G1637" s="821" t="s">
        <v>2626</v>
      </c>
      <c r="H1637" s="860" t="s">
        <v>866</v>
      </c>
      <c r="I1637" s="220" t="str">
        <f>IF(ISBLANK(global!I114),"",global!I114)</f>
        <v/>
      </c>
      <c r="K1637" s="225" t="s">
        <v>4159</v>
      </c>
      <c r="O1637" s="225" t="s">
        <v>4159</v>
      </c>
    </row>
    <row r="1638" spans="1:15" ht="12.75" customHeight="1" x14ac:dyDescent="0.3">
      <c r="A1638" s="821"/>
      <c r="B1638" s="821"/>
      <c r="C1638" s="860" t="s">
        <v>1244</v>
      </c>
      <c r="D1638" s="860"/>
      <c r="E1638" s="860"/>
      <c r="F1638" s="860"/>
      <c r="G1638" s="860" t="s">
        <v>2627</v>
      </c>
      <c r="H1638" s="913" t="s">
        <v>866</v>
      </c>
      <c r="I1638" s="220" t="str">
        <f>IF(ISBLANK(global!I115),"",global!I115)</f>
        <v/>
      </c>
      <c r="K1638" s="225" t="s">
        <v>4159</v>
      </c>
      <c r="O1638" s="225" t="s">
        <v>4159</v>
      </c>
    </row>
    <row r="1639" spans="1:15" ht="12.75" customHeight="1" x14ac:dyDescent="0.3">
      <c r="A1639" s="821"/>
      <c r="B1639" s="821"/>
      <c r="C1639" s="860" t="s">
        <v>1246</v>
      </c>
      <c r="D1639" s="860"/>
      <c r="E1639" s="860"/>
      <c r="F1639" s="860"/>
      <c r="G1639" s="860" t="s">
        <v>2628</v>
      </c>
      <c r="H1639" s="913" t="s">
        <v>866</v>
      </c>
      <c r="I1639" s="220" t="str">
        <f>IF(ISBLANK(global!I116),"",global!I116)</f>
        <v/>
      </c>
      <c r="K1639" s="225" t="s">
        <v>4159</v>
      </c>
      <c r="O1639" s="225" t="s">
        <v>4159</v>
      </c>
    </row>
    <row r="1640" spans="1:15" ht="12.75" customHeight="1" x14ac:dyDescent="0.3">
      <c r="A1640" s="860"/>
      <c r="B1640" s="860"/>
      <c r="C1640" s="860"/>
      <c r="D1640" s="860"/>
      <c r="E1640" s="860"/>
      <c r="F1640" s="860"/>
      <c r="G1640" s="860"/>
      <c r="H1640" s="860"/>
      <c r="I1640" s="220" t="str">
        <f>IF(ISBLANK(global!I117),"",global!I117)</f>
        <v/>
      </c>
      <c r="K1640" s="225" t="s">
        <v>4159</v>
      </c>
      <c r="O1640" s="225" t="s">
        <v>4159</v>
      </c>
    </row>
    <row r="1641" spans="1:15" ht="12.75" customHeight="1" x14ac:dyDescent="0.3">
      <c r="A1641" s="821" t="s">
        <v>2629</v>
      </c>
      <c r="B1641" s="860"/>
      <c r="C1641" s="860"/>
      <c r="D1641" s="860"/>
      <c r="E1641" s="860"/>
      <c r="F1641" s="860"/>
      <c r="G1641" s="821" t="s">
        <v>2630</v>
      </c>
      <c r="H1641" s="821" t="s">
        <v>4690</v>
      </c>
      <c r="I1641" s="220" t="str">
        <f>IF(ISBLANK(global!I118),"",global!I118)</f>
        <v/>
      </c>
      <c r="K1641" s="225" t="s">
        <v>4159</v>
      </c>
      <c r="O1641" s="225" t="s">
        <v>4159</v>
      </c>
    </row>
    <row r="1642" spans="1:15" ht="12.75" customHeight="1" x14ac:dyDescent="0.3">
      <c r="A1642" s="860"/>
      <c r="B1642" s="872" t="s">
        <v>2631</v>
      </c>
      <c r="C1642" s="860"/>
      <c r="D1642" s="860"/>
      <c r="E1642" s="860"/>
      <c r="F1642" s="860"/>
      <c r="G1642" s="872" t="s">
        <v>2632</v>
      </c>
      <c r="H1642" s="913" t="s">
        <v>4734</v>
      </c>
      <c r="I1642" s="220" t="str">
        <f>IF(ISBLANK(global!I119),"",global!I119)</f>
        <v/>
      </c>
      <c r="K1642" s="225" t="s">
        <v>4159</v>
      </c>
      <c r="O1642" s="225" t="s">
        <v>4159</v>
      </c>
    </row>
    <row r="1643" spans="1:15" ht="12.75" customHeight="1" x14ac:dyDescent="0.3">
      <c r="A1643" s="860"/>
      <c r="B1643" s="821" t="s">
        <v>2633</v>
      </c>
      <c r="C1643" s="860"/>
      <c r="D1643" s="860"/>
      <c r="E1643" s="860"/>
      <c r="F1643" s="860"/>
      <c r="G1643" s="872" t="s">
        <v>2634</v>
      </c>
      <c r="H1643" s="821" t="s">
        <v>291</v>
      </c>
      <c r="I1643" s="220" t="str">
        <f>IF(ISBLANK(global!I120),"",global!I120)</f>
        <v/>
      </c>
      <c r="K1643" s="225" t="s">
        <v>4159</v>
      </c>
      <c r="O1643" s="225" t="s">
        <v>4159</v>
      </c>
    </row>
    <row r="1644" spans="1:15" ht="12.75" customHeight="1" x14ac:dyDescent="0.3">
      <c r="A1644" s="821"/>
      <c r="B1644" s="860" t="s">
        <v>1185</v>
      </c>
      <c r="C1644" s="860"/>
      <c r="D1644" s="872"/>
      <c r="E1644" s="872"/>
      <c r="F1644" s="860"/>
      <c r="G1644" s="821" t="s">
        <v>2635</v>
      </c>
      <c r="H1644" s="860" t="s">
        <v>291</v>
      </c>
      <c r="I1644" s="220" t="str">
        <f>IF(ISBLANK(global!I121),"",global!I121)</f>
        <v/>
      </c>
      <c r="K1644" s="225" t="s">
        <v>4159</v>
      </c>
      <c r="O1644" s="225" t="s">
        <v>4159</v>
      </c>
    </row>
    <row r="1645" spans="1:15" ht="12.75" customHeight="1" x14ac:dyDescent="0.3">
      <c r="A1645" s="860"/>
      <c r="B1645" s="860"/>
      <c r="C1645" s="860"/>
      <c r="D1645" s="860"/>
      <c r="E1645" s="860"/>
      <c r="F1645" s="860"/>
      <c r="G1645" s="860"/>
      <c r="H1645" s="821"/>
      <c r="I1645" s="220" t="str">
        <f>IF(ISBLANK(global!I122),"",global!I122)</f>
        <v/>
      </c>
      <c r="K1645" s="225" t="s">
        <v>4159</v>
      </c>
      <c r="O1645" s="225" t="s">
        <v>4159</v>
      </c>
    </row>
    <row r="1646" spans="1:15" ht="12.75" customHeight="1" x14ac:dyDescent="0.3">
      <c r="A1646" s="865" t="s">
        <v>1266</v>
      </c>
      <c r="B1646" s="864"/>
      <c r="C1646" s="864"/>
      <c r="D1646" s="864"/>
      <c r="E1646" s="864"/>
      <c r="F1646" s="864"/>
      <c r="G1646" s="865" t="s">
        <v>258</v>
      </c>
      <c r="H1646" s="865" t="s">
        <v>274</v>
      </c>
      <c r="I1646" s="220" t="str">
        <f>IF(ISBLANK(global!I123),"",global!I123)</f>
        <v>User input</v>
      </c>
      <c r="K1646" s="225" t="s">
        <v>259</v>
      </c>
      <c r="O1646" s="225" t="s">
        <v>259</v>
      </c>
    </row>
    <row r="1647" spans="1:15" ht="12.75" customHeight="1" x14ac:dyDescent="0.3">
      <c r="A1647" s="821"/>
      <c r="B1647" s="860"/>
      <c r="C1647" s="860"/>
      <c r="D1647" s="860"/>
      <c r="E1647" s="860"/>
      <c r="F1647" s="860"/>
      <c r="G1647" s="860"/>
      <c r="H1647" s="821"/>
      <c r="I1647" s="220" t="str">
        <f>IF(ISBLANK(global!I124),"",global!I124)</f>
        <v/>
      </c>
      <c r="K1647" s="225" t="s">
        <v>4159</v>
      </c>
      <c r="O1647" s="225" t="s">
        <v>4159</v>
      </c>
    </row>
    <row r="1648" spans="1:15" ht="12.75" customHeight="1" x14ac:dyDescent="0.3">
      <c r="A1648" s="821" t="s">
        <v>1267</v>
      </c>
      <c r="B1648" s="860"/>
      <c r="C1648" s="860"/>
      <c r="D1648" s="860"/>
      <c r="E1648" s="860"/>
      <c r="F1648" s="860"/>
      <c r="G1648" s="821" t="s">
        <v>2636</v>
      </c>
      <c r="H1648" s="821" t="s">
        <v>4690</v>
      </c>
      <c r="I1648" s="220" t="str">
        <f>IF(ISBLANK(global!I125),"",global!I125)</f>
        <v/>
      </c>
      <c r="K1648" s="225" t="s">
        <v>4159</v>
      </c>
      <c r="O1648" s="225" t="s">
        <v>4159</v>
      </c>
    </row>
    <row r="1649" spans="1:15" ht="12.75" customHeight="1" x14ac:dyDescent="0.3">
      <c r="A1649" s="821" t="s">
        <v>4794</v>
      </c>
      <c r="B1649" s="860"/>
      <c r="C1649" s="860"/>
      <c r="D1649" s="860"/>
      <c r="E1649" s="860"/>
      <c r="F1649" s="860"/>
      <c r="G1649" s="821" t="s">
        <v>2637</v>
      </c>
      <c r="H1649" s="821" t="s">
        <v>4690</v>
      </c>
      <c r="I1649" s="220" t="str">
        <f>IF(ISBLANK(global!I126),"",global!I126)</f>
        <v/>
      </c>
      <c r="K1649" s="225" t="s">
        <v>4159</v>
      </c>
      <c r="O1649" s="225" t="s">
        <v>4159</v>
      </c>
    </row>
    <row r="1650" spans="1:15" ht="12.75" customHeight="1" x14ac:dyDescent="0.3">
      <c r="A1650" s="821" t="s">
        <v>2638</v>
      </c>
      <c r="B1650" s="860"/>
      <c r="C1650" s="860"/>
      <c r="D1650" s="860"/>
      <c r="E1650" s="860"/>
      <c r="F1650" s="860"/>
      <c r="G1650" s="821" t="s">
        <v>2639</v>
      </c>
      <c r="H1650" s="821" t="s">
        <v>4690</v>
      </c>
      <c r="I1650" s="220" t="str">
        <f>IF(ISBLANK(global!I127),"",global!I127)</f>
        <v/>
      </c>
      <c r="K1650" s="225" t="s">
        <v>4159</v>
      </c>
      <c r="O1650" s="225" t="s">
        <v>4159</v>
      </c>
    </row>
    <row r="1651" spans="1:15" ht="12.75" customHeight="1" x14ac:dyDescent="0.3">
      <c r="A1651" s="821" t="s">
        <v>2640</v>
      </c>
      <c r="B1651" s="860"/>
      <c r="C1651" s="860"/>
      <c r="D1651" s="860"/>
      <c r="E1651" s="860"/>
      <c r="F1651" s="860"/>
      <c r="G1651" s="821" t="s">
        <v>2641</v>
      </c>
      <c r="H1651" s="821" t="s">
        <v>4690</v>
      </c>
      <c r="I1651" s="220" t="str">
        <f>IF(ISBLANK(global!I128),"",global!I128)</f>
        <v/>
      </c>
      <c r="K1651" s="225" t="s">
        <v>4159</v>
      </c>
      <c r="O1651" s="225" t="s">
        <v>4159</v>
      </c>
    </row>
    <row r="1652" spans="1:15" ht="12.75" customHeight="1" x14ac:dyDescent="0.3">
      <c r="A1652" s="821" t="s">
        <v>2642</v>
      </c>
      <c r="B1652" s="860"/>
      <c r="C1652" s="860"/>
      <c r="D1652" s="860"/>
      <c r="E1652" s="860"/>
      <c r="F1652" s="860"/>
      <c r="G1652" s="821" t="s">
        <v>2643</v>
      </c>
      <c r="H1652" s="821" t="s">
        <v>4690</v>
      </c>
      <c r="I1652" s="220" t="str">
        <f>IF(ISBLANK(global!I129),"",global!I129)</f>
        <v/>
      </c>
      <c r="K1652" s="225" t="s">
        <v>4159</v>
      </c>
      <c r="O1652" s="225" t="s">
        <v>4159</v>
      </c>
    </row>
    <row r="1653" spans="1:15" ht="12.75" customHeight="1" x14ac:dyDescent="0.3">
      <c r="A1653" s="821"/>
      <c r="B1653" s="821" t="s">
        <v>1278</v>
      </c>
      <c r="C1653" s="872"/>
      <c r="D1653" s="860"/>
      <c r="E1653" s="860"/>
      <c r="F1653" s="860"/>
      <c r="G1653" s="872" t="s">
        <v>2644</v>
      </c>
      <c r="H1653" s="821" t="s">
        <v>4690</v>
      </c>
      <c r="I1653" s="220" t="str">
        <f>IF(ISBLANK(global!I130),"",global!I130)</f>
        <v/>
      </c>
      <c r="K1653" s="225" t="s">
        <v>4159</v>
      </c>
      <c r="O1653" s="225" t="s">
        <v>4159</v>
      </c>
    </row>
    <row r="1654" spans="1:15" ht="12.75" customHeight="1" x14ac:dyDescent="0.3">
      <c r="A1654" s="821"/>
      <c r="B1654" s="821" t="s">
        <v>1280</v>
      </c>
      <c r="C1654" s="860"/>
      <c r="D1654" s="860"/>
      <c r="E1654" s="860"/>
      <c r="F1654" s="860"/>
      <c r="G1654" s="821" t="s">
        <v>2645</v>
      </c>
      <c r="H1654" s="821" t="s">
        <v>4690</v>
      </c>
      <c r="I1654" s="220" t="str">
        <f>IF(ISBLANK(global!I131),"",global!I131)</f>
        <v/>
      </c>
      <c r="K1654" s="225" t="s">
        <v>4159</v>
      </c>
      <c r="O1654" s="225" t="s">
        <v>4159</v>
      </c>
    </row>
    <row r="1655" spans="1:15" ht="12.75" customHeight="1" x14ac:dyDescent="0.3">
      <c r="A1655" s="872"/>
      <c r="B1655" s="872"/>
      <c r="C1655" s="821" t="s">
        <v>2646</v>
      </c>
      <c r="D1655" s="860"/>
      <c r="E1655" s="860"/>
      <c r="F1655" s="860"/>
      <c r="G1655" s="821" t="s">
        <v>2647</v>
      </c>
      <c r="H1655" s="821" t="s">
        <v>4757</v>
      </c>
      <c r="I1655" s="220" t="str">
        <f>IF(ISBLANK(global!I132),"",global!I132)</f>
        <v/>
      </c>
      <c r="K1655" s="225" t="s">
        <v>4159</v>
      </c>
      <c r="O1655" s="225" t="s">
        <v>4159</v>
      </c>
    </row>
    <row r="1656" spans="1:15" ht="12.75" customHeight="1" x14ac:dyDescent="0.3">
      <c r="A1656" s="872"/>
      <c r="B1656" s="872"/>
      <c r="C1656" s="821" t="s">
        <v>2122</v>
      </c>
      <c r="D1656" s="860"/>
      <c r="E1656" s="860"/>
      <c r="F1656" s="860"/>
      <c r="G1656" s="821" t="s">
        <v>2648</v>
      </c>
      <c r="H1656" s="821" t="s">
        <v>291</v>
      </c>
      <c r="I1656" s="220" t="str">
        <f>IF(ISBLANK(global!I133),"",global!I133)</f>
        <v/>
      </c>
      <c r="K1656" s="225" t="s">
        <v>4159</v>
      </c>
      <c r="O1656" s="225" t="s">
        <v>4159</v>
      </c>
    </row>
    <row r="1657" spans="1:15" ht="12.75" customHeight="1" x14ac:dyDescent="0.3">
      <c r="A1657" s="821"/>
      <c r="B1657" s="821" t="s">
        <v>4795</v>
      </c>
      <c r="C1657" s="860"/>
      <c r="D1657" s="860"/>
      <c r="E1657" s="860"/>
      <c r="F1657" s="860"/>
      <c r="G1657" s="821" t="s">
        <v>2649</v>
      </c>
      <c r="H1657" s="821" t="s">
        <v>4690</v>
      </c>
      <c r="I1657" s="220" t="str">
        <f>IF(ISBLANK(global!I134),"",global!I134)</f>
        <v/>
      </c>
      <c r="K1657" s="225" t="s">
        <v>4159</v>
      </c>
      <c r="O1657" s="225" t="s">
        <v>4159</v>
      </c>
    </row>
    <row r="1658" spans="1:15" ht="12.75" customHeight="1" x14ac:dyDescent="0.3">
      <c r="A1658" s="821"/>
      <c r="B1658" s="821" t="s">
        <v>2650</v>
      </c>
      <c r="C1658" s="860"/>
      <c r="D1658" s="860"/>
      <c r="E1658" s="860"/>
      <c r="F1658" s="860"/>
      <c r="G1658" s="821" t="s">
        <v>2651</v>
      </c>
      <c r="H1658" s="821" t="s">
        <v>4690</v>
      </c>
      <c r="I1658" s="220" t="str">
        <f>IF(ISBLANK(global!I135),"",global!I135)</f>
        <v/>
      </c>
      <c r="K1658" s="225" t="s">
        <v>4159</v>
      </c>
      <c r="O1658" s="225" t="s">
        <v>4159</v>
      </c>
    </row>
    <row r="1659" spans="1:15" ht="12.75" customHeight="1" x14ac:dyDescent="0.3">
      <c r="A1659" s="821"/>
      <c r="B1659" s="821"/>
      <c r="C1659" s="821" t="s">
        <v>4796</v>
      </c>
      <c r="D1659" s="860"/>
      <c r="E1659" s="860"/>
      <c r="F1659" s="860"/>
      <c r="G1659" s="872" t="s">
        <v>2652</v>
      </c>
      <c r="H1659" s="821" t="s">
        <v>1295</v>
      </c>
      <c r="I1659" s="220" t="str">
        <f>IF(ISBLANK(global!I136),"",global!I136)</f>
        <v/>
      </c>
      <c r="K1659" s="225" t="s">
        <v>4159</v>
      </c>
      <c r="O1659" s="225" t="s">
        <v>4159</v>
      </c>
    </row>
    <row r="1660" spans="1:15" ht="12.75" customHeight="1" x14ac:dyDescent="0.3">
      <c r="A1660" s="821"/>
      <c r="B1660" s="821"/>
      <c r="C1660" s="821" t="s">
        <v>2653</v>
      </c>
      <c r="D1660" s="860"/>
      <c r="E1660" s="860"/>
      <c r="F1660" s="860"/>
      <c r="G1660" s="872" t="s">
        <v>2654</v>
      </c>
      <c r="H1660" s="821" t="s">
        <v>1295</v>
      </c>
      <c r="I1660" s="220" t="str">
        <f>IF(ISBLANK(global!I137),"",global!I137)</f>
        <v/>
      </c>
      <c r="K1660" s="225" t="s">
        <v>4159</v>
      </c>
      <c r="O1660" s="225" t="s">
        <v>4159</v>
      </c>
    </row>
    <row r="1661" spans="1:15" ht="12.75" customHeight="1" x14ac:dyDescent="0.3">
      <c r="A1661" s="872"/>
      <c r="B1661" s="872"/>
      <c r="C1661" s="821" t="s">
        <v>1301</v>
      </c>
      <c r="D1661" s="860"/>
      <c r="E1661" s="860"/>
      <c r="F1661" s="860"/>
      <c r="G1661" s="821" t="s">
        <v>2655</v>
      </c>
      <c r="H1661" s="821" t="s">
        <v>291</v>
      </c>
      <c r="I1661" s="220" t="str">
        <f>IF(ISBLANK(global!I138),"",global!I138)</f>
        <v/>
      </c>
      <c r="K1661" s="225" t="s">
        <v>4159</v>
      </c>
      <c r="O1661" s="225" t="s">
        <v>4159</v>
      </c>
    </row>
    <row r="1662" spans="1:15" ht="12.75" customHeight="1" x14ac:dyDescent="0.3">
      <c r="A1662" s="821"/>
      <c r="B1662" s="821" t="s">
        <v>2656</v>
      </c>
      <c r="C1662" s="860"/>
      <c r="D1662" s="860"/>
      <c r="E1662" s="860"/>
      <c r="F1662" s="860"/>
      <c r="G1662" s="821" t="s">
        <v>2657</v>
      </c>
      <c r="H1662" s="821" t="s">
        <v>4690</v>
      </c>
      <c r="I1662" s="220" t="str">
        <f>IF(ISBLANK(global!I139),"",global!I139)</f>
        <v/>
      </c>
      <c r="K1662" s="225" t="s">
        <v>4159</v>
      </c>
      <c r="O1662" s="225" t="s">
        <v>4159</v>
      </c>
    </row>
    <row r="1663" spans="1:15" ht="12.75" customHeight="1" x14ac:dyDescent="0.3">
      <c r="A1663" s="821"/>
      <c r="B1663" s="821" t="s">
        <v>2658</v>
      </c>
      <c r="C1663" s="860"/>
      <c r="D1663" s="860"/>
      <c r="E1663" s="860"/>
      <c r="F1663" s="860"/>
      <c r="G1663" s="821" t="s">
        <v>2659</v>
      </c>
      <c r="H1663" s="789" t="s">
        <v>4690</v>
      </c>
      <c r="I1663" s="220" t="str">
        <f>IF(ISBLANK(global!I140),"",global!I140)</f>
        <v/>
      </c>
      <c r="K1663" s="225" t="s">
        <v>4159</v>
      </c>
      <c r="O1663" s="225" t="s">
        <v>4159</v>
      </c>
    </row>
    <row r="1664" spans="1:15" ht="12.75" customHeight="1" x14ac:dyDescent="0.3">
      <c r="A1664" s="860"/>
      <c r="B1664" s="860"/>
      <c r="C1664" s="821" t="s">
        <v>2660</v>
      </c>
      <c r="D1664" s="860"/>
      <c r="E1664" s="860"/>
      <c r="F1664" s="860"/>
      <c r="G1664" s="872" t="s">
        <v>2661</v>
      </c>
      <c r="H1664" s="821" t="s">
        <v>291</v>
      </c>
      <c r="I1664" s="220" t="str">
        <f>IF(ISBLANK(global!I141),"",global!I141)</f>
        <v/>
      </c>
      <c r="K1664" s="225" t="s">
        <v>4159</v>
      </c>
      <c r="O1664" s="225" t="s">
        <v>4159</v>
      </c>
    </row>
    <row r="1665" spans="1:15" ht="12.75" customHeight="1" x14ac:dyDescent="0.3">
      <c r="A1665" s="821"/>
      <c r="B1665" s="821"/>
      <c r="C1665" s="860" t="s">
        <v>1185</v>
      </c>
      <c r="D1665" s="860"/>
      <c r="E1665" s="872"/>
      <c r="F1665" s="872"/>
      <c r="G1665" s="821" t="s">
        <v>2662</v>
      </c>
      <c r="H1665" s="860" t="s">
        <v>291</v>
      </c>
      <c r="I1665" s="220" t="str">
        <f>IF(ISBLANK(global!I142),"",global!I142)</f>
        <v/>
      </c>
      <c r="K1665" s="225" t="s">
        <v>4159</v>
      </c>
      <c r="O1665" s="225" t="s">
        <v>4159</v>
      </c>
    </row>
    <row r="1666" spans="1:15" ht="12.75" customHeight="1" x14ac:dyDescent="0.3">
      <c r="G1666" s="778"/>
      <c r="I1666" s="220" t="str">
        <f>IF(ISBLANK(global!I143),"",global!I143)</f>
        <v/>
      </c>
      <c r="K1666" s="225" t="s">
        <v>4159</v>
      </c>
      <c r="O1666" s="225" t="s">
        <v>4159</v>
      </c>
    </row>
    <row r="1667" spans="1:15" ht="12.75" customHeight="1" x14ac:dyDescent="0.3">
      <c r="A1667" s="826"/>
      <c r="B1667" s="826"/>
      <c r="C1667" s="826"/>
      <c r="D1667" s="826"/>
      <c r="E1667" s="826"/>
      <c r="F1667" s="826"/>
      <c r="G1667" s="826"/>
      <c r="H1667" s="827"/>
      <c r="I1667" s="220" t="str">
        <f>IF(ISBLANK(global!I144),"",global!I144)</f>
        <v/>
      </c>
      <c r="K1667" s="225" t="s">
        <v>4159</v>
      </c>
      <c r="O1667" s="225" t="s">
        <v>4159</v>
      </c>
    </row>
    <row r="1668" spans="1:15" ht="12.75" customHeight="1" x14ac:dyDescent="0.3">
      <c r="A1668" s="785" t="s">
        <v>1325</v>
      </c>
      <c r="B1668" s="784"/>
      <c r="C1668" s="784"/>
      <c r="D1668" s="784"/>
      <c r="E1668" s="784"/>
      <c r="F1668" s="784"/>
      <c r="G1668" s="785" t="s">
        <v>258</v>
      </c>
      <c r="H1668" s="785" t="s">
        <v>274</v>
      </c>
      <c r="I1668" s="220" t="str">
        <f>IF(ISBLANK(global!I145),"",global!I145)</f>
        <v>User input</v>
      </c>
      <c r="K1668" s="225" t="s">
        <v>259</v>
      </c>
      <c r="O1668" s="225" t="s">
        <v>259</v>
      </c>
    </row>
    <row r="1669" spans="1:15" ht="12.75" customHeight="1" x14ac:dyDescent="0.3">
      <c r="A1669" s="352" t="s">
        <v>2663</v>
      </c>
      <c r="B1669" s="352"/>
      <c r="C1669" s="352"/>
      <c r="D1669" s="352"/>
      <c r="E1669" s="352"/>
      <c r="F1669" s="352"/>
      <c r="G1669" s="520"/>
      <c r="H1669" s="520"/>
      <c r="I1669" s="220" t="str">
        <f>IF(ISBLANK(global!I146),"",global!I146)</f>
        <v/>
      </c>
      <c r="K1669" s="225" t="s">
        <v>4159</v>
      </c>
      <c r="O1669" s="225" t="s">
        <v>4159</v>
      </c>
    </row>
    <row r="1670" spans="1:15" ht="12.75" customHeight="1" x14ac:dyDescent="0.3">
      <c r="A1670" s="797" t="s">
        <v>1329</v>
      </c>
      <c r="B1670" s="797"/>
      <c r="C1670" s="797"/>
      <c r="D1670" s="797"/>
      <c r="E1670" s="797"/>
      <c r="F1670" s="797"/>
      <c r="G1670" s="797" t="s">
        <v>2664</v>
      </c>
      <c r="H1670" s="796" t="s">
        <v>335</v>
      </c>
      <c r="I1670" s="220" t="str">
        <f>IF(ISBLANK(global!I147),"",global!I147)</f>
        <v/>
      </c>
      <c r="K1670" s="225" t="s">
        <v>4159</v>
      </c>
      <c r="O1670" s="225" t="s">
        <v>4159</v>
      </c>
    </row>
    <row r="1671" spans="1:15" ht="12.75" customHeight="1" x14ac:dyDescent="0.3">
      <c r="A1671" s="797"/>
      <c r="B1671" s="797" t="s">
        <v>1332</v>
      </c>
      <c r="C1671" s="797"/>
      <c r="D1671" s="797"/>
      <c r="E1671" s="797"/>
      <c r="F1671" s="797"/>
      <c r="G1671" s="797" t="s">
        <v>2665</v>
      </c>
      <c r="H1671" s="797" t="s">
        <v>335</v>
      </c>
      <c r="I1671" s="220" t="str">
        <f>IF(ISBLANK(global!I148),"",global!I148)</f>
        <v/>
      </c>
      <c r="K1671" s="225" t="s">
        <v>4159</v>
      </c>
      <c r="O1671" s="225" t="s">
        <v>4159</v>
      </c>
    </row>
    <row r="1672" spans="1:15" ht="12.75" customHeight="1" x14ac:dyDescent="0.3">
      <c r="A1672" s="797"/>
      <c r="B1672" s="797"/>
      <c r="C1672" s="797" t="s">
        <v>706</v>
      </c>
      <c r="D1672" s="797"/>
      <c r="E1672" s="797"/>
      <c r="F1672" s="797"/>
      <c r="G1672" s="797" t="s">
        <v>2666</v>
      </c>
      <c r="H1672" s="796" t="s">
        <v>708</v>
      </c>
      <c r="I1672" s="220" t="str">
        <f>IF(ISBLANK(global!I149),"",global!I149)</f>
        <v/>
      </c>
      <c r="K1672" s="225" t="s">
        <v>4159</v>
      </c>
      <c r="O1672" s="225" t="s">
        <v>4159</v>
      </c>
    </row>
    <row r="1673" spans="1:15" ht="12.75" customHeight="1" x14ac:dyDescent="0.3">
      <c r="A1673" s="797"/>
      <c r="B1673" s="797"/>
      <c r="C1673" s="797" t="s">
        <v>1339</v>
      </c>
      <c r="D1673" s="797"/>
      <c r="E1673" s="797"/>
      <c r="F1673" s="797"/>
      <c r="G1673" s="796" t="s">
        <v>2667</v>
      </c>
      <c r="H1673" s="796" t="s">
        <v>866</v>
      </c>
      <c r="I1673" s="220" t="str">
        <f>IF(ISBLANK(global!I150),"",global!I150)</f>
        <v/>
      </c>
      <c r="K1673" s="225" t="s">
        <v>4159</v>
      </c>
      <c r="O1673" s="225" t="s">
        <v>4159</v>
      </c>
    </row>
    <row r="1674" spans="1:15" ht="12.75" customHeight="1" x14ac:dyDescent="0.3">
      <c r="A1674" s="797"/>
      <c r="B1674" s="797"/>
      <c r="C1674" s="797" t="s">
        <v>1337</v>
      </c>
      <c r="D1674" s="797"/>
      <c r="E1674" s="797"/>
      <c r="F1674" s="797"/>
      <c r="G1674" s="797" t="s">
        <v>2668</v>
      </c>
      <c r="H1674" s="797" t="s">
        <v>900</v>
      </c>
      <c r="I1674" s="220" t="str">
        <f>IF(ISBLANK(global!I151),"",global!I151)</f>
        <v/>
      </c>
      <c r="K1674" s="225" t="s">
        <v>4159</v>
      </c>
      <c r="O1674" s="225" t="s">
        <v>4159</v>
      </c>
    </row>
    <row r="1675" spans="1:15" ht="12.75" customHeight="1" x14ac:dyDescent="0.3">
      <c r="A1675" s="797"/>
      <c r="B1675" s="797"/>
      <c r="C1675" s="797" t="s">
        <v>1334</v>
      </c>
      <c r="D1675" s="797"/>
      <c r="E1675" s="797"/>
      <c r="F1675" s="797"/>
      <c r="G1675" s="796" t="s">
        <v>2669</v>
      </c>
      <c r="H1675" s="796" t="s">
        <v>291</v>
      </c>
      <c r="I1675" s="220" t="str">
        <f>IF(ISBLANK(global!I152),"",global!I152)</f>
        <v/>
      </c>
      <c r="K1675" s="225" t="s">
        <v>4159</v>
      </c>
      <c r="O1675" s="225" t="s">
        <v>4159</v>
      </c>
    </row>
    <row r="1676" spans="1:15" ht="12.75" customHeight="1" x14ac:dyDescent="0.3">
      <c r="A1676" s="797" t="s">
        <v>1341</v>
      </c>
      <c r="B1676" s="797"/>
      <c r="C1676" s="797"/>
      <c r="D1676" s="797"/>
      <c r="E1676" s="797"/>
      <c r="F1676" s="797"/>
      <c r="G1676" s="797" t="s">
        <v>2670</v>
      </c>
      <c r="H1676" s="797" t="s">
        <v>335</v>
      </c>
      <c r="I1676" s="220" t="str">
        <f>IF(ISBLANK(global!I153),"",global!I153)</f>
        <v/>
      </c>
      <c r="K1676" s="225" t="s">
        <v>4159</v>
      </c>
      <c r="O1676" s="225" t="s">
        <v>4159</v>
      </c>
    </row>
    <row r="1677" spans="1:15" ht="12.75" customHeight="1" x14ac:dyDescent="0.3">
      <c r="A1677" s="797"/>
      <c r="B1677" s="797"/>
      <c r="C1677" s="797" t="s">
        <v>710</v>
      </c>
      <c r="D1677" s="797"/>
      <c r="E1677" s="797"/>
      <c r="F1677" s="797"/>
      <c r="G1677" s="797" t="s">
        <v>2671</v>
      </c>
      <c r="H1677" s="796" t="s">
        <v>708</v>
      </c>
      <c r="I1677" s="220" t="str">
        <f>IF(ISBLANK(global!I154),"",global!I154)</f>
        <v/>
      </c>
      <c r="K1677" s="225" t="s">
        <v>4159</v>
      </c>
      <c r="O1677" s="225" t="s">
        <v>4159</v>
      </c>
    </row>
    <row r="1678" spans="1:15" ht="12.75" customHeight="1" x14ac:dyDescent="0.3">
      <c r="A1678" s="797"/>
      <c r="B1678" s="797"/>
      <c r="C1678" s="797" t="s">
        <v>1343</v>
      </c>
      <c r="D1678" s="797"/>
      <c r="E1678" s="797"/>
      <c r="F1678" s="797"/>
      <c r="G1678" s="796" t="s">
        <v>2672</v>
      </c>
      <c r="H1678" s="796" t="s">
        <v>866</v>
      </c>
      <c r="I1678" s="220" t="str">
        <f>IF(ISBLANK(global!I155),"",global!I155)</f>
        <v/>
      </c>
      <c r="K1678" s="225" t="s">
        <v>4159</v>
      </c>
      <c r="O1678" s="225" t="s">
        <v>4159</v>
      </c>
    </row>
    <row r="1679" spans="1:15" ht="12.75" customHeight="1" x14ac:dyDescent="0.3">
      <c r="A1679" s="797"/>
      <c r="B1679" s="797"/>
      <c r="C1679" s="797" t="s">
        <v>1345</v>
      </c>
      <c r="D1679" s="797"/>
      <c r="E1679" s="797"/>
      <c r="F1679" s="797"/>
      <c r="G1679" s="797" t="s">
        <v>2673</v>
      </c>
      <c r="H1679" s="797" t="s">
        <v>900</v>
      </c>
      <c r="I1679" s="220" t="str">
        <f>IF(ISBLANK(global!I156),"",global!I156)</f>
        <v/>
      </c>
      <c r="K1679" s="225" t="s">
        <v>4159</v>
      </c>
      <c r="O1679" s="225" t="s">
        <v>4159</v>
      </c>
    </row>
    <row r="1680" spans="1:15" ht="12.75" customHeight="1" x14ac:dyDescent="0.3">
      <c r="A1680" s="797"/>
      <c r="B1680" s="797"/>
      <c r="C1680" s="797" t="s">
        <v>1347</v>
      </c>
      <c r="D1680" s="797"/>
      <c r="E1680" s="797"/>
      <c r="F1680" s="797"/>
      <c r="G1680" s="796" t="s">
        <v>2674</v>
      </c>
      <c r="H1680" s="796" t="s">
        <v>291</v>
      </c>
      <c r="I1680" s="220" t="str">
        <f>IF(ISBLANK(global!I157),"",global!I157)</f>
        <v/>
      </c>
      <c r="K1680" s="225" t="s">
        <v>4159</v>
      </c>
      <c r="O1680" s="225" t="s">
        <v>4159</v>
      </c>
    </row>
    <row r="1681" spans="1:15" ht="12.75" customHeight="1" x14ac:dyDescent="0.3">
      <c r="A1681" s="797" t="s">
        <v>1349</v>
      </c>
      <c r="B1681" s="797"/>
      <c r="C1681" s="797"/>
      <c r="D1681" s="797"/>
      <c r="E1681" s="797"/>
      <c r="F1681" s="797"/>
      <c r="G1681" s="796" t="s">
        <v>2675</v>
      </c>
      <c r="H1681" s="796" t="s">
        <v>335</v>
      </c>
      <c r="I1681" s="220" t="str">
        <f>IF(ISBLANK(global!I158),"",global!I158)</f>
        <v/>
      </c>
      <c r="K1681" s="225" t="s">
        <v>4159</v>
      </c>
      <c r="O1681" s="225" t="s">
        <v>4159</v>
      </c>
    </row>
    <row r="1682" spans="1:15" ht="12.75" customHeight="1" x14ac:dyDescent="0.3">
      <c r="A1682" s="797"/>
      <c r="B1682" s="797" t="s">
        <v>712</v>
      </c>
      <c r="C1682" s="797"/>
      <c r="D1682" s="797"/>
      <c r="E1682" s="797"/>
      <c r="F1682" s="797"/>
      <c r="G1682" s="797" t="s">
        <v>2676</v>
      </c>
      <c r="H1682" s="796" t="s">
        <v>708</v>
      </c>
      <c r="I1682" s="220" t="str">
        <f>IF(ISBLANK(global!I159),"",global!I159)</f>
        <v/>
      </c>
      <c r="K1682" s="225" t="s">
        <v>4159</v>
      </c>
      <c r="O1682" s="225" t="s">
        <v>4159</v>
      </c>
    </row>
    <row r="1683" spans="1:15" ht="12.75" customHeight="1" x14ac:dyDescent="0.3">
      <c r="A1683" s="797"/>
      <c r="B1683" s="797" t="s">
        <v>1351</v>
      </c>
      <c r="C1683" s="797"/>
      <c r="D1683" s="797"/>
      <c r="E1683" s="797"/>
      <c r="F1683" s="797"/>
      <c r="G1683" s="796" t="s">
        <v>2677</v>
      </c>
      <c r="H1683" s="796" t="s">
        <v>866</v>
      </c>
      <c r="I1683" s="220" t="str">
        <f>IF(ISBLANK(global!I160),"",global!I160)</f>
        <v/>
      </c>
      <c r="K1683" s="225" t="s">
        <v>4159</v>
      </c>
      <c r="O1683" s="225" t="s">
        <v>4159</v>
      </c>
    </row>
    <row r="1684" spans="1:15" ht="12.75" customHeight="1" x14ac:dyDescent="0.3">
      <c r="A1684" s="797"/>
      <c r="B1684" s="797" t="s">
        <v>1353</v>
      </c>
      <c r="C1684" s="797"/>
      <c r="D1684" s="797"/>
      <c r="E1684" s="797"/>
      <c r="F1684" s="797"/>
      <c r="G1684" s="797" t="s">
        <v>2678</v>
      </c>
      <c r="H1684" s="797" t="s">
        <v>900</v>
      </c>
      <c r="I1684" s="220" t="str">
        <f>IF(ISBLANK(global!I161),"",global!I161)</f>
        <v/>
      </c>
      <c r="K1684" s="225" t="s">
        <v>4159</v>
      </c>
      <c r="O1684" s="225" t="s">
        <v>4159</v>
      </c>
    </row>
    <row r="1685" spans="1:15" ht="12.75" customHeight="1" x14ac:dyDescent="0.3">
      <c r="A1685" s="797"/>
      <c r="B1685" s="797" t="s">
        <v>1355</v>
      </c>
      <c r="C1685" s="797"/>
      <c r="D1685" s="797"/>
      <c r="E1685" s="797"/>
      <c r="F1685" s="797"/>
      <c r="G1685" s="796" t="s">
        <v>2679</v>
      </c>
      <c r="H1685" s="796" t="s">
        <v>291</v>
      </c>
      <c r="I1685" s="220" t="str">
        <f>IF(ISBLANK(global!I162),"",global!I162)</f>
        <v/>
      </c>
      <c r="K1685" s="225" t="s">
        <v>4159</v>
      </c>
      <c r="O1685" s="225" t="s">
        <v>4159</v>
      </c>
    </row>
    <row r="1686" spans="1:15" ht="12.75" customHeight="1" x14ac:dyDescent="0.3">
      <c r="A1686" s="352" t="s">
        <v>2680</v>
      </c>
      <c r="B1686" s="352"/>
      <c r="C1686" s="352"/>
      <c r="D1686" s="352"/>
      <c r="E1686" s="352"/>
      <c r="F1686" s="352"/>
      <c r="G1686" s="520"/>
      <c r="H1686" s="520"/>
      <c r="I1686" s="220" t="str">
        <f>IF(ISBLANK(global!I163),"",global!I163)</f>
        <v/>
      </c>
      <c r="K1686" s="225" t="s">
        <v>4159</v>
      </c>
      <c r="O1686" s="225" t="s">
        <v>4159</v>
      </c>
    </row>
    <row r="1687" spans="1:15" ht="12.75" customHeight="1" x14ac:dyDescent="0.3">
      <c r="A1687" s="797" t="s">
        <v>1380</v>
      </c>
      <c r="B1687" s="797"/>
      <c r="C1687" s="797"/>
      <c r="D1687" s="797"/>
      <c r="E1687" s="797"/>
      <c r="F1687" s="797"/>
      <c r="G1687" s="796" t="s">
        <v>2681</v>
      </c>
      <c r="H1687" s="796" t="s">
        <v>335</v>
      </c>
      <c r="I1687" s="220" t="str">
        <f>IF(ISBLANK(global!I164),"",global!I164)</f>
        <v/>
      </c>
      <c r="K1687" s="225" t="s">
        <v>4159</v>
      </c>
      <c r="O1687" s="225" t="s">
        <v>4159</v>
      </c>
    </row>
    <row r="1688" spans="1:15" ht="12.75" customHeight="1" x14ac:dyDescent="0.3">
      <c r="A1688" s="797"/>
      <c r="B1688" s="797" t="s">
        <v>1382</v>
      </c>
      <c r="C1688" s="797"/>
      <c r="D1688" s="797"/>
      <c r="E1688" s="797"/>
      <c r="F1688" s="797"/>
      <c r="G1688" s="796" t="s">
        <v>2682</v>
      </c>
      <c r="H1688" s="796" t="s">
        <v>708</v>
      </c>
      <c r="I1688" s="220" t="str">
        <f>IF(ISBLANK(global!I165),"",global!I165)</f>
        <v/>
      </c>
      <c r="K1688" s="225" t="s">
        <v>4159</v>
      </c>
      <c r="O1688" s="225" t="s">
        <v>4159</v>
      </c>
    </row>
    <row r="1689" spans="1:15" ht="12.75" customHeight="1" x14ac:dyDescent="0.3">
      <c r="A1689" s="797"/>
      <c r="B1689" s="797" t="s">
        <v>1385</v>
      </c>
      <c r="C1689" s="797"/>
      <c r="D1689" s="797"/>
      <c r="E1689" s="797"/>
      <c r="F1689" s="797"/>
      <c r="G1689" s="796" t="s">
        <v>2683</v>
      </c>
      <c r="H1689" s="796" t="s">
        <v>335</v>
      </c>
      <c r="I1689" s="220" t="str">
        <f>IF(ISBLANK(global!I166),"",global!I166)</f>
        <v/>
      </c>
      <c r="K1689" s="225" t="s">
        <v>4159</v>
      </c>
      <c r="O1689" s="225" t="s">
        <v>4159</v>
      </c>
    </row>
    <row r="1690" spans="1:15" ht="12.75" customHeight="1" x14ac:dyDescent="0.3">
      <c r="A1690" s="797"/>
      <c r="B1690" s="797"/>
      <c r="C1690" s="797" t="s">
        <v>1364</v>
      </c>
      <c r="D1690" s="797"/>
      <c r="E1690" s="797"/>
      <c r="F1690" s="797"/>
      <c r="G1690" s="796" t="s">
        <v>2684</v>
      </c>
      <c r="H1690" s="796" t="s">
        <v>335</v>
      </c>
      <c r="I1690" s="220" t="str">
        <f>IF(ISBLANK(global!I167),"",global!I167)</f>
        <v/>
      </c>
      <c r="K1690" s="225" t="s">
        <v>4159</v>
      </c>
      <c r="O1690" s="225" t="s">
        <v>4159</v>
      </c>
    </row>
    <row r="1691" spans="1:15" ht="12.75" customHeight="1" x14ac:dyDescent="0.3">
      <c r="A1691" s="797"/>
      <c r="B1691" s="797"/>
      <c r="C1691" s="797"/>
      <c r="D1691" s="797" t="s">
        <v>1388</v>
      </c>
      <c r="E1691" s="797"/>
      <c r="F1691" s="797"/>
      <c r="G1691" s="796" t="s">
        <v>2685</v>
      </c>
      <c r="H1691" s="796" t="s">
        <v>335</v>
      </c>
      <c r="I1691" s="220" t="str">
        <f>IF(ISBLANK(global!I168),"",global!I168)</f>
        <v/>
      </c>
      <c r="K1691" s="225" t="s">
        <v>4159</v>
      </c>
      <c r="O1691" s="225" t="s">
        <v>4159</v>
      </c>
    </row>
    <row r="1692" spans="1:15" ht="12.75" customHeight="1" x14ac:dyDescent="0.3">
      <c r="A1692" s="797" t="s">
        <v>1380</v>
      </c>
      <c r="B1692" s="797"/>
      <c r="C1692" s="797"/>
      <c r="D1692" s="797"/>
      <c r="E1692" s="797"/>
      <c r="F1692" s="797"/>
      <c r="G1692" s="796" t="s">
        <v>2686</v>
      </c>
      <c r="H1692" s="796" t="s">
        <v>335</v>
      </c>
      <c r="I1692" s="220" t="str">
        <f>IF(ISBLANK(global!I169),"",global!I169)</f>
        <v/>
      </c>
      <c r="K1692" s="225" t="s">
        <v>4159</v>
      </c>
      <c r="O1692" s="225" t="s">
        <v>4159</v>
      </c>
    </row>
    <row r="1693" spans="1:15" ht="12.75" customHeight="1" x14ac:dyDescent="0.3">
      <c r="A1693" s="797"/>
      <c r="B1693" s="797" t="s">
        <v>1382</v>
      </c>
      <c r="C1693" s="797"/>
      <c r="D1693" s="797"/>
      <c r="E1693" s="797"/>
      <c r="F1693" s="797"/>
      <c r="G1693" s="796" t="s">
        <v>2687</v>
      </c>
      <c r="H1693" s="796" t="s">
        <v>708</v>
      </c>
      <c r="I1693" s="220" t="str">
        <f>IF(ISBLANK(global!I170),"",global!I170)</f>
        <v/>
      </c>
      <c r="K1693" s="225" t="s">
        <v>4159</v>
      </c>
      <c r="O1693" s="225" t="s">
        <v>4159</v>
      </c>
    </row>
    <row r="1694" spans="1:15" ht="12.75" customHeight="1" x14ac:dyDescent="0.3">
      <c r="A1694" s="797"/>
      <c r="B1694" s="797" t="s">
        <v>1385</v>
      </c>
      <c r="C1694" s="797"/>
      <c r="D1694" s="797"/>
      <c r="E1694" s="797"/>
      <c r="F1694" s="797"/>
      <c r="G1694" s="796" t="s">
        <v>2688</v>
      </c>
      <c r="H1694" s="796" t="s">
        <v>335</v>
      </c>
      <c r="I1694" s="220" t="str">
        <f>IF(ISBLANK(global!I171),"",global!I171)</f>
        <v/>
      </c>
      <c r="K1694" s="225" t="s">
        <v>4159</v>
      </c>
      <c r="O1694" s="225" t="s">
        <v>4159</v>
      </c>
    </row>
    <row r="1695" spans="1:15" ht="12.75" customHeight="1" x14ac:dyDescent="0.3">
      <c r="A1695" s="797"/>
      <c r="B1695" s="797"/>
      <c r="C1695" s="797" t="s">
        <v>1364</v>
      </c>
      <c r="D1695" s="797"/>
      <c r="E1695" s="797"/>
      <c r="F1695" s="797"/>
      <c r="G1695" s="796" t="s">
        <v>2689</v>
      </c>
      <c r="H1695" s="796" t="s">
        <v>335</v>
      </c>
      <c r="I1695" s="220" t="str">
        <f>IF(ISBLANK(global!I172),"",global!I172)</f>
        <v/>
      </c>
      <c r="K1695" s="225" t="s">
        <v>4159</v>
      </c>
      <c r="O1695" s="225" t="s">
        <v>4159</v>
      </c>
    </row>
    <row r="1696" spans="1:15" ht="12.75" customHeight="1" x14ac:dyDescent="0.3">
      <c r="A1696" s="797"/>
      <c r="B1696" s="797"/>
      <c r="C1696" s="797"/>
      <c r="D1696" s="797" t="s">
        <v>1388</v>
      </c>
      <c r="E1696" s="797"/>
      <c r="F1696" s="797"/>
      <c r="G1696" s="796" t="s">
        <v>2690</v>
      </c>
      <c r="H1696" s="796" t="s">
        <v>335</v>
      </c>
      <c r="I1696" s="220" t="str">
        <f>IF(ISBLANK(global!I173),"",global!I173)</f>
        <v/>
      </c>
      <c r="K1696" s="225" t="s">
        <v>4159</v>
      </c>
      <c r="O1696" s="225" t="s">
        <v>4159</v>
      </c>
    </row>
    <row r="1697" spans="1:15" ht="12.75" customHeight="1" x14ac:dyDescent="0.3">
      <c r="A1697" s="797"/>
      <c r="B1697" s="797"/>
      <c r="C1697" s="797" t="s">
        <v>1390</v>
      </c>
      <c r="D1697" s="797"/>
      <c r="E1697" s="797"/>
      <c r="F1697" s="797"/>
      <c r="G1697" s="797" t="s">
        <v>2691</v>
      </c>
      <c r="H1697" s="797" t="s">
        <v>335</v>
      </c>
      <c r="I1697" s="220" t="str">
        <f>IF(ISBLANK(global!I174),"",global!I174)</f>
        <v/>
      </c>
      <c r="K1697" s="225" t="s">
        <v>4159</v>
      </c>
      <c r="O1697" s="225" t="s">
        <v>4159</v>
      </c>
    </row>
    <row r="1698" spans="1:15" ht="12.75" customHeight="1" x14ac:dyDescent="0.3">
      <c r="A1698" s="797"/>
      <c r="B1698" s="797"/>
      <c r="C1698" s="797" t="s">
        <v>1392</v>
      </c>
      <c r="D1698" s="797"/>
      <c r="E1698" s="797"/>
      <c r="F1698" s="797"/>
      <c r="G1698" s="796" t="s">
        <v>2692</v>
      </c>
      <c r="H1698" s="796" t="s">
        <v>335</v>
      </c>
      <c r="I1698" s="220" t="str">
        <f>IF(ISBLANK(global!I175),"",global!I175)</f>
        <v/>
      </c>
      <c r="K1698" s="225" t="s">
        <v>4159</v>
      </c>
      <c r="O1698" s="225" t="s">
        <v>4159</v>
      </c>
    </row>
    <row r="1699" spans="1:15" ht="12.75" customHeight="1" x14ac:dyDescent="0.3">
      <c r="A1699" s="797" t="s">
        <v>1412</v>
      </c>
      <c r="B1699" s="797"/>
      <c r="C1699" s="797"/>
      <c r="D1699" s="797"/>
      <c r="E1699" s="797"/>
      <c r="F1699" s="797"/>
      <c r="G1699" s="796" t="s">
        <v>2693</v>
      </c>
      <c r="H1699" s="796" t="s">
        <v>335</v>
      </c>
      <c r="I1699" s="220" t="str">
        <f>IF(ISBLANK(global!I176),"",global!I176)</f>
        <v/>
      </c>
      <c r="K1699" s="225" t="s">
        <v>4159</v>
      </c>
      <c r="O1699" s="225" t="s">
        <v>4159</v>
      </c>
    </row>
    <row r="1700" spans="1:15" ht="12.75" customHeight="1" x14ac:dyDescent="0.3">
      <c r="A1700" s="797"/>
      <c r="B1700" s="797" t="s">
        <v>1414</v>
      </c>
      <c r="C1700" s="797"/>
      <c r="D1700" s="797"/>
      <c r="E1700" s="797"/>
      <c r="F1700" s="797"/>
      <c r="G1700" s="796" t="s">
        <v>2694</v>
      </c>
      <c r="H1700" s="796" t="s">
        <v>708</v>
      </c>
      <c r="I1700" s="220" t="str">
        <f>IF(ISBLANK(global!I177),"",global!I177)</f>
        <v/>
      </c>
      <c r="K1700" s="225" t="s">
        <v>4159</v>
      </c>
      <c r="O1700" s="225" t="s">
        <v>4159</v>
      </c>
    </row>
    <row r="1701" spans="1:15" ht="12.75" customHeight="1" x14ac:dyDescent="0.3">
      <c r="A1701" s="797"/>
      <c r="B1701" s="797" t="s">
        <v>1417</v>
      </c>
      <c r="C1701" s="797"/>
      <c r="D1701" s="797"/>
      <c r="E1701" s="797"/>
      <c r="F1701" s="797"/>
      <c r="G1701" s="796" t="s">
        <v>2695</v>
      </c>
      <c r="H1701" s="797" t="s">
        <v>335</v>
      </c>
      <c r="I1701" s="220" t="str">
        <f>IF(ISBLANK(global!I178),"",global!I178)</f>
        <v/>
      </c>
      <c r="K1701" s="225" t="s">
        <v>4159</v>
      </c>
      <c r="O1701" s="225" t="s">
        <v>4159</v>
      </c>
    </row>
    <row r="1702" spans="1:15" ht="12.75" customHeight="1" x14ac:dyDescent="0.3">
      <c r="A1702" s="797"/>
      <c r="B1702" s="797"/>
      <c r="C1702" s="797" t="s">
        <v>1402</v>
      </c>
      <c r="D1702" s="797"/>
      <c r="E1702" s="797"/>
      <c r="F1702" s="797"/>
      <c r="G1702" s="796" t="s">
        <v>2696</v>
      </c>
      <c r="H1702" s="796" t="s">
        <v>335</v>
      </c>
      <c r="I1702" s="220" t="str">
        <f>IF(ISBLANK(global!I179),"",global!I179)</f>
        <v/>
      </c>
      <c r="K1702" s="225" t="s">
        <v>4159</v>
      </c>
      <c r="O1702" s="225" t="s">
        <v>4159</v>
      </c>
    </row>
    <row r="1703" spans="1:15" ht="12.75" customHeight="1" x14ac:dyDescent="0.3">
      <c r="A1703" s="797" t="s">
        <v>1412</v>
      </c>
      <c r="B1703" s="797"/>
      <c r="C1703" s="797"/>
      <c r="D1703" s="797"/>
      <c r="E1703" s="797"/>
      <c r="F1703" s="797"/>
      <c r="G1703" s="796" t="s">
        <v>2697</v>
      </c>
      <c r="H1703" s="796" t="s">
        <v>335</v>
      </c>
      <c r="I1703" s="220" t="str">
        <f>IF(ISBLANK(global!I180),"",global!I180)</f>
        <v/>
      </c>
      <c r="K1703" s="225" t="s">
        <v>4159</v>
      </c>
      <c r="O1703" s="225" t="s">
        <v>4159</v>
      </c>
    </row>
    <row r="1704" spans="1:15" ht="12.75" customHeight="1" x14ac:dyDescent="0.3">
      <c r="A1704" s="797"/>
      <c r="B1704" s="797" t="s">
        <v>1414</v>
      </c>
      <c r="C1704" s="797"/>
      <c r="D1704" s="797"/>
      <c r="E1704" s="797"/>
      <c r="F1704" s="797"/>
      <c r="G1704" s="796" t="s">
        <v>2698</v>
      </c>
      <c r="H1704" s="796" t="s">
        <v>708</v>
      </c>
      <c r="I1704" s="220" t="str">
        <f>IF(ISBLANK(global!I181),"",global!I181)</f>
        <v/>
      </c>
      <c r="K1704" s="225" t="s">
        <v>4159</v>
      </c>
      <c r="O1704" s="225" t="s">
        <v>4159</v>
      </c>
    </row>
    <row r="1705" spans="1:15" ht="12.75" customHeight="1" x14ac:dyDescent="0.3">
      <c r="A1705" s="797"/>
      <c r="B1705" s="797" t="s">
        <v>1417</v>
      </c>
      <c r="C1705" s="797"/>
      <c r="D1705" s="797"/>
      <c r="E1705" s="797"/>
      <c r="F1705" s="797"/>
      <c r="G1705" s="796" t="s">
        <v>2699</v>
      </c>
      <c r="H1705" s="797" t="s">
        <v>335</v>
      </c>
      <c r="I1705" s="220" t="str">
        <f>IF(ISBLANK(global!I182),"",global!I182)</f>
        <v/>
      </c>
      <c r="K1705" s="225" t="s">
        <v>4159</v>
      </c>
      <c r="O1705" s="225" t="s">
        <v>4159</v>
      </c>
    </row>
    <row r="1706" spans="1:15" ht="12.75" customHeight="1" x14ac:dyDescent="0.3">
      <c r="A1706" s="797"/>
      <c r="B1706" s="797"/>
      <c r="C1706" s="797" t="s">
        <v>1402</v>
      </c>
      <c r="D1706" s="797"/>
      <c r="E1706" s="797"/>
      <c r="F1706" s="797"/>
      <c r="G1706" s="796" t="s">
        <v>2700</v>
      </c>
      <c r="H1706" s="796" t="s">
        <v>335</v>
      </c>
      <c r="I1706" s="220" t="str">
        <f>IF(ISBLANK(global!I183),"",global!I183)</f>
        <v/>
      </c>
      <c r="K1706" s="225" t="s">
        <v>4159</v>
      </c>
      <c r="O1706" s="225" t="s">
        <v>4159</v>
      </c>
    </row>
    <row r="1707" spans="1:15" ht="12.75" customHeight="1" x14ac:dyDescent="0.3">
      <c r="A1707" s="797"/>
      <c r="B1707" s="797"/>
      <c r="C1707" s="797" t="s">
        <v>1420</v>
      </c>
      <c r="D1707" s="797"/>
      <c r="E1707" s="797"/>
      <c r="F1707" s="797"/>
      <c r="G1707" s="796" t="s">
        <v>2701</v>
      </c>
      <c r="H1707" s="796" t="s">
        <v>335</v>
      </c>
      <c r="I1707" s="220" t="str">
        <f>IF(ISBLANK(global!I184),"",global!I184)</f>
        <v/>
      </c>
      <c r="K1707" s="225" t="s">
        <v>4159</v>
      </c>
      <c r="O1707" s="225" t="s">
        <v>4159</v>
      </c>
    </row>
    <row r="1708" spans="1:15" ht="12.75" customHeight="1" x14ac:dyDescent="0.3">
      <c r="A1708" s="797"/>
      <c r="B1708" s="797"/>
      <c r="C1708" s="797" t="s">
        <v>2187</v>
      </c>
      <c r="D1708" s="797"/>
      <c r="E1708" s="797"/>
      <c r="F1708" s="797"/>
      <c r="G1708" s="796" t="s">
        <v>2702</v>
      </c>
      <c r="H1708" s="796" t="s">
        <v>335</v>
      </c>
      <c r="I1708" s="220" t="str">
        <f>IF(ISBLANK(global!I185),"",global!I185)</f>
        <v/>
      </c>
      <c r="K1708" s="225" t="s">
        <v>4159</v>
      </c>
      <c r="O1708" s="225" t="s">
        <v>4159</v>
      </c>
    </row>
    <row r="1709" spans="1:15" ht="12.75" customHeight="1" x14ac:dyDescent="0.3">
      <c r="A1709" s="352" t="s">
        <v>2703</v>
      </c>
      <c r="I1709" s="220" t="str">
        <f>IF(ISBLANK(global!I186),"",global!I186)</f>
        <v/>
      </c>
      <c r="K1709" s="225" t="s">
        <v>4159</v>
      </c>
      <c r="O1709" s="225" t="s">
        <v>4159</v>
      </c>
    </row>
    <row r="1710" spans="1:15" ht="12.75" customHeight="1" x14ac:dyDescent="0.3">
      <c r="A1710" s="797" t="s">
        <v>2704</v>
      </c>
      <c r="B1710" s="797"/>
      <c r="C1710" s="797"/>
      <c r="D1710" s="797"/>
      <c r="E1710" s="797"/>
      <c r="F1710" s="797"/>
      <c r="G1710" s="796" t="s">
        <v>2705</v>
      </c>
      <c r="H1710" s="796" t="s">
        <v>335</v>
      </c>
      <c r="I1710" s="220" t="str">
        <f>IF(ISBLANK(global!I187),"",global!I187)</f>
        <v/>
      </c>
      <c r="K1710" s="225" t="s">
        <v>4159</v>
      </c>
      <c r="O1710" s="225" t="s">
        <v>4159</v>
      </c>
    </row>
    <row r="1711" spans="1:15" ht="12.75" customHeight="1" x14ac:dyDescent="0.3">
      <c r="A1711" s="797"/>
      <c r="B1711" s="797" t="s">
        <v>1436</v>
      </c>
      <c r="C1711" s="797"/>
      <c r="D1711" s="797"/>
      <c r="E1711" s="797"/>
      <c r="F1711" s="797"/>
      <c r="G1711" s="796" t="s">
        <v>2707</v>
      </c>
      <c r="H1711" s="796" t="s">
        <v>708</v>
      </c>
      <c r="I1711" s="220" t="str">
        <f>IF(ISBLANK(global!I188),"",global!I188)</f>
        <v/>
      </c>
      <c r="K1711" s="225" t="s">
        <v>4159</v>
      </c>
      <c r="O1711" s="225" t="s">
        <v>4159</v>
      </c>
    </row>
    <row r="1712" spans="1:15" ht="12.75" customHeight="1" x14ac:dyDescent="0.3">
      <c r="A1712" s="797"/>
      <c r="B1712" s="797"/>
      <c r="C1712" s="797" t="s">
        <v>1390</v>
      </c>
      <c r="D1712" s="797"/>
      <c r="E1712" s="797"/>
      <c r="F1712" s="797"/>
      <c r="G1712" s="797" t="s">
        <v>2708</v>
      </c>
      <c r="H1712" s="797" t="s">
        <v>335</v>
      </c>
      <c r="I1712" s="220" t="str">
        <f>IF(ISBLANK(global!I189),"",global!I189)</f>
        <v/>
      </c>
      <c r="K1712" s="225" t="s">
        <v>4159</v>
      </c>
      <c r="O1712" s="225" t="s">
        <v>4159</v>
      </c>
    </row>
    <row r="1713" spans="1:15" ht="12.75" customHeight="1" x14ac:dyDescent="0.3">
      <c r="A1713" s="797"/>
      <c r="B1713" s="797"/>
      <c r="C1713" s="797" t="s">
        <v>1392</v>
      </c>
      <c r="D1713" s="797"/>
      <c r="E1713" s="797"/>
      <c r="F1713" s="797"/>
      <c r="G1713" s="796" t="s">
        <v>2709</v>
      </c>
      <c r="H1713" s="796" t="s">
        <v>335</v>
      </c>
      <c r="I1713" s="220" t="str">
        <f>IF(ISBLANK(global!I190),"",global!I190)</f>
        <v/>
      </c>
      <c r="K1713" s="225" t="s">
        <v>4159</v>
      </c>
      <c r="O1713" s="225" t="s">
        <v>4159</v>
      </c>
    </row>
    <row r="1714" spans="1:15" ht="12.75" customHeight="1" x14ac:dyDescent="0.3">
      <c r="A1714" s="797" t="s">
        <v>2710</v>
      </c>
      <c r="B1714" s="797"/>
      <c r="C1714" s="797"/>
      <c r="D1714" s="797"/>
      <c r="E1714" s="797"/>
      <c r="F1714" s="797"/>
      <c r="G1714" s="796" t="s">
        <v>2711</v>
      </c>
      <c r="H1714" s="796" t="s">
        <v>335</v>
      </c>
      <c r="I1714" s="220" t="str">
        <f>IF(ISBLANK(global!I191),"",global!I191)</f>
        <v/>
      </c>
      <c r="K1714" s="225" t="s">
        <v>4159</v>
      </c>
      <c r="O1714" s="225" t="s">
        <v>4159</v>
      </c>
    </row>
    <row r="1715" spans="1:15" ht="12.75" customHeight="1" x14ac:dyDescent="0.3">
      <c r="A1715" s="797"/>
      <c r="B1715" s="797" t="s">
        <v>1447</v>
      </c>
      <c r="C1715" s="797"/>
      <c r="D1715" s="797"/>
      <c r="E1715" s="797"/>
      <c r="F1715" s="797"/>
      <c r="G1715" s="796" t="s">
        <v>2712</v>
      </c>
      <c r="H1715" s="796" t="s">
        <v>1449</v>
      </c>
      <c r="I1715" s="220" t="str">
        <f>IF(ISBLANK(global!I192),"",global!I192)</f>
        <v/>
      </c>
      <c r="K1715" s="225" t="s">
        <v>4159</v>
      </c>
      <c r="O1715" s="225" t="s">
        <v>4159</v>
      </c>
    </row>
    <row r="1716" spans="1:15" ht="12.75" customHeight="1" x14ac:dyDescent="0.3">
      <c r="A1716" s="797"/>
      <c r="B1716" s="797" t="s">
        <v>1450</v>
      </c>
      <c r="C1716" s="797"/>
      <c r="D1716" s="797"/>
      <c r="E1716" s="797"/>
      <c r="F1716" s="797"/>
      <c r="G1716" s="797" t="s">
        <v>2713</v>
      </c>
      <c r="H1716" s="796" t="s">
        <v>866</v>
      </c>
      <c r="I1716" s="220" t="str">
        <f>IF(ISBLANK(global!I193),"",global!I193)</f>
        <v/>
      </c>
      <c r="K1716" s="225" t="s">
        <v>4159</v>
      </c>
      <c r="O1716" s="225" t="s">
        <v>4159</v>
      </c>
    </row>
    <row r="1717" spans="1:15" ht="12.75" customHeight="1" x14ac:dyDescent="0.3">
      <c r="A1717" s="797"/>
      <c r="B1717" s="797" t="s">
        <v>1453</v>
      </c>
      <c r="C1717" s="797"/>
      <c r="D1717" s="797"/>
      <c r="E1717" s="797"/>
      <c r="F1717" s="797"/>
      <c r="G1717" s="796" t="s">
        <v>2714</v>
      </c>
      <c r="H1717" s="796" t="s">
        <v>291</v>
      </c>
      <c r="I1717" s="220" t="str">
        <f>IF(ISBLANK(global!I194),"",global!I194)</f>
        <v/>
      </c>
      <c r="K1717" s="225" t="s">
        <v>4159</v>
      </c>
      <c r="O1717" s="225" t="s">
        <v>4159</v>
      </c>
    </row>
    <row r="1718" spans="1:15" ht="12.75" customHeight="1" x14ac:dyDescent="0.3">
      <c r="A1718" s="797"/>
      <c r="B1718" s="797"/>
      <c r="C1718" s="797" t="s">
        <v>1455</v>
      </c>
      <c r="D1718" s="797"/>
      <c r="E1718" s="797"/>
      <c r="F1718" s="797"/>
      <c r="G1718" s="796" t="s">
        <v>2715</v>
      </c>
      <c r="H1718" s="796" t="s">
        <v>291</v>
      </c>
      <c r="I1718" s="220" t="str">
        <f>IF(ISBLANK(global!I195),"",global!I195)</f>
        <v/>
      </c>
      <c r="K1718" s="225" t="s">
        <v>4159</v>
      </c>
      <c r="O1718" s="225" t="s">
        <v>4159</v>
      </c>
    </row>
    <row r="1719" spans="1:15" ht="12.75" customHeight="1" x14ac:dyDescent="0.3">
      <c r="A1719" s="797"/>
      <c r="B1719" s="797"/>
      <c r="C1719" s="797"/>
      <c r="D1719" s="797" t="s">
        <v>1457</v>
      </c>
      <c r="E1719" s="797"/>
      <c r="F1719" s="797"/>
      <c r="G1719" s="797" t="s">
        <v>2716</v>
      </c>
      <c r="H1719" s="796" t="s">
        <v>291</v>
      </c>
      <c r="I1719" s="220" t="str">
        <f>IF(ISBLANK(global!I196),"",global!I196)</f>
        <v/>
      </c>
      <c r="K1719" s="225" t="s">
        <v>4159</v>
      </c>
      <c r="O1719" s="225" t="s">
        <v>4159</v>
      </c>
    </row>
    <row r="1720" spans="1:15" ht="12.75" customHeight="1" x14ac:dyDescent="0.3">
      <c r="A1720" s="797"/>
      <c r="B1720" s="797"/>
      <c r="C1720" s="797"/>
      <c r="D1720" s="797"/>
      <c r="E1720" s="797" t="s">
        <v>1459</v>
      </c>
      <c r="F1720" s="797"/>
      <c r="G1720" s="797" t="s">
        <v>2717</v>
      </c>
      <c r="H1720" s="796" t="s">
        <v>291</v>
      </c>
      <c r="I1720" s="220" t="str">
        <f>IF(ISBLANK(global!I197),"",global!I197)</f>
        <v/>
      </c>
      <c r="K1720" s="225" t="s">
        <v>4159</v>
      </c>
      <c r="O1720" s="225" t="s">
        <v>4159</v>
      </c>
    </row>
    <row r="1721" spans="1:15" ht="12.75" customHeight="1" x14ac:dyDescent="0.3">
      <c r="A1721" s="797"/>
      <c r="B1721" s="797"/>
      <c r="C1721" s="797"/>
      <c r="D1721" s="797"/>
      <c r="E1721" s="797"/>
      <c r="F1721" s="797" t="s">
        <v>1461</v>
      </c>
      <c r="G1721" s="797" t="s">
        <v>2718</v>
      </c>
      <c r="H1721" s="796" t="s">
        <v>1463</v>
      </c>
      <c r="I1721" s="220" t="str">
        <f>IF(ISBLANK(global!I198),"",global!I198)</f>
        <v/>
      </c>
      <c r="K1721" s="225" t="s">
        <v>4159</v>
      </c>
      <c r="O1721" s="225" t="s">
        <v>4159</v>
      </c>
    </row>
    <row r="1722" spans="1:15" ht="12.75" customHeight="1" x14ac:dyDescent="0.3">
      <c r="A1722" s="797"/>
      <c r="B1722" s="797"/>
      <c r="C1722" s="797" t="s">
        <v>1465</v>
      </c>
      <c r="D1722" s="797"/>
      <c r="E1722" s="797"/>
      <c r="F1722" s="797"/>
      <c r="G1722" s="796" t="s">
        <v>2719</v>
      </c>
      <c r="H1722" s="796" t="s">
        <v>291</v>
      </c>
      <c r="I1722" s="220" t="str">
        <f>IF(ISBLANK(global!I199),"",global!I199)</f>
        <v/>
      </c>
      <c r="K1722" s="225" t="s">
        <v>4159</v>
      </c>
      <c r="O1722" s="225" t="s">
        <v>4159</v>
      </c>
    </row>
    <row r="1723" spans="1:15" ht="12.75" customHeight="1" x14ac:dyDescent="0.3">
      <c r="A1723" s="797"/>
      <c r="B1723" s="797"/>
      <c r="C1723" s="797" t="s">
        <v>1467</v>
      </c>
      <c r="D1723" s="797"/>
      <c r="E1723" s="797"/>
      <c r="F1723" s="797"/>
      <c r="G1723" s="796" t="s">
        <v>2720</v>
      </c>
      <c r="H1723" s="796" t="s">
        <v>291</v>
      </c>
      <c r="I1723" s="220" t="str">
        <f>IF(ISBLANK(global!I200),"",global!I200)</f>
        <v/>
      </c>
      <c r="K1723" s="225" t="s">
        <v>4159</v>
      </c>
      <c r="O1723" s="225" t="s">
        <v>4159</v>
      </c>
    </row>
    <row r="1724" spans="1:15" ht="12.75" customHeight="1" x14ac:dyDescent="0.3">
      <c r="A1724" s="797"/>
      <c r="B1724" s="797"/>
      <c r="C1724" s="797"/>
      <c r="D1724" s="797" t="s">
        <v>1469</v>
      </c>
      <c r="E1724" s="797"/>
      <c r="F1724" s="797"/>
      <c r="G1724" s="797" t="s">
        <v>2721</v>
      </c>
      <c r="H1724" s="796" t="s">
        <v>291</v>
      </c>
      <c r="I1724" s="220" t="str">
        <f>IF(ISBLANK(global!I201),"",global!I201)</f>
        <v/>
      </c>
      <c r="K1724" s="225" t="s">
        <v>4159</v>
      </c>
      <c r="O1724" s="225" t="s">
        <v>4159</v>
      </c>
    </row>
    <row r="1725" spans="1:15" ht="12.75" customHeight="1" x14ac:dyDescent="0.3">
      <c r="A1725" s="797"/>
      <c r="B1725" s="797"/>
      <c r="C1725" s="797"/>
      <c r="D1725" s="797" t="s">
        <v>1471</v>
      </c>
      <c r="E1725" s="797"/>
      <c r="F1725" s="797"/>
      <c r="G1725" s="797" t="s">
        <v>2722</v>
      </c>
      <c r="H1725" s="796" t="s">
        <v>1473</v>
      </c>
      <c r="I1725" s="220" t="str">
        <f>IF(ISBLANK(global!I202),"",global!I202)</f>
        <v/>
      </c>
      <c r="K1725" s="225" t="s">
        <v>4159</v>
      </c>
      <c r="O1725" s="225" t="s">
        <v>4159</v>
      </c>
    </row>
    <row r="1726" spans="1:15" ht="12.75" customHeight="1" x14ac:dyDescent="0.3">
      <c r="A1726" s="797"/>
      <c r="B1726" s="797"/>
      <c r="C1726" s="797"/>
      <c r="D1726" s="797" t="s">
        <v>1474</v>
      </c>
      <c r="E1726" s="797"/>
      <c r="F1726" s="797"/>
      <c r="G1726" s="797" t="s">
        <v>2723</v>
      </c>
      <c r="H1726" s="796" t="s">
        <v>291</v>
      </c>
      <c r="I1726" s="220" t="str">
        <f>IF(ISBLANK(global!I203),"",global!I203)</f>
        <v/>
      </c>
      <c r="K1726" s="225" t="s">
        <v>4159</v>
      </c>
      <c r="O1726" s="225" t="s">
        <v>4159</v>
      </c>
    </row>
    <row r="1727" spans="1:15" ht="12.75" customHeight="1" x14ac:dyDescent="0.3">
      <c r="A1727" s="797"/>
      <c r="B1727" s="797"/>
      <c r="C1727" s="797"/>
      <c r="D1727" s="797" t="s">
        <v>1476</v>
      </c>
      <c r="E1727" s="797"/>
      <c r="F1727" s="797"/>
      <c r="G1727" s="796" t="s">
        <v>2724</v>
      </c>
      <c r="H1727" s="796" t="s">
        <v>291</v>
      </c>
      <c r="I1727" s="220" t="str">
        <f>IF(ISBLANK(global!I204),"",global!I204)</f>
        <v/>
      </c>
      <c r="K1727" s="225" t="s">
        <v>4159</v>
      </c>
      <c r="O1727" s="225" t="s">
        <v>4159</v>
      </c>
    </row>
    <row r="1728" spans="1:15" ht="12.75" customHeight="1" x14ac:dyDescent="0.3">
      <c r="A1728" s="352" t="s">
        <v>2725</v>
      </c>
      <c r="I1728" s="220" t="str">
        <f>IF(ISBLANK(global!I205),"",global!I205)</f>
        <v/>
      </c>
      <c r="K1728" s="225" t="s">
        <v>4159</v>
      </c>
      <c r="O1728" s="225" t="s">
        <v>4159</v>
      </c>
    </row>
    <row r="1729" spans="1:15" ht="12.75" customHeight="1" x14ac:dyDescent="0.3">
      <c r="A1729" s="797" t="s">
        <v>2726</v>
      </c>
      <c r="B1729" s="797"/>
      <c r="C1729" s="797"/>
      <c r="D1729" s="797"/>
      <c r="E1729" s="797"/>
      <c r="F1729" s="797"/>
      <c r="G1729" s="796" t="s">
        <v>2727</v>
      </c>
      <c r="H1729" s="796" t="s">
        <v>335</v>
      </c>
      <c r="I1729" s="220" t="str">
        <f>IF(ISBLANK(global!I206),"",global!I206)</f>
        <v/>
      </c>
      <c r="K1729" s="225" t="s">
        <v>4159</v>
      </c>
      <c r="O1729" s="225" t="s">
        <v>4159</v>
      </c>
    </row>
    <row r="1730" spans="1:15" ht="12.75" customHeight="1" x14ac:dyDescent="0.3">
      <c r="A1730" s="797"/>
      <c r="B1730" s="797" t="s">
        <v>1485</v>
      </c>
      <c r="C1730" s="797"/>
      <c r="D1730" s="797"/>
      <c r="E1730" s="797"/>
      <c r="F1730" s="797"/>
      <c r="G1730" s="796" t="s">
        <v>2729</v>
      </c>
      <c r="H1730" s="796" t="s">
        <v>708</v>
      </c>
      <c r="I1730" s="220" t="str">
        <f>IF(ISBLANK(global!I207),"",global!I207)</f>
        <v/>
      </c>
      <c r="K1730" s="225" t="s">
        <v>4159</v>
      </c>
      <c r="O1730" s="225" t="s">
        <v>4159</v>
      </c>
    </row>
    <row r="1731" spans="1:15" ht="12.75" customHeight="1" x14ac:dyDescent="0.3">
      <c r="A1731" s="797"/>
      <c r="B1731" s="797" t="s">
        <v>727</v>
      </c>
      <c r="C1731" s="797"/>
      <c r="D1731" s="797"/>
      <c r="E1731" s="797"/>
      <c r="F1731" s="797"/>
      <c r="G1731" s="796" t="s">
        <v>2730</v>
      </c>
      <c r="H1731" s="796" t="s">
        <v>729</v>
      </c>
      <c r="I1731" s="220" t="str">
        <f>IF(ISBLANK(global!I208),"",global!I208)</f>
        <v/>
      </c>
      <c r="K1731" s="225" t="s">
        <v>4159</v>
      </c>
      <c r="O1731" s="225" t="s">
        <v>4159</v>
      </c>
    </row>
    <row r="1732" spans="1:15" ht="12.75" customHeight="1" x14ac:dyDescent="0.3">
      <c r="A1732" s="797"/>
      <c r="B1732" s="797" t="s">
        <v>1390</v>
      </c>
      <c r="C1732" s="797"/>
      <c r="D1732" s="797"/>
      <c r="E1732" s="797"/>
      <c r="F1732" s="797"/>
      <c r="G1732" s="796" t="s">
        <v>2731</v>
      </c>
      <c r="H1732" s="796" t="s">
        <v>335</v>
      </c>
      <c r="I1732" s="220" t="str">
        <f>IF(ISBLANK(global!I209),"",global!I209)</f>
        <v/>
      </c>
      <c r="K1732" s="225" t="s">
        <v>4159</v>
      </c>
      <c r="O1732" s="225" t="s">
        <v>4159</v>
      </c>
    </row>
    <row r="1733" spans="1:15" ht="12.75" customHeight="1" x14ac:dyDescent="0.3">
      <c r="A1733" s="797"/>
      <c r="B1733" s="797" t="s">
        <v>1392</v>
      </c>
      <c r="C1733" s="797"/>
      <c r="D1733" s="797"/>
      <c r="E1733" s="797"/>
      <c r="F1733" s="797"/>
      <c r="G1733" s="796" t="s">
        <v>2732</v>
      </c>
      <c r="H1733" s="796" t="s">
        <v>335</v>
      </c>
      <c r="I1733" s="220" t="str">
        <f>IF(ISBLANK(global!I210),"",global!I210)</f>
        <v/>
      </c>
      <c r="K1733" s="225" t="s">
        <v>4159</v>
      </c>
      <c r="O1733" s="225" t="s">
        <v>4159</v>
      </c>
    </row>
    <row r="1734" spans="1:15" ht="12.75" customHeight="1" x14ac:dyDescent="0.3">
      <c r="A1734" s="797" t="s">
        <v>2733</v>
      </c>
      <c r="B1734" s="797"/>
      <c r="C1734" s="797"/>
      <c r="D1734" s="797"/>
      <c r="E1734" s="797"/>
      <c r="F1734" s="797"/>
      <c r="G1734" s="796" t="s">
        <v>2734</v>
      </c>
      <c r="H1734" s="796" t="s">
        <v>335</v>
      </c>
      <c r="I1734" s="220" t="str">
        <f>IF(ISBLANK(global!I211),"",global!I211)</f>
        <v/>
      </c>
      <c r="K1734" s="225" t="s">
        <v>4159</v>
      </c>
      <c r="O1734" s="225" t="s">
        <v>4159</v>
      </c>
    </row>
    <row r="1735" spans="1:15" ht="12.75" customHeight="1" x14ac:dyDescent="0.3">
      <c r="A1735" s="797"/>
      <c r="B1735" s="797" t="s">
        <v>1492</v>
      </c>
      <c r="C1735" s="797"/>
      <c r="D1735" s="797"/>
      <c r="E1735" s="797"/>
      <c r="F1735" s="797"/>
      <c r="G1735" s="796" t="s">
        <v>2735</v>
      </c>
      <c r="H1735" s="796" t="s">
        <v>1449</v>
      </c>
      <c r="I1735" s="220" t="str">
        <f>IF(ISBLANK(global!I212),"",global!I212)</f>
        <v/>
      </c>
      <c r="K1735" s="225" t="s">
        <v>4159</v>
      </c>
      <c r="O1735" s="225" t="s">
        <v>4159</v>
      </c>
    </row>
    <row r="1736" spans="1:15" ht="12.75" customHeight="1" x14ac:dyDescent="0.3">
      <c r="A1736" s="797"/>
      <c r="B1736" s="797" t="s">
        <v>1494</v>
      </c>
      <c r="C1736" s="797"/>
      <c r="D1736" s="797"/>
      <c r="E1736" s="797"/>
      <c r="F1736" s="797"/>
      <c r="G1736" s="797" t="s">
        <v>2736</v>
      </c>
      <c r="H1736" s="796" t="s">
        <v>866</v>
      </c>
      <c r="I1736" s="220" t="str">
        <f>IF(ISBLANK(global!I213),"",global!I213)</f>
        <v/>
      </c>
      <c r="K1736" s="225" t="s">
        <v>4159</v>
      </c>
      <c r="O1736" s="225" t="s">
        <v>4159</v>
      </c>
    </row>
    <row r="1737" spans="1:15" ht="12.75" customHeight="1" x14ac:dyDescent="0.3">
      <c r="A1737" s="797"/>
      <c r="B1737" s="797" t="s">
        <v>1453</v>
      </c>
      <c r="C1737" s="797"/>
      <c r="D1737" s="797"/>
      <c r="E1737" s="797"/>
      <c r="F1737" s="797"/>
      <c r="G1737" s="796" t="s">
        <v>2737</v>
      </c>
      <c r="H1737" s="796" t="s">
        <v>291</v>
      </c>
      <c r="I1737" s="220" t="str">
        <f>IF(ISBLANK(global!I214),"",global!I214)</f>
        <v/>
      </c>
      <c r="K1737" s="225" t="s">
        <v>4159</v>
      </c>
      <c r="O1737" s="225" t="s">
        <v>4159</v>
      </c>
    </row>
    <row r="1738" spans="1:15" ht="12.75" customHeight="1" x14ac:dyDescent="0.3">
      <c r="A1738" s="797"/>
      <c r="B1738" s="797"/>
      <c r="C1738" s="797" t="s">
        <v>1455</v>
      </c>
      <c r="D1738" s="797"/>
      <c r="E1738" s="797"/>
      <c r="F1738" s="797"/>
      <c r="G1738" s="796" t="s">
        <v>2738</v>
      </c>
      <c r="H1738" s="796" t="s">
        <v>291</v>
      </c>
      <c r="I1738" s="220" t="str">
        <f>IF(ISBLANK(global!I215),"",global!I215)</f>
        <v/>
      </c>
      <c r="K1738" s="225" t="s">
        <v>4159</v>
      </c>
      <c r="O1738" s="225" t="s">
        <v>4159</v>
      </c>
    </row>
    <row r="1739" spans="1:15" ht="12.75" customHeight="1" x14ac:dyDescent="0.3">
      <c r="A1739" s="797"/>
      <c r="B1739" s="797"/>
      <c r="C1739" s="797"/>
      <c r="D1739" s="797" t="s">
        <v>1457</v>
      </c>
      <c r="E1739" s="797"/>
      <c r="F1739" s="797"/>
      <c r="G1739" s="797" t="s">
        <v>2739</v>
      </c>
      <c r="H1739" s="796" t="s">
        <v>291</v>
      </c>
      <c r="I1739" s="220" t="str">
        <f>IF(ISBLANK(global!I216),"",global!I216)</f>
        <v/>
      </c>
      <c r="K1739" s="225" t="s">
        <v>4159</v>
      </c>
      <c r="O1739" s="225" t="s">
        <v>4159</v>
      </c>
    </row>
    <row r="1740" spans="1:15" ht="12.75" customHeight="1" x14ac:dyDescent="0.3">
      <c r="A1740" s="797"/>
      <c r="B1740" s="797"/>
      <c r="C1740" s="797"/>
      <c r="D1740" s="797"/>
      <c r="E1740" s="797" t="s">
        <v>1499</v>
      </c>
      <c r="F1740" s="797"/>
      <c r="G1740" s="797" t="s">
        <v>2740</v>
      </c>
      <c r="H1740" s="796" t="s">
        <v>291</v>
      </c>
      <c r="I1740" s="220" t="str">
        <f>IF(ISBLANK(global!I217),"",global!I217)</f>
        <v/>
      </c>
      <c r="K1740" s="225" t="s">
        <v>4159</v>
      </c>
      <c r="O1740" s="225" t="s">
        <v>4159</v>
      </c>
    </row>
    <row r="1741" spans="1:15" ht="12.75" customHeight="1" x14ac:dyDescent="0.3">
      <c r="A1741" s="797"/>
      <c r="B1741" s="797"/>
      <c r="C1741" s="797"/>
      <c r="D1741" s="797"/>
      <c r="E1741" s="797"/>
      <c r="F1741" s="797" t="s">
        <v>1501</v>
      </c>
      <c r="G1741" s="797" t="s">
        <v>2741</v>
      </c>
      <c r="H1741" s="796" t="s">
        <v>1463</v>
      </c>
      <c r="I1741" s="220" t="str">
        <f>IF(ISBLANK(global!I218),"",global!I218)</f>
        <v/>
      </c>
      <c r="K1741" s="225" t="s">
        <v>4159</v>
      </c>
      <c r="O1741" s="225" t="s">
        <v>4159</v>
      </c>
    </row>
    <row r="1742" spans="1:15" ht="12.75" customHeight="1" x14ac:dyDescent="0.3">
      <c r="A1742" s="797"/>
      <c r="B1742" s="797"/>
      <c r="C1742" s="797" t="s">
        <v>1465</v>
      </c>
      <c r="D1742" s="797"/>
      <c r="E1742" s="797"/>
      <c r="F1742" s="797"/>
      <c r="G1742" s="796" t="s">
        <v>2742</v>
      </c>
      <c r="H1742" s="796" t="s">
        <v>291</v>
      </c>
      <c r="I1742" s="220" t="str">
        <f>IF(ISBLANK(global!I219),"",global!I219)</f>
        <v/>
      </c>
      <c r="K1742" s="225" t="s">
        <v>4159</v>
      </c>
      <c r="O1742" s="225" t="s">
        <v>4159</v>
      </c>
    </row>
    <row r="1743" spans="1:15" ht="12.75" customHeight="1" x14ac:dyDescent="0.3">
      <c r="A1743" s="797"/>
      <c r="B1743" s="797"/>
      <c r="C1743" s="797" t="s">
        <v>1467</v>
      </c>
      <c r="D1743" s="797"/>
      <c r="E1743" s="797"/>
      <c r="F1743" s="797"/>
      <c r="G1743" s="796" t="s">
        <v>2743</v>
      </c>
      <c r="H1743" s="796" t="s">
        <v>291</v>
      </c>
      <c r="I1743" s="220" t="str">
        <f>IF(ISBLANK(global!I220),"",global!I220)</f>
        <v/>
      </c>
      <c r="K1743" s="225" t="s">
        <v>4159</v>
      </c>
      <c r="O1743" s="225" t="s">
        <v>4159</v>
      </c>
    </row>
    <row r="1744" spans="1:15" ht="12.75" customHeight="1" x14ac:dyDescent="0.3">
      <c r="A1744" s="797"/>
      <c r="B1744" s="797"/>
      <c r="C1744" s="797"/>
      <c r="D1744" s="797" t="s">
        <v>1471</v>
      </c>
      <c r="E1744" s="797"/>
      <c r="F1744" s="797"/>
      <c r="G1744" s="797" t="s">
        <v>2744</v>
      </c>
      <c r="H1744" s="796" t="s">
        <v>1473</v>
      </c>
      <c r="I1744" s="220" t="str">
        <f>IF(ISBLANK(global!I221),"",global!I221)</f>
        <v/>
      </c>
      <c r="K1744" s="225" t="s">
        <v>4159</v>
      </c>
      <c r="O1744" s="225" t="s">
        <v>4159</v>
      </c>
    </row>
    <row r="1745" spans="1:15" ht="12.75" customHeight="1" x14ac:dyDescent="0.3">
      <c r="A1745" s="797"/>
      <c r="B1745" s="797"/>
      <c r="C1745" s="797"/>
      <c r="D1745" s="797" t="s">
        <v>1474</v>
      </c>
      <c r="E1745" s="797"/>
      <c r="F1745" s="797"/>
      <c r="G1745" s="797" t="s">
        <v>2745</v>
      </c>
      <c r="H1745" s="796" t="s">
        <v>291</v>
      </c>
      <c r="I1745" s="220" t="str">
        <f>IF(ISBLANK(global!I222),"",global!I222)</f>
        <v/>
      </c>
      <c r="K1745" s="225" t="s">
        <v>4159</v>
      </c>
      <c r="O1745" s="225" t="s">
        <v>4159</v>
      </c>
    </row>
    <row r="1746" spans="1:15" ht="12.75" customHeight="1" x14ac:dyDescent="0.3">
      <c r="A1746" s="797"/>
      <c r="B1746" s="797"/>
      <c r="C1746" s="797"/>
      <c r="D1746" s="797" t="s">
        <v>1469</v>
      </c>
      <c r="E1746" s="797"/>
      <c r="F1746" s="797"/>
      <c r="G1746" s="797" t="s">
        <v>2746</v>
      </c>
      <c r="H1746" s="796" t="s">
        <v>291</v>
      </c>
      <c r="I1746" s="220" t="str">
        <f>IF(ISBLANK(global!I223),"",global!I223)</f>
        <v/>
      </c>
      <c r="K1746" s="225" t="s">
        <v>4159</v>
      </c>
      <c r="O1746" s="225" t="s">
        <v>4159</v>
      </c>
    </row>
    <row r="1747" spans="1:15" ht="12.75" customHeight="1" x14ac:dyDescent="0.3">
      <c r="A1747" s="797"/>
      <c r="B1747" s="797"/>
      <c r="C1747" s="797"/>
      <c r="D1747" s="797" t="s">
        <v>1476</v>
      </c>
      <c r="E1747" s="797"/>
      <c r="F1747" s="797"/>
      <c r="G1747" s="796" t="s">
        <v>2747</v>
      </c>
      <c r="H1747" s="796" t="s">
        <v>291</v>
      </c>
      <c r="I1747" s="220" t="str">
        <f>IF(ISBLANK(global!I224),"",global!I224)</f>
        <v/>
      </c>
      <c r="K1747" s="225" t="s">
        <v>4159</v>
      </c>
      <c r="O1747" s="225" t="s">
        <v>4159</v>
      </c>
    </row>
    <row r="1748" spans="1:15" ht="12.75" customHeight="1" x14ac:dyDescent="0.3">
      <c r="I1748" s="220" t="str">
        <f>IF(ISBLANK(global!I225),"",global!I225)</f>
        <v/>
      </c>
      <c r="K1748" s="225" t="s">
        <v>4159</v>
      </c>
      <c r="O1748" s="225" t="s">
        <v>4159</v>
      </c>
    </row>
    <row r="1749" spans="1:15" ht="12.75" customHeight="1" x14ac:dyDescent="0.3">
      <c r="A1749" s="836" t="s">
        <v>1541</v>
      </c>
      <c r="B1749" s="837"/>
      <c r="C1749" s="837"/>
      <c r="D1749" s="837"/>
      <c r="E1749" s="837"/>
      <c r="F1749" s="837"/>
      <c r="G1749" s="836" t="s">
        <v>258</v>
      </c>
      <c r="H1749" s="836" t="s">
        <v>274</v>
      </c>
      <c r="I1749" s="220" t="str">
        <f>IF(ISBLANK(global!I226),"",global!I226)</f>
        <v>User input</v>
      </c>
      <c r="K1749" s="225" t="s">
        <v>259</v>
      </c>
      <c r="O1749" s="225" t="s">
        <v>259</v>
      </c>
    </row>
    <row r="1750" spans="1:15" ht="12.75" customHeight="1" x14ac:dyDescent="0.3">
      <c r="A1750" s="778" t="s">
        <v>2748</v>
      </c>
      <c r="I1750" s="220" t="str">
        <f>IF(ISBLANK(global!I227),"",global!I227)</f>
        <v/>
      </c>
      <c r="K1750" s="225" t="s">
        <v>4159</v>
      </c>
      <c r="O1750" s="225" t="s">
        <v>4159</v>
      </c>
    </row>
    <row r="1751" spans="1:15" ht="12.75" customHeight="1" x14ac:dyDescent="0.3">
      <c r="A1751" s="797"/>
      <c r="B1751" s="797" t="s">
        <v>1543</v>
      </c>
      <c r="C1751" s="797"/>
      <c r="D1751" s="797"/>
      <c r="E1751" s="797"/>
      <c r="F1751" s="797"/>
      <c r="G1751" s="796" t="s">
        <v>2749</v>
      </c>
      <c r="H1751" s="796" t="s">
        <v>813</v>
      </c>
      <c r="I1751" s="220" t="str">
        <f>IF(ISBLANK(global!I228),"",global!I228)</f>
        <v/>
      </c>
      <c r="K1751" s="225" t="s">
        <v>4159</v>
      </c>
      <c r="O1751" s="225" t="s">
        <v>4159</v>
      </c>
    </row>
    <row r="1752" spans="1:15" ht="12.75" customHeight="1" x14ac:dyDescent="0.3">
      <c r="A1752" s="797"/>
      <c r="B1752" s="797" t="s">
        <v>1546</v>
      </c>
      <c r="C1752" s="797"/>
      <c r="D1752" s="797"/>
      <c r="E1752" s="797"/>
      <c r="F1752" s="797"/>
      <c r="G1752" s="796" t="s">
        <v>2750</v>
      </c>
      <c r="H1752" s="796" t="s">
        <v>291</v>
      </c>
      <c r="I1752" s="220" t="str">
        <f>IF(ISBLANK(global!I229),"",global!I229)</f>
        <v/>
      </c>
      <c r="K1752" s="225" t="s">
        <v>4159</v>
      </c>
      <c r="O1752" s="225" t="s">
        <v>4159</v>
      </c>
    </row>
    <row r="1753" spans="1:15" ht="12.75" customHeight="1" x14ac:dyDescent="0.3">
      <c r="A1753" s="797"/>
      <c r="B1753" s="797" t="s">
        <v>1549</v>
      </c>
      <c r="C1753" s="797"/>
      <c r="D1753" s="797"/>
      <c r="E1753" s="797"/>
      <c r="F1753" s="797"/>
      <c r="G1753" s="796" t="s">
        <v>2751</v>
      </c>
      <c r="H1753" s="796" t="s">
        <v>866</v>
      </c>
      <c r="I1753" s="220" t="str">
        <f>IF(ISBLANK(global!I230),"",global!I230)</f>
        <v/>
      </c>
      <c r="K1753" s="225" t="s">
        <v>4159</v>
      </c>
      <c r="O1753" s="225" t="s">
        <v>4159</v>
      </c>
    </row>
    <row r="1754" spans="1:15" ht="12.75" customHeight="1" x14ac:dyDescent="0.3">
      <c r="A1754" s="797"/>
      <c r="B1754" s="797" t="s">
        <v>1553</v>
      </c>
      <c r="C1754" s="797"/>
      <c r="D1754" s="797"/>
      <c r="E1754" s="797"/>
      <c r="F1754" s="797"/>
      <c r="G1754" s="796" t="s">
        <v>2752</v>
      </c>
      <c r="H1754" s="796" t="s">
        <v>866</v>
      </c>
      <c r="I1754" s="220" t="str">
        <f>IF(ISBLANK(global!I231),"",global!I231)</f>
        <v/>
      </c>
      <c r="K1754" s="225" t="s">
        <v>4159</v>
      </c>
      <c r="O1754" s="225" t="s">
        <v>4159</v>
      </c>
    </row>
    <row r="1755" spans="1:15" ht="12.75" customHeight="1" x14ac:dyDescent="0.3">
      <c r="A1755" s="797"/>
      <c r="B1755" s="797" t="s">
        <v>1555</v>
      </c>
      <c r="C1755" s="797"/>
      <c r="D1755" s="797"/>
      <c r="E1755" s="797"/>
      <c r="F1755" s="797"/>
      <c r="G1755" s="796" t="s">
        <v>2753</v>
      </c>
      <c r="H1755" s="796" t="s">
        <v>291</v>
      </c>
      <c r="I1755" s="220" t="str">
        <f>IF(ISBLANK(global!I232),"",global!I232)</f>
        <v/>
      </c>
      <c r="K1755" s="225" t="s">
        <v>4159</v>
      </c>
      <c r="O1755" s="225" t="s">
        <v>4159</v>
      </c>
    </row>
    <row r="1756" spans="1:15" ht="12.75" customHeight="1" x14ac:dyDescent="0.3">
      <c r="A1756" s="797"/>
      <c r="B1756" s="797" t="s">
        <v>1557</v>
      </c>
      <c r="C1756" s="797"/>
      <c r="D1756" s="797"/>
      <c r="E1756" s="797"/>
      <c r="F1756" s="797"/>
      <c r="G1756" s="796" t="s">
        <v>2754</v>
      </c>
      <c r="H1756" s="796" t="s">
        <v>291</v>
      </c>
      <c r="I1756" s="220" t="str">
        <f>IF(ISBLANK(global!I233),"",global!I233)</f>
        <v/>
      </c>
      <c r="K1756" s="225" t="s">
        <v>4159</v>
      </c>
      <c r="O1756" s="225" t="s">
        <v>4159</v>
      </c>
    </row>
    <row r="1757" spans="1:15" ht="12.75" customHeight="1" x14ac:dyDescent="0.3">
      <c r="A1757" s="797"/>
      <c r="B1757" s="797" t="s">
        <v>1559</v>
      </c>
      <c r="C1757" s="797"/>
      <c r="D1757" s="797"/>
      <c r="E1757" s="797"/>
      <c r="F1757" s="797"/>
      <c r="G1757" s="796" t="s">
        <v>2755</v>
      </c>
      <c r="H1757" s="796" t="s">
        <v>291</v>
      </c>
      <c r="I1757" s="220" t="str">
        <f>IF(ISBLANK(global!I234),"",global!I234)</f>
        <v/>
      </c>
      <c r="K1757" s="225" t="s">
        <v>4159</v>
      </c>
      <c r="O1757" s="225" t="s">
        <v>4159</v>
      </c>
    </row>
    <row r="1758" spans="1:15" ht="12.75" customHeight="1" x14ac:dyDescent="0.3">
      <c r="A1758" s="778" t="s">
        <v>2756</v>
      </c>
      <c r="G1758" s="778"/>
      <c r="H1758" s="778"/>
      <c r="I1758" s="220" t="str">
        <f>IF(ISBLANK(global!I235),"",global!I235)</f>
        <v/>
      </c>
      <c r="K1758" s="225" t="s">
        <v>4159</v>
      </c>
      <c r="O1758" s="225" t="s">
        <v>4159</v>
      </c>
    </row>
    <row r="1759" spans="1:15" ht="12.75" customHeight="1" x14ac:dyDescent="0.3">
      <c r="A1759" s="797"/>
      <c r="B1759" s="797" t="s">
        <v>1562</v>
      </c>
      <c r="C1759" s="797"/>
      <c r="D1759" s="797"/>
      <c r="E1759" s="797"/>
      <c r="F1759" s="797"/>
      <c r="G1759" s="797" t="s">
        <v>2757</v>
      </c>
      <c r="H1759" s="797" t="s">
        <v>813</v>
      </c>
      <c r="I1759" s="220" t="str">
        <f>IF(ISBLANK(global!I236),"",global!I236)</f>
        <v/>
      </c>
      <c r="K1759" s="225" t="s">
        <v>4159</v>
      </c>
      <c r="O1759" s="225" t="s">
        <v>4159</v>
      </c>
    </row>
    <row r="1760" spans="1:15" ht="12.75" customHeight="1" x14ac:dyDescent="0.3">
      <c r="A1760" s="797"/>
      <c r="B1760" s="797" t="s">
        <v>1564</v>
      </c>
      <c r="C1760" s="797"/>
      <c r="D1760" s="797"/>
      <c r="E1760" s="797"/>
      <c r="F1760" s="797"/>
      <c r="G1760" s="797" t="s">
        <v>2758</v>
      </c>
      <c r="H1760" s="797" t="s">
        <v>282</v>
      </c>
      <c r="I1760" s="220" t="str">
        <f>IF(ISBLANK(global!I237),"",global!I237)</f>
        <v/>
      </c>
      <c r="K1760" s="225" t="s">
        <v>4159</v>
      </c>
      <c r="O1760" s="225" t="s">
        <v>4159</v>
      </c>
    </row>
    <row r="1761" spans="1:15" ht="12.75" customHeight="1" x14ac:dyDescent="0.3">
      <c r="A1761" s="797"/>
      <c r="B1761" s="797"/>
      <c r="C1761" s="797" t="s">
        <v>1566</v>
      </c>
      <c r="D1761" s="797"/>
      <c r="E1761" s="797"/>
      <c r="F1761" s="797"/>
      <c r="G1761" s="797" t="s">
        <v>2759</v>
      </c>
      <c r="H1761" s="797" t="s">
        <v>857</v>
      </c>
      <c r="I1761" s="220" t="str">
        <f>IF(ISBLANK(global!I238),"",global!I238)</f>
        <v/>
      </c>
      <c r="K1761" s="225" t="s">
        <v>4159</v>
      </c>
      <c r="O1761" s="225" t="s">
        <v>4159</v>
      </c>
    </row>
    <row r="1762" spans="1:15" ht="12.75" customHeight="1" x14ac:dyDescent="0.3">
      <c r="A1762" s="797"/>
      <c r="B1762" s="797"/>
      <c r="C1762" s="797" t="s">
        <v>1568</v>
      </c>
      <c r="D1762" s="797"/>
      <c r="E1762" s="797"/>
      <c r="F1762" s="797"/>
      <c r="G1762" s="797" t="s">
        <v>2760</v>
      </c>
      <c r="H1762" s="797" t="s">
        <v>888</v>
      </c>
      <c r="I1762" s="220" t="str">
        <f>IF(ISBLANK(global!I239),"",global!I239)</f>
        <v/>
      </c>
      <c r="K1762" s="225" t="s">
        <v>4159</v>
      </c>
      <c r="O1762" s="225" t="s">
        <v>4159</v>
      </c>
    </row>
    <row r="1763" spans="1:15" ht="12.75" customHeight="1" x14ac:dyDescent="0.3">
      <c r="A1763" s="778" t="s">
        <v>2761</v>
      </c>
      <c r="G1763" s="778"/>
      <c r="H1763" s="778"/>
      <c r="I1763" s="220" t="str">
        <f>IF(ISBLANK(global!I240),"",global!I240)</f>
        <v/>
      </c>
      <c r="K1763" s="225" t="s">
        <v>4159</v>
      </c>
      <c r="O1763" s="225" t="s">
        <v>4159</v>
      </c>
    </row>
    <row r="1764" spans="1:15" ht="12.75" customHeight="1" x14ac:dyDescent="0.3">
      <c r="A1764" s="797" t="s">
        <v>1571</v>
      </c>
      <c r="B1764" s="797"/>
      <c r="C1764" s="797"/>
      <c r="D1764" s="797"/>
      <c r="E1764" s="797"/>
      <c r="F1764" s="797"/>
      <c r="G1764" s="796" t="s">
        <v>2762</v>
      </c>
      <c r="H1764" s="796" t="s">
        <v>335</v>
      </c>
      <c r="I1764" s="220" t="str">
        <f>IF(ISBLANK(global!I241),"",global!I241)</f>
        <v/>
      </c>
      <c r="K1764" s="225" t="s">
        <v>4159</v>
      </c>
      <c r="O1764" s="225" t="s">
        <v>4159</v>
      </c>
    </row>
    <row r="1765" spans="1:15" ht="12.75" customHeight="1" x14ac:dyDescent="0.3">
      <c r="A1765" s="797"/>
      <c r="B1765" s="797" t="s">
        <v>1574</v>
      </c>
      <c r="C1765" s="797"/>
      <c r="D1765" s="797"/>
      <c r="E1765" s="797"/>
      <c r="F1765" s="797"/>
      <c r="G1765" s="796" t="s">
        <v>2763</v>
      </c>
      <c r="H1765" s="796" t="s">
        <v>1576</v>
      </c>
      <c r="I1765" s="220" t="str">
        <f>IF(ISBLANK(global!I242),"",global!I242)</f>
        <v/>
      </c>
      <c r="K1765" s="225" t="s">
        <v>4159</v>
      </c>
      <c r="O1765" s="225" t="s">
        <v>4159</v>
      </c>
    </row>
    <row r="1766" spans="1:15" ht="12.75" customHeight="1" x14ac:dyDescent="0.3">
      <c r="A1766" s="797"/>
      <c r="B1766" s="797" t="s">
        <v>1577</v>
      </c>
      <c r="C1766" s="797"/>
      <c r="D1766" s="797"/>
      <c r="E1766" s="797"/>
      <c r="F1766" s="797"/>
      <c r="G1766" s="796" t="s">
        <v>2764</v>
      </c>
      <c r="H1766" s="796" t="s">
        <v>291</v>
      </c>
      <c r="I1766" s="220" t="str">
        <f>IF(ISBLANK(global!I243),"",global!I243)</f>
        <v/>
      </c>
      <c r="K1766" s="225" t="s">
        <v>4159</v>
      </c>
      <c r="O1766" s="225" t="s">
        <v>4159</v>
      </c>
    </row>
    <row r="1767" spans="1:15" ht="12.75" customHeight="1" x14ac:dyDescent="0.3">
      <c r="A1767" s="797"/>
      <c r="B1767" s="797" t="s">
        <v>1580</v>
      </c>
      <c r="C1767" s="797"/>
      <c r="D1767" s="797"/>
      <c r="E1767" s="797"/>
      <c r="F1767" s="797"/>
      <c r="G1767" s="796" t="s">
        <v>2765</v>
      </c>
      <c r="H1767" s="796" t="s">
        <v>866</v>
      </c>
      <c r="I1767" s="220" t="str">
        <f>IF(ISBLANK(global!I244),"",global!I244)</f>
        <v/>
      </c>
      <c r="K1767" s="225" t="s">
        <v>4159</v>
      </c>
      <c r="O1767" s="225" t="s">
        <v>4159</v>
      </c>
    </row>
    <row r="1768" spans="1:15" ht="12.75" customHeight="1" x14ac:dyDescent="0.3">
      <c r="A1768" s="797"/>
      <c r="B1768" s="797" t="s">
        <v>1582</v>
      </c>
      <c r="C1768" s="797"/>
      <c r="D1768" s="797"/>
      <c r="E1768" s="797"/>
      <c r="F1768" s="797"/>
      <c r="G1768" s="796" t="s">
        <v>2766</v>
      </c>
      <c r="H1768" s="796" t="s">
        <v>291</v>
      </c>
      <c r="I1768" s="220" t="str">
        <f>IF(ISBLANK(global!I245),"",global!I245)</f>
        <v/>
      </c>
      <c r="K1768" s="225" t="s">
        <v>4159</v>
      </c>
      <c r="O1768" s="225" t="s">
        <v>4159</v>
      </c>
    </row>
    <row r="1769" spans="1:15" ht="12.75" customHeight="1" x14ac:dyDescent="0.3">
      <c r="A1769" s="797"/>
      <c r="B1769" s="797"/>
      <c r="C1769" s="797" t="s">
        <v>1584</v>
      </c>
      <c r="D1769" s="797"/>
      <c r="E1769" s="797"/>
      <c r="F1769" s="797"/>
      <c r="G1769" s="796" t="s">
        <v>2767</v>
      </c>
      <c r="H1769" s="796" t="s">
        <v>291</v>
      </c>
      <c r="I1769" s="220" t="str">
        <f>IF(ISBLANK(global!I246),"",global!I246)</f>
        <v/>
      </c>
      <c r="K1769" s="225" t="s">
        <v>4159</v>
      </c>
      <c r="O1769" s="225" t="s">
        <v>4159</v>
      </c>
    </row>
    <row r="1770" spans="1:15" ht="12.75" customHeight="1" x14ac:dyDescent="0.3">
      <c r="A1770" s="797"/>
      <c r="B1770" s="797"/>
      <c r="C1770" s="797" t="s">
        <v>1586</v>
      </c>
      <c r="D1770" s="797"/>
      <c r="E1770" s="797"/>
      <c r="F1770" s="797"/>
      <c r="G1770" s="796" t="s">
        <v>2768</v>
      </c>
      <c r="H1770" s="796" t="s">
        <v>291</v>
      </c>
      <c r="I1770" s="220" t="str">
        <f>IF(ISBLANK(global!I247),"",global!I247)</f>
        <v/>
      </c>
      <c r="K1770" s="225" t="s">
        <v>4159</v>
      </c>
      <c r="O1770" s="225" t="s">
        <v>4159</v>
      </c>
    </row>
    <row r="1771" spans="1:15" ht="12.75" customHeight="1" x14ac:dyDescent="0.3">
      <c r="A1771" s="797"/>
      <c r="B1771" s="797"/>
      <c r="C1771" s="797" t="s">
        <v>1588</v>
      </c>
      <c r="D1771" s="797"/>
      <c r="E1771" s="797"/>
      <c r="F1771" s="797"/>
      <c r="G1771" s="796" t="s">
        <v>2769</v>
      </c>
      <c r="H1771" s="796" t="s">
        <v>291</v>
      </c>
      <c r="I1771" s="220" t="str">
        <f>IF(ISBLANK(global!I248),"",global!I248)</f>
        <v/>
      </c>
      <c r="K1771" s="225" t="s">
        <v>4159</v>
      </c>
      <c r="O1771" s="225" t="s">
        <v>4159</v>
      </c>
    </row>
    <row r="1772" spans="1:15" ht="12.75" customHeight="1" x14ac:dyDescent="0.3">
      <c r="A1772" s="797"/>
      <c r="B1772" s="797"/>
      <c r="C1772" s="797" t="s">
        <v>1590</v>
      </c>
      <c r="D1772" s="797"/>
      <c r="E1772" s="797"/>
      <c r="F1772" s="797"/>
      <c r="G1772" s="796" t="s">
        <v>2770</v>
      </c>
      <c r="H1772" s="796" t="s">
        <v>291</v>
      </c>
      <c r="I1772" s="220" t="str">
        <f>IF(ISBLANK(global!I249),"",global!I249)</f>
        <v/>
      </c>
      <c r="K1772" s="225" t="s">
        <v>4159</v>
      </c>
      <c r="O1772" s="225" t="s">
        <v>4159</v>
      </c>
    </row>
    <row r="1773" spans="1:15" ht="12.75" customHeight="1" x14ac:dyDescent="0.3">
      <c r="A1773" s="797" t="s">
        <v>1592</v>
      </c>
      <c r="B1773" s="797"/>
      <c r="C1773" s="797"/>
      <c r="D1773" s="797"/>
      <c r="E1773" s="797"/>
      <c r="F1773" s="797"/>
      <c r="G1773" s="796" t="s">
        <v>2771</v>
      </c>
      <c r="H1773" s="796" t="s">
        <v>335</v>
      </c>
      <c r="I1773" s="220" t="str">
        <f>IF(ISBLANK(global!I250),"",global!I250)</f>
        <v/>
      </c>
      <c r="K1773" s="225" t="s">
        <v>4159</v>
      </c>
      <c r="O1773" s="225" t="s">
        <v>4159</v>
      </c>
    </row>
    <row r="1774" spans="1:15" ht="12.75" customHeight="1" x14ac:dyDescent="0.3">
      <c r="A1774" s="797"/>
      <c r="B1774" s="797" t="s">
        <v>1594</v>
      </c>
      <c r="C1774" s="797"/>
      <c r="D1774" s="797"/>
      <c r="E1774" s="797"/>
      <c r="F1774" s="797"/>
      <c r="G1774" s="796" t="s">
        <v>2772</v>
      </c>
      <c r="H1774" s="796" t="s">
        <v>291</v>
      </c>
      <c r="I1774" s="220" t="str">
        <f>IF(ISBLANK(global!I251),"",global!I251)</f>
        <v/>
      </c>
      <c r="K1774" s="225" t="s">
        <v>4159</v>
      </c>
      <c r="O1774" s="225" t="s">
        <v>4159</v>
      </c>
    </row>
    <row r="1775" spans="1:15" ht="12.75" customHeight="1" x14ac:dyDescent="0.3">
      <c r="A1775" s="797"/>
      <c r="B1775" s="797" t="s">
        <v>1596</v>
      </c>
      <c r="C1775" s="797"/>
      <c r="D1775" s="797"/>
      <c r="E1775" s="797"/>
      <c r="F1775" s="797"/>
      <c r="G1775" s="796" t="s">
        <v>2773</v>
      </c>
      <c r="H1775" s="796"/>
      <c r="I1775" s="220" t="str">
        <f>IF(ISBLANK(global!I252),"",global!I252)</f>
        <v/>
      </c>
      <c r="K1775" s="225" t="s">
        <v>4159</v>
      </c>
      <c r="O1775" s="225" t="s">
        <v>4159</v>
      </c>
    </row>
    <row r="1776" spans="1:15" ht="12.75" customHeight="1" x14ac:dyDescent="0.3">
      <c r="A1776" s="797"/>
      <c r="B1776" s="797" t="s">
        <v>1574</v>
      </c>
      <c r="C1776" s="797"/>
      <c r="D1776" s="797"/>
      <c r="E1776" s="797"/>
      <c r="F1776" s="797"/>
      <c r="G1776" s="796" t="s">
        <v>2774</v>
      </c>
      <c r="H1776" s="796" t="s">
        <v>1576</v>
      </c>
      <c r="I1776" s="220" t="str">
        <f>IF(ISBLANK(global!I253),"",global!I253)</f>
        <v/>
      </c>
      <c r="K1776" s="225" t="s">
        <v>4159</v>
      </c>
      <c r="O1776" s="225" t="s">
        <v>4159</v>
      </c>
    </row>
    <row r="1777" spans="1:15" ht="12.75" customHeight="1" x14ac:dyDescent="0.3">
      <c r="A1777" s="797"/>
      <c r="B1777" s="797" t="s">
        <v>1599</v>
      </c>
      <c r="C1777" s="797"/>
      <c r="D1777" s="797"/>
      <c r="E1777" s="797"/>
      <c r="F1777" s="797"/>
      <c r="G1777" s="796" t="s">
        <v>2775</v>
      </c>
      <c r="H1777" s="796" t="s">
        <v>291</v>
      </c>
      <c r="I1777" s="220" t="str">
        <f>IF(ISBLANK(global!I254),"",global!I254)</f>
        <v/>
      </c>
      <c r="K1777" s="225" t="s">
        <v>4159</v>
      </c>
      <c r="O1777" s="225" t="s">
        <v>4159</v>
      </c>
    </row>
    <row r="1778" spans="1:15" ht="12.75" customHeight="1" x14ac:dyDescent="0.3">
      <c r="A1778" s="797"/>
      <c r="B1778" s="797" t="s">
        <v>1580</v>
      </c>
      <c r="C1778" s="797"/>
      <c r="D1778" s="797"/>
      <c r="E1778" s="797"/>
      <c r="F1778" s="797"/>
      <c r="G1778" s="796" t="s">
        <v>2776</v>
      </c>
      <c r="H1778" s="796" t="s">
        <v>866</v>
      </c>
      <c r="I1778" s="220" t="str">
        <f>IF(ISBLANK(global!I255),"",global!I255)</f>
        <v/>
      </c>
      <c r="K1778" s="225" t="s">
        <v>4159</v>
      </c>
      <c r="O1778" s="225" t="s">
        <v>4159</v>
      </c>
    </row>
    <row r="1779" spans="1:15" ht="12.75" customHeight="1" x14ac:dyDescent="0.3">
      <c r="A1779" s="797"/>
      <c r="B1779" s="797" t="s">
        <v>1582</v>
      </c>
      <c r="C1779" s="797"/>
      <c r="D1779" s="797"/>
      <c r="E1779" s="797"/>
      <c r="F1779" s="797"/>
      <c r="G1779" s="796" t="s">
        <v>2777</v>
      </c>
      <c r="H1779" s="796" t="s">
        <v>291</v>
      </c>
      <c r="I1779" s="220" t="str">
        <f>IF(ISBLANK(global!I256),"",global!I256)</f>
        <v/>
      </c>
      <c r="K1779" s="225" t="s">
        <v>4159</v>
      </c>
      <c r="O1779" s="225" t="s">
        <v>4159</v>
      </c>
    </row>
    <row r="1780" spans="1:15" ht="12.75" customHeight="1" x14ac:dyDescent="0.3">
      <c r="A1780" s="797"/>
      <c r="B1780" s="797"/>
      <c r="C1780" s="797" t="s">
        <v>1584</v>
      </c>
      <c r="D1780" s="797"/>
      <c r="E1780" s="797"/>
      <c r="F1780" s="797"/>
      <c r="G1780" s="796" t="s">
        <v>2778</v>
      </c>
      <c r="H1780" s="796" t="s">
        <v>291</v>
      </c>
      <c r="I1780" s="220" t="str">
        <f>IF(ISBLANK(global!I257),"",global!I257)</f>
        <v/>
      </c>
      <c r="K1780" s="225" t="s">
        <v>4159</v>
      </c>
      <c r="O1780" s="225" t="s">
        <v>4159</v>
      </c>
    </row>
    <row r="1781" spans="1:15" ht="12.75" customHeight="1" x14ac:dyDescent="0.3">
      <c r="A1781" s="797"/>
      <c r="B1781" s="797"/>
      <c r="C1781" s="797" t="s">
        <v>1586</v>
      </c>
      <c r="D1781" s="797"/>
      <c r="E1781" s="797"/>
      <c r="F1781" s="797"/>
      <c r="G1781" s="796" t="s">
        <v>2779</v>
      </c>
      <c r="H1781" s="796" t="s">
        <v>291</v>
      </c>
      <c r="I1781" s="220" t="str">
        <f>IF(ISBLANK(global!I258),"",global!I258)</f>
        <v/>
      </c>
      <c r="K1781" s="225" t="s">
        <v>4159</v>
      </c>
      <c r="O1781" s="225" t="s">
        <v>4159</v>
      </c>
    </row>
    <row r="1782" spans="1:15" ht="12.75" customHeight="1" x14ac:dyDescent="0.3">
      <c r="A1782" s="797"/>
      <c r="B1782" s="797"/>
      <c r="C1782" s="797" t="s">
        <v>1588</v>
      </c>
      <c r="D1782" s="797"/>
      <c r="E1782" s="797"/>
      <c r="F1782" s="797"/>
      <c r="G1782" s="796" t="s">
        <v>2780</v>
      </c>
      <c r="H1782" s="796" t="s">
        <v>291</v>
      </c>
      <c r="I1782" s="220" t="str">
        <f>IF(ISBLANK(global!I259),"",global!I259)</f>
        <v/>
      </c>
      <c r="K1782" s="225" t="s">
        <v>4159</v>
      </c>
      <c r="O1782" s="225" t="s">
        <v>4159</v>
      </c>
    </row>
    <row r="1783" spans="1:15" ht="12.75" customHeight="1" x14ac:dyDescent="0.3">
      <c r="A1783" s="797"/>
      <c r="B1783" s="797"/>
      <c r="C1783" s="797" t="s">
        <v>1590</v>
      </c>
      <c r="D1783" s="797"/>
      <c r="E1783" s="797"/>
      <c r="F1783" s="797"/>
      <c r="G1783" s="796" t="s">
        <v>2781</v>
      </c>
      <c r="H1783" s="796" t="s">
        <v>291</v>
      </c>
      <c r="I1783" s="220" t="str">
        <f>IF(ISBLANK(global!I260),"",global!I260)</f>
        <v/>
      </c>
      <c r="K1783" s="225" t="s">
        <v>4159</v>
      </c>
      <c r="O1783" s="225" t="s">
        <v>4159</v>
      </c>
    </row>
    <row r="1784" spans="1:15" ht="12.75" customHeight="1" x14ac:dyDescent="0.3">
      <c r="A1784" s="797" t="s">
        <v>1607</v>
      </c>
      <c r="B1784" s="797"/>
      <c r="C1784" s="797"/>
      <c r="D1784" s="797"/>
      <c r="E1784" s="797"/>
      <c r="F1784" s="797"/>
      <c r="G1784" s="796" t="s">
        <v>2782</v>
      </c>
      <c r="H1784" s="796" t="s">
        <v>335</v>
      </c>
      <c r="I1784" s="220" t="str">
        <f>IF(ISBLANK(global!I261),"",global!I261)</f>
        <v/>
      </c>
      <c r="K1784" s="225" t="s">
        <v>4159</v>
      </c>
      <c r="O1784" s="225" t="s">
        <v>4159</v>
      </c>
    </row>
    <row r="1785" spans="1:15" ht="12.75" customHeight="1" x14ac:dyDescent="0.3">
      <c r="A1785" s="797" t="s">
        <v>2784</v>
      </c>
      <c r="B1785" s="797"/>
      <c r="C1785" s="797"/>
      <c r="D1785" s="797"/>
      <c r="E1785" s="797"/>
      <c r="F1785" s="797"/>
      <c r="G1785" s="796" t="s">
        <v>2785</v>
      </c>
      <c r="H1785" s="796" t="s">
        <v>335</v>
      </c>
      <c r="I1785" s="220" t="str">
        <f>IF(ISBLANK(global!I262),"",global!I262)</f>
        <v/>
      </c>
      <c r="K1785" s="225" t="s">
        <v>4159</v>
      </c>
      <c r="O1785" s="225" t="s">
        <v>4159</v>
      </c>
    </row>
    <row r="1786" spans="1:15" ht="12.75" customHeight="1" x14ac:dyDescent="0.3">
      <c r="A1786" s="797"/>
      <c r="B1786" s="797" t="s">
        <v>1612</v>
      </c>
      <c r="C1786" s="797"/>
      <c r="D1786" s="797"/>
      <c r="E1786" s="797"/>
      <c r="F1786" s="797"/>
      <c r="G1786" s="796" t="s">
        <v>2786</v>
      </c>
      <c r="H1786" s="796" t="s">
        <v>866</v>
      </c>
      <c r="I1786" s="220" t="str">
        <f>IF(ISBLANK(global!I263),"",global!I263)</f>
        <v/>
      </c>
      <c r="K1786" s="225" t="s">
        <v>4159</v>
      </c>
      <c r="O1786" s="225" t="s">
        <v>4159</v>
      </c>
    </row>
    <row r="1787" spans="1:15" ht="12.75" customHeight="1" x14ac:dyDescent="0.3">
      <c r="A1787" s="797"/>
      <c r="B1787" s="797" t="s">
        <v>1614</v>
      </c>
      <c r="C1787" s="797"/>
      <c r="D1787" s="797"/>
      <c r="E1787" s="797"/>
      <c r="F1787" s="797"/>
      <c r="G1787" s="796" t="s">
        <v>2787</v>
      </c>
      <c r="H1787" s="796" t="s">
        <v>1616</v>
      </c>
      <c r="I1787" s="220" t="str">
        <f>IF(ISBLANK(global!I264),"",global!I264)</f>
        <v/>
      </c>
      <c r="K1787" s="225" t="s">
        <v>4159</v>
      </c>
      <c r="O1787" s="225" t="s">
        <v>4159</v>
      </c>
    </row>
    <row r="1788" spans="1:15" ht="12.75" customHeight="1" x14ac:dyDescent="0.3">
      <c r="A1788" s="797"/>
      <c r="B1788" s="797" t="s">
        <v>1619</v>
      </c>
      <c r="C1788" s="797"/>
      <c r="D1788" s="797"/>
      <c r="E1788" s="797"/>
      <c r="F1788" s="797"/>
      <c r="G1788" s="796" t="s">
        <v>2788</v>
      </c>
      <c r="H1788" s="796" t="s">
        <v>1616</v>
      </c>
      <c r="I1788" s="220" t="str">
        <f>IF(ISBLANK(global!I265),"",global!I265)</f>
        <v/>
      </c>
      <c r="K1788" s="225" t="s">
        <v>4159</v>
      </c>
      <c r="O1788" s="225" t="s">
        <v>4159</v>
      </c>
    </row>
    <row r="1789" spans="1:15" ht="12.75" customHeight="1" x14ac:dyDescent="0.3">
      <c r="A1789" s="797"/>
      <c r="B1789" s="797"/>
      <c r="C1789" s="797" t="s">
        <v>1622</v>
      </c>
      <c r="D1789" s="797"/>
      <c r="E1789" s="797"/>
      <c r="F1789" s="797"/>
      <c r="G1789" s="796" t="s">
        <v>2789</v>
      </c>
      <c r="H1789" s="796" t="s">
        <v>866</v>
      </c>
      <c r="I1789" s="220" t="str">
        <f>IF(ISBLANK(global!I266),"",global!I266)</f>
        <v/>
      </c>
      <c r="K1789" s="225" t="s">
        <v>4159</v>
      </c>
      <c r="O1789" s="225" t="s">
        <v>4159</v>
      </c>
    </row>
    <row r="1790" spans="1:15" ht="12.75" customHeight="1" x14ac:dyDescent="0.3">
      <c r="A1790" s="797"/>
      <c r="B1790" s="797"/>
      <c r="C1790" s="797" t="s">
        <v>1584</v>
      </c>
      <c r="D1790" s="797"/>
      <c r="E1790" s="797"/>
      <c r="F1790" s="797"/>
      <c r="G1790" s="796" t="s">
        <v>2790</v>
      </c>
      <c r="H1790" s="796" t="s">
        <v>291</v>
      </c>
      <c r="I1790" s="220" t="str">
        <f>IF(ISBLANK(global!I267),"",global!I267)</f>
        <v/>
      </c>
      <c r="K1790" s="225" t="s">
        <v>4159</v>
      </c>
      <c r="O1790" s="225" t="s">
        <v>4159</v>
      </c>
    </row>
    <row r="1791" spans="1:15" ht="12.75" customHeight="1" x14ac:dyDescent="0.3">
      <c r="A1791" s="797"/>
      <c r="B1791" s="797"/>
      <c r="C1791" s="797" t="s">
        <v>1586</v>
      </c>
      <c r="D1791" s="797"/>
      <c r="E1791" s="797"/>
      <c r="F1791" s="797"/>
      <c r="G1791" s="796" t="s">
        <v>2791</v>
      </c>
      <c r="H1791" s="796" t="s">
        <v>291</v>
      </c>
      <c r="I1791" s="220" t="str">
        <f>IF(ISBLANK(global!I268),"",global!I268)</f>
        <v/>
      </c>
      <c r="K1791" s="225" t="s">
        <v>4159</v>
      </c>
      <c r="O1791" s="225" t="s">
        <v>4159</v>
      </c>
    </row>
    <row r="1792" spans="1:15" ht="12.75" customHeight="1" x14ac:dyDescent="0.3">
      <c r="A1792" s="797"/>
      <c r="B1792" s="797"/>
      <c r="C1792" s="797"/>
      <c r="D1792" s="797" t="s">
        <v>1629</v>
      </c>
      <c r="E1792" s="797"/>
      <c r="F1792" s="797"/>
      <c r="G1792" s="796" t="s">
        <v>2792</v>
      </c>
      <c r="H1792" s="796" t="s">
        <v>813</v>
      </c>
      <c r="I1792" s="220" t="str">
        <f>IF(ISBLANK(global!I269),"",global!I269)</f>
        <v/>
      </c>
      <c r="K1792" s="225" t="s">
        <v>4159</v>
      </c>
      <c r="O1792" s="225" t="s">
        <v>4159</v>
      </c>
    </row>
    <row r="1793" spans="1:15" ht="12.75" customHeight="1" x14ac:dyDescent="0.3">
      <c r="A1793" s="797"/>
      <c r="B1793" s="797"/>
      <c r="C1793" s="797"/>
      <c r="D1793" s="797" t="s">
        <v>1631</v>
      </c>
      <c r="E1793" s="797"/>
      <c r="F1793" s="797"/>
      <c r="G1793" s="796" t="s">
        <v>2793</v>
      </c>
      <c r="H1793" s="796" t="s">
        <v>813</v>
      </c>
      <c r="I1793" s="220" t="str">
        <f>IF(ISBLANK(global!I270),"",global!I270)</f>
        <v/>
      </c>
      <c r="K1793" s="225" t="s">
        <v>4159</v>
      </c>
      <c r="O1793" s="225" t="s">
        <v>4159</v>
      </c>
    </row>
    <row r="1794" spans="1:15" ht="12.75" customHeight="1" x14ac:dyDescent="0.3">
      <c r="A1794" s="797"/>
      <c r="B1794" s="797"/>
      <c r="C1794" s="797"/>
      <c r="D1794" s="797" t="s">
        <v>1633</v>
      </c>
      <c r="E1794" s="797"/>
      <c r="F1794" s="797"/>
      <c r="G1794" s="796" t="s">
        <v>2794</v>
      </c>
      <c r="H1794" s="796" t="s">
        <v>291</v>
      </c>
      <c r="I1794" s="220" t="str">
        <f>IF(ISBLANK(global!I271),"",global!I271)</f>
        <v/>
      </c>
      <c r="K1794" s="225" t="s">
        <v>4159</v>
      </c>
      <c r="O1794" s="225" t="s">
        <v>4159</v>
      </c>
    </row>
    <row r="1795" spans="1:15" ht="12.75" customHeight="1" x14ac:dyDescent="0.3">
      <c r="A1795" s="797"/>
      <c r="B1795" s="797"/>
      <c r="C1795" s="797" t="s">
        <v>1588</v>
      </c>
      <c r="D1795" s="797"/>
      <c r="E1795" s="797"/>
      <c r="F1795" s="797"/>
      <c r="G1795" s="796" t="s">
        <v>2795</v>
      </c>
      <c r="H1795" s="796" t="s">
        <v>291</v>
      </c>
      <c r="I1795" s="220" t="str">
        <f>IF(ISBLANK(global!I272),"",global!I272)</f>
        <v/>
      </c>
      <c r="K1795" s="225" t="s">
        <v>4159</v>
      </c>
      <c r="O1795" s="225" t="s">
        <v>4159</v>
      </c>
    </row>
    <row r="1796" spans="1:15" ht="12.75" customHeight="1" x14ac:dyDescent="0.3">
      <c r="A1796" s="797" t="s">
        <v>2796</v>
      </c>
      <c r="B1796" s="797"/>
      <c r="C1796" s="797"/>
      <c r="D1796" s="797"/>
      <c r="E1796" s="797"/>
      <c r="F1796" s="797"/>
      <c r="G1796" s="796" t="s">
        <v>2797</v>
      </c>
      <c r="H1796" s="796" t="s">
        <v>335</v>
      </c>
      <c r="I1796" s="220" t="str">
        <f>IF(ISBLANK(global!I273),"",global!I273)</f>
        <v/>
      </c>
      <c r="K1796" s="225" t="s">
        <v>4159</v>
      </c>
      <c r="O1796" s="225" t="s">
        <v>4159</v>
      </c>
    </row>
    <row r="1797" spans="1:15" ht="12.75" customHeight="1" x14ac:dyDescent="0.3">
      <c r="A1797" s="797"/>
      <c r="B1797" s="797" t="s">
        <v>1612</v>
      </c>
      <c r="C1797" s="797"/>
      <c r="D1797" s="797"/>
      <c r="E1797" s="797"/>
      <c r="F1797" s="797"/>
      <c r="G1797" s="796" t="s">
        <v>2798</v>
      </c>
      <c r="H1797" s="796" t="s">
        <v>866</v>
      </c>
      <c r="I1797" s="220" t="str">
        <f>IF(ISBLANK(global!I274),"",global!I274)</f>
        <v/>
      </c>
      <c r="K1797" s="225" t="s">
        <v>4159</v>
      </c>
      <c r="O1797" s="225" t="s">
        <v>4159</v>
      </c>
    </row>
    <row r="1798" spans="1:15" ht="12.75" customHeight="1" x14ac:dyDescent="0.3">
      <c r="A1798" s="797"/>
      <c r="B1798" s="797" t="s">
        <v>1619</v>
      </c>
      <c r="C1798" s="797"/>
      <c r="D1798" s="797"/>
      <c r="E1798" s="797"/>
      <c r="F1798" s="797"/>
      <c r="G1798" s="796" t="s">
        <v>2799</v>
      </c>
      <c r="H1798" s="796" t="s">
        <v>1616</v>
      </c>
      <c r="I1798" s="220" t="str">
        <f>IF(ISBLANK(global!I275),"",global!I275)</f>
        <v/>
      </c>
      <c r="K1798" s="225" t="s">
        <v>4159</v>
      </c>
      <c r="O1798" s="225" t="s">
        <v>4159</v>
      </c>
    </row>
    <row r="1799" spans="1:15" ht="12.75" customHeight="1" x14ac:dyDescent="0.3">
      <c r="A1799" s="797"/>
      <c r="B1799" s="797"/>
      <c r="C1799" s="797" t="s">
        <v>1584</v>
      </c>
      <c r="D1799" s="797"/>
      <c r="E1799" s="797"/>
      <c r="F1799" s="797"/>
      <c r="G1799" s="796" t="s">
        <v>2800</v>
      </c>
      <c r="H1799" s="796" t="s">
        <v>291</v>
      </c>
      <c r="I1799" s="220" t="str">
        <f>IF(ISBLANK(global!I276),"",global!I276)</f>
        <v/>
      </c>
      <c r="K1799" s="225" t="s">
        <v>4159</v>
      </c>
      <c r="O1799" s="225" t="s">
        <v>4159</v>
      </c>
    </row>
    <row r="1800" spans="1:15" ht="12.75" customHeight="1" x14ac:dyDescent="0.3">
      <c r="A1800" s="797"/>
      <c r="B1800" s="797"/>
      <c r="C1800" s="797" t="s">
        <v>1586</v>
      </c>
      <c r="D1800" s="797"/>
      <c r="E1800" s="797"/>
      <c r="F1800" s="797"/>
      <c r="G1800" s="796" t="s">
        <v>2801</v>
      </c>
      <c r="H1800" s="796" t="s">
        <v>291</v>
      </c>
      <c r="I1800" s="220" t="str">
        <f>IF(ISBLANK(global!I277),"",global!I277)</f>
        <v/>
      </c>
      <c r="K1800" s="225" t="s">
        <v>4159</v>
      </c>
      <c r="O1800" s="225" t="s">
        <v>4159</v>
      </c>
    </row>
    <row r="1801" spans="1:15" ht="12.75" customHeight="1" x14ac:dyDescent="0.3">
      <c r="A1801" s="797"/>
      <c r="B1801" s="797"/>
      <c r="C1801" s="797" t="s">
        <v>1588</v>
      </c>
      <c r="D1801" s="797"/>
      <c r="E1801" s="797"/>
      <c r="F1801" s="797"/>
      <c r="G1801" s="796" t="s">
        <v>2802</v>
      </c>
      <c r="H1801" s="796" t="s">
        <v>291</v>
      </c>
      <c r="I1801" s="220" t="str">
        <f>IF(ISBLANK(global!I278),"",global!I278)</f>
        <v/>
      </c>
      <c r="K1801" s="225" t="s">
        <v>4159</v>
      </c>
      <c r="O1801" s="225" t="s">
        <v>4159</v>
      </c>
    </row>
    <row r="1802" spans="1:15" ht="12.75" customHeight="1" x14ac:dyDescent="0.3">
      <c r="A1802" s="797" t="s">
        <v>2803</v>
      </c>
      <c r="B1802" s="797"/>
      <c r="C1802" s="797"/>
      <c r="D1802" s="797"/>
      <c r="E1802" s="797"/>
      <c r="F1802" s="797"/>
      <c r="G1802" s="796" t="s">
        <v>2804</v>
      </c>
      <c r="H1802" s="796" t="s">
        <v>335</v>
      </c>
      <c r="I1802" s="220" t="str">
        <f>IF(ISBLANK(global!I279),"",global!I279)</f>
        <v/>
      </c>
      <c r="K1802" s="225" t="s">
        <v>4159</v>
      </c>
      <c r="O1802" s="225" t="s">
        <v>4159</v>
      </c>
    </row>
    <row r="1803" spans="1:15" ht="12.75" customHeight="1" x14ac:dyDescent="0.3">
      <c r="A1803" s="797" t="s">
        <v>2805</v>
      </c>
      <c r="B1803" s="797"/>
      <c r="C1803" s="797"/>
      <c r="D1803" s="797"/>
      <c r="E1803" s="797"/>
      <c r="F1803" s="797"/>
      <c r="G1803" s="796" t="s">
        <v>2806</v>
      </c>
      <c r="H1803" s="796" t="s">
        <v>335</v>
      </c>
      <c r="I1803" s="220" t="str">
        <f>IF(ISBLANK(global!I280),"",global!I280)</f>
        <v/>
      </c>
      <c r="K1803" s="225" t="s">
        <v>4159</v>
      </c>
      <c r="O1803" s="225" t="s">
        <v>4159</v>
      </c>
    </row>
    <row r="1804" spans="1:15" ht="12.75" customHeight="1" x14ac:dyDescent="0.3">
      <c r="A1804" s="797"/>
      <c r="B1804" s="797" t="s">
        <v>1612</v>
      </c>
      <c r="C1804" s="797"/>
      <c r="D1804" s="797"/>
      <c r="E1804" s="797"/>
      <c r="F1804" s="797"/>
      <c r="G1804" s="796" t="s">
        <v>2807</v>
      </c>
      <c r="H1804" s="796" t="s">
        <v>866</v>
      </c>
      <c r="I1804" s="220" t="str">
        <f>IF(ISBLANK(global!I281),"",global!I281)</f>
        <v/>
      </c>
      <c r="K1804" s="225" t="s">
        <v>4159</v>
      </c>
      <c r="O1804" s="225" t="s">
        <v>4159</v>
      </c>
    </row>
    <row r="1805" spans="1:15" ht="12.75" customHeight="1" x14ac:dyDescent="0.3">
      <c r="A1805" s="797"/>
      <c r="B1805" s="797"/>
      <c r="C1805" s="797" t="s">
        <v>1708</v>
      </c>
      <c r="D1805" s="797"/>
      <c r="E1805" s="797"/>
      <c r="F1805" s="797"/>
      <c r="G1805" s="797" t="s">
        <v>2808</v>
      </c>
      <c r="H1805" s="796" t="s">
        <v>1616</v>
      </c>
      <c r="I1805" s="220" t="str">
        <f>IF(ISBLANK(global!I282),"",global!I282)</f>
        <v/>
      </c>
      <c r="K1805" s="225" t="s">
        <v>4159</v>
      </c>
      <c r="O1805" s="225" t="s">
        <v>4159</v>
      </c>
    </row>
    <row r="1806" spans="1:15" ht="12.75" customHeight="1" x14ac:dyDescent="0.3">
      <c r="A1806" s="797"/>
      <c r="B1806" s="797"/>
      <c r="C1806" s="797" t="s">
        <v>2809</v>
      </c>
      <c r="D1806" s="797"/>
      <c r="E1806" s="797"/>
      <c r="F1806" s="797"/>
      <c r="G1806" s="796" t="s">
        <v>2810</v>
      </c>
      <c r="H1806" s="796" t="s">
        <v>1616</v>
      </c>
      <c r="I1806" s="220" t="str">
        <f>IF(ISBLANK(global!I283),"",global!I283)</f>
        <v/>
      </c>
      <c r="K1806" s="225" t="s">
        <v>4159</v>
      </c>
      <c r="O1806" s="225" t="s">
        <v>4159</v>
      </c>
    </row>
    <row r="1807" spans="1:15" ht="12.75" customHeight="1" x14ac:dyDescent="0.3">
      <c r="A1807" s="797"/>
      <c r="B1807" s="797"/>
      <c r="C1807" s="797" t="s">
        <v>1696</v>
      </c>
      <c r="D1807" s="797"/>
      <c r="E1807" s="797"/>
      <c r="F1807" s="797"/>
      <c r="G1807" s="796" t="s">
        <v>2811</v>
      </c>
      <c r="H1807" s="796" t="s">
        <v>866</v>
      </c>
      <c r="I1807" s="220" t="str">
        <f>IF(ISBLANK(global!I284),"",global!I284)</f>
        <v/>
      </c>
      <c r="K1807" s="225" t="s">
        <v>4159</v>
      </c>
      <c r="O1807" s="225" t="s">
        <v>4159</v>
      </c>
    </row>
    <row r="1808" spans="1:15" ht="12.75" customHeight="1" x14ac:dyDescent="0.3">
      <c r="A1808" s="797"/>
      <c r="B1808" s="797"/>
      <c r="C1808" s="797"/>
      <c r="D1808" s="797" t="s">
        <v>1584</v>
      </c>
      <c r="E1808" s="797"/>
      <c r="F1808" s="797"/>
      <c r="G1808" s="796" t="s">
        <v>2812</v>
      </c>
      <c r="H1808" s="796" t="s">
        <v>291</v>
      </c>
      <c r="I1808" s="220" t="str">
        <f>IF(ISBLANK(global!I285),"",global!I285)</f>
        <v/>
      </c>
      <c r="K1808" s="225" t="s">
        <v>4159</v>
      </c>
      <c r="O1808" s="225" t="s">
        <v>4159</v>
      </c>
    </row>
    <row r="1809" spans="1:15" ht="12.75" customHeight="1" x14ac:dyDescent="0.3">
      <c r="A1809" s="797"/>
      <c r="B1809" s="797"/>
      <c r="C1809" s="797"/>
      <c r="D1809" s="797" t="s">
        <v>1588</v>
      </c>
      <c r="E1809" s="797"/>
      <c r="F1809" s="797"/>
      <c r="G1809" s="796" t="s">
        <v>2813</v>
      </c>
      <c r="H1809" s="796" t="s">
        <v>291</v>
      </c>
      <c r="I1809" s="220" t="str">
        <f>IF(ISBLANK(global!I286),"",global!I286)</f>
        <v/>
      </c>
      <c r="K1809" s="225" t="s">
        <v>4159</v>
      </c>
      <c r="O1809" s="225" t="s">
        <v>4159</v>
      </c>
    </row>
    <row r="1810" spans="1:15" ht="12.75" customHeight="1" x14ac:dyDescent="0.3">
      <c r="A1810" s="797" t="s">
        <v>2814</v>
      </c>
      <c r="B1810" s="797"/>
      <c r="C1810" s="797"/>
      <c r="D1810" s="797"/>
      <c r="E1810" s="797"/>
      <c r="F1810" s="797"/>
      <c r="G1810" s="797" t="s">
        <v>2815</v>
      </c>
      <c r="H1810" s="796" t="s">
        <v>335</v>
      </c>
      <c r="I1810" s="220" t="str">
        <f>IF(ISBLANK(global!I287),"",global!I287)</f>
        <v/>
      </c>
      <c r="K1810" s="225" t="s">
        <v>4159</v>
      </c>
      <c r="O1810" s="225" t="s">
        <v>4159</v>
      </c>
    </row>
    <row r="1811" spans="1:15" ht="12.75" customHeight="1" x14ac:dyDescent="0.3">
      <c r="A1811" s="797"/>
      <c r="B1811" s="797" t="s">
        <v>1612</v>
      </c>
      <c r="C1811" s="797"/>
      <c r="D1811" s="797"/>
      <c r="E1811" s="797"/>
      <c r="F1811" s="797"/>
      <c r="G1811" s="796" t="s">
        <v>2816</v>
      </c>
      <c r="H1811" s="796" t="s">
        <v>866</v>
      </c>
      <c r="I1811" s="220" t="str">
        <f>IF(ISBLANK(global!I288),"",global!I288)</f>
        <v/>
      </c>
      <c r="K1811" s="225" t="s">
        <v>4159</v>
      </c>
      <c r="O1811" s="225" t="s">
        <v>4159</v>
      </c>
    </row>
    <row r="1812" spans="1:15" ht="12.75" customHeight="1" x14ac:dyDescent="0.3">
      <c r="A1812" s="797"/>
      <c r="B1812" s="797"/>
      <c r="C1812" s="797" t="s">
        <v>1694</v>
      </c>
      <c r="D1812" s="797"/>
      <c r="E1812" s="797"/>
      <c r="F1812" s="797"/>
      <c r="G1812" s="796" t="s">
        <v>2817</v>
      </c>
      <c r="H1812" s="796" t="s">
        <v>1616</v>
      </c>
      <c r="I1812" s="220" t="str">
        <f>IF(ISBLANK(global!I289),"",global!I289)</f>
        <v/>
      </c>
      <c r="K1812" s="225" t="s">
        <v>4159</v>
      </c>
      <c r="O1812" s="225" t="s">
        <v>4159</v>
      </c>
    </row>
    <row r="1813" spans="1:15" ht="12.75" customHeight="1" x14ac:dyDescent="0.3">
      <c r="A1813" s="797"/>
      <c r="B1813" s="797"/>
      <c r="C1813" s="797"/>
      <c r="D1813" s="797" t="s">
        <v>1584</v>
      </c>
      <c r="E1813" s="797"/>
      <c r="F1813" s="797"/>
      <c r="G1813" s="796" t="s">
        <v>2818</v>
      </c>
      <c r="H1813" s="796" t="s">
        <v>291</v>
      </c>
      <c r="I1813" s="220" t="str">
        <f>IF(ISBLANK(global!I290),"",global!I290)</f>
        <v/>
      </c>
      <c r="K1813" s="225" t="s">
        <v>4159</v>
      </c>
      <c r="O1813" s="225" t="s">
        <v>4159</v>
      </c>
    </row>
    <row r="1814" spans="1:15" ht="12.75" customHeight="1" x14ac:dyDescent="0.3">
      <c r="A1814" s="797"/>
      <c r="B1814" s="797"/>
      <c r="C1814" s="797"/>
      <c r="D1814" s="797" t="s">
        <v>1588</v>
      </c>
      <c r="E1814" s="797"/>
      <c r="F1814" s="797"/>
      <c r="G1814" s="796" t="s">
        <v>2819</v>
      </c>
      <c r="H1814" s="796" t="s">
        <v>291</v>
      </c>
      <c r="I1814" s="220" t="str">
        <f>IF(ISBLANK(global!I291),"",global!I291)</f>
        <v/>
      </c>
      <c r="K1814" s="225" t="s">
        <v>4159</v>
      </c>
      <c r="O1814" s="225" t="s">
        <v>4159</v>
      </c>
    </row>
    <row r="1815" spans="1:15" ht="12.75" customHeight="1" x14ac:dyDescent="0.3">
      <c r="A1815" s="797" t="s">
        <v>2820</v>
      </c>
      <c r="B1815" s="797"/>
      <c r="C1815" s="797"/>
      <c r="D1815" s="797"/>
      <c r="E1815" s="797"/>
      <c r="F1815" s="797"/>
      <c r="G1815" s="797" t="s">
        <v>2821</v>
      </c>
      <c r="H1815" s="796" t="s">
        <v>335</v>
      </c>
      <c r="I1815" s="220" t="str">
        <f>IF(ISBLANK(global!I292),"",global!I292)</f>
        <v/>
      </c>
      <c r="K1815" s="225" t="s">
        <v>4159</v>
      </c>
      <c r="O1815" s="225" t="s">
        <v>4159</v>
      </c>
    </row>
    <row r="1816" spans="1:15" ht="12.75" customHeight="1" x14ac:dyDescent="0.3">
      <c r="A1816" s="797" t="s">
        <v>2822</v>
      </c>
      <c r="B1816" s="797"/>
      <c r="C1816" s="797"/>
      <c r="D1816" s="797"/>
      <c r="E1816" s="797"/>
      <c r="F1816" s="797"/>
      <c r="G1816" s="796" t="s">
        <v>2823</v>
      </c>
      <c r="H1816" s="796" t="s">
        <v>335</v>
      </c>
      <c r="I1816" s="220" t="str">
        <f>IF(ISBLANK(global!I293),"",global!I293)</f>
        <v/>
      </c>
      <c r="K1816" s="225" t="s">
        <v>4159</v>
      </c>
      <c r="O1816" s="225" t="s">
        <v>4159</v>
      </c>
    </row>
    <row r="1817" spans="1:15" ht="12.75" customHeight="1" x14ac:dyDescent="0.3">
      <c r="A1817" s="797" t="s">
        <v>2824</v>
      </c>
      <c r="B1817" s="797"/>
      <c r="C1817" s="797"/>
      <c r="D1817" s="797"/>
      <c r="E1817" s="797"/>
      <c r="F1817" s="797"/>
      <c r="G1817" s="796" t="s">
        <v>2825</v>
      </c>
      <c r="H1817" s="796" t="s">
        <v>335</v>
      </c>
      <c r="I1817" s="220" t="str">
        <f>IF(ISBLANK(global!I294),"",global!I294)</f>
        <v/>
      </c>
      <c r="K1817" s="225" t="s">
        <v>4159</v>
      </c>
      <c r="O1817" s="225" t="s">
        <v>4159</v>
      </c>
    </row>
    <row r="1818" spans="1:15" ht="12.75" customHeight="1" x14ac:dyDescent="0.3">
      <c r="A1818" s="797" t="s">
        <v>2826</v>
      </c>
      <c r="B1818" s="797"/>
      <c r="C1818" s="797"/>
      <c r="D1818" s="797"/>
      <c r="E1818" s="797"/>
      <c r="F1818" s="797"/>
      <c r="G1818" s="796" t="s">
        <v>2827</v>
      </c>
      <c r="H1818" s="796" t="s">
        <v>335</v>
      </c>
      <c r="I1818" s="220" t="str">
        <f>IF(ISBLANK(global!I295),"",global!I295)</f>
        <v/>
      </c>
      <c r="K1818" s="225" t="s">
        <v>4159</v>
      </c>
      <c r="O1818" s="225" t="s">
        <v>4159</v>
      </c>
    </row>
    <row r="1819" spans="1:15" ht="12.75" customHeight="1" x14ac:dyDescent="0.3">
      <c r="A1819" s="797" t="s">
        <v>2828</v>
      </c>
      <c r="B1819" s="797"/>
      <c r="C1819" s="797"/>
      <c r="D1819" s="797"/>
      <c r="E1819" s="797"/>
      <c r="F1819" s="797"/>
      <c r="G1819" s="796" t="s">
        <v>2829</v>
      </c>
      <c r="H1819" s="796" t="s">
        <v>335</v>
      </c>
      <c r="I1819" s="220" t="str">
        <f>IF(ISBLANK(global!I296),"",global!I296)</f>
        <v/>
      </c>
      <c r="K1819" s="225" t="s">
        <v>4159</v>
      </c>
      <c r="O1819" s="225" t="s">
        <v>4159</v>
      </c>
    </row>
    <row r="1820" spans="1:15" ht="12.75" customHeight="1" x14ac:dyDescent="0.3">
      <c r="A1820" s="797" t="s">
        <v>2830</v>
      </c>
      <c r="B1820" s="797"/>
      <c r="C1820" s="797"/>
      <c r="D1820" s="797"/>
      <c r="E1820" s="797"/>
      <c r="F1820" s="797"/>
      <c r="G1820" s="796" t="s">
        <v>2831</v>
      </c>
      <c r="H1820" s="796" t="s">
        <v>335</v>
      </c>
      <c r="I1820" s="220" t="str">
        <f>IF(ISBLANK(global!I297),"",global!I297)</f>
        <v/>
      </c>
      <c r="K1820" s="225" t="s">
        <v>4159</v>
      </c>
      <c r="O1820" s="225" t="s">
        <v>4159</v>
      </c>
    </row>
    <row r="1821" spans="1:15" ht="12.75" customHeight="1" x14ac:dyDescent="0.3">
      <c r="A1821" s="797" t="s">
        <v>2832</v>
      </c>
      <c r="B1821" s="797"/>
      <c r="C1821" s="797"/>
      <c r="D1821" s="797"/>
      <c r="E1821" s="797"/>
      <c r="F1821" s="797"/>
      <c r="G1821" s="796" t="s">
        <v>2833</v>
      </c>
      <c r="H1821" s="796" t="s">
        <v>335</v>
      </c>
      <c r="I1821" s="220" t="str">
        <f>IF(ISBLANK(global!I298),"",global!I298)</f>
        <v/>
      </c>
      <c r="K1821" s="225" t="s">
        <v>4159</v>
      </c>
      <c r="O1821" s="225" t="s">
        <v>4159</v>
      </c>
    </row>
    <row r="1822" spans="1:15" ht="12.75" customHeight="1" x14ac:dyDescent="0.3">
      <c r="A1822" s="797" t="s">
        <v>2834</v>
      </c>
      <c r="B1822" s="797"/>
      <c r="C1822" s="797"/>
      <c r="D1822" s="797"/>
      <c r="E1822" s="797"/>
      <c r="F1822" s="797"/>
      <c r="G1822" s="796" t="s">
        <v>2835</v>
      </c>
      <c r="H1822" s="796" t="s">
        <v>335</v>
      </c>
      <c r="I1822" s="220" t="str">
        <f>IF(ISBLANK(global!I299),"",global!I299)</f>
        <v/>
      </c>
      <c r="K1822" s="225" t="s">
        <v>4159</v>
      </c>
      <c r="O1822" s="225" t="s">
        <v>4159</v>
      </c>
    </row>
    <row r="1823" spans="1:15" ht="12.75" customHeight="1" x14ac:dyDescent="0.3">
      <c r="A1823" s="797" t="s">
        <v>2837</v>
      </c>
      <c r="B1823" s="797"/>
      <c r="C1823" s="797"/>
      <c r="D1823" s="797"/>
      <c r="E1823" s="797"/>
      <c r="F1823" s="797"/>
      <c r="G1823" s="796" t="s">
        <v>2838</v>
      </c>
      <c r="H1823" s="796" t="s">
        <v>335</v>
      </c>
      <c r="I1823" s="220" t="str">
        <f>IF(ISBLANK(global!I300),"",global!I300)</f>
        <v/>
      </c>
      <c r="K1823" s="225" t="s">
        <v>4159</v>
      </c>
      <c r="O1823" s="225" t="s">
        <v>4159</v>
      </c>
    </row>
    <row r="1824" spans="1:15" ht="12.75" customHeight="1" x14ac:dyDescent="0.3">
      <c r="A1824" s="797" t="s">
        <v>2839</v>
      </c>
      <c r="B1824" s="797"/>
      <c r="C1824" s="797"/>
      <c r="D1824" s="797"/>
      <c r="E1824" s="797"/>
      <c r="F1824" s="797"/>
      <c r="G1824" s="796" t="s">
        <v>2840</v>
      </c>
      <c r="H1824" s="796" t="s">
        <v>335</v>
      </c>
      <c r="I1824" s="220" t="str">
        <f>IF(ISBLANK(global!I301),"",global!I301)</f>
        <v/>
      </c>
      <c r="K1824" s="225" t="s">
        <v>4159</v>
      </c>
      <c r="O1824" s="225" t="s">
        <v>4159</v>
      </c>
    </row>
    <row r="1825" spans="1:15" ht="12.75" customHeight="1" x14ac:dyDescent="0.3">
      <c r="A1825" s="797" t="s">
        <v>2841</v>
      </c>
      <c r="B1825" s="797"/>
      <c r="C1825" s="797"/>
      <c r="D1825" s="797"/>
      <c r="E1825" s="797"/>
      <c r="F1825" s="797"/>
      <c r="G1825" s="796" t="s">
        <v>2842</v>
      </c>
      <c r="H1825" s="796" t="s">
        <v>335</v>
      </c>
      <c r="I1825" s="220" t="str">
        <f>IF(ISBLANK(global!I302),"",global!I302)</f>
        <v/>
      </c>
      <c r="K1825" s="225" t="s">
        <v>4159</v>
      </c>
      <c r="O1825" s="225" t="s">
        <v>4159</v>
      </c>
    </row>
    <row r="1826" spans="1:15" ht="12.75" customHeight="1" x14ac:dyDescent="0.3">
      <c r="A1826" s="797" t="s">
        <v>2843</v>
      </c>
      <c r="B1826" s="797"/>
      <c r="C1826" s="797"/>
      <c r="D1826" s="797"/>
      <c r="E1826" s="797"/>
      <c r="F1826" s="797"/>
      <c r="G1826" s="796" t="s">
        <v>2844</v>
      </c>
      <c r="H1826" s="796" t="s">
        <v>335</v>
      </c>
      <c r="I1826" s="220" t="str">
        <f>IF(ISBLANK(global!I303),"",global!I303)</f>
        <v/>
      </c>
      <c r="K1826" s="225" t="s">
        <v>4159</v>
      </c>
      <c r="O1826" s="225" t="s">
        <v>4159</v>
      </c>
    </row>
    <row r="1827" spans="1:15" ht="12.75" customHeight="1" x14ac:dyDescent="0.3">
      <c r="A1827" s="797" t="s">
        <v>2845</v>
      </c>
      <c r="B1827" s="797"/>
      <c r="C1827" s="797"/>
      <c r="D1827" s="797"/>
      <c r="E1827" s="797"/>
      <c r="F1827" s="797"/>
      <c r="G1827" s="796" t="s">
        <v>2846</v>
      </c>
      <c r="H1827" s="796" t="s">
        <v>335</v>
      </c>
      <c r="I1827" s="220" t="str">
        <f>IF(ISBLANK(global!I304),"",global!I304)</f>
        <v/>
      </c>
      <c r="K1827" s="225" t="s">
        <v>4159</v>
      </c>
      <c r="O1827" s="225" t="s">
        <v>4159</v>
      </c>
    </row>
    <row r="1828" spans="1:15" ht="12.75" customHeight="1" x14ac:dyDescent="0.3">
      <c r="A1828" s="797" t="s">
        <v>2847</v>
      </c>
      <c r="B1828" s="797"/>
      <c r="C1828" s="797"/>
      <c r="D1828" s="797"/>
      <c r="E1828" s="797"/>
      <c r="F1828" s="797"/>
      <c r="G1828" s="796" t="s">
        <v>2848</v>
      </c>
      <c r="H1828" s="796" t="s">
        <v>335</v>
      </c>
      <c r="I1828" s="220" t="str">
        <f>IF(ISBLANK(global!I305),"",global!I305)</f>
        <v/>
      </c>
      <c r="K1828" s="225" t="s">
        <v>4159</v>
      </c>
      <c r="O1828" s="225" t="s">
        <v>4159</v>
      </c>
    </row>
    <row r="1829" spans="1:15" ht="12.75" customHeight="1" x14ac:dyDescent="0.3">
      <c r="A1829" s="797" t="s">
        <v>2849</v>
      </c>
      <c r="B1829" s="797"/>
      <c r="C1829" s="797"/>
      <c r="D1829" s="797"/>
      <c r="E1829" s="797"/>
      <c r="F1829" s="797"/>
      <c r="G1829" s="796" t="s">
        <v>2850</v>
      </c>
      <c r="H1829" s="796" t="s">
        <v>335</v>
      </c>
      <c r="I1829" s="220" t="str">
        <f>IF(ISBLANK(global!I306),"",global!I306)</f>
        <v/>
      </c>
      <c r="K1829" s="225" t="s">
        <v>4159</v>
      </c>
      <c r="O1829" s="225" t="s">
        <v>4159</v>
      </c>
    </row>
    <row r="1830" spans="1:15" ht="12.75" customHeight="1" x14ac:dyDescent="0.3">
      <c r="A1830" s="797" t="s">
        <v>2851</v>
      </c>
      <c r="B1830" s="797"/>
      <c r="C1830" s="797"/>
      <c r="D1830" s="797"/>
      <c r="E1830" s="797"/>
      <c r="F1830" s="797"/>
      <c r="G1830" s="796" t="s">
        <v>2852</v>
      </c>
      <c r="H1830" s="796" t="s">
        <v>335</v>
      </c>
      <c r="I1830" s="220" t="str">
        <f>IF(ISBLANK(global!I307),"",global!I307)</f>
        <v/>
      </c>
      <c r="K1830" s="225" t="s">
        <v>4159</v>
      </c>
      <c r="O1830" s="225" t="s">
        <v>4159</v>
      </c>
    </row>
    <row r="1831" spans="1:15" ht="12.75" customHeight="1" x14ac:dyDescent="0.3">
      <c r="A1831" s="797" t="s">
        <v>1803</v>
      </c>
      <c r="B1831" s="797"/>
      <c r="C1831" s="797"/>
      <c r="D1831" s="797"/>
      <c r="E1831" s="797"/>
      <c r="F1831" s="797"/>
      <c r="G1831" s="796" t="s">
        <v>2853</v>
      </c>
      <c r="H1831" s="796" t="s">
        <v>335</v>
      </c>
      <c r="I1831" s="220" t="str">
        <f>IF(ISBLANK(global!I308),"",global!I308)</f>
        <v/>
      </c>
      <c r="K1831" s="225" t="s">
        <v>4159</v>
      </c>
      <c r="O1831" s="225" t="s">
        <v>4159</v>
      </c>
    </row>
    <row r="1832" spans="1:15" ht="12.75" customHeight="1" x14ac:dyDescent="0.3">
      <c r="A1832" s="797" t="s">
        <v>1810</v>
      </c>
      <c r="B1832" s="797"/>
      <c r="C1832" s="797"/>
      <c r="D1832" s="797"/>
      <c r="E1832" s="797"/>
      <c r="F1832" s="797"/>
      <c r="G1832" s="796" t="s">
        <v>2854</v>
      </c>
      <c r="H1832" s="796" t="s">
        <v>335</v>
      </c>
      <c r="I1832" s="220" t="str">
        <f>IF(ISBLANK(global!I309),"",global!I309)</f>
        <v/>
      </c>
      <c r="K1832" s="225" t="s">
        <v>4159</v>
      </c>
      <c r="O1832" s="225" t="s">
        <v>4159</v>
      </c>
    </row>
    <row r="1833" spans="1:15" ht="12.75" customHeight="1" x14ac:dyDescent="0.3">
      <c r="A1833" s="797" t="s">
        <v>1816</v>
      </c>
      <c r="B1833" s="797"/>
      <c r="C1833" s="797"/>
      <c r="D1833" s="797"/>
      <c r="E1833" s="797"/>
      <c r="F1833" s="797"/>
      <c r="G1833" s="796" t="s">
        <v>2855</v>
      </c>
      <c r="H1833" s="796" t="s">
        <v>335</v>
      </c>
      <c r="I1833" s="220" t="str">
        <f>IF(ISBLANK(global!I310),"",global!I310)</f>
        <v/>
      </c>
      <c r="K1833" s="225" t="s">
        <v>4159</v>
      </c>
      <c r="O1833" s="225" t="s">
        <v>4159</v>
      </c>
    </row>
    <row r="1834" spans="1:15" ht="12.75" customHeight="1" x14ac:dyDescent="0.3">
      <c r="A1834" s="779" t="s">
        <v>2856</v>
      </c>
      <c r="I1834" s="220" t="str">
        <f>IF(ISBLANK(global!I311),"",global!I311)</f>
        <v/>
      </c>
      <c r="K1834" s="225" t="s">
        <v>4159</v>
      </c>
      <c r="O1834" s="225" t="s">
        <v>4159</v>
      </c>
    </row>
    <row r="1835" spans="1:15" ht="12.75" customHeight="1" x14ac:dyDescent="0.3">
      <c r="A1835" s="796" t="s">
        <v>1267</v>
      </c>
      <c r="B1835" s="797"/>
      <c r="C1835" s="797"/>
      <c r="D1835" s="797"/>
      <c r="E1835" s="797"/>
      <c r="F1835" s="797"/>
      <c r="G1835" s="796" t="s">
        <v>2857</v>
      </c>
      <c r="H1835" s="796" t="s">
        <v>4690</v>
      </c>
      <c r="I1835" s="220" t="str">
        <f>IF(ISBLANK(global!I312),"",global!I312)</f>
        <v/>
      </c>
      <c r="K1835" s="225" t="s">
        <v>4159</v>
      </c>
      <c r="O1835" s="225" t="s">
        <v>4159</v>
      </c>
    </row>
    <row r="1836" spans="1:15" ht="12.75" customHeight="1" x14ac:dyDescent="0.3">
      <c r="A1836" s="796" t="s">
        <v>1267</v>
      </c>
      <c r="B1836" s="797"/>
      <c r="C1836" s="797"/>
      <c r="D1836" s="797"/>
      <c r="E1836" s="797"/>
      <c r="F1836" s="797"/>
      <c r="G1836" s="796" t="s">
        <v>2858</v>
      </c>
      <c r="H1836" s="796" t="s">
        <v>4690</v>
      </c>
      <c r="I1836" s="220" t="str">
        <f>IF(ISBLANK(global!I313),"",global!I313)</f>
        <v/>
      </c>
      <c r="K1836" s="225" t="s">
        <v>4159</v>
      </c>
      <c r="O1836" s="225" t="s">
        <v>4159</v>
      </c>
    </row>
    <row r="1837" spans="1:15" ht="12.75" customHeight="1" x14ac:dyDescent="0.3">
      <c r="A1837" s="796" t="s">
        <v>1267</v>
      </c>
      <c r="B1837" s="797"/>
      <c r="C1837" s="797"/>
      <c r="D1837" s="797"/>
      <c r="E1837" s="797"/>
      <c r="F1837" s="797"/>
      <c r="G1837" s="796" t="s">
        <v>2859</v>
      </c>
      <c r="H1837" s="796" t="s">
        <v>4690</v>
      </c>
      <c r="I1837" s="220" t="str">
        <f>IF(ISBLANK(global!I314),"",global!I314)</f>
        <v/>
      </c>
      <c r="K1837" s="225" t="s">
        <v>4159</v>
      </c>
      <c r="O1837" s="225" t="s">
        <v>4159</v>
      </c>
    </row>
    <row r="1838" spans="1:15" ht="12.75" customHeight="1" x14ac:dyDescent="0.3">
      <c r="A1838" s="796" t="s">
        <v>4794</v>
      </c>
      <c r="B1838" s="797"/>
      <c r="C1838" s="797"/>
      <c r="D1838" s="797"/>
      <c r="E1838" s="797"/>
      <c r="F1838" s="797"/>
      <c r="G1838" s="796" t="s">
        <v>2860</v>
      </c>
      <c r="H1838" s="796" t="s">
        <v>4690</v>
      </c>
      <c r="I1838" s="220" t="str">
        <f>IF(ISBLANK(global!I315),"",global!I315)</f>
        <v/>
      </c>
      <c r="K1838" s="225" t="s">
        <v>4159</v>
      </c>
      <c r="O1838" s="225" t="s">
        <v>4159</v>
      </c>
    </row>
    <row r="1839" spans="1:15" ht="12.75" customHeight="1" x14ac:dyDescent="0.3">
      <c r="A1839" s="796" t="s">
        <v>4794</v>
      </c>
      <c r="B1839" s="797"/>
      <c r="C1839" s="797"/>
      <c r="D1839" s="797"/>
      <c r="E1839" s="797"/>
      <c r="F1839" s="797"/>
      <c r="G1839" s="796" t="s">
        <v>2861</v>
      </c>
      <c r="H1839" s="796" t="s">
        <v>4690</v>
      </c>
      <c r="I1839" s="220" t="str">
        <f>IF(ISBLANK(global!I316),"",global!I316)</f>
        <v/>
      </c>
      <c r="K1839" s="225" t="s">
        <v>4159</v>
      </c>
      <c r="O1839" s="225" t="s">
        <v>4159</v>
      </c>
    </row>
    <row r="1840" spans="1:15" ht="12.75" customHeight="1" x14ac:dyDescent="0.3">
      <c r="A1840" s="796" t="s">
        <v>4794</v>
      </c>
      <c r="B1840" s="797"/>
      <c r="C1840" s="797"/>
      <c r="D1840" s="797"/>
      <c r="E1840" s="797"/>
      <c r="F1840" s="797"/>
      <c r="G1840" s="796" t="s">
        <v>2862</v>
      </c>
      <c r="H1840" s="796" t="s">
        <v>4690</v>
      </c>
      <c r="I1840" s="220" t="str">
        <f>IF(ISBLANK(global!I317),"",global!I317)</f>
        <v/>
      </c>
      <c r="K1840" s="225" t="s">
        <v>4159</v>
      </c>
      <c r="O1840" s="225" t="s">
        <v>4159</v>
      </c>
    </row>
    <row r="1841" spans="1:15" ht="12.75" customHeight="1" x14ac:dyDescent="0.3">
      <c r="A1841" s="796" t="s">
        <v>2638</v>
      </c>
      <c r="B1841" s="797"/>
      <c r="C1841" s="797"/>
      <c r="D1841" s="797"/>
      <c r="E1841" s="797"/>
      <c r="F1841" s="797"/>
      <c r="G1841" s="796" t="s">
        <v>2863</v>
      </c>
      <c r="H1841" s="796" t="s">
        <v>4690</v>
      </c>
      <c r="I1841" s="220" t="str">
        <f>IF(ISBLANK(global!I318),"",global!I318)</f>
        <v/>
      </c>
      <c r="K1841" s="225" t="s">
        <v>4159</v>
      </c>
      <c r="O1841" s="225" t="s">
        <v>4159</v>
      </c>
    </row>
    <row r="1842" spans="1:15" ht="12.75" customHeight="1" x14ac:dyDescent="0.3">
      <c r="A1842" s="796" t="s">
        <v>2638</v>
      </c>
      <c r="B1842" s="797"/>
      <c r="C1842" s="797"/>
      <c r="D1842" s="797"/>
      <c r="E1842" s="797"/>
      <c r="F1842" s="797"/>
      <c r="G1842" s="796" t="s">
        <v>2864</v>
      </c>
      <c r="H1842" s="796" t="s">
        <v>4690</v>
      </c>
      <c r="I1842" s="220" t="str">
        <f>IF(ISBLANK(global!I319),"",global!I319)</f>
        <v/>
      </c>
      <c r="K1842" s="225" t="s">
        <v>4159</v>
      </c>
      <c r="O1842" s="225" t="s">
        <v>4159</v>
      </c>
    </row>
    <row r="1843" spans="1:15" ht="12.75" customHeight="1" x14ac:dyDescent="0.3">
      <c r="A1843" s="796" t="s">
        <v>2638</v>
      </c>
      <c r="B1843" s="797"/>
      <c r="C1843" s="797"/>
      <c r="D1843" s="797"/>
      <c r="E1843" s="797"/>
      <c r="F1843" s="797"/>
      <c r="G1843" s="796" t="s">
        <v>2865</v>
      </c>
      <c r="H1843" s="796" t="s">
        <v>4690</v>
      </c>
      <c r="I1843" s="220" t="str">
        <f>IF(ISBLANK(global!I320),"",global!I320)</f>
        <v/>
      </c>
      <c r="K1843" s="225" t="s">
        <v>4159</v>
      </c>
      <c r="O1843" s="225" t="s">
        <v>4159</v>
      </c>
    </row>
    <row r="1844" spans="1:15" ht="12.75" customHeight="1" x14ac:dyDescent="0.3">
      <c r="A1844" s="796" t="s">
        <v>2640</v>
      </c>
      <c r="B1844" s="797"/>
      <c r="C1844" s="797"/>
      <c r="D1844" s="797"/>
      <c r="E1844" s="797"/>
      <c r="F1844" s="797"/>
      <c r="G1844" s="796" t="s">
        <v>2866</v>
      </c>
      <c r="H1844" s="796" t="s">
        <v>4690</v>
      </c>
      <c r="I1844" s="220" t="str">
        <f>IF(ISBLANK(global!I321),"",global!I321)</f>
        <v/>
      </c>
      <c r="K1844" s="225" t="s">
        <v>4159</v>
      </c>
      <c r="O1844" s="225" t="s">
        <v>4159</v>
      </c>
    </row>
    <row r="1845" spans="1:15" ht="12.75" customHeight="1" x14ac:dyDescent="0.3">
      <c r="A1845" s="796" t="s">
        <v>2640</v>
      </c>
      <c r="B1845" s="797"/>
      <c r="C1845" s="797"/>
      <c r="D1845" s="797"/>
      <c r="E1845" s="797"/>
      <c r="F1845" s="797"/>
      <c r="G1845" s="796" t="s">
        <v>2867</v>
      </c>
      <c r="H1845" s="796" t="s">
        <v>4690</v>
      </c>
      <c r="I1845" s="220" t="str">
        <f>IF(ISBLANK(global!I322),"",global!I322)</f>
        <v/>
      </c>
      <c r="K1845" s="225" t="s">
        <v>4159</v>
      </c>
      <c r="O1845" s="225" t="s">
        <v>4159</v>
      </c>
    </row>
    <row r="1846" spans="1:15" ht="12.75" customHeight="1" x14ac:dyDescent="0.3">
      <c r="A1846" s="796" t="s">
        <v>2640</v>
      </c>
      <c r="B1846" s="797"/>
      <c r="C1846" s="797"/>
      <c r="D1846" s="797"/>
      <c r="E1846" s="797"/>
      <c r="F1846" s="797"/>
      <c r="G1846" s="796" t="s">
        <v>2868</v>
      </c>
      <c r="H1846" s="796" t="s">
        <v>4690</v>
      </c>
      <c r="I1846" s="220" t="str">
        <f>IF(ISBLANK(global!I323),"",global!I323)</f>
        <v/>
      </c>
      <c r="K1846" s="225" t="s">
        <v>4159</v>
      </c>
      <c r="O1846" s="225" t="s">
        <v>4159</v>
      </c>
    </row>
    <row r="1847" spans="1:15" ht="12.75" customHeight="1" x14ac:dyDescent="0.3">
      <c r="A1847" s="796" t="s">
        <v>2642</v>
      </c>
      <c r="B1847" s="797"/>
      <c r="C1847" s="797"/>
      <c r="D1847" s="797"/>
      <c r="E1847" s="797"/>
      <c r="F1847" s="797"/>
      <c r="G1847" s="796" t="s">
        <v>2869</v>
      </c>
      <c r="H1847" s="796" t="s">
        <v>4690</v>
      </c>
      <c r="I1847" s="220" t="str">
        <f>IF(ISBLANK(global!I324),"",global!I324)</f>
        <v/>
      </c>
      <c r="K1847" s="225" t="s">
        <v>4159</v>
      </c>
      <c r="O1847" s="225" t="s">
        <v>4159</v>
      </c>
    </row>
    <row r="1848" spans="1:15" ht="12.75" customHeight="1" x14ac:dyDescent="0.3">
      <c r="A1848" s="796" t="s">
        <v>2642</v>
      </c>
      <c r="B1848" s="797"/>
      <c r="C1848" s="797"/>
      <c r="D1848" s="797"/>
      <c r="E1848" s="797"/>
      <c r="F1848" s="797"/>
      <c r="G1848" s="796" t="s">
        <v>2870</v>
      </c>
      <c r="H1848" s="796" t="s">
        <v>4690</v>
      </c>
      <c r="I1848" s="220" t="str">
        <f>IF(ISBLANK(global!I325),"",global!I325)</f>
        <v/>
      </c>
      <c r="K1848" s="225" t="s">
        <v>4159</v>
      </c>
      <c r="O1848" s="225" t="s">
        <v>4159</v>
      </c>
    </row>
    <row r="1849" spans="1:15" ht="12.75" customHeight="1" x14ac:dyDescent="0.3">
      <c r="A1849" s="796" t="s">
        <v>2642</v>
      </c>
      <c r="B1849" s="797"/>
      <c r="C1849" s="797"/>
      <c r="D1849" s="797"/>
      <c r="E1849" s="797"/>
      <c r="F1849" s="797"/>
      <c r="G1849" s="796" t="s">
        <v>2871</v>
      </c>
      <c r="H1849" s="796" t="s">
        <v>4690</v>
      </c>
      <c r="I1849" s="220" t="str">
        <f>IF(ISBLANK(global!I326),"",global!I326)</f>
        <v/>
      </c>
      <c r="K1849" s="225" t="s">
        <v>4159</v>
      </c>
      <c r="O1849" s="225" t="s">
        <v>4159</v>
      </c>
    </row>
    <row r="1850" spans="1:15" ht="12.75" customHeight="1" x14ac:dyDescent="0.3">
      <c r="A1850" s="797"/>
      <c r="B1850" s="797" t="s">
        <v>1855</v>
      </c>
      <c r="C1850" s="797"/>
      <c r="D1850" s="797"/>
      <c r="E1850" s="797"/>
      <c r="F1850" s="797"/>
      <c r="G1850" s="796" t="s">
        <v>2872</v>
      </c>
      <c r="H1850" s="796" t="s">
        <v>335</v>
      </c>
      <c r="I1850" s="220" t="str">
        <f>IF(ISBLANK(global!I327),"",global!I327)</f>
        <v/>
      </c>
      <c r="K1850" s="225" t="s">
        <v>4159</v>
      </c>
      <c r="O1850" s="225" t="s">
        <v>4159</v>
      </c>
    </row>
    <row r="1851" spans="1:15" ht="12.75" customHeight="1" x14ac:dyDescent="0.3">
      <c r="A1851" s="852"/>
      <c r="B1851" s="852" t="s">
        <v>1862</v>
      </c>
      <c r="C1851" s="852"/>
      <c r="D1851" s="852"/>
      <c r="E1851" s="852"/>
      <c r="F1851" s="852"/>
      <c r="G1851" s="853" t="s">
        <v>2873</v>
      </c>
      <c r="H1851" s="853" t="s">
        <v>335</v>
      </c>
      <c r="I1851" s="220" t="str">
        <f>IF(ISBLANK(global!I328),"",global!I328)</f>
        <v/>
      </c>
      <c r="K1851" s="225" t="s">
        <v>4159</v>
      </c>
      <c r="O1851" s="225" t="s">
        <v>4159</v>
      </c>
    </row>
    <row r="1852" spans="1:15" ht="12.75" customHeight="1" x14ac:dyDescent="0.3">
      <c r="A1852" s="70"/>
      <c r="B1852" s="860"/>
      <c r="C1852" s="860"/>
      <c r="D1852" s="860"/>
      <c r="E1852" s="860"/>
      <c r="F1852" s="860"/>
      <c r="G1852" s="860"/>
      <c r="H1852" s="860"/>
      <c r="I1852" s="220" t="str">
        <f>IF(ISBLANK(global!I329),"",global!I329)</f>
        <v/>
      </c>
      <c r="K1852" s="225" t="s">
        <v>4159</v>
      </c>
      <c r="O1852" s="225" t="s">
        <v>4159</v>
      </c>
    </row>
    <row r="1853" spans="1:15" ht="12.75" customHeight="1" x14ac:dyDescent="0.3">
      <c r="A1853" s="98" t="s">
        <v>2874</v>
      </c>
      <c r="B1853" s="860"/>
      <c r="C1853" s="860"/>
      <c r="D1853" s="860"/>
      <c r="E1853" s="860"/>
      <c r="F1853" s="860"/>
      <c r="G1853" s="860"/>
      <c r="H1853" s="860"/>
      <c r="I1853" s="220" t="str">
        <f>IF(ISBLANK(global!I330),"",global!I330)</f>
        <v/>
      </c>
      <c r="K1853" s="225" t="s">
        <v>4159</v>
      </c>
      <c r="O1853" s="225" t="s">
        <v>4159</v>
      </c>
    </row>
    <row r="1854" spans="1:15" ht="12.75" customHeight="1" x14ac:dyDescent="0.3">
      <c r="A1854" s="860"/>
      <c r="B1854" s="860"/>
      <c r="C1854" s="860"/>
      <c r="D1854" s="860"/>
      <c r="E1854" s="860"/>
      <c r="F1854" s="860"/>
      <c r="G1854" s="860"/>
      <c r="H1854" s="860"/>
      <c r="I1854" s="220" t="str">
        <f>IF(ISBLANK(global!I331),"",global!I331)</f>
        <v/>
      </c>
      <c r="K1854" s="225" t="s">
        <v>4159</v>
      </c>
      <c r="O1854" s="225" t="s">
        <v>4159</v>
      </c>
    </row>
    <row r="1855" spans="1:15" ht="12.75" customHeight="1" x14ac:dyDescent="0.3">
      <c r="A1855" s="864" t="s">
        <v>947</v>
      </c>
      <c r="B1855" s="864"/>
      <c r="C1855" s="864"/>
      <c r="D1855" s="864"/>
      <c r="E1855" s="864"/>
      <c r="F1855" s="864"/>
      <c r="G1855" s="865" t="s">
        <v>258</v>
      </c>
      <c r="H1855" s="865" t="s">
        <v>274</v>
      </c>
      <c r="I1855" s="220" t="str">
        <f>IF(ISBLANK(global!I332),"",global!I332)</f>
        <v>User input</v>
      </c>
      <c r="K1855" s="225" t="s">
        <v>259</v>
      </c>
      <c r="O1855" s="225" t="s">
        <v>259</v>
      </c>
    </row>
    <row r="1856" spans="1:15" ht="12.75" customHeight="1" x14ac:dyDescent="0.3">
      <c r="A1856" s="821"/>
      <c r="B1856" s="821"/>
      <c r="C1856" s="860"/>
      <c r="D1856" s="860"/>
      <c r="E1856" s="860"/>
      <c r="F1856" s="860"/>
      <c r="G1856" s="860"/>
      <c r="H1856" s="860"/>
      <c r="I1856" s="220" t="str">
        <f>IF(ISBLANK(global!I333),"",global!I333)</f>
        <v/>
      </c>
      <c r="K1856" s="225" t="s">
        <v>4159</v>
      </c>
      <c r="O1856" s="225" t="s">
        <v>4159</v>
      </c>
    </row>
    <row r="1857" spans="1:15" ht="12.75" customHeight="1" x14ac:dyDescent="0.3">
      <c r="A1857" s="821" t="s">
        <v>948</v>
      </c>
      <c r="B1857" s="860"/>
      <c r="C1857" s="860"/>
      <c r="D1857" s="860"/>
      <c r="E1857" s="860"/>
      <c r="F1857" s="860"/>
      <c r="G1857" s="821" t="s">
        <v>2876</v>
      </c>
      <c r="H1857" s="860" t="s">
        <v>4683</v>
      </c>
      <c r="I1857" s="220" t="str">
        <f>IF(ISBLANK(global!I334),"",global!I334)</f>
        <v/>
      </c>
      <c r="K1857" s="225" t="s">
        <v>4159</v>
      </c>
      <c r="O1857" s="225" t="s">
        <v>4159</v>
      </c>
    </row>
    <row r="1858" spans="1:15" ht="12.75" customHeight="1" x14ac:dyDescent="0.3">
      <c r="A1858" s="796" t="s">
        <v>1871</v>
      </c>
      <c r="B1858" s="797"/>
      <c r="C1858" s="797"/>
      <c r="D1858" s="797"/>
      <c r="E1858" s="797"/>
      <c r="F1858" s="797"/>
      <c r="G1858" s="796" t="s">
        <v>2877</v>
      </c>
      <c r="H1858" s="797" t="s">
        <v>4683</v>
      </c>
      <c r="I1858" s="220" t="str">
        <f>IF(ISBLANK(global!I335),"",global!I335)</f>
        <v/>
      </c>
      <c r="K1858" s="225" t="s">
        <v>4159</v>
      </c>
      <c r="O1858" s="225" t="s">
        <v>4159</v>
      </c>
    </row>
    <row r="1859" spans="1:15" ht="12.75" customHeight="1" x14ac:dyDescent="0.3">
      <c r="A1859" s="860" t="s">
        <v>4797</v>
      </c>
      <c r="B1859" s="860"/>
      <c r="C1859" s="860"/>
      <c r="D1859" s="860"/>
      <c r="E1859" s="860"/>
      <c r="F1859" s="860"/>
      <c r="G1859" s="821" t="s">
        <v>2878</v>
      </c>
      <c r="H1859" s="860" t="s">
        <v>4683</v>
      </c>
      <c r="I1859" s="220" t="str">
        <f>IF(ISBLANK(global!I336),"",global!I336)</f>
        <v/>
      </c>
      <c r="K1859" s="225" t="s">
        <v>4159</v>
      </c>
      <c r="O1859" s="225" t="s">
        <v>4159</v>
      </c>
    </row>
    <row r="1860" spans="1:15" ht="12.75" customHeight="1" x14ac:dyDescent="0.3">
      <c r="A1860" s="821" t="s">
        <v>2879</v>
      </c>
      <c r="B1860" s="860"/>
      <c r="C1860" s="860"/>
      <c r="D1860" s="860"/>
      <c r="E1860" s="860"/>
      <c r="F1860" s="860"/>
      <c r="G1860" s="821" t="s">
        <v>2880</v>
      </c>
      <c r="H1860" s="860" t="s">
        <v>4683</v>
      </c>
      <c r="I1860" s="220" t="str">
        <f>IF(ISBLANK(global!I337),"",global!I337)</f>
        <v/>
      </c>
      <c r="K1860" s="225" t="s">
        <v>4159</v>
      </c>
      <c r="O1860" s="225" t="s">
        <v>4159</v>
      </c>
    </row>
    <row r="1861" spans="1:15" ht="12.75" customHeight="1" x14ac:dyDescent="0.3">
      <c r="A1861" s="821" t="s">
        <v>2470</v>
      </c>
      <c r="B1861" s="860"/>
      <c r="C1861" s="860"/>
      <c r="D1861" s="860"/>
      <c r="E1861" s="860"/>
      <c r="F1861" s="860"/>
      <c r="G1861" s="821" t="s">
        <v>2881</v>
      </c>
      <c r="H1861" s="860" t="s">
        <v>4683</v>
      </c>
      <c r="I1861" s="220" t="str">
        <f>IF(ISBLANK(global!I338),"",global!I338)</f>
        <v/>
      </c>
      <c r="K1861" s="225" t="s">
        <v>4159</v>
      </c>
      <c r="O1861" s="225" t="s">
        <v>4159</v>
      </c>
    </row>
    <row r="1862" spans="1:15" ht="12.75" customHeight="1" x14ac:dyDescent="0.3">
      <c r="A1862" s="821" t="s">
        <v>2472</v>
      </c>
      <c r="B1862" s="860"/>
      <c r="C1862" s="860"/>
      <c r="D1862" s="860"/>
      <c r="E1862" s="860"/>
      <c r="F1862" s="860"/>
      <c r="G1862" s="821" t="s">
        <v>2882</v>
      </c>
      <c r="H1862" s="860" t="s">
        <v>4683</v>
      </c>
      <c r="I1862" s="220" t="str">
        <f>IF(ISBLANK(global!I339),"",global!I339)</f>
        <v/>
      </c>
      <c r="K1862" s="225" t="s">
        <v>4159</v>
      </c>
      <c r="O1862" s="225" t="s">
        <v>4159</v>
      </c>
    </row>
    <row r="1863" spans="1:15" ht="12.75" customHeight="1" x14ac:dyDescent="0.3">
      <c r="A1863" s="860"/>
      <c r="B1863" s="821" t="s">
        <v>2883</v>
      </c>
      <c r="C1863" s="860"/>
      <c r="D1863" s="860"/>
      <c r="E1863" s="860"/>
      <c r="F1863" s="860"/>
      <c r="G1863" s="821" t="s">
        <v>2884</v>
      </c>
      <c r="H1863" s="860" t="s">
        <v>4684</v>
      </c>
      <c r="I1863" s="220" t="str">
        <f>IF(ISBLANK(global!I340),"",global!I340)</f>
        <v/>
      </c>
      <c r="K1863" s="225" t="s">
        <v>4159</v>
      </c>
      <c r="O1863" s="225" t="s">
        <v>4159</v>
      </c>
    </row>
    <row r="1864" spans="1:15" ht="12.75" customHeight="1" x14ac:dyDescent="0.3">
      <c r="A1864" s="860"/>
      <c r="B1864" s="821" t="s">
        <v>4767</v>
      </c>
      <c r="C1864" s="860"/>
      <c r="D1864" s="860"/>
      <c r="E1864" s="860"/>
      <c r="F1864" s="860"/>
      <c r="G1864" s="872" t="s">
        <v>2885</v>
      </c>
      <c r="H1864" s="860" t="s">
        <v>291</v>
      </c>
      <c r="I1864" s="220" t="str">
        <f>IF(ISBLANK(global!I341),"",global!I341)</f>
        <v/>
      </c>
      <c r="K1864" s="225" t="s">
        <v>4159</v>
      </c>
      <c r="O1864" s="225" t="s">
        <v>4159</v>
      </c>
    </row>
    <row r="1865" spans="1:15" ht="12.75" customHeight="1" x14ac:dyDescent="0.3">
      <c r="A1865" s="860"/>
      <c r="B1865" s="821" t="s">
        <v>4768</v>
      </c>
      <c r="C1865" s="860"/>
      <c r="D1865" s="860"/>
      <c r="E1865" s="860"/>
      <c r="F1865" s="860"/>
      <c r="G1865" s="872" t="s">
        <v>2886</v>
      </c>
      <c r="H1865" s="860" t="s">
        <v>291</v>
      </c>
      <c r="I1865" s="220" t="str">
        <f>IF(ISBLANK(global!I342),"",global!I342)</f>
        <v/>
      </c>
      <c r="K1865" s="225" t="s">
        <v>4159</v>
      </c>
      <c r="O1865" s="225" t="s">
        <v>4159</v>
      </c>
    </row>
    <row r="1866" spans="1:15" ht="12.75" customHeight="1" x14ac:dyDescent="0.3">
      <c r="A1866" s="860"/>
      <c r="B1866" s="860"/>
      <c r="C1866" s="821" t="s">
        <v>987</v>
      </c>
      <c r="D1866" s="860"/>
      <c r="E1866" s="860"/>
      <c r="F1866" s="860"/>
      <c r="G1866" s="872" t="s">
        <v>2887</v>
      </c>
      <c r="H1866" s="821" t="s">
        <v>813</v>
      </c>
      <c r="I1866" s="220" t="str">
        <f>IF(ISBLANK(global!I343),"",global!I343)</f>
        <v/>
      </c>
      <c r="K1866" s="225" t="s">
        <v>4159</v>
      </c>
      <c r="O1866" s="225" t="s">
        <v>4159</v>
      </c>
    </row>
    <row r="1867" spans="1:15" ht="12.75" customHeight="1" x14ac:dyDescent="0.3">
      <c r="A1867" s="860"/>
      <c r="B1867" s="860"/>
      <c r="C1867" s="821" t="s">
        <v>2888</v>
      </c>
      <c r="D1867" s="860"/>
      <c r="E1867" s="860"/>
      <c r="F1867" s="860"/>
      <c r="G1867" s="872" t="s">
        <v>2889</v>
      </c>
      <c r="H1867" s="821" t="s">
        <v>813</v>
      </c>
      <c r="I1867" s="220" t="str">
        <f>IF(ISBLANK(global!I344),"",global!I344)</f>
        <v/>
      </c>
      <c r="K1867" s="225" t="s">
        <v>4159</v>
      </c>
      <c r="O1867" s="225" t="s">
        <v>4159</v>
      </c>
    </row>
    <row r="1868" spans="1:15" ht="12.75" customHeight="1" x14ac:dyDescent="0.3">
      <c r="A1868" s="860"/>
      <c r="B1868" s="860"/>
      <c r="C1868" s="821" t="s">
        <v>2890</v>
      </c>
      <c r="D1868" s="860"/>
      <c r="E1868" s="860"/>
      <c r="F1868" s="860"/>
      <c r="G1868" s="872" t="s">
        <v>2891</v>
      </c>
      <c r="H1868" s="821" t="s">
        <v>813</v>
      </c>
      <c r="I1868" s="220" t="str">
        <f>IF(ISBLANK(global!I345),"",global!I345)</f>
        <v/>
      </c>
      <c r="K1868" s="225" t="s">
        <v>4159</v>
      </c>
      <c r="O1868" s="225" t="s">
        <v>4159</v>
      </c>
    </row>
    <row r="1869" spans="1:15" ht="12.75" customHeight="1" x14ac:dyDescent="0.3">
      <c r="A1869" s="860"/>
      <c r="B1869" s="860"/>
      <c r="C1869" s="821" t="s">
        <v>2483</v>
      </c>
      <c r="D1869" s="860"/>
      <c r="E1869" s="860"/>
      <c r="F1869" s="860"/>
      <c r="G1869" s="872" t="s">
        <v>2892</v>
      </c>
      <c r="H1869" s="821" t="s">
        <v>997</v>
      </c>
      <c r="I1869" s="220" t="str">
        <f>IF(ISBLANK(global!I346),"",global!I346)</f>
        <v/>
      </c>
      <c r="K1869" s="225" t="s">
        <v>4159</v>
      </c>
      <c r="O1869" s="225" t="s">
        <v>4159</v>
      </c>
    </row>
    <row r="1870" spans="1:15" ht="12.75" customHeight="1" x14ac:dyDescent="0.3">
      <c r="A1870" s="821"/>
      <c r="B1870" s="860"/>
      <c r="C1870" s="821" t="s">
        <v>4769</v>
      </c>
      <c r="D1870" s="872"/>
      <c r="E1870" s="872"/>
      <c r="F1870" s="872"/>
      <c r="G1870" s="872" t="s">
        <v>2893</v>
      </c>
      <c r="H1870" s="821" t="s">
        <v>813</v>
      </c>
      <c r="I1870" s="220" t="str">
        <f>IF(ISBLANK(global!I347),"",global!I347)</f>
        <v/>
      </c>
      <c r="K1870" s="225" t="s">
        <v>4159</v>
      </c>
      <c r="O1870" s="225" t="s">
        <v>4159</v>
      </c>
    </row>
    <row r="1871" spans="1:15" ht="12.75" customHeight="1" x14ac:dyDescent="0.3">
      <c r="A1871" s="797"/>
      <c r="B1871" s="797"/>
      <c r="C1871" s="797" t="s">
        <v>1005</v>
      </c>
      <c r="D1871" s="797"/>
      <c r="E1871" s="797"/>
      <c r="F1871" s="797"/>
      <c r="G1871" s="796" t="s">
        <v>4798</v>
      </c>
      <c r="H1871" s="796" t="s">
        <v>1007</v>
      </c>
      <c r="I1871" s="220" t="str">
        <f>IF(ISBLANK(global!I348),"",global!I348)</f>
        <v/>
      </c>
      <c r="K1871" s="225" t="s">
        <v>4159</v>
      </c>
      <c r="O1871" s="225" t="s">
        <v>4159</v>
      </c>
    </row>
    <row r="1872" spans="1:15" ht="12.75" customHeight="1" x14ac:dyDescent="0.3">
      <c r="A1872" s="860"/>
      <c r="B1872" s="860"/>
      <c r="C1872" s="860" t="s">
        <v>1009</v>
      </c>
      <c r="D1872" s="860"/>
      <c r="E1872" s="860"/>
      <c r="F1872" s="860"/>
      <c r="G1872" s="821" t="s">
        <v>4799</v>
      </c>
      <c r="H1872" s="821" t="s">
        <v>1007</v>
      </c>
      <c r="I1872" s="220" t="str">
        <f>IF(ISBLANK(global!I349),"",global!I349)</f>
        <v/>
      </c>
      <c r="K1872" s="225" t="s">
        <v>4159</v>
      </c>
      <c r="O1872" s="225" t="s">
        <v>4159</v>
      </c>
    </row>
    <row r="1873" spans="1:15" ht="12.75" customHeight="1" x14ac:dyDescent="0.3">
      <c r="A1873" s="860"/>
      <c r="B1873" s="860"/>
      <c r="C1873" s="860" t="s">
        <v>1012</v>
      </c>
      <c r="D1873" s="860"/>
      <c r="E1873" s="860"/>
      <c r="F1873" s="860"/>
      <c r="G1873" s="821" t="s">
        <v>4800</v>
      </c>
      <c r="H1873" s="821" t="s">
        <v>1007</v>
      </c>
      <c r="I1873" s="220" t="str">
        <f>IF(ISBLANK(global!I350),"",global!I350)</f>
        <v/>
      </c>
      <c r="K1873" s="225" t="s">
        <v>4159</v>
      </c>
      <c r="O1873" s="225" t="s">
        <v>4159</v>
      </c>
    </row>
    <row r="1874" spans="1:15" ht="12.75" customHeight="1" x14ac:dyDescent="0.3">
      <c r="A1874" s="860"/>
      <c r="B1874" s="860"/>
      <c r="C1874" s="821" t="s">
        <v>2489</v>
      </c>
      <c r="D1874" s="872"/>
      <c r="E1874" s="872"/>
      <c r="F1874" s="872"/>
      <c r="G1874" s="872" t="s">
        <v>2897</v>
      </c>
      <c r="H1874" s="821" t="s">
        <v>1007</v>
      </c>
      <c r="I1874" s="220" t="str">
        <f>IF(ISBLANK(global!I351),"",global!I351)</f>
        <v/>
      </c>
      <c r="K1874" s="225" t="s">
        <v>4159</v>
      </c>
      <c r="O1874" s="225" t="s">
        <v>4159</v>
      </c>
    </row>
    <row r="1875" spans="1:15" ht="12.75" customHeight="1" x14ac:dyDescent="0.3">
      <c r="A1875" s="860"/>
      <c r="B1875" s="860"/>
      <c r="C1875" s="821" t="s">
        <v>2491</v>
      </c>
      <c r="D1875" s="860"/>
      <c r="E1875" s="860"/>
      <c r="F1875" s="860"/>
      <c r="G1875" s="872" t="s">
        <v>2898</v>
      </c>
      <c r="H1875" s="821" t="s">
        <v>1007</v>
      </c>
      <c r="I1875" s="220" t="str">
        <f>IF(ISBLANK(global!I352),"",global!I352)</f>
        <v/>
      </c>
      <c r="K1875" s="225" t="s">
        <v>4159</v>
      </c>
      <c r="O1875" s="225" t="s">
        <v>4159</v>
      </c>
    </row>
    <row r="1876" spans="1:15" ht="12.75" customHeight="1" x14ac:dyDescent="0.3">
      <c r="A1876" s="860"/>
      <c r="B1876" s="860"/>
      <c r="C1876" s="821" t="s">
        <v>2493</v>
      </c>
      <c r="D1876" s="860"/>
      <c r="E1876" s="860"/>
      <c r="F1876" s="860"/>
      <c r="G1876" s="872" t="s">
        <v>2899</v>
      </c>
      <c r="H1876" s="821" t="s">
        <v>1007</v>
      </c>
      <c r="I1876" s="220" t="str">
        <f>IF(ISBLANK(global!I353),"",global!I353)</f>
        <v/>
      </c>
      <c r="K1876" s="225" t="s">
        <v>4159</v>
      </c>
      <c r="O1876" s="225" t="s">
        <v>4159</v>
      </c>
    </row>
    <row r="1877" spans="1:15" ht="12.75" customHeight="1" x14ac:dyDescent="0.3">
      <c r="A1877" s="821"/>
      <c r="B1877" s="860"/>
      <c r="C1877" s="821" t="s">
        <v>1032</v>
      </c>
      <c r="D1877" s="872"/>
      <c r="E1877" s="872"/>
      <c r="F1877" s="872"/>
      <c r="G1877" s="872" t="s">
        <v>2900</v>
      </c>
      <c r="H1877" s="821" t="s">
        <v>1007</v>
      </c>
      <c r="I1877" s="220" t="str">
        <f>IF(ISBLANK(global!I354),"",global!I354)</f>
        <v/>
      </c>
      <c r="K1877" s="225" t="s">
        <v>4159</v>
      </c>
      <c r="O1877" s="225" t="s">
        <v>4159</v>
      </c>
    </row>
    <row r="1878" spans="1:15" ht="12.75" customHeight="1" x14ac:dyDescent="0.3">
      <c r="A1878" s="821"/>
      <c r="B1878" s="860"/>
      <c r="C1878" s="821" t="s">
        <v>2901</v>
      </c>
      <c r="D1878" s="872"/>
      <c r="E1878" s="872"/>
      <c r="F1878" s="872"/>
      <c r="G1878" s="872" t="s">
        <v>2902</v>
      </c>
      <c r="H1878" s="821" t="s">
        <v>1007</v>
      </c>
      <c r="I1878" s="220" t="str">
        <f>IF(ISBLANK(global!I355),"",global!I355)</f>
        <v/>
      </c>
      <c r="K1878" s="225" t="s">
        <v>4159</v>
      </c>
      <c r="O1878" s="225" t="s">
        <v>4159</v>
      </c>
    </row>
    <row r="1879" spans="1:15" ht="12.75" customHeight="1" x14ac:dyDescent="0.3">
      <c r="A1879" s="860"/>
      <c r="B1879" s="860"/>
      <c r="C1879" s="860"/>
      <c r="D1879" s="860"/>
      <c r="E1879" s="860"/>
      <c r="F1879" s="860"/>
      <c r="G1879" s="860"/>
      <c r="H1879" s="860"/>
      <c r="I1879" s="220" t="str">
        <f>IF(ISBLANK(global!I356),"",global!I356)</f>
        <v/>
      </c>
      <c r="K1879" s="225" t="s">
        <v>4159</v>
      </c>
      <c r="O1879" s="225" t="s">
        <v>4159</v>
      </c>
    </row>
    <row r="1880" spans="1:15" ht="12.75" customHeight="1" x14ac:dyDescent="0.3">
      <c r="A1880" s="821" t="s">
        <v>2903</v>
      </c>
      <c r="B1880" s="860"/>
      <c r="C1880" s="860"/>
      <c r="D1880" s="860"/>
      <c r="E1880" s="860"/>
      <c r="F1880" s="860"/>
      <c r="G1880" s="821" t="s">
        <v>2904</v>
      </c>
      <c r="H1880" s="821" t="s">
        <v>4690</v>
      </c>
      <c r="I1880" s="220" t="str">
        <f>IF(ISBLANK(global!I357),"",global!I357)</f>
        <v/>
      </c>
      <c r="K1880" s="225" t="s">
        <v>4159</v>
      </c>
      <c r="O1880" s="225" t="s">
        <v>4159</v>
      </c>
    </row>
    <row r="1881" spans="1:15" ht="12.75" customHeight="1" x14ac:dyDescent="0.3">
      <c r="A1881" s="821"/>
      <c r="B1881" s="821" t="s">
        <v>2905</v>
      </c>
      <c r="C1881" s="860"/>
      <c r="D1881" s="860"/>
      <c r="E1881" s="860"/>
      <c r="F1881" s="860"/>
      <c r="G1881" s="821" t="s">
        <v>2906</v>
      </c>
      <c r="H1881" s="860" t="s">
        <v>1041</v>
      </c>
      <c r="I1881" s="220" t="str">
        <f>IF(ISBLANK(global!I358),"",global!I358)</f>
        <v/>
      </c>
      <c r="K1881" s="225" t="s">
        <v>4159</v>
      </c>
      <c r="O1881" s="225" t="s">
        <v>4159</v>
      </c>
    </row>
    <row r="1882" spans="1:15" ht="12.75" customHeight="1" x14ac:dyDescent="0.3">
      <c r="A1882" s="860"/>
      <c r="B1882" s="860"/>
      <c r="C1882" s="860"/>
      <c r="D1882" s="860"/>
      <c r="E1882" s="860"/>
      <c r="F1882" s="860"/>
      <c r="G1882" s="860"/>
      <c r="H1882" s="860"/>
      <c r="I1882" s="220" t="str">
        <f>IF(ISBLANK(global!I359),"",global!I359)</f>
        <v/>
      </c>
      <c r="K1882" s="225" t="s">
        <v>4159</v>
      </c>
      <c r="O1882" s="225" t="s">
        <v>4159</v>
      </c>
    </row>
    <row r="1883" spans="1:15" ht="12.75" customHeight="1" x14ac:dyDescent="0.3">
      <c r="A1883" s="821" t="s">
        <v>2907</v>
      </c>
      <c r="B1883" s="860"/>
      <c r="C1883" s="860"/>
      <c r="D1883" s="860"/>
      <c r="E1883" s="860"/>
      <c r="F1883" s="860"/>
      <c r="G1883" s="821" t="s">
        <v>2908</v>
      </c>
      <c r="H1883" s="821" t="s">
        <v>4690</v>
      </c>
      <c r="I1883" s="220" t="str">
        <f>IF(ISBLANK(global!I360),"",global!I360)</f>
        <v/>
      </c>
      <c r="K1883" s="225" t="s">
        <v>4159</v>
      </c>
      <c r="O1883" s="225" t="s">
        <v>4159</v>
      </c>
    </row>
    <row r="1884" spans="1:15" ht="12.75" customHeight="1" x14ac:dyDescent="0.3">
      <c r="A1884" s="821" t="s">
        <v>2909</v>
      </c>
      <c r="B1884" s="860"/>
      <c r="C1884" s="860"/>
      <c r="D1884" s="860"/>
      <c r="E1884" s="860"/>
      <c r="F1884" s="860"/>
      <c r="G1884" s="821" t="s">
        <v>2910</v>
      </c>
      <c r="H1884" s="821" t="s">
        <v>4690</v>
      </c>
      <c r="I1884" s="220" t="str">
        <f>IF(ISBLANK(global!I361),"",global!I361)</f>
        <v/>
      </c>
      <c r="K1884" s="225" t="s">
        <v>4159</v>
      </c>
      <c r="O1884" s="225" t="s">
        <v>4159</v>
      </c>
    </row>
    <row r="1885" spans="1:15" ht="12.75" customHeight="1" x14ac:dyDescent="0.3">
      <c r="A1885" s="821"/>
      <c r="B1885" s="821" t="s">
        <v>2911</v>
      </c>
      <c r="C1885" s="860"/>
      <c r="D1885" s="860"/>
      <c r="E1885" s="860"/>
      <c r="F1885" s="860"/>
      <c r="G1885" s="872" t="s">
        <v>2912</v>
      </c>
      <c r="H1885" s="860" t="s">
        <v>4691</v>
      </c>
      <c r="I1885" s="220" t="str">
        <f>IF(ISBLANK(global!I362),"",global!I362)</f>
        <v/>
      </c>
      <c r="K1885" s="225" t="s">
        <v>4159</v>
      </c>
      <c r="O1885" s="225" t="s">
        <v>4159</v>
      </c>
    </row>
    <row r="1886" spans="1:15" ht="12.75" customHeight="1" x14ac:dyDescent="0.3">
      <c r="A1886" s="821" t="s">
        <v>2913</v>
      </c>
      <c r="B1886" s="860"/>
      <c r="C1886" s="860"/>
      <c r="D1886" s="860"/>
      <c r="E1886" s="860"/>
      <c r="F1886" s="860"/>
      <c r="G1886" s="821" t="s">
        <v>2914</v>
      </c>
      <c r="H1886" s="821" t="s">
        <v>4690</v>
      </c>
      <c r="I1886" s="220" t="str">
        <f>IF(ISBLANK(global!I363),"",global!I363)</f>
        <v/>
      </c>
      <c r="K1886" s="225" t="s">
        <v>4159</v>
      </c>
      <c r="O1886" s="225" t="s">
        <v>4159</v>
      </c>
    </row>
    <row r="1887" spans="1:15" ht="12.75" customHeight="1" x14ac:dyDescent="0.3">
      <c r="A1887" s="821" t="s">
        <v>2915</v>
      </c>
      <c r="B1887" s="860"/>
      <c r="C1887" s="860"/>
      <c r="D1887" s="860"/>
      <c r="E1887" s="860"/>
      <c r="F1887" s="860"/>
      <c r="G1887" s="821" t="s">
        <v>2916</v>
      </c>
      <c r="H1887" s="821" t="s">
        <v>4690</v>
      </c>
      <c r="I1887" s="220" t="str">
        <f>IF(ISBLANK(global!I364),"",global!I364)</f>
        <v/>
      </c>
      <c r="K1887" s="225" t="s">
        <v>4159</v>
      </c>
      <c r="O1887" s="225" t="s">
        <v>4159</v>
      </c>
    </row>
    <row r="1888" spans="1:15" ht="12.75" customHeight="1" x14ac:dyDescent="0.3">
      <c r="A1888" s="821"/>
      <c r="B1888" s="860" t="s">
        <v>2522</v>
      </c>
      <c r="C1888" s="860"/>
      <c r="D1888" s="860"/>
      <c r="E1888" s="860"/>
      <c r="F1888" s="860"/>
      <c r="G1888" s="821" t="s">
        <v>2917</v>
      </c>
      <c r="H1888" s="860" t="s">
        <v>4691</v>
      </c>
      <c r="I1888" s="220" t="str">
        <f>IF(ISBLANK(global!I365),"",global!I365)</f>
        <v/>
      </c>
      <c r="K1888" s="225" t="s">
        <v>4159</v>
      </c>
      <c r="O1888" s="225" t="s">
        <v>4159</v>
      </c>
    </row>
    <row r="1889" spans="1:15" ht="12.75" customHeight="1" x14ac:dyDescent="0.3">
      <c r="A1889" s="821"/>
      <c r="B1889" s="821"/>
      <c r="C1889" s="860" t="s">
        <v>2524</v>
      </c>
      <c r="D1889" s="860"/>
      <c r="E1889" s="860"/>
      <c r="F1889" s="860"/>
      <c r="G1889" s="821" t="s">
        <v>2918</v>
      </c>
      <c r="H1889" s="860" t="s">
        <v>1041</v>
      </c>
      <c r="I1889" s="220" t="str">
        <f>IF(ISBLANK(global!I366),"",global!I366)</f>
        <v/>
      </c>
      <c r="K1889" s="225" t="s">
        <v>4159</v>
      </c>
      <c r="O1889" s="225" t="s">
        <v>4159</v>
      </c>
    </row>
    <row r="1890" spans="1:15" ht="12.75" customHeight="1" x14ac:dyDescent="0.3">
      <c r="A1890" s="860"/>
      <c r="B1890" s="860"/>
      <c r="C1890" s="860"/>
      <c r="D1890" s="860"/>
      <c r="E1890" s="860"/>
      <c r="F1890" s="860"/>
      <c r="G1890" s="860"/>
      <c r="H1890" s="860"/>
      <c r="I1890" s="220" t="str">
        <f>IF(ISBLANK(global!I367),"",global!I367)</f>
        <v/>
      </c>
      <c r="K1890" s="225" t="s">
        <v>4159</v>
      </c>
      <c r="O1890" s="225" t="s">
        <v>4159</v>
      </c>
    </row>
    <row r="1891" spans="1:15" ht="12.75" customHeight="1" x14ac:dyDescent="0.3">
      <c r="A1891" s="865" t="s">
        <v>1952</v>
      </c>
      <c r="B1891" s="864"/>
      <c r="C1891" s="864"/>
      <c r="D1891" s="864"/>
      <c r="E1891" s="864"/>
      <c r="F1891" s="864"/>
      <c r="G1891" s="865" t="s">
        <v>258</v>
      </c>
      <c r="H1891" s="865" t="s">
        <v>274</v>
      </c>
      <c r="I1891" s="220" t="str">
        <f>IF(ISBLANK(global!I368),"",global!I368)</f>
        <v>User input</v>
      </c>
      <c r="K1891" s="225" t="s">
        <v>259</v>
      </c>
      <c r="O1891" s="225" t="s">
        <v>259</v>
      </c>
    </row>
    <row r="1892" spans="1:15" ht="12.75" customHeight="1" x14ac:dyDescent="0.3">
      <c r="A1892" s="821"/>
      <c r="B1892" s="821"/>
      <c r="C1892" s="860"/>
      <c r="D1892" s="860"/>
      <c r="E1892" s="860"/>
      <c r="F1892" s="860"/>
      <c r="G1892" s="860"/>
      <c r="H1892" s="860"/>
      <c r="I1892" s="220" t="str">
        <f>IF(ISBLANK(global!I369),"",global!I369)</f>
        <v/>
      </c>
      <c r="K1892" s="225" t="s">
        <v>4159</v>
      </c>
      <c r="O1892" s="225" t="s">
        <v>4159</v>
      </c>
    </row>
    <row r="1893" spans="1:15" ht="12.75" customHeight="1" x14ac:dyDescent="0.3">
      <c r="A1893" s="860"/>
      <c r="B1893" s="860" t="s">
        <v>2526</v>
      </c>
      <c r="C1893" s="860"/>
      <c r="D1893" s="860"/>
      <c r="E1893" s="860"/>
      <c r="F1893" s="860"/>
      <c r="G1893" s="821" t="s">
        <v>4801</v>
      </c>
      <c r="H1893" s="821" t="s">
        <v>291</v>
      </c>
      <c r="I1893" s="220" t="str">
        <f>IF(ISBLANK(global!I370),"",global!I370)</f>
        <v/>
      </c>
      <c r="K1893" s="225" t="s">
        <v>4159</v>
      </c>
      <c r="O1893" s="225" t="s">
        <v>4159</v>
      </c>
    </row>
    <row r="1894" spans="1:15" ht="12.75" customHeight="1" x14ac:dyDescent="0.3">
      <c r="A1894" s="860"/>
      <c r="B1894" s="860" t="s">
        <v>1955</v>
      </c>
      <c r="C1894" s="860"/>
      <c r="D1894" s="860"/>
      <c r="E1894" s="860"/>
      <c r="F1894" s="860"/>
      <c r="G1894" s="860" t="s">
        <v>2920</v>
      </c>
      <c r="H1894" s="860" t="s">
        <v>291</v>
      </c>
      <c r="I1894" s="220" t="str">
        <f>IF(ISBLANK(global!I371),"",global!I371)</f>
        <v/>
      </c>
      <c r="K1894" s="225" t="s">
        <v>4159</v>
      </c>
      <c r="O1894" s="225" t="s">
        <v>4159</v>
      </c>
    </row>
    <row r="1895" spans="1:15" ht="12.75" customHeight="1" x14ac:dyDescent="0.3">
      <c r="A1895" s="860"/>
      <c r="B1895" s="860" t="s">
        <v>1957</v>
      </c>
      <c r="C1895" s="860"/>
      <c r="D1895" s="860"/>
      <c r="E1895" s="860"/>
      <c r="F1895" s="860"/>
      <c r="G1895" s="860" t="s">
        <v>2921</v>
      </c>
      <c r="H1895" s="860" t="s">
        <v>291</v>
      </c>
      <c r="I1895" s="220" t="str">
        <f>IF(ISBLANK(global!I372),"",global!I372)</f>
        <v/>
      </c>
      <c r="K1895" s="225" t="s">
        <v>4159</v>
      </c>
      <c r="O1895" s="225" t="s">
        <v>4159</v>
      </c>
    </row>
    <row r="1896" spans="1:15" ht="12.75" customHeight="1" x14ac:dyDescent="0.3">
      <c r="A1896" s="860"/>
      <c r="B1896" s="860"/>
      <c r="C1896" s="821" t="s">
        <v>1959</v>
      </c>
      <c r="D1896" s="821"/>
      <c r="E1896" s="821"/>
      <c r="F1896" s="821"/>
      <c r="G1896" s="821" t="s">
        <v>4802</v>
      </c>
      <c r="H1896" s="821" t="s">
        <v>291</v>
      </c>
      <c r="I1896" s="220" t="str">
        <f>IF(ISBLANK(global!I373),"",global!I373)</f>
        <v/>
      </c>
      <c r="K1896" s="225" t="s">
        <v>4159</v>
      </c>
      <c r="O1896" s="225" t="s">
        <v>4159</v>
      </c>
    </row>
    <row r="1897" spans="1:15" ht="12.75" customHeight="1" x14ac:dyDescent="0.3">
      <c r="A1897" s="821"/>
      <c r="B1897" s="860"/>
      <c r="C1897" s="860" t="s">
        <v>2923</v>
      </c>
      <c r="D1897" s="860"/>
      <c r="E1897" s="860"/>
      <c r="F1897" s="860"/>
      <c r="G1897" s="860" t="s">
        <v>2924</v>
      </c>
      <c r="H1897" s="860" t="s">
        <v>4778</v>
      </c>
      <c r="I1897" s="220" t="str">
        <f>IF(ISBLANK(global!I374),"",global!I374)</f>
        <v/>
      </c>
      <c r="K1897" s="225" t="s">
        <v>4159</v>
      </c>
      <c r="O1897" s="225" t="s">
        <v>4159</v>
      </c>
    </row>
    <row r="1898" spans="1:15" ht="12.75" customHeight="1" x14ac:dyDescent="0.35">
      <c r="A1898" s="860"/>
      <c r="B1898" s="860"/>
      <c r="C1898" s="860" t="s">
        <v>1961</v>
      </c>
      <c r="D1898" s="860"/>
      <c r="E1898" s="860"/>
      <c r="F1898" s="860"/>
      <c r="G1898" s="860" t="s">
        <v>2925</v>
      </c>
      <c r="H1898" s="860" t="s">
        <v>4701</v>
      </c>
      <c r="I1898" s="220" t="str">
        <f>IF(ISBLANK(global!I375),"",global!I375)</f>
        <v/>
      </c>
      <c r="K1898" s="225" t="s">
        <v>4159</v>
      </c>
      <c r="O1898" s="225" t="s">
        <v>4159</v>
      </c>
    </row>
    <row r="1899" spans="1:15" ht="12.75" customHeight="1" x14ac:dyDescent="0.35">
      <c r="A1899" s="860"/>
      <c r="B1899" s="860"/>
      <c r="C1899" s="860" t="s">
        <v>1963</v>
      </c>
      <c r="D1899" s="860"/>
      <c r="E1899" s="860"/>
      <c r="F1899" s="860"/>
      <c r="G1899" s="860" t="s">
        <v>2926</v>
      </c>
      <c r="H1899" s="860" t="s">
        <v>4703</v>
      </c>
      <c r="I1899" s="220" t="str">
        <f>IF(ISBLANK(global!I376),"",global!I376)</f>
        <v/>
      </c>
      <c r="K1899" s="225" t="s">
        <v>4159</v>
      </c>
      <c r="O1899" s="225" t="s">
        <v>4159</v>
      </c>
    </row>
    <row r="1900" spans="1:15" ht="12.75" customHeight="1" x14ac:dyDescent="0.3">
      <c r="A1900" s="821"/>
      <c r="B1900" s="821" t="s">
        <v>4781</v>
      </c>
      <c r="C1900" s="872"/>
      <c r="D1900" s="860"/>
      <c r="E1900" s="860"/>
      <c r="F1900" s="860"/>
      <c r="G1900" s="821" t="s">
        <v>2927</v>
      </c>
      <c r="H1900" s="821" t="s">
        <v>291</v>
      </c>
      <c r="I1900" s="220" t="str">
        <f>IF(ISBLANK(global!I377),"",global!I377)</f>
        <v/>
      </c>
      <c r="K1900" s="225" t="s">
        <v>4159</v>
      </c>
      <c r="O1900" s="225" t="s">
        <v>4159</v>
      </c>
    </row>
    <row r="1901" spans="1:15" ht="12.75" customHeight="1" x14ac:dyDescent="0.3">
      <c r="A1901" s="821"/>
      <c r="B1901" s="821" t="s">
        <v>2536</v>
      </c>
      <c r="C1901" s="872"/>
      <c r="D1901" s="860"/>
      <c r="E1901" s="860"/>
      <c r="F1901" s="860"/>
      <c r="G1901" s="821" t="s">
        <v>2928</v>
      </c>
      <c r="H1901" s="821" t="s">
        <v>291</v>
      </c>
      <c r="I1901" s="220" t="str">
        <f>IF(ISBLANK(global!I378),"",global!I378)</f>
        <v/>
      </c>
      <c r="K1901" s="225" t="s">
        <v>4159</v>
      </c>
      <c r="O1901" s="225" t="s">
        <v>4159</v>
      </c>
    </row>
    <row r="1902" spans="1:15" ht="12.75" customHeight="1" x14ac:dyDescent="0.3">
      <c r="A1902" s="821"/>
      <c r="B1902" s="860"/>
      <c r="C1902" s="821" t="s">
        <v>4782</v>
      </c>
      <c r="D1902" s="860"/>
      <c r="E1902" s="860"/>
      <c r="F1902" s="860"/>
      <c r="G1902" s="872" t="s">
        <v>2929</v>
      </c>
      <c r="H1902" s="821" t="s">
        <v>4706</v>
      </c>
      <c r="I1902" s="220" t="str">
        <f>IF(ISBLANK(global!I379),"",global!I379)</f>
        <v/>
      </c>
      <c r="K1902" s="225" t="s">
        <v>4159</v>
      </c>
      <c r="O1902" s="225" t="s">
        <v>4159</v>
      </c>
    </row>
    <row r="1903" spans="1:15" ht="12.75" customHeight="1" x14ac:dyDescent="0.3">
      <c r="A1903" s="821"/>
      <c r="B1903" s="860"/>
      <c r="C1903" s="821" t="s">
        <v>2539</v>
      </c>
      <c r="D1903" s="860"/>
      <c r="E1903" s="860"/>
      <c r="F1903" s="860"/>
      <c r="G1903" s="872" t="s">
        <v>2930</v>
      </c>
      <c r="H1903" s="821" t="s">
        <v>4706</v>
      </c>
      <c r="I1903" s="220" t="str">
        <f>IF(ISBLANK(global!I380),"",global!I380)</f>
        <v/>
      </c>
      <c r="K1903" s="225" t="s">
        <v>4159</v>
      </c>
      <c r="O1903" s="225" t="s">
        <v>4159</v>
      </c>
    </row>
    <row r="1904" spans="1:15" ht="12.75" customHeight="1" x14ac:dyDescent="0.3">
      <c r="A1904" s="821"/>
      <c r="B1904" s="860"/>
      <c r="C1904" s="821" t="s">
        <v>4783</v>
      </c>
      <c r="D1904" s="860"/>
      <c r="E1904" s="860"/>
      <c r="F1904" s="860"/>
      <c r="G1904" s="872" t="s">
        <v>2931</v>
      </c>
      <c r="H1904" s="821" t="s">
        <v>291</v>
      </c>
      <c r="I1904" s="220" t="str">
        <f>IF(ISBLANK(global!I381),"",global!I381)</f>
        <v/>
      </c>
      <c r="K1904" s="225" t="s">
        <v>4159</v>
      </c>
      <c r="O1904" s="225" t="s">
        <v>4159</v>
      </c>
    </row>
    <row r="1905" spans="1:15" ht="12.75" customHeight="1" x14ac:dyDescent="0.3">
      <c r="A1905" s="821"/>
      <c r="B1905" s="860"/>
      <c r="C1905" s="821" t="s">
        <v>2542</v>
      </c>
      <c r="D1905" s="860"/>
      <c r="E1905" s="860"/>
      <c r="F1905" s="860"/>
      <c r="G1905" s="872" t="s">
        <v>2932</v>
      </c>
      <c r="H1905" s="821" t="s">
        <v>291</v>
      </c>
      <c r="I1905" s="220" t="str">
        <f>IF(ISBLANK(global!I382),"",global!I382)</f>
        <v/>
      </c>
      <c r="K1905" s="225" t="s">
        <v>4159</v>
      </c>
      <c r="O1905" s="225" t="s">
        <v>4159</v>
      </c>
    </row>
    <row r="1906" spans="1:15" ht="12.75" customHeight="1" x14ac:dyDescent="0.3">
      <c r="A1906" s="821"/>
      <c r="B1906" s="860"/>
      <c r="C1906" s="821" t="s">
        <v>4784</v>
      </c>
      <c r="D1906" s="860"/>
      <c r="E1906" s="860"/>
      <c r="F1906" s="860"/>
      <c r="G1906" s="872" t="s">
        <v>2933</v>
      </c>
      <c r="H1906" s="821" t="s">
        <v>4785</v>
      </c>
      <c r="I1906" s="220" t="str">
        <f>IF(ISBLANK(global!I383),"",global!I383)</f>
        <v/>
      </c>
      <c r="K1906" s="225" t="s">
        <v>4159</v>
      </c>
      <c r="O1906" s="225" t="s">
        <v>4159</v>
      </c>
    </row>
    <row r="1907" spans="1:15" ht="12.75" customHeight="1" x14ac:dyDescent="0.3">
      <c r="A1907" s="821"/>
      <c r="B1907" s="860"/>
      <c r="C1907" s="821" t="s">
        <v>2545</v>
      </c>
      <c r="D1907" s="860"/>
      <c r="E1907" s="860"/>
      <c r="F1907" s="860"/>
      <c r="G1907" s="872" t="s">
        <v>2934</v>
      </c>
      <c r="H1907" s="821" t="s">
        <v>4785</v>
      </c>
      <c r="I1907" s="220" t="str">
        <f>IF(ISBLANK(global!I384),"",global!I384)</f>
        <v/>
      </c>
      <c r="K1907" s="225" t="s">
        <v>4159</v>
      </c>
      <c r="O1907" s="225" t="s">
        <v>4159</v>
      </c>
    </row>
    <row r="1908" spans="1:15" ht="12.75" customHeight="1" x14ac:dyDescent="0.3">
      <c r="A1908" s="821"/>
      <c r="B1908" s="860"/>
      <c r="C1908" s="821" t="s">
        <v>4786</v>
      </c>
      <c r="D1908" s="860"/>
      <c r="E1908" s="860"/>
      <c r="F1908" s="860"/>
      <c r="G1908" s="872" t="s">
        <v>2935</v>
      </c>
      <c r="H1908" s="821" t="s">
        <v>1083</v>
      </c>
      <c r="I1908" s="220" t="str">
        <f>IF(ISBLANK(global!I385),"",global!I385)</f>
        <v/>
      </c>
      <c r="K1908" s="225" t="s">
        <v>4159</v>
      </c>
      <c r="O1908" s="225" t="s">
        <v>4159</v>
      </c>
    </row>
    <row r="1909" spans="1:15" ht="12.75" customHeight="1" x14ac:dyDescent="0.3">
      <c r="A1909" s="821"/>
      <c r="B1909" s="860"/>
      <c r="C1909" s="821" t="s">
        <v>2548</v>
      </c>
      <c r="D1909" s="860"/>
      <c r="E1909" s="860"/>
      <c r="F1909" s="860"/>
      <c r="G1909" s="872" t="s">
        <v>2936</v>
      </c>
      <c r="H1909" s="821" t="s">
        <v>1083</v>
      </c>
      <c r="I1909" s="220" t="str">
        <f>IF(ISBLANK(global!I386),"",global!I386)</f>
        <v/>
      </c>
      <c r="K1909" s="225" t="s">
        <v>4159</v>
      </c>
      <c r="O1909" s="225" t="s">
        <v>4159</v>
      </c>
    </row>
    <row r="1910" spans="1:15" ht="12.75" customHeight="1" x14ac:dyDescent="0.3">
      <c r="A1910" s="821"/>
      <c r="B1910" s="860"/>
      <c r="C1910" s="821" t="s">
        <v>4787</v>
      </c>
      <c r="D1910" s="860"/>
      <c r="E1910" s="860"/>
      <c r="F1910" s="860"/>
      <c r="G1910" s="872" t="s">
        <v>2937</v>
      </c>
      <c r="H1910" s="821" t="s">
        <v>716</v>
      </c>
      <c r="I1910" s="220" t="str">
        <f>IF(ISBLANK(global!I387),"",global!I387)</f>
        <v/>
      </c>
      <c r="K1910" s="225" t="s">
        <v>4159</v>
      </c>
      <c r="O1910" s="225" t="s">
        <v>4159</v>
      </c>
    </row>
    <row r="1911" spans="1:15" ht="12.75" customHeight="1" x14ac:dyDescent="0.3">
      <c r="A1911" s="821"/>
      <c r="B1911" s="860"/>
      <c r="C1911" s="821" t="s">
        <v>2551</v>
      </c>
      <c r="D1911" s="860"/>
      <c r="E1911" s="860"/>
      <c r="F1911" s="860"/>
      <c r="G1911" s="872" t="s">
        <v>2938</v>
      </c>
      <c r="H1911" s="821" t="s">
        <v>716</v>
      </c>
      <c r="I1911" s="220" t="str">
        <f>IF(ISBLANK(global!I388),"",global!I388)</f>
        <v/>
      </c>
      <c r="K1911" s="225" t="s">
        <v>4159</v>
      </c>
      <c r="O1911" s="225" t="s">
        <v>4159</v>
      </c>
    </row>
    <row r="1912" spans="1:15" ht="12.75" customHeight="1" x14ac:dyDescent="0.3">
      <c r="A1912" s="821"/>
      <c r="B1912" s="821" t="s">
        <v>2553</v>
      </c>
      <c r="C1912" s="872"/>
      <c r="D1912" s="860"/>
      <c r="E1912" s="860"/>
      <c r="F1912" s="860"/>
      <c r="G1912" s="872" t="s">
        <v>2939</v>
      </c>
      <c r="H1912" s="821" t="s">
        <v>291</v>
      </c>
      <c r="I1912" s="220" t="str">
        <f>IF(ISBLANK(global!I389),"",global!I389)</f>
        <v/>
      </c>
      <c r="K1912" s="225" t="s">
        <v>4159</v>
      </c>
      <c r="O1912" s="225" t="s">
        <v>4159</v>
      </c>
    </row>
    <row r="1913" spans="1:15" ht="12.75" customHeight="1" x14ac:dyDescent="0.3">
      <c r="A1913" s="821"/>
      <c r="B1913" s="860"/>
      <c r="C1913" s="821" t="s">
        <v>2555</v>
      </c>
      <c r="D1913" s="860"/>
      <c r="E1913" s="860"/>
      <c r="F1913" s="860"/>
      <c r="G1913" s="872" t="s">
        <v>2940</v>
      </c>
      <c r="H1913" s="821" t="s">
        <v>4706</v>
      </c>
      <c r="I1913" s="220" t="str">
        <f>IF(ISBLANK(global!I390),"",global!I390)</f>
        <v/>
      </c>
      <c r="K1913" s="225" t="s">
        <v>4159</v>
      </c>
      <c r="O1913" s="225" t="s">
        <v>4159</v>
      </c>
    </row>
    <row r="1914" spans="1:15" ht="12.75" customHeight="1" x14ac:dyDescent="0.3">
      <c r="A1914" s="821"/>
      <c r="B1914" s="860"/>
      <c r="C1914" s="821" t="s">
        <v>2557</v>
      </c>
      <c r="D1914" s="860"/>
      <c r="E1914" s="860"/>
      <c r="F1914" s="860"/>
      <c r="G1914" s="872" t="s">
        <v>2941</v>
      </c>
      <c r="H1914" s="821" t="s">
        <v>291</v>
      </c>
      <c r="I1914" s="220" t="str">
        <f>IF(ISBLANK(global!I391),"",global!I391)</f>
        <v/>
      </c>
      <c r="K1914" s="225" t="s">
        <v>4159</v>
      </c>
      <c r="O1914" s="225" t="s">
        <v>4159</v>
      </c>
    </row>
    <row r="1915" spans="1:15" ht="12.75" customHeight="1" x14ac:dyDescent="0.3">
      <c r="A1915" s="821"/>
      <c r="B1915" s="821" t="s">
        <v>2559</v>
      </c>
      <c r="C1915" s="872"/>
      <c r="D1915" s="860"/>
      <c r="E1915" s="860"/>
      <c r="F1915" s="860"/>
      <c r="G1915" s="872" t="s">
        <v>4803</v>
      </c>
      <c r="H1915" s="821" t="s">
        <v>291</v>
      </c>
      <c r="I1915" s="220" t="str">
        <f>IF(ISBLANK(global!I392),"",global!I392)</f>
        <v/>
      </c>
      <c r="K1915" s="225" t="s">
        <v>4159</v>
      </c>
      <c r="O1915" s="225" t="s">
        <v>4159</v>
      </c>
    </row>
    <row r="1916" spans="1:15" ht="12.75" customHeight="1" x14ac:dyDescent="0.3">
      <c r="A1916" s="821"/>
      <c r="B1916" s="821" t="s">
        <v>2561</v>
      </c>
      <c r="C1916" s="872"/>
      <c r="D1916" s="860"/>
      <c r="E1916" s="860"/>
      <c r="F1916" s="860"/>
      <c r="G1916" s="872" t="s">
        <v>2943</v>
      </c>
      <c r="H1916" s="821" t="s">
        <v>291</v>
      </c>
      <c r="I1916" s="220" t="str">
        <f>IF(ISBLANK(global!I393),"",global!I393)</f>
        <v/>
      </c>
      <c r="K1916" s="225" t="s">
        <v>4159</v>
      </c>
      <c r="O1916" s="225" t="s">
        <v>4159</v>
      </c>
    </row>
    <row r="1917" spans="1:15" ht="12.75" customHeight="1" x14ac:dyDescent="0.3">
      <c r="A1917" s="821"/>
      <c r="B1917" s="821" t="s">
        <v>2563</v>
      </c>
      <c r="C1917" s="872"/>
      <c r="D1917" s="860"/>
      <c r="E1917" s="860"/>
      <c r="F1917" s="860"/>
      <c r="G1917" s="872" t="s">
        <v>2944</v>
      </c>
      <c r="H1917" s="821" t="s">
        <v>291</v>
      </c>
      <c r="I1917" s="220" t="str">
        <f>IF(ISBLANK(global!I394),"",global!I394)</f>
        <v/>
      </c>
      <c r="K1917" s="225" t="s">
        <v>4159</v>
      </c>
      <c r="O1917" s="225" t="s">
        <v>4159</v>
      </c>
    </row>
    <row r="1918" spans="1:15" ht="12.75" customHeight="1" x14ac:dyDescent="0.3">
      <c r="A1918" s="821"/>
      <c r="B1918" s="860"/>
      <c r="C1918" s="821" t="s">
        <v>2565</v>
      </c>
      <c r="D1918" s="860"/>
      <c r="E1918" s="860"/>
      <c r="F1918" s="860"/>
      <c r="G1918" s="872" t="s">
        <v>2945</v>
      </c>
      <c r="H1918" s="821" t="s">
        <v>4706</v>
      </c>
      <c r="I1918" s="220" t="str">
        <f>IF(ISBLANK(global!I395),"",global!I395)</f>
        <v/>
      </c>
      <c r="K1918" s="225" t="s">
        <v>4159</v>
      </c>
      <c r="O1918" s="225" t="s">
        <v>4159</v>
      </c>
    </row>
    <row r="1919" spans="1:15" ht="12.75" customHeight="1" x14ac:dyDescent="0.3">
      <c r="A1919" s="821"/>
      <c r="B1919" s="860"/>
      <c r="C1919" s="821" t="s">
        <v>2567</v>
      </c>
      <c r="D1919" s="860"/>
      <c r="E1919" s="860"/>
      <c r="F1919" s="860"/>
      <c r="G1919" s="872" t="s">
        <v>2946</v>
      </c>
      <c r="H1919" s="821" t="s">
        <v>291</v>
      </c>
      <c r="I1919" s="220" t="str">
        <f>IF(ISBLANK(global!I396),"",global!I396)</f>
        <v/>
      </c>
      <c r="K1919" s="225" t="s">
        <v>4159</v>
      </c>
      <c r="O1919" s="225" t="s">
        <v>4159</v>
      </c>
    </row>
    <row r="1920" spans="1:15" ht="12.75" customHeight="1" x14ac:dyDescent="0.3">
      <c r="A1920" s="860"/>
      <c r="B1920" s="860"/>
      <c r="C1920" s="860"/>
      <c r="D1920" s="860"/>
      <c r="E1920" s="860"/>
      <c r="F1920" s="860"/>
      <c r="G1920" s="860"/>
      <c r="H1920" s="860"/>
      <c r="I1920" s="220" t="str">
        <f>IF(ISBLANK(global!I397),"",global!I397)</f>
        <v/>
      </c>
      <c r="K1920" s="225" t="s">
        <v>4159</v>
      </c>
      <c r="O1920" s="225" t="s">
        <v>4159</v>
      </c>
    </row>
    <row r="1921" spans="1:15" ht="12.75" customHeight="1" x14ac:dyDescent="0.3">
      <c r="A1921" s="865" t="s">
        <v>1129</v>
      </c>
      <c r="B1921" s="864"/>
      <c r="C1921" s="864"/>
      <c r="D1921" s="864"/>
      <c r="E1921" s="864"/>
      <c r="F1921" s="864"/>
      <c r="G1921" s="865" t="s">
        <v>258</v>
      </c>
      <c r="H1921" s="865" t="s">
        <v>274</v>
      </c>
      <c r="I1921" s="220" t="str">
        <f>IF(ISBLANK(global!I398),"",global!I398)</f>
        <v>User input</v>
      </c>
      <c r="K1921" s="225" t="s">
        <v>259</v>
      </c>
      <c r="O1921" s="225" t="s">
        <v>259</v>
      </c>
    </row>
    <row r="1922" spans="1:15" ht="12.75" customHeight="1" x14ac:dyDescent="0.3">
      <c r="A1922" s="860"/>
      <c r="B1922" s="860"/>
      <c r="C1922" s="860"/>
      <c r="D1922" s="860"/>
      <c r="E1922" s="860"/>
      <c r="F1922" s="860"/>
      <c r="G1922" s="860"/>
      <c r="H1922" s="860"/>
      <c r="I1922" s="220" t="str">
        <f>IF(ISBLANK(global!I399),"",global!I399)</f>
        <v/>
      </c>
      <c r="K1922" s="225" t="s">
        <v>4159</v>
      </c>
      <c r="O1922" s="225" t="s">
        <v>4159</v>
      </c>
    </row>
    <row r="1923" spans="1:15" ht="12.75" customHeight="1" x14ac:dyDescent="0.3">
      <c r="A1923" s="821" t="s">
        <v>2569</v>
      </c>
      <c r="B1923" s="860"/>
      <c r="C1923" s="860"/>
      <c r="D1923" s="860"/>
      <c r="E1923" s="860"/>
      <c r="F1923" s="860"/>
      <c r="G1923" s="821" t="s">
        <v>2947</v>
      </c>
      <c r="H1923" s="821" t="s">
        <v>4690</v>
      </c>
      <c r="I1923" s="220" t="str">
        <f>IF(ISBLANK(global!I400),"",global!I400)</f>
        <v/>
      </c>
      <c r="K1923" s="225" t="s">
        <v>4159</v>
      </c>
      <c r="O1923" s="225" t="s">
        <v>4159</v>
      </c>
    </row>
    <row r="1924" spans="1:15" ht="12.75" customHeight="1" x14ac:dyDescent="0.3">
      <c r="A1924" s="821" t="s">
        <v>2571</v>
      </c>
      <c r="B1924" s="860"/>
      <c r="C1924" s="860"/>
      <c r="D1924" s="860"/>
      <c r="E1924" s="860"/>
      <c r="F1924" s="860"/>
      <c r="G1924" s="821" t="s">
        <v>2948</v>
      </c>
      <c r="H1924" s="821" t="s">
        <v>4690</v>
      </c>
      <c r="I1924" s="220" t="str">
        <f>IF(ISBLANK(global!I401),"",global!I401)</f>
        <v/>
      </c>
      <c r="K1924" s="225" t="s">
        <v>4159</v>
      </c>
      <c r="O1924" s="225" t="s">
        <v>4159</v>
      </c>
    </row>
    <row r="1925" spans="1:15" ht="12.75" customHeight="1" x14ac:dyDescent="0.3">
      <c r="A1925" s="821" t="s">
        <v>2573</v>
      </c>
      <c r="B1925" s="860"/>
      <c r="C1925" s="860"/>
      <c r="D1925" s="860"/>
      <c r="E1925" s="860"/>
      <c r="F1925" s="860"/>
      <c r="G1925" s="821" t="s">
        <v>2949</v>
      </c>
      <c r="H1925" s="821" t="s">
        <v>4690</v>
      </c>
      <c r="I1925" s="220" t="str">
        <f>IF(ISBLANK(global!I402),"",global!I402)</f>
        <v/>
      </c>
      <c r="K1925" s="225" t="s">
        <v>4159</v>
      </c>
      <c r="O1925" s="225" t="s">
        <v>4159</v>
      </c>
    </row>
    <row r="1926" spans="1:15" ht="12.75" customHeight="1" x14ac:dyDescent="0.3">
      <c r="A1926" s="821" t="s">
        <v>2575</v>
      </c>
      <c r="B1926" s="860"/>
      <c r="C1926" s="860"/>
      <c r="D1926" s="860"/>
      <c r="E1926" s="860"/>
      <c r="F1926" s="860"/>
      <c r="G1926" s="821" t="s">
        <v>2950</v>
      </c>
      <c r="H1926" s="821" t="s">
        <v>4690</v>
      </c>
      <c r="I1926" s="220" t="str">
        <f>IF(ISBLANK(global!I403),"",global!I403)</f>
        <v/>
      </c>
      <c r="K1926" s="225" t="s">
        <v>4159</v>
      </c>
      <c r="O1926" s="225" t="s">
        <v>4159</v>
      </c>
    </row>
    <row r="1927" spans="1:15" ht="12.75" customHeight="1" x14ac:dyDescent="0.3">
      <c r="A1927" s="821"/>
      <c r="B1927" s="821" t="s">
        <v>2031</v>
      </c>
      <c r="C1927" s="860"/>
      <c r="D1927" s="860"/>
      <c r="E1927" s="860"/>
      <c r="F1927" s="860"/>
      <c r="G1927" s="894" t="s">
        <v>2951</v>
      </c>
      <c r="H1927" s="821" t="s">
        <v>4690</v>
      </c>
      <c r="I1927" s="220" t="str">
        <f>IF(ISBLANK(global!I404),"",global!I404)</f>
        <v/>
      </c>
      <c r="K1927" s="225" t="s">
        <v>4159</v>
      </c>
      <c r="O1927" s="225" t="s">
        <v>4159</v>
      </c>
    </row>
    <row r="1928" spans="1:15" ht="12.75" customHeight="1" x14ac:dyDescent="0.3">
      <c r="A1928" s="821"/>
      <c r="B1928" s="821"/>
      <c r="C1928" s="860" t="s">
        <v>2033</v>
      </c>
      <c r="D1928" s="860"/>
      <c r="E1928" s="860"/>
      <c r="F1928" s="860"/>
      <c r="G1928" s="894" t="s">
        <v>2952</v>
      </c>
      <c r="H1928" s="821" t="s">
        <v>4690</v>
      </c>
      <c r="I1928" s="220" t="str">
        <f>IF(ISBLANK(global!I405),"",global!I405)</f>
        <v/>
      </c>
      <c r="K1928" s="225" t="s">
        <v>4159</v>
      </c>
      <c r="O1928" s="225" t="s">
        <v>4159</v>
      </c>
    </row>
    <row r="1929" spans="1:15" ht="12.75" customHeight="1" x14ac:dyDescent="0.3">
      <c r="A1929" s="821"/>
      <c r="B1929" s="821"/>
      <c r="C1929" s="821"/>
      <c r="D1929" s="821" t="s">
        <v>4804</v>
      </c>
      <c r="E1929" s="860"/>
      <c r="F1929" s="860"/>
      <c r="G1929" s="894" t="s">
        <v>2953</v>
      </c>
      <c r="H1929" s="821" t="s">
        <v>4690</v>
      </c>
      <c r="I1929" s="220" t="str">
        <f>IF(ISBLANK(global!I406),"",global!I406)</f>
        <v/>
      </c>
      <c r="K1929" s="225" t="s">
        <v>4159</v>
      </c>
      <c r="O1929" s="225" t="s">
        <v>4159</v>
      </c>
    </row>
    <row r="1930" spans="1:15" ht="12.75" customHeight="1" x14ac:dyDescent="0.3">
      <c r="A1930" s="821"/>
      <c r="B1930" s="821"/>
      <c r="C1930" s="821"/>
      <c r="D1930" s="821" t="s">
        <v>4805</v>
      </c>
      <c r="E1930" s="860"/>
      <c r="F1930" s="860"/>
      <c r="G1930" s="894" t="s">
        <v>2954</v>
      </c>
      <c r="H1930" s="821" t="s">
        <v>4690</v>
      </c>
      <c r="I1930" s="220" t="str">
        <f>IF(ISBLANK(global!I407),"",global!I407)</f>
        <v/>
      </c>
      <c r="K1930" s="225" t="s">
        <v>4159</v>
      </c>
      <c r="O1930" s="225" t="s">
        <v>4159</v>
      </c>
    </row>
    <row r="1931" spans="1:15" ht="12.75" customHeight="1" x14ac:dyDescent="0.3">
      <c r="A1931" s="821"/>
      <c r="B1931" s="821"/>
      <c r="C1931" s="860" t="s">
        <v>1148</v>
      </c>
      <c r="D1931" s="860"/>
      <c r="E1931" s="860"/>
      <c r="F1931" s="860"/>
      <c r="G1931" s="860" t="s">
        <v>2955</v>
      </c>
      <c r="H1931" s="860" t="s">
        <v>1150</v>
      </c>
      <c r="I1931" s="220" t="str">
        <f>IF(ISBLANK(global!I408),"",global!I408)</f>
        <v/>
      </c>
      <c r="K1931" s="225" t="s">
        <v>4159</v>
      </c>
      <c r="O1931" s="225" t="s">
        <v>4159</v>
      </c>
    </row>
    <row r="1932" spans="1:15" ht="12.75" customHeight="1" x14ac:dyDescent="0.3">
      <c r="A1932" s="821"/>
      <c r="B1932" s="821"/>
      <c r="C1932" s="860" t="s">
        <v>1151</v>
      </c>
      <c r="D1932" s="860"/>
      <c r="E1932" s="860"/>
      <c r="F1932" s="860"/>
      <c r="G1932" s="860" t="s">
        <v>2956</v>
      </c>
      <c r="H1932" s="860" t="s">
        <v>1150</v>
      </c>
      <c r="I1932" s="220" t="str">
        <f>IF(ISBLANK(global!I409),"",global!I409)</f>
        <v/>
      </c>
      <c r="K1932" s="225" t="s">
        <v>4159</v>
      </c>
      <c r="O1932" s="225" t="s">
        <v>4159</v>
      </c>
    </row>
    <row r="1933" spans="1:15" ht="12.75" customHeight="1" x14ac:dyDescent="0.3">
      <c r="A1933" s="821"/>
      <c r="B1933" s="821"/>
      <c r="C1933" s="821" t="s">
        <v>1153</v>
      </c>
      <c r="D1933" s="860"/>
      <c r="E1933" s="860"/>
      <c r="F1933" s="860"/>
      <c r="G1933" s="872" t="s">
        <v>2958</v>
      </c>
      <c r="H1933" s="913" t="s">
        <v>4734</v>
      </c>
      <c r="I1933" s="220" t="str">
        <f>IF(ISBLANK(global!I410),"",global!I410)</f>
        <v/>
      </c>
      <c r="K1933" s="225" t="s">
        <v>4159</v>
      </c>
      <c r="O1933" s="225" t="s">
        <v>4159</v>
      </c>
    </row>
    <row r="1934" spans="1:15" ht="12.75" customHeight="1" x14ac:dyDescent="0.3">
      <c r="A1934" s="821"/>
      <c r="B1934" s="821"/>
      <c r="C1934" s="821" t="s">
        <v>1156</v>
      </c>
      <c r="D1934" s="860"/>
      <c r="E1934" s="860"/>
      <c r="F1934" s="860"/>
      <c r="G1934" s="821" t="s">
        <v>2959</v>
      </c>
      <c r="H1934" s="872" t="s">
        <v>4734</v>
      </c>
      <c r="I1934" s="220" t="str">
        <f>IF(ISBLANK(global!I411),"",global!I411)</f>
        <v/>
      </c>
      <c r="K1934" s="225" t="s">
        <v>4159</v>
      </c>
      <c r="O1934" s="225" t="s">
        <v>4159</v>
      </c>
    </row>
    <row r="1935" spans="1:15" ht="12.75" customHeight="1" x14ac:dyDescent="0.3">
      <c r="A1935" s="821"/>
      <c r="B1935" s="821"/>
      <c r="C1935" s="821" t="s">
        <v>2043</v>
      </c>
      <c r="D1935" s="860"/>
      <c r="E1935" s="860"/>
      <c r="F1935" s="860"/>
      <c r="G1935" s="821" t="s">
        <v>2960</v>
      </c>
      <c r="H1935" s="872" t="s">
        <v>4734</v>
      </c>
      <c r="I1935" s="220" t="str">
        <f>IF(ISBLANK(global!I412),"",global!I412)</f>
        <v/>
      </c>
      <c r="K1935" s="225" t="s">
        <v>4159</v>
      </c>
      <c r="O1935" s="225" t="s">
        <v>4159</v>
      </c>
    </row>
    <row r="1936" spans="1:15" ht="12.75" customHeight="1" x14ac:dyDescent="0.3">
      <c r="A1936" s="821"/>
      <c r="B1936" s="821"/>
      <c r="C1936" s="860"/>
      <c r="D1936" s="872" t="s">
        <v>1160</v>
      </c>
      <c r="E1936" s="872"/>
      <c r="F1936" s="872"/>
      <c r="G1936" s="872" t="s">
        <v>2961</v>
      </c>
      <c r="H1936" s="913" t="s">
        <v>4734</v>
      </c>
      <c r="I1936" s="220" t="str">
        <f>IF(ISBLANK(global!I413),"",global!I413)</f>
        <v/>
      </c>
      <c r="K1936" s="225" t="s">
        <v>4159</v>
      </c>
      <c r="O1936" s="225" t="s">
        <v>4159</v>
      </c>
    </row>
    <row r="1937" spans="1:15" ht="12.75" customHeight="1" x14ac:dyDescent="0.3">
      <c r="A1937" s="821"/>
      <c r="B1937" s="821"/>
      <c r="C1937" s="860"/>
      <c r="D1937" s="821" t="s">
        <v>2591</v>
      </c>
      <c r="E1937" s="872"/>
      <c r="F1937" s="872"/>
      <c r="G1937" s="872" t="s">
        <v>2962</v>
      </c>
      <c r="H1937" s="872" t="s">
        <v>4789</v>
      </c>
      <c r="I1937" s="220" t="str">
        <f>IF(ISBLANK(global!I414),"",global!I414)</f>
        <v/>
      </c>
      <c r="K1937" s="225" t="s">
        <v>4159</v>
      </c>
      <c r="O1937" s="225" t="s">
        <v>4159</v>
      </c>
    </row>
    <row r="1938" spans="1:15" ht="12.75" customHeight="1" x14ac:dyDescent="0.3">
      <c r="A1938" s="821"/>
      <c r="B1938" s="821"/>
      <c r="C1938" s="860"/>
      <c r="D1938" s="821" t="s">
        <v>1162</v>
      </c>
      <c r="E1938" s="860"/>
      <c r="F1938" s="860"/>
      <c r="G1938" s="872" t="s">
        <v>2963</v>
      </c>
      <c r="H1938" s="821" t="s">
        <v>291</v>
      </c>
      <c r="I1938" s="220" t="str">
        <f>IF(ISBLANK(global!I415),"",global!I415)</f>
        <v/>
      </c>
      <c r="K1938" s="225" t="s">
        <v>4159</v>
      </c>
      <c r="O1938" s="225" t="s">
        <v>4159</v>
      </c>
    </row>
    <row r="1939" spans="1:15" ht="12.75" customHeight="1" x14ac:dyDescent="0.3">
      <c r="A1939" s="821"/>
      <c r="B1939" s="821" t="s">
        <v>1164</v>
      </c>
      <c r="C1939" s="860"/>
      <c r="D1939" s="821"/>
      <c r="E1939" s="860"/>
      <c r="F1939" s="860"/>
      <c r="G1939" s="872" t="s">
        <v>2964</v>
      </c>
      <c r="H1939" s="821" t="s">
        <v>866</v>
      </c>
      <c r="I1939" s="220" t="str">
        <f>IF(ISBLANK(global!I416),"",global!I416)</f>
        <v/>
      </c>
      <c r="K1939" s="225" t="s">
        <v>4159</v>
      </c>
      <c r="O1939" s="225" t="s">
        <v>4159</v>
      </c>
    </row>
    <row r="1940" spans="1:15" ht="12.75" customHeight="1" x14ac:dyDescent="0.3">
      <c r="A1940" s="821"/>
      <c r="B1940" s="821" t="s">
        <v>1166</v>
      </c>
      <c r="C1940" s="860"/>
      <c r="D1940" s="821"/>
      <c r="E1940" s="860"/>
      <c r="F1940" s="860"/>
      <c r="G1940" s="872" t="s">
        <v>2965</v>
      </c>
      <c r="H1940" s="821" t="s">
        <v>866</v>
      </c>
      <c r="I1940" s="220" t="str">
        <f>IF(ISBLANK(global!I417),"",global!I417)</f>
        <v/>
      </c>
      <c r="K1940" s="225" t="s">
        <v>4159</v>
      </c>
      <c r="O1940" s="225" t="s">
        <v>4159</v>
      </c>
    </row>
    <row r="1941" spans="1:15" ht="12.75" customHeight="1" x14ac:dyDescent="0.3">
      <c r="A1941" s="821"/>
      <c r="B1941" s="821" t="s">
        <v>2597</v>
      </c>
      <c r="C1941" s="860"/>
      <c r="D1941" s="821"/>
      <c r="E1941" s="860"/>
      <c r="F1941" s="860"/>
      <c r="G1941" s="872" t="s">
        <v>2966</v>
      </c>
      <c r="H1941" s="821" t="s">
        <v>866</v>
      </c>
      <c r="I1941" s="220" t="str">
        <f>IF(ISBLANK(global!I418),"",global!I418)</f>
        <v/>
      </c>
      <c r="K1941" s="225" t="s">
        <v>4159</v>
      </c>
      <c r="O1941" s="225" t="s">
        <v>4159</v>
      </c>
    </row>
    <row r="1942" spans="1:15" ht="12.75" customHeight="1" x14ac:dyDescent="0.3">
      <c r="A1942" s="821"/>
      <c r="B1942" s="821" t="s">
        <v>2599</v>
      </c>
      <c r="C1942" s="860"/>
      <c r="D1942" s="821"/>
      <c r="E1942" s="860"/>
      <c r="F1942" s="860"/>
      <c r="G1942" s="872" t="s">
        <v>2967</v>
      </c>
      <c r="H1942" s="821" t="s">
        <v>866</v>
      </c>
      <c r="I1942" s="220" t="str">
        <f>IF(ISBLANK(global!I419),"",global!I419)</f>
        <v/>
      </c>
      <c r="K1942" s="225" t="s">
        <v>4159</v>
      </c>
      <c r="O1942" s="225" t="s">
        <v>4159</v>
      </c>
    </row>
    <row r="1943" spans="1:15" ht="12.75" customHeight="1" x14ac:dyDescent="0.3">
      <c r="A1943" s="860"/>
      <c r="B1943" s="821"/>
      <c r="C1943" s="860" t="s">
        <v>1174</v>
      </c>
      <c r="D1943" s="860"/>
      <c r="E1943" s="860"/>
      <c r="F1943" s="860"/>
      <c r="G1943" s="860" t="s">
        <v>4806</v>
      </c>
      <c r="H1943" s="913" t="s">
        <v>4734</v>
      </c>
      <c r="I1943" s="220" t="str">
        <f>IF(ISBLANK(global!I420),"",global!I420)</f>
        <v/>
      </c>
      <c r="K1943" s="225" t="s">
        <v>4159</v>
      </c>
      <c r="O1943" s="225" t="s">
        <v>4159</v>
      </c>
    </row>
    <row r="1944" spans="1:15" ht="12.75" customHeight="1" x14ac:dyDescent="0.3">
      <c r="A1944" s="860"/>
      <c r="B1944" s="821"/>
      <c r="C1944" s="860" t="s">
        <v>1176</v>
      </c>
      <c r="D1944" s="860"/>
      <c r="E1944" s="860"/>
      <c r="F1944" s="860"/>
      <c r="G1944" s="860" t="s">
        <v>4807</v>
      </c>
      <c r="H1944" s="913" t="s">
        <v>4734</v>
      </c>
      <c r="I1944" s="220" t="str">
        <f>IF(ISBLANK(global!I421),"",global!I421)</f>
        <v/>
      </c>
      <c r="K1944" s="225" t="s">
        <v>4159</v>
      </c>
      <c r="O1944" s="225" t="s">
        <v>4159</v>
      </c>
    </row>
    <row r="1945" spans="1:15" ht="12.75" customHeight="1" x14ac:dyDescent="0.3">
      <c r="A1945" s="821"/>
      <c r="B1945" s="860"/>
      <c r="C1945" s="872" t="s">
        <v>2603</v>
      </c>
      <c r="D1945" s="860"/>
      <c r="E1945" s="860"/>
      <c r="F1945" s="860"/>
      <c r="G1945" s="821" t="s">
        <v>2970</v>
      </c>
      <c r="H1945" s="913" t="s">
        <v>4734</v>
      </c>
      <c r="I1945" s="220" t="str">
        <f>IF(ISBLANK(global!I422),"",global!I422)</f>
        <v/>
      </c>
      <c r="K1945" s="225" t="s">
        <v>4159</v>
      </c>
      <c r="O1945" s="225" t="s">
        <v>4159</v>
      </c>
    </row>
    <row r="1946" spans="1:15" ht="12.75" customHeight="1" x14ac:dyDescent="0.3">
      <c r="A1946" s="821"/>
      <c r="B1946" s="821"/>
      <c r="C1946" s="860" t="s">
        <v>1181</v>
      </c>
      <c r="D1946" s="860"/>
      <c r="E1946" s="872"/>
      <c r="F1946" s="872"/>
      <c r="G1946" s="860" t="s">
        <v>4808</v>
      </c>
      <c r="H1946" s="913" t="s">
        <v>4734</v>
      </c>
      <c r="I1946" s="220" t="str">
        <f>IF(ISBLANK(global!I423),"",global!I423)</f>
        <v/>
      </c>
      <c r="K1946" s="225" t="s">
        <v>4159</v>
      </c>
      <c r="O1946" s="225" t="s">
        <v>4159</v>
      </c>
    </row>
    <row r="1947" spans="1:15" ht="12.75" customHeight="1" x14ac:dyDescent="0.3">
      <c r="A1947" s="821"/>
      <c r="B1947" s="821"/>
      <c r="C1947" s="860" t="s">
        <v>1183</v>
      </c>
      <c r="D1947" s="860"/>
      <c r="E1947" s="860"/>
      <c r="F1947" s="860"/>
      <c r="G1947" s="860" t="s">
        <v>4809</v>
      </c>
      <c r="H1947" s="872" t="s">
        <v>4734</v>
      </c>
      <c r="I1947" s="220" t="str">
        <f>IF(ISBLANK(global!I424),"",global!I424)</f>
        <v/>
      </c>
      <c r="K1947" s="225" t="s">
        <v>4159</v>
      </c>
      <c r="O1947" s="225" t="s">
        <v>4159</v>
      </c>
    </row>
    <row r="1948" spans="1:15" ht="12.75" customHeight="1" x14ac:dyDescent="0.3">
      <c r="A1948" s="821"/>
      <c r="B1948" s="821"/>
      <c r="C1948" s="860" t="s">
        <v>1185</v>
      </c>
      <c r="D1948" s="860"/>
      <c r="E1948" s="872"/>
      <c r="F1948" s="860"/>
      <c r="G1948" s="821" t="s">
        <v>2973</v>
      </c>
      <c r="H1948" s="860" t="s">
        <v>291</v>
      </c>
      <c r="I1948" s="220" t="str">
        <f>IF(ISBLANK(global!I425),"",global!I425)</f>
        <v/>
      </c>
      <c r="K1948" s="225" t="s">
        <v>4159</v>
      </c>
      <c r="O1948" s="225" t="s">
        <v>4159</v>
      </c>
    </row>
    <row r="1949" spans="1:15" ht="12.75" customHeight="1" x14ac:dyDescent="0.3">
      <c r="A1949" s="860"/>
      <c r="B1949" s="860"/>
      <c r="C1949" s="860"/>
      <c r="D1949" s="860"/>
      <c r="E1949" s="860"/>
      <c r="F1949" s="860"/>
      <c r="G1949" s="860"/>
      <c r="H1949" s="860"/>
      <c r="I1949" s="220" t="str">
        <f>IF(ISBLANK(global!I426),"",global!I426)</f>
        <v/>
      </c>
      <c r="K1949" s="225" t="s">
        <v>4159</v>
      </c>
      <c r="O1949" s="225" t="s">
        <v>4159</v>
      </c>
    </row>
    <row r="1950" spans="1:15" ht="12.75" customHeight="1" x14ac:dyDescent="0.3">
      <c r="A1950" s="821" t="s">
        <v>2608</v>
      </c>
      <c r="B1950" s="860"/>
      <c r="C1950" s="860"/>
      <c r="D1950" s="860"/>
      <c r="E1950" s="860"/>
      <c r="F1950" s="860"/>
      <c r="G1950" s="821" t="s">
        <v>2974</v>
      </c>
      <c r="H1950" s="821" t="s">
        <v>4690</v>
      </c>
      <c r="I1950" s="220" t="str">
        <f>IF(ISBLANK(global!I427),"",global!I427)</f>
        <v/>
      </c>
      <c r="K1950" s="225" t="s">
        <v>4159</v>
      </c>
      <c r="O1950" s="225" t="s">
        <v>4159</v>
      </c>
    </row>
    <row r="1951" spans="1:15" ht="12.75" customHeight="1" x14ac:dyDescent="0.3">
      <c r="A1951" s="821" t="s">
        <v>2610</v>
      </c>
      <c r="B1951" s="860"/>
      <c r="C1951" s="860"/>
      <c r="D1951" s="860"/>
      <c r="E1951" s="860"/>
      <c r="F1951" s="860"/>
      <c r="G1951" s="821" t="s">
        <v>2975</v>
      </c>
      <c r="H1951" s="821" t="s">
        <v>4690</v>
      </c>
      <c r="I1951" s="220" t="str">
        <f>IF(ISBLANK(global!I428),"",global!I428)</f>
        <v/>
      </c>
      <c r="K1951" s="225" t="s">
        <v>4159</v>
      </c>
      <c r="O1951" s="225" t="s">
        <v>4159</v>
      </c>
    </row>
    <row r="1952" spans="1:15" ht="12.75" customHeight="1" x14ac:dyDescent="0.3">
      <c r="A1952" s="821"/>
      <c r="B1952" s="821" t="s">
        <v>2612</v>
      </c>
      <c r="C1952" s="860"/>
      <c r="D1952" s="860"/>
      <c r="E1952" s="860"/>
      <c r="F1952" s="860"/>
      <c r="G1952" s="894" t="s">
        <v>2976</v>
      </c>
      <c r="H1952" s="821" t="s">
        <v>4734</v>
      </c>
      <c r="I1952" s="220" t="str">
        <f>IF(ISBLANK(global!I429),"",global!I429)</f>
        <v/>
      </c>
      <c r="K1952" s="225" t="s">
        <v>4159</v>
      </c>
      <c r="O1952" s="225" t="s">
        <v>4159</v>
      </c>
    </row>
    <row r="1953" spans="1:15" ht="12.75" customHeight="1" x14ac:dyDescent="0.3">
      <c r="A1953" s="821"/>
      <c r="B1953" s="821" t="s">
        <v>2614</v>
      </c>
      <c r="C1953" s="860"/>
      <c r="D1953" s="860"/>
      <c r="E1953" s="860"/>
      <c r="F1953" s="860"/>
      <c r="G1953" s="894" t="s">
        <v>2977</v>
      </c>
      <c r="H1953" s="821" t="s">
        <v>4734</v>
      </c>
      <c r="I1953" s="220" t="str">
        <f>IF(ISBLANK(global!I430),"",global!I430)</f>
        <v/>
      </c>
      <c r="K1953" s="225" t="s">
        <v>4159</v>
      </c>
      <c r="O1953" s="225" t="s">
        <v>4159</v>
      </c>
    </row>
    <row r="1954" spans="1:15" ht="12.75" customHeight="1" x14ac:dyDescent="0.3">
      <c r="A1954" s="821"/>
      <c r="B1954" s="821"/>
      <c r="C1954" s="821" t="s">
        <v>1216</v>
      </c>
      <c r="D1954" s="821"/>
      <c r="E1954" s="860"/>
      <c r="F1954" s="860"/>
      <c r="G1954" s="872" t="s">
        <v>2978</v>
      </c>
      <c r="H1954" s="913" t="s">
        <v>4734</v>
      </c>
      <c r="I1954" s="220" t="str">
        <f>IF(ISBLANK(global!I431),"",global!I431)</f>
        <v/>
      </c>
      <c r="K1954" s="225" t="s">
        <v>4159</v>
      </c>
      <c r="O1954" s="225" t="s">
        <v>4159</v>
      </c>
    </row>
    <row r="1955" spans="1:15" ht="12.75" customHeight="1" x14ac:dyDescent="0.3">
      <c r="A1955" s="821"/>
      <c r="B1955" s="821"/>
      <c r="C1955" s="860"/>
      <c r="D1955" s="821" t="s">
        <v>1220</v>
      </c>
      <c r="E1955" s="872"/>
      <c r="F1955" s="872"/>
      <c r="G1955" s="872" t="s">
        <v>2979</v>
      </c>
      <c r="H1955" s="913" t="s">
        <v>4734</v>
      </c>
      <c r="I1955" s="220" t="str">
        <f>IF(ISBLANK(global!I432),"",global!I432)</f>
        <v/>
      </c>
      <c r="K1955" s="225" t="s">
        <v>4159</v>
      </c>
      <c r="O1955" s="225" t="s">
        <v>4159</v>
      </c>
    </row>
    <row r="1956" spans="1:15" ht="12.75" customHeight="1" x14ac:dyDescent="0.3">
      <c r="A1956" s="821"/>
      <c r="B1956" s="821"/>
      <c r="C1956" s="860"/>
      <c r="D1956" s="821" t="s">
        <v>2618</v>
      </c>
      <c r="E1956" s="872"/>
      <c r="F1956" s="872"/>
      <c r="G1956" s="872" t="s">
        <v>2980</v>
      </c>
      <c r="H1956" s="913" t="s">
        <v>4734</v>
      </c>
      <c r="I1956" s="220" t="str">
        <f>IF(ISBLANK(global!I433),"",global!I433)</f>
        <v/>
      </c>
      <c r="K1956" s="225" t="s">
        <v>4159</v>
      </c>
      <c r="O1956" s="225" t="s">
        <v>4159</v>
      </c>
    </row>
    <row r="1957" spans="1:15" ht="12.75" customHeight="1" x14ac:dyDescent="0.3">
      <c r="A1957" s="821"/>
      <c r="B1957" s="821"/>
      <c r="C1957" s="821"/>
      <c r="D1957" s="860"/>
      <c r="E1957" s="821" t="s">
        <v>2620</v>
      </c>
      <c r="F1957" s="821"/>
      <c r="G1957" s="872" t="s">
        <v>2981</v>
      </c>
      <c r="H1957" s="821" t="s">
        <v>4744</v>
      </c>
      <c r="I1957" s="220" t="str">
        <f>IF(ISBLANK(global!I434),"",global!I434)</f>
        <v/>
      </c>
      <c r="K1957" s="225" t="s">
        <v>4159</v>
      </c>
      <c r="O1957" s="225" t="s">
        <v>4159</v>
      </c>
    </row>
    <row r="1958" spans="1:15" ht="12.75" customHeight="1" x14ac:dyDescent="0.3">
      <c r="A1958" s="821"/>
      <c r="B1958" s="860" t="s">
        <v>2623</v>
      </c>
      <c r="C1958" s="872"/>
      <c r="D1958" s="872"/>
      <c r="E1958" s="860"/>
      <c r="F1958" s="860"/>
      <c r="G1958" s="894" t="s">
        <v>2983</v>
      </c>
      <c r="H1958" s="821" t="s">
        <v>4734</v>
      </c>
      <c r="I1958" s="220" t="str">
        <f>IF(ISBLANK(global!I435),"",global!I435)</f>
        <v/>
      </c>
      <c r="K1958" s="225" t="s">
        <v>4159</v>
      </c>
      <c r="O1958" s="225" t="s">
        <v>4159</v>
      </c>
    </row>
    <row r="1959" spans="1:15" ht="12.75" customHeight="1" x14ac:dyDescent="0.3">
      <c r="A1959" s="821"/>
      <c r="B1959" s="860" t="s">
        <v>2625</v>
      </c>
      <c r="C1959" s="872"/>
      <c r="D1959" s="872"/>
      <c r="E1959" s="860"/>
      <c r="F1959" s="860"/>
      <c r="G1959" s="894" t="s">
        <v>2984</v>
      </c>
      <c r="H1959" s="821" t="s">
        <v>4734</v>
      </c>
      <c r="I1959" s="220" t="str">
        <f>IF(ISBLANK(global!I436),"",global!I436)</f>
        <v/>
      </c>
      <c r="K1959" s="225" t="s">
        <v>4159</v>
      </c>
      <c r="O1959" s="225" t="s">
        <v>4159</v>
      </c>
    </row>
    <row r="1960" spans="1:15" ht="12.75" customHeight="1" x14ac:dyDescent="0.3">
      <c r="A1960" s="821"/>
      <c r="B1960" s="821"/>
      <c r="C1960" s="860" t="s">
        <v>1244</v>
      </c>
      <c r="D1960" s="860"/>
      <c r="E1960" s="860"/>
      <c r="F1960" s="860"/>
      <c r="G1960" s="860" t="s">
        <v>2985</v>
      </c>
      <c r="H1960" s="913" t="s">
        <v>4734</v>
      </c>
      <c r="I1960" s="220" t="str">
        <f>IF(ISBLANK(global!I437),"",global!I437)</f>
        <v/>
      </c>
      <c r="K1960" s="225" t="s">
        <v>4159</v>
      </c>
      <c r="O1960" s="225" t="s">
        <v>4159</v>
      </c>
    </row>
    <row r="1961" spans="1:15" ht="12.75" customHeight="1" x14ac:dyDescent="0.3">
      <c r="A1961" s="821"/>
      <c r="B1961" s="821"/>
      <c r="C1961" s="860" t="s">
        <v>1246</v>
      </c>
      <c r="D1961" s="860"/>
      <c r="E1961" s="860"/>
      <c r="F1961" s="860"/>
      <c r="G1961" s="860" t="s">
        <v>2986</v>
      </c>
      <c r="H1961" s="913" t="s">
        <v>4734</v>
      </c>
      <c r="I1961" s="220" t="str">
        <f>IF(ISBLANK(global!I438),"",global!I438)</f>
        <v/>
      </c>
      <c r="K1961" s="225" t="s">
        <v>4159</v>
      </c>
      <c r="O1961" s="225" t="s">
        <v>4159</v>
      </c>
    </row>
    <row r="1962" spans="1:15" ht="12.75" customHeight="1" x14ac:dyDescent="0.3">
      <c r="A1962" s="860"/>
      <c r="B1962" s="860"/>
      <c r="C1962" s="860"/>
      <c r="D1962" s="860"/>
      <c r="E1962" s="860"/>
      <c r="F1962" s="860"/>
      <c r="G1962" s="860"/>
      <c r="H1962" s="860"/>
      <c r="I1962" s="220" t="str">
        <f>IF(ISBLANK(global!I439),"",global!I439)</f>
        <v/>
      </c>
      <c r="K1962" s="225" t="s">
        <v>4159</v>
      </c>
      <c r="O1962" s="225" t="s">
        <v>4159</v>
      </c>
    </row>
    <row r="1963" spans="1:15" ht="12.75" customHeight="1" x14ac:dyDescent="0.3">
      <c r="A1963" s="821" t="s">
        <v>2987</v>
      </c>
      <c r="B1963" s="860"/>
      <c r="C1963" s="860"/>
      <c r="D1963" s="860"/>
      <c r="E1963" s="860"/>
      <c r="F1963" s="860"/>
      <c r="G1963" s="821" t="s">
        <v>2988</v>
      </c>
      <c r="H1963" s="821" t="s">
        <v>4690</v>
      </c>
      <c r="I1963" s="220" t="str">
        <f>IF(ISBLANK(global!I440),"",global!I440)</f>
        <v/>
      </c>
      <c r="K1963" s="225" t="s">
        <v>4159</v>
      </c>
      <c r="O1963" s="225" t="s">
        <v>4159</v>
      </c>
    </row>
    <row r="1964" spans="1:15" ht="12.75" customHeight="1" x14ac:dyDescent="0.3">
      <c r="A1964" s="860"/>
      <c r="B1964" s="860"/>
      <c r="C1964" s="872" t="s">
        <v>2631</v>
      </c>
      <c r="D1964" s="860"/>
      <c r="E1964" s="860"/>
      <c r="F1964" s="860"/>
      <c r="G1964" s="872" t="s">
        <v>2989</v>
      </c>
      <c r="H1964" s="872" t="s">
        <v>4734</v>
      </c>
      <c r="I1964" s="220" t="str">
        <f>IF(ISBLANK(global!I441),"",global!I441)</f>
        <v/>
      </c>
      <c r="K1964" s="225" t="s">
        <v>4159</v>
      </c>
      <c r="O1964" s="225" t="s">
        <v>4159</v>
      </c>
    </row>
    <row r="1965" spans="1:15" ht="12.75" customHeight="1" x14ac:dyDescent="0.3">
      <c r="A1965" s="860"/>
      <c r="B1965" s="860"/>
      <c r="C1965" s="821" t="s">
        <v>2633</v>
      </c>
      <c r="D1965" s="860"/>
      <c r="E1965" s="860"/>
      <c r="F1965" s="860"/>
      <c r="G1965" s="872" t="s">
        <v>2990</v>
      </c>
      <c r="H1965" s="821" t="s">
        <v>291</v>
      </c>
      <c r="I1965" s="220" t="str">
        <f>IF(ISBLANK(global!I442),"",global!I442)</f>
        <v/>
      </c>
      <c r="K1965" s="225" t="s">
        <v>4159</v>
      </c>
      <c r="O1965" s="225" t="s">
        <v>4159</v>
      </c>
    </row>
    <row r="1966" spans="1:15" ht="12.75" customHeight="1" x14ac:dyDescent="0.3">
      <c r="A1966" s="821"/>
      <c r="B1966" s="821"/>
      <c r="C1966" s="860" t="s">
        <v>1185</v>
      </c>
      <c r="D1966" s="860"/>
      <c r="E1966" s="872"/>
      <c r="F1966" s="872"/>
      <c r="G1966" s="821" t="s">
        <v>2991</v>
      </c>
      <c r="H1966" s="860" t="s">
        <v>291</v>
      </c>
      <c r="I1966" s="220" t="str">
        <f>IF(ISBLANK(global!I443),"",global!I443)</f>
        <v/>
      </c>
      <c r="K1966" s="225" t="s">
        <v>4159</v>
      </c>
      <c r="O1966" s="225" t="s">
        <v>4159</v>
      </c>
    </row>
    <row r="1967" spans="1:15" ht="12.75" customHeight="1" x14ac:dyDescent="0.3">
      <c r="A1967" s="860"/>
      <c r="B1967" s="860"/>
      <c r="C1967" s="860"/>
      <c r="D1967" s="872"/>
      <c r="E1967" s="860"/>
      <c r="F1967" s="860"/>
      <c r="G1967" s="860"/>
      <c r="H1967" s="860"/>
      <c r="I1967" s="220" t="str">
        <f>IF(ISBLANK(global!I444),"",global!I444)</f>
        <v/>
      </c>
      <c r="K1967" s="225" t="s">
        <v>4159</v>
      </c>
      <c r="O1967" s="225" t="s">
        <v>4159</v>
      </c>
    </row>
    <row r="1968" spans="1:15" ht="12.75" customHeight="1" x14ac:dyDescent="0.3">
      <c r="A1968" s="865" t="s">
        <v>1266</v>
      </c>
      <c r="B1968" s="864"/>
      <c r="C1968" s="864"/>
      <c r="D1968" s="864"/>
      <c r="E1968" s="864"/>
      <c r="F1968" s="864"/>
      <c r="G1968" s="865" t="s">
        <v>258</v>
      </c>
      <c r="H1968" s="865" t="s">
        <v>274</v>
      </c>
      <c r="I1968" s="220" t="str">
        <f>IF(ISBLANK(global!I445),"",global!I445)</f>
        <v>User input</v>
      </c>
      <c r="K1968" s="225" t="s">
        <v>259</v>
      </c>
      <c r="O1968" s="225" t="s">
        <v>259</v>
      </c>
    </row>
    <row r="1969" spans="1:15" ht="12.75" customHeight="1" x14ac:dyDescent="0.3">
      <c r="A1969" s="821"/>
      <c r="B1969" s="860"/>
      <c r="C1969" s="860"/>
      <c r="D1969" s="860"/>
      <c r="E1969" s="860"/>
      <c r="F1969" s="860"/>
      <c r="G1969" s="860"/>
      <c r="H1969" s="860"/>
      <c r="I1969" s="220" t="str">
        <f>IF(ISBLANK(global!I446),"",global!I446)</f>
        <v/>
      </c>
      <c r="K1969" s="225" t="s">
        <v>4159</v>
      </c>
      <c r="O1969" s="225" t="s">
        <v>4159</v>
      </c>
    </row>
    <row r="1970" spans="1:15" ht="12.75" customHeight="1" x14ac:dyDescent="0.3">
      <c r="A1970" s="821" t="s">
        <v>1267</v>
      </c>
      <c r="B1970" s="860"/>
      <c r="C1970" s="860"/>
      <c r="D1970" s="860"/>
      <c r="E1970" s="860"/>
      <c r="F1970" s="860"/>
      <c r="G1970" s="821" t="s">
        <v>2992</v>
      </c>
      <c r="H1970" s="821" t="s">
        <v>4690</v>
      </c>
      <c r="I1970" s="220" t="str">
        <f>IF(ISBLANK(global!I447),"",global!I447)</f>
        <v/>
      </c>
      <c r="K1970" s="225" t="s">
        <v>4159</v>
      </c>
      <c r="O1970" s="225" t="s">
        <v>4159</v>
      </c>
    </row>
    <row r="1971" spans="1:15" ht="12.75" customHeight="1" x14ac:dyDescent="0.3">
      <c r="A1971" s="821" t="s">
        <v>4794</v>
      </c>
      <c r="B1971" s="860"/>
      <c r="C1971" s="860"/>
      <c r="D1971" s="860"/>
      <c r="E1971" s="860"/>
      <c r="F1971" s="860"/>
      <c r="G1971" s="821" t="s">
        <v>2993</v>
      </c>
      <c r="H1971" s="821" t="s">
        <v>4690</v>
      </c>
      <c r="I1971" s="220" t="str">
        <f>IF(ISBLANK(global!I448),"",global!I448)</f>
        <v/>
      </c>
      <c r="K1971" s="225" t="s">
        <v>4159</v>
      </c>
      <c r="O1971" s="225" t="s">
        <v>4159</v>
      </c>
    </row>
    <row r="1972" spans="1:15" ht="12.75" customHeight="1" x14ac:dyDescent="0.3">
      <c r="A1972" s="821" t="s">
        <v>2638</v>
      </c>
      <c r="B1972" s="860"/>
      <c r="C1972" s="860"/>
      <c r="D1972" s="860"/>
      <c r="E1972" s="860"/>
      <c r="F1972" s="860"/>
      <c r="G1972" s="821" t="s">
        <v>2994</v>
      </c>
      <c r="H1972" s="821" t="s">
        <v>4690</v>
      </c>
      <c r="I1972" s="220" t="str">
        <f>IF(ISBLANK(global!I449),"",global!I449)</f>
        <v/>
      </c>
      <c r="K1972" s="225" t="s">
        <v>4159</v>
      </c>
      <c r="O1972" s="225" t="s">
        <v>4159</v>
      </c>
    </row>
    <row r="1973" spans="1:15" ht="12.75" customHeight="1" x14ac:dyDescent="0.3">
      <c r="A1973" s="821" t="s">
        <v>2640</v>
      </c>
      <c r="B1973" s="860"/>
      <c r="C1973" s="860"/>
      <c r="D1973" s="860"/>
      <c r="E1973" s="860"/>
      <c r="F1973" s="860"/>
      <c r="G1973" s="821" t="s">
        <v>2995</v>
      </c>
      <c r="H1973" s="821" t="s">
        <v>4690</v>
      </c>
      <c r="I1973" s="220" t="str">
        <f>IF(ISBLANK(global!I450),"",global!I450)</f>
        <v/>
      </c>
      <c r="K1973" s="225" t="s">
        <v>4159</v>
      </c>
      <c r="O1973" s="225" t="s">
        <v>4159</v>
      </c>
    </row>
    <row r="1974" spans="1:15" ht="12.75" customHeight="1" x14ac:dyDescent="0.3">
      <c r="A1974" s="821" t="s">
        <v>2642</v>
      </c>
      <c r="B1974" s="860"/>
      <c r="C1974" s="860"/>
      <c r="D1974" s="860"/>
      <c r="E1974" s="860"/>
      <c r="F1974" s="860"/>
      <c r="G1974" s="821" t="s">
        <v>2996</v>
      </c>
      <c r="H1974" s="821" t="s">
        <v>4690</v>
      </c>
      <c r="I1974" s="220" t="str">
        <f>IF(ISBLANK(global!I451),"",global!I451)</f>
        <v/>
      </c>
      <c r="K1974" s="225" t="s">
        <v>4159</v>
      </c>
      <c r="O1974" s="225" t="s">
        <v>4159</v>
      </c>
    </row>
    <row r="1975" spans="1:15" ht="12.75" customHeight="1" x14ac:dyDescent="0.3">
      <c r="A1975" s="821"/>
      <c r="B1975" s="821" t="s">
        <v>1278</v>
      </c>
      <c r="C1975" s="872"/>
      <c r="D1975" s="860"/>
      <c r="E1975" s="860"/>
      <c r="F1975" s="860"/>
      <c r="G1975" s="872" t="s">
        <v>2997</v>
      </c>
      <c r="H1975" s="821" t="s">
        <v>4690</v>
      </c>
      <c r="I1975" s="220" t="str">
        <f>IF(ISBLANK(global!I452),"",global!I452)</f>
        <v/>
      </c>
      <c r="K1975" s="225" t="s">
        <v>4159</v>
      </c>
      <c r="O1975" s="225" t="s">
        <v>4159</v>
      </c>
    </row>
    <row r="1976" spans="1:15" ht="12.75" customHeight="1" x14ac:dyDescent="0.3">
      <c r="A1976" s="821"/>
      <c r="B1976" s="821" t="s">
        <v>1280</v>
      </c>
      <c r="C1976" s="860"/>
      <c r="D1976" s="860"/>
      <c r="E1976" s="860"/>
      <c r="F1976" s="860"/>
      <c r="G1976" s="821" t="s">
        <v>2998</v>
      </c>
      <c r="H1976" s="821" t="s">
        <v>4690</v>
      </c>
      <c r="I1976" s="220" t="str">
        <f>IF(ISBLANK(global!I453),"",global!I453)</f>
        <v/>
      </c>
      <c r="K1976" s="225" t="s">
        <v>4159</v>
      </c>
      <c r="O1976" s="225" t="s">
        <v>4159</v>
      </c>
    </row>
    <row r="1977" spans="1:15" ht="12.75" customHeight="1" x14ac:dyDescent="0.3">
      <c r="A1977" s="872"/>
      <c r="B1977" s="872"/>
      <c r="C1977" s="821" t="s">
        <v>2999</v>
      </c>
      <c r="D1977" s="860"/>
      <c r="E1977" s="860"/>
      <c r="F1977" s="860"/>
      <c r="G1977" s="821" t="s">
        <v>3000</v>
      </c>
      <c r="H1977" s="821" t="s">
        <v>4757</v>
      </c>
      <c r="I1977" s="220" t="str">
        <f>IF(ISBLANK(global!I454),"",global!I454)</f>
        <v/>
      </c>
      <c r="K1977" s="225" t="s">
        <v>4159</v>
      </c>
      <c r="O1977" s="225" t="s">
        <v>4159</v>
      </c>
    </row>
    <row r="1978" spans="1:15" ht="12.75" customHeight="1" x14ac:dyDescent="0.3">
      <c r="A1978" s="872"/>
      <c r="B1978" s="872"/>
      <c r="C1978" s="821" t="s">
        <v>2122</v>
      </c>
      <c r="D1978" s="860"/>
      <c r="E1978" s="860"/>
      <c r="F1978" s="860"/>
      <c r="G1978" s="821" t="s">
        <v>3001</v>
      </c>
      <c r="H1978" s="821" t="s">
        <v>291</v>
      </c>
      <c r="I1978" s="220" t="str">
        <f>IF(ISBLANK(global!I455),"",global!I455)</f>
        <v/>
      </c>
      <c r="K1978" s="225" t="s">
        <v>4159</v>
      </c>
      <c r="O1978" s="225" t="s">
        <v>4159</v>
      </c>
    </row>
    <row r="1979" spans="1:15" ht="12.75" customHeight="1" x14ac:dyDescent="0.3">
      <c r="A1979" s="821"/>
      <c r="B1979" s="821" t="s">
        <v>4795</v>
      </c>
      <c r="C1979" s="860"/>
      <c r="D1979" s="860"/>
      <c r="E1979" s="860"/>
      <c r="F1979" s="860"/>
      <c r="G1979" s="821" t="s">
        <v>3002</v>
      </c>
      <c r="H1979" s="821" t="s">
        <v>4690</v>
      </c>
      <c r="I1979" s="220" t="str">
        <f>IF(ISBLANK(global!I456),"",global!I456)</f>
        <v/>
      </c>
      <c r="K1979" s="225" t="s">
        <v>4159</v>
      </c>
      <c r="O1979" s="225" t="s">
        <v>4159</v>
      </c>
    </row>
    <row r="1980" spans="1:15" ht="12.75" customHeight="1" x14ac:dyDescent="0.3">
      <c r="A1980" s="821"/>
      <c r="B1980" s="821" t="s">
        <v>2650</v>
      </c>
      <c r="C1980" s="860"/>
      <c r="D1980" s="860"/>
      <c r="E1980" s="860"/>
      <c r="F1980" s="860"/>
      <c r="G1980" s="821" t="s">
        <v>3003</v>
      </c>
      <c r="H1980" s="821" t="s">
        <v>4690</v>
      </c>
      <c r="I1980" s="220" t="str">
        <f>IF(ISBLANK(global!I457),"",global!I457)</f>
        <v/>
      </c>
      <c r="K1980" s="225" t="s">
        <v>4159</v>
      </c>
      <c r="O1980" s="225" t="s">
        <v>4159</v>
      </c>
    </row>
    <row r="1981" spans="1:15" ht="12.75" customHeight="1" x14ac:dyDescent="0.3">
      <c r="A1981" s="821"/>
      <c r="B1981" s="821"/>
      <c r="C1981" s="821" t="s">
        <v>4796</v>
      </c>
      <c r="D1981" s="860"/>
      <c r="E1981" s="860"/>
      <c r="F1981" s="860"/>
      <c r="G1981" s="872" t="s">
        <v>3004</v>
      </c>
      <c r="H1981" s="821" t="s">
        <v>1295</v>
      </c>
      <c r="I1981" s="220" t="str">
        <f>IF(ISBLANK(global!I458),"",global!I458)</f>
        <v/>
      </c>
      <c r="K1981" s="225" t="s">
        <v>4159</v>
      </c>
      <c r="O1981" s="225" t="s">
        <v>4159</v>
      </c>
    </row>
    <row r="1982" spans="1:15" ht="12.75" customHeight="1" x14ac:dyDescent="0.3">
      <c r="A1982" s="821"/>
      <c r="B1982" s="821"/>
      <c r="C1982" s="821" t="s">
        <v>3005</v>
      </c>
      <c r="D1982" s="860"/>
      <c r="E1982" s="860"/>
      <c r="F1982" s="860"/>
      <c r="G1982" s="872" t="s">
        <v>3006</v>
      </c>
      <c r="H1982" s="821" t="s">
        <v>1295</v>
      </c>
      <c r="I1982" s="220" t="str">
        <f>IF(ISBLANK(global!I459),"",global!I459)</f>
        <v/>
      </c>
      <c r="K1982" s="225" t="s">
        <v>4159</v>
      </c>
      <c r="O1982" s="225" t="s">
        <v>4159</v>
      </c>
    </row>
    <row r="1983" spans="1:15" ht="12.75" customHeight="1" x14ac:dyDescent="0.3">
      <c r="A1983" s="872"/>
      <c r="B1983" s="872"/>
      <c r="C1983" s="821" t="s">
        <v>1301</v>
      </c>
      <c r="D1983" s="860"/>
      <c r="E1983" s="860"/>
      <c r="F1983" s="860"/>
      <c r="G1983" s="821" t="s">
        <v>3007</v>
      </c>
      <c r="H1983" s="821" t="s">
        <v>291</v>
      </c>
      <c r="I1983" s="220" t="str">
        <f>IF(ISBLANK(global!I460),"",global!I460)</f>
        <v/>
      </c>
      <c r="K1983" s="225" t="s">
        <v>4159</v>
      </c>
      <c r="O1983" s="225" t="s">
        <v>4159</v>
      </c>
    </row>
    <row r="1984" spans="1:15" ht="12.75" customHeight="1" x14ac:dyDescent="0.3">
      <c r="A1984" s="821"/>
      <c r="B1984" s="821" t="s">
        <v>2656</v>
      </c>
      <c r="C1984" s="860"/>
      <c r="D1984" s="860"/>
      <c r="E1984" s="860"/>
      <c r="F1984" s="860"/>
      <c r="G1984" s="821" t="s">
        <v>3008</v>
      </c>
      <c r="H1984" s="821" t="s">
        <v>4690</v>
      </c>
      <c r="I1984" s="220" t="str">
        <f>IF(ISBLANK(global!I461),"",global!I461)</f>
        <v/>
      </c>
      <c r="K1984" s="225" t="s">
        <v>4159</v>
      </c>
      <c r="O1984" s="225" t="s">
        <v>4159</v>
      </c>
    </row>
    <row r="1985" spans="1:15" ht="12.75" customHeight="1" x14ac:dyDescent="0.3">
      <c r="A1985" s="821"/>
      <c r="B1985" s="821" t="s">
        <v>2658</v>
      </c>
      <c r="C1985" s="860"/>
      <c r="D1985" s="860"/>
      <c r="E1985" s="860"/>
      <c r="F1985" s="860"/>
      <c r="G1985" s="821" t="s">
        <v>3009</v>
      </c>
      <c r="H1985" s="821" t="s">
        <v>4690</v>
      </c>
      <c r="I1985" s="220" t="str">
        <f>IF(ISBLANK(global!I462),"",global!I462)</f>
        <v/>
      </c>
      <c r="K1985" s="225" t="s">
        <v>4159</v>
      </c>
      <c r="O1985" s="225" t="s">
        <v>4159</v>
      </c>
    </row>
    <row r="1986" spans="1:15" ht="12.75" customHeight="1" x14ac:dyDescent="0.3">
      <c r="A1986" s="860"/>
      <c r="B1986" s="860"/>
      <c r="C1986" s="821" t="s">
        <v>2660</v>
      </c>
      <c r="D1986" s="860"/>
      <c r="E1986" s="860"/>
      <c r="F1986" s="860"/>
      <c r="G1986" s="872" t="s">
        <v>3010</v>
      </c>
      <c r="H1986" s="821" t="s">
        <v>291</v>
      </c>
      <c r="I1986" s="220" t="str">
        <f>IF(ISBLANK(global!I463),"",global!I463)</f>
        <v/>
      </c>
      <c r="K1986" s="225" t="s">
        <v>4159</v>
      </c>
      <c r="O1986" s="225" t="s">
        <v>4159</v>
      </c>
    </row>
    <row r="1987" spans="1:15" ht="12.75" customHeight="1" x14ac:dyDescent="0.3">
      <c r="A1987" s="821"/>
      <c r="B1987" s="821"/>
      <c r="C1987" s="860" t="s">
        <v>1185</v>
      </c>
      <c r="D1987" s="860"/>
      <c r="E1987" s="872"/>
      <c r="F1987" s="872"/>
      <c r="G1987" s="821" t="s">
        <v>3011</v>
      </c>
      <c r="H1987" s="860" t="s">
        <v>291</v>
      </c>
      <c r="I1987" s="220" t="str">
        <f>IF(ISBLANK(global!I464),"",global!I464)</f>
        <v/>
      </c>
      <c r="K1987" s="225" t="s">
        <v>4159</v>
      </c>
      <c r="O1987" s="225" t="s">
        <v>4159</v>
      </c>
    </row>
    <row r="1988" spans="1:15" ht="12.75" customHeight="1" x14ac:dyDescent="0.3">
      <c r="A1988" s="895"/>
      <c r="B1988" s="895"/>
      <c r="C1988" s="895"/>
      <c r="D1988" s="895"/>
      <c r="E1988" s="895"/>
      <c r="F1988" s="895"/>
      <c r="G1988" s="895"/>
      <c r="H1988" s="895"/>
      <c r="I1988" s="220" t="str">
        <f>IF(ISBLANK(global!I465),"",global!I465)</f>
        <v/>
      </c>
      <c r="K1988" s="225" t="s">
        <v>4159</v>
      </c>
      <c r="O1988" s="225" t="s">
        <v>4159</v>
      </c>
    </row>
    <row r="1989" spans="1:15" ht="12.75" customHeight="1" x14ac:dyDescent="0.3">
      <c r="A1989" s="785" t="s">
        <v>1325</v>
      </c>
      <c r="B1989" s="784"/>
      <c r="C1989" s="784"/>
      <c r="D1989" s="784"/>
      <c r="E1989" s="784"/>
      <c r="F1989" s="784"/>
      <c r="G1989" s="785" t="s">
        <v>258</v>
      </c>
      <c r="H1989" s="785" t="s">
        <v>274</v>
      </c>
      <c r="I1989" s="220" t="str">
        <f>IF(ISBLANK(global!I466),"",global!I466)</f>
        <v>User input</v>
      </c>
      <c r="K1989" s="225" t="s">
        <v>259</v>
      </c>
      <c r="O1989" s="225" t="s">
        <v>259</v>
      </c>
    </row>
    <row r="1990" spans="1:15" ht="12.75" customHeight="1" x14ac:dyDescent="0.3">
      <c r="A1990" s="352" t="s">
        <v>3012</v>
      </c>
      <c r="B1990" s="352"/>
      <c r="C1990" s="352"/>
      <c r="D1990" s="352"/>
      <c r="E1990" s="352"/>
      <c r="F1990" s="352"/>
      <c r="G1990" s="520"/>
      <c r="H1990" s="520"/>
      <c r="I1990" s="220" t="str">
        <f>IF(ISBLANK(global!I467),"",global!I467)</f>
        <v/>
      </c>
      <c r="K1990" s="225" t="s">
        <v>4159</v>
      </c>
      <c r="O1990" s="225" t="s">
        <v>4159</v>
      </c>
    </row>
    <row r="1991" spans="1:15" ht="12.75" customHeight="1" x14ac:dyDescent="0.3">
      <c r="A1991" s="797" t="s">
        <v>1329</v>
      </c>
      <c r="B1991" s="797"/>
      <c r="C1991" s="797"/>
      <c r="D1991" s="797"/>
      <c r="E1991" s="797"/>
      <c r="F1991" s="797"/>
      <c r="G1991" s="797" t="s">
        <v>3013</v>
      </c>
      <c r="H1991" s="796" t="s">
        <v>335</v>
      </c>
      <c r="I1991" s="220" t="str">
        <f>IF(ISBLANK(global!I468),"",global!I468)</f>
        <v/>
      </c>
      <c r="K1991" s="225" t="s">
        <v>4159</v>
      </c>
      <c r="O1991" s="225" t="s">
        <v>4159</v>
      </c>
    </row>
    <row r="1992" spans="1:15" ht="12.75" customHeight="1" x14ac:dyDescent="0.3">
      <c r="A1992" s="797"/>
      <c r="B1992" s="797" t="s">
        <v>1332</v>
      </c>
      <c r="C1992" s="797"/>
      <c r="D1992" s="797"/>
      <c r="E1992" s="797"/>
      <c r="F1992" s="797"/>
      <c r="G1992" s="797" t="s">
        <v>3014</v>
      </c>
      <c r="H1992" s="797" t="s">
        <v>335</v>
      </c>
      <c r="I1992" s="220" t="str">
        <f>IF(ISBLANK(global!I469),"",global!I469)</f>
        <v/>
      </c>
      <c r="K1992" s="225" t="s">
        <v>4159</v>
      </c>
      <c r="O1992" s="225" t="s">
        <v>4159</v>
      </c>
    </row>
    <row r="1993" spans="1:15" ht="12.75" customHeight="1" x14ac:dyDescent="0.3">
      <c r="A1993" s="797"/>
      <c r="B1993" s="797"/>
      <c r="C1993" s="797" t="s">
        <v>706</v>
      </c>
      <c r="D1993" s="797"/>
      <c r="E1993" s="797"/>
      <c r="F1993" s="797"/>
      <c r="G1993" s="797" t="s">
        <v>3015</v>
      </c>
      <c r="H1993" s="796" t="s">
        <v>708</v>
      </c>
      <c r="I1993" s="220" t="str">
        <f>IF(ISBLANK(global!I470),"",global!I470)</f>
        <v/>
      </c>
      <c r="K1993" s="225" t="s">
        <v>4159</v>
      </c>
      <c r="O1993" s="225" t="s">
        <v>4159</v>
      </c>
    </row>
    <row r="1994" spans="1:15" ht="12.75" customHeight="1" x14ac:dyDescent="0.3">
      <c r="A1994" s="797"/>
      <c r="B1994" s="797"/>
      <c r="C1994" s="797" t="s">
        <v>1339</v>
      </c>
      <c r="D1994" s="797"/>
      <c r="E1994" s="797"/>
      <c r="F1994" s="797"/>
      <c r="G1994" s="796" t="s">
        <v>3016</v>
      </c>
      <c r="H1994" s="796" t="s">
        <v>866</v>
      </c>
      <c r="I1994" s="220" t="str">
        <f>IF(ISBLANK(global!I471),"",global!I471)</f>
        <v/>
      </c>
      <c r="K1994" s="225" t="s">
        <v>4159</v>
      </c>
      <c r="O1994" s="225" t="s">
        <v>4159</v>
      </c>
    </row>
    <row r="1995" spans="1:15" ht="12.75" customHeight="1" x14ac:dyDescent="0.3">
      <c r="A1995" s="797"/>
      <c r="B1995" s="797"/>
      <c r="C1995" s="797" t="s">
        <v>1337</v>
      </c>
      <c r="D1995" s="797"/>
      <c r="E1995" s="797"/>
      <c r="F1995" s="797"/>
      <c r="G1995" s="797" t="s">
        <v>3017</v>
      </c>
      <c r="H1995" s="797" t="s">
        <v>900</v>
      </c>
      <c r="I1995" s="220" t="str">
        <f>IF(ISBLANK(global!I472),"",global!I472)</f>
        <v/>
      </c>
      <c r="K1995" s="225" t="s">
        <v>4159</v>
      </c>
      <c r="O1995" s="225" t="s">
        <v>4159</v>
      </c>
    </row>
    <row r="1996" spans="1:15" ht="12.75" customHeight="1" x14ac:dyDescent="0.3">
      <c r="A1996" s="797"/>
      <c r="B1996" s="797"/>
      <c r="C1996" s="797" t="s">
        <v>1334</v>
      </c>
      <c r="D1996" s="797"/>
      <c r="E1996" s="797"/>
      <c r="F1996" s="797"/>
      <c r="G1996" s="796" t="s">
        <v>3018</v>
      </c>
      <c r="H1996" s="796" t="s">
        <v>291</v>
      </c>
      <c r="I1996" s="220" t="str">
        <f>IF(ISBLANK(global!I473),"",global!I473)</f>
        <v/>
      </c>
      <c r="K1996" s="225" t="s">
        <v>4159</v>
      </c>
      <c r="O1996" s="225" t="s">
        <v>4159</v>
      </c>
    </row>
    <row r="1997" spans="1:15" ht="12.75" customHeight="1" x14ac:dyDescent="0.3">
      <c r="A1997" s="797" t="s">
        <v>1341</v>
      </c>
      <c r="B1997" s="797"/>
      <c r="C1997" s="797"/>
      <c r="D1997" s="797"/>
      <c r="E1997" s="797"/>
      <c r="F1997" s="797"/>
      <c r="G1997" s="797" t="s">
        <v>3019</v>
      </c>
      <c r="H1997" s="797" t="s">
        <v>335</v>
      </c>
      <c r="I1997" s="220" t="str">
        <f>IF(ISBLANK(global!I474),"",global!I474)</f>
        <v/>
      </c>
      <c r="K1997" s="225" t="s">
        <v>4159</v>
      </c>
      <c r="O1997" s="225" t="s">
        <v>4159</v>
      </c>
    </row>
    <row r="1998" spans="1:15" ht="12.75" customHeight="1" x14ac:dyDescent="0.3">
      <c r="A1998" s="797"/>
      <c r="B1998" s="797"/>
      <c r="C1998" s="797" t="s">
        <v>710</v>
      </c>
      <c r="D1998" s="797"/>
      <c r="E1998" s="797"/>
      <c r="F1998" s="797"/>
      <c r="G1998" s="797" t="s">
        <v>3020</v>
      </c>
      <c r="H1998" s="796" t="s">
        <v>708</v>
      </c>
      <c r="I1998" s="220" t="str">
        <f>IF(ISBLANK(global!I475),"",global!I475)</f>
        <v/>
      </c>
      <c r="K1998" s="225" t="s">
        <v>4159</v>
      </c>
      <c r="O1998" s="225" t="s">
        <v>4159</v>
      </c>
    </row>
    <row r="1999" spans="1:15" ht="12.75" customHeight="1" x14ac:dyDescent="0.3">
      <c r="A1999" s="797"/>
      <c r="B1999" s="797"/>
      <c r="C1999" s="797" t="s">
        <v>1343</v>
      </c>
      <c r="D1999" s="797"/>
      <c r="E1999" s="797"/>
      <c r="F1999" s="797"/>
      <c r="G1999" s="796" t="s">
        <v>3021</v>
      </c>
      <c r="H1999" s="796" t="s">
        <v>866</v>
      </c>
      <c r="I1999" s="220" t="str">
        <f>IF(ISBLANK(global!I476),"",global!I476)</f>
        <v/>
      </c>
      <c r="K1999" s="225" t="s">
        <v>4159</v>
      </c>
      <c r="O1999" s="225" t="s">
        <v>4159</v>
      </c>
    </row>
    <row r="2000" spans="1:15" ht="12.75" customHeight="1" x14ac:dyDescent="0.3">
      <c r="A2000" s="797"/>
      <c r="B2000" s="797"/>
      <c r="C2000" s="797" t="s">
        <v>1345</v>
      </c>
      <c r="D2000" s="797"/>
      <c r="E2000" s="797"/>
      <c r="F2000" s="797"/>
      <c r="G2000" s="797" t="s">
        <v>3022</v>
      </c>
      <c r="H2000" s="797" t="s">
        <v>900</v>
      </c>
      <c r="I2000" s="220" t="str">
        <f>IF(ISBLANK(global!I477),"",global!I477)</f>
        <v/>
      </c>
      <c r="K2000" s="225" t="s">
        <v>4159</v>
      </c>
      <c r="O2000" s="225" t="s">
        <v>4159</v>
      </c>
    </row>
    <row r="2001" spans="1:15" ht="12.75" customHeight="1" x14ac:dyDescent="0.3">
      <c r="A2001" s="797"/>
      <c r="B2001" s="797"/>
      <c r="C2001" s="797" t="s">
        <v>1347</v>
      </c>
      <c r="D2001" s="797"/>
      <c r="E2001" s="797"/>
      <c r="F2001" s="797"/>
      <c r="G2001" s="796" t="s">
        <v>3023</v>
      </c>
      <c r="H2001" s="796" t="s">
        <v>291</v>
      </c>
      <c r="I2001" s="220" t="str">
        <f>IF(ISBLANK(global!I478),"",global!I478)</f>
        <v/>
      </c>
      <c r="K2001" s="225" t="s">
        <v>4159</v>
      </c>
      <c r="O2001" s="225" t="s">
        <v>4159</v>
      </c>
    </row>
    <row r="2002" spans="1:15" ht="12.75" customHeight="1" x14ac:dyDescent="0.3">
      <c r="A2002" s="797" t="s">
        <v>1349</v>
      </c>
      <c r="B2002" s="797"/>
      <c r="C2002" s="797"/>
      <c r="D2002" s="797"/>
      <c r="E2002" s="797"/>
      <c r="F2002" s="797"/>
      <c r="G2002" s="796" t="s">
        <v>3024</v>
      </c>
      <c r="H2002" s="796" t="s">
        <v>335</v>
      </c>
      <c r="I2002" s="220" t="str">
        <f>IF(ISBLANK(global!I479),"",global!I479)</f>
        <v/>
      </c>
      <c r="K2002" s="225" t="s">
        <v>4159</v>
      </c>
      <c r="O2002" s="225" t="s">
        <v>4159</v>
      </c>
    </row>
    <row r="2003" spans="1:15" ht="12.75" customHeight="1" x14ac:dyDescent="0.3">
      <c r="A2003" s="797"/>
      <c r="B2003" s="797" t="s">
        <v>712</v>
      </c>
      <c r="C2003" s="797"/>
      <c r="D2003" s="797"/>
      <c r="E2003" s="797"/>
      <c r="F2003" s="797"/>
      <c r="G2003" s="797" t="s">
        <v>3025</v>
      </c>
      <c r="H2003" s="796" t="s">
        <v>708</v>
      </c>
      <c r="I2003" s="220" t="str">
        <f>IF(ISBLANK(global!I480),"",global!I480)</f>
        <v/>
      </c>
      <c r="K2003" s="225" t="s">
        <v>4159</v>
      </c>
      <c r="O2003" s="225" t="s">
        <v>4159</v>
      </c>
    </row>
    <row r="2004" spans="1:15" ht="12.75" customHeight="1" x14ac:dyDescent="0.3">
      <c r="A2004" s="797"/>
      <c r="B2004" s="797" t="s">
        <v>1351</v>
      </c>
      <c r="C2004" s="797"/>
      <c r="D2004" s="797"/>
      <c r="E2004" s="797"/>
      <c r="F2004" s="797"/>
      <c r="G2004" s="796" t="s">
        <v>3026</v>
      </c>
      <c r="H2004" s="796" t="s">
        <v>866</v>
      </c>
      <c r="I2004" s="220" t="str">
        <f>IF(ISBLANK(global!I481),"",global!I481)</f>
        <v/>
      </c>
      <c r="K2004" s="225" t="s">
        <v>4159</v>
      </c>
      <c r="O2004" s="225" t="s">
        <v>4159</v>
      </c>
    </row>
    <row r="2005" spans="1:15" ht="12.75" customHeight="1" x14ac:dyDescent="0.3">
      <c r="A2005" s="797"/>
      <c r="B2005" s="797" t="s">
        <v>1353</v>
      </c>
      <c r="C2005" s="797"/>
      <c r="D2005" s="797"/>
      <c r="E2005" s="797"/>
      <c r="F2005" s="797"/>
      <c r="G2005" s="797" t="s">
        <v>3027</v>
      </c>
      <c r="H2005" s="797" t="s">
        <v>900</v>
      </c>
      <c r="I2005" s="220" t="str">
        <f>IF(ISBLANK(global!I482),"",global!I482)</f>
        <v/>
      </c>
      <c r="K2005" s="225" t="s">
        <v>4159</v>
      </c>
      <c r="O2005" s="225" t="s">
        <v>4159</v>
      </c>
    </row>
    <row r="2006" spans="1:15" ht="12.75" customHeight="1" x14ac:dyDescent="0.3">
      <c r="A2006" s="797"/>
      <c r="B2006" s="797" t="s">
        <v>1355</v>
      </c>
      <c r="C2006" s="797"/>
      <c r="D2006" s="797"/>
      <c r="E2006" s="797"/>
      <c r="F2006" s="797"/>
      <c r="G2006" s="796" t="s">
        <v>3028</v>
      </c>
      <c r="H2006" s="796" t="s">
        <v>291</v>
      </c>
      <c r="I2006" s="220" t="str">
        <f>IF(ISBLANK(global!I483),"",global!I483)</f>
        <v/>
      </c>
      <c r="K2006" s="225" t="s">
        <v>4159</v>
      </c>
      <c r="O2006" s="225" t="s">
        <v>4159</v>
      </c>
    </row>
    <row r="2007" spans="1:15" ht="12.75" customHeight="1" x14ac:dyDescent="0.3">
      <c r="A2007" s="352" t="s">
        <v>3029</v>
      </c>
      <c r="B2007" s="352"/>
      <c r="C2007" s="352"/>
      <c r="D2007" s="352"/>
      <c r="E2007" s="352"/>
      <c r="F2007" s="352"/>
      <c r="G2007" s="520"/>
      <c r="H2007" s="520"/>
      <c r="I2007" s="220" t="str">
        <f>IF(ISBLANK(global!I484),"",global!I484)</f>
        <v/>
      </c>
      <c r="K2007" s="225" t="s">
        <v>4159</v>
      </c>
      <c r="O2007" s="225" t="s">
        <v>4159</v>
      </c>
    </row>
    <row r="2008" spans="1:15" ht="12.75" customHeight="1" x14ac:dyDescent="0.3">
      <c r="A2008" s="797" t="s">
        <v>1380</v>
      </c>
      <c r="B2008" s="797"/>
      <c r="C2008" s="797"/>
      <c r="D2008" s="797"/>
      <c r="E2008" s="797"/>
      <c r="F2008" s="797"/>
      <c r="G2008" s="796" t="s">
        <v>3030</v>
      </c>
      <c r="H2008" s="796" t="s">
        <v>335</v>
      </c>
      <c r="I2008" s="220" t="str">
        <f>IF(ISBLANK(global!I485),"",global!I485)</f>
        <v/>
      </c>
      <c r="K2008" s="225" t="s">
        <v>4159</v>
      </c>
      <c r="O2008" s="225" t="s">
        <v>4159</v>
      </c>
    </row>
    <row r="2009" spans="1:15" ht="12.75" customHeight="1" x14ac:dyDescent="0.3">
      <c r="A2009" s="797"/>
      <c r="B2009" s="797" t="s">
        <v>1382</v>
      </c>
      <c r="C2009" s="797"/>
      <c r="D2009" s="797"/>
      <c r="E2009" s="797"/>
      <c r="F2009" s="797"/>
      <c r="G2009" s="796" t="s">
        <v>3031</v>
      </c>
      <c r="H2009" s="796" t="s">
        <v>708</v>
      </c>
      <c r="I2009" s="220" t="str">
        <f>IF(ISBLANK(global!I486),"",global!I486)</f>
        <v/>
      </c>
      <c r="K2009" s="225" t="s">
        <v>4159</v>
      </c>
      <c r="O2009" s="225" t="s">
        <v>4159</v>
      </c>
    </row>
    <row r="2010" spans="1:15" ht="12.75" customHeight="1" x14ac:dyDescent="0.3">
      <c r="A2010" s="797"/>
      <c r="B2010" s="797" t="s">
        <v>1385</v>
      </c>
      <c r="C2010" s="797"/>
      <c r="D2010" s="797"/>
      <c r="E2010" s="797"/>
      <c r="F2010" s="797"/>
      <c r="G2010" s="796" t="s">
        <v>3032</v>
      </c>
      <c r="H2010" s="796" t="s">
        <v>335</v>
      </c>
      <c r="I2010" s="220" t="str">
        <f>IF(ISBLANK(global!I487),"",global!I487)</f>
        <v/>
      </c>
      <c r="K2010" s="225" t="s">
        <v>4159</v>
      </c>
      <c r="O2010" s="225" t="s">
        <v>4159</v>
      </c>
    </row>
    <row r="2011" spans="1:15" ht="12.75" customHeight="1" x14ac:dyDescent="0.3">
      <c r="A2011" s="797"/>
      <c r="B2011" s="797"/>
      <c r="C2011" s="797" t="s">
        <v>1364</v>
      </c>
      <c r="D2011" s="797"/>
      <c r="E2011" s="797"/>
      <c r="F2011" s="797"/>
      <c r="G2011" s="796" t="s">
        <v>3033</v>
      </c>
      <c r="H2011" s="796" t="s">
        <v>335</v>
      </c>
      <c r="I2011" s="220" t="str">
        <f>IF(ISBLANK(global!I488),"",global!I488)</f>
        <v/>
      </c>
      <c r="K2011" s="225" t="s">
        <v>4159</v>
      </c>
      <c r="O2011" s="225" t="s">
        <v>4159</v>
      </c>
    </row>
    <row r="2012" spans="1:15" ht="12.75" customHeight="1" x14ac:dyDescent="0.3">
      <c r="A2012" s="797"/>
      <c r="B2012" s="797"/>
      <c r="C2012" s="797"/>
      <c r="D2012" s="797" t="s">
        <v>1388</v>
      </c>
      <c r="E2012" s="797"/>
      <c r="F2012" s="797"/>
      <c r="G2012" s="796" t="s">
        <v>3034</v>
      </c>
      <c r="H2012" s="796" t="s">
        <v>335</v>
      </c>
      <c r="I2012" s="220" t="str">
        <f>IF(ISBLANK(global!I489),"",global!I489)</f>
        <v/>
      </c>
      <c r="K2012" s="225" t="s">
        <v>4159</v>
      </c>
      <c r="O2012" s="225" t="s">
        <v>4159</v>
      </c>
    </row>
    <row r="2013" spans="1:15" ht="12.75" customHeight="1" x14ac:dyDescent="0.3">
      <c r="A2013" s="797" t="s">
        <v>1380</v>
      </c>
      <c r="B2013" s="797"/>
      <c r="C2013" s="797"/>
      <c r="D2013" s="797"/>
      <c r="E2013" s="797"/>
      <c r="F2013" s="797"/>
      <c r="G2013" s="796" t="s">
        <v>3035</v>
      </c>
      <c r="H2013" s="796" t="s">
        <v>335</v>
      </c>
      <c r="I2013" s="220" t="str">
        <f>IF(ISBLANK(global!I490),"",global!I490)</f>
        <v/>
      </c>
      <c r="K2013" s="225" t="s">
        <v>4159</v>
      </c>
      <c r="O2013" s="225" t="s">
        <v>4159</v>
      </c>
    </row>
    <row r="2014" spans="1:15" ht="12.75" customHeight="1" x14ac:dyDescent="0.3">
      <c r="A2014" s="797"/>
      <c r="B2014" s="797" t="s">
        <v>1382</v>
      </c>
      <c r="C2014" s="797"/>
      <c r="D2014" s="797"/>
      <c r="E2014" s="797"/>
      <c r="F2014" s="797"/>
      <c r="G2014" s="796" t="s">
        <v>3036</v>
      </c>
      <c r="H2014" s="796" t="s">
        <v>708</v>
      </c>
      <c r="I2014" s="220" t="str">
        <f>IF(ISBLANK(global!I491),"",global!I491)</f>
        <v/>
      </c>
      <c r="K2014" s="225" t="s">
        <v>4159</v>
      </c>
      <c r="O2014" s="225" t="s">
        <v>4159</v>
      </c>
    </row>
    <row r="2015" spans="1:15" ht="12.75" customHeight="1" x14ac:dyDescent="0.3">
      <c r="A2015" s="797"/>
      <c r="B2015" s="797" t="s">
        <v>1385</v>
      </c>
      <c r="C2015" s="797"/>
      <c r="D2015" s="797"/>
      <c r="E2015" s="797"/>
      <c r="F2015" s="797"/>
      <c r="G2015" s="796" t="s">
        <v>3037</v>
      </c>
      <c r="H2015" s="796" t="s">
        <v>335</v>
      </c>
      <c r="I2015" s="220" t="str">
        <f>IF(ISBLANK(global!I492),"",global!I492)</f>
        <v/>
      </c>
      <c r="K2015" s="225" t="s">
        <v>4159</v>
      </c>
      <c r="O2015" s="225" t="s">
        <v>4159</v>
      </c>
    </row>
    <row r="2016" spans="1:15" ht="12.75" customHeight="1" x14ac:dyDescent="0.3">
      <c r="A2016" s="797"/>
      <c r="B2016" s="797"/>
      <c r="C2016" s="797" t="s">
        <v>1364</v>
      </c>
      <c r="D2016" s="797"/>
      <c r="E2016" s="797"/>
      <c r="F2016" s="797"/>
      <c r="G2016" s="796" t="s">
        <v>3038</v>
      </c>
      <c r="H2016" s="796" t="s">
        <v>335</v>
      </c>
      <c r="I2016" s="220" t="str">
        <f>IF(ISBLANK(global!I493),"",global!I493)</f>
        <v/>
      </c>
      <c r="K2016" s="225" t="s">
        <v>4159</v>
      </c>
      <c r="O2016" s="225" t="s">
        <v>4159</v>
      </c>
    </row>
    <row r="2017" spans="1:15" ht="12.75" customHeight="1" x14ac:dyDescent="0.3">
      <c r="A2017" s="797"/>
      <c r="B2017" s="797"/>
      <c r="C2017" s="797"/>
      <c r="D2017" s="797" t="s">
        <v>1388</v>
      </c>
      <c r="E2017" s="797"/>
      <c r="F2017" s="797"/>
      <c r="G2017" s="796" t="s">
        <v>3039</v>
      </c>
      <c r="H2017" s="796" t="s">
        <v>335</v>
      </c>
      <c r="I2017" s="220" t="str">
        <f>IF(ISBLANK(global!I494),"",global!I494)</f>
        <v/>
      </c>
      <c r="K2017" s="225" t="s">
        <v>4159</v>
      </c>
      <c r="O2017" s="225" t="s">
        <v>4159</v>
      </c>
    </row>
    <row r="2018" spans="1:15" ht="12.75" customHeight="1" x14ac:dyDescent="0.3">
      <c r="A2018" s="797"/>
      <c r="B2018" s="797"/>
      <c r="C2018" s="797" t="s">
        <v>1390</v>
      </c>
      <c r="D2018" s="797"/>
      <c r="E2018" s="797"/>
      <c r="F2018" s="797"/>
      <c r="G2018" s="797" t="s">
        <v>3040</v>
      </c>
      <c r="H2018" s="797" t="s">
        <v>335</v>
      </c>
      <c r="I2018" s="220" t="str">
        <f>IF(ISBLANK(global!I495),"",global!I495)</f>
        <v/>
      </c>
      <c r="K2018" s="225" t="s">
        <v>4159</v>
      </c>
      <c r="O2018" s="225" t="s">
        <v>4159</v>
      </c>
    </row>
    <row r="2019" spans="1:15" ht="12.75" customHeight="1" x14ac:dyDescent="0.3">
      <c r="A2019" s="797"/>
      <c r="B2019" s="797"/>
      <c r="C2019" s="797" t="s">
        <v>1392</v>
      </c>
      <c r="D2019" s="797"/>
      <c r="E2019" s="797"/>
      <c r="F2019" s="797"/>
      <c r="G2019" s="796" t="s">
        <v>3041</v>
      </c>
      <c r="H2019" s="796" t="s">
        <v>335</v>
      </c>
      <c r="I2019" s="220" t="str">
        <f>IF(ISBLANK(global!I496),"",global!I496)</f>
        <v/>
      </c>
      <c r="K2019" s="225" t="s">
        <v>4159</v>
      </c>
      <c r="O2019" s="225" t="s">
        <v>4159</v>
      </c>
    </row>
    <row r="2020" spans="1:15" ht="12.75" customHeight="1" x14ac:dyDescent="0.3">
      <c r="A2020" s="797" t="s">
        <v>1412</v>
      </c>
      <c r="B2020" s="797"/>
      <c r="C2020" s="797"/>
      <c r="D2020" s="797"/>
      <c r="E2020" s="797"/>
      <c r="F2020" s="797"/>
      <c r="G2020" s="796" t="s">
        <v>3042</v>
      </c>
      <c r="H2020" s="796" t="s">
        <v>335</v>
      </c>
      <c r="I2020" s="220" t="str">
        <f>IF(ISBLANK(global!I497),"",global!I497)</f>
        <v/>
      </c>
      <c r="K2020" s="225" t="s">
        <v>4159</v>
      </c>
      <c r="O2020" s="225" t="s">
        <v>4159</v>
      </c>
    </row>
    <row r="2021" spans="1:15" ht="12.75" customHeight="1" x14ac:dyDescent="0.3">
      <c r="A2021" s="797"/>
      <c r="B2021" s="797" t="s">
        <v>1406</v>
      </c>
      <c r="C2021" s="797"/>
      <c r="D2021" s="797"/>
      <c r="E2021" s="797"/>
      <c r="F2021" s="797"/>
      <c r="G2021" s="796" t="s">
        <v>3043</v>
      </c>
      <c r="H2021" s="796" t="s">
        <v>708</v>
      </c>
      <c r="I2021" s="220" t="str">
        <f>IF(ISBLANK(global!I498),"",global!I498)</f>
        <v/>
      </c>
      <c r="K2021" s="225" t="s">
        <v>4159</v>
      </c>
      <c r="O2021" s="225" t="s">
        <v>4159</v>
      </c>
    </row>
    <row r="2022" spans="1:15" ht="12.75" customHeight="1" x14ac:dyDescent="0.3">
      <c r="A2022" s="797"/>
      <c r="B2022" s="797" t="s">
        <v>1417</v>
      </c>
      <c r="C2022" s="797"/>
      <c r="D2022" s="797"/>
      <c r="E2022" s="797"/>
      <c r="F2022" s="797"/>
      <c r="G2022" s="796" t="s">
        <v>3044</v>
      </c>
      <c r="H2022" s="797" t="s">
        <v>335</v>
      </c>
      <c r="I2022" s="220" t="str">
        <f>IF(ISBLANK(global!I499),"",global!I499)</f>
        <v/>
      </c>
      <c r="K2022" s="225" t="s">
        <v>4159</v>
      </c>
      <c r="O2022" s="225" t="s">
        <v>4159</v>
      </c>
    </row>
    <row r="2023" spans="1:15" ht="12.75" customHeight="1" x14ac:dyDescent="0.3">
      <c r="A2023" s="797"/>
      <c r="B2023" s="797"/>
      <c r="C2023" s="797" t="s">
        <v>1402</v>
      </c>
      <c r="D2023" s="797"/>
      <c r="E2023" s="797"/>
      <c r="F2023" s="797"/>
      <c r="G2023" s="796" t="s">
        <v>3045</v>
      </c>
      <c r="H2023" s="796" t="s">
        <v>335</v>
      </c>
      <c r="I2023" s="220" t="str">
        <f>IF(ISBLANK(global!I500),"",global!I500)</f>
        <v/>
      </c>
      <c r="K2023" s="225" t="s">
        <v>4159</v>
      </c>
      <c r="O2023" s="225" t="s">
        <v>4159</v>
      </c>
    </row>
    <row r="2024" spans="1:15" ht="12.75" customHeight="1" x14ac:dyDescent="0.3">
      <c r="A2024" s="797" t="s">
        <v>1412</v>
      </c>
      <c r="B2024" s="797"/>
      <c r="C2024" s="797"/>
      <c r="D2024" s="797"/>
      <c r="E2024" s="797"/>
      <c r="F2024" s="797"/>
      <c r="G2024" s="796" t="s">
        <v>3046</v>
      </c>
      <c r="H2024" s="796" t="s">
        <v>335</v>
      </c>
      <c r="I2024" s="220" t="str">
        <f>IF(ISBLANK(global!I501),"",global!I501)</f>
        <v/>
      </c>
      <c r="K2024" s="225" t="s">
        <v>4159</v>
      </c>
      <c r="O2024" s="225" t="s">
        <v>4159</v>
      </c>
    </row>
    <row r="2025" spans="1:15" ht="12.75" customHeight="1" x14ac:dyDescent="0.3">
      <c r="A2025" s="797"/>
      <c r="B2025" s="797" t="s">
        <v>1406</v>
      </c>
      <c r="C2025" s="797"/>
      <c r="D2025" s="797"/>
      <c r="E2025" s="797"/>
      <c r="F2025" s="797"/>
      <c r="G2025" s="796" t="s">
        <v>3047</v>
      </c>
      <c r="H2025" s="796" t="s">
        <v>708</v>
      </c>
      <c r="I2025" s="220" t="str">
        <f>IF(ISBLANK(global!I502),"",global!I502)</f>
        <v/>
      </c>
      <c r="K2025" s="225" t="s">
        <v>4159</v>
      </c>
      <c r="O2025" s="225" t="s">
        <v>4159</v>
      </c>
    </row>
    <row r="2026" spans="1:15" ht="12.75" customHeight="1" x14ac:dyDescent="0.3">
      <c r="A2026" s="797"/>
      <c r="B2026" s="797" t="s">
        <v>1417</v>
      </c>
      <c r="C2026" s="797"/>
      <c r="D2026" s="797"/>
      <c r="E2026" s="797"/>
      <c r="F2026" s="797"/>
      <c r="G2026" s="796" t="s">
        <v>3048</v>
      </c>
      <c r="H2026" s="797" t="s">
        <v>335</v>
      </c>
      <c r="I2026" s="220" t="str">
        <f>IF(ISBLANK(global!I503),"",global!I503)</f>
        <v/>
      </c>
      <c r="K2026" s="225" t="s">
        <v>4159</v>
      </c>
      <c r="O2026" s="225" t="s">
        <v>4159</v>
      </c>
    </row>
    <row r="2027" spans="1:15" ht="12.75" customHeight="1" x14ac:dyDescent="0.3">
      <c r="A2027" s="797"/>
      <c r="B2027" s="797"/>
      <c r="C2027" s="797" t="s">
        <v>1402</v>
      </c>
      <c r="D2027" s="797"/>
      <c r="E2027" s="797"/>
      <c r="F2027" s="797"/>
      <c r="G2027" s="796" t="s">
        <v>3049</v>
      </c>
      <c r="H2027" s="796" t="s">
        <v>335</v>
      </c>
      <c r="I2027" s="220" t="str">
        <f>IF(ISBLANK(global!I504),"",global!I504)</f>
        <v/>
      </c>
      <c r="K2027" s="225" t="s">
        <v>4159</v>
      </c>
      <c r="O2027" s="225" t="s">
        <v>4159</v>
      </c>
    </row>
    <row r="2028" spans="1:15" ht="12.75" customHeight="1" x14ac:dyDescent="0.3">
      <c r="A2028" s="797"/>
      <c r="B2028" s="797"/>
      <c r="C2028" s="797" t="s">
        <v>1420</v>
      </c>
      <c r="D2028" s="797"/>
      <c r="E2028" s="797"/>
      <c r="F2028" s="797"/>
      <c r="G2028" s="796" t="s">
        <v>3050</v>
      </c>
      <c r="H2028" s="796" t="s">
        <v>335</v>
      </c>
      <c r="I2028" s="220" t="str">
        <f>IF(ISBLANK(global!I505),"",global!I505)</f>
        <v/>
      </c>
      <c r="K2028" s="225" t="s">
        <v>4159</v>
      </c>
      <c r="O2028" s="225" t="s">
        <v>4159</v>
      </c>
    </row>
    <row r="2029" spans="1:15" ht="12.75" customHeight="1" x14ac:dyDescent="0.3">
      <c r="A2029" s="797"/>
      <c r="B2029" s="797"/>
      <c r="C2029" s="797" t="s">
        <v>2187</v>
      </c>
      <c r="D2029" s="797"/>
      <c r="E2029" s="797"/>
      <c r="F2029" s="797"/>
      <c r="G2029" s="796" t="s">
        <v>3051</v>
      </c>
      <c r="H2029" s="796" t="s">
        <v>335</v>
      </c>
      <c r="I2029" s="220" t="str">
        <f>IF(ISBLANK(global!I506),"",global!I506)</f>
        <v/>
      </c>
      <c r="K2029" s="225" t="s">
        <v>4159</v>
      </c>
      <c r="O2029" s="225" t="s">
        <v>4159</v>
      </c>
    </row>
    <row r="2030" spans="1:15" ht="12.75" customHeight="1" x14ac:dyDescent="0.3">
      <c r="A2030" s="352" t="s">
        <v>3052</v>
      </c>
      <c r="I2030" s="220" t="str">
        <f>IF(ISBLANK(global!I507),"",global!I507)</f>
        <v/>
      </c>
      <c r="K2030" s="225" t="s">
        <v>4159</v>
      </c>
      <c r="O2030" s="225" t="s">
        <v>4159</v>
      </c>
    </row>
    <row r="2031" spans="1:15" ht="12.75" customHeight="1" x14ac:dyDescent="0.3">
      <c r="A2031" s="797" t="s">
        <v>2704</v>
      </c>
      <c r="B2031" s="797"/>
      <c r="C2031" s="797"/>
      <c r="D2031" s="797"/>
      <c r="E2031" s="797"/>
      <c r="F2031" s="797"/>
      <c r="G2031" s="796" t="s">
        <v>3053</v>
      </c>
      <c r="H2031" s="796" t="s">
        <v>335</v>
      </c>
      <c r="I2031" s="220" t="str">
        <f>IF(ISBLANK(global!I508),"",global!I508)</f>
        <v/>
      </c>
      <c r="K2031" s="225" t="s">
        <v>4159</v>
      </c>
      <c r="O2031" s="225" t="s">
        <v>4159</v>
      </c>
    </row>
    <row r="2032" spans="1:15" ht="12.75" customHeight="1" x14ac:dyDescent="0.3">
      <c r="A2032" s="797"/>
      <c r="B2032" s="797" t="s">
        <v>1436</v>
      </c>
      <c r="C2032" s="797"/>
      <c r="D2032" s="797"/>
      <c r="E2032" s="797"/>
      <c r="F2032" s="797"/>
      <c r="G2032" s="796" t="s">
        <v>3054</v>
      </c>
      <c r="H2032" s="796" t="s">
        <v>708</v>
      </c>
      <c r="I2032" s="220" t="str">
        <f>IF(ISBLANK(global!I509),"",global!I509)</f>
        <v/>
      </c>
      <c r="K2032" s="225" t="s">
        <v>4159</v>
      </c>
      <c r="O2032" s="225" t="s">
        <v>4159</v>
      </c>
    </row>
    <row r="2033" spans="1:15" ht="12.75" customHeight="1" x14ac:dyDescent="0.3">
      <c r="A2033" s="797"/>
      <c r="B2033" s="797"/>
      <c r="C2033" s="797" t="s">
        <v>1390</v>
      </c>
      <c r="D2033" s="797"/>
      <c r="E2033" s="797"/>
      <c r="F2033" s="797"/>
      <c r="G2033" s="797" t="s">
        <v>3056</v>
      </c>
      <c r="H2033" s="797" t="s">
        <v>335</v>
      </c>
      <c r="I2033" s="220" t="str">
        <f>IF(ISBLANK(global!I510),"",global!I510)</f>
        <v/>
      </c>
      <c r="K2033" s="225" t="s">
        <v>4159</v>
      </c>
      <c r="O2033" s="225" t="s">
        <v>4159</v>
      </c>
    </row>
    <row r="2034" spans="1:15" ht="12.75" customHeight="1" x14ac:dyDescent="0.3">
      <c r="A2034" s="797"/>
      <c r="B2034" s="797"/>
      <c r="C2034" s="797" t="s">
        <v>1392</v>
      </c>
      <c r="D2034" s="797"/>
      <c r="E2034" s="797"/>
      <c r="F2034" s="797"/>
      <c r="G2034" s="796" t="s">
        <v>3057</v>
      </c>
      <c r="H2034" s="796" t="s">
        <v>335</v>
      </c>
      <c r="I2034" s="220" t="str">
        <f>IF(ISBLANK(global!I511),"",global!I511)</f>
        <v/>
      </c>
      <c r="K2034" s="225" t="s">
        <v>4159</v>
      </c>
      <c r="O2034" s="225" t="s">
        <v>4159</v>
      </c>
    </row>
    <row r="2035" spans="1:15" ht="12.75" customHeight="1" x14ac:dyDescent="0.3">
      <c r="A2035" s="797" t="s">
        <v>2710</v>
      </c>
      <c r="B2035" s="797"/>
      <c r="C2035" s="797"/>
      <c r="D2035" s="797"/>
      <c r="E2035" s="797"/>
      <c r="F2035" s="797"/>
      <c r="G2035" s="796" t="s">
        <v>3058</v>
      </c>
      <c r="H2035" s="796" t="s">
        <v>335</v>
      </c>
      <c r="I2035" s="220" t="str">
        <f>IF(ISBLANK(global!I512),"",global!I512)</f>
        <v/>
      </c>
      <c r="K2035" s="225" t="s">
        <v>4159</v>
      </c>
      <c r="O2035" s="225" t="s">
        <v>4159</v>
      </c>
    </row>
    <row r="2036" spans="1:15" ht="12.75" customHeight="1" x14ac:dyDescent="0.3">
      <c r="A2036" s="797"/>
      <c r="B2036" s="797" t="s">
        <v>1447</v>
      </c>
      <c r="C2036" s="797"/>
      <c r="D2036" s="797"/>
      <c r="E2036" s="797"/>
      <c r="F2036" s="797"/>
      <c r="G2036" s="796" t="s">
        <v>3059</v>
      </c>
      <c r="H2036" s="796" t="s">
        <v>1449</v>
      </c>
      <c r="I2036" s="220" t="str">
        <f>IF(ISBLANK(global!I513),"",global!I513)</f>
        <v/>
      </c>
      <c r="K2036" s="225" t="s">
        <v>4159</v>
      </c>
      <c r="O2036" s="225" t="s">
        <v>4159</v>
      </c>
    </row>
    <row r="2037" spans="1:15" ht="12.75" customHeight="1" x14ac:dyDescent="0.3">
      <c r="A2037" s="797"/>
      <c r="B2037" s="797" t="s">
        <v>1450</v>
      </c>
      <c r="C2037" s="797"/>
      <c r="D2037" s="797"/>
      <c r="E2037" s="797"/>
      <c r="F2037" s="797"/>
      <c r="G2037" s="797" t="s">
        <v>3060</v>
      </c>
      <c r="H2037" s="796" t="s">
        <v>866</v>
      </c>
      <c r="I2037" s="220" t="str">
        <f>IF(ISBLANK(global!I514),"",global!I514)</f>
        <v/>
      </c>
      <c r="K2037" s="225" t="s">
        <v>4159</v>
      </c>
      <c r="O2037" s="225" t="s">
        <v>4159</v>
      </c>
    </row>
    <row r="2038" spans="1:15" ht="12.75" customHeight="1" x14ac:dyDescent="0.3">
      <c r="A2038" s="797"/>
      <c r="B2038" s="797" t="s">
        <v>1453</v>
      </c>
      <c r="C2038" s="797"/>
      <c r="D2038" s="797"/>
      <c r="E2038" s="797"/>
      <c r="F2038" s="797"/>
      <c r="G2038" s="796" t="s">
        <v>3061</v>
      </c>
      <c r="H2038" s="796" t="s">
        <v>291</v>
      </c>
      <c r="I2038" s="220" t="str">
        <f>IF(ISBLANK(global!I515),"",global!I515)</f>
        <v/>
      </c>
      <c r="K2038" s="225" t="s">
        <v>4159</v>
      </c>
      <c r="O2038" s="225" t="s">
        <v>4159</v>
      </c>
    </row>
    <row r="2039" spans="1:15" ht="12.75" customHeight="1" x14ac:dyDescent="0.3">
      <c r="A2039" s="797"/>
      <c r="B2039" s="797"/>
      <c r="C2039" s="797" t="s">
        <v>1455</v>
      </c>
      <c r="D2039" s="797"/>
      <c r="E2039" s="797"/>
      <c r="F2039" s="797"/>
      <c r="G2039" s="796" t="s">
        <v>3062</v>
      </c>
      <c r="H2039" s="796" t="s">
        <v>291</v>
      </c>
      <c r="I2039" s="220" t="str">
        <f>IF(ISBLANK(global!I516),"",global!I516)</f>
        <v/>
      </c>
      <c r="K2039" s="225" t="s">
        <v>4159</v>
      </c>
      <c r="O2039" s="225" t="s">
        <v>4159</v>
      </c>
    </row>
    <row r="2040" spans="1:15" ht="12.75" customHeight="1" x14ac:dyDescent="0.3">
      <c r="A2040" s="797"/>
      <c r="B2040" s="797"/>
      <c r="C2040" s="797"/>
      <c r="D2040" s="797" t="s">
        <v>1457</v>
      </c>
      <c r="E2040" s="797"/>
      <c r="F2040" s="797"/>
      <c r="G2040" s="797" t="s">
        <v>3063</v>
      </c>
      <c r="H2040" s="796" t="s">
        <v>291</v>
      </c>
      <c r="I2040" s="220" t="str">
        <f>IF(ISBLANK(global!I517),"",global!I517)</f>
        <v/>
      </c>
      <c r="K2040" s="225" t="s">
        <v>4159</v>
      </c>
      <c r="O2040" s="225" t="s">
        <v>4159</v>
      </c>
    </row>
    <row r="2041" spans="1:15" ht="12.75" customHeight="1" x14ac:dyDescent="0.3">
      <c r="A2041" s="797"/>
      <c r="B2041" s="797"/>
      <c r="C2041" s="797"/>
      <c r="D2041" s="797"/>
      <c r="E2041" s="797" t="s">
        <v>1459</v>
      </c>
      <c r="F2041" s="797"/>
      <c r="G2041" s="797" t="s">
        <v>3064</v>
      </c>
      <c r="H2041" s="796" t="s">
        <v>291</v>
      </c>
      <c r="I2041" s="220" t="str">
        <f>IF(ISBLANK(global!I518),"",global!I518)</f>
        <v/>
      </c>
      <c r="K2041" s="225" t="s">
        <v>4159</v>
      </c>
      <c r="O2041" s="225" t="s">
        <v>4159</v>
      </c>
    </row>
    <row r="2042" spans="1:15" ht="12.75" customHeight="1" x14ac:dyDescent="0.3">
      <c r="A2042" s="797"/>
      <c r="B2042" s="797"/>
      <c r="C2042" s="797"/>
      <c r="D2042" s="797"/>
      <c r="E2042" s="797"/>
      <c r="F2042" s="797" t="s">
        <v>1461</v>
      </c>
      <c r="G2042" s="797" t="s">
        <v>3065</v>
      </c>
      <c r="H2042" s="796" t="s">
        <v>1463</v>
      </c>
      <c r="I2042" s="220" t="str">
        <f>IF(ISBLANK(global!I519),"",global!I519)</f>
        <v/>
      </c>
      <c r="K2042" s="225" t="s">
        <v>4159</v>
      </c>
      <c r="O2042" s="225" t="s">
        <v>4159</v>
      </c>
    </row>
    <row r="2043" spans="1:15" ht="12.75" customHeight="1" x14ac:dyDescent="0.3">
      <c r="A2043" s="797"/>
      <c r="B2043" s="797"/>
      <c r="C2043" s="797" t="s">
        <v>1465</v>
      </c>
      <c r="D2043" s="797"/>
      <c r="E2043" s="797"/>
      <c r="F2043" s="797"/>
      <c r="G2043" s="796" t="s">
        <v>3066</v>
      </c>
      <c r="H2043" s="796" t="s">
        <v>291</v>
      </c>
      <c r="I2043" s="220" t="str">
        <f>IF(ISBLANK(global!I520),"",global!I520)</f>
        <v/>
      </c>
      <c r="K2043" s="225" t="s">
        <v>4159</v>
      </c>
      <c r="O2043" s="225" t="s">
        <v>4159</v>
      </c>
    </row>
    <row r="2044" spans="1:15" ht="12.75" customHeight="1" x14ac:dyDescent="0.3">
      <c r="A2044" s="797"/>
      <c r="B2044" s="797"/>
      <c r="C2044" s="797" t="s">
        <v>1467</v>
      </c>
      <c r="D2044" s="797"/>
      <c r="E2044" s="797"/>
      <c r="F2044" s="797"/>
      <c r="G2044" s="796" t="s">
        <v>3067</v>
      </c>
      <c r="H2044" s="796" t="s">
        <v>291</v>
      </c>
      <c r="I2044" s="220" t="str">
        <f>IF(ISBLANK(global!I521),"",global!I521)</f>
        <v/>
      </c>
      <c r="K2044" s="225" t="s">
        <v>4159</v>
      </c>
      <c r="O2044" s="225" t="s">
        <v>4159</v>
      </c>
    </row>
    <row r="2045" spans="1:15" ht="12.75" customHeight="1" x14ac:dyDescent="0.3">
      <c r="A2045" s="797"/>
      <c r="B2045" s="797"/>
      <c r="C2045" s="797"/>
      <c r="D2045" s="797" t="s">
        <v>1469</v>
      </c>
      <c r="E2045" s="797"/>
      <c r="F2045" s="797"/>
      <c r="G2045" s="797" t="s">
        <v>3068</v>
      </c>
      <c r="H2045" s="796" t="s">
        <v>291</v>
      </c>
      <c r="I2045" s="220" t="str">
        <f>IF(ISBLANK(global!I522),"",global!I522)</f>
        <v/>
      </c>
      <c r="K2045" s="225" t="s">
        <v>4159</v>
      </c>
      <c r="O2045" s="225" t="s">
        <v>4159</v>
      </c>
    </row>
    <row r="2046" spans="1:15" ht="12.75" customHeight="1" x14ac:dyDescent="0.3">
      <c r="A2046" s="797"/>
      <c r="B2046" s="797"/>
      <c r="C2046" s="797"/>
      <c r="D2046" s="797" t="s">
        <v>1471</v>
      </c>
      <c r="E2046" s="797"/>
      <c r="F2046" s="797"/>
      <c r="G2046" s="797" t="s">
        <v>3069</v>
      </c>
      <c r="H2046" s="796" t="s">
        <v>1473</v>
      </c>
      <c r="I2046" s="220" t="str">
        <f>IF(ISBLANK(global!I523),"",global!I523)</f>
        <v/>
      </c>
      <c r="K2046" s="225" t="s">
        <v>4159</v>
      </c>
      <c r="O2046" s="225" t="s">
        <v>4159</v>
      </c>
    </row>
    <row r="2047" spans="1:15" ht="12.75" customHeight="1" x14ac:dyDescent="0.3">
      <c r="A2047" s="797"/>
      <c r="B2047" s="797"/>
      <c r="C2047" s="797"/>
      <c r="D2047" s="797" t="s">
        <v>1474</v>
      </c>
      <c r="E2047" s="797"/>
      <c r="F2047" s="797"/>
      <c r="G2047" s="797" t="s">
        <v>3070</v>
      </c>
      <c r="H2047" s="796" t="s">
        <v>291</v>
      </c>
      <c r="I2047" s="220" t="str">
        <f>IF(ISBLANK(global!I524),"",global!I524)</f>
        <v/>
      </c>
      <c r="K2047" s="225" t="s">
        <v>4159</v>
      </c>
      <c r="O2047" s="225" t="s">
        <v>4159</v>
      </c>
    </row>
    <row r="2048" spans="1:15" ht="12.75" customHeight="1" x14ac:dyDescent="0.3">
      <c r="A2048" s="797"/>
      <c r="B2048" s="797"/>
      <c r="C2048" s="797"/>
      <c r="D2048" s="797" t="s">
        <v>1476</v>
      </c>
      <c r="E2048" s="797"/>
      <c r="F2048" s="797"/>
      <c r="G2048" s="796" t="s">
        <v>3071</v>
      </c>
      <c r="H2048" s="796" t="s">
        <v>291</v>
      </c>
      <c r="I2048" s="220" t="str">
        <f>IF(ISBLANK(global!I525),"",global!I525)</f>
        <v/>
      </c>
      <c r="K2048" s="225" t="s">
        <v>4159</v>
      </c>
      <c r="O2048" s="225" t="s">
        <v>4159</v>
      </c>
    </row>
    <row r="2049" spans="1:15" ht="12.75" customHeight="1" x14ac:dyDescent="0.3">
      <c r="A2049" s="352" t="s">
        <v>3072</v>
      </c>
      <c r="I2049" s="220" t="str">
        <f>IF(ISBLANK(global!I526),"",global!I526)</f>
        <v/>
      </c>
      <c r="K2049" s="225" t="s">
        <v>4159</v>
      </c>
      <c r="O2049" s="225" t="s">
        <v>4159</v>
      </c>
    </row>
    <row r="2050" spans="1:15" ht="12.75" customHeight="1" x14ac:dyDescent="0.3">
      <c r="A2050" s="797" t="s">
        <v>2726</v>
      </c>
      <c r="B2050" s="797"/>
      <c r="C2050" s="797"/>
      <c r="D2050" s="797"/>
      <c r="E2050" s="797"/>
      <c r="F2050" s="797"/>
      <c r="G2050" s="796" t="s">
        <v>3073</v>
      </c>
      <c r="H2050" s="796" t="s">
        <v>335</v>
      </c>
      <c r="I2050" s="220" t="str">
        <f>IF(ISBLANK(global!I527),"",global!I527)</f>
        <v/>
      </c>
      <c r="K2050" s="225" t="s">
        <v>4159</v>
      </c>
      <c r="O2050" s="225" t="s">
        <v>4159</v>
      </c>
    </row>
    <row r="2051" spans="1:15" ht="12.75" customHeight="1" x14ac:dyDescent="0.3">
      <c r="A2051" s="797"/>
      <c r="B2051" s="797" t="s">
        <v>1485</v>
      </c>
      <c r="C2051" s="797"/>
      <c r="D2051" s="797"/>
      <c r="E2051" s="797"/>
      <c r="F2051" s="797"/>
      <c r="G2051" s="796" t="s">
        <v>3074</v>
      </c>
      <c r="H2051" s="796" t="s">
        <v>708</v>
      </c>
      <c r="I2051" s="220" t="str">
        <f>IF(ISBLANK(global!I528),"",global!I528)</f>
        <v/>
      </c>
      <c r="K2051" s="225" t="s">
        <v>4159</v>
      </c>
      <c r="O2051" s="225" t="s">
        <v>4159</v>
      </c>
    </row>
    <row r="2052" spans="1:15" ht="12.75" customHeight="1" x14ac:dyDescent="0.3">
      <c r="A2052" s="797"/>
      <c r="B2052" s="797" t="s">
        <v>727</v>
      </c>
      <c r="C2052" s="797"/>
      <c r="D2052" s="797"/>
      <c r="E2052" s="797"/>
      <c r="F2052" s="797"/>
      <c r="G2052" s="796" t="s">
        <v>3075</v>
      </c>
      <c r="H2052" s="796" t="s">
        <v>729</v>
      </c>
      <c r="I2052" s="220" t="str">
        <f>IF(ISBLANK(global!I529),"",global!I529)</f>
        <v/>
      </c>
      <c r="K2052" s="225" t="s">
        <v>4159</v>
      </c>
      <c r="O2052" s="225" t="s">
        <v>4159</v>
      </c>
    </row>
    <row r="2053" spans="1:15" ht="12.75" customHeight="1" x14ac:dyDescent="0.3">
      <c r="A2053" s="797"/>
      <c r="B2053" s="797" t="s">
        <v>1390</v>
      </c>
      <c r="C2053" s="797"/>
      <c r="D2053" s="797"/>
      <c r="E2053" s="797"/>
      <c r="F2053" s="797"/>
      <c r="G2053" s="796" t="s">
        <v>3076</v>
      </c>
      <c r="H2053" s="796" t="s">
        <v>335</v>
      </c>
      <c r="I2053" s="220" t="str">
        <f>IF(ISBLANK(global!I530),"",global!I530)</f>
        <v/>
      </c>
      <c r="K2053" s="225" t="s">
        <v>4159</v>
      </c>
      <c r="O2053" s="225" t="s">
        <v>4159</v>
      </c>
    </row>
    <row r="2054" spans="1:15" ht="12.75" customHeight="1" x14ac:dyDescent="0.3">
      <c r="A2054" s="797"/>
      <c r="B2054" s="797" t="s">
        <v>1392</v>
      </c>
      <c r="C2054" s="797"/>
      <c r="D2054" s="797"/>
      <c r="E2054" s="797"/>
      <c r="F2054" s="797"/>
      <c r="G2054" s="796" t="s">
        <v>3077</v>
      </c>
      <c r="H2054" s="796" t="s">
        <v>335</v>
      </c>
      <c r="I2054" s="220" t="str">
        <f>IF(ISBLANK(global!I531),"",global!I531)</f>
        <v/>
      </c>
      <c r="K2054" s="225" t="s">
        <v>4159</v>
      </c>
      <c r="O2054" s="225" t="s">
        <v>4159</v>
      </c>
    </row>
    <row r="2055" spans="1:15" ht="12.75" customHeight="1" x14ac:dyDescent="0.3">
      <c r="A2055" s="797" t="s">
        <v>2733</v>
      </c>
      <c r="B2055" s="797"/>
      <c r="C2055" s="797"/>
      <c r="D2055" s="797"/>
      <c r="E2055" s="797"/>
      <c r="F2055" s="797"/>
      <c r="G2055" s="796" t="s">
        <v>3078</v>
      </c>
      <c r="H2055" s="796" t="s">
        <v>335</v>
      </c>
      <c r="I2055" s="220" t="str">
        <f>IF(ISBLANK(global!I532),"",global!I532)</f>
        <v/>
      </c>
      <c r="K2055" s="225" t="s">
        <v>4159</v>
      </c>
      <c r="O2055" s="225" t="s">
        <v>4159</v>
      </c>
    </row>
    <row r="2056" spans="1:15" ht="12.75" customHeight="1" x14ac:dyDescent="0.3">
      <c r="A2056" s="797"/>
      <c r="B2056" s="797" t="s">
        <v>1492</v>
      </c>
      <c r="C2056" s="797"/>
      <c r="D2056" s="797"/>
      <c r="E2056" s="797"/>
      <c r="F2056" s="797"/>
      <c r="G2056" s="796" t="s">
        <v>3079</v>
      </c>
      <c r="H2056" s="796" t="s">
        <v>1449</v>
      </c>
      <c r="I2056" s="220" t="str">
        <f>IF(ISBLANK(global!I533),"",global!I533)</f>
        <v/>
      </c>
      <c r="K2056" s="225" t="s">
        <v>4159</v>
      </c>
      <c r="O2056" s="225" t="s">
        <v>4159</v>
      </c>
    </row>
    <row r="2057" spans="1:15" ht="12.75" customHeight="1" x14ac:dyDescent="0.3">
      <c r="A2057" s="797"/>
      <c r="B2057" s="797" t="s">
        <v>1494</v>
      </c>
      <c r="C2057" s="797"/>
      <c r="D2057" s="797"/>
      <c r="E2057" s="797"/>
      <c r="F2057" s="797"/>
      <c r="G2057" s="797" t="s">
        <v>3080</v>
      </c>
      <c r="H2057" s="796" t="s">
        <v>866</v>
      </c>
      <c r="I2057" s="220" t="str">
        <f>IF(ISBLANK(global!I534),"",global!I534)</f>
        <v/>
      </c>
      <c r="K2057" s="225" t="s">
        <v>4159</v>
      </c>
      <c r="O2057" s="225" t="s">
        <v>4159</v>
      </c>
    </row>
    <row r="2058" spans="1:15" ht="12.75" customHeight="1" x14ac:dyDescent="0.3">
      <c r="A2058" s="797"/>
      <c r="B2058" s="797" t="s">
        <v>1453</v>
      </c>
      <c r="C2058" s="797"/>
      <c r="D2058" s="797"/>
      <c r="E2058" s="797"/>
      <c r="F2058" s="797"/>
      <c r="G2058" s="796" t="s">
        <v>3081</v>
      </c>
      <c r="H2058" s="796" t="s">
        <v>291</v>
      </c>
      <c r="I2058" s="220" t="str">
        <f>IF(ISBLANK(global!I535),"",global!I535)</f>
        <v/>
      </c>
      <c r="K2058" s="225" t="s">
        <v>4159</v>
      </c>
      <c r="O2058" s="225" t="s">
        <v>4159</v>
      </c>
    </row>
    <row r="2059" spans="1:15" ht="12.75" customHeight="1" x14ac:dyDescent="0.3">
      <c r="A2059" s="797"/>
      <c r="B2059" s="797"/>
      <c r="C2059" s="797" t="s">
        <v>1455</v>
      </c>
      <c r="D2059" s="797"/>
      <c r="E2059" s="797"/>
      <c r="F2059" s="797"/>
      <c r="G2059" s="796" t="s">
        <v>3082</v>
      </c>
      <c r="H2059" s="796" t="s">
        <v>291</v>
      </c>
      <c r="I2059" s="220" t="str">
        <f>IF(ISBLANK(global!I536),"",global!I536)</f>
        <v/>
      </c>
      <c r="K2059" s="225" t="s">
        <v>4159</v>
      </c>
      <c r="O2059" s="225" t="s">
        <v>4159</v>
      </c>
    </row>
    <row r="2060" spans="1:15" ht="12.75" customHeight="1" x14ac:dyDescent="0.3">
      <c r="A2060" s="797"/>
      <c r="B2060" s="797"/>
      <c r="C2060" s="797"/>
      <c r="D2060" s="797" t="s">
        <v>1457</v>
      </c>
      <c r="E2060" s="797"/>
      <c r="F2060" s="797"/>
      <c r="G2060" s="797" t="s">
        <v>3083</v>
      </c>
      <c r="H2060" s="796" t="s">
        <v>291</v>
      </c>
      <c r="I2060" s="220" t="str">
        <f>IF(ISBLANK(global!I537),"",global!I537)</f>
        <v/>
      </c>
      <c r="K2060" s="225" t="s">
        <v>4159</v>
      </c>
      <c r="O2060" s="225" t="s">
        <v>4159</v>
      </c>
    </row>
    <row r="2061" spans="1:15" ht="12.75" customHeight="1" x14ac:dyDescent="0.3">
      <c r="A2061" s="797"/>
      <c r="B2061" s="797"/>
      <c r="C2061" s="797"/>
      <c r="D2061" s="797"/>
      <c r="E2061" s="797" t="s">
        <v>1499</v>
      </c>
      <c r="F2061" s="797"/>
      <c r="G2061" s="797" t="s">
        <v>3084</v>
      </c>
      <c r="H2061" s="796" t="s">
        <v>291</v>
      </c>
      <c r="I2061" s="220" t="str">
        <f>IF(ISBLANK(global!I538),"",global!I538)</f>
        <v/>
      </c>
      <c r="K2061" s="225" t="s">
        <v>4159</v>
      </c>
      <c r="O2061" s="225" t="s">
        <v>4159</v>
      </c>
    </row>
    <row r="2062" spans="1:15" ht="12.75" customHeight="1" x14ac:dyDescent="0.3">
      <c r="A2062" s="797"/>
      <c r="B2062" s="797"/>
      <c r="C2062" s="797"/>
      <c r="D2062" s="797"/>
      <c r="E2062" s="797"/>
      <c r="F2062" s="797" t="s">
        <v>1501</v>
      </c>
      <c r="G2062" s="797" t="s">
        <v>3085</v>
      </c>
      <c r="H2062" s="796" t="s">
        <v>1463</v>
      </c>
      <c r="I2062" s="220" t="str">
        <f>IF(ISBLANK(global!I539),"",global!I539)</f>
        <v/>
      </c>
      <c r="K2062" s="225" t="s">
        <v>4159</v>
      </c>
      <c r="O2062" s="225" t="s">
        <v>4159</v>
      </c>
    </row>
    <row r="2063" spans="1:15" ht="12.75" customHeight="1" x14ac:dyDescent="0.3">
      <c r="A2063" s="797"/>
      <c r="B2063" s="797"/>
      <c r="C2063" s="797" t="s">
        <v>1465</v>
      </c>
      <c r="D2063" s="797"/>
      <c r="E2063" s="797"/>
      <c r="F2063" s="797"/>
      <c r="G2063" s="796" t="s">
        <v>3086</v>
      </c>
      <c r="H2063" s="796" t="s">
        <v>291</v>
      </c>
      <c r="I2063" s="220" t="str">
        <f>IF(ISBLANK(global!I540),"",global!I540)</f>
        <v/>
      </c>
      <c r="K2063" s="225" t="s">
        <v>4159</v>
      </c>
      <c r="O2063" s="225" t="s">
        <v>4159</v>
      </c>
    </row>
    <row r="2064" spans="1:15" ht="12.75" customHeight="1" x14ac:dyDescent="0.3">
      <c r="A2064" s="797"/>
      <c r="B2064" s="797"/>
      <c r="C2064" s="797" t="s">
        <v>1467</v>
      </c>
      <c r="D2064" s="797"/>
      <c r="E2064" s="797"/>
      <c r="F2064" s="797"/>
      <c r="G2064" s="796" t="s">
        <v>3087</v>
      </c>
      <c r="H2064" s="796" t="s">
        <v>291</v>
      </c>
      <c r="I2064" s="220" t="str">
        <f>IF(ISBLANK(global!I541),"",global!I541)</f>
        <v/>
      </c>
      <c r="K2064" s="225" t="s">
        <v>4159</v>
      </c>
      <c r="O2064" s="225" t="s">
        <v>4159</v>
      </c>
    </row>
    <row r="2065" spans="1:15" ht="12.75" customHeight="1" x14ac:dyDescent="0.3">
      <c r="A2065" s="797"/>
      <c r="B2065" s="797"/>
      <c r="C2065" s="797"/>
      <c r="D2065" s="797" t="s">
        <v>1471</v>
      </c>
      <c r="E2065" s="797"/>
      <c r="F2065" s="797"/>
      <c r="G2065" s="797" t="s">
        <v>3088</v>
      </c>
      <c r="H2065" s="796" t="s">
        <v>1473</v>
      </c>
      <c r="I2065" s="220" t="str">
        <f>IF(ISBLANK(global!I542),"",global!I542)</f>
        <v/>
      </c>
      <c r="K2065" s="225" t="s">
        <v>4159</v>
      </c>
      <c r="O2065" s="225" t="s">
        <v>4159</v>
      </c>
    </row>
    <row r="2066" spans="1:15" ht="12.75" customHeight="1" x14ac:dyDescent="0.3">
      <c r="A2066" s="797"/>
      <c r="B2066" s="797"/>
      <c r="C2066" s="797"/>
      <c r="D2066" s="797" t="s">
        <v>1474</v>
      </c>
      <c r="E2066" s="797"/>
      <c r="F2066" s="797"/>
      <c r="G2066" s="797" t="s">
        <v>3089</v>
      </c>
      <c r="H2066" s="796" t="s">
        <v>291</v>
      </c>
      <c r="I2066" s="220" t="str">
        <f>IF(ISBLANK(global!I543),"",global!I543)</f>
        <v/>
      </c>
      <c r="K2066" s="225" t="s">
        <v>4159</v>
      </c>
      <c r="O2066" s="225" t="s">
        <v>4159</v>
      </c>
    </row>
    <row r="2067" spans="1:15" ht="12.75" customHeight="1" x14ac:dyDescent="0.3">
      <c r="A2067" s="797"/>
      <c r="B2067" s="797"/>
      <c r="C2067" s="797"/>
      <c r="D2067" s="797" t="s">
        <v>1469</v>
      </c>
      <c r="E2067" s="797"/>
      <c r="F2067" s="797"/>
      <c r="G2067" s="797" t="s">
        <v>3090</v>
      </c>
      <c r="H2067" s="796" t="s">
        <v>291</v>
      </c>
      <c r="I2067" s="220" t="str">
        <f>IF(ISBLANK(global!I544),"",global!I544)</f>
        <v/>
      </c>
      <c r="K2067" s="225" t="s">
        <v>4159</v>
      </c>
      <c r="O2067" s="225" t="s">
        <v>4159</v>
      </c>
    </row>
    <row r="2068" spans="1:15" ht="12.75" customHeight="1" x14ac:dyDescent="0.3">
      <c r="A2068" s="797"/>
      <c r="B2068" s="797"/>
      <c r="C2068" s="797"/>
      <c r="D2068" s="797" t="s">
        <v>1476</v>
      </c>
      <c r="E2068" s="797"/>
      <c r="F2068" s="797"/>
      <c r="G2068" s="796" t="s">
        <v>3091</v>
      </c>
      <c r="H2068" s="796" t="s">
        <v>291</v>
      </c>
      <c r="I2068" s="220" t="str">
        <f>IF(ISBLANK(global!I545),"",global!I545)</f>
        <v/>
      </c>
      <c r="K2068" s="225" t="s">
        <v>4159</v>
      </c>
      <c r="O2068" s="225" t="s">
        <v>4159</v>
      </c>
    </row>
    <row r="2069" spans="1:15" ht="12.75" customHeight="1" x14ac:dyDescent="0.3">
      <c r="I2069" s="220" t="str">
        <f>IF(ISBLANK(global!I546),"",global!I546)</f>
        <v/>
      </c>
      <c r="K2069" s="225" t="s">
        <v>4159</v>
      </c>
      <c r="O2069" s="225" t="s">
        <v>4159</v>
      </c>
    </row>
    <row r="2070" spans="1:15" ht="12.75" customHeight="1" x14ac:dyDescent="0.3">
      <c r="A2070" s="836" t="s">
        <v>1541</v>
      </c>
      <c r="B2070" s="837"/>
      <c r="C2070" s="837"/>
      <c r="D2070" s="837"/>
      <c r="E2070" s="837"/>
      <c r="F2070" s="837"/>
      <c r="G2070" s="836" t="s">
        <v>258</v>
      </c>
      <c r="H2070" s="836" t="s">
        <v>274</v>
      </c>
      <c r="I2070" s="220" t="str">
        <f>IF(ISBLANK(global!I547),"",global!I547)</f>
        <v>User input</v>
      </c>
      <c r="K2070" s="225" t="s">
        <v>259</v>
      </c>
      <c r="O2070" s="225" t="s">
        <v>259</v>
      </c>
    </row>
    <row r="2071" spans="1:15" ht="12.75" customHeight="1" x14ac:dyDescent="0.3">
      <c r="A2071" s="778" t="s">
        <v>3092</v>
      </c>
      <c r="I2071" s="220" t="str">
        <f>IF(ISBLANK(global!I548),"",global!I548)</f>
        <v/>
      </c>
      <c r="K2071" s="225" t="s">
        <v>4159</v>
      </c>
      <c r="O2071" s="225" t="s">
        <v>4159</v>
      </c>
    </row>
    <row r="2072" spans="1:15" ht="12.75" customHeight="1" x14ac:dyDescent="0.3">
      <c r="A2072" s="797"/>
      <c r="B2072" s="797" t="s">
        <v>1543</v>
      </c>
      <c r="C2072" s="797"/>
      <c r="D2072" s="797"/>
      <c r="E2072" s="797"/>
      <c r="F2072" s="797"/>
      <c r="G2072" s="796" t="s">
        <v>3093</v>
      </c>
      <c r="H2072" s="796" t="s">
        <v>813</v>
      </c>
      <c r="I2072" s="220" t="str">
        <f>IF(ISBLANK(global!I549),"",global!I549)</f>
        <v/>
      </c>
      <c r="K2072" s="225" t="s">
        <v>4159</v>
      </c>
      <c r="O2072" s="225" t="s">
        <v>4159</v>
      </c>
    </row>
    <row r="2073" spans="1:15" ht="12.75" customHeight="1" x14ac:dyDescent="0.3">
      <c r="A2073" s="797"/>
      <c r="B2073" s="797" t="s">
        <v>1546</v>
      </c>
      <c r="C2073" s="797"/>
      <c r="D2073" s="797"/>
      <c r="E2073" s="797"/>
      <c r="F2073" s="797"/>
      <c r="G2073" s="796" t="s">
        <v>3094</v>
      </c>
      <c r="H2073" s="796" t="s">
        <v>291</v>
      </c>
      <c r="I2073" s="220" t="str">
        <f>IF(ISBLANK(global!I550),"",global!I550)</f>
        <v/>
      </c>
      <c r="K2073" s="225" t="s">
        <v>4159</v>
      </c>
      <c r="O2073" s="225" t="s">
        <v>4159</v>
      </c>
    </row>
    <row r="2074" spans="1:15" ht="12.75" customHeight="1" x14ac:dyDescent="0.3">
      <c r="A2074" s="797"/>
      <c r="B2074" s="797" t="s">
        <v>1549</v>
      </c>
      <c r="C2074" s="797"/>
      <c r="D2074" s="797"/>
      <c r="E2074" s="797"/>
      <c r="F2074" s="797"/>
      <c r="G2074" s="796" t="s">
        <v>3095</v>
      </c>
      <c r="H2074" s="796" t="s">
        <v>866</v>
      </c>
      <c r="I2074" s="220" t="str">
        <f>IF(ISBLANK(global!I551),"",global!I551)</f>
        <v/>
      </c>
      <c r="K2074" s="225" t="s">
        <v>4159</v>
      </c>
      <c r="O2074" s="225" t="s">
        <v>4159</v>
      </c>
    </row>
    <row r="2075" spans="1:15" ht="12.75" customHeight="1" x14ac:dyDescent="0.3">
      <c r="A2075" s="797"/>
      <c r="B2075" s="797" t="s">
        <v>1553</v>
      </c>
      <c r="C2075" s="797"/>
      <c r="D2075" s="797"/>
      <c r="E2075" s="797"/>
      <c r="F2075" s="797"/>
      <c r="G2075" s="796" t="s">
        <v>3096</v>
      </c>
      <c r="H2075" s="796" t="s">
        <v>866</v>
      </c>
      <c r="I2075" s="220" t="str">
        <f>IF(ISBLANK(global!I552),"",global!I552)</f>
        <v/>
      </c>
      <c r="K2075" s="225" t="s">
        <v>4159</v>
      </c>
      <c r="O2075" s="225" t="s">
        <v>4159</v>
      </c>
    </row>
    <row r="2076" spans="1:15" ht="12.75" customHeight="1" x14ac:dyDescent="0.3">
      <c r="A2076" s="797"/>
      <c r="B2076" s="797" t="s">
        <v>1555</v>
      </c>
      <c r="C2076" s="797"/>
      <c r="D2076" s="797"/>
      <c r="E2076" s="797"/>
      <c r="F2076" s="797"/>
      <c r="G2076" s="796" t="s">
        <v>3097</v>
      </c>
      <c r="H2076" s="796" t="s">
        <v>291</v>
      </c>
      <c r="I2076" s="220" t="str">
        <f>IF(ISBLANK(global!I553),"",global!I553)</f>
        <v/>
      </c>
      <c r="K2076" s="225" t="s">
        <v>4159</v>
      </c>
      <c r="O2076" s="225" t="s">
        <v>4159</v>
      </c>
    </row>
    <row r="2077" spans="1:15" ht="12.75" customHeight="1" x14ac:dyDescent="0.3">
      <c r="A2077" s="797"/>
      <c r="B2077" s="797" t="s">
        <v>1557</v>
      </c>
      <c r="C2077" s="797"/>
      <c r="D2077" s="797"/>
      <c r="E2077" s="797"/>
      <c r="F2077" s="797"/>
      <c r="G2077" s="796" t="s">
        <v>3098</v>
      </c>
      <c r="H2077" s="796" t="s">
        <v>291</v>
      </c>
      <c r="I2077" s="220" t="str">
        <f>IF(ISBLANK(global!I554),"",global!I554)</f>
        <v/>
      </c>
      <c r="K2077" s="225" t="s">
        <v>4159</v>
      </c>
      <c r="O2077" s="225" t="s">
        <v>4159</v>
      </c>
    </row>
    <row r="2078" spans="1:15" ht="12.75" customHeight="1" x14ac:dyDescent="0.3">
      <c r="A2078" s="797"/>
      <c r="B2078" s="797" t="s">
        <v>1559</v>
      </c>
      <c r="C2078" s="797"/>
      <c r="D2078" s="797"/>
      <c r="E2078" s="797"/>
      <c r="F2078" s="797"/>
      <c r="G2078" s="796" t="s">
        <v>3099</v>
      </c>
      <c r="H2078" s="796" t="s">
        <v>291</v>
      </c>
      <c r="I2078" s="220" t="str">
        <f>IF(ISBLANK(global!I555),"",global!I555)</f>
        <v/>
      </c>
      <c r="K2078" s="225" t="s">
        <v>4159</v>
      </c>
      <c r="O2078" s="225" t="s">
        <v>4159</v>
      </c>
    </row>
    <row r="2079" spans="1:15" ht="12.75" customHeight="1" x14ac:dyDescent="0.3">
      <c r="A2079" s="778" t="s">
        <v>3100</v>
      </c>
      <c r="G2079" s="778"/>
      <c r="H2079" s="778"/>
      <c r="I2079" s="220" t="str">
        <f>IF(ISBLANK(global!I556),"",global!I556)</f>
        <v/>
      </c>
      <c r="K2079" s="225" t="s">
        <v>4159</v>
      </c>
      <c r="O2079" s="225" t="s">
        <v>4159</v>
      </c>
    </row>
    <row r="2080" spans="1:15" ht="12.75" customHeight="1" x14ac:dyDescent="0.3">
      <c r="A2080" s="797"/>
      <c r="B2080" s="797" t="s">
        <v>1562</v>
      </c>
      <c r="C2080" s="797"/>
      <c r="D2080" s="797"/>
      <c r="E2080" s="797"/>
      <c r="F2080" s="797"/>
      <c r="G2080" s="797" t="s">
        <v>3101</v>
      </c>
      <c r="H2080" s="797" t="s">
        <v>813</v>
      </c>
      <c r="I2080" s="220" t="str">
        <f>IF(ISBLANK(global!I557),"",global!I557)</f>
        <v/>
      </c>
      <c r="K2080" s="225" t="s">
        <v>4159</v>
      </c>
      <c r="O2080" s="225" t="s">
        <v>4159</v>
      </c>
    </row>
    <row r="2081" spans="1:15" ht="12.75" customHeight="1" x14ac:dyDescent="0.3">
      <c r="A2081" s="797"/>
      <c r="B2081" s="797" t="s">
        <v>1564</v>
      </c>
      <c r="C2081" s="797"/>
      <c r="D2081" s="797"/>
      <c r="E2081" s="797"/>
      <c r="F2081" s="797"/>
      <c r="G2081" s="797" t="s">
        <v>3102</v>
      </c>
      <c r="H2081" s="797" t="s">
        <v>282</v>
      </c>
      <c r="I2081" s="220" t="str">
        <f>IF(ISBLANK(global!I558),"",global!I558)</f>
        <v/>
      </c>
      <c r="K2081" s="225" t="s">
        <v>4159</v>
      </c>
      <c r="O2081" s="225" t="s">
        <v>4159</v>
      </c>
    </row>
    <row r="2082" spans="1:15" ht="12.75" customHeight="1" x14ac:dyDescent="0.3">
      <c r="A2082" s="797"/>
      <c r="B2082" s="797"/>
      <c r="C2082" s="797" t="s">
        <v>1566</v>
      </c>
      <c r="D2082" s="797"/>
      <c r="E2082" s="797"/>
      <c r="F2082" s="797"/>
      <c r="G2082" s="797" t="s">
        <v>3103</v>
      </c>
      <c r="H2082" s="797" t="s">
        <v>857</v>
      </c>
      <c r="I2082" s="220" t="str">
        <f>IF(ISBLANK(global!I559),"",global!I559)</f>
        <v/>
      </c>
      <c r="K2082" s="225" t="s">
        <v>4159</v>
      </c>
      <c r="O2082" s="225" t="s">
        <v>4159</v>
      </c>
    </row>
    <row r="2083" spans="1:15" ht="12.75" customHeight="1" x14ac:dyDescent="0.3">
      <c r="A2083" s="797"/>
      <c r="B2083" s="797"/>
      <c r="C2083" s="797" t="s">
        <v>1568</v>
      </c>
      <c r="D2083" s="797"/>
      <c r="E2083" s="797"/>
      <c r="F2083" s="797"/>
      <c r="G2083" s="797" t="s">
        <v>3104</v>
      </c>
      <c r="H2083" s="797" t="s">
        <v>888</v>
      </c>
      <c r="I2083" s="220" t="str">
        <f>IF(ISBLANK(global!I560),"",global!I560)</f>
        <v/>
      </c>
      <c r="K2083" s="225" t="s">
        <v>4159</v>
      </c>
      <c r="O2083" s="225" t="s">
        <v>4159</v>
      </c>
    </row>
    <row r="2084" spans="1:15" ht="12.75" customHeight="1" x14ac:dyDescent="0.3">
      <c r="A2084" s="778" t="s">
        <v>3105</v>
      </c>
      <c r="G2084" s="778"/>
      <c r="H2084" s="778"/>
      <c r="I2084" s="220" t="str">
        <f>IF(ISBLANK(global!I561),"",global!I561)</f>
        <v/>
      </c>
      <c r="K2084" s="225" t="s">
        <v>4159</v>
      </c>
      <c r="O2084" s="225" t="s">
        <v>4159</v>
      </c>
    </row>
    <row r="2085" spans="1:15" ht="12.75" customHeight="1" x14ac:dyDescent="0.3">
      <c r="A2085" s="797" t="s">
        <v>1571</v>
      </c>
      <c r="B2085" s="797"/>
      <c r="C2085" s="797"/>
      <c r="D2085" s="797"/>
      <c r="E2085" s="797"/>
      <c r="F2085" s="797"/>
      <c r="G2085" s="796" t="s">
        <v>3106</v>
      </c>
      <c r="H2085" s="796" t="s">
        <v>335</v>
      </c>
      <c r="I2085" s="220" t="str">
        <f>IF(ISBLANK(global!I562),"",global!I562)</f>
        <v/>
      </c>
      <c r="K2085" s="225" t="s">
        <v>4159</v>
      </c>
      <c r="O2085" s="225" t="s">
        <v>4159</v>
      </c>
    </row>
    <row r="2086" spans="1:15" ht="12.75" customHeight="1" x14ac:dyDescent="0.3">
      <c r="A2086" s="797"/>
      <c r="B2086" s="797" t="s">
        <v>1574</v>
      </c>
      <c r="C2086" s="797"/>
      <c r="D2086" s="797"/>
      <c r="E2086" s="797"/>
      <c r="F2086" s="797"/>
      <c r="G2086" s="796" t="s">
        <v>3107</v>
      </c>
      <c r="H2086" s="796" t="s">
        <v>1576</v>
      </c>
      <c r="I2086" s="220" t="str">
        <f>IF(ISBLANK(global!I563),"",global!I563)</f>
        <v/>
      </c>
      <c r="K2086" s="225" t="s">
        <v>4159</v>
      </c>
      <c r="O2086" s="225" t="s">
        <v>4159</v>
      </c>
    </row>
    <row r="2087" spans="1:15" ht="12.75" customHeight="1" x14ac:dyDescent="0.3">
      <c r="A2087" s="797"/>
      <c r="B2087" s="797" t="s">
        <v>1577</v>
      </c>
      <c r="C2087" s="797"/>
      <c r="D2087" s="797"/>
      <c r="E2087" s="797"/>
      <c r="F2087" s="797"/>
      <c r="G2087" s="796" t="s">
        <v>3108</v>
      </c>
      <c r="H2087" s="796" t="s">
        <v>291</v>
      </c>
      <c r="I2087" s="220" t="str">
        <f>IF(ISBLANK(global!I564),"",global!I564)</f>
        <v/>
      </c>
      <c r="K2087" s="225" t="s">
        <v>4159</v>
      </c>
      <c r="O2087" s="225" t="s">
        <v>4159</v>
      </c>
    </row>
    <row r="2088" spans="1:15" ht="12.75" customHeight="1" x14ac:dyDescent="0.3">
      <c r="A2088" s="797"/>
      <c r="B2088" s="797" t="s">
        <v>1580</v>
      </c>
      <c r="C2088" s="797"/>
      <c r="D2088" s="797"/>
      <c r="E2088" s="797"/>
      <c r="F2088" s="797"/>
      <c r="G2088" s="796" t="s">
        <v>3109</v>
      </c>
      <c r="H2088" s="796" t="s">
        <v>866</v>
      </c>
      <c r="I2088" s="220" t="str">
        <f>IF(ISBLANK(global!I565),"",global!I565)</f>
        <v/>
      </c>
      <c r="K2088" s="225" t="s">
        <v>4159</v>
      </c>
      <c r="O2088" s="225" t="s">
        <v>4159</v>
      </c>
    </row>
    <row r="2089" spans="1:15" ht="12.75" customHeight="1" x14ac:dyDescent="0.3">
      <c r="A2089" s="797"/>
      <c r="B2089" s="797" t="s">
        <v>1582</v>
      </c>
      <c r="C2089" s="797"/>
      <c r="D2089" s="797"/>
      <c r="E2089" s="797"/>
      <c r="F2089" s="797"/>
      <c r="G2089" s="796" t="s">
        <v>3110</v>
      </c>
      <c r="H2089" s="796" t="s">
        <v>291</v>
      </c>
      <c r="I2089" s="220" t="str">
        <f>IF(ISBLANK(global!I566),"",global!I566)</f>
        <v/>
      </c>
      <c r="K2089" s="225" t="s">
        <v>4159</v>
      </c>
      <c r="O2089" s="225" t="s">
        <v>4159</v>
      </c>
    </row>
    <row r="2090" spans="1:15" ht="12.75" customHeight="1" x14ac:dyDescent="0.3">
      <c r="A2090" s="797"/>
      <c r="B2090" s="797"/>
      <c r="C2090" s="797" t="s">
        <v>1584</v>
      </c>
      <c r="D2090" s="797"/>
      <c r="E2090" s="797"/>
      <c r="F2090" s="797"/>
      <c r="G2090" s="796" t="s">
        <v>3111</v>
      </c>
      <c r="H2090" s="796" t="s">
        <v>291</v>
      </c>
      <c r="I2090" s="220" t="str">
        <f>IF(ISBLANK(global!I567),"",global!I567)</f>
        <v/>
      </c>
      <c r="K2090" s="225" t="s">
        <v>4159</v>
      </c>
      <c r="O2090" s="225" t="s">
        <v>4159</v>
      </c>
    </row>
    <row r="2091" spans="1:15" ht="12.75" customHeight="1" x14ac:dyDescent="0.3">
      <c r="A2091" s="797"/>
      <c r="B2091" s="797"/>
      <c r="C2091" s="797" t="s">
        <v>1586</v>
      </c>
      <c r="D2091" s="797"/>
      <c r="E2091" s="797"/>
      <c r="F2091" s="797"/>
      <c r="G2091" s="796" t="s">
        <v>3112</v>
      </c>
      <c r="H2091" s="796" t="s">
        <v>291</v>
      </c>
      <c r="I2091" s="220" t="str">
        <f>IF(ISBLANK(global!I568),"",global!I568)</f>
        <v/>
      </c>
      <c r="K2091" s="225" t="s">
        <v>4159</v>
      </c>
      <c r="O2091" s="225" t="s">
        <v>4159</v>
      </c>
    </row>
    <row r="2092" spans="1:15" ht="12.75" customHeight="1" x14ac:dyDescent="0.3">
      <c r="A2092" s="797"/>
      <c r="B2092" s="797"/>
      <c r="C2092" s="797" t="s">
        <v>1588</v>
      </c>
      <c r="D2092" s="797"/>
      <c r="E2092" s="797"/>
      <c r="F2092" s="797"/>
      <c r="G2092" s="796" t="s">
        <v>3113</v>
      </c>
      <c r="H2092" s="796" t="s">
        <v>291</v>
      </c>
      <c r="I2092" s="220" t="str">
        <f>IF(ISBLANK(global!I569),"",global!I569)</f>
        <v/>
      </c>
      <c r="K2092" s="225" t="s">
        <v>4159</v>
      </c>
      <c r="O2092" s="225" t="s">
        <v>4159</v>
      </c>
    </row>
    <row r="2093" spans="1:15" ht="12.75" customHeight="1" x14ac:dyDescent="0.3">
      <c r="A2093" s="797"/>
      <c r="B2093" s="797"/>
      <c r="C2093" s="797" t="s">
        <v>1590</v>
      </c>
      <c r="D2093" s="797"/>
      <c r="E2093" s="797"/>
      <c r="F2093" s="797"/>
      <c r="G2093" s="796" t="s">
        <v>3114</v>
      </c>
      <c r="H2093" s="796" t="s">
        <v>291</v>
      </c>
      <c r="I2093" s="220" t="str">
        <f>IF(ISBLANK(global!I570),"",global!I570)</f>
        <v/>
      </c>
      <c r="K2093" s="225" t="s">
        <v>4159</v>
      </c>
      <c r="O2093" s="225" t="s">
        <v>4159</v>
      </c>
    </row>
    <row r="2094" spans="1:15" ht="12.75" customHeight="1" x14ac:dyDescent="0.3">
      <c r="A2094" s="797" t="s">
        <v>1592</v>
      </c>
      <c r="B2094" s="797"/>
      <c r="C2094" s="797"/>
      <c r="D2094" s="797"/>
      <c r="E2094" s="797"/>
      <c r="F2094" s="797"/>
      <c r="G2094" s="796" t="s">
        <v>3115</v>
      </c>
      <c r="H2094" s="796" t="s">
        <v>335</v>
      </c>
      <c r="I2094" s="220" t="str">
        <f>IF(ISBLANK(global!I571),"",global!I571)</f>
        <v/>
      </c>
      <c r="K2094" s="225" t="s">
        <v>4159</v>
      </c>
      <c r="O2094" s="225" t="s">
        <v>4159</v>
      </c>
    </row>
    <row r="2095" spans="1:15" ht="12.75" customHeight="1" x14ac:dyDescent="0.3">
      <c r="A2095" s="797"/>
      <c r="B2095" s="797" t="s">
        <v>1594</v>
      </c>
      <c r="C2095" s="797"/>
      <c r="D2095" s="797"/>
      <c r="E2095" s="797"/>
      <c r="F2095" s="797"/>
      <c r="G2095" s="796" t="s">
        <v>3116</v>
      </c>
      <c r="H2095" s="796" t="s">
        <v>291</v>
      </c>
      <c r="I2095" s="220" t="str">
        <f>IF(ISBLANK(global!I572),"",global!I572)</f>
        <v/>
      </c>
      <c r="K2095" s="225" t="s">
        <v>4159</v>
      </c>
      <c r="O2095" s="225" t="s">
        <v>4159</v>
      </c>
    </row>
    <row r="2096" spans="1:15" ht="12.75" customHeight="1" x14ac:dyDescent="0.3">
      <c r="A2096" s="797"/>
      <c r="B2096" s="797" t="s">
        <v>1596</v>
      </c>
      <c r="C2096" s="797"/>
      <c r="D2096" s="797"/>
      <c r="E2096" s="797"/>
      <c r="F2096" s="797"/>
      <c r="G2096" s="796" t="s">
        <v>3117</v>
      </c>
      <c r="H2096" s="796"/>
      <c r="I2096" s="220" t="str">
        <f>IF(ISBLANK(global!I573),"",global!I573)</f>
        <v/>
      </c>
      <c r="K2096" s="225" t="s">
        <v>4159</v>
      </c>
      <c r="O2096" s="225" t="s">
        <v>4159</v>
      </c>
    </row>
    <row r="2097" spans="1:15" ht="12.75" customHeight="1" x14ac:dyDescent="0.3">
      <c r="A2097" s="797"/>
      <c r="B2097" s="797" t="s">
        <v>1574</v>
      </c>
      <c r="C2097" s="797"/>
      <c r="D2097" s="797"/>
      <c r="E2097" s="797"/>
      <c r="F2097" s="797"/>
      <c r="G2097" s="796" t="s">
        <v>3118</v>
      </c>
      <c r="H2097" s="796" t="s">
        <v>1576</v>
      </c>
      <c r="I2097" s="220" t="str">
        <f>IF(ISBLANK(global!I574),"",global!I574)</f>
        <v/>
      </c>
      <c r="K2097" s="225" t="s">
        <v>4159</v>
      </c>
      <c r="O2097" s="225" t="s">
        <v>4159</v>
      </c>
    </row>
    <row r="2098" spans="1:15" ht="12.75" customHeight="1" x14ac:dyDescent="0.3">
      <c r="A2098" s="797"/>
      <c r="B2098" s="797" t="s">
        <v>1599</v>
      </c>
      <c r="C2098" s="797"/>
      <c r="D2098" s="797"/>
      <c r="E2098" s="797"/>
      <c r="F2098" s="797"/>
      <c r="G2098" s="796" t="s">
        <v>3119</v>
      </c>
      <c r="H2098" s="796" t="s">
        <v>291</v>
      </c>
      <c r="I2098" s="220" t="str">
        <f>IF(ISBLANK(global!I575),"",global!I575)</f>
        <v/>
      </c>
      <c r="K2098" s="225" t="s">
        <v>4159</v>
      </c>
      <c r="O2098" s="225" t="s">
        <v>4159</v>
      </c>
    </row>
    <row r="2099" spans="1:15" ht="12.75" customHeight="1" x14ac:dyDescent="0.3">
      <c r="A2099" s="797"/>
      <c r="B2099" s="797" t="s">
        <v>1580</v>
      </c>
      <c r="C2099" s="797"/>
      <c r="D2099" s="797"/>
      <c r="E2099" s="797"/>
      <c r="F2099" s="797"/>
      <c r="G2099" s="796" t="s">
        <v>3120</v>
      </c>
      <c r="H2099" s="796" t="s">
        <v>866</v>
      </c>
      <c r="I2099" s="220" t="str">
        <f>IF(ISBLANK(global!I576),"",global!I576)</f>
        <v/>
      </c>
      <c r="K2099" s="225" t="s">
        <v>4159</v>
      </c>
      <c r="O2099" s="225" t="s">
        <v>4159</v>
      </c>
    </row>
    <row r="2100" spans="1:15" ht="12.75" customHeight="1" x14ac:dyDescent="0.3">
      <c r="A2100" s="797"/>
      <c r="B2100" s="797" t="s">
        <v>1582</v>
      </c>
      <c r="C2100" s="797"/>
      <c r="D2100" s="797"/>
      <c r="E2100" s="797"/>
      <c r="F2100" s="797"/>
      <c r="G2100" s="796" t="s">
        <v>3121</v>
      </c>
      <c r="H2100" s="796" t="s">
        <v>291</v>
      </c>
      <c r="I2100" s="220" t="str">
        <f>IF(ISBLANK(global!I577),"",global!I577)</f>
        <v/>
      </c>
      <c r="K2100" s="225" t="s">
        <v>4159</v>
      </c>
      <c r="O2100" s="225" t="s">
        <v>4159</v>
      </c>
    </row>
    <row r="2101" spans="1:15" ht="12.75" customHeight="1" x14ac:dyDescent="0.3">
      <c r="A2101" s="797"/>
      <c r="B2101" s="797"/>
      <c r="C2101" s="797" t="s">
        <v>1584</v>
      </c>
      <c r="D2101" s="797"/>
      <c r="E2101" s="797"/>
      <c r="F2101" s="797"/>
      <c r="G2101" s="796" t="s">
        <v>3122</v>
      </c>
      <c r="H2101" s="796" t="s">
        <v>291</v>
      </c>
      <c r="I2101" s="220" t="str">
        <f>IF(ISBLANK(global!I578),"",global!I578)</f>
        <v/>
      </c>
      <c r="K2101" s="225" t="s">
        <v>4159</v>
      </c>
      <c r="O2101" s="225" t="s">
        <v>4159</v>
      </c>
    </row>
    <row r="2102" spans="1:15" ht="12.75" customHeight="1" x14ac:dyDescent="0.3">
      <c r="A2102" s="797"/>
      <c r="B2102" s="797"/>
      <c r="C2102" s="797" t="s">
        <v>1586</v>
      </c>
      <c r="D2102" s="797"/>
      <c r="E2102" s="797"/>
      <c r="F2102" s="797"/>
      <c r="G2102" s="796" t="s">
        <v>3123</v>
      </c>
      <c r="H2102" s="796" t="s">
        <v>291</v>
      </c>
      <c r="I2102" s="220" t="str">
        <f>IF(ISBLANK(global!I579),"",global!I579)</f>
        <v/>
      </c>
      <c r="K2102" s="225" t="s">
        <v>4159</v>
      </c>
      <c r="O2102" s="225" t="s">
        <v>4159</v>
      </c>
    </row>
    <row r="2103" spans="1:15" ht="12.75" customHeight="1" x14ac:dyDescent="0.3">
      <c r="A2103" s="797"/>
      <c r="B2103" s="797"/>
      <c r="C2103" s="797" t="s">
        <v>1588</v>
      </c>
      <c r="D2103" s="797"/>
      <c r="E2103" s="797"/>
      <c r="F2103" s="797"/>
      <c r="G2103" s="796" t="s">
        <v>3124</v>
      </c>
      <c r="H2103" s="796" t="s">
        <v>291</v>
      </c>
      <c r="I2103" s="220" t="str">
        <f>IF(ISBLANK(global!I580),"",global!I580)</f>
        <v/>
      </c>
      <c r="K2103" s="225" t="s">
        <v>4159</v>
      </c>
      <c r="O2103" s="225" t="s">
        <v>4159</v>
      </c>
    </row>
    <row r="2104" spans="1:15" ht="12.75" customHeight="1" x14ac:dyDescent="0.3">
      <c r="A2104" s="797"/>
      <c r="B2104" s="797"/>
      <c r="C2104" s="797" t="s">
        <v>1590</v>
      </c>
      <c r="D2104" s="797"/>
      <c r="E2104" s="797"/>
      <c r="F2104" s="797"/>
      <c r="G2104" s="796" t="s">
        <v>3125</v>
      </c>
      <c r="H2104" s="796" t="s">
        <v>291</v>
      </c>
      <c r="I2104" s="220" t="str">
        <f>IF(ISBLANK(global!I581),"",global!I581)</f>
        <v/>
      </c>
      <c r="K2104" s="225" t="s">
        <v>4159</v>
      </c>
      <c r="O2104" s="225" t="s">
        <v>4159</v>
      </c>
    </row>
    <row r="2105" spans="1:15" ht="12.75" customHeight="1" x14ac:dyDescent="0.3">
      <c r="A2105" s="797" t="s">
        <v>1607</v>
      </c>
      <c r="B2105" s="797"/>
      <c r="C2105" s="797"/>
      <c r="D2105" s="797"/>
      <c r="E2105" s="797"/>
      <c r="F2105" s="797"/>
      <c r="G2105" s="796" t="s">
        <v>3126</v>
      </c>
      <c r="H2105" s="796" t="s">
        <v>335</v>
      </c>
      <c r="I2105" s="220" t="str">
        <f>IF(ISBLANK(global!I582),"",global!I582)</f>
        <v/>
      </c>
      <c r="K2105" s="225" t="s">
        <v>4159</v>
      </c>
      <c r="O2105" s="225" t="s">
        <v>4159</v>
      </c>
    </row>
    <row r="2106" spans="1:15" ht="12.75" customHeight="1" x14ac:dyDescent="0.3">
      <c r="A2106" s="797" t="s">
        <v>2784</v>
      </c>
      <c r="B2106" s="797"/>
      <c r="C2106" s="797"/>
      <c r="D2106" s="797"/>
      <c r="E2106" s="797"/>
      <c r="F2106" s="797"/>
      <c r="G2106" s="796" t="s">
        <v>3127</v>
      </c>
      <c r="H2106" s="796" t="s">
        <v>335</v>
      </c>
      <c r="I2106" s="220" t="str">
        <f>IF(ISBLANK(global!I583),"",global!I583)</f>
        <v/>
      </c>
      <c r="K2106" s="225" t="s">
        <v>4159</v>
      </c>
      <c r="O2106" s="225" t="s">
        <v>4159</v>
      </c>
    </row>
    <row r="2107" spans="1:15" ht="12.75" customHeight="1" x14ac:dyDescent="0.3">
      <c r="A2107" s="797"/>
      <c r="B2107" s="797" t="s">
        <v>1612</v>
      </c>
      <c r="C2107" s="797"/>
      <c r="D2107" s="797"/>
      <c r="E2107" s="797"/>
      <c r="F2107" s="797"/>
      <c r="G2107" s="796" t="s">
        <v>3128</v>
      </c>
      <c r="H2107" s="796" t="s">
        <v>866</v>
      </c>
      <c r="I2107" s="220" t="str">
        <f>IF(ISBLANK(global!I584),"",global!I584)</f>
        <v/>
      </c>
      <c r="K2107" s="225" t="s">
        <v>4159</v>
      </c>
      <c r="O2107" s="225" t="s">
        <v>4159</v>
      </c>
    </row>
    <row r="2108" spans="1:15" ht="12.75" customHeight="1" x14ac:dyDescent="0.3">
      <c r="A2108" s="797"/>
      <c r="B2108" s="797" t="s">
        <v>1614</v>
      </c>
      <c r="C2108" s="797"/>
      <c r="D2108" s="797"/>
      <c r="E2108" s="797"/>
      <c r="F2108" s="797"/>
      <c r="G2108" s="796" t="s">
        <v>3129</v>
      </c>
      <c r="H2108" s="796" t="s">
        <v>1616</v>
      </c>
      <c r="I2108" s="220" t="str">
        <f>IF(ISBLANK(global!I585),"",global!I585)</f>
        <v/>
      </c>
      <c r="K2108" s="225" t="s">
        <v>4159</v>
      </c>
      <c r="O2108" s="225" t="s">
        <v>4159</v>
      </c>
    </row>
    <row r="2109" spans="1:15" ht="12.75" customHeight="1" x14ac:dyDescent="0.3">
      <c r="A2109" s="797"/>
      <c r="B2109" s="797" t="s">
        <v>1619</v>
      </c>
      <c r="C2109" s="797"/>
      <c r="D2109" s="797"/>
      <c r="E2109" s="797"/>
      <c r="F2109" s="797"/>
      <c r="G2109" s="796" t="s">
        <v>3130</v>
      </c>
      <c r="H2109" s="796" t="s">
        <v>1616</v>
      </c>
      <c r="I2109" s="220" t="str">
        <f>IF(ISBLANK(global!I586),"",global!I586)</f>
        <v/>
      </c>
      <c r="K2109" s="225" t="s">
        <v>4159</v>
      </c>
      <c r="O2109" s="225" t="s">
        <v>4159</v>
      </c>
    </row>
    <row r="2110" spans="1:15" ht="12.75" customHeight="1" x14ac:dyDescent="0.3">
      <c r="A2110" s="797"/>
      <c r="B2110" s="797"/>
      <c r="C2110" s="797" t="s">
        <v>1622</v>
      </c>
      <c r="D2110" s="797"/>
      <c r="E2110" s="797"/>
      <c r="F2110" s="797"/>
      <c r="G2110" s="796" t="s">
        <v>3131</v>
      </c>
      <c r="H2110" s="796" t="s">
        <v>866</v>
      </c>
      <c r="I2110" s="220" t="str">
        <f>IF(ISBLANK(global!I587),"",global!I587)</f>
        <v/>
      </c>
      <c r="K2110" s="225" t="s">
        <v>4159</v>
      </c>
      <c r="O2110" s="225" t="s">
        <v>4159</v>
      </c>
    </row>
    <row r="2111" spans="1:15" ht="12.75" customHeight="1" x14ac:dyDescent="0.3">
      <c r="A2111" s="797"/>
      <c r="B2111" s="797"/>
      <c r="C2111" s="797" t="s">
        <v>1584</v>
      </c>
      <c r="D2111" s="797"/>
      <c r="E2111" s="797"/>
      <c r="F2111" s="797"/>
      <c r="G2111" s="796" t="s">
        <v>3132</v>
      </c>
      <c r="H2111" s="796" t="s">
        <v>291</v>
      </c>
      <c r="I2111" s="220" t="str">
        <f>IF(ISBLANK(global!I588),"",global!I588)</f>
        <v/>
      </c>
      <c r="K2111" s="225" t="s">
        <v>4159</v>
      </c>
      <c r="O2111" s="225" t="s">
        <v>4159</v>
      </c>
    </row>
    <row r="2112" spans="1:15" ht="12.75" customHeight="1" x14ac:dyDescent="0.3">
      <c r="A2112" s="797"/>
      <c r="B2112" s="797"/>
      <c r="C2112" s="797" t="s">
        <v>1586</v>
      </c>
      <c r="D2112" s="797"/>
      <c r="E2112" s="797"/>
      <c r="F2112" s="797"/>
      <c r="G2112" s="796" t="s">
        <v>3133</v>
      </c>
      <c r="H2112" s="796" t="s">
        <v>291</v>
      </c>
      <c r="I2112" s="220" t="str">
        <f>IF(ISBLANK(global!I589),"",global!I589)</f>
        <v/>
      </c>
      <c r="K2112" s="225" t="s">
        <v>4159</v>
      </c>
      <c r="O2112" s="225" t="s">
        <v>4159</v>
      </c>
    </row>
    <row r="2113" spans="1:15" ht="12.75" customHeight="1" x14ac:dyDescent="0.3">
      <c r="A2113" s="797"/>
      <c r="B2113" s="797"/>
      <c r="C2113" s="797"/>
      <c r="D2113" s="797" t="s">
        <v>1629</v>
      </c>
      <c r="E2113" s="797"/>
      <c r="F2113" s="797"/>
      <c r="G2113" s="796" t="s">
        <v>3134</v>
      </c>
      <c r="H2113" s="796" t="s">
        <v>813</v>
      </c>
      <c r="I2113" s="220" t="str">
        <f>IF(ISBLANK(global!I590),"",global!I590)</f>
        <v/>
      </c>
      <c r="K2113" s="225" t="s">
        <v>4159</v>
      </c>
      <c r="O2113" s="225" t="s">
        <v>4159</v>
      </c>
    </row>
    <row r="2114" spans="1:15" ht="12.75" customHeight="1" x14ac:dyDescent="0.3">
      <c r="A2114" s="797"/>
      <c r="B2114" s="797"/>
      <c r="C2114" s="797"/>
      <c r="D2114" s="797" t="s">
        <v>1631</v>
      </c>
      <c r="E2114" s="797"/>
      <c r="F2114" s="797"/>
      <c r="G2114" s="796" t="s">
        <v>3135</v>
      </c>
      <c r="H2114" s="796" t="s">
        <v>813</v>
      </c>
      <c r="I2114" s="220" t="str">
        <f>IF(ISBLANK(global!I591),"",global!I591)</f>
        <v/>
      </c>
      <c r="K2114" s="225" t="s">
        <v>4159</v>
      </c>
      <c r="O2114" s="225" t="s">
        <v>4159</v>
      </c>
    </row>
    <row r="2115" spans="1:15" ht="12.75" customHeight="1" x14ac:dyDescent="0.3">
      <c r="A2115" s="797"/>
      <c r="B2115" s="797"/>
      <c r="C2115" s="797"/>
      <c r="D2115" s="797" t="s">
        <v>1633</v>
      </c>
      <c r="E2115" s="797"/>
      <c r="F2115" s="797"/>
      <c r="G2115" s="796" t="s">
        <v>3136</v>
      </c>
      <c r="H2115" s="796" t="s">
        <v>291</v>
      </c>
      <c r="I2115" s="220" t="str">
        <f>IF(ISBLANK(global!I592),"",global!I592)</f>
        <v/>
      </c>
      <c r="K2115" s="225" t="s">
        <v>4159</v>
      </c>
      <c r="O2115" s="225" t="s">
        <v>4159</v>
      </c>
    </row>
    <row r="2116" spans="1:15" ht="12.75" customHeight="1" x14ac:dyDescent="0.3">
      <c r="A2116" s="797"/>
      <c r="B2116" s="797"/>
      <c r="C2116" s="797" t="s">
        <v>1588</v>
      </c>
      <c r="D2116" s="797"/>
      <c r="E2116" s="797"/>
      <c r="F2116" s="797"/>
      <c r="G2116" s="796" t="s">
        <v>3137</v>
      </c>
      <c r="H2116" s="796" t="s">
        <v>291</v>
      </c>
      <c r="I2116" s="220" t="str">
        <f>IF(ISBLANK(global!I593),"",global!I593)</f>
        <v/>
      </c>
      <c r="K2116" s="225" t="s">
        <v>4159</v>
      </c>
      <c r="O2116" s="225" t="s">
        <v>4159</v>
      </c>
    </row>
    <row r="2117" spans="1:15" ht="12.75" customHeight="1" x14ac:dyDescent="0.3">
      <c r="A2117" s="797" t="s">
        <v>2796</v>
      </c>
      <c r="B2117" s="797"/>
      <c r="C2117" s="797"/>
      <c r="D2117" s="797"/>
      <c r="E2117" s="797"/>
      <c r="F2117" s="797"/>
      <c r="G2117" s="796" t="s">
        <v>3138</v>
      </c>
      <c r="H2117" s="796" t="s">
        <v>335</v>
      </c>
      <c r="I2117" s="220" t="str">
        <f>IF(ISBLANK(global!I594),"",global!I594)</f>
        <v/>
      </c>
      <c r="K2117" s="225" t="s">
        <v>4159</v>
      </c>
      <c r="O2117" s="225" t="s">
        <v>4159</v>
      </c>
    </row>
    <row r="2118" spans="1:15" ht="12.75" customHeight="1" x14ac:dyDescent="0.3">
      <c r="A2118" s="797"/>
      <c r="B2118" s="797" t="s">
        <v>1612</v>
      </c>
      <c r="C2118" s="797"/>
      <c r="D2118" s="797"/>
      <c r="E2118" s="797"/>
      <c r="F2118" s="797"/>
      <c r="G2118" s="796" t="s">
        <v>3139</v>
      </c>
      <c r="H2118" s="796" t="s">
        <v>866</v>
      </c>
      <c r="I2118" s="220" t="str">
        <f>IF(ISBLANK(global!I595),"",global!I595)</f>
        <v/>
      </c>
      <c r="K2118" s="225" t="s">
        <v>4159</v>
      </c>
      <c r="O2118" s="225" t="s">
        <v>4159</v>
      </c>
    </row>
    <row r="2119" spans="1:15" ht="12.75" customHeight="1" x14ac:dyDescent="0.3">
      <c r="A2119" s="797"/>
      <c r="B2119" s="797" t="s">
        <v>1619</v>
      </c>
      <c r="C2119" s="797"/>
      <c r="D2119" s="797"/>
      <c r="E2119" s="797"/>
      <c r="F2119" s="797"/>
      <c r="G2119" s="796" t="s">
        <v>3140</v>
      </c>
      <c r="H2119" s="796" t="s">
        <v>1616</v>
      </c>
      <c r="I2119" s="220" t="str">
        <f>IF(ISBLANK(global!I596),"",global!I596)</f>
        <v/>
      </c>
      <c r="K2119" s="225" t="s">
        <v>4159</v>
      </c>
      <c r="O2119" s="225" t="s">
        <v>4159</v>
      </c>
    </row>
    <row r="2120" spans="1:15" ht="12.75" customHeight="1" x14ac:dyDescent="0.3">
      <c r="A2120" s="797"/>
      <c r="B2120" s="797"/>
      <c r="C2120" s="797" t="s">
        <v>1584</v>
      </c>
      <c r="D2120" s="797"/>
      <c r="E2120" s="797"/>
      <c r="F2120" s="797"/>
      <c r="G2120" s="796" t="s">
        <v>3141</v>
      </c>
      <c r="H2120" s="796" t="s">
        <v>291</v>
      </c>
      <c r="I2120" s="220" t="str">
        <f>IF(ISBLANK(global!I597),"",global!I597)</f>
        <v/>
      </c>
      <c r="K2120" s="225" t="s">
        <v>4159</v>
      </c>
      <c r="O2120" s="225" t="s">
        <v>4159</v>
      </c>
    </row>
    <row r="2121" spans="1:15" ht="12.75" customHeight="1" x14ac:dyDescent="0.3">
      <c r="A2121" s="797"/>
      <c r="B2121" s="797"/>
      <c r="C2121" s="797" t="s">
        <v>1586</v>
      </c>
      <c r="D2121" s="797"/>
      <c r="E2121" s="797"/>
      <c r="F2121" s="797"/>
      <c r="G2121" s="796" t="s">
        <v>3142</v>
      </c>
      <c r="H2121" s="796" t="s">
        <v>291</v>
      </c>
      <c r="I2121" s="220" t="str">
        <f>IF(ISBLANK(global!I598),"",global!I598)</f>
        <v/>
      </c>
      <c r="K2121" s="225" t="s">
        <v>4159</v>
      </c>
      <c r="O2121" s="225" t="s">
        <v>4159</v>
      </c>
    </row>
    <row r="2122" spans="1:15" ht="12.75" customHeight="1" x14ac:dyDescent="0.3">
      <c r="A2122" s="797"/>
      <c r="B2122" s="797"/>
      <c r="C2122" s="797" t="s">
        <v>1588</v>
      </c>
      <c r="D2122" s="797"/>
      <c r="E2122" s="797"/>
      <c r="F2122" s="797"/>
      <c r="G2122" s="796" t="s">
        <v>3143</v>
      </c>
      <c r="H2122" s="796" t="s">
        <v>291</v>
      </c>
      <c r="I2122" s="220" t="str">
        <f>IF(ISBLANK(global!I599),"",global!I599)</f>
        <v/>
      </c>
      <c r="K2122" s="225" t="s">
        <v>4159</v>
      </c>
      <c r="O2122" s="225" t="s">
        <v>4159</v>
      </c>
    </row>
    <row r="2123" spans="1:15" ht="12.75" customHeight="1" x14ac:dyDescent="0.3">
      <c r="A2123" s="797" t="s">
        <v>2803</v>
      </c>
      <c r="B2123" s="797"/>
      <c r="C2123" s="797"/>
      <c r="D2123" s="797"/>
      <c r="E2123" s="797"/>
      <c r="F2123" s="797"/>
      <c r="G2123" s="796" t="s">
        <v>3144</v>
      </c>
      <c r="H2123" s="796" t="s">
        <v>335</v>
      </c>
      <c r="I2123" s="220" t="str">
        <f>IF(ISBLANK(global!I600),"",global!I600)</f>
        <v/>
      </c>
      <c r="K2123" s="225" t="s">
        <v>4159</v>
      </c>
      <c r="O2123" s="225" t="s">
        <v>4159</v>
      </c>
    </row>
    <row r="2124" spans="1:15" ht="12.75" customHeight="1" x14ac:dyDescent="0.3">
      <c r="A2124" s="797" t="s">
        <v>2805</v>
      </c>
      <c r="B2124" s="797"/>
      <c r="C2124" s="797"/>
      <c r="D2124" s="797"/>
      <c r="E2124" s="797"/>
      <c r="F2124" s="797"/>
      <c r="G2124" s="796" t="s">
        <v>3145</v>
      </c>
      <c r="H2124" s="796" t="s">
        <v>335</v>
      </c>
      <c r="I2124" s="220" t="str">
        <f>IF(ISBLANK(global!I601),"",global!I601)</f>
        <v/>
      </c>
      <c r="K2124" s="225" t="s">
        <v>4159</v>
      </c>
      <c r="O2124" s="225" t="s">
        <v>4159</v>
      </c>
    </row>
    <row r="2125" spans="1:15" ht="12.75" customHeight="1" x14ac:dyDescent="0.3">
      <c r="A2125" s="797"/>
      <c r="B2125" s="797" t="s">
        <v>1612</v>
      </c>
      <c r="C2125" s="797"/>
      <c r="D2125" s="797"/>
      <c r="E2125" s="797"/>
      <c r="F2125" s="797"/>
      <c r="G2125" s="796" t="s">
        <v>3146</v>
      </c>
      <c r="H2125" s="796" t="s">
        <v>866</v>
      </c>
      <c r="I2125" s="220" t="str">
        <f>IF(ISBLANK(global!I602),"",global!I602)</f>
        <v/>
      </c>
      <c r="K2125" s="225" t="s">
        <v>4159</v>
      </c>
      <c r="O2125" s="225" t="s">
        <v>4159</v>
      </c>
    </row>
    <row r="2126" spans="1:15" ht="12.75" customHeight="1" x14ac:dyDescent="0.3">
      <c r="A2126" s="797"/>
      <c r="B2126" s="797"/>
      <c r="C2126" s="797" t="s">
        <v>1708</v>
      </c>
      <c r="D2126" s="797"/>
      <c r="E2126" s="797"/>
      <c r="F2126" s="797"/>
      <c r="G2126" s="797" t="s">
        <v>3147</v>
      </c>
      <c r="H2126" s="796" t="s">
        <v>1616</v>
      </c>
      <c r="I2126" s="220" t="str">
        <f>IF(ISBLANK(global!I603),"",global!I603)</f>
        <v/>
      </c>
      <c r="K2126" s="225" t="s">
        <v>4159</v>
      </c>
      <c r="O2126" s="225" t="s">
        <v>4159</v>
      </c>
    </row>
    <row r="2127" spans="1:15" ht="12.75" customHeight="1" x14ac:dyDescent="0.3">
      <c r="A2127" s="797"/>
      <c r="B2127" s="797"/>
      <c r="C2127" s="797" t="s">
        <v>2809</v>
      </c>
      <c r="D2127" s="797"/>
      <c r="E2127" s="797"/>
      <c r="F2127" s="797"/>
      <c r="G2127" s="796" t="s">
        <v>3148</v>
      </c>
      <c r="H2127" s="796" t="s">
        <v>1616</v>
      </c>
      <c r="I2127" s="220" t="str">
        <f>IF(ISBLANK(global!I604),"",global!I604)</f>
        <v/>
      </c>
      <c r="K2127" s="225" t="s">
        <v>4159</v>
      </c>
      <c r="O2127" s="225" t="s">
        <v>4159</v>
      </c>
    </row>
    <row r="2128" spans="1:15" ht="12.75" customHeight="1" x14ac:dyDescent="0.3">
      <c r="A2128" s="797"/>
      <c r="B2128" s="797"/>
      <c r="C2128" s="797" t="s">
        <v>1696</v>
      </c>
      <c r="D2128" s="797"/>
      <c r="E2128" s="797"/>
      <c r="F2128" s="797"/>
      <c r="G2128" s="796" t="s">
        <v>3149</v>
      </c>
      <c r="H2128" s="796" t="s">
        <v>866</v>
      </c>
      <c r="I2128" s="220" t="str">
        <f>IF(ISBLANK(global!I605),"",global!I605)</f>
        <v/>
      </c>
      <c r="K2128" s="225" t="s">
        <v>4159</v>
      </c>
      <c r="O2128" s="225" t="s">
        <v>4159</v>
      </c>
    </row>
    <row r="2129" spans="1:15" ht="12.75" customHeight="1" x14ac:dyDescent="0.3">
      <c r="A2129" s="797"/>
      <c r="B2129" s="797"/>
      <c r="C2129" s="797"/>
      <c r="D2129" s="797" t="s">
        <v>1584</v>
      </c>
      <c r="E2129" s="797"/>
      <c r="F2129" s="797"/>
      <c r="G2129" s="796" t="s">
        <v>3150</v>
      </c>
      <c r="H2129" s="796" t="s">
        <v>291</v>
      </c>
      <c r="I2129" s="220" t="str">
        <f>IF(ISBLANK(global!I606),"",global!I606)</f>
        <v/>
      </c>
      <c r="K2129" s="225" t="s">
        <v>4159</v>
      </c>
      <c r="O2129" s="225" t="s">
        <v>4159</v>
      </c>
    </row>
    <row r="2130" spans="1:15" ht="12.75" customHeight="1" x14ac:dyDescent="0.3">
      <c r="A2130" s="797"/>
      <c r="B2130" s="797"/>
      <c r="C2130" s="797"/>
      <c r="D2130" s="797" t="s">
        <v>1588</v>
      </c>
      <c r="E2130" s="797"/>
      <c r="F2130" s="797"/>
      <c r="G2130" s="796" t="s">
        <v>3151</v>
      </c>
      <c r="H2130" s="796" t="s">
        <v>291</v>
      </c>
      <c r="I2130" s="220" t="str">
        <f>IF(ISBLANK(global!I607),"",global!I607)</f>
        <v/>
      </c>
      <c r="K2130" s="225" t="s">
        <v>4159</v>
      </c>
      <c r="O2130" s="225" t="s">
        <v>4159</v>
      </c>
    </row>
    <row r="2131" spans="1:15" ht="12.75" customHeight="1" x14ac:dyDescent="0.3">
      <c r="A2131" s="797" t="s">
        <v>2814</v>
      </c>
      <c r="B2131" s="797"/>
      <c r="C2131" s="797"/>
      <c r="D2131" s="797"/>
      <c r="E2131" s="797"/>
      <c r="F2131" s="797"/>
      <c r="G2131" s="797" t="s">
        <v>3152</v>
      </c>
      <c r="H2131" s="796" t="s">
        <v>335</v>
      </c>
      <c r="I2131" s="220" t="str">
        <f>IF(ISBLANK(global!I608),"",global!I608)</f>
        <v/>
      </c>
      <c r="K2131" s="225" t="s">
        <v>4159</v>
      </c>
      <c r="O2131" s="225" t="s">
        <v>4159</v>
      </c>
    </row>
    <row r="2132" spans="1:15" ht="12.75" customHeight="1" x14ac:dyDescent="0.3">
      <c r="A2132" s="797"/>
      <c r="B2132" s="797" t="s">
        <v>1612</v>
      </c>
      <c r="C2132" s="797"/>
      <c r="D2132" s="797"/>
      <c r="E2132" s="797"/>
      <c r="F2132" s="797"/>
      <c r="G2132" s="796" t="s">
        <v>3153</v>
      </c>
      <c r="H2132" s="796" t="s">
        <v>866</v>
      </c>
      <c r="I2132" s="220" t="str">
        <f>IF(ISBLANK(global!I609),"",global!I609)</f>
        <v/>
      </c>
      <c r="K2132" s="225" t="s">
        <v>4159</v>
      </c>
      <c r="O2132" s="225" t="s">
        <v>4159</v>
      </c>
    </row>
    <row r="2133" spans="1:15" ht="12.75" customHeight="1" x14ac:dyDescent="0.3">
      <c r="A2133" s="797"/>
      <c r="B2133" s="797"/>
      <c r="C2133" s="797" t="s">
        <v>1694</v>
      </c>
      <c r="D2133" s="797"/>
      <c r="E2133" s="797"/>
      <c r="F2133" s="797"/>
      <c r="G2133" s="796" t="s">
        <v>3154</v>
      </c>
      <c r="H2133" s="796" t="s">
        <v>1616</v>
      </c>
      <c r="I2133" s="220" t="str">
        <f>IF(ISBLANK(global!I610),"",global!I610)</f>
        <v/>
      </c>
      <c r="K2133" s="225" t="s">
        <v>4159</v>
      </c>
      <c r="O2133" s="225" t="s">
        <v>4159</v>
      </c>
    </row>
    <row r="2134" spans="1:15" ht="12.75" customHeight="1" x14ac:dyDescent="0.3">
      <c r="A2134" s="797"/>
      <c r="B2134" s="797"/>
      <c r="C2134" s="797"/>
      <c r="D2134" s="797" t="s">
        <v>1584</v>
      </c>
      <c r="E2134" s="797"/>
      <c r="F2134" s="797"/>
      <c r="G2134" s="796" t="s">
        <v>3155</v>
      </c>
      <c r="H2134" s="796" t="s">
        <v>291</v>
      </c>
      <c r="I2134" s="220" t="str">
        <f>IF(ISBLANK(global!I611),"",global!I611)</f>
        <v/>
      </c>
      <c r="K2134" s="225" t="s">
        <v>4159</v>
      </c>
      <c r="O2134" s="225" t="s">
        <v>4159</v>
      </c>
    </row>
    <row r="2135" spans="1:15" ht="12.75" customHeight="1" x14ac:dyDescent="0.3">
      <c r="A2135" s="797"/>
      <c r="B2135" s="797"/>
      <c r="C2135" s="797"/>
      <c r="D2135" s="797" t="s">
        <v>1588</v>
      </c>
      <c r="E2135" s="797"/>
      <c r="F2135" s="797"/>
      <c r="G2135" s="796" t="s">
        <v>3156</v>
      </c>
      <c r="H2135" s="796" t="s">
        <v>291</v>
      </c>
      <c r="I2135" s="220" t="str">
        <f>IF(ISBLANK(global!I612),"",global!I612)</f>
        <v/>
      </c>
      <c r="K2135" s="225" t="s">
        <v>4159</v>
      </c>
      <c r="O2135" s="225" t="s">
        <v>4159</v>
      </c>
    </row>
    <row r="2136" spans="1:15" ht="12.75" customHeight="1" x14ac:dyDescent="0.3">
      <c r="A2136" s="797" t="s">
        <v>2820</v>
      </c>
      <c r="B2136" s="797"/>
      <c r="C2136" s="797"/>
      <c r="D2136" s="797"/>
      <c r="E2136" s="797"/>
      <c r="F2136" s="797"/>
      <c r="G2136" s="797" t="s">
        <v>3157</v>
      </c>
      <c r="H2136" s="796" t="s">
        <v>335</v>
      </c>
      <c r="I2136" s="220" t="str">
        <f>IF(ISBLANK(global!I613),"",global!I613)</f>
        <v/>
      </c>
      <c r="K2136" s="225" t="s">
        <v>4159</v>
      </c>
      <c r="O2136" s="225" t="s">
        <v>4159</v>
      </c>
    </row>
    <row r="2137" spans="1:15" ht="12.75" customHeight="1" x14ac:dyDescent="0.3">
      <c r="A2137" s="797" t="s">
        <v>2822</v>
      </c>
      <c r="B2137" s="797"/>
      <c r="C2137" s="797"/>
      <c r="D2137" s="797"/>
      <c r="E2137" s="797"/>
      <c r="F2137" s="797"/>
      <c r="G2137" s="796" t="s">
        <v>3158</v>
      </c>
      <c r="H2137" s="796" t="s">
        <v>335</v>
      </c>
      <c r="I2137" s="220" t="str">
        <f>IF(ISBLANK(global!I614),"",global!I614)</f>
        <v/>
      </c>
      <c r="K2137" s="225" t="s">
        <v>4159</v>
      </c>
      <c r="O2137" s="225" t="s">
        <v>4159</v>
      </c>
    </row>
    <row r="2138" spans="1:15" ht="12.75" customHeight="1" x14ac:dyDescent="0.3">
      <c r="A2138" s="797" t="s">
        <v>2824</v>
      </c>
      <c r="B2138" s="797"/>
      <c r="C2138" s="797"/>
      <c r="D2138" s="797"/>
      <c r="E2138" s="797"/>
      <c r="F2138" s="797"/>
      <c r="G2138" s="796" t="s">
        <v>3159</v>
      </c>
      <c r="H2138" s="796" t="s">
        <v>335</v>
      </c>
      <c r="I2138" s="220" t="str">
        <f>IF(ISBLANK(global!I615),"",global!I615)</f>
        <v/>
      </c>
      <c r="K2138" s="225" t="s">
        <v>4159</v>
      </c>
      <c r="O2138" s="225" t="s">
        <v>4159</v>
      </c>
    </row>
    <row r="2139" spans="1:15" ht="12.75" customHeight="1" x14ac:dyDescent="0.3">
      <c r="A2139" s="797" t="s">
        <v>2826</v>
      </c>
      <c r="B2139" s="797"/>
      <c r="C2139" s="797"/>
      <c r="D2139" s="797"/>
      <c r="E2139" s="797"/>
      <c r="F2139" s="797"/>
      <c r="G2139" s="796" t="s">
        <v>3160</v>
      </c>
      <c r="H2139" s="796" t="s">
        <v>335</v>
      </c>
      <c r="I2139" s="220" t="str">
        <f>IF(ISBLANK(global!I616),"",global!I616)</f>
        <v/>
      </c>
      <c r="K2139" s="225" t="s">
        <v>4159</v>
      </c>
      <c r="O2139" s="225" t="s">
        <v>4159</v>
      </c>
    </row>
    <row r="2140" spans="1:15" ht="12.75" customHeight="1" x14ac:dyDescent="0.3">
      <c r="A2140" s="797" t="s">
        <v>2828</v>
      </c>
      <c r="B2140" s="797"/>
      <c r="C2140" s="797"/>
      <c r="D2140" s="797"/>
      <c r="E2140" s="797"/>
      <c r="F2140" s="797"/>
      <c r="G2140" s="796" t="s">
        <v>3161</v>
      </c>
      <c r="H2140" s="796" t="s">
        <v>335</v>
      </c>
      <c r="I2140" s="220" t="str">
        <f>IF(ISBLANK(global!I617),"",global!I617)</f>
        <v/>
      </c>
      <c r="K2140" s="225" t="s">
        <v>4159</v>
      </c>
      <c r="O2140" s="225" t="s">
        <v>4159</v>
      </c>
    </row>
    <row r="2141" spans="1:15" ht="12.75" customHeight="1" x14ac:dyDescent="0.3">
      <c r="A2141" s="797" t="s">
        <v>2830</v>
      </c>
      <c r="B2141" s="797"/>
      <c r="C2141" s="797"/>
      <c r="D2141" s="797"/>
      <c r="E2141" s="797"/>
      <c r="F2141" s="797"/>
      <c r="G2141" s="796" t="s">
        <v>3162</v>
      </c>
      <c r="H2141" s="796" t="s">
        <v>335</v>
      </c>
      <c r="I2141" s="220" t="str">
        <f>IF(ISBLANK(global!I618),"",global!I618)</f>
        <v/>
      </c>
      <c r="K2141" s="225" t="s">
        <v>4159</v>
      </c>
      <c r="O2141" s="225" t="s">
        <v>4159</v>
      </c>
    </row>
    <row r="2142" spans="1:15" ht="12.75" customHeight="1" x14ac:dyDescent="0.3">
      <c r="A2142" s="797" t="s">
        <v>2832</v>
      </c>
      <c r="B2142" s="797"/>
      <c r="C2142" s="797"/>
      <c r="D2142" s="797"/>
      <c r="E2142" s="797"/>
      <c r="F2142" s="797"/>
      <c r="G2142" s="796" t="s">
        <v>3163</v>
      </c>
      <c r="H2142" s="796" t="s">
        <v>335</v>
      </c>
      <c r="I2142" s="220" t="str">
        <f>IF(ISBLANK(global!I619),"",global!I619)</f>
        <v/>
      </c>
      <c r="K2142" s="225" t="s">
        <v>4159</v>
      </c>
      <c r="O2142" s="225" t="s">
        <v>4159</v>
      </c>
    </row>
    <row r="2143" spans="1:15" ht="12.75" customHeight="1" x14ac:dyDescent="0.3">
      <c r="A2143" s="797" t="s">
        <v>2834</v>
      </c>
      <c r="B2143" s="797"/>
      <c r="C2143" s="797"/>
      <c r="D2143" s="797"/>
      <c r="E2143" s="797"/>
      <c r="F2143" s="797"/>
      <c r="G2143" s="796" t="s">
        <v>3164</v>
      </c>
      <c r="H2143" s="796" t="s">
        <v>335</v>
      </c>
      <c r="I2143" s="220" t="str">
        <f>IF(ISBLANK(global!I620),"",global!I620)</f>
        <v/>
      </c>
      <c r="K2143" s="225" t="s">
        <v>4159</v>
      </c>
      <c r="O2143" s="225" t="s">
        <v>4159</v>
      </c>
    </row>
    <row r="2144" spans="1:15" ht="12.75" customHeight="1" x14ac:dyDescent="0.3">
      <c r="A2144" s="797" t="s">
        <v>2837</v>
      </c>
      <c r="B2144" s="797"/>
      <c r="C2144" s="797"/>
      <c r="D2144" s="797"/>
      <c r="E2144" s="797"/>
      <c r="F2144" s="797"/>
      <c r="G2144" s="796" t="s">
        <v>3165</v>
      </c>
      <c r="H2144" s="796" t="s">
        <v>335</v>
      </c>
      <c r="I2144" s="220" t="str">
        <f>IF(ISBLANK(global!I621),"",global!I621)</f>
        <v/>
      </c>
      <c r="K2144" s="225" t="s">
        <v>4159</v>
      </c>
      <c r="O2144" s="225" t="s">
        <v>4159</v>
      </c>
    </row>
    <row r="2145" spans="1:15" ht="12.75" customHeight="1" x14ac:dyDescent="0.3">
      <c r="A2145" s="797" t="s">
        <v>2839</v>
      </c>
      <c r="B2145" s="797"/>
      <c r="C2145" s="797"/>
      <c r="D2145" s="797"/>
      <c r="E2145" s="797"/>
      <c r="F2145" s="797"/>
      <c r="G2145" s="796" t="s">
        <v>3166</v>
      </c>
      <c r="H2145" s="796" t="s">
        <v>335</v>
      </c>
      <c r="I2145" s="220" t="str">
        <f>IF(ISBLANK(global!I622),"",global!I622)</f>
        <v/>
      </c>
      <c r="K2145" s="225" t="s">
        <v>4159</v>
      </c>
      <c r="O2145" s="225" t="s">
        <v>4159</v>
      </c>
    </row>
    <row r="2146" spans="1:15" ht="12.75" customHeight="1" x14ac:dyDescent="0.3">
      <c r="A2146" s="797" t="s">
        <v>2841</v>
      </c>
      <c r="B2146" s="797"/>
      <c r="C2146" s="797"/>
      <c r="D2146" s="797"/>
      <c r="E2146" s="797"/>
      <c r="F2146" s="797"/>
      <c r="G2146" s="796" t="s">
        <v>3167</v>
      </c>
      <c r="H2146" s="796" t="s">
        <v>335</v>
      </c>
      <c r="I2146" s="220" t="str">
        <f>IF(ISBLANK(global!I623),"",global!I623)</f>
        <v/>
      </c>
      <c r="K2146" s="225" t="s">
        <v>4159</v>
      </c>
      <c r="O2146" s="225" t="s">
        <v>4159</v>
      </c>
    </row>
    <row r="2147" spans="1:15" ht="12.75" customHeight="1" x14ac:dyDescent="0.3">
      <c r="A2147" s="797" t="s">
        <v>2843</v>
      </c>
      <c r="B2147" s="797"/>
      <c r="C2147" s="797"/>
      <c r="D2147" s="797"/>
      <c r="E2147" s="797"/>
      <c r="F2147" s="797"/>
      <c r="G2147" s="796" t="s">
        <v>3168</v>
      </c>
      <c r="H2147" s="796" t="s">
        <v>335</v>
      </c>
      <c r="I2147" s="220" t="str">
        <f>IF(ISBLANK(global!I624),"",global!I624)</f>
        <v/>
      </c>
      <c r="K2147" s="225" t="s">
        <v>4159</v>
      </c>
      <c r="O2147" s="225" t="s">
        <v>4159</v>
      </c>
    </row>
    <row r="2148" spans="1:15" ht="12.75" customHeight="1" x14ac:dyDescent="0.3">
      <c r="A2148" s="797" t="s">
        <v>3169</v>
      </c>
      <c r="B2148" s="797"/>
      <c r="C2148" s="797"/>
      <c r="D2148" s="797"/>
      <c r="E2148" s="797"/>
      <c r="F2148" s="797"/>
      <c r="G2148" s="796" t="s">
        <v>3170</v>
      </c>
      <c r="H2148" s="796" t="s">
        <v>335</v>
      </c>
      <c r="I2148" s="220" t="str">
        <f>IF(ISBLANK(global!I625),"",global!I625)</f>
        <v/>
      </c>
      <c r="K2148" s="225" t="s">
        <v>4159</v>
      </c>
      <c r="O2148" s="225" t="s">
        <v>4159</v>
      </c>
    </row>
    <row r="2149" spans="1:15" ht="12.75" customHeight="1" x14ac:dyDescent="0.3">
      <c r="A2149" s="797" t="s">
        <v>2847</v>
      </c>
      <c r="B2149" s="797"/>
      <c r="C2149" s="797"/>
      <c r="D2149" s="797"/>
      <c r="E2149" s="797"/>
      <c r="F2149" s="797"/>
      <c r="G2149" s="796" t="s">
        <v>3171</v>
      </c>
      <c r="H2149" s="796" t="s">
        <v>335</v>
      </c>
      <c r="I2149" s="220" t="str">
        <f>IF(ISBLANK(global!I626),"",global!I626)</f>
        <v/>
      </c>
      <c r="K2149" s="225" t="s">
        <v>4159</v>
      </c>
      <c r="O2149" s="225" t="s">
        <v>4159</v>
      </c>
    </row>
    <row r="2150" spans="1:15" ht="12.75" customHeight="1" x14ac:dyDescent="0.3">
      <c r="A2150" s="797" t="s">
        <v>2849</v>
      </c>
      <c r="B2150" s="797"/>
      <c r="C2150" s="797"/>
      <c r="D2150" s="797"/>
      <c r="E2150" s="797"/>
      <c r="F2150" s="797"/>
      <c r="G2150" s="796" t="s">
        <v>3172</v>
      </c>
      <c r="H2150" s="796" t="s">
        <v>335</v>
      </c>
      <c r="I2150" s="220" t="str">
        <f>IF(ISBLANK(global!I627),"",global!I627)</f>
        <v/>
      </c>
      <c r="K2150" s="225" t="s">
        <v>4159</v>
      </c>
      <c r="O2150" s="225" t="s">
        <v>4159</v>
      </c>
    </row>
    <row r="2151" spans="1:15" ht="12.75" customHeight="1" x14ac:dyDescent="0.3">
      <c r="A2151" s="797" t="s">
        <v>2851</v>
      </c>
      <c r="B2151" s="797"/>
      <c r="C2151" s="797"/>
      <c r="D2151" s="797"/>
      <c r="E2151" s="797"/>
      <c r="F2151" s="797"/>
      <c r="G2151" s="796" t="s">
        <v>3173</v>
      </c>
      <c r="H2151" s="796" t="s">
        <v>335</v>
      </c>
      <c r="I2151" s="220" t="str">
        <f>IF(ISBLANK(global!I628),"",global!I628)</f>
        <v/>
      </c>
      <c r="K2151" s="225" t="s">
        <v>4159</v>
      </c>
      <c r="O2151" s="225" t="s">
        <v>4159</v>
      </c>
    </row>
    <row r="2152" spans="1:15" ht="12.75" customHeight="1" x14ac:dyDescent="0.3">
      <c r="A2152" s="797" t="s">
        <v>1803</v>
      </c>
      <c r="B2152" s="797"/>
      <c r="C2152" s="797"/>
      <c r="D2152" s="797"/>
      <c r="E2152" s="797"/>
      <c r="F2152" s="797"/>
      <c r="G2152" s="796" t="s">
        <v>3174</v>
      </c>
      <c r="H2152" s="796" t="s">
        <v>335</v>
      </c>
      <c r="I2152" s="220" t="str">
        <f>IF(ISBLANK(global!I629),"",global!I629)</f>
        <v/>
      </c>
      <c r="K2152" s="225" t="s">
        <v>4159</v>
      </c>
      <c r="O2152" s="225" t="s">
        <v>4159</v>
      </c>
    </row>
    <row r="2153" spans="1:15" ht="12.75" customHeight="1" x14ac:dyDescent="0.3">
      <c r="A2153" s="797" t="s">
        <v>1810</v>
      </c>
      <c r="B2153" s="797"/>
      <c r="C2153" s="797"/>
      <c r="D2153" s="797"/>
      <c r="E2153" s="797"/>
      <c r="F2153" s="797"/>
      <c r="G2153" s="796" t="s">
        <v>3175</v>
      </c>
      <c r="H2153" s="796" t="s">
        <v>335</v>
      </c>
      <c r="I2153" s="220" t="str">
        <f>IF(ISBLANK(global!I630),"",global!I630)</f>
        <v/>
      </c>
      <c r="K2153" s="225" t="s">
        <v>4159</v>
      </c>
      <c r="O2153" s="225" t="s">
        <v>4159</v>
      </c>
    </row>
    <row r="2154" spans="1:15" ht="12.75" customHeight="1" x14ac:dyDescent="0.3">
      <c r="A2154" s="797" t="s">
        <v>1816</v>
      </c>
      <c r="B2154" s="797"/>
      <c r="C2154" s="797"/>
      <c r="D2154" s="797"/>
      <c r="E2154" s="797"/>
      <c r="F2154" s="797"/>
      <c r="G2154" s="796" t="s">
        <v>3176</v>
      </c>
      <c r="H2154" s="796" t="s">
        <v>335</v>
      </c>
      <c r="I2154" s="220" t="str">
        <f>IF(ISBLANK(global!I631),"",global!I631)</f>
        <v/>
      </c>
      <c r="K2154" s="225" t="s">
        <v>4159</v>
      </c>
      <c r="O2154" s="225" t="s">
        <v>4159</v>
      </c>
    </row>
    <row r="2155" spans="1:15" ht="12.75" customHeight="1" x14ac:dyDescent="0.3">
      <c r="A2155" s="785" t="s">
        <v>3177</v>
      </c>
      <c r="B2155" s="784"/>
      <c r="C2155" s="784"/>
      <c r="D2155" s="784"/>
      <c r="E2155" s="784"/>
      <c r="F2155" s="784"/>
      <c r="G2155" s="785"/>
      <c r="H2155" s="785"/>
      <c r="I2155" s="220" t="str">
        <f>IF(ISBLANK(global!I632),"",global!I632)</f>
        <v/>
      </c>
      <c r="K2155" s="225" t="s">
        <v>4159</v>
      </c>
      <c r="O2155" s="225" t="s">
        <v>4159</v>
      </c>
    </row>
    <row r="2156" spans="1:15" ht="12.75" customHeight="1" x14ac:dyDescent="0.3">
      <c r="A2156" s="796" t="s">
        <v>1267</v>
      </c>
      <c r="B2156" s="797"/>
      <c r="C2156" s="797"/>
      <c r="D2156" s="797"/>
      <c r="E2156" s="797"/>
      <c r="F2156" s="797"/>
      <c r="G2156" s="796" t="s">
        <v>3178</v>
      </c>
      <c r="H2156" s="796" t="s">
        <v>4690</v>
      </c>
      <c r="I2156" s="220" t="str">
        <f>IF(ISBLANK(global!I633),"",global!I633)</f>
        <v/>
      </c>
      <c r="K2156" s="225" t="s">
        <v>4159</v>
      </c>
      <c r="O2156" s="225" t="s">
        <v>4159</v>
      </c>
    </row>
    <row r="2157" spans="1:15" ht="12.75" customHeight="1" x14ac:dyDescent="0.3">
      <c r="A2157" s="796" t="s">
        <v>1267</v>
      </c>
      <c r="B2157" s="797"/>
      <c r="C2157" s="797"/>
      <c r="D2157" s="797"/>
      <c r="E2157" s="797"/>
      <c r="F2157" s="797"/>
      <c r="G2157" s="796" t="s">
        <v>3179</v>
      </c>
      <c r="H2157" s="796" t="s">
        <v>4690</v>
      </c>
      <c r="I2157" s="220" t="str">
        <f>IF(ISBLANK(global!I634),"",global!I634)</f>
        <v/>
      </c>
      <c r="K2157" s="225" t="s">
        <v>4159</v>
      </c>
      <c r="O2157" s="225" t="s">
        <v>4159</v>
      </c>
    </row>
    <row r="2158" spans="1:15" ht="12.75" customHeight="1" x14ac:dyDescent="0.3">
      <c r="A2158" s="796" t="s">
        <v>1267</v>
      </c>
      <c r="B2158" s="797"/>
      <c r="C2158" s="797"/>
      <c r="D2158" s="797"/>
      <c r="E2158" s="797"/>
      <c r="F2158" s="797"/>
      <c r="G2158" s="796" t="s">
        <v>3180</v>
      </c>
      <c r="H2158" s="796" t="s">
        <v>4690</v>
      </c>
      <c r="I2158" s="220" t="str">
        <f>IF(ISBLANK(global!I635),"",global!I635)</f>
        <v/>
      </c>
      <c r="K2158" s="225" t="s">
        <v>4159</v>
      </c>
      <c r="O2158" s="225" t="s">
        <v>4159</v>
      </c>
    </row>
    <row r="2159" spans="1:15" ht="12.75" customHeight="1" x14ac:dyDescent="0.3">
      <c r="A2159" s="796" t="s">
        <v>1268</v>
      </c>
      <c r="B2159" s="797"/>
      <c r="C2159" s="797"/>
      <c r="D2159" s="797"/>
      <c r="E2159" s="797"/>
      <c r="F2159" s="797"/>
      <c r="G2159" s="796" t="s">
        <v>3181</v>
      </c>
      <c r="H2159" s="796" t="s">
        <v>4690</v>
      </c>
      <c r="I2159" s="220" t="str">
        <f>IF(ISBLANK(global!I636),"",global!I636)</f>
        <v/>
      </c>
      <c r="K2159" s="225" t="s">
        <v>4159</v>
      </c>
      <c r="O2159" s="225" t="s">
        <v>4159</v>
      </c>
    </row>
    <row r="2160" spans="1:15" ht="12.75" customHeight="1" x14ac:dyDescent="0.3">
      <c r="A2160" s="796" t="s">
        <v>1268</v>
      </c>
      <c r="B2160" s="797"/>
      <c r="C2160" s="797"/>
      <c r="D2160" s="797"/>
      <c r="E2160" s="797"/>
      <c r="F2160" s="797"/>
      <c r="G2160" s="796" t="s">
        <v>3182</v>
      </c>
      <c r="H2160" s="796" t="s">
        <v>4690</v>
      </c>
      <c r="I2160" s="220" t="str">
        <f>IF(ISBLANK(global!I637),"",global!I637)</f>
        <v/>
      </c>
      <c r="K2160" s="225" t="s">
        <v>4159</v>
      </c>
      <c r="O2160" s="225" t="s">
        <v>4159</v>
      </c>
    </row>
    <row r="2161" spans="1:15" ht="12.75" customHeight="1" x14ac:dyDescent="0.3">
      <c r="A2161" s="796" t="s">
        <v>1268</v>
      </c>
      <c r="B2161" s="797"/>
      <c r="C2161" s="797"/>
      <c r="D2161" s="797"/>
      <c r="E2161" s="797"/>
      <c r="F2161" s="797"/>
      <c r="G2161" s="796" t="s">
        <v>3183</v>
      </c>
      <c r="H2161" s="796" t="s">
        <v>4690</v>
      </c>
      <c r="I2161" s="220" t="str">
        <f>IF(ISBLANK(global!I638),"",global!I638)</f>
        <v/>
      </c>
      <c r="K2161" s="225" t="s">
        <v>4159</v>
      </c>
      <c r="O2161" s="225" t="s">
        <v>4159</v>
      </c>
    </row>
    <row r="2162" spans="1:15" ht="12.75" customHeight="1" x14ac:dyDescent="0.3">
      <c r="A2162" s="796" t="s">
        <v>1269</v>
      </c>
      <c r="B2162" s="797"/>
      <c r="C2162" s="797"/>
      <c r="D2162" s="797"/>
      <c r="E2162" s="797"/>
      <c r="F2162" s="797"/>
      <c r="G2162" s="796" t="s">
        <v>3184</v>
      </c>
      <c r="H2162" s="796" t="s">
        <v>4690</v>
      </c>
      <c r="I2162" s="220" t="str">
        <f>IF(ISBLANK(global!I639),"",global!I639)</f>
        <v/>
      </c>
      <c r="K2162" s="225" t="s">
        <v>4159</v>
      </c>
      <c r="O2162" s="225" t="s">
        <v>4159</v>
      </c>
    </row>
    <row r="2163" spans="1:15" ht="12.75" customHeight="1" x14ac:dyDescent="0.3">
      <c r="A2163" s="796" t="s">
        <v>1269</v>
      </c>
      <c r="B2163" s="797"/>
      <c r="C2163" s="797"/>
      <c r="D2163" s="797"/>
      <c r="E2163" s="797"/>
      <c r="F2163" s="797"/>
      <c r="G2163" s="796" t="s">
        <v>3185</v>
      </c>
      <c r="H2163" s="796" t="s">
        <v>4690</v>
      </c>
      <c r="I2163" s="220" t="str">
        <f>IF(ISBLANK(global!I640),"",global!I640)</f>
        <v/>
      </c>
      <c r="K2163" s="225" t="s">
        <v>4159</v>
      </c>
      <c r="O2163" s="225" t="s">
        <v>4159</v>
      </c>
    </row>
    <row r="2164" spans="1:15" ht="12.75" customHeight="1" x14ac:dyDescent="0.3">
      <c r="A2164" s="796" t="s">
        <v>1269</v>
      </c>
      <c r="B2164" s="797"/>
      <c r="C2164" s="797"/>
      <c r="D2164" s="797"/>
      <c r="E2164" s="797"/>
      <c r="F2164" s="797"/>
      <c r="G2164" s="796" t="s">
        <v>3186</v>
      </c>
      <c r="H2164" s="796" t="s">
        <v>4690</v>
      </c>
      <c r="I2164" s="220" t="str">
        <f>IF(ISBLANK(global!I641),"",global!I641)</f>
        <v/>
      </c>
      <c r="K2164" s="225" t="s">
        <v>4159</v>
      </c>
      <c r="O2164" s="225" t="s">
        <v>4159</v>
      </c>
    </row>
    <row r="2165" spans="1:15" ht="12.75" customHeight="1" x14ac:dyDescent="0.3">
      <c r="A2165" s="796" t="s">
        <v>1271</v>
      </c>
      <c r="B2165" s="797"/>
      <c r="C2165" s="797"/>
      <c r="D2165" s="797"/>
      <c r="E2165" s="797"/>
      <c r="F2165" s="797"/>
      <c r="G2165" s="796" t="s">
        <v>3187</v>
      </c>
      <c r="H2165" s="796" t="s">
        <v>4690</v>
      </c>
      <c r="I2165" s="220" t="str">
        <f>IF(ISBLANK(global!I642),"",global!I642)</f>
        <v/>
      </c>
      <c r="K2165" s="225" t="s">
        <v>4159</v>
      </c>
      <c r="O2165" s="225" t="s">
        <v>4159</v>
      </c>
    </row>
    <row r="2166" spans="1:15" ht="12.75" customHeight="1" x14ac:dyDescent="0.3">
      <c r="A2166" s="796" t="s">
        <v>1271</v>
      </c>
      <c r="B2166" s="797"/>
      <c r="C2166" s="797"/>
      <c r="D2166" s="797"/>
      <c r="E2166" s="797"/>
      <c r="F2166" s="797"/>
      <c r="G2166" s="796" t="s">
        <v>3188</v>
      </c>
      <c r="H2166" s="796" t="s">
        <v>4690</v>
      </c>
      <c r="I2166" s="220" t="str">
        <f>IF(ISBLANK(global!I643),"",global!I643)</f>
        <v/>
      </c>
      <c r="K2166" s="225" t="s">
        <v>4159</v>
      </c>
      <c r="O2166" s="225" t="s">
        <v>4159</v>
      </c>
    </row>
    <row r="2167" spans="1:15" ht="12.75" customHeight="1" x14ac:dyDescent="0.3">
      <c r="A2167" s="796" t="s">
        <v>1271</v>
      </c>
      <c r="B2167" s="797"/>
      <c r="C2167" s="797"/>
      <c r="D2167" s="797"/>
      <c r="E2167" s="797"/>
      <c r="F2167" s="797"/>
      <c r="G2167" s="796" t="s">
        <v>3189</v>
      </c>
      <c r="H2167" s="796" t="s">
        <v>4690</v>
      </c>
      <c r="I2167" s="220" t="str">
        <f>IF(ISBLANK(global!I644),"",global!I644)</f>
        <v/>
      </c>
      <c r="K2167" s="225" t="s">
        <v>4159</v>
      </c>
      <c r="O2167" s="225" t="s">
        <v>4159</v>
      </c>
    </row>
    <row r="2168" spans="1:15" ht="12.75" customHeight="1" x14ac:dyDescent="0.3">
      <c r="A2168" s="796" t="s">
        <v>1275</v>
      </c>
      <c r="B2168" s="797"/>
      <c r="C2168" s="797"/>
      <c r="D2168" s="797"/>
      <c r="E2168" s="797"/>
      <c r="F2168" s="797"/>
      <c r="G2168" s="796" t="s">
        <v>3190</v>
      </c>
      <c r="H2168" s="796" t="s">
        <v>4690</v>
      </c>
      <c r="I2168" s="220" t="str">
        <f>IF(ISBLANK(global!I645),"",global!I645)</f>
        <v/>
      </c>
      <c r="K2168" s="225" t="s">
        <v>4159</v>
      </c>
      <c r="O2168" s="225" t="s">
        <v>4159</v>
      </c>
    </row>
    <row r="2169" spans="1:15" ht="12.75" customHeight="1" x14ac:dyDescent="0.3">
      <c r="A2169" s="796" t="s">
        <v>1275</v>
      </c>
      <c r="B2169" s="797"/>
      <c r="C2169" s="797"/>
      <c r="D2169" s="797"/>
      <c r="E2169" s="797"/>
      <c r="F2169" s="797"/>
      <c r="G2169" s="796" t="s">
        <v>3191</v>
      </c>
      <c r="H2169" s="796" t="s">
        <v>4690</v>
      </c>
      <c r="I2169" s="220" t="str">
        <f>IF(ISBLANK(global!I646),"",global!I646)</f>
        <v/>
      </c>
      <c r="K2169" s="225" t="s">
        <v>4159</v>
      </c>
      <c r="O2169" s="225" t="s">
        <v>4159</v>
      </c>
    </row>
    <row r="2170" spans="1:15" ht="12.75" customHeight="1" x14ac:dyDescent="0.3">
      <c r="A2170" s="796" t="s">
        <v>1275</v>
      </c>
      <c r="B2170" s="797"/>
      <c r="C2170" s="797"/>
      <c r="D2170" s="797"/>
      <c r="E2170" s="797"/>
      <c r="F2170" s="797"/>
      <c r="G2170" s="796" t="s">
        <v>3192</v>
      </c>
      <c r="H2170" s="796" t="s">
        <v>4690</v>
      </c>
      <c r="I2170" s="220" t="str">
        <f>IF(ISBLANK(global!I647),"",global!I647)</f>
        <v/>
      </c>
      <c r="K2170" s="225" t="s">
        <v>4159</v>
      </c>
      <c r="O2170" s="225" t="s">
        <v>4159</v>
      </c>
    </row>
    <row r="2171" spans="1:15" ht="12.75" customHeight="1" x14ac:dyDescent="0.3">
      <c r="A2171" s="797"/>
      <c r="B2171" s="797" t="s">
        <v>1855</v>
      </c>
      <c r="C2171" s="797"/>
      <c r="D2171" s="797"/>
      <c r="E2171" s="797"/>
      <c r="F2171" s="797"/>
      <c r="G2171" s="796" t="s">
        <v>3193</v>
      </c>
      <c r="H2171" s="796" t="s">
        <v>335</v>
      </c>
      <c r="I2171" s="220" t="str">
        <f>IF(ISBLANK(global!I648),"",global!I648)</f>
        <v/>
      </c>
      <c r="K2171" s="225" t="s">
        <v>4159</v>
      </c>
      <c r="O2171" s="225" t="s">
        <v>4159</v>
      </c>
    </row>
    <row r="2172" spans="1:15" ht="12.75" customHeight="1" x14ac:dyDescent="0.3">
      <c r="A2172" s="852"/>
      <c r="B2172" s="852" t="s">
        <v>1862</v>
      </c>
      <c r="C2172" s="852"/>
      <c r="D2172" s="852"/>
      <c r="E2172" s="852"/>
      <c r="F2172" s="852"/>
      <c r="G2172" s="853" t="s">
        <v>3194</v>
      </c>
      <c r="H2172" s="853" t="s">
        <v>335</v>
      </c>
      <c r="I2172" s="220" t="str">
        <f>IF(ISBLANK(global!I649),"",global!I649)</f>
        <v/>
      </c>
      <c r="K2172" s="225" t="s">
        <v>4159</v>
      </c>
      <c r="O2172" s="225" t="s">
        <v>4159</v>
      </c>
    </row>
    <row r="2173" spans="1:15" ht="12.75" customHeight="1" x14ac:dyDescent="0.3">
      <c r="A2173" s="70"/>
      <c r="B2173" s="5"/>
      <c r="C2173" s="860"/>
      <c r="D2173" s="860"/>
      <c r="E2173" s="860"/>
      <c r="F2173" s="860"/>
      <c r="G2173" s="860"/>
      <c r="H2173" s="821"/>
      <c r="I2173" s="220" t="str">
        <f>IF(ISBLANK(global!I650),"",global!I650)</f>
        <v/>
      </c>
      <c r="K2173" s="225" t="s">
        <v>4159</v>
      </c>
      <c r="O2173" s="225" t="s">
        <v>4159</v>
      </c>
    </row>
    <row r="2174" spans="1:15" ht="12.75" customHeight="1" x14ac:dyDescent="0.3">
      <c r="A2174" s="70"/>
      <c r="B2174" s="5"/>
      <c r="C2174" s="860"/>
      <c r="D2174" s="860"/>
      <c r="E2174" s="860"/>
      <c r="F2174" s="860"/>
      <c r="G2174" s="860"/>
      <c r="H2174" s="821"/>
      <c r="I2174" s="220" t="str">
        <f>IF(ISBLANK(global!I651),"",global!I651)</f>
        <v/>
      </c>
      <c r="K2174" s="225" t="s">
        <v>4159</v>
      </c>
      <c r="O2174" s="225" t="s">
        <v>4159</v>
      </c>
    </row>
    <row r="2175" spans="1:15" ht="12.75" customHeight="1" x14ac:dyDescent="0.3">
      <c r="A2175" s="98" t="s">
        <v>3195</v>
      </c>
      <c r="B2175" s="5"/>
      <c r="C2175" s="860"/>
      <c r="D2175" s="860"/>
      <c r="E2175" s="860"/>
      <c r="F2175" s="860"/>
      <c r="G2175" s="860"/>
      <c r="H2175" s="821"/>
      <c r="I2175" s="220" t="str">
        <f>IF(ISBLANK(global!I652),"",global!I652)</f>
        <v/>
      </c>
      <c r="K2175" s="225" t="s">
        <v>4159</v>
      </c>
      <c r="O2175" s="225" t="s">
        <v>4159</v>
      </c>
    </row>
    <row r="2176" spans="1:15" ht="12.75" customHeight="1" x14ac:dyDescent="0.3">
      <c r="A2176" s="860"/>
      <c r="B2176" s="860"/>
      <c r="C2176" s="860"/>
      <c r="D2176" s="860"/>
      <c r="E2176" s="860"/>
      <c r="F2176" s="860"/>
      <c r="G2176" s="860"/>
      <c r="H2176" s="821"/>
      <c r="I2176" s="220" t="str">
        <f>IF(ISBLANK(global!I653),"",global!I653)</f>
        <v/>
      </c>
      <c r="K2176" s="225" t="s">
        <v>4159</v>
      </c>
      <c r="O2176" s="225" t="s">
        <v>4159</v>
      </c>
    </row>
    <row r="2177" spans="1:15" ht="12.75" customHeight="1" x14ac:dyDescent="0.3">
      <c r="A2177" s="864" t="s">
        <v>947</v>
      </c>
      <c r="B2177" s="864"/>
      <c r="C2177" s="864"/>
      <c r="D2177" s="864"/>
      <c r="E2177" s="864"/>
      <c r="F2177" s="864"/>
      <c r="G2177" s="865" t="s">
        <v>258</v>
      </c>
      <c r="H2177" s="865" t="s">
        <v>274</v>
      </c>
      <c r="I2177" s="220" t="str">
        <f>IF(ISBLANK(global!I654),"",global!I654)</f>
        <v>User input</v>
      </c>
      <c r="K2177" s="225" t="s">
        <v>259</v>
      </c>
      <c r="O2177" s="225" t="s">
        <v>259</v>
      </c>
    </row>
    <row r="2178" spans="1:15" ht="12.75" customHeight="1" x14ac:dyDescent="0.3">
      <c r="A2178" s="860"/>
      <c r="B2178" s="860"/>
      <c r="C2178" s="860"/>
      <c r="D2178" s="860"/>
      <c r="E2178" s="860"/>
      <c r="F2178" s="860"/>
      <c r="G2178" s="860"/>
      <c r="H2178" s="821"/>
      <c r="I2178" s="220" t="str">
        <f>IF(ISBLANK(global!I655),"",global!I655)</f>
        <v/>
      </c>
      <c r="K2178" s="225" t="s">
        <v>4159</v>
      </c>
      <c r="O2178" s="225" t="s">
        <v>4159</v>
      </c>
    </row>
    <row r="2179" spans="1:15" ht="12.75" customHeight="1" x14ac:dyDescent="0.3">
      <c r="A2179" s="821" t="s">
        <v>948</v>
      </c>
      <c r="B2179" s="860"/>
      <c r="C2179" s="860"/>
      <c r="D2179" s="860"/>
      <c r="E2179" s="860"/>
      <c r="F2179" s="860"/>
      <c r="G2179" s="821" t="s">
        <v>3196</v>
      </c>
      <c r="H2179" s="821" t="s">
        <v>4683</v>
      </c>
      <c r="I2179" s="220" t="str">
        <f>IF(ISBLANK(global!I656),"",global!I656)</f>
        <v/>
      </c>
      <c r="K2179" s="225" t="s">
        <v>4159</v>
      </c>
      <c r="O2179" s="225" t="s">
        <v>4159</v>
      </c>
    </row>
    <row r="2180" spans="1:15" ht="12.75" customHeight="1" x14ac:dyDescent="0.3">
      <c r="A2180" s="796" t="s">
        <v>1871</v>
      </c>
      <c r="B2180" s="797"/>
      <c r="C2180" s="797"/>
      <c r="D2180" s="797"/>
      <c r="E2180" s="797"/>
      <c r="F2180" s="797"/>
      <c r="G2180" s="796" t="s">
        <v>3197</v>
      </c>
      <c r="H2180" s="797" t="s">
        <v>4683</v>
      </c>
      <c r="I2180" s="220" t="str">
        <f>IF(ISBLANK(global!I657),"",global!I657)</f>
        <v/>
      </c>
      <c r="K2180" s="225" t="s">
        <v>4159</v>
      </c>
      <c r="O2180" s="225" t="s">
        <v>4159</v>
      </c>
    </row>
    <row r="2181" spans="1:15" ht="12.75" customHeight="1" x14ac:dyDescent="0.3">
      <c r="A2181" s="860" t="s">
        <v>4797</v>
      </c>
      <c r="B2181" s="860"/>
      <c r="C2181" s="860"/>
      <c r="D2181" s="860"/>
      <c r="E2181" s="860"/>
      <c r="F2181" s="860"/>
      <c r="G2181" s="821" t="s">
        <v>3198</v>
      </c>
      <c r="H2181" s="860" t="s">
        <v>4683</v>
      </c>
      <c r="I2181" s="220" t="str">
        <f>IF(ISBLANK(global!I658),"",global!I658)</f>
        <v/>
      </c>
      <c r="K2181" s="225" t="s">
        <v>4159</v>
      </c>
      <c r="O2181" s="225" t="s">
        <v>4159</v>
      </c>
    </row>
    <row r="2182" spans="1:15" ht="12.75" customHeight="1" x14ac:dyDescent="0.3">
      <c r="A2182" s="821" t="s">
        <v>2879</v>
      </c>
      <c r="B2182" s="860"/>
      <c r="C2182" s="860"/>
      <c r="D2182" s="860"/>
      <c r="E2182" s="860"/>
      <c r="F2182" s="860"/>
      <c r="G2182" s="821" t="s">
        <v>3199</v>
      </c>
      <c r="H2182" s="860" t="s">
        <v>4683</v>
      </c>
      <c r="I2182" s="220" t="str">
        <f>IF(ISBLANK(global!I659),"",global!I659)</f>
        <v/>
      </c>
      <c r="K2182" s="225" t="s">
        <v>4159</v>
      </c>
      <c r="O2182" s="225" t="s">
        <v>4159</v>
      </c>
    </row>
    <row r="2183" spans="1:15" ht="12.75" customHeight="1" x14ac:dyDescent="0.3">
      <c r="A2183" s="821" t="s">
        <v>2470</v>
      </c>
      <c r="B2183" s="860"/>
      <c r="C2183" s="860"/>
      <c r="D2183" s="860"/>
      <c r="E2183" s="860"/>
      <c r="F2183" s="860"/>
      <c r="G2183" s="821" t="s">
        <v>3200</v>
      </c>
      <c r="H2183" s="821" t="s">
        <v>4683</v>
      </c>
      <c r="I2183" s="220" t="str">
        <f>IF(ISBLANK(global!I660),"",global!I660)</f>
        <v/>
      </c>
      <c r="K2183" s="225" t="s">
        <v>4159</v>
      </c>
      <c r="O2183" s="225" t="s">
        <v>4159</v>
      </c>
    </row>
    <row r="2184" spans="1:15" ht="12.75" customHeight="1" x14ac:dyDescent="0.3">
      <c r="A2184" s="821" t="s">
        <v>2472</v>
      </c>
      <c r="B2184" s="860"/>
      <c r="C2184" s="860"/>
      <c r="D2184" s="860"/>
      <c r="E2184" s="860"/>
      <c r="F2184" s="860"/>
      <c r="G2184" s="821" t="s">
        <v>3201</v>
      </c>
      <c r="H2184" s="821" t="s">
        <v>4683</v>
      </c>
      <c r="I2184" s="220" t="str">
        <f>IF(ISBLANK(global!I661),"",global!I661)</f>
        <v/>
      </c>
      <c r="K2184" s="225" t="s">
        <v>4159</v>
      </c>
      <c r="O2184" s="225" t="s">
        <v>4159</v>
      </c>
    </row>
    <row r="2185" spans="1:15" ht="12.75" customHeight="1" x14ac:dyDescent="0.3">
      <c r="A2185" s="860"/>
      <c r="B2185" s="821" t="s">
        <v>3202</v>
      </c>
      <c r="C2185" s="860"/>
      <c r="D2185" s="860"/>
      <c r="E2185" s="860"/>
      <c r="F2185" s="860"/>
      <c r="G2185" s="821" t="s">
        <v>3203</v>
      </c>
      <c r="H2185" s="821" t="s">
        <v>4684</v>
      </c>
      <c r="I2185" s="220" t="str">
        <f>IF(ISBLANK(global!I662),"",global!I662)</f>
        <v/>
      </c>
      <c r="K2185" s="225" t="s">
        <v>4159</v>
      </c>
      <c r="O2185" s="225" t="s">
        <v>4159</v>
      </c>
    </row>
    <row r="2186" spans="1:15" ht="12.75" customHeight="1" x14ac:dyDescent="0.3">
      <c r="A2186" s="860"/>
      <c r="B2186" s="821" t="s">
        <v>4767</v>
      </c>
      <c r="C2186" s="860"/>
      <c r="D2186" s="860"/>
      <c r="E2186" s="860"/>
      <c r="F2186" s="860"/>
      <c r="G2186" s="872" t="s">
        <v>3204</v>
      </c>
      <c r="H2186" s="821" t="s">
        <v>291</v>
      </c>
      <c r="I2186" s="220" t="str">
        <f>IF(ISBLANK(global!I663),"",global!I663)</f>
        <v/>
      </c>
      <c r="K2186" s="225" t="s">
        <v>4159</v>
      </c>
      <c r="O2186" s="225" t="s">
        <v>4159</v>
      </c>
    </row>
    <row r="2187" spans="1:15" ht="12.75" customHeight="1" x14ac:dyDescent="0.3">
      <c r="A2187" s="860"/>
      <c r="B2187" s="821" t="s">
        <v>4768</v>
      </c>
      <c r="C2187" s="860"/>
      <c r="D2187" s="860"/>
      <c r="E2187" s="860"/>
      <c r="F2187" s="860"/>
      <c r="G2187" s="872" t="s">
        <v>3205</v>
      </c>
      <c r="H2187" s="821" t="s">
        <v>291</v>
      </c>
      <c r="I2187" s="220" t="str">
        <f>IF(ISBLANK(global!I664),"",global!I664)</f>
        <v/>
      </c>
      <c r="K2187" s="225" t="s">
        <v>4159</v>
      </c>
      <c r="O2187" s="225" t="s">
        <v>4159</v>
      </c>
    </row>
    <row r="2188" spans="1:15" ht="12.75" customHeight="1" x14ac:dyDescent="0.3">
      <c r="A2188" s="860"/>
      <c r="B2188" s="860"/>
      <c r="C2188" s="821" t="s">
        <v>987</v>
      </c>
      <c r="D2188" s="860"/>
      <c r="E2188" s="860"/>
      <c r="F2188" s="860"/>
      <c r="G2188" s="872" t="s">
        <v>3206</v>
      </c>
      <c r="H2188" s="821" t="s">
        <v>813</v>
      </c>
      <c r="I2188" s="220" t="str">
        <f>IF(ISBLANK(global!I665),"",global!I665)</f>
        <v/>
      </c>
      <c r="K2188" s="225" t="s">
        <v>4159</v>
      </c>
      <c r="O2188" s="225" t="s">
        <v>4159</v>
      </c>
    </row>
    <row r="2189" spans="1:15" ht="12.75" customHeight="1" x14ac:dyDescent="0.3">
      <c r="A2189" s="860"/>
      <c r="B2189" s="860"/>
      <c r="C2189" s="821" t="s">
        <v>2888</v>
      </c>
      <c r="D2189" s="860"/>
      <c r="E2189" s="860"/>
      <c r="F2189" s="860"/>
      <c r="G2189" s="872" t="s">
        <v>3207</v>
      </c>
      <c r="H2189" s="821" t="s">
        <v>813</v>
      </c>
      <c r="I2189" s="220" t="str">
        <f>IF(ISBLANK(global!I666),"",global!I666)</f>
        <v/>
      </c>
      <c r="K2189" s="225" t="s">
        <v>4159</v>
      </c>
      <c r="O2189" s="225" t="s">
        <v>4159</v>
      </c>
    </row>
    <row r="2190" spans="1:15" ht="12.75" customHeight="1" x14ac:dyDescent="0.3">
      <c r="A2190" s="860"/>
      <c r="B2190" s="860"/>
      <c r="C2190" s="821" t="s">
        <v>2890</v>
      </c>
      <c r="D2190" s="860"/>
      <c r="E2190" s="860"/>
      <c r="F2190" s="860"/>
      <c r="G2190" s="872" t="s">
        <v>3208</v>
      </c>
      <c r="H2190" s="821" t="s">
        <v>813</v>
      </c>
      <c r="I2190" s="220" t="str">
        <f>IF(ISBLANK(global!I667),"",global!I667)</f>
        <v/>
      </c>
      <c r="K2190" s="225" t="s">
        <v>4159</v>
      </c>
      <c r="O2190" s="225" t="s">
        <v>4159</v>
      </c>
    </row>
    <row r="2191" spans="1:15" ht="12.75" customHeight="1" x14ac:dyDescent="0.3">
      <c r="A2191" s="860"/>
      <c r="B2191" s="860"/>
      <c r="C2191" s="821" t="s">
        <v>2483</v>
      </c>
      <c r="D2191" s="860"/>
      <c r="E2191" s="860"/>
      <c r="F2191" s="860"/>
      <c r="G2191" s="872" t="s">
        <v>3209</v>
      </c>
      <c r="H2191" s="821" t="s">
        <v>997</v>
      </c>
      <c r="I2191" s="220" t="str">
        <f>IF(ISBLANK(global!I668),"",global!I668)</f>
        <v/>
      </c>
      <c r="K2191" s="225" t="s">
        <v>4159</v>
      </c>
      <c r="O2191" s="225" t="s">
        <v>4159</v>
      </c>
    </row>
    <row r="2192" spans="1:15" ht="12.75" customHeight="1" x14ac:dyDescent="0.3">
      <c r="A2192" s="821"/>
      <c r="B2192" s="860"/>
      <c r="C2192" s="821" t="s">
        <v>4769</v>
      </c>
      <c r="D2192" s="872"/>
      <c r="E2192" s="872"/>
      <c r="F2192" s="872"/>
      <c r="G2192" s="872" t="s">
        <v>3210</v>
      </c>
      <c r="H2192" s="821" t="s">
        <v>813</v>
      </c>
      <c r="I2192" s="220" t="str">
        <f>IF(ISBLANK(global!I669),"",global!I669)</f>
        <v/>
      </c>
      <c r="K2192" s="225" t="s">
        <v>4159</v>
      </c>
      <c r="O2192" s="225" t="s">
        <v>4159</v>
      </c>
    </row>
    <row r="2193" spans="1:15" ht="12.75" customHeight="1" x14ac:dyDescent="0.3">
      <c r="A2193" s="797"/>
      <c r="B2193" s="797"/>
      <c r="C2193" s="797" t="s">
        <v>1005</v>
      </c>
      <c r="D2193" s="797"/>
      <c r="E2193" s="797"/>
      <c r="F2193" s="797"/>
      <c r="G2193" s="796" t="s">
        <v>4810</v>
      </c>
      <c r="H2193" s="796" t="s">
        <v>1007</v>
      </c>
      <c r="I2193" s="220" t="str">
        <f>IF(ISBLANK(global!I670),"",global!I670)</f>
        <v/>
      </c>
      <c r="K2193" s="225" t="s">
        <v>4159</v>
      </c>
      <c r="O2193" s="225" t="s">
        <v>4159</v>
      </c>
    </row>
    <row r="2194" spans="1:15" ht="12.75" customHeight="1" x14ac:dyDescent="0.3">
      <c r="A2194" s="860"/>
      <c r="B2194" s="860"/>
      <c r="C2194" s="860" t="s">
        <v>1009</v>
      </c>
      <c r="D2194" s="860"/>
      <c r="E2194" s="860"/>
      <c r="F2194" s="860"/>
      <c r="G2194" s="821" t="s">
        <v>4811</v>
      </c>
      <c r="H2194" s="821" t="s">
        <v>1007</v>
      </c>
      <c r="I2194" s="220" t="str">
        <f>IF(ISBLANK(global!I671),"",global!I671)</f>
        <v/>
      </c>
      <c r="K2194" s="225" t="s">
        <v>4159</v>
      </c>
      <c r="O2194" s="225" t="s">
        <v>4159</v>
      </c>
    </row>
    <row r="2195" spans="1:15" ht="12.75" customHeight="1" x14ac:dyDescent="0.3">
      <c r="A2195" s="860"/>
      <c r="B2195" s="860"/>
      <c r="C2195" s="860" t="s">
        <v>1012</v>
      </c>
      <c r="D2195" s="860"/>
      <c r="E2195" s="860"/>
      <c r="F2195" s="860"/>
      <c r="G2195" s="821" t="s">
        <v>4812</v>
      </c>
      <c r="H2195" s="821" t="s">
        <v>1007</v>
      </c>
      <c r="I2195" s="220" t="str">
        <f>IF(ISBLANK(global!I672),"",global!I672)</f>
        <v/>
      </c>
      <c r="K2195" s="225" t="s">
        <v>4159</v>
      </c>
      <c r="O2195" s="225" t="s">
        <v>4159</v>
      </c>
    </row>
    <row r="2196" spans="1:15" ht="12.75" customHeight="1" x14ac:dyDescent="0.3">
      <c r="A2196" s="860"/>
      <c r="B2196" s="860"/>
      <c r="C2196" s="821" t="s">
        <v>2489</v>
      </c>
      <c r="D2196" s="872"/>
      <c r="E2196" s="872"/>
      <c r="F2196" s="872"/>
      <c r="G2196" s="872" t="s">
        <v>3214</v>
      </c>
      <c r="H2196" s="821" t="s">
        <v>1007</v>
      </c>
      <c r="I2196" s="220" t="str">
        <f>IF(ISBLANK(global!I673),"",global!I673)</f>
        <v/>
      </c>
      <c r="K2196" s="225" t="s">
        <v>4159</v>
      </c>
      <c r="O2196" s="225" t="s">
        <v>4159</v>
      </c>
    </row>
    <row r="2197" spans="1:15" ht="12.75" customHeight="1" x14ac:dyDescent="0.3">
      <c r="A2197" s="860"/>
      <c r="B2197" s="860"/>
      <c r="C2197" s="821" t="s">
        <v>2491</v>
      </c>
      <c r="D2197" s="860"/>
      <c r="E2197" s="860"/>
      <c r="F2197" s="860"/>
      <c r="G2197" s="872" t="s">
        <v>3215</v>
      </c>
      <c r="H2197" s="821" t="s">
        <v>1007</v>
      </c>
      <c r="I2197" s="220" t="str">
        <f>IF(ISBLANK(global!I674),"",global!I674)</f>
        <v/>
      </c>
      <c r="K2197" s="225" t="s">
        <v>4159</v>
      </c>
      <c r="O2197" s="225" t="s">
        <v>4159</v>
      </c>
    </row>
    <row r="2198" spans="1:15" ht="12.75" customHeight="1" x14ac:dyDescent="0.3">
      <c r="A2198" s="860"/>
      <c r="B2198" s="860"/>
      <c r="C2198" s="821" t="s">
        <v>2493</v>
      </c>
      <c r="D2198" s="860"/>
      <c r="E2198" s="860"/>
      <c r="F2198" s="860"/>
      <c r="G2198" s="872" t="s">
        <v>3216</v>
      </c>
      <c r="H2198" s="821" t="s">
        <v>1007</v>
      </c>
      <c r="I2198" s="220" t="str">
        <f>IF(ISBLANK(global!I675),"",global!I675)</f>
        <v/>
      </c>
      <c r="K2198" s="225" t="s">
        <v>4159</v>
      </c>
      <c r="O2198" s="225" t="s">
        <v>4159</v>
      </c>
    </row>
    <row r="2199" spans="1:15" ht="12.75" customHeight="1" x14ac:dyDescent="0.3">
      <c r="A2199" s="821"/>
      <c r="B2199" s="860"/>
      <c r="C2199" s="821" t="s">
        <v>1032</v>
      </c>
      <c r="D2199" s="872"/>
      <c r="E2199" s="872"/>
      <c r="F2199" s="872"/>
      <c r="G2199" s="872" t="s">
        <v>3217</v>
      </c>
      <c r="H2199" s="821" t="s">
        <v>1007</v>
      </c>
      <c r="I2199" s="220" t="str">
        <f>IF(ISBLANK(global!I676),"",global!I676)</f>
        <v/>
      </c>
      <c r="K2199" s="225" t="s">
        <v>4159</v>
      </c>
      <c r="O2199" s="225" t="s">
        <v>4159</v>
      </c>
    </row>
    <row r="2200" spans="1:15" ht="12.75" customHeight="1" x14ac:dyDescent="0.3">
      <c r="A2200" s="821"/>
      <c r="B2200" s="860"/>
      <c r="C2200" s="821" t="s">
        <v>1034</v>
      </c>
      <c r="D2200" s="872"/>
      <c r="E2200" s="872"/>
      <c r="F2200" s="872"/>
      <c r="G2200" s="872" t="s">
        <v>3218</v>
      </c>
      <c r="H2200" s="821" t="s">
        <v>1007</v>
      </c>
      <c r="I2200" s="220" t="str">
        <f>IF(ISBLANK(global!I677),"",global!I677)</f>
        <v/>
      </c>
      <c r="K2200" s="225" t="s">
        <v>4159</v>
      </c>
      <c r="O2200" s="225" t="s">
        <v>4159</v>
      </c>
    </row>
    <row r="2201" spans="1:15" ht="12.75" customHeight="1" x14ac:dyDescent="0.3">
      <c r="A2201" s="860"/>
      <c r="B2201" s="860"/>
      <c r="C2201" s="860"/>
      <c r="D2201" s="860"/>
      <c r="E2201" s="860"/>
      <c r="F2201" s="860"/>
      <c r="G2201" s="860"/>
      <c r="H2201" s="860"/>
      <c r="I2201" s="220" t="str">
        <f>IF(ISBLANK(global!I678),"",global!I678)</f>
        <v/>
      </c>
      <c r="K2201" s="225" t="s">
        <v>4159</v>
      </c>
      <c r="O2201" s="225" t="s">
        <v>4159</v>
      </c>
    </row>
    <row r="2202" spans="1:15" ht="12.75" customHeight="1" x14ac:dyDescent="0.3">
      <c r="A2202" s="821" t="s">
        <v>3219</v>
      </c>
      <c r="B2202" s="860"/>
      <c r="C2202" s="860"/>
      <c r="D2202" s="860"/>
      <c r="E2202" s="860"/>
      <c r="F2202" s="860"/>
      <c r="G2202" s="821" t="s">
        <v>3220</v>
      </c>
      <c r="H2202" s="821" t="s">
        <v>4690</v>
      </c>
      <c r="I2202" s="220" t="str">
        <f>IF(ISBLANK(global!I679),"",global!I679)</f>
        <v/>
      </c>
      <c r="K2202" s="225" t="s">
        <v>4159</v>
      </c>
      <c r="O2202" s="225" t="s">
        <v>4159</v>
      </c>
    </row>
    <row r="2203" spans="1:15" ht="12.75" customHeight="1" x14ac:dyDescent="0.3">
      <c r="A2203" s="821"/>
      <c r="B2203" s="821"/>
      <c r="C2203" s="821" t="s">
        <v>3221</v>
      </c>
      <c r="D2203" s="860"/>
      <c r="E2203" s="860"/>
      <c r="F2203" s="860"/>
      <c r="G2203" s="821" t="s">
        <v>3222</v>
      </c>
      <c r="H2203" s="860" t="s">
        <v>1041</v>
      </c>
      <c r="I2203" s="220" t="str">
        <f>IF(ISBLANK(global!I680),"",global!I680)</f>
        <v/>
      </c>
      <c r="K2203" s="225" t="s">
        <v>4159</v>
      </c>
      <c r="O2203" s="225" t="s">
        <v>4159</v>
      </c>
    </row>
    <row r="2204" spans="1:15" ht="12.75" customHeight="1" x14ac:dyDescent="0.3">
      <c r="A2204" s="860"/>
      <c r="B2204" s="860"/>
      <c r="C2204" s="860"/>
      <c r="D2204" s="860"/>
      <c r="E2204" s="860"/>
      <c r="F2204" s="860"/>
      <c r="G2204" s="860"/>
      <c r="H2204" s="860"/>
      <c r="I2204" s="220" t="str">
        <f>IF(ISBLANK(global!I681),"",global!I681)</f>
        <v/>
      </c>
      <c r="K2204" s="225" t="s">
        <v>4159</v>
      </c>
      <c r="O2204" s="225" t="s">
        <v>4159</v>
      </c>
    </row>
    <row r="2205" spans="1:15" ht="12.75" customHeight="1" x14ac:dyDescent="0.3">
      <c r="A2205" s="821" t="s">
        <v>3223</v>
      </c>
      <c r="B2205" s="860"/>
      <c r="C2205" s="860"/>
      <c r="D2205" s="860"/>
      <c r="E2205" s="860"/>
      <c r="F2205" s="860"/>
      <c r="G2205" s="821" t="s">
        <v>3224</v>
      </c>
      <c r="H2205" s="821" t="s">
        <v>4690</v>
      </c>
      <c r="I2205" s="220" t="str">
        <f>IF(ISBLANK(global!I682),"",global!I682)</f>
        <v/>
      </c>
      <c r="K2205" s="225" t="s">
        <v>4159</v>
      </c>
      <c r="O2205" s="225" t="s">
        <v>4159</v>
      </c>
    </row>
    <row r="2206" spans="1:15" ht="12.75" customHeight="1" x14ac:dyDescent="0.3">
      <c r="A2206" s="821" t="s">
        <v>3225</v>
      </c>
      <c r="B2206" s="860"/>
      <c r="C2206" s="860"/>
      <c r="D2206" s="860"/>
      <c r="E2206" s="860"/>
      <c r="F2206" s="860"/>
      <c r="G2206" s="821" t="s">
        <v>3226</v>
      </c>
      <c r="H2206" s="821" t="s">
        <v>4690</v>
      </c>
      <c r="I2206" s="220" t="str">
        <f>IF(ISBLANK(global!I683),"",global!I683)</f>
        <v/>
      </c>
      <c r="K2206" s="225" t="s">
        <v>4159</v>
      </c>
      <c r="O2206" s="225" t="s">
        <v>4159</v>
      </c>
    </row>
    <row r="2207" spans="1:15" ht="12.75" customHeight="1" x14ac:dyDescent="0.3">
      <c r="A2207" s="821"/>
      <c r="B2207" s="821" t="s">
        <v>3227</v>
      </c>
      <c r="C2207" s="860"/>
      <c r="D2207" s="860"/>
      <c r="E2207" s="860"/>
      <c r="F2207" s="860"/>
      <c r="G2207" s="872" t="s">
        <v>3228</v>
      </c>
      <c r="H2207" s="860" t="s">
        <v>4691</v>
      </c>
      <c r="I2207" s="220" t="str">
        <f>IF(ISBLANK(global!I684),"",global!I684)</f>
        <v/>
      </c>
      <c r="K2207" s="225" t="s">
        <v>4159</v>
      </c>
      <c r="O2207" s="225" t="s">
        <v>4159</v>
      </c>
    </row>
    <row r="2208" spans="1:15" ht="12.75" customHeight="1" x14ac:dyDescent="0.3">
      <c r="A2208" s="821" t="s">
        <v>2913</v>
      </c>
      <c r="B2208" s="860"/>
      <c r="C2208" s="860"/>
      <c r="D2208" s="860"/>
      <c r="E2208" s="860"/>
      <c r="F2208" s="860"/>
      <c r="G2208" s="821" t="s">
        <v>3229</v>
      </c>
      <c r="H2208" s="821" t="s">
        <v>4690</v>
      </c>
      <c r="I2208" s="220" t="str">
        <f>IF(ISBLANK(global!I685),"",global!I685)</f>
        <v/>
      </c>
      <c r="K2208" s="225" t="s">
        <v>4159</v>
      </c>
      <c r="O2208" s="225" t="s">
        <v>4159</v>
      </c>
    </row>
    <row r="2209" spans="1:15" ht="12.75" customHeight="1" x14ac:dyDescent="0.3">
      <c r="A2209" s="821" t="s">
        <v>2915</v>
      </c>
      <c r="B2209" s="860"/>
      <c r="C2209" s="860"/>
      <c r="D2209" s="860"/>
      <c r="E2209" s="860"/>
      <c r="F2209" s="860"/>
      <c r="G2209" s="821" t="s">
        <v>3230</v>
      </c>
      <c r="H2209" s="821" t="s">
        <v>4690</v>
      </c>
      <c r="I2209" s="220" t="str">
        <f>IF(ISBLANK(global!I686),"",global!I686)</f>
        <v/>
      </c>
      <c r="K2209" s="225" t="s">
        <v>4159</v>
      </c>
      <c r="O2209" s="225" t="s">
        <v>4159</v>
      </c>
    </row>
    <row r="2210" spans="1:15" ht="12.75" customHeight="1" x14ac:dyDescent="0.3">
      <c r="A2210" s="821"/>
      <c r="B2210" s="860" t="s">
        <v>2522</v>
      </c>
      <c r="C2210" s="860"/>
      <c r="D2210" s="860"/>
      <c r="E2210" s="860"/>
      <c r="F2210" s="860"/>
      <c r="G2210" s="821" t="s">
        <v>3231</v>
      </c>
      <c r="H2210" s="860" t="s">
        <v>4691</v>
      </c>
      <c r="I2210" s="220" t="str">
        <f>IF(ISBLANK(global!I687),"",global!I687)</f>
        <v/>
      </c>
      <c r="K2210" s="225" t="s">
        <v>4159</v>
      </c>
      <c r="O2210" s="225" t="s">
        <v>4159</v>
      </c>
    </row>
    <row r="2211" spans="1:15" ht="12.75" customHeight="1" x14ac:dyDescent="0.3">
      <c r="A2211" s="821"/>
      <c r="B2211" s="821"/>
      <c r="C2211" s="860" t="s">
        <v>2524</v>
      </c>
      <c r="D2211" s="860"/>
      <c r="E2211" s="860"/>
      <c r="F2211" s="860"/>
      <c r="G2211" s="821" t="s">
        <v>3232</v>
      </c>
      <c r="H2211" s="860" t="s">
        <v>1041</v>
      </c>
      <c r="I2211" s="220" t="str">
        <f>IF(ISBLANK(global!I688),"",global!I688)</f>
        <v/>
      </c>
      <c r="K2211" s="225" t="s">
        <v>4159</v>
      </c>
      <c r="O2211" s="225" t="s">
        <v>4159</v>
      </c>
    </row>
    <row r="2212" spans="1:15" ht="12.75" customHeight="1" x14ac:dyDescent="0.3">
      <c r="A2212" s="860"/>
      <c r="B2212" s="860"/>
      <c r="C2212" s="860"/>
      <c r="D2212" s="860"/>
      <c r="E2212" s="860"/>
      <c r="F2212" s="860"/>
      <c r="G2212" s="860"/>
      <c r="H2212" s="821"/>
      <c r="I2212" s="220" t="str">
        <f>IF(ISBLANK(global!I689),"",global!I689)</f>
        <v/>
      </c>
      <c r="K2212" s="225" t="s">
        <v>4159</v>
      </c>
      <c r="O2212" s="225" t="s">
        <v>4159</v>
      </c>
    </row>
    <row r="2213" spans="1:15" ht="12.75" customHeight="1" x14ac:dyDescent="0.3">
      <c r="A2213" s="865" t="s">
        <v>1952</v>
      </c>
      <c r="B2213" s="864"/>
      <c r="C2213" s="864"/>
      <c r="D2213" s="864"/>
      <c r="E2213" s="864"/>
      <c r="F2213" s="864"/>
      <c r="G2213" s="865" t="s">
        <v>258</v>
      </c>
      <c r="H2213" s="865" t="s">
        <v>274</v>
      </c>
      <c r="I2213" s="220" t="str">
        <f>IF(ISBLANK(global!I690),"",global!I690)</f>
        <v>User input</v>
      </c>
      <c r="K2213" s="225" t="s">
        <v>259</v>
      </c>
      <c r="O2213" s="225" t="s">
        <v>259</v>
      </c>
    </row>
    <row r="2214" spans="1:15" ht="12.75" customHeight="1" x14ac:dyDescent="0.3">
      <c r="A2214" s="860"/>
      <c r="B2214" s="860"/>
      <c r="C2214" s="860"/>
      <c r="D2214" s="860"/>
      <c r="E2214" s="860"/>
      <c r="F2214" s="860"/>
      <c r="G2214" s="860"/>
      <c r="H2214" s="821"/>
      <c r="I2214" s="220" t="str">
        <f>IF(ISBLANK(global!I691),"",global!I691)</f>
        <v/>
      </c>
      <c r="K2214" s="225" t="s">
        <v>4159</v>
      </c>
      <c r="O2214" s="225" t="s">
        <v>4159</v>
      </c>
    </row>
    <row r="2215" spans="1:15" ht="12.75" customHeight="1" x14ac:dyDescent="0.3">
      <c r="A2215" s="860"/>
      <c r="B2215" s="821" t="s">
        <v>2526</v>
      </c>
      <c r="C2215" s="821"/>
      <c r="D2215" s="821"/>
      <c r="E2215" s="821"/>
      <c r="F2215" s="821"/>
      <c r="G2215" s="821" t="s">
        <v>4813</v>
      </c>
      <c r="H2215" s="821" t="s">
        <v>291</v>
      </c>
      <c r="I2215" s="220" t="str">
        <f>IF(ISBLANK(global!I692),"",global!I692)</f>
        <v/>
      </c>
      <c r="K2215" s="225" t="s">
        <v>4159</v>
      </c>
      <c r="O2215" s="225" t="s">
        <v>4159</v>
      </c>
    </row>
    <row r="2216" spans="1:15" ht="12.75" customHeight="1" x14ac:dyDescent="0.3">
      <c r="A2216" s="860"/>
      <c r="B2216" s="860" t="s">
        <v>1955</v>
      </c>
      <c r="C2216" s="860"/>
      <c r="D2216" s="860"/>
      <c r="E2216" s="860"/>
      <c r="F2216" s="860"/>
      <c r="G2216" s="860" t="s">
        <v>3234</v>
      </c>
      <c r="H2216" s="860" t="s">
        <v>291</v>
      </c>
      <c r="I2216" s="220" t="str">
        <f>IF(ISBLANK(global!I693),"",global!I693)</f>
        <v/>
      </c>
      <c r="K2216" s="225" t="s">
        <v>4159</v>
      </c>
      <c r="O2216" s="225" t="s">
        <v>4159</v>
      </c>
    </row>
    <row r="2217" spans="1:15" ht="12.75" customHeight="1" x14ac:dyDescent="0.3">
      <c r="A2217" s="860"/>
      <c r="B2217" s="860" t="s">
        <v>1957</v>
      </c>
      <c r="C2217" s="860"/>
      <c r="D2217" s="860"/>
      <c r="E2217" s="860"/>
      <c r="F2217" s="860"/>
      <c r="G2217" s="860" t="s">
        <v>3235</v>
      </c>
      <c r="H2217" s="860" t="s">
        <v>291</v>
      </c>
      <c r="I2217" s="220" t="str">
        <f>IF(ISBLANK(global!I694),"",global!I694)</f>
        <v/>
      </c>
      <c r="K2217" s="225" t="s">
        <v>4159</v>
      </c>
      <c r="O2217" s="225" t="s">
        <v>4159</v>
      </c>
    </row>
    <row r="2218" spans="1:15" ht="12.75" customHeight="1" x14ac:dyDescent="0.3">
      <c r="A2218" s="860"/>
      <c r="B2218" s="860"/>
      <c r="C2218" s="821" t="s">
        <v>1959</v>
      </c>
      <c r="D2218" s="821"/>
      <c r="E2218" s="821"/>
      <c r="F2218" s="821"/>
      <c r="G2218" s="821" t="s">
        <v>4814</v>
      </c>
      <c r="H2218" s="821" t="s">
        <v>291</v>
      </c>
      <c r="I2218" s="220" t="str">
        <f>IF(ISBLANK(global!I695),"",global!I695)</f>
        <v/>
      </c>
      <c r="K2218" s="225" t="s">
        <v>4159</v>
      </c>
      <c r="O2218" s="225" t="s">
        <v>4159</v>
      </c>
    </row>
    <row r="2219" spans="1:15" ht="12.75" customHeight="1" x14ac:dyDescent="0.3">
      <c r="A2219" s="821"/>
      <c r="B2219" s="821"/>
      <c r="C2219" s="821" t="s">
        <v>3237</v>
      </c>
      <c r="D2219" s="821"/>
      <c r="E2219" s="821"/>
      <c r="F2219" s="821"/>
      <c r="G2219" s="821" t="s">
        <v>3238</v>
      </c>
      <c r="H2219" s="821" t="s">
        <v>4778</v>
      </c>
      <c r="I2219" s="220" t="str">
        <f>IF(ISBLANK(global!I696),"",global!I696)</f>
        <v/>
      </c>
      <c r="K2219" s="225" t="s">
        <v>4159</v>
      </c>
      <c r="O2219" s="225" t="s">
        <v>4159</v>
      </c>
    </row>
    <row r="2220" spans="1:15" ht="12.75" customHeight="1" x14ac:dyDescent="0.35">
      <c r="A2220" s="860"/>
      <c r="B2220" s="860"/>
      <c r="C2220" s="860" t="s">
        <v>1961</v>
      </c>
      <c r="D2220" s="860"/>
      <c r="E2220" s="860"/>
      <c r="F2220" s="860"/>
      <c r="G2220" s="860" t="s">
        <v>3239</v>
      </c>
      <c r="H2220" s="860" t="s">
        <v>4701</v>
      </c>
      <c r="I2220" s="220" t="str">
        <f>IF(ISBLANK(global!I697),"",global!I697)</f>
        <v/>
      </c>
      <c r="K2220" s="225" t="s">
        <v>4159</v>
      </c>
      <c r="O2220" s="225" t="s">
        <v>4159</v>
      </c>
    </row>
    <row r="2221" spans="1:15" ht="12.75" customHeight="1" x14ac:dyDescent="0.35">
      <c r="A2221" s="860"/>
      <c r="B2221" s="860"/>
      <c r="C2221" s="860" t="s">
        <v>1963</v>
      </c>
      <c r="D2221" s="860"/>
      <c r="E2221" s="860"/>
      <c r="F2221" s="860"/>
      <c r="G2221" s="860" t="s">
        <v>3240</v>
      </c>
      <c r="H2221" s="860" t="s">
        <v>4703</v>
      </c>
      <c r="I2221" s="220" t="str">
        <f>IF(ISBLANK(global!I698),"",global!I698)</f>
        <v/>
      </c>
      <c r="K2221" s="225" t="s">
        <v>4159</v>
      </c>
      <c r="O2221" s="225" t="s">
        <v>4159</v>
      </c>
    </row>
    <row r="2222" spans="1:15" ht="12.75" customHeight="1" x14ac:dyDescent="0.3">
      <c r="A2222" s="821"/>
      <c r="B2222" s="821" t="s">
        <v>4781</v>
      </c>
      <c r="C2222" s="872"/>
      <c r="D2222" s="860"/>
      <c r="E2222" s="860"/>
      <c r="F2222" s="860"/>
      <c r="G2222" s="821" t="s">
        <v>3241</v>
      </c>
      <c r="H2222" s="821" t="s">
        <v>291</v>
      </c>
      <c r="I2222" s="220" t="str">
        <f>IF(ISBLANK(global!I699),"",global!I699)</f>
        <v/>
      </c>
      <c r="K2222" s="225" t="s">
        <v>4159</v>
      </c>
      <c r="O2222" s="225" t="s">
        <v>4159</v>
      </c>
    </row>
    <row r="2223" spans="1:15" ht="12.75" customHeight="1" x14ac:dyDescent="0.3">
      <c r="A2223" s="821"/>
      <c r="B2223" s="821" t="s">
        <v>2536</v>
      </c>
      <c r="C2223" s="872"/>
      <c r="D2223" s="860"/>
      <c r="E2223" s="860"/>
      <c r="F2223" s="860"/>
      <c r="G2223" s="821" t="s">
        <v>3242</v>
      </c>
      <c r="H2223" s="821" t="s">
        <v>291</v>
      </c>
      <c r="I2223" s="220" t="str">
        <f>IF(ISBLANK(global!I700),"",global!I700)</f>
        <v/>
      </c>
      <c r="K2223" s="225" t="s">
        <v>4159</v>
      </c>
      <c r="O2223" s="225" t="s">
        <v>4159</v>
      </c>
    </row>
    <row r="2224" spans="1:15" ht="12.75" customHeight="1" x14ac:dyDescent="0.3">
      <c r="A2224" s="821"/>
      <c r="B2224" s="860"/>
      <c r="C2224" s="821" t="s">
        <v>4782</v>
      </c>
      <c r="D2224" s="860"/>
      <c r="E2224" s="860"/>
      <c r="F2224" s="860"/>
      <c r="G2224" s="872" t="s">
        <v>3243</v>
      </c>
      <c r="H2224" s="821" t="s">
        <v>4706</v>
      </c>
      <c r="I2224" s="220" t="str">
        <f>IF(ISBLANK(global!I701),"",global!I701)</f>
        <v/>
      </c>
      <c r="K2224" s="225" t="s">
        <v>4159</v>
      </c>
      <c r="O2224" s="225" t="s">
        <v>4159</v>
      </c>
    </row>
    <row r="2225" spans="1:15" ht="12.75" customHeight="1" x14ac:dyDescent="0.3">
      <c r="A2225" s="821"/>
      <c r="B2225" s="860"/>
      <c r="C2225" s="821" t="s">
        <v>2539</v>
      </c>
      <c r="D2225" s="860"/>
      <c r="E2225" s="860"/>
      <c r="F2225" s="860"/>
      <c r="G2225" s="872" t="s">
        <v>3244</v>
      </c>
      <c r="H2225" s="821" t="s">
        <v>4706</v>
      </c>
      <c r="I2225" s="220" t="str">
        <f>IF(ISBLANK(global!I702),"",global!I702)</f>
        <v/>
      </c>
      <c r="K2225" s="225" t="s">
        <v>4159</v>
      </c>
      <c r="O2225" s="225" t="s">
        <v>4159</v>
      </c>
    </row>
    <row r="2226" spans="1:15" ht="12.75" customHeight="1" x14ac:dyDescent="0.3">
      <c r="A2226" s="821"/>
      <c r="B2226" s="860"/>
      <c r="C2226" s="821" t="s">
        <v>4783</v>
      </c>
      <c r="D2226" s="860"/>
      <c r="E2226" s="860"/>
      <c r="F2226" s="860"/>
      <c r="G2226" s="872" t="s">
        <v>3245</v>
      </c>
      <c r="H2226" s="821" t="s">
        <v>291</v>
      </c>
      <c r="I2226" s="220" t="str">
        <f>IF(ISBLANK(global!I703),"",global!I703)</f>
        <v/>
      </c>
      <c r="K2226" s="225" t="s">
        <v>4159</v>
      </c>
      <c r="O2226" s="225" t="s">
        <v>4159</v>
      </c>
    </row>
    <row r="2227" spans="1:15" ht="12.75" customHeight="1" x14ac:dyDescent="0.3">
      <c r="A2227" s="821"/>
      <c r="B2227" s="860"/>
      <c r="C2227" s="821" t="s">
        <v>2542</v>
      </c>
      <c r="D2227" s="860"/>
      <c r="E2227" s="860"/>
      <c r="F2227" s="860"/>
      <c r="G2227" s="872" t="s">
        <v>3246</v>
      </c>
      <c r="H2227" s="821" t="s">
        <v>291</v>
      </c>
      <c r="I2227" s="220" t="str">
        <f>IF(ISBLANK(global!I704),"",global!I704)</f>
        <v/>
      </c>
      <c r="K2227" s="225" t="s">
        <v>4159</v>
      </c>
      <c r="O2227" s="225" t="s">
        <v>4159</v>
      </c>
    </row>
    <row r="2228" spans="1:15" ht="12.75" customHeight="1" x14ac:dyDescent="0.3">
      <c r="A2228" s="821"/>
      <c r="B2228" s="860"/>
      <c r="C2228" s="821" t="s">
        <v>4784</v>
      </c>
      <c r="D2228" s="860"/>
      <c r="E2228" s="860"/>
      <c r="F2228" s="860"/>
      <c r="G2228" s="872" t="s">
        <v>3247</v>
      </c>
      <c r="H2228" s="821" t="s">
        <v>4785</v>
      </c>
      <c r="I2228" s="220" t="str">
        <f>IF(ISBLANK(global!I705),"",global!I705)</f>
        <v/>
      </c>
      <c r="K2228" s="225" t="s">
        <v>4159</v>
      </c>
      <c r="O2228" s="225" t="s">
        <v>4159</v>
      </c>
    </row>
    <row r="2229" spans="1:15" ht="12.75" customHeight="1" x14ac:dyDescent="0.3">
      <c r="A2229" s="821"/>
      <c r="B2229" s="860"/>
      <c r="C2229" s="821" t="s">
        <v>2545</v>
      </c>
      <c r="D2229" s="860"/>
      <c r="E2229" s="860"/>
      <c r="F2229" s="860"/>
      <c r="G2229" s="872" t="s">
        <v>3248</v>
      </c>
      <c r="H2229" s="821" t="s">
        <v>4785</v>
      </c>
      <c r="I2229" s="220" t="str">
        <f>IF(ISBLANK(global!I706),"",global!I706)</f>
        <v/>
      </c>
      <c r="K2229" s="225" t="s">
        <v>4159</v>
      </c>
      <c r="O2229" s="225" t="s">
        <v>4159</v>
      </c>
    </row>
    <row r="2230" spans="1:15" ht="12.75" customHeight="1" x14ac:dyDescent="0.3">
      <c r="A2230" s="821"/>
      <c r="B2230" s="860"/>
      <c r="C2230" s="821" t="s">
        <v>4786</v>
      </c>
      <c r="D2230" s="860"/>
      <c r="E2230" s="860"/>
      <c r="F2230" s="860"/>
      <c r="G2230" s="872" t="s">
        <v>3249</v>
      </c>
      <c r="H2230" s="821" t="s">
        <v>1083</v>
      </c>
      <c r="I2230" s="220" t="str">
        <f>IF(ISBLANK(global!I707),"",global!I707)</f>
        <v/>
      </c>
      <c r="K2230" s="225" t="s">
        <v>4159</v>
      </c>
      <c r="O2230" s="225" t="s">
        <v>4159</v>
      </c>
    </row>
    <row r="2231" spans="1:15" ht="12.75" customHeight="1" x14ac:dyDescent="0.3">
      <c r="A2231" s="821"/>
      <c r="B2231" s="860"/>
      <c r="C2231" s="821" t="s">
        <v>2548</v>
      </c>
      <c r="D2231" s="860"/>
      <c r="E2231" s="860"/>
      <c r="F2231" s="860"/>
      <c r="G2231" s="872" t="s">
        <v>3250</v>
      </c>
      <c r="H2231" s="821" t="s">
        <v>1083</v>
      </c>
      <c r="I2231" s="220" t="str">
        <f>IF(ISBLANK(global!I708),"",global!I708)</f>
        <v/>
      </c>
      <c r="K2231" s="225" t="s">
        <v>4159</v>
      </c>
      <c r="O2231" s="225" t="s">
        <v>4159</v>
      </c>
    </row>
    <row r="2232" spans="1:15" ht="12.75" customHeight="1" x14ac:dyDescent="0.3">
      <c r="A2232" s="821"/>
      <c r="B2232" s="860"/>
      <c r="C2232" s="821" t="s">
        <v>4787</v>
      </c>
      <c r="D2232" s="860"/>
      <c r="E2232" s="860"/>
      <c r="F2232" s="860"/>
      <c r="G2232" s="872" t="s">
        <v>3251</v>
      </c>
      <c r="H2232" s="821" t="s">
        <v>716</v>
      </c>
      <c r="I2232" s="220" t="str">
        <f>IF(ISBLANK(global!I709),"",global!I709)</f>
        <v/>
      </c>
      <c r="K2232" s="225" t="s">
        <v>4159</v>
      </c>
      <c r="O2232" s="225" t="s">
        <v>4159</v>
      </c>
    </row>
    <row r="2233" spans="1:15" ht="12.75" customHeight="1" x14ac:dyDescent="0.3">
      <c r="A2233" s="821"/>
      <c r="B2233" s="860"/>
      <c r="C2233" s="821" t="s">
        <v>2551</v>
      </c>
      <c r="D2233" s="860"/>
      <c r="E2233" s="860"/>
      <c r="F2233" s="860"/>
      <c r="G2233" s="872" t="s">
        <v>3252</v>
      </c>
      <c r="H2233" s="821" t="s">
        <v>716</v>
      </c>
      <c r="I2233" s="220" t="str">
        <f>IF(ISBLANK(global!I710),"",global!I710)</f>
        <v/>
      </c>
      <c r="K2233" s="225" t="s">
        <v>4159</v>
      </c>
      <c r="O2233" s="225" t="s">
        <v>4159</v>
      </c>
    </row>
    <row r="2234" spans="1:15" ht="12.75" customHeight="1" x14ac:dyDescent="0.3">
      <c r="A2234" s="821"/>
      <c r="B2234" s="821" t="s">
        <v>2553</v>
      </c>
      <c r="C2234" s="872"/>
      <c r="D2234" s="860"/>
      <c r="E2234" s="860"/>
      <c r="F2234" s="860"/>
      <c r="G2234" s="872" t="s">
        <v>3253</v>
      </c>
      <c r="H2234" s="821" t="s">
        <v>291</v>
      </c>
      <c r="I2234" s="220" t="str">
        <f>IF(ISBLANK(global!I711),"",global!I711)</f>
        <v/>
      </c>
      <c r="K2234" s="225" t="s">
        <v>4159</v>
      </c>
      <c r="O2234" s="225" t="s">
        <v>4159</v>
      </c>
    </row>
    <row r="2235" spans="1:15" ht="12.75" customHeight="1" x14ac:dyDescent="0.3">
      <c r="A2235" s="821"/>
      <c r="B2235" s="860"/>
      <c r="C2235" s="821" t="s">
        <v>2555</v>
      </c>
      <c r="D2235" s="860"/>
      <c r="E2235" s="860"/>
      <c r="F2235" s="860"/>
      <c r="G2235" s="872" t="s">
        <v>3254</v>
      </c>
      <c r="H2235" s="821" t="s">
        <v>4706</v>
      </c>
      <c r="I2235" s="220" t="str">
        <f>IF(ISBLANK(global!I712),"",global!I712)</f>
        <v/>
      </c>
      <c r="K2235" s="225" t="s">
        <v>4159</v>
      </c>
      <c r="O2235" s="225" t="s">
        <v>4159</v>
      </c>
    </row>
    <row r="2236" spans="1:15" ht="12.75" customHeight="1" x14ac:dyDescent="0.3">
      <c r="A2236" s="821"/>
      <c r="B2236" s="860"/>
      <c r="C2236" s="821" t="s">
        <v>2557</v>
      </c>
      <c r="D2236" s="860"/>
      <c r="E2236" s="860"/>
      <c r="F2236" s="860"/>
      <c r="G2236" s="872" t="s">
        <v>3255</v>
      </c>
      <c r="H2236" s="821" t="s">
        <v>291</v>
      </c>
      <c r="I2236" s="220" t="str">
        <f>IF(ISBLANK(global!I713),"",global!I713)</f>
        <v/>
      </c>
      <c r="K2236" s="225" t="s">
        <v>4159</v>
      </c>
      <c r="O2236" s="225" t="s">
        <v>4159</v>
      </c>
    </row>
    <row r="2237" spans="1:15" ht="12.75" customHeight="1" x14ac:dyDescent="0.3">
      <c r="A2237" s="821"/>
      <c r="B2237" s="821" t="s">
        <v>2559</v>
      </c>
      <c r="C2237" s="872"/>
      <c r="D2237" s="860"/>
      <c r="E2237" s="860"/>
      <c r="F2237" s="860"/>
      <c r="G2237" s="872" t="s">
        <v>4815</v>
      </c>
      <c r="H2237" s="821" t="s">
        <v>291</v>
      </c>
      <c r="I2237" s="220" t="str">
        <f>IF(ISBLANK(global!I714),"",global!I714)</f>
        <v/>
      </c>
      <c r="K2237" s="225" t="s">
        <v>4159</v>
      </c>
      <c r="O2237" s="225" t="s">
        <v>4159</v>
      </c>
    </row>
    <row r="2238" spans="1:15" ht="12.75" customHeight="1" x14ac:dyDescent="0.3">
      <c r="A2238" s="821"/>
      <c r="B2238" s="821" t="s">
        <v>2561</v>
      </c>
      <c r="C2238" s="872"/>
      <c r="D2238" s="860"/>
      <c r="E2238" s="860"/>
      <c r="F2238" s="860"/>
      <c r="G2238" s="872" t="s">
        <v>3257</v>
      </c>
      <c r="H2238" s="821" t="s">
        <v>291</v>
      </c>
      <c r="I2238" s="220" t="str">
        <f>IF(ISBLANK(global!I715),"",global!I715)</f>
        <v/>
      </c>
      <c r="K2238" s="225" t="s">
        <v>4159</v>
      </c>
      <c r="O2238" s="225" t="s">
        <v>4159</v>
      </c>
    </row>
    <row r="2239" spans="1:15" ht="12.75" customHeight="1" x14ac:dyDescent="0.3">
      <c r="A2239" s="821"/>
      <c r="B2239" s="821" t="s">
        <v>2563</v>
      </c>
      <c r="C2239" s="872"/>
      <c r="D2239" s="860"/>
      <c r="E2239" s="860"/>
      <c r="F2239" s="860"/>
      <c r="G2239" s="872" t="s">
        <v>3258</v>
      </c>
      <c r="H2239" s="821" t="s">
        <v>291</v>
      </c>
      <c r="I2239" s="220" t="str">
        <f>IF(ISBLANK(global!I716),"",global!I716)</f>
        <v/>
      </c>
      <c r="K2239" s="225" t="s">
        <v>4159</v>
      </c>
      <c r="O2239" s="225" t="s">
        <v>4159</v>
      </c>
    </row>
    <row r="2240" spans="1:15" ht="12.75" customHeight="1" x14ac:dyDescent="0.3">
      <c r="A2240" s="821"/>
      <c r="B2240" s="860"/>
      <c r="C2240" s="821" t="s">
        <v>2565</v>
      </c>
      <c r="D2240" s="860"/>
      <c r="E2240" s="860"/>
      <c r="F2240" s="860"/>
      <c r="G2240" s="872" t="s">
        <v>3259</v>
      </c>
      <c r="H2240" s="821" t="s">
        <v>4706</v>
      </c>
      <c r="I2240" s="220" t="str">
        <f>IF(ISBLANK(global!I717),"",global!I717)</f>
        <v/>
      </c>
      <c r="K2240" s="225" t="s">
        <v>4159</v>
      </c>
      <c r="O2240" s="225" t="s">
        <v>4159</v>
      </c>
    </row>
    <row r="2241" spans="1:15" ht="12.75" customHeight="1" x14ac:dyDescent="0.3">
      <c r="A2241" s="821"/>
      <c r="B2241" s="860"/>
      <c r="C2241" s="821" t="s">
        <v>2567</v>
      </c>
      <c r="D2241" s="860"/>
      <c r="E2241" s="860"/>
      <c r="F2241" s="860"/>
      <c r="G2241" s="872" t="s">
        <v>3260</v>
      </c>
      <c r="H2241" s="821" t="s">
        <v>291</v>
      </c>
      <c r="I2241" s="220" t="str">
        <f>IF(ISBLANK(global!I718),"",global!I718)</f>
        <v/>
      </c>
      <c r="K2241" s="225" t="s">
        <v>4159</v>
      </c>
      <c r="O2241" s="225" t="s">
        <v>4159</v>
      </c>
    </row>
    <row r="2242" spans="1:15" ht="12.75" customHeight="1" x14ac:dyDescent="0.3">
      <c r="A2242" s="860"/>
      <c r="B2242" s="860"/>
      <c r="C2242" s="860"/>
      <c r="D2242" s="860"/>
      <c r="E2242" s="860"/>
      <c r="F2242" s="860"/>
      <c r="G2242" s="860"/>
      <c r="H2242" s="821"/>
      <c r="I2242" s="220" t="str">
        <f>IF(ISBLANK(global!I719),"",global!I719)</f>
        <v/>
      </c>
      <c r="K2242" s="225" t="s">
        <v>4159</v>
      </c>
      <c r="O2242" s="225" t="s">
        <v>4159</v>
      </c>
    </row>
    <row r="2243" spans="1:15" ht="12.75" customHeight="1" x14ac:dyDescent="0.3">
      <c r="A2243" s="865" t="s">
        <v>1129</v>
      </c>
      <c r="B2243" s="864"/>
      <c r="C2243" s="864"/>
      <c r="D2243" s="864"/>
      <c r="E2243" s="864"/>
      <c r="F2243" s="864"/>
      <c r="G2243" s="865" t="s">
        <v>258</v>
      </c>
      <c r="H2243" s="865" t="s">
        <v>274</v>
      </c>
      <c r="I2243" s="220" t="str">
        <f>IF(ISBLANK(global!I720),"",global!I720)</f>
        <v>User input</v>
      </c>
      <c r="K2243" s="225" t="s">
        <v>259</v>
      </c>
      <c r="O2243" s="225" t="s">
        <v>259</v>
      </c>
    </row>
    <row r="2244" spans="1:15" ht="12.75" customHeight="1" x14ac:dyDescent="0.3">
      <c r="A2244" s="860"/>
      <c r="B2244" s="860"/>
      <c r="C2244" s="860"/>
      <c r="D2244" s="860"/>
      <c r="E2244" s="860"/>
      <c r="F2244" s="860"/>
      <c r="G2244" s="860"/>
      <c r="H2244" s="821"/>
      <c r="I2244" s="220" t="str">
        <f>IF(ISBLANK(global!I721),"",global!I721)</f>
        <v/>
      </c>
      <c r="K2244" s="225" t="s">
        <v>4159</v>
      </c>
      <c r="O2244" s="225" t="s">
        <v>4159</v>
      </c>
    </row>
    <row r="2245" spans="1:15" ht="12.75" customHeight="1" x14ac:dyDescent="0.3">
      <c r="A2245" s="821" t="s">
        <v>2569</v>
      </c>
      <c r="B2245" s="860"/>
      <c r="C2245" s="860"/>
      <c r="D2245" s="860"/>
      <c r="E2245" s="860"/>
      <c r="F2245" s="860"/>
      <c r="G2245" s="821" t="s">
        <v>3261</v>
      </c>
      <c r="H2245" s="821" t="s">
        <v>4690</v>
      </c>
      <c r="I2245" s="220" t="str">
        <f>IF(ISBLANK(global!I722),"",global!I722)</f>
        <v/>
      </c>
      <c r="K2245" s="225" t="s">
        <v>4159</v>
      </c>
      <c r="O2245" s="225" t="s">
        <v>4159</v>
      </c>
    </row>
    <row r="2246" spans="1:15" ht="12.75" customHeight="1" x14ac:dyDescent="0.3">
      <c r="A2246" s="821" t="s">
        <v>2571</v>
      </c>
      <c r="B2246" s="860"/>
      <c r="C2246" s="860"/>
      <c r="D2246" s="860"/>
      <c r="E2246" s="860"/>
      <c r="F2246" s="860"/>
      <c r="G2246" s="821" t="s">
        <v>3262</v>
      </c>
      <c r="H2246" s="821" t="s">
        <v>4690</v>
      </c>
      <c r="I2246" s="220" t="str">
        <f>IF(ISBLANK(global!I723),"",global!I723)</f>
        <v/>
      </c>
      <c r="K2246" s="225" t="s">
        <v>4159</v>
      </c>
      <c r="O2246" s="225" t="s">
        <v>4159</v>
      </c>
    </row>
    <row r="2247" spans="1:15" ht="12.75" customHeight="1" x14ac:dyDescent="0.3">
      <c r="A2247" s="821" t="s">
        <v>2573</v>
      </c>
      <c r="B2247" s="860"/>
      <c r="C2247" s="860"/>
      <c r="D2247" s="860"/>
      <c r="E2247" s="860"/>
      <c r="F2247" s="860"/>
      <c r="G2247" s="821" t="s">
        <v>3263</v>
      </c>
      <c r="H2247" s="821" t="s">
        <v>4690</v>
      </c>
      <c r="I2247" s="220" t="str">
        <f>IF(ISBLANK(global!I724),"",global!I724)</f>
        <v/>
      </c>
      <c r="K2247" s="225" t="s">
        <v>4159</v>
      </c>
      <c r="O2247" s="225" t="s">
        <v>4159</v>
      </c>
    </row>
    <row r="2248" spans="1:15" ht="12.75" customHeight="1" x14ac:dyDescent="0.3">
      <c r="A2248" s="821" t="s">
        <v>2575</v>
      </c>
      <c r="B2248" s="860"/>
      <c r="C2248" s="860"/>
      <c r="D2248" s="860"/>
      <c r="E2248" s="860"/>
      <c r="F2248" s="860"/>
      <c r="G2248" s="821" t="s">
        <v>3264</v>
      </c>
      <c r="H2248" s="821" t="s">
        <v>4690</v>
      </c>
      <c r="I2248" s="220" t="str">
        <f>IF(ISBLANK(global!I725),"",global!I725)</f>
        <v/>
      </c>
      <c r="K2248" s="225" t="s">
        <v>4159</v>
      </c>
      <c r="O2248" s="225" t="s">
        <v>4159</v>
      </c>
    </row>
    <row r="2249" spans="1:15" ht="12.75" customHeight="1" x14ac:dyDescent="0.3">
      <c r="A2249" s="860"/>
      <c r="B2249" s="821" t="s">
        <v>2031</v>
      </c>
      <c r="C2249" s="860"/>
      <c r="D2249" s="860"/>
      <c r="E2249" s="860"/>
      <c r="F2249" s="860"/>
      <c r="G2249" s="894" t="s">
        <v>3265</v>
      </c>
      <c r="H2249" s="821" t="s">
        <v>4690</v>
      </c>
      <c r="I2249" s="220" t="str">
        <f>IF(ISBLANK(global!I726),"",global!I726)</f>
        <v/>
      </c>
      <c r="K2249" s="225" t="s">
        <v>4159</v>
      </c>
      <c r="O2249" s="225" t="s">
        <v>4159</v>
      </c>
    </row>
    <row r="2250" spans="1:15" ht="12.75" customHeight="1" x14ac:dyDescent="0.3">
      <c r="A2250" s="860"/>
      <c r="B2250" s="821"/>
      <c r="C2250" s="860" t="s">
        <v>2033</v>
      </c>
      <c r="D2250" s="860"/>
      <c r="E2250" s="860"/>
      <c r="F2250" s="860"/>
      <c r="G2250" s="894" t="s">
        <v>3266</v>
      </c>
      <c r="H2250" s="821" t="s">
        <v>4690</v>
      </c>
      <c r="I2250" s="220" t="str">
        <f>IF(ISBLANK(global!I727),"",global!I727)</f>
        <v/>
      </c>
      <c r="K2250" s="225" t="s">
        <v>4159</v>
      </c>
      <c r="O2250" s="225" t="s">
        <v>4159</v>
      </c>
    </row>
    <row r="2251" spans="1:15" ht="12.75" customHeight="1" x14ac:dyDescent="0.3">
      <c r="A2251" s="860"/>
      <c r="B2251" s="821"/>
      <c r="C2251" s="821"/>
      <c r="D2251" s="821" t="s">
        <v>2581</v>
      </c>
      <c r="E2251" s="860"/>
      <c r="F2251" s="860"/>
      <c r="G2251" s="821" t="s">
        <v>3267</v>
      </c>
      <c r="H2251" s="821" t="s">
        <v>4690</v>
      </c>
      <c r="I2251" s="220" t="str">
        <f>IF(ISBLANK(global!I728),"",global!I728)</f>
        <v/>
      </c>
      <c r="K2251" s="225" t="s">
        <v>4159</v>
      </c>
      <c r="O2251" s="225" t="s">
        <v>4159</v>
      </c>
    </row>
    <row r="2252" spans="1:15" ht="12.75" customHeight="1" x14ac:dyDescent="0.3">
      <c r="A2252" s="860"/>
      <c r="B2252" s="821"/>
      <c r="C2252" s="821"/>
      <c r="D2252" s="821" t="s">
        <v>2583</v>
      </c>
      <c r="E2252" s="860"/>
      <c r="F2252" s="860"/>
      <c r="G2252" s="821" t="s">
        <v>3268</v>
      </c>
      <c r="H2252" s="821" t="s">
        <v>4690</v>
      </c>
      <c r="I2252" s="220" t="str">
        <f>IF(ISBLANK(global!I729),"",global!I729)</f>
        <v/>
      </c>
      <c r="K2252" s="225" t="s">
        <v>4159</v>
      </c>
      <c r="O2252" s="225" t="s">
        <v>4159</v>
      </c>
    </row>
    <row r="2253" spans="1:15" ht="12.75" customHeight="1" x14ac:dyDescent="0.3">
      <c r="A2253" s="860"/>
      <c r="B2253" s="821"/>
      <c r="C2253" s="860" t="s">
        <v>1148</v>
      </c>
      <c r="D2253" s="860"/>
      <c r="E2253" s="860"/>
      <c r="F2253" s="860"/>
      <c r="G2253" s="860" t="s">
        <v>3269</v>
      </c>
      <c r="H2253" s="860" t="s">
        <v>1150</v>
      </c>
      <c r="I2253" s="220" t="str">
        <f>IF(ISBLANK(global!I730),"",global!I730)</f>
        <v/>
      </c>
      <c r="K2253" s="225" t="s">
        <v>4159</v>
      </c>
      <c r="O2253" s="225" t="s">
        <v>4159</v>
      </c>
    </row>
    <row r="2254" spans="1:15" ht="12.75" customHeight="1" x14ac:dyDescent="0.3">
      <c r="A2254" s="860"/>
      <c r="B2254" s="821"/>
      <c r="C2254" s="860" t="s">
        <v>1151</v>
      </c>
      <c r="D2254" s="860"/>
      <c r="E2254" s="860"/>
      <c r="F2254" s="860"/>
      <c r="G2254" s="860" t="s">
        <v>3270</v>
      </c>
      <c r="H2254" s="860" t="s">
        <v>1150</v>
      </c>
      <c r="I2254" s="220" t="str">
        <f>IF(ISBLANK(global!I731),"",global!I731)</f>
        <v/>
      </c>
      <c r="K2254" s="225" t="s">
        <v>4159</v>
      </c>
      <c r="O2254" s="225" t="s">
        <v>4159</v>
      </c>
    </row>
    <row r="2255" spans="1:15" ht="12.75" customHeight="1" x14ac:dyDescent="0.3">
      <c r="A2255" s="860"/>
      <c r="B2255" s="821"/>
      <c r="C2255" s="821" t="s">
        <v>1153</v>
      </c>
      <c r="D2255" s="860"/>
      <c r="E2255" s="860"/>
      <c r="F2255" s="860"/>
      <c r="G2255" s="872" t="s">
        <v>3271</v>
      </c>
      <c r="H2255" s="913" t="s">
        <v>4734</v>
      </c>
      <c r="I2255" s="220" t="str">
        <f>IF(ISBLANK(global!I732),"",global!I732)</f>
        <v/>
      </c>
      <c r="K2255" s="225" t="s">
        <v>4159</v>
      </c>
      <c r="O2255" s="225" t="s">
        <v>4159</v>
      </c>
    </row>
    <row r="2256" spans="1:15" ht="12.75" customHeight="1" x14ac:dyDescent="0.3">
      <c r="A2256" s="860"/>
      <c r="B2256" s="821"/>
      <c r="C2256" s="821" t="s">
        <v>1156</v>
      </c>
      <c r="D2256" s="860"/>
      <c r="E2256" s="860"/>
      <c r="F2256" s="860"/>
      <c r="G2256" s="821" t="s">
        <v>3272</v>
      </c>
      <c r="H2256" s="872" t="s">
        <v>4734</v>
      </c>
      <c r="I2256" s="220" t="str">
        <f>IF(ISBLANK(global!I733),"",global!I733)</f>
        <v/>
      </c>
      <c r="K2256" s="225" t="s">
        <v>4159</v>
      </c>
      <c r="O2256" s="225" t="s">
        <v>4159</v>
      </c>
    </row>
    <row r="2257" spans="1:15" ht="12.75" customHeight="1" x14ac:dyDescent="0.3">
      <c r="A2257" s="860"/>
      <c r="B2257" s="821"/>
      <c r="C2257" s="821" t="s">
        <v>2043</v>
      </c>
      <c r="D2257" s="860"/>
      <c r="E2257" s="860"/>
      <c r="F2257" s="860"/>
      <c r="G2257" s="821" t="s">
        <v>3273</v>
      </c>
      <c r="H2257" s="872" t="s">
        <v>4734</v>
      </c>
      <c r="I2257" s="220" t="str">
        <f>IF(ISBLANK(global!I734),"",global!I734)</f>
        <v/>
      </c>
      <c r="K2257" s="225" t="s">
        <v>4159</v>
      </c>
      <c r="O2257" s="225" t="s">
        <v>4159</v>
      </c>
    </row>
    <row r="2258" spans="1:15" ht="12.75" customHeight="1" x14ac:dyDescent="0.3">
      <c r="A2258" s="860"/>
      <c r="B2258" s="821"/>
      <c r="C2258" s="860"/>
      <c r="D2258" s="872" t="s">
        <v>1160</v>
      </c>
      <c r="E2258" s="872"/>
      <c r="F2258" s="872"/>
      <c r="G2258" s="872" t="s">
        <v>3274</v>
      </c>
      <c r="H2258" s="913" t="s">
        <v>4734</v>
      </c>
      <c r="I2258" s="220" t="str">
        <f>IF(ISBLANK(global!I735),"",global!I735)</f>
        <v/>
      </c>
      <c r="K2258" s="225" t="s">
        <v>4159</v>
      </c>
      <c r="O2258" s="225" t="s">
        <v>4159</v>
      </c>
    </row>
    <row r="2259" spans="1:15" ht="12.75" customHeight="1" x14ac:dyDescent="0.3">
      <c r="A2259" s="860"/>
      <c r="B2259" s="821"/>
      <c r="C2259" s="860"/>
      <c r="D2259" s="821" t="s">
        <v>2591</v>
      </c>
      <c r="E2259" s="872"/>
      <c r="F2259" s="872"/>
      <c r="G2259" s="872" t="s">
        <v>3275</v>
      </c>
      <c r="H2259" s="872" t="s">
        <v>4789</v>
      </c>
      <c r="I2259" s="220" t="str">
        <f>IF(ISBLANK(global!I736),"",global!I736)</f>
        <v/>
      </c>
      <c r="K2259" s="225" t="s">
        <v>4159</v>
      </c>
      <c r="O2259" s="225" t="s">
        <v>4159</v>
      </c>
    </row>
    <row r="2260" spans="1:15" ht="12.75" customHeight="1" x14ac:dyDescent="0.3">
      <c r="A2260" s="860"/>
      <c r="B2260" s="821"/>
      <c r="C2260" s="860"/>
      <c r="D2260" s="821" t="s">
        <v>1162</v>
      </c>
      <c r="E2260" s="860"/>
      <c r="F2260" s="860"/>
      <c r="G2260" s="872" t="s">
        <v>3276</v>
      </c>
      <c r="H2260" s="821" t="s">
        <v>291</v>
      </c>
      <c r="I2260" s="220" t="str">
        <f>IF(ISBLANK(global!I737),"",global!I737)</f>
        <v/>
      </c>
      <c r="K2260" s="225" t="s">
        <v>4159</v>
      </c>
      <c r="O2260" s="225" t="s">
        <v>4159</v>
      </c>
    </row>
    <row r="2261" spans="1:15" ht="12.75" customHeight="1" x14ac:dyDescent="0.3">
      <c r="A2261" s="860"/>
      <c r="B2261" s="821" t="s">
        <v>1164</v>
      </c>
      <c r="C2261" s="860"/>
      <c r="D2261" s="860"/>
      <c r="E2261" s="872"/>
      <c r="F2261" s="872"/>
      <c r="G2261" s="894" t="s">
        <v>3277</v>
      </c>
      <c r="H2261" s="821" t="s">
        <v>4734</v>
      </c>
      <c r="I2261" s="220" t="str">
        <f>IF(ISBLANK(global!I738),"",global!I738)</f>
        <v/>
      </c>
      <c r="K2261" s="225" t="s">
        <v>4159</v>
      </c>
      <c r="O2261" s="225" t="s">
        <v>4159</v>
      </c>
    </row>
    <row r="2262" spans="1:15" ht="12.75" customHeight="1" x14ac:dyDescent="0.3">
      <c r="A2262" s="860"/>
      <c r="B2262" s="821" t="s">
        <v>1166</v>
      </c>
      <c r="C2262" s="860"/>
      <c r="D2262" s="860"/>
      <c r="E2262" s="872"/>
      <c r="F2262" s="872"/>
      <c r="G2262" s="894" t="s">
        <v>3278</v>
      </c>
      <c r="H2262" s="821" t="s">
        <v>4734</v>
      </c>
      <c r="I2262" s="220" t="str">
        <f>IF(ISBLANK(global!I739),"",global!I739)</f>
        <v/>
      </c>
      <c r="K2262" s="225" t="s">
        <v>4159</v>
      </c>
      <c r="O2262" s="225" t="s">
        <v>4159</v>
      </c>
    </row>
    <row r="2263" spans="1:15" ht="12.75" customHeight="1" x14ac:dyDescent="0.3">
      <c r="A2263" s="860"/>
      <c r="B2263" s="821" t="s">
        <v>2597</v>
      </c>
      <c r="C2263" s="860"/>
      <c r="D2263" s="860"/>
      <c r="E2263" s="860"/>
      <c r="F2263" s="860"/>
      <c r="G2263" s="894" t="s">
        <v>3279</v>
      </c>
      <c r="H2263" s="821" t="s">
        <v>4734</v>
      </c>
      <c r="I2263" s="220" t="str">
        <f>IF(ISBLANK(global!I740),"",global!I740)</f>
        <v/>
      </c>
      <c r="K2263" s="225" t="s">
        <v>4159</v>
      </c>
      <c r="O2263" s="225" t="s">
        <v>4159</v>
      </c>
    </row>
    <row r="2264" spans="1:15" ht="12.75" customHeight="1" x14ac:dyDescent="0.3">
      <c r="A2264" s="860"/>
      <c r="B2264" s="821" t="s">
        <v>2599</v>
      </c>
      <c r="C2264" s="860"/>
      <c r="D2264" s="860"/>
      <c r="E2264" s="872"/>
      <c r="F2264" s="872"/>
      <c r="G2264" s="894" t="s">
        <v>3280</v>
      </c>
      <c r="H2264" s="821" t="s">
        <v>4734</v>
      </c>
      <c r="I2264" s="220" t="str">
        <f>IF(ISBLANK(global!I741),"",global!I741)</f>
        <v/>
      </c>
      <c r="K2264" s="225" t="s">
        <v>4159</v>
      </c>
      <c r="O2264" s="225" t="s">
        <v>4159</v>
      </c>
    </row>
    <row r="2265" spans="1:15" ht="12.75" customHeight="1" x14ac:dyDescent="0.3">
      <c r="A2265" s="860"/>
      <c r="B2265" s="821"/>
      <c r="C2265" s="860" t="s">
        <v>1174</v>
      </c>
      <c r="D2265" s="860"/>
      <c r="E2265" s="860"/>
      <c r="F2265" s="860"/>
      <c r="G2265" s="860" t="s">
        <v>4816</v>
      </c>
      <c r="H2265" s="913" t="s">
        <v>4734</v>
      </c>
      <c r="I2265" s="220" t="str">
        <f>IF(ISBLANK(global!I742),"",global!I742)</f>
        <v/>
      </c>
      <c r="K2265" s="225" t="s">
        <v>4159</v>
      </c>
      <c r="O2265" s="225" t="s">
        <v>4159</v>
      </c>
    </row>
    <row r="2266" spans="1:15" ht="12.75" customHeight="1" x14ac:dyDescent="0.3">
      <c r="A2266" s="860"/>
      <c r="B2266" s="821"/>
      <c r="C2266" s="860" t="s">
        <v>1176</v>
      </c>
      <c r="D2266" s="860"/>
      <c r="E2266" s="860"/>
      <c r="F2266" s="860"/>
      <c r="G2266" s="860" t="s">
        <v>4817</v>
      </c>
      <c r="H2266" s="913" t="s">
        <v>4734</v>
      </c>
      <c r="I2266" s="220" t="str">
        <f>IF(ISBLANK(global!I743),"",global!I743)</f>
        <v/>
      </c>
      <c r="K2266" s="225" t="s">
        <v>4159</v>
      </c>
      <c r="O2266" s="225" t="s">
        <v>4159</v>
      </c>
    </row>
    <row r="2267" spans="1:15" ht="12.75" customHeight="1" x14ac:dyDescent="0.3">
      <c r="A2267" s="821"/>
      <c r="B2267" s="860"/>
      <c r="C2267" s="860"/>
      <c r="D2267" s="872" t="s">
        <v>2603</v>
      </c>
      <c r="E2267" s="860"/>
      <c r="F2267" s="860"/>
      <c r="G2267" s="821" t="s">
        <v>3283</v>
      </c>
      <c r="H2267" s="913" t="s">
        <v>4734</v>
      </c>
      <c r="I2267" s="220" t="str">
        <f>IF(ISBLANK(global!I744),"",global!I744)</f>
        <v/>
      </c>
      <c r="K2267" s="225" t="s">
        <v>4159</v>
      </c>
      <c r="O2267" s="225" t="s">
        <v>4159</v>
      </c>
    </row>
    <row r="2268" spans="1:15" ht="12.75" customHeight="1" x14ac:dyDescent="0.3">
      <c r="A2268" s="860"/>
      <c r="B2268" s="821"/>
      <c r="C2268" s="860" t="s">
        <v>1181</v>
      </c>
      <c r="D2268" s="860"/>
      <c r="E2268" s="872"/>
      <c r="F2268" s="872"/>
      <c r="G2268" s="860" t="s">
        <v>4818</v>
      </c>
      <c r="H2268" s="913" t="s">
        <v>4734</v>
      </c>
      <c r="I2268" s="220" t="str">
        <f>IF(ISBLANK(global!I745),"",global!I745)</f>
        <v/>
      </c>
      <c r="K2268" s="225" t="s">
        <v>4159</v>
      </c>
      <c r="O2268" s="225" t="s">
        <v>4159</v>
      </c>
    </row>
    <row r="2269" spans="1:15" ht="12.75" customHeight="1" x14ac:dyDescent="0.3">
      <c r="A2269" s="860"/>
      <c r="B2269" s="821"/>
      <c r="C2269" s="860" t="s">
        <v>1183</v>
      </c>
      <c r="D2269" s="860"/>
      <c r="E2269" s="860"/>
      <c r="F2269" s="860"/>
      <c r="G2269" s="860" t="s">
        <v>4819</v>
      </c>
      <c r="H2269" s="872" t="s">
        <v>4734</v>
      </c>
      <c r="I2269" s="220" t="str">
        <f>IF(ISBLANK(global!I746),"",global!I746)</f>
        <v/>
      </c>
      <c r="K2269" s="225" t="s">
        <v>4159</v>
      </c>
      <c r="O2269" s="225" t="s">
        <v>4159</v>
      </c>
    </row>
    <row r="2270" spans="1:15" ht="12.75" customHeight="1" x14ac:dyDescent="0.3">
      <c r="A2270" s="860"/>
      <c r="B2270" s="821"/>
      <c r="C2270" s="860" t="s">
        <v>1185</v>
      </c>
      <c r="D2270" s="860"/>
      <c r="E2270" s="872"/>
      <c r="F2270" s="860"/>
      <c r="G2270" s="821" t="s">
        <v>3286</v>
      </c>
      <c r="H2270" s="860" t="s">
        <v>291</v>
      </c>
      <c r="I2270" s="220" t="str">
        <f>IF(ISBLANK(global!I747),"",global!I747)</f>
        <v/>
      </c>
      <c r="K2270" s="225" t="s">
        <v>4159</v>
      </c>
      <c r="O2270" s="225" t="s">
        <v>4159</v>
      </c>
    </row>
    <row r="2271" spans="1:15" ht="12.75" customHeight="1" x14ac:dyDescent="0.3">
      <c r="A2271" s="860"/>
      <c r="B2271" s="860"/>
      <c r="C2271" s="860"/>
      <c r="D2271" s="860"/>
      <c r="E2271" s="860"/>
      <c r="F2271" s="860"/>
      <c r="G2271" s="860"/>
      <c r="H2271" s="860"/>
      <c r="I2271" s="220" t="str">
        <f>IF(ISBLANK(global!I748),"",global!I748)</f>
        <v/>
      </c>
      <c r="K2271" s="225" t="s">
        <v>4159</v>
      </c>
      <c r="O2271" s="225" t="s">
        <v>4159</v>
      </c>
    </row>
    <row r="2272" spans="1:15" ht="12.75" customHeight="1" x14ac:dyDescent="0.3">
      <c r="A2272" s="821" t="s">
        <v>2608</v>
      </c>
      <c r="B2272" s="860"/>
      <c r="C2272" s="860"/>
      <c r="D2272" s="860"/>
      <c r="E2272" s="860"/>
      <c r="F2272" s="860"/>
      <c r="G2272" s="821" t="s">
        <v>3287</v>
      </c>
      <c r="H2272" s="821" t="s">
        <v>4690</v>
      </c>
      <c r="I2272" s="220" t="str">
        <f>IF(ISBLANK(global!I749),"",global!I749)</f>
        <v/>
      </c>
      <c r="K2272" s="225" t="s">
        <v>4159</v>
      </c>
      <c r="O2272" s="225" t="s">
        <v>4159</v>
      </c>
    </row>
    <row r="2273" spans="1:15" ht="12.75" customHeight="1" x14ac:dyDescent="0.3">
      <c r="A2273" s="821" t="s">
        <v>2610</v>
      </c>
      <c r="B2273" s="860"/>
      <c r="C2273" s="860"/>
      <c r="D2273" s="860"/>
      <c r="E2273" s="860"/>
      <c r="F2273" s="860"/>
      <c r="G2273" s="821" t="s">
        <v>3288</v>
      </c>
      <c r="H2273" s="821" t="s">
        <v>4690</v>
      </c>
      <c r="I2273" s="220" t="str">
        <f>IF(ISBLANK(global!I750),"",global!I750)</f>
        <v/>
      </c>
      <c r="K2273" s="225" t="s">
        <v>4159</v>
      </c>
      <c r="O2273" s="225" t="s">
        <v>4159</v>
      </c>
    </row>
    <row r="2274" spans="1:15" ht="12.75" customHeight="1" x14ac:dyDescent="0.3">
      <c r="A2274" s="821"/>
      <c r="B2274" s="821" t="s">
        <v>2612</v>
      </c>
      <c r="C2274" s="860"/>
      <c r="D2274" s="860"/>
      <c r="E2274" s="860"/>
      <c r="F2274" s="860"/>
      <c r="G2274" s="894" t="s">
        <v>3289</v>
      </c>
      <c r="H2274" s="821" t="s">
        <v>4734</v>
      </c>
      <c r="I2274" s="220" t="str">
        <f>IF(ISBLANK(global!I751),"",global!I751)</f>
        <v/>
      </c>
      <c r="K2274" s="225" t="s">
        <v>4159</v>
      </c>
      <c r="O2274" s="225" t="s">
        <v>4159</v>
      </c>
    </row>
    <row r="2275" spans="1:15" ht="12.75" customHeight="1" x14ac:dyDescent="0.3">
      <c r="A2275" s="821"/>
      <c r="B2275" s="821" t="s">
        <v>2614</v>
      </c>
      <c r="C2275" s="860"/>
      <c r="D2275" s="860"/>
      <c r="E2275" s="860"/>
      <c r="F2275" s="860"/>
      <c r="G2275" s="894" t="s">
        <v>3290</v>
      </c>
      <c r="H2275" s="821" t="s">
        <v>4734</v>
      </c>
      <c r="I2275" s="220" t="str">
        <f>IF(ISBLANK(global!I752),"",global!I752)</f>
        <v/>
      </c>
      <c r="K2275" s="225" t="s">
        <v>4159</v>
      </c>
      <c r="O2275" s="225" t="s">
        <v>4159</v>
      </c>
    </row>
    <row r="2276" spans="1:15" ht="12.75" customHeight="1" x14ac:dyDescent="0.3">
      <c r="A2276" s="860"/>
      <c r="B2276" s="821"/>
      <c r="C2276" s="821" t="s">
        <v>1216</v>
      </c>
      <c r="D2276" s="860"/>
      <c r="E2276" s="860"/>
      <c r="F2276" s="860"/>
      <c r="G2276" s="872" t="s">
        <v>3291</v>
      </c>
      <c r="H2276" s="913" t="s">
        <v>4734</v>
      </c>
      <c r="I2276" s="220" t="str">
        <f>IF(ISBLANK(global!I753),"",global!I753)</f>
        <v/>
      </c>
      <c r="K2276" s="225" t="s">
        <v>4159</v>
      </c>
      <c r="O2276" s="225" t="s">
        <v>4159</v>
      </c>
    </row>
    <row r="2277" spans="1:15" ht="12.75" customHeight="1" x14ac:dyDescent="0.3">
      <c r="A2277" s="821"/>
      <c r="B2277" s="860"/>
      <c r="C2277" s="821"/>
      <c r="D2277" s="821" t="s">
        <v>1220</v>
      </c>
      <c r="E2277" s="872"/>
      <c r="F2277" s="872"/>
      <c r="G2277" s="872" t="s">
        <v>3292</v>
      </c>
      <c r="H2277" s="913" t="s">
        <v>4734</v>
      </c>
      <c r="I2277" s="220" t="str">
        <f>IF(ISBLANK(global!I754),"",global!I754)</f>
        <v/>
      </c>
      <c r="K2277" s="225" t="s">
        <v>4159</v>
      </c>
      <c r="O2277" s="225" t="s">
        <v>4159</v>
      </c>
    </row>
    <row r="2278" spans="1:15" ht="12.75" customHeight="1" x14ac:dyDescent="0.3">
      <c r="A2278" s="821"/>
      <c r="B2278" s="860"/>
      <c r="C2278" s="821"/>
      <c r="D2278" s="821" t="s">
        <v>2618</v>
      </c>
      <c r="E2278" s="872"/>
      <c r="F2278" s="872"/>
      <c r="G2278" s="872" t="s">
        <v>3293</v>
      </c>
      <c r="H2278" s="913" t="s">
        <v>4734</v>
      </c>
      <c r="I2278" s="220" t="str">
        <f>IF(ISBLANK(global!I755),"",global!I755)</f>
        <v/>
      </c>
      <c r="K2278" s="225" t="s">
        <v>4159</v>
      </c>
      <c r="O2278" s="225" t="s">
        <v>4159</v>
      </c>
    </row>
    <row r="2279" spans="1:15" ht="12.75" customHeight="1" x14ac:dyDescent="0.3">
      <c r="A2279" s="860"/>
      <c r="B2279" s="821"/>
      <c r="C2279" s="821"/>
      <c r="D2279" s="821"/>
      <c r="E2279" s="821" t="s">
        <v>2620</v>
      </c>
      <c r="F2279" s="821"/>
      <c r="G2279" s="872" t="s">
        <v>3294</v>
      </c>
      <c r="H2279" s="821" t="s">
        <v>4744</v>
      </c>
      <c r="I2279" s="220" t="str">
        <f>IF(ISBLANK(global!I756),"",global!I756)</f>
        <v/>
      </c>
      <c r="K2279" s="225" t="s">
        <v>4159</v>
      </c>
      <c r="O2279" s="225" t="s">
        <v>4159</v>
      </c>
    </row>
    <row r="2280" spans="1:15" ht="12.75" customHeight="1" x14ac:dyDescent="0.3">
      <c r="A2280" s="860"/>
      <c r="B2280" s="860" t="s">
        <v>2623</v>
      </c>
      <c r="C2280" s="872"/>
      <c r="D2280" s="872"/>
      <c r="E2280" s="860"/>
      <c r="F2280" s="860"/>
      <c r="G2280" s="894" t="s">
        <v>3295</v>
      </c>
      <c r="H2280" s="821" t="s">
        <v>4735</v>
      </c>
      <c r="I2280" s="220" t="str">
        <f>IF(ISBLANK(global!I757),"",global!I757)</f>
        <v/>
      </c>
      <c r="K2280" s="225" t="s">
        <v>4159</v>
      </c>
      <c r="O2280" s="225" t="s">
        <v>4159</v>
      </c>
    </row>
    <row r="2281" spans="1:15" ht="12.75" customHeight="1" x14ac:dyDescent="0.3">
      <c r="A2281" s="860"/>
      <c r="B2281" s="860" t="s">
        <v>2625</v>
      </c>
      <c r="C2281" s="872"/>
      <c r="D2281" s="872"/>
      <c r="E2281" s="860"/>
      <c r="F2281" s="860"/>
      <c r="G2281" s="894" t="s">
        <v>3296</v>
      </c>
      <c r="H2281" s="821" t="s">
        <v>4735</v>
      </c>
      <c r="I2281" s="220" t="str">
        <f>IF(ISBLANK(global!I758),"",global!I758)</f>
        <v/>
      </c>
      <c r="K2281" s="225" t="s">
        <v>4159</v>
      </c>
      <c r="O2281" s="225" t="s">
        <v>4159</v>
      </c>
    </row>
    <row r="2282" spans="1:15" ht="12.75" customHeight="1" x14ac:dyDescent="0.3">
      <c r="A2282" s="860"/>
      <c r="B2282" s="821"/>
      <c r="C2282" s="860" t="s">
        <v>1244</v>
      </c>
      <c r="D2282" s="860"/>
      <c r="E2282" s="860"/>
      <c r="F2282" s="860"/>
      <c r="G2282" s="860" t="s">
        <v>3297</v>
      </c>
      <c r="H2282" s="913" t="s">
        <v>4734</v>
      </c>
      <c r="I2282" s="220" t="str">
        <f>IF(ISBLANK(global!I759),"",global!I759)</f>
        <v/>
      </c>
      <c r="K2282" s="225" t="s">
        <v>4159</v>
      </c>
      <c r="O2282" s="225" t="s">
        <v>4159</v>
      </c>
    </row>
    <row r="2283" spans="1:15" ht="12.75" customHeight="1" x14ac:dyDescent="0.3">
      <c r="A2283" s="860"/>
      <c r="B2283" s="821"/>
      <c r="C2283" s="860" t="s">
        <v>1246</v>
      </c>
      <c r="D2283" s="860"/>
      <c r="E2283" s="860"/>
      <c r="F2283" s="860"/>
      <c r="G2283" s="860" t="s">
        <v>3298</v>
      </c>
      <c r="H2283" s="913" t="s">
        <v>4734</v>
      </c>
      <c r="I2283" s="220" t="str">
        <f>IF(ISBLANK(global!I760),"",global!I760)</f>
        <v/>
      </c>
      <c r="K2283" s="225" t="s">
        <v>4159</v>
      </c>
      <c r="O2283" s="225" t="s">
        <v>4159</v>
      </c>
    </row>
    <row r="2284" spans="1:15" ht="12.75" customHeight="1" x14ac:dyDescent="0.3">
      <c r="A2284" s="860"/>
      <c r="B2284" s="860"/>
      <c r="C2284" s="860"/>
      <c r="D2284" s="860"/>
      <c r="E2284" s="860"/>
      <c r="F2284" s="860"/>
      <c r="G2284" s="860"/>
      <c r="H2284" s="860"/>
      <c r="I2284" s="220" t="str">
        <f>IF(ISBLANK(global!I761),"",global!I761)</f>
        <v/>
      </c>
      <c r="K2284" s="225" t="s">
        <v>4159</v>
      </c>
      <c r="O2284" s="225" t="s">
        <v>4159</v>
      </c>
    </row>
    <row r="2285" spans="1:15" ht="12.75" customHeight="1" x14ac:dyDescent="0.3">
      <c r="A2285" s="821" t="s">
        <v>2629</v>
      </c>
      <c r="B2285" s="860"/>
      <c r="C2285" s="860"/>
      <c r="D2285" s="860"/>
      <c r="E2285" s="860"/>
      <c r="F2285" s="860"/>
      <c r="G2285" s="821" t="s">
        <v>3299</v>
      </c>
      <c r="H2285" s="821" t="s">
        <v>4690</v>
      </c>
      <c r="I2285" s="220" t="str">
        <f>IF(ISBLANK(global!I762),"",global!I762)</f>
        <v/>
      </c>
      <c r="K2285" s="225" t="s">
        <v>4159</v>
      </c>
      <c r="O2285" s="225" t="s">
        <v>4159</v>
      </c>
    </row>
    <row r="2286" spans="1:15" ht="12.75" customHeight="1" x14ac:dyDescent="0.3">
      <c r="A2286" s="860"/>
      <c r="B2286" s="860"/>
      <c r="C2286" s="872" t="s">
        <v>2631</v>
      </c>
      <c r="D2286" s="860"/>
      <c r="E2286" s="860"/>
      <c r="F2286" s="860"/>
      <c r="G2286" s="872" t="s">
        <v>3300</v>
      </c>
      <c r="H2286" s="913" t="s">
        <v>4734</v>
      </c>
      <c r="I2286" s="220" t="str">
        <f>IF(ISBLANK(global!I763),"",global!I763)</f>
        <v/>
      </c>
      <c r="K2286" s="225" t="s">
        <v>4159</v>
      </c>
      <c r="O2286" s="225" t="s">
        <v>4159</v>
      </c>
    </row>
    <row r="2287" spans="1:15" ht="12.75" customHeight="1" x14ac:dyDescent="0.3">
      <c r="A2287" s="860"/>
      <c r="B2287" s="860"/>
      <c r="C2287" s="821" t="s">
        <v>2633</v>
      </c>
      <c r="D2287" s="860"/>
      <c r="E2287" s="860"/>
      <c r="F2287" s="860"/>
      <c r="G2287" s="872" t="s">
        <v>3301</v>
      </c>
      <c r="H2287" s="821" t="s">
        <v>291</v>
      </c>
      <c r="I2287" s="220" t="str">
        <f>IF(ISBLANK(global!I764),"",global!I764)</f>
        <v/>
      </c>
      <c r="K2287" s="225" t="s">
        <v>4159</v>
      </c>
      <c r="O2287" s="225" t="s">
        <v>4159</v>
      </c>
    </row>
    <row r="2288" spans="1:15" ht="12.75" customHeight="1" x14ac:dyDescent="0.3">
      <c r="A2288" s="821"/>
      <c r="B2288" s="821"/>
      <c r="C2288" s="860" t="s">
        <v>1185</v>
      </c>
      <c r="D2288" s="860"/>
      <c r="E2288" s="872"/>
      <c r="F2288" s="872"/>
      <c r="G2288" s="821" t="s">
        <v>3302</v>
      </c>
      <c r="H2288" s="860" t="s">
        <v>291</v>
      </c>
      <c r="I2288" s="220" t="str">
        <f>IF(ISBLANK(global!I765),"",global!I765)</f>
        <v/>
      </c>
      <c r="K2288" s="225" t="s">
        <v>4159</v>
      </c>
      <c r="O2288" s="225" t="s">
        <v>4159</v>
      </c>
    </row>
    <row r="2289" spans="1:15" ht="12.75" customHeight="1" x14ac:dyDescent="0.3">
      <c r="A2289" s="860"/>
      <c r="B2289" s="860"/>
      <c r="C2289" s="860"/>
      <c r="D2289" s="860"/>
      <c r="E2289" s="860"/>
      <c r="F2289" s="860"/>
      <c r="G2289" s="860"/>
      <c r="H2289" s="821"/>
      <c r="I2289" s="220" t="str">
        <f>IF(ISBLANK(global!I766),"",global!I766)</f>
        <v/>
      </c>
      <c r="K2289" s="225" t="s">
        <v>4159</v>
      </c>
      <c r="O2289" s="225" t="s">
        <v>4159</v>
      </c>
    </row>
    <row r="2290" spans="1:15" ht="12.75" customHeight="1" x14ac:dyDescent="0.3">
      <c r="A2290" s="865" t="s">
        <v>1266</v>
      </c>
      <c r="B2290" s="864"/>
      <c r="C2290" s="864"/>
      <c r="D2290" s="864"/>
      <c r="E2290" s="864"/>
      <c r="F2290" s="864"/>
      <c r="G2290" s="865" t="s">
        <v>258</v>
      </c>
      <c r="H2290" s="865" t="s">
        <v>274</v>
      </c>
      <c r="I2290" s="220" t="str">
        <f>IF(ISBLANK(global!I767),"",global!I767)</f>
        <v>User input</v>
      </c>
      <c r="K2290" s="225" t="s">
        <v>259</v>
      </c>
      <c r="O2290" s="225" t="s">
        <v>259</v>
      </c>
    </row>
    <row r="2291" spans="1:15" ht="12.75" customHeight="1" x14ac:dyDescent="0.3">
      <c r="A2291" s="821"/>
      <c r="B2291" s="860"/>
      <c r="C2291" s="860"/>
      <c r="D2291" s="860"/>
      <c r="E2291" s="860"/>
      <c r="F2291" s="860"/>
      <c r="G2291" s="860"/>
      <c r="H2291" s="821"/>
      <c r="I2291" s="220" t="str">
        <f>IF(ISBLANK(global!I768),"",global!I768)</f>
        <v/>
      </c>
      <c r="K2291" s="225" t="s">
        <v>4159</v>
      </c>
      <c r="O2291" s="225" t="s">
        <v>4159</v>
      </c>
    </row>
    <row r="2292" spans="1:15" ht="12.75" customHeight="1" x14ac:dyDescent="0.3">
      <c r="A2292" s="821" t="s">
        <v>1267</v>
      </c>
      <c r="B2292" s="860"/>
      <c r="C2292" s="860"/>
      <c r="D2292" s="860"/>
      <c r="E2292" s="860"/>
      <c r="F2292" s="860"/>
      <c r="G2292" s="821" t="s">
        <v>3303</v>
      </c>
      <c r="H2292" s="821" t="s">
        <v>4690</v>
      </c>
      <c r="I2292" s="220" t="str">
        <f>IF(ISBLANK(global!I769),"",global!I769)</f>
        <v/>
      </c>
      <c r="K2292" s="225" t="s">
        <v>4159</v>
      </c>
      <c r="O2292" s="225" t="s">
        <v>4159</v>
      </c>
    </row>
    <row r="2293" spans="1:15" ht="12.75" customHeight="1" x14ac:dyDescent="0.3">
      <c r="A2293" s="821" t="s">
        <v>4794</v>
      </c>
      <c r="B2293" s="860"/>
      <c r="C2293" s="860"/>
      <c r="D2293" s="860"/>
      <c r="E2293" s="860"/>
      <c r="F2293" s="860"/>
      <c r="G2293" s="821" t="s">
        <v>3304</v>
      </c>
      <c r="H2293" s="821" t="s">
        <v>4690</v>
      </c>
      <c r="I2293" s="220" t="str">
        <f>IF(ISBLANK(global!I770),"",global!I770)</f>
        <v/>
      </c>
      <c r="K2293" s="225" t="s">
        <v>4159</v>
      </c>
      <c r="O2293" s="225" t="s">
        <v>4159</v>
      </c>
    </row>
    <row r="2294" spans="1:15" ht="12.75" customHeight="1" x14ac:dyDescent="0.3">
      <c r="A2294" s="821" t="s">
        <v>2638</v>
      </c>
      <c r="B2294" s="860"/>
      <c r="C2294" s="860"/>
      <c r="D2294" s="860"/>
      <c r="E2294" s="860"/>
      <c r="F2294" s="860"/>
      <c r="G2294" s="821" t="s">
        <v>3305</v>
      </c>
      <c r="H2294" s="821" t="s">
        <v>4690</v>
      </c>
      <c r="I2294" s="220" t="str">
        <f>IF(ISBLANK(global!I771),"",global!I771)</f>
        <v/>
      </c>
      <c r="K2294" s="225" t="s">
        <v>4159</v>
      </c>
      <c r="O2294" s="225" t="s">
        <v>4159</v>
      </c>
    </row>
    <row r="2295" spans="1:15" ht="12.75" customHeight="1" x14ac:dyDescent="0.3">
      <c r="A2295" s="821" t="s">
        <v>2640</v>
      </c>
      <c r="B2295" s="860"/>
      <c r="C2295" s="860"/>
      <c r="D2295" s="860"/>
      <c r="E2295" s="860"/>
      <c r="F2295" s="860"/>
      <c r="G2295" s="821" t="s">
        <v>3306</v>
      </c>
      <c r="H2295" s="821" t="s">
        <v>4690</v>
      </c>
      <c r="I2295" s="220" t="str">
        <f>IF(ISBLANK(global!I772),"",global!I772)</f>
        <v/>
      </c>
      <c r="K2295" s="225" t="s">
        <v>4159</v>
      </c>
      <c r="O2295" s="225" t="s">
        <v>4159</v>
      </c>
    </row>
    <row r="2296" spans="1:15" ht="12.75" customHeight="1" x14ac:dyDescent="0.3">
      <c r="A2296" s="821" t="s">
        <v>2642</v>
      </c>
      <c r="B2296" s="860"/>
      <c r="C2296" s="860"/>
      <c r="D2296" s="860"/>
      <c r="E2296" s="860"/>
      <c r="F2296" s="860"/>
      <c r="G2296" s="821" t="s">
        <v>3307</v>
      </c>
      <c r="H2296" s="821" t="s">
        <v>4690</v>
      </c>
      <c r="I2296" s="220" t="str">
        <f>IF(ISBLANK(global!I773),"",global!I773)</f>
        <v/>
      </c>
      <c r="K2296" s="225" t="s">
        <v>4159</v>
      </c>
      <c r="O2296" s="225" t="s">
        <v>4159</v>
      </c>
    </row>
    <row r="2297" spans="1:15" ht="12.75" customHeight="1" x14ac:dyDescent="0.3">
      <c r="A2297" s="821"/>
      <c r="B2297" s="821" t="s">
        <v>1278</v>
      </c>
      <c r="C2297" s="872"/>
      <c r="D2297" s="860"/>
      <c r="E2297" s="860"/>
      <c r="F2297" s="860"/>
      <c r="G2297" s="872" t="s">
        <v>3308</v>
      </c>
      <c r="H2297" s="821" t="s">
        <v>4690</v>
      </c>
      <c r="I2297" s="220" t="str">
        <f>IF(ISBLANK(global!I774),"",global!I774)</f>
        <v/>
      </c>
      <c r="K2297" s="225" t="s">
        <v>4159</v>
      </c>
      <c r="O2297" s="225" t="s">
        <v>4159</v>
      </c>
    </row>
    <row r="2298" spans="1:15" ht="12.75" customHeight="1" x14ac:dyDescent="0.3">
      <c r="A2298" s="821"/>
      <c r="B2298" s="821" t="s">
        <v>1280</v>
      </c>
      <c r="C2298" s="860"/>
      <c r="D2298" s="860"/>
      <c r="E2298" s="860"/>
      <c r="F2298" s="860"/>
      <c r="G2298" s="821" t="s">
        <v>3309</v>
      </c>
      <c r="H2298" s="821" t="s">
        <v>4690</v>
      </c>
      <c r="I2298" s="220" t="str">
        <f>IF(ISBLANK(global!I775),"",global!I775)</f>
        <v/>
      </c>
      <c r="K2298" s="225" t="s">
        <v>4159</v>
      </c>
      <c r="O2298" s="225" t="s">
        <v>4159</v>
      </c>
    </row>
    <row r="2299" spans="1:15" ht="12.75" customHeight="1" x14ac:dyDescent="0.3">
      <c r="A2299" s="872"/>
      <c r="B2299" s="872"/>
      <c r="C2299" s="821" t="s">
        <v>3310</v>
      </c>
      <c r="D2299" s="860"/>
      <c r="E2299" s="860"/>
      <c r="F2299" s="860"/>
      <c r="G2299" s="821" t="s">
        <v>3311</v>
      </c>
      <c r="H2299" s="821" t="s">
        <v>4757</v>
      </c>
      <c r="I2299" s="220" t="str">
        <f>IF(ISBLANK(global!I776),"",global!I776)</f>
        <v/>
      </c>
      <c r="K2299" s="225" t="s">
        <v>4159</v>
      </c>
      <c r="O2299" s="225" t="s">
        <v>4159</v>
      </c>
    </row>
    <row r="2300" spans="1:15" ht="12.75" customHeight="1" x14ac:dyDescent="0.3">
      <c r="A2300" s="872"/>
      <c r="B2300" s="872"/>
      <c r="C2300" s="821" t="s">
        <v>2122</v>
      </c>
      <c r="D2300" s="860"/>
      <c r="E2300" s="860"/>
      <c r="F2300" s="860"/>
      <c r="G2300" s="821" t="s">
        <v>3312</v>
      </c>
      <c r="H2300" s="821" t="s">
        <v>291</v>
      </c>
      <c r="I2300" s="220" t="str">
        <f>IF(ISBLANK(global!I777),"",global!I777)</f>
        <v/>
      </c>
      <c r="K2300" s="225" t="s">
        <v>4159</v>
      </c>
      <c r="O2300" s="225" t="s">
        <v>4159</v>
      </c>
    </row>
    <row r="2301" spans="1:15" ht="12.75" customHeight="1" x14ac:dyDescent="0.3">
      <c r="A2301" s="821"/>
      <c r="B2301" s="821" t="s">
        <v>4795</v>
      </c>
      <c r="C2301" s="860"/>
      <c r="D2301" s="860"/>
      <c r="E2301" s="860"/>
      <c r="F2301" s="860"/>
      <c r="G2301" s="821" t="s">
        <v>3313</v>
      </c>
      <c r="H2301" s="821" t="s">
        <v>4690</v>
      </c>
      <c r="I2301" s="220" t="str">
        <f>IF(ISBLANK(global!I778),"",global!I778)</f>
        <v/>
      </c>
      <c r="K2301" s="225" t="s">
        <v>4159</v>
      </c>
      <c r="O2301" s="225" t="s">
        <v>4159</v>
      </c>
    </row>
    <row r="2302" spans="1:15" ht="12.75" customHeight="1" x14ac:dyDescent="0.3">
      <c r="A2302" s="821"/>
      <c r="B2302" s="821" t="s">
        <v>2650</v>
      </c>
      <c r="C2302" s="860"/>
      <c r="D2302" s="860"/>
      <c r="E2302" s="860"/>
      <c r="F2302" s="860"/>
      <c r="G2302" s="821" t="s">
        <v>3314</v>
      </c>
      <c r="H2302" s="821" t="s">
        <v>4690</v>
      </c>
      <c r="I2302" s="220" t="str">
        <f>IF(ISBLANK(global!I779),"",global!I779)</f>
        <v/>
      </c>
      <c r="K2302" s="225" t="s">
        <v>4159</v>
      </c>
      <c r="O2302" s="225" t="s">
        <v>4159</v>
      </c>
    </row>
    <row r="2303" spans="1:15" ht="12.75" customHeight="1" x14ac:dyDescent="0.3">
      <c r="A2303" s="821"/>
      <c r="B2303" s="821"/>
      <c r="C2303" s="821" t="s">
        <v>4796</v>
      </c>
      <c r="D2303" s="860"/>
      <c r="E2303" s="860"/>
      <c r="F2303" s="860"/>
      <c r="G2303" s="872" t="s">
        <v>3315</v>
      </c>
      <c r="H2303" s="821" t="s">
        <v>1295</v>
      </c>
      <c r="I2303" s="220" t="str">
        <f>IF(ISBLANK(global!I780),"",global!I780)</f>
        <v/>
      </c>
      <c r="K2303" s="225" t="s">
        <v>4159</v>
      </c>
      <c r="O2303" s="225" t="s">
        <v>4159</v>
      </c>
    </row>
    <row r="2304" spans="1:15" ht="12.75" customHeight="1" x14ac:dyDescent="0.3">
      <c r="A2304" s="821"/>
      <c r="B2304" s="821"/>
      <c r="C2304" s="821" t="s">
        <v>3005</v>
      </c>
      <c r="D2304" s="860"/>
      <c r="E2304" s="860"/>
      <c r="F2304" s="860"/>
      <c r="G2304" s="872" t="s">
        <v>3316</v>
      </c>
      <c r="H2304" s="821" t="s">
        <v>1295</v>
      </c>
      <c r="I2304" s="220" t="str">
        <f>IF(ISBLANK(global!I781),"",global!I781)</f>
        <v/>
      </c>
      <c r="K2304" s="225" t="s">
        <v>4159</v>
      </c>
      <c r="O2304" s="225" t="s">
        <v>4159</v>
      </c>
    </row>
    <row r="2305" spans="1:15" ht="12.75" customHeight="1" x14ac:dyDescent="0.3">
      <c r="A2305" s="872"/>
      <c r="B2305" s="872"/>
      <c r="C2305" s="821" t="s">
        <v>1301</v>
      </c>
      <c r="D2305" s="860"/>
      <c r="E2305" s="860"/>
      <c r="F2305" s="860"/>
      <c r="G2305" s="821" t="s">
        <v>3317</v>
      </c>
      <c r="H2305" s="821" t="s">
        <v>291</v>
      </c>
      <c r="I2305" s="220" t="str">
        <f>IF(ISBLANK(global!I782),"",global!I782)</f>
        <v/>
      </c>
      <c r="K2305" s="225" t="s">
        <v>4159</v>
      </c>
      <c r="O2305" s="225" t="s">
        <v>4159</v>
      </c>
    </row>
    <row r="2306" spans="1:15" ht="12.75" customHeight="1" x14ac:dyDescent="0.3">
      <c r="A2306" s="821"/>
      <c r="B2306" s="821" t="s">
        <v>2656</v>
      </c>
      <c r="C2306" s="860"/>
      <c r="D2306" s="860"/>
      <c r="E2306" s="860"/>
      <c r="F2306" s="860"/>
      <c r="G2306" s="821" t="s">
        <v>3318</v>
      </c>
      <c r="H2306" s="821" t="s">
        <v>4690</v>
      </c>
      <c r="I2306" s="220" t="str">
        <f>IF(ISBLANK(global!I783),"",global!I783)</f>
        <v/>
      </c>
      <c r="K2306" s="225" t="s">
        <v>4159</v>
      </c>
      <c r="O2306" s="225" t="s">
        <v>4159</v>
      </c>
    </row>
    <row r="2307" spans="1:15" ht="12.75" customHeight="1" x14ac:dyDescent="0.3">
      <c r="A2307" s="821"/>
      <c r="B2307" s="821" t="s">
        <v>2658</v>
      </c>
      <c r="C2307" s="860"/>
      <c r="D2307" s="860"/>
      <c r="E2307" s="860"/>
      <c r="F2307" s="860"/>
      <c r="G2307" s="821" t="s">
        <v>3319</v>
      </c>
      <c r="H2307" s="821" t="s">
        <v>4690</v>
      </c>
      <c r="I2307" s="220" t="str">
        <f>IF(ISBLANK(global!I784),"",global!I784)</f>
        <v/>
      </c>
      <c r="K2307" s="225" t="s">
        <v>4159</v>
      </c>
      <c r="O2307" s="225" t="s">
        <v>4159</v>
      </c>
    </row>
    <row r="2308" spans="1:15" ht="12.75" customHeight="1" x14ac:dyDescent="0.3">
      <c r="A2308" s="860"/>
      <c r="B2308" s="860"/>
      <c r="C2308" s="821" t="s">
        <v>2660</v>
      </c>
      <c r="D2308" s="860"/>
      <c r="E2308" s="860"/>
      <c r="F2308" s="860"/>
      <c r="G2308" s="872" t="s">
        <v>3320</v>
      </c>
      <c r="H2308" s="821" t="s">
        <v>291</v>
      </c>
      <c r="I2308" s="220" t="str">
        <f>IF(ISBLANK(global!I785),"",global!I785)</f>
        <v/>
      </c>
      <c r="K2308" s="225" t="s">
        <v>4159</v>
      </c>
      <c r="O2308" s="225" t="s">
        <v>4159</v>
      </c>
    </row>
    <row r="2309" spans="1:15" ht="12.75" customHeight="1" x14ac:dyDescent="0.3">
      <c r="A2309" s="821"/>
      <c r="B2309" s="821"/>
      <c r="C2309" s="860" t="s">
        <v>1185</v>
      </c>
      <c r="D2309" s="860"/>
      <c r="E2309" s="872"/>
      <c r="F2309" s="872"/>
      <c r="G2309" s="821" t="s">
        <v>3321</v>
      </c>
      <c r="H2309" s="860" t="s">
        <v>291</v>
      </c>
      <c r="I2309" s="220" t="str">
        <f>IF(ISBLANK(global!I786),"",global!I786)</f>
        <v/>
      </c>
      <c r="K2309" s="225" t="s">
        <v>4159</v>
      </c>
      <c r="O2309" s="225" t="s">
        <v>4159</v>
      </c>
    </row>
    <row r="2310" spans="1:15" ht="12.75" customHeight="1" x14ac:dyDescent="0.3">
      <c r="A2310" s="895"/>
      <c r="B2310" s="895"/>
      <c r="C2310" s="895"/>
      <c r="D2310" s="895"/>
      <c r="E2310" s="895"/>
      <c r="F2310" s="895"/>
      <c r="G2310" s="895"/>
      <c r="H2310" s="932"/>
      <c r="I2310" s="220" t="str">
        <f>IF(ISBLANK(global!I787),"",global!I787)</f>
        <v/>
      </c>
      <c r="K2310" s="225" t="s">
        <v>4159</v>
      </c>
      <c r="O2310" s="225" t="s">
        <v>4159</v>
      </c>
    </row>
    <row r="2311" spans="1:15" ht="12.75" customHeight="1" x14ac:dyDescent="0.3">
      <c r="A2311" s="785" t="s">
        <v>1325</v>
      </c>
      <c r="B2311" s="784"/>
      <c r="C2311" s="784"/>
      <c r="D2311" s="784"/>
      <c r="E2311" s="784"/>
      <c r="F2311" s="784"/>
      <c r="G2311" s="785" t="s">
        <v>258</v>
      </c>
      <c r="H2311" s="785" t="s">
        <v>274</v>
      </c>
      <c r="I2311" s="220" t="str">
        <f>IF(ISBLANK(global!I788),"",global!I788)</f>
        <v>User input</v>
      </c>
      <c r="K2311" s="225" t="s">
        <v>259</v>
      </c>
      <c r="O2311" s="225" t="s">
        <v>259</v>
      </c>
    </row>
    <row r="2312" spans="1:15" ht="12.75" customHeight="1" x14ac:dyDescent="0.3">
      <c r="A2312" s="352" t="s">
        <v>3322</v>
      </c>
      <c r="B2312" s="352"/>
      <c r="C2312" s="352"/>
      <c r="D2312" s="352"/>
      <c r="E2312" s="352"/>
      <c r="F2312" s="352"/>
      <c r="G2312" s="520"/>
      <c r="H2312" s="520"/>
      <c r="I2312" s="220" t="str">
        <f>IF(ISBLANK(global!I789),"",global!I789)</f>
        <v/>
      </c>
      <c r="K2312" s="225" t="s">
        <v>4159</v>
      </c>
      <c r="O2312" s="225" t="s">
        <v>4159</v>
      </c>
    </row>
    <row r="2313" spans="1:15" ht="12.75" customHeight="1" x14ac:dyDescent="0.3">
      <c r="A2313" s="797" t="s">
        <v>1329</v>
      </c>
      <c r="B2313" s="797"/>
      <c r="C2313" s="797"/>
      <c r="D2313" s="797"/>
      <c r="E2313" s="797"/>
      <c r="F2313" s="797"/>
      <c r="G2313" s="797" t="s">
        <v>3323</v>
      </c>
      <c r="H2313" s="796" t="s">
        <v>335</v>
      </c>
      <c r="I2313" s="220" t="str">
        <f>IF(ISBLANK(global!I790),"",global!I790)</f>
        <v/>
      </c>
      <c r="K2313" s="225" t="s">
        <v>4159</v>
      </c>
      <c r="O2313" s="225" t="s">
        <v>4159</v>
      </c>
    </row>
    <row r="2314" spans="1:15" ht="12.75" customHeight="1" x14ac:dyDescent="0.3">
      <c r="A2314" s="797"/>
      <c r="B2314" s="797" t="s">
        <v>1332</v>
      </c>
      <c r="C2314" s="797"/>
      <c r="D2314" s="797"/>
      <c r="E2314" s="797"/>
      <c r="F2314" s="797"/>
      <c r="G2314" s="797" t="s">
        <v>3324</v>
      </c>
      <c r="H2314" s="797" t="s">
        <v>335</v>
      </c>
      <c r="I2314" s="220" t="str">
        <f>IF(ISBLANK(global!I791),"",global!I791)</f>
        <v/>
      </c>
      <c r="K2314" s="225" t="s">
        <v>4159</v>
      </c>
      <c r="O2314" s="225" t="s">
        <v>4159</v>
      </c>
    </row>
    <row r="2315" spans="1:15" ht="12.75" customHeight="1" x14ac:dyDescent="0.3">
      <c r="A2315" s="797"/>
      <c r="B2315" s="797"/>
      <c r="C2315" s="797" t="s">
        <v>706</v>
      </c>
      <c r="D2315" s="797"/>
      <c r="E2315" s="797"/>
      <c r="F2315" s="797"/>
      <c r="G2315" s="797" t="s">
        <v>3325</v>
      </c>
      <c r="H2315" s="796" t="s">
        <v>708</v>
      </c>
      <c r="I2315" s="220" t="str">
        <f>IF(ISBLANK(global!I792),"",global!I792)</f>
        <v/>
      </c>
      <c r="K2315" s="225" t="s">
        <v>4159</v>
      </c>
      <c r="O2315" s="225" t="s">
        <v>4159</v>
      </c>
    </row>
    <row r="2316" spans="1:15" ht="12.75" customHeight="1" x14ac:dyDescent="0.3">
      <c r="A2316" s="797"/>
      <c r="B2316" s="797"/>
      <c r="C2316" s="797" t="s">
        <v>1339</v>
      </c>
      <c r="D2316" s="797"/>
      <c r="E2316" s="797"/>
      <c r="F2316" s="797"/>
      <c r="G2316" s="796" t="s">
        <v>3326</v>
      </c>
      <c r="H2316" s="796" t="s">
        <v>866</v>
      </c>
      <c r="I2316" s="220" t="str">
        <f>IF(ISBLANK(global!I793),"",global!I793)</f>
        <v/>
      </c>
      <c r="K2316" s="225" t="s">
        <v>4159</v>
      </c>
      <c r="O2316" s="225" t="s">
        <v>4159</v>
      </c>
    </row>
    <row r="2317" spans="1:15" ht="12.75" customHeight="1" x14ac:dyDescent="0.3">
      <c r="A2317" s="797"/>
      <c r="B2317" s="797"/>
      <c r="C2317" s="797" t="s">
        <v>1337</v>
      </c>
      <c r="D2317" s="797"/>
      <c r="E2317" s="797"/>
      <c r="F2317" s="797"/>
      <c r="G2317" s="797" t="s">
        <v>3327</v>
      </c>
      <c r="H2317" s="797" t="s">
        <v>900</v>
      </c>
      <c r="I2317" s="220" t="str">
        <f>IF(ISBLANK(global!I794),"",global!I794)</f>
        <v/>
      </c>
      <c r="K2317" s="225" t="s">
        <v>4159</v>
      </c>
      <c r="O2317" s="225" t="s">
        <v>4159</v>
      </c>
    </row>
    <row r="2318" spans="1:15" ht="12.75" customHeight="1" x14ac:dyDescent="0.3">
      <c r="A2318" s="797"/>
      <c r="B2318" s="797"/>
      <c r="C2318" s="797" t="s">
        <v>1334</v>
      </c>
      <c r="D2318" s="797"/>
      <c r="E2318" s="797"/>
      <c r="F2318" s="797"/>
      <c r="G2318" s="796" t="s">
        <v>3328</v>
      </c>
      <c r="H2318" s="796" t="s">
        <v>291</v>
      </c>
      <c r="I2318" s="220" t="str">
        <f>IF(ISBLANK(global!I795),"",global!I795)</f>
        <v/>
      </c>
      <c r="K2318" s="225" t="s">
        <v>4159</v>
      </c>
      <c r="O2318" s="225" t="s">
        <v>4159</v>
      </c>
    </row>
    <row r="2319" spans="1:15" ht="12.75" customHeight="1" x14ac:dyDescent="0.3">
      <c r="A2319" s="797" t="s">
        <v>1341</v>
      </c>
      <c r="B2319" s="797"/>
      <c r="C2319" s="797"/>
      <c r="D2319" s="797"/>
      <c r="E2319" s="797"/>
      <c r="F2319" s="797"/>
      <c r="G2319" s="797" t="s">
        <v>3329</v>
      </c>
      <c r="H2319" s="797" t="s">
        <v>335</v>
      </c>
      <c r="I2319" s="220" t="str">
        <f>IF(ISBLANK(global!I796),"",global!I796)</f>
        <v/>
      </c>
      <c r="K2319" s="225" t="s">
        <v>4159</v>
      </c>
      <c r="O2319" s="225" t="s">
        <v>4159</v>
      </c>
    </row>
    <row r="2320" spans="1:15" ht="12.75" customHeight="1" x14ac:dyDescent="0.3">
      <c r="A2320" s="797"/>
      <c r="B2320" s="797"/>
      <c r="C2320" s="797" t="s">
        <v>710</v>
      </c>
      <c r="D2320" s="797"/>
      <c r="E2320" s="797"/>
      <c r="F2320" s="797"/>
      <c r="G2320" s="797" t="s">
        <v>3330</v>
      </c>
      <c r="H2320" s="796" t="s">
        <v>708</v>
      </c>
      <c r="I2320" s="220" t="str">
        <f>IF(ISBLANK(global!I797),"",global!I797)</f>
        <v/>
      </c>
      <c r="K2320" s="225" t="s">
        <v>4159</v>
      </c>
      <c r="O2320" s="225" t="s">
        <v>4159</v>
      </c>
    </row>
    <row r="2321" spans="1:15" ht="12.75" customHeight="1" x14ac:dyDescent="0.3">
      <c r="A2321" s="797"/>
      <c r="B2321" s="797"/>
      <c r="C2321" s="797" t="s">
        <v>1343</v>
      </c>
      <c r="D2321" s="797"/>
      <c r="E2321" s="797"/>
      <c r="F2321" s="797"/>
      <c r="G2321" s="796" t="s">
        <v>3331</v>
      </c>
      <c r="H2321" s="796" t="s">
        <v>866</v>
      </c>
      <c r="I2321" s="220" t="str">
        <f>IF(ISBLANK(global!I798),"",global!I798)</f>
        <v/>
      </c>
      <c r="K2321" s="225" t="s">
        <v>4159</v>
      </c>
      <c r="O2321" s="225" t="s">
        <v>4159</v>
      </c>
    </row>
    <row r="2322" spans="1:15" ht="12.75" customHeight="1" x14ac:dyDescent="0.3">
      <c r="A2322" s="797"/>
      <c r="B2322" s="797"/>
      <c r="C2322" s="797" t="s">
        <v>1345</v>
      </c>
      <c r="D2322" s="797"/>
      <c r="E2322" s="797"/>
      <c r="F2322" s="797"/>
      <c r="G2322" s="797" t="s">
        <v>3332</v>
      </c>
      <c r="H2322" s="797" t="s">
        <v>900</v>
      </c>
      <c r="I2322" s="220" t="str">
        <f>IF(ISBLANK(global!I799),"",global!I799)</f>
        <v/>
      </c>
      <c r="K2322" s="225" t="s">
        <v>4159</v>
      </c>
      <c r="O2322" s="225" t="s">
        <v>4159</v>
      </c>
    </row>
    <row r="2323" spans="1:15" ht="12.75" customHeight="1" x14ac:dyDescent="0.3">
      <c r="A2323" s="797"/>
      <c r="B2323" s="797"/>
      <c r="C2323" s="797" t="s">
        <v>1347</v>
      </c>
      <c r="D2323" s="797"/>
      <c r="E2323" s="797"/>
      <c r="F2323" s="797"/>
      <c r="G2323" s="796" t="s">
        <v>3333</v>
      </c>
      <c r="H2323" s="796" t="s">
        <v>291</v>
      </c>
      <c r="I2323" s="220" t="str">
        <f>IF(ISBLANK(global!I800),"",global!I800)</f>
        <v/>
      </c>
      <c r="K2323" s="225" t="s">
        <v>4159</v>
      </c>
      <c r="O2323" s="225" t="s">
        <v>4159</v>
      </c>
    </row>
    <row r="2324" spans="1:15" ht="12.75" customHeight="1" x14ac:dyDescent="0.3">
      <c r="A2324" s="797" t="s">
        <v>1349</v>
      </c>
      <c r="B2324" s="797"/>
      <c r="C2324" s="797"/>
      <c r="D2324" s="797"/>
      <c r="E2324" s="797"/>
      <c r="F2324" s="797"/>
      <c r="G2324" s="796" t="s">
        <v>3334</v>
      </c>
      <c r="H2324" s="796" t="s">
        <v>335</v>
      </c>
      <c r="I2324" s="220" t="str">
        <f>IF(ISBLANK(global!I801),"",global!I801)</f>
        <v/>
      </c>
      <c r="K2324" s="225" t="s">
        <v>4159</v>
      </c>
      <c r="O2324" s="225" t="s">
        <v>4159</v>
      </c>
    </row>
    <row r="2325" spans="1:15" ht="12.75" customHeight="1" x14ac:dyDescent="0.3">
      <c r="A2325" s="797"/>
      <c r="B2325" s="797" t="s">
        <v>712</v>
      </c>
      <c r="C2325" s="797"/>
      <c r="D2325" s="797"/>
      <c r="E2325" s="797"/>
      <c r="F2325" s="797"/>
      <c r="G2325" s="797" t="s">
        <v>3335</v>
      </c>
      <c r="H2325" s="796" t="s">
        <v>708</v>
      </c>
      <c r="I2325" s="220" t="str">
        <f>IF(ISBLANK(global!I802),"",global!I802)</f>
        <v/>
      </c>
      <c r="K2325" s="225" t="s">
        <v>4159</v>
      </c>
      <c r="O2325" s="225" t="s">
        <v>4159</v>
      </c>
    </row>
    <row r="2326" spans="1:15" ht="12.75" customHeight="1" x14ac:dyDescent="0.3">
      <c r="A2326" s="797"/>
      <c r="B2326" s="797" t="s">
        <v>1351</v>
      </c>
      <c r="C2326" s="797"/>
      <c r="D2326" s="797"/>
      <c r="E2326" s="797"/>
      <c r="F2326" s="797"/>
      <c r="G2326" s="796" t="s">
        <v>3336</v>
      </c>
      <c r="H2326" s="796" t="s">
        <v>866</v>
      </c>
      <c r="I2326" s="220" t="str">
        <f>IF(ISBLANK(global!I803),"",global!I803)</f>
        <v/>
      </c>
      <c r="K2326" s="225" t="s">
        <v>4159</v>
      </c>
      <c r="O2326" s="225" t="s">
        <v>4159</v>
      </c>
    </row>
    <row r="2327" spans="1:15" ht="12.75" customHeight="1" x14ac:dyDescent="0.3">
      <c r="A2327" s="797"/>
      <c r="B2327" s="797" t="s">
        <v>1353</v>
      </c>
      <c r="C2327" s="797"/>
      <c r="D2327" s="797"/>
      <c r="E2327" s="797"/>
      <c r="F2327" s="797"/>
      <c r="G2327" s="797" t="s">
        <v>3337</v>
      </c>
      <c r="H2327" s="797" t="s">
        <v>900</v>
      </c>
      <c r="I2327" s="220" t="str">
        <f>IF(ISBLANK(global!I804),"",global!I804)</f>
        <v/>
      </c>
      <c r="K2327" s="225" t="s">
        <v>4159</v>
      </c>
      <c r="O2327" s="225" t="s">
        <v>4159</v>
      </c>
    </row>
    <row r="2328" spans="1:15" ht="12.75" customHeight="1" x14ac:dyDescent="0.3">
      <c r="A2328" s="797"/>
      <c r="B2328" s="797" t="s">
        <v>1355</v>
      </c>
      <c r="C2328" s="797"/>
      <c r="D2328" s="797"/>
      <c r="E2328" s="797"/>
      <c r="F2328" s="797"/>
      <c r="G2328" s="796" t="s">
        <v>3338</v>
      </c>
      <c r="H2328" s="796" t="s">
        <v>291</v>
      </c>
      <c r="I2328" s="220" t="str">
        <f>IF(ISBLANK(global!I805),"",global!I805)</f>
        <v/>
      </c>
      <c r="K2328" s="225" t="s">
        <v>4159</v>
      </c>
      <c r="O2328" s="225" t="s">
        <v>4159</v>
      </c>
    </row>
    <row r="2329" spans="1:15" ht="12.75" customHeight="1" x14ac:dyDescent="0.3">
      <c r="A2329" s="352" t="s">
        <v>3339</v>
      </c>
      <c r="B2329" s="352"/>
      <c r="C2329" s="352"/>
      <c r="D2329" s="352"/>
      <c r="E2329" s="352"/>
      <c r="F2329" s="352"/>
      <c r="G2329" s="520"/>
      <c r="H2329" s="520"/>
      <c r="I2329" s="220" t="str">
        <f>IF(ISBLANK(global!I806),"",global!I806)</f>
        <v/>
      </c>
      <c r="K2329" s="225" t="s">
        <v>4159</v>
      </c>
      <c r="O2329" s="225" t="s">
        <v>4159</v>
      </c>
    </row>
    <row r="2330" spans="1:15" ht="12.75" customHeight="1" x14ac:dyDescent="0.3">
      <c r="A2330" s="797" t="s">
        <v>1380</v>
      </c>
      <c r="B2330" s="797"/>
      <c r="C2330" s="797"/>
      <c r="D2330" s="797"/>
      <c r="E2330" s="797"/>
      <c r="F2330" s="797"/>
      <c r="G2330" s="796" t="s">
        <v>3340</v>
      </c>
      <c r="H2330" s="796" t="s">
        <v>335</v>
      </c>
      <c r="I2330" s="220" t="str">
        <f>IF(ISBLANK(global!I807),"",global!I807)</f>
        <v/>
      </c>
      <c r="K2330" s="225" t="s">
        <v>4159</v>
      </c>
      <c r="O2330" s="225" t="s">
        <v>4159</v>
      </c>
    </row>
    <row r="2331" spans="1:15" ht="12.75" customHeight="1" x14ac:dyDescent="0.3">
      <c r="A2331" s="797"/>
      <c r="B2331" s="797" t="s">
        <v>1382</v>
      </c>
      <c r="C2331" s="797"/>
      <c r="D2331" s="797"/>
      <c r="E2331" s="797"/>
      <c r="F2331" s="797"/>
      <c r="G2331" s="796" t="s">
        <v>3341</v>
      </c>
      <c r="H2331" s="796" t="s">
        <v>708</v>
      </c>
      <c r="I2331" s="220" t="str">
        <f>IF(ISBLANK(global!I808),"",global!I808)</f>
        <v/>
      </c>
      <c r="K2331" s="225" t="s">
        <v>4159</v>
      </c>
      <c r="O2331" s="225" t="s">
        <v>4159</v>
      </c>
    </row>
    <row r="2332" spans="1:15" ht="12.75" customHeight="1" x14ac:dyDescent="0.3">
      <c r="A2332" s="797"/>
      <c r="B2332" s="797" t="s">
        <v>1385</v>
      </c>
      <c r="C2332" s="797"/>
      <c r="D2332" s="797"/>
      <c r="E2332" s="797"/>
      <c r="F2332" s="797"/>
      <c r="G2332" s="796" t="s">
        <v>3342</v>
      </c>
      <c r="H2332" s="796" t="s">
        <v>335</v>
      </c>
      <c r="I2332" s="220" t="str">
        <f>IF(ISBLANK(global!I809),"",global!I809)</f>
        <v/>
      </c>
      <c r="K2332" s="225" t="s">
        <v>4159</v>
      </c>
      <c r="O2332" s="225" t="s">
        <v>4159</v>
      </c>
    </row>
    <row r="2333" spans="1:15" ht="12.75" customHeight="1" x14ac:dyDescent="0.3">
      <c r="A2333" s="797"/>
      <c r="B2333" s="797"/>
      <c r="C2333" s="797" t="s">
        <v>1364</v>
      </c>
      <c r="D2333" s="797"/>
      <c r="E2333" s="797"/>
      <c r="F2333" s="797"/>
      <c r="G2333" s="796" t="s">
        <v>3343</v>
      </c>
      <c r="H2333" s="796" t="s">
        <v>335</v>
      </c>
      <c r="I2333" s="220" t="str">
        <f>IF(ISBLANK(global!I810),"",global!I810)</f>
        <v/>
      </c>
      <c r="K2333" s="225" t="s">
        <v>4159</v>
      </c>
      <c r="O2333" s="225" t="s">
        <v>4159</v>
      </c>
    </row>
    <row r="2334" spans="1:15" ht="12.75" customHeight="1" x14ac:dyDescent="0.3">
      <c r="A2334" s="797"/>
      <c r="B2334" s="797"/>
      <c r="C2334" s="797"/>
      <c r="D2334" s="797" t="s">
        <v>1388</v>
      </c>
      <c r="E2334" s="797"/>
      <c r="F2334" s="797"/>
      <c r="G2334" s="796" t="s">
        <v>3344</v>
      </c>
      <c r="H2334" s="796" t="s">
        <v>335</v>
      </c>
      <c r="I2334" s="220" t="str">
        <f>IF(ISBLANK(global!I811),"",global!I811)</f>
        <v/>
      </c>
      <c r="K2334" s="225" t="s">
        <v>4159</v>
      </c>
      <c r="O2334" s="225" t="s">
        <v>4159</v>
      </c>
    </row>
    <row r="2335" spans="1:15" ht="12.75" customHeight="1" x14ac:dyDescent="0.3">
      <c r="A2335" s="797" t="s">
        <v>1380</v>
      </c>
      <c r="B2335" s="797"/>
      <c r="C2335" s="797"/>
      <c r="D2335" s="797"/>
      <c r="E2335" s="797"/>
      <c r="F2335" s="797"/>
      <c r="G2335" s="796" t="s">
        <v>3345</v>
      </c>
      <c r="H2335" s="796" t="s">
        <v>335</v>
      </c>
      <c r="I2335" s="220" t="str">
        <f>IF(ISBLANK(global!I812),"",global!I812)</f>
        <v/>
      </c>
      <c r="K2335" s="225" t="s">
        <v>4159</v>
      </c>
      <c r="O2335" s="225" t="s">
        <v>4159</v>
      </c>
    </row>
    <row r="2336" spans="1:15" ht="12.75" customHeight="1" x14ac:dyDescent="0.3">
      <c r="A2336" s="797"/>
      <c r="B2336" s="797" t="s">
        <v>1382</v>
      </c>
      <c r="C2336" s="797"/>
      <c r="D2336" s="797"/>
      <c r="E2336" s="797"/>
      <c r="F2336" s="797"/>
      <c r="G2336" s="796" t="s">
        <v>3346</v>
      </c>
      <c r="H2336" s="796" t="s">
        <v>708</v>
      </c>
      <c r="I2336" s="220" t="str">
        <f>IF(ISBLANK(global!I813),"",global!I813)</f>
        <v/>
      </c>
      <c r="K2336" s="225" t="s">
        <v>4159</v>
      </c>
      <c r="O2336" s="225" t="s">
        <v>4159</v>
      </c>
    </row>
    <row r="2337" spans="1:15" ht="12.75" customHeight="1" x14ac:dyDescent="0.3">
      <c r="A2337" s="797"/>
      <c r="B2337" s="797" t="s">
        <v>1385</v>
      </c>
      <c r="C2337" s="797"/>
      <c r="D2337" s="797"/>
      <c r="E2337" s="797"/>
      <c r="F2337" s="797"/>
      <c r="G2337" s="796" t="s">
        <v>3347</v>
      </c>
      <c r="H2337" s="796" t="s">
        <v>335</v>
      </c>
      <c r="I2337" s="220" t="str">
        <f>IF(ISBLANK(global!I814),"",global!I814)</f>
        <v/>
      </c>
      <c r="K2337" s="225" t="s">
        <v>4159</v>
      </c>
      <c r="O2337" s="225" t="s">
        <v>4159</v>
      </c>
    </row>
    <row r="2338" spans="1:15" ht="12.75" customHeight="1" x14ac:dyDescent="0.3">
      <c r="A2338" s="797"/>
      <c r="B2338" s="797"/>
      <c r="C2338" s="797" t="s">
        <v>1364</v>
      </c>
      <c r="D2338" s="797"/>
      <c r="E2338" s="797"/>
      <c r="F2338" s="797"/>
      <c r="G2338" s="796" t="s">
        <v>3348</v>
      </c>
      <c r="H2338" s="796" t="s">
        <v>335</v>
      </c>
      <c r="I2338" s="220" t="str">
        <f>IF(ISBLANK(global!I815),"",global!I815)</f>
        <v/>
      </c>
      <c r="K2338" s="225" t="s">
        <v>4159</v>
      </c>
      <c r="O2338" s="225" t="s">
        <v>4159</v>
      </c>
    </row>
    <row r="2339" spans="1:15" ht="12.75" customHeight="1" x14ac:dyDescent="0.3">
      <c r="A2339" s="797"/>
      <c r="B2339" s="797"/>
      <c r="C2339" s="797"/>
      <c r="D2339" s="797" t="s">
        <v>1388</v>
      </c>
      <c r="E2339" s="797"/>
      <c r="F2339" s="797"/>
      <c r="G2339" s="796" t="s">
        <v>3349</v>
      </c>
      <c r="H2339" s="796" t="s">
        <v>335</v>
      </c>
      <c r="I2339" s="220" t="str">
        <f>IF(ISBLANK(global!I816),"",global!I816)</f>
        <v/>
      </c>
      <c r="K2339" s="225" t="s">
        <v>4159</v>
      </c>
      <c r="O2339" s="225" t="s">
        <v>4159</v>
      </c>
    </row>
    <row r="2340" spans="1:15" ht="12.75" customHeight="1" x14ac:dyDescent="0.3">
      <c r="A2340" s="797"/>
      <c r="B2340" s="797"/>
      <c r="C2340" s="797" t="s">
        <v>1390</v>
      </c>
      <c r="D2340" s="797"/>
      <c r="E2340" s="797"/>
      <c r="F2340" s="797"/>
      <c r="G2340" s="797" t="s">
        <v>3350</v>
      </c>
      <c r="H2340" s="797" t="s">
        <v>335</v>
      </c>
      <c r="I2340" s="220" t="str">
        <f>IF(ISBLANK(global!I817),"",global!I817)</f>
        <v/>
      </c>
      <c r="K2340" s="225" t="s">
        <v>4159</v>
      </c>
      <c r="O2340" s="225" t="s">
        <v>4159</v>
      </c>
    </row>
    <row r="2341" spans="1:15" ht="12.75" customHeight="1" x14ac:dyDescent="0.3">
      <c r="A2341" s="797"/>
      <c r="B2341" s="797"/>
      <c r="C2341" s="797" t="s">
        <v>1392</v>
      </c>
      <c r="D2341" s="797"/>
      <c r="E2341" s="797"/>
      <c r="F2341" s="797"/>
      <c r="G2341" s="796" t="s">
        <v>3351</v>
      </c>
      <c r="H2341" s="796" t="s">
        <v>335</v>
      </c>
      <c r="I2341" s="220" t="str">
        <f>IF(ISBLANK(global!I818),"",global!I818)</f>
        <v/>
      </c>
      <c r="K2341" s="225" t="s">
        <v>4159</v>
      </c>
      <c r="O2341" s="225" t="s">
        <v>4159</v>
      </c>
    </row>
    <row r="2342" spans="1:15" ht="12.75" customHeight="1" x14ac:dyDescent="0.3">
      <c r="A2342" s="797" t="s">
        <v>1412</v>
      </c>
      <c r="B2342" s="797"/>
      <c r="C2342" s="797"/>
      <c r="D2342" s="797"/>
      <c r="E2342" s="797"/>
      <c r="F2342" s="797"/>
      <c r="G2342" s="796" t="s">
        <v>3352</v>
      </c>
      <c r="H2342" s="796" t="s">
        <v>335</v>
      </c>
      <c r="I2342" s="220" t="str">
        <f>IF(ISBLANK(global!I819),"",global!I819)</f>
        <v/>
      </c>
      <c r="K2342" s="225" t="s">
        <v>4159</v>
      </c>
      <c r="O2342" s="225" t="s">
        <v>4159</v>
      </c>
    </row>
    <row r="2343" spans="1:15" ht="12.75" customHeight="1" x14ac:dyDescent="0.3">
      <c r="A2343" s="797"/>
      <c r="B2343" s="797" t="s">
        <v>1406</v>
      </c>
      <c r="C2343" s="797"/>
      <c r="D2343" s="797"/>
      <c r="E2343" s="797"/>
      <c r="F2343" s="797"/>
      <c r="G2343" s="796" t="s">
        <v>3353</v>
      </c>
      <c r="H2343" s="796" t="s">
        <v>708</v>
      </c>
      <c r="I2343" s="220" t="str">
        <f>IF(ISBLANK(global!I820),"",global!I820)</f>
        <v/>
      </c>
      <c r="K2343" s="225" t="s">
        <v>4159</v>
      </c>
      <c r="O2343" s="225" t="s">
        <v>4159</v>
      </c>
    </row>
    <row r="2344" spans="1:15" ht="12.75" customHeight="1" x14ac:dyDescent="0.3">
      <c r="A2344" s="797"/>
      <c r="B2344" s="797" t="s">
        <v>1417</v>
      </c>
      <c r="C2344" s="797"/>
      <c r="D2344" s="797"/>
      <c r="E2344" s="797"/>
      <c r="F2344" s="797"/>
      <c r="G2344" s="796" t="s">
        <v>3354</v>
      </c>
      <c r="H2344" s="797" t="s">
        <v>335</v>
      </c>
      <c r="I2344" s="220" t="str">
        <f>IF(ISBLANK(global!I821),"",global!I821)</f>
        <v/>
      </c>
      <c r="K2344" s="225" t="s">
        <v>4159</v>
      </c>
      <c r="O2344" s="225" t="s">
        <v>4159</v>
      </c>
    </row>
    <row r="2345" spans="1:15" ht="12.75" customHeight="1" x14ac:dyDescent="0.3">
      <c r="A2345" s="797"/>
      <c r="B2345" s="797"/>
      <c r="C2345" s="797" t="s">
        <v>1402</v>
      </c>
      <c r="D2345" s="797"/>
      <c r="E2345" s="797"/>
      <c r="F2345" s="797"/>
      <c r="G2345" s="796" t="s">
        <v>3355</v>
      </c>
      <c r="H2345" s="796" t="s">
        <v>335</v>
      </c>
      <c r="I2345" s="220" t="str">
        <f>IF(ISBLANK(global!I822),"",global!I822)</f>
        <v/>
      </c>
      <c r="K2345" s="225" t="s">
        <v>4159</v>
      </c>
      <c r="O2345" s="225" t="s">
        <v>4159</v>
      </c>
    </row>
    <row r="2346" spans="1:15" ht="12.75" customHeight="1" x14ac:dyDescent="0.3">
      <c r="A2346" s="797" t="s">
        <v>1412</v>
      </c>
      <c r="B2346" s="797"/>
      <c r="C2346" s="797"/>
      <c r="D2346" s="797"/>
      <c r="E2346" s="797"/>
      <c r="F2346" s="797"/>
      <c r="G2346" s="796" t="s">
        <v>3356</v>
      </c>
      <c r="H2346" s="796" t="s">
        <v>335</v>
      </c>
      <c r="I2346" s="220" t="str">
        <f>IF(ISBLANK(global!I823),"",global!I823)</f>
        <v/>
      </c>
      <c r="K2346" s="225" t="s">
        <v>4159</v>
      </c>
      <c r="O2346" s="225" t="s">
        <v>4159</v>
      </c>
    </row>
    <row r="2347" spans="1:15" ht="12.75" customHeight="1" x14ac:dyDescent="0.3">
      <c r="A2347" s="797"/>
      <c r="B2347" s="797" t="s">
        <v>1406</v>
      </c>
      <c r="C2347" s="797"/>
      <c r="D2347" s="797"/>
      <c r="E2347" s="797"/>
      <c r="F2347" s="797"/>
      <c r="G2347" s="796" t="s">
        <v>3357</v>
      </c>
      <c r="H2347" s="796" t="s">
        <v>708</v>
      </c>
      <c r="I2347" s="220" t="str">
        <f>IF(ISBLANK(global!I824),"",global!I824)</f>
        <v/>
      </c>
      <c r="K2347" s="225" t="s">
        <v>4159</v>
      </c>
      <c r="O2347" s="225" t="s">
        <v>4159</v>
      </c>
    </row>
    <row r="2348" spans="1:15" ht="12.75" customHeight="1" x14ac:dyDescent="0.3">
      <c r="A2348" s="797"/>
      <c r="B2348" s="797" t="s">
        <v>1417</v>
      </c>
      <c r="C2348" s="797"/>
      <c r="D2348" s="797"/>
      <c r="E2348" s="797"/>
      <c r="F2348" s="797"/>
      <c r="G2348" s="796" t="s">
        <v>3358</v>
      </c>
      <c r="H2348" s="797" t="s">
        <v>335</v>
      </c>
      <c r="I2348" s="220" t="str">
        <f>IF(ISBLANK(global!I825),"",global!I825)</f>
        <v/>
      </c>
      <c r="K2348" s="225" t="s">
        <v>4159</v>
      </c>
      <c r="O2348" s="225" t="s">
        <v>4159</v>
      </c>
    </row>
    <row r="2349" spans="1:15" ht="12.75" customHeight="1" x14ac:dyDescent="0.3">
      <c r="A2349" s="797"/>
      <c r="B2349" s="797"/>
      <c r="C2349" s="797" t="s">
        <v>1402</v>
      </c>
      <c r="D2349" s="797"/>
      <c r="E2349" s="797"/>
      <c r="F2349" s="797"/>
      <c r="G2349" s="796" t="s">
        <v>3359</v>
      </c>
      <c r="H2349" s="796" t="s">
        <v>335</v>
      </c>
      <c r="I2349" s="220" t="str">
        <f>IF(ISBLANK(global!I826),"",global!I826)</f>
        <v/>
      </c>
      <c r="K2349" s="225" t="s">
        <v>4159</v>
      </c>
      <c r="O2349" s="225" t="s">
        <v>4159</v>
      </c>
    </row>
    <row r="2350" spans="1:15" ht="12.75" customHeight="1" x14ac:dyDescent="0.3">
      <c r="A2350" s="797"/>
      <c r="B2350" s="797"/>
      <c r="C2350" s="797" t="s">
        <v>1420</v>
      </c>
      <c r="D2350" s="797"/>
      <c r="E2350" s="797"/>
      <c r="F2350" s="797"/>
      <c r="G2350" s="796" t="s">
        <v>3360</v>
      </c>
      <c r="H2350" s="796" t="s">
        <v>335</v>
      </c>
      <c r="I2350" s="220" t="str">
        <f>IF(ISBLANK(global!I827),"",global!I827)</f>
        <v/>
      </c>
      <c r="K2350" s="225" t="s">
        <v>4159</v>
      </c>
      <c r="O2350" s="225" t="s">
        <v>4159</v>
      </c>
    </row>
    <row r="2351" spans="1:15" ht="12.75" customHeight="1" x14ac:dyDescent="0.3">
      <c r="A2351" s="797"/>
      <c r="B2351" s="797"/>
      <c r="C2351" s="797" t="s">
        <v>2187</v>
      </c>
      <c r="D2351" s="797"/>
      <c r="E2351" s="797"/>
      <c r="F2351" s="797"/>
      <c r="G2351" s="796" t="s">
        <v>3361</v>
      </c>
      <c r="H2351" s="796" t="s">
        <v>335</v>
      </c>
      <c r="I2351" s="220" t="str">
        <f>IF(ISBLANK(global!I828),"",global!I828)</f>
        <v/>
      </c>
      <c r="K2351" s="225" t="s">
        <v>4159</v>
      </c>
      <c r="O2351" s="225" t="s">
        <v>4159</v>
      </c>
    </row>
    <row r="2352" spans="1:15" ht="12.75" customHeight="1" x14ac:dyDescent="0.3">
      <c r="A2352" s="352" t="s">
        <v>3362</v>
      </c>
      <c r="I2352" s="220" t="str">
        <f>IF(ISBLANK(global!I829),"",global!I829)</f>
        <v/>
      </c>
      <c r="K2352" s="225" t="s">
        <v>4159</v>
      </c>
      <c r="O2352" s="225" t="s">
        <v>4159</v>
      </c>
    </row>
    <row r="2353" spans="1:15" ht="12.75" customHeight="1" x14ac:dyDescent="0.3">
      <c r="A2353" s="797" t="s">
        <v>2704</v>
      </c>
      <c r="B2353" s="797"/>
      <c r="C2353" s="797"/>
      <c r="D2353" s="797"/>
      <c r="E2353" s="797"/>
      <c r="F2353" s="797"/>
      <c r="G2353" s="796" t="s">
        <v>3363</v>
      </c>
      <c r="H2353" s="796" t="s">
        <v>335</v>
      </c>
      <c r="I2353" s="220" t="str">
        <f>IF(ISBLANK(global!I830),"",global!I830)</f>
        <v/>
      </c>
      <c r="K2353" s="225" t="s">
        <v>4159</v>
      </c>
      <c r="O2353" s="225" t="s">
        <v>4159</v>
      </c>
    </row>
    <row r="2354" spans="1:15" ht="12.75" customHeight="1" x14ac:dyDescent="0.3">
      <c r="A2354" s="797"/>
      <c r="B2354" s="797" t="s">
        <v>1436</v>
      </c>
      <c r="C2354" s="797"/>
      <c r="D2354" s="797"/>
      <c r="E2354" s="797"/>
      <c r="F2354" s="797"/>
      <c r="G2354" s="796" t="s">
        <v>3364</v>
      </c>
      <c r="H2354" s="796" t="s">
        <v>708</v>
      </c>
      <c r="I2354" s="220" t="str">
        <f>IF(ISBLANK(global!I831),"",global!I831)</f>
        <v/>
      </c>
      <c r="K2354" s="225" t="s">
        <v>4159</v>
      </c>
      <c r="O2354" s="225" t="s">
        <v>4159</v>
      </c>
    </row>
    <row r="2355" spans="1:15" ht="12.75" customHeight="1" x14ac:dyDescent="0.3">
      <c r="A2355" s="797"/>
      <c r="B2355" s="797"/>
      <c r="C2355" s="797" t="s">
        <v>1390</v>
      </c>
      <c r="D2355" s="797"/>
      <c r="E2355" s="797"/>
      <c r="F2355" s="797"/>
      <c r="G2355" s="797" t="s">
        <v>3365</v>
      </c>
      <c r="H2355" s="797" t="s">
        <v>335</v>
      </c>
      <c r="I2355" s="220" t="str">
        <f>IF(ISBLANK(global!I832),"",global!I832)</f>
        <v/>
      </c>
      <c r="K2355" s="225" t="s">
        <v>4159</v>
      </c>
      <c r="O2355" s="225" t="s">
        <v>4159</v>
      </c>
    </row>
    <row r="2356" spans="1:15" ht="12.75" customHeight="1" x14ac:dyDescent="0.3">
      <c r="A2356" s="797"/>
      <c r="B2356" s="797"/>
      <c r="C2356" s="797" t="s">
        <v>1392</v>
      </c>
      <c r="D2356" s="797"/>
      <c r="E2356" s="797"/>
      <c r="F2356" s="797"/>
      <c r="G2356" s="796" t="s">
        <v>3366</v>
      </c>
      <c r="H2356" s="796" t="s">
        <v>335</v>
      </c>
      <c r="I2356" s="220" t="str">
        <f>IF(ISBLANK(global!I833),"",global!I833)</f>
        <v/>
      </c>
      <c r="K2356" s="225" t="s">
        <v>4159</v>
      </c>
      <c r="O2356" s="225" t="s">
        <v>4159</v>
      </c>
    </row>
    <row r="2357" spans="1:15" ht="12.75" customHeight="1" x14ac:dyDescent="0.3">
      <c r="A2357" s="797" t="s">
        <v>2710</v>
      </c>
      <c r="B2357" s="797"/>
      <c r="C2357" s="797"/>
      <c r="D2357" s="797"/>
      <c r="E2357" s="797"/>
      <c r="F2357" s="797"/>
      <c r="G2357" s="796" t="s">
        <v>3367</v>
      </c>
      <c r="H2357" s="796" t="s">
        <v>335</v>
      </c>
      <c r="I2357" s="220" t="str">
        <f>IF(ISBLANK(global!I834),"",global!I834)</f>
        <v/>
      </c>
      <c r="K2357" s="225" t="s">
        <v>4159</v>
      </c>
      <c r="O2357" s="225" t="s">
        <v>4159</v>
      </c>
    </row>
    <row r="2358" spans="1:15" ht="12.75" customHeight="1" x14ac:dyDescent="0.3">
      <c r="A2358" s="797"/>
      <c r="B2358" s="797" t="s">
        <v>1447</v>
      </c>
      <c r="C2358" s="797"/>
      <c r="D2358" s="797"/>
      <c r="E2358" s="797"/>
      <c r="F2358" s="797"/>
      <c r="G2358" s="796" t="s">
        <v>3368</v>
      </c>
      <c r="H2358" s="796" t="s">
        <v>1449</v>
      </c>
      <c r="I2358" s="220" t="str">
        <f>IF(ISBLANK(global!I835),"",global!I835)</f>
        <v/>
      </c>
      <c r="K2358" s="225" t="s">
        <v>4159</v>
      </c>
      <c r="O2358" s="225" t="s">
        <v>4159</v>
      </c>
    </row>
    <row r="2359" spans="1:15" ht="12.75" customHeight="1" x14ac:dyDescent="0.3">
      <c r="A2359" s="797"/>
      <c r="B2359" s="797" t="s">
        <v>1450</v>
      </c>
      <c r="C2359" s="797"/>
      <c r="D2359" s="797"/>
      <c r="E2359" s="797"/>
      <c r="F2359" s="797"/>
      <c r="G2359" s="797" t="s">
        <v>3369</v>
      </c>
      <c r="H2359" s="796" t="s">
        <v>866</v>
      </c>
      <c r="I2359" s="220" t="str">
        <f>IF(ISBLANK(global!I836),"",global!I836)</f>
        <v/>
      </c>
      <c r="K2359" s="225" t="s">
        <v>4159</v>
      </c>
      <c r="O2359" s="225" t="s">
        <v>4159</v>
      </c>
    </row>
    <row r="2360" spans="1:15" ht="12.75" customHeight="1" x14ac:dyDescent="0.3">
      <c r="A2360" s="797"/>
      <c r="B2360" s="797" t="s">
        <v>1453</v>
      </c>
      <c r="C2360" s="797"/>
      <c r="D2360" s="797"/>
      <c r="E2360" s="797"/>
      <c r="F2360" s="797"/>
      <c r="G2360" s="796" t="s">
        <v>3370</v>
      </c>
      <c r="H2360" s="796" t="s">
        <v>291</v>
      </c>
      <c r="I2360" s="220" t="str">
        <f>IF(ISBLANK(global!I837),"",global!I837)</f>
        <v/>
      </c>
      <c r="K2360" s="225" t="s">
        <v>4159</v>
      </c>
      <c r="O2360" s="225" t="s">
        <v>4159</v>
      </c>
    </row>
    <row r="2361" spans="1:15" ht="12.75" customHeight="1" x14ac:dyDescent="0.3">
      <c r="A2361" s="797"/>
      <c r="B2361" s="797"/>
      <c r="C2361" s="797" t="s">
        <v>1455</v>
      </c>
      <c r="D2361" s="797"/>
      <c r="E2361" s="797"/>
      <c r="F2361" s="797"/>
      <c r="G2361" s="796" t="s">
        <v>3371</v>
      </c>
      <c r="H2361" s="796" t="s">
        <v>291</v>
      </c>
      <c r="I2361" s="220" t="str">
        <f>IF(ISBLANK(global!I838),"",global!I838)</f>
        <v/>
      </c>
      <c r="K2361" s="225" t="s">
        <v>4159</v>
      </c>
      <c r="O2361" s="225" t="s">
        <v>4159</v>
      </c>
    </row>
    <row r="2362" spans="1:15" ht="12.75" customHeight="1" x14ac:dyDescent="0.3">
      <c r="A2362" s="797"/>
      <c r="B2362" s="797"/>
      <c r="C2362" s="797"/>
      <c r="D2362" s="797" t="s">
        <v>1457</v>
      </c>
      <c r="E2362" s="797"/>
      <c r="F2362" s="797"/>
      <c r="G2362" s="797" t="s">
        <v>3372</v>
      </c>
      <c r="H2362" s="796" t="s">
        <v>291</v>
      </c>
      <c r="I2362" s="220" t="str">
        <f>IF(ISBLANK(global!I839),"",global!I839)</f>
        <v/>
      </c>
      <c r="K2362" s="225" t="s">
        <v>4159</v>
      </c>
      <c r="O2362" s="225" t="s">
        <v>4159</v>
      </c>
    </row>
    <row r="2363" spans="1:15" ht="12.75" customHeight="1" x14ac:dyDescent="0.3">
      <c r="A2363" s="797"/>
      <c r="B2363" s="797"/>
      <c r="C2363" s="797"/>
      <c r="D2363" s="797"/>
      <c r="E2363" s="797" t="s">
        <v>1459</v>
      </c>
      <c r="F2363" s="797"/>
      <c r="G2363" s="797" t="s">
        <v>3373</v>
      </c>
      <c r="H2363" s="796" t="s">
        <v>291</v>
      </c>
      <c r="I2363" s="220" t="str">
        <f>IF(ISBLANK(global!I840),"",global!I840)</f>
        <v/>
      </c>
      <c r="K2363" s="225" t="s">
        <v>4159</v>
      </c>
      <c r="O2363" s="225" t="s">
        <v>4159</v>
      </c>
    </row>
    <row r="2364" spans="1:15" ht="12.75" customHeight="1" x14ac:dyDescent="0.3">
      <c r="A2364" s="797"/>
      <c r="B2364" s="797"/>
      <c r="C2364" s="797"/>
      <c r="D2364" s="797"/>
      <c r="E2364" s="797"/>
      <c r="F2364" s="797" t="s">
        <v>1461</v>
      </c>
      <c r="G2364" s="797" t="s">
        <v>3374</v>
      </c>
      <c r="H2364" s="796" t="s">
        <v>1463</v>
      </c>
      <c r="I2364" s="220" t="str">
        <f>IF(ISBLANK(global!I841),"",global!I841)</f>
        <v/>
      </c>
      <c r="K2364" s="225" t="s">
        <v>4159</v>
      </c>
      <c r="O2364" s="225" t="s">
        <v>4159</v>
      </c>
    </row>
    <row r="2365" spans="1:15" ht="12.75" customHeight="1" x14ac:dyDescent="0.3">
      <c r="A2365" s="797"/>
      <c r="B2365" s="797"/>
      <c r="C2365" s="797" t="s">
        <v>1465</v>
      </c>
      <c r="D2365" s="797"/>
      <c r="E2365" s="797"/>
      <c r="F2365" s="797"/>
      <c r="G2365" s="796" t="s">
        <v>3375</v>
      </c>
      <c r="H2365" s="796" t="s">
        <v>291</v>
      </c>
      <c r="I2365" s="220" t="str">
        <f>IF(ISBLANK(global!I842),"",global!I842)</f>
        <v/>
      </c>
      <c r="K2365" s="225" t="s">
        <v>4159</v>
      </c>
      <c r="O2365" s="225" t="s">
        <v>4159</v>
      </c>
    </row>
    <row r="2366" spans="1:15" ht="12.75" customHeight="1" x14ac:dyDescent="0.3">
      <c r="A2366" s="797"/>
      <c r="B2366" s="797"/>
      <c r="C2366" s="797" t="s">
        <v>1467</v>
      </c>
      <c r="D2366" s="797"/>
      <c r="E2366" s="797"/>
      <c r="F2366" s="797"/>
      <c r="G2366" s="796" t="s">
        <v>3376</v>
      </c>
      <c r="H2366" s="796" t="s">
        <v>291</v>
      </c>
      <c r="I2366" s="220" t="str">
        <f>IF(ISBLANK(global!I843),"",global!I843)</f>
        <v/>
      </c>
      <c r="K2366" s="225" t="s">
        <v>4159</v>
      </c>
      <c r="O2366" s="225" t="s">
        <v>4159</v>
      </c>
    </row>
    <row r="2367" spans="1:15" ht="12.75" customHeight="1" x14ac:dyDescent="0.3">
      <c r="A2367" s="797"/>
      <c r="B2367" s="797"/>
      <c r="C2367" s="797"/>
      <c r="D2367" s="797" t="s">
        <v>1469</v>
      </c>
      <c r="E2367" s="797"/>
      <c r="F2367" s="797"/>
      <c r="G2367" s="797" t="s">
        <v>3377</v>
      </c>
      <c r="H2367" s="796" t="s">
        <v>291</v>
      </c>
      <c r="I2367" s="220" t="str">
        <f>IF(ISBLANK(global!I844),"",global!I844)</f>
        <v/>
      </c>
      <c r="K2367" s="225" t="s">
        <v>4159</v>
      </c>
      <c r="O2367" s="225" t="s">
        <v>4159</v>
      </c>
    </row>
    <row r="2368" spans="1:15" ht="12.75" customHeight="1" x14ac:dyDescent="0.3">
      <c r="A2368" s="797"/>
      <c r="B2368" s="797"/>
      <c r="C2368" s="797"/>
      <c r="D2368" s="797" t="s">
        <v>1471</v>
      </c>
      <c r="E2368" s="797"/>
      <c r="F2368" s="797"/>
      <c r="G2368" s="797" t="s">
        <v>3378</v>
      </c>
      <c r="H2368" s="796" t="s">
        <v>1473</v>
      </c>
      <c r="I2368" s="220" t="str">
        <f>IF(ISBLANK(global!I845),"",global!I845)</f>
        <v/>
      </c>
      <c r="K2368" s="225" t="s">
        <v>4159</v>
      </c>
      <c r="O2368" s="225" t="s">
        <v>4159</v>
      </c>
    </row>
    <row r="2369" spans="1:15" ht="12.75" customHeight="1" x14ac:dyDescent="0.3">
      <c r="A2369" s="797"/>
      <c r="B2369" s="797"/>
      <c r="C2369" s="797"/>
      <c r="D2369" s="797" t="s">
        <v>1474</v>
      </c>
      <c r="E2369" s="797"/>
      <c r="F2369" s="797"/>
      <c r="G2369" s="797" t="s">
        <v>3379</v>
      </c>
      <c r="H2369" s="796" t="s">
        <v>291</v>
      </c>
      <c r="I2369" s="220" t="str">
        <f>IF(ISBLANK(global!I846),"",global!I846)</f>
        <v/>
      </c>
      <c r="K2369" s="225" t="s">
        <v>4159</v>
      </c>
      <c r="O2369" s="225" t="s">
        <v>4159</v>
      </c>
    </row>
    <row r="2370" spans="1:15" ht="12.75" customHeight="1" x14ac:dyDescent="0.3">
      <c r="A2370" s="797"/>
      <c r="B2370" s="797"/>
      <c r="C2370" s="797"/>
      <c r="D2370" s="797" t="s">
        <v>1476</v>
      </c>
      <c r="E2370" s="797"/>
      <c r="F2370" s="797"/>
      <c r="G2370" s="796" t="s">
        <v>3380</v>
      </c>
      <c r="H2370" s="796" t="s">
        <v>291</v>
      </c>
      <c r="I2370" s="220" t="str">
        <f>IF(ISBLANK(global!I847),"",global!I847)</f>
        <v/>
      </c>
      <c r="K2370" s="225" t="s">
        <v>4159</v>
      </c>
      <c r="O2370" s="225" t="s">
        <v>4159</v>
      </c>
    </row>
    <row r="2371" spans="1:15" ht="12.75" customHeight="1" x14ac:dyDescent="0.3">
      <c r="A2371" s="352" t="s">
        <v>3381</v>
      </c>
      <c r="I2371" s="220" t="str">
        <f>IF(ISBLANK(global!I848),"",global!I848)</f>
        <v/>
      </c>
      <c r="K2371" s="225" t="s">
        <v>4159</v>
      </c>
      <c r="O2371" s="225" t="s">
        <v>4159</v>
      </c>
    </row>
    <row r="2372" spans="1:15" ht="12.75" customHeight="1" x14ac:dyDescent="0.3">
      <c r="A2372" s="797" t="s">
        <v>2726</v>
      </c>
      <c r="B2372" s="797"/>
      <c r="C2372" s="797"/>
      <c r="D2372" s="797"/>
      <c r="E2372" s="797"/>
      <c r="F2372" s="797"/>
      <c r="G2372" s="796" t="s">
        <v>3382</v>
      </c>
      <c r="H2372" s="796" t="s">
        <v>335</v>
      </c>
      <c r="I2372" s="220" t="str">
        <f>IF(ISBLANK(global!I849),"",global!I849)</f>
        <v/>
      </c>
      <c r="K2372" s="225" t="s">
        <v>4159</v>
      </c>
      <c r="O2372" s="225" t="s">
        <v>4159</v>
      </c>
    </row>
    <row r="2373" spans="1:15" ht="12.75" customHeight="1" x14ac:dyDescent="0.3">
      <c r="A2373" s="797"/>
      <c r="B2373" s="797" t="s">
        <v>1485</v>
      </c>
      <c r="C2373" s="797"/>
      <c r="D2373" s="797"/>
      <c r="E2373" s="797"/>
      <c r="F2373" s="797"/>
      <c r="G2373" s="796" t="s">
        <v>3383</v>
      </c>
      <c r="H2373" s="796" t="s">
        <v>708</v>
      </c>
      <c r="I2373" s="220" t="str">
        <f>IF(ISBLANK(global!I850),"",global!I850)</f>
        <v/>
      </c>
      <c r="K2373" s="225" t="s">
        <v>4159</v>
      </c>
      <c r="O2373" s="225" t="s">
        <v>4159</v>
      </c>
    </row>
    <row r="2374" spans="1:15" ht="12.75" customHeight="1" x14ac:dyDescent="0.3">
      <c r="A2374" s="797"/>
      <c r="B2374" s="797" t="s">
        <v>727</v>
      </c>
      <c r="C2374" s="797"/>
      <c r="D2374" s="797"/>
      <c r="E2374" s="797"/>
      <c r="F2374" s="797"/>
      <c r="G2374" s="796" t="s">
        <v>3384</v>
      </c>
      <c r="H2374" s="796" t="s">
        <v>729</v>
      </c>
      <c r="I2374" s="220" t="str">
        <f>IF(ISBLANK(global!I851),"",global!I851)</f>
        <v/>
      </c>
      <c r="K2374" s="225" t="s">
        <v>4159</v>
      </c>
      <c r="O2374" s="225" t="s">
        <v>4159</v>
      </c>
    </row>
    <row r="2375" spans="1:15" ht="12.75" customHeight="1" x14ac:dyDescent="0.3">
      <c r="A2375" s="797"/>
      <c r="B2375" s="797" t="s">
        <v>1390</v>
      </c>
      <c r="C2375" s="797"/>
      <c r="D2375" s="797"/>
      <c r="E2375" s="797"/>
      <c r="F2375" s="797"/>
      <c r="G2375" s="796" t="s">
        <v>3385</v>
      </c>
      <c r="H2375" s="796" t="s">
        <v>335</v>
      </c>
      <c r="I2375" s="220" t="str">
        <f>IF(ISBLANK(global!I852),"",global!I852)</f>
        <v/>
      </c>
      <c r="K2375" s="225" t="s">
        <v>4159</v>
      </c>
      <c r="O2375" s="225" t="s">
        <v>4159</v>
      </c>
    </row>
    <row r="2376" spans="1:15" ht="12.75" customHeight="1" x14ac:dyDescent="0.3">
      <c r="A2376" s="797"/>
      <c r="B2376" s="797" t="s">
        <v>1392</v>
      </c>
      <c r="C2376" s="797"/>
      <c r="D2376" s="797"/>
      <c r="E2376" s="797"/>
      <c r="F2376" s="797"/>
      <c r="G2376" s="796" t="s">
        <v>3386</v>
      </c>
      <c r="H2376" s="796" t="s">
        <v>335</v>
      </c>
      <c r="I2376" s="220" t="str">
        <f>IF(ISBLANK(global!I853),"",global!I853)</f>
        <v/>
      </c>
      <c r="K2376" s="225" t="s">
        <v>4159</v>
      </c>
      <c r="O2376" s="225" t="s">
        <v>4159</v>
      </c>
    </row>
    <row r="2377" spans="1:15" ht="12.75" customHeight="1" x14ac:dyDescent="0.3">
      <c r="A2377" s="797" t="s">
        <v>2733</v>
      </c>
      <c r="B2377" s="797"/>
      <c r="C2377" s="797"/>
      <c r="D2377" s="797"/>
      <c r="E2377" s="797"/>
      <c r="F2377" s="797"/>
      <c r="G2377" s="796" t="s">
        <v>3387</v>
      </c>
      <c r="H2377" s="796" t="s">
        <v>335</v>
      </c>
      <c r="I2377" s="220" t="str">
        <f>IF(ISBLANK(global!I854),"",global!I854)</f>
        <v/>
      </c>
      <c r="K2377" s="225" t="s">
        <v>4159</v>
      </c>
      <c r="O2377" s="225" t="s">
        <v>4159</v>
      </c>
    </row>
    <row r="2378" spans="1:15" ht="12.75" customHeight="1" x14ac:dyDescent="0.3">
      <c r="A2378" s="797"/>
      <c r="B2378" s="797" t="s">
        <v>1492</v>
      </c>
      <c r="C2378" s="797"/>
      <c r="D2378" s="797"/>
      <c r="E2378" s="797"/>
      <c r="F2378" s="797"/>
      <c r="G2378" s="796" t="s">
        <v>3388</v>
      </c>
      <c r="H2378" s="796" t="s">
        <v>1449</v>
      </c>
      <c r="I2378" s="220" t="str">
        <f>IF(ISBLANK(global!I855),"",global!I855)</f>
        <v/>
      </c>
      <c r="K2378" s="225" t="s">
        <v>4159</v>
      </c>
      <c r="O2378" s="225" t="s">
        <v>4159</v>
      </c>
    </row>
    <row r="2379" spans="1:15" ht="12.75" customHeight="1" x14ac:dyDescent="0.3">
      <c r="A2379" s="797"/>
      <c r="B2379" s="797" t="s">
        <v>1494</v>
      </c>
      <c r="C2379" s="797"/>
      <c r="D2379" s="797"/>
      <c r="E2379" s="797"/>
      <c r="F2379" s="797"/>
      <c r="G2379" s="797" t="s">
        <v>3389</v>
      </c>
      <c r="H2379" s="796" t="s">
        <v>866</v>
      </c>
      <c r="I2379" s="220" t="str">
        <f>IF(ISBLANK(global!I856),"",global!I856)</f>
        <v/>
      </c>
      <c r="K2379" s="225" t="s">
        <v>4159</v>
      </c>
      <c r="O2379" s="225" t="s">
        <v>4159</v>
      </c>
    </row>
    <row r="2380" spans="1:15" ht="12.75" customHeight="1" x14ac:dyDescent="0.3">
      <c r="A2380" s="797"/>
      <c r="B2380" s="797" t="s">
        <v>1453</v>
      </c>
      <c r="C2380" s="797"/>
      <c r="D2380" s="797"/>
      <c r="E2380" s="797"/>
      <c r="F2380" s="797"/>
      <c r="G2380" s="796" t="s">
        <v>3390</v>
      </c>
      <c r="H2380" s="796" t="s">
        <v>291</v>
      </c>
      <c r="I2380" s="220" t="str">
        <f>IF(ISBLANK(global!I857),"",global!I857)</f>
        <v/>
      </c>
      <c r="K2380" s="225" t="s">
        <v>4159</v>
      </c>
      <c r="O2380" s="225" t="s">
        <v>4159</v>
      </c>
    </row>
    <row r="2381" spans="1:15" ht="12.75" customHeight="1" x14ac:dyDescent="0.3">
      <c r="A2381" s="797"/>
      <c r="B2381" s="797"/>
      <c r="C2381" s="797" t="s">
        <v>1455</v>
      </c>
      <c r="D2381" s="797"/>
      <c r="E2381" s="797"/>
      <c r="F2381" s="797"/>
      <c r="G2381" s="796" t="s">
        <v>3391</v>
      </c>
      <c r="H2381" s="796" t="s">
        <v>291</v>
      </c>
      <c r="I2381" s="220" t="str">
        <f>IF(ISBLANK(global!I858),"",global!I858)</f>
        <v/>
      </c>
      <c r="K2381" s="225" t="s">
        <v>4159</v>
      </c>
      <c r="O2381" s="225" t="s">
        <v>4159</v>
      </c>
    </row>
    <row r="2382" spans="1:15" ht="12.75" customHeight="1" x14ac:dyDescent="0.3">
      <c r="A2382" s="797"/>
      <c r="B2382" s="797"/>
      <c r="C2382" s="797"/>
      <c r="D2382" s="797" t="s">
        <v>1457</v>
      </c>
      <c r="E2382" s="797"/>
      <c r="F2382" s="797"/>
      <c r="G2382" s="797" t="s">
        <v>3392</v>
      </c>
      <c r="H2382" s="796" t="s">
        <v>291</v>
      </c>
      <c r="I2382" s="220" t="str">
        <f>IF(ISBLANK(global!I859),"",global!I859)</f>
        <v/>
      </c>
      <c r="K2382" s="225" t="s">
        <v>4159</v>
      </c>
      <c r="O2382" s="225" t="s">
        <v>4159</v>
      </c>
    </row>
    <row r="2383" spans="1:15" ht="12.75" customHeight="1" x14ac:dyDescent="0.3">
      <c r="A2383" s="797"/>
      <c r="B2383" s="797"/>
      <c r="C2383" s="797"/>
      <c r="D2383" s="797"/>
      <c r="E2383" s="797" t="s">
        <v>1499</v>
      </c>
      <c r="F2383" s="797"/>
      <c r="G2383" s="797" t="s">
        <v>3393</v>
      </c>
      <c r="H2383" s="796" t="s">
        <v>291</v>
      </c>
      <c r="I2383" s="220" t="str">
        <f>IF(ISBLANK(global!I860),"",global!I860)</f>
        <v/>
      </c>
      <c r="K2383" s="225" t="s">
        <v>4159</v>
      </c>
      <c r="O2383" s="225" t="s">
        <v>4159</v>
      </c>
    </row>
    <row r="2384" spans="1:15" ht="12.75" customHeight="1" x14ac:dyDescent="0.3">
      <c r="A2384" s="797"/>
      <c r="B2384" s="797"/>
      <c r="C2384" s="797"/>
      <c r="D2384" s="797"/>
      <c r="E2384" s="797"/>
      <c r="F2384" s="797" t="s">
        <v>1501</v>
      </c>
      <c r="G2384" s="797" t="s">
        <v>3394</v>
      </c>
      <c r="H2384" s="796" t="s">
        <v>1463</v>
      </c>
      <c r="I2384" s="220" t="str">
        <f>IF(ISBLANK(global!I861),"",global!I861)</f>
        <v/>
      </c>
      <c r="K2384" s="225" t="s">
        <v>4159</v>
      </c>
      <c r="O2384" s="225" t="s">
        <v>4159</v>
      </c>
    </row>
    <row r="2385" spans="1:15" ht="12.75" customHeight="1" x14ac:dyDescent="0.3">
      <c r="A2385" s="797"/>
      <c r="B2385" s="797"/>
      <c r="C2385" s="797" t="s">
        <v>1465</v>
      </c>
      <c r="D2385" s="797"/>
      <c r="E2385" s="797"/>
      <c r="F2385" s="797"/>
      <c r="G2385" s="796" t="s">
        <v>3395</v>
      </c>
      <c r="H2385" s="796" t="s">
        <v>291</v>
      </c>
      <c r="I2385" s="220" t="str">
        <f>IF(ISBLANK(global!I862),"",global!I862)</f>
        <v/>
      </c>
      <c r="K2385" s="225" t="s">
        <v>4159</v>
      </c>
      <c r="O2385" s="225" t="s">
        <v>4159</v>
      </c>
    </row>
    <row r="2386" spans="1:15" ht="12.75" customHeight="1" x14ac:dyDescent="0.3">
      <c r="A2386" s="797"/>
      <c r="B2386" s="797"/>
      <c r="C2386" s="797" t="s">
        <v>1467</v>
      </c>
      <c r="D2386" s="797"/>
      <c r="E2386" s="797"/>
      <c r="F2386" s="797"/>
      <c r="G2386" s="796" t="s">
        <v>3396</v>
      </c>
      <c r="H2386" s="796" t="s">
        <v>291</v>
      </c>
      <c r="I2386" s="220" t="str">
        <f>IF(ISBLANK(global!I863),"",global!I863)</f>
        <v/>
      </c>
      <c r="K2386" s="225" t="s">
        <v>4159</v>
      </c>
      <c r="O2386" s="225" t="s">
        <v>4159</v>
      </c>
    </row>
    <row r="2387" spans="1:15" ht="12.75" customHeight="1" x14ac:dyDescent="0.3">
      <c r="A2387" s="797"/>
      <c r="B2387" s="797"/>
      <c r="C2387" s="797"/>
      <c r="D2387" s="797" t="s">
        <v>1471</v>
      </c>
      <c r="E2387" s="797"/>
      <c r="F2387" s="797"/>
      <c r="G2387" s="797" t="s">
        <v>3397</v>
      </c>
      <c r="H2387" s="796" t="s">
        <v>1473</v>
      </c>
      <c r="I2387" s="220" t="str">
        <f>IF(ISBLANK(global!I864),"",global!I864)</f>
        <v/>
      </c>
      <c r="K2387" s="225" t="s">
        <v>4159</v>
      </c>
      <c r="O2387" s="225" t="s">
        <v>4159</v>
      </c>
    </row>
    <row r="2388" spans="1:15" ht="12.75" customHeight="1" x14ac:dyDescent="0.3">
      <c r="A2388" s="797"/>
      <c r="B2388" s="797"/>
      <c r="C2388" s="797"/>
      <c r="D2388" s="797" t="s">
        <v>1474</v>
      </c>
      <c r="E2388" s="797"/>
      <c r="F2388" s="797"/>
      <c r="G2388" s="797" t="s">
        <v>3398</v>
      </c>
      <c r="H2388" s="796" t="s">
        <v>291</v>
      </c>
      <c r="I2388" s="220" t="str">
        <f>IF(ISBLANK(global!I865),"",global!I865)</f>
        <v/>
      </c>
      <c r="K2388" s="225" t="s">
        <v>4159</v>
      </c>
      <c r="O2388" s="225" t="s">
        <v>4159</v>
      </c>
    </row>
    <row r="2389" spans="1:15" ht="12.75" customHeight="1" x14ac:dyDescent="0.3">
      <c r="A2389" s="797"/>
      <c r="B2389" s="797"/>
      <c r="C2389" s="797"/>
      <c r="D2389" s="797" t="s">
        <v>1469</v>
      </c>
      <c r="E2389" s="797"/>
      <c r="F2389" s="797"/>
      <c r="G2389" s="797" t="s">
        <v>3399</v>
      </c>
      <c r="H2389" s="796" t="s">
        <v>291</v>
      </c>
      <c r="I2389" s="220" t="str">
        <f>IF(ISBLANK(global!I866),"",global!I866)</f>
        <v/>
      </c>
      <c r="K2389" s="225" t="s">
        <v>4159</v>
      </c>
      <c r="O2389" s="225" t="s">
        <v>4159</v>
      </c>
    </row>
    <row r="2390" spans="1:15" ht="12.75" customHeight="1" x14ac:dyDescent="0.3">
      <c r="A2390" s="797"/>
      <c r="B2390" s="797"/>
      <c r="C2390" s="797"/>
      <c r="D2390" s="797" t="s">
        <v>1476</v>
      </c>
      <c r="E2390" s="797"/>
      <c r="F2390" s="797"/>
      <c r="G2390" s="796" t="s">
        <v>3400</v>
      </c>
      <c r="H2390" s="796" t="s">
        <v>291</v>
      </c>
      <c r="I2390" s="220" t="str">
        <f>IF(ISBLANK(global!I867),"",global!I867)</f>
        <v/>
      </c>
      <c r="K2390" s="225" t="s">
        <v>4159</v>
      </c>
      <c r="O2390" s="225" t="s">
        <v>4159</v>
      </c>
    </row>
    <row r="2391" spans="1:15" ht="12.75" customHeight="1" x14ac:dyDescent="0.3">
      <c r="I2391" s="220" t="str">
        <f>IF(ISBLANK(global!I868),"",global!I868)</f>
        <v/>
      </c>
      <c r="K2391" s="225" t="s">
        <v>4159</v>
      </c>
      <c r="O2391" s="225" t="s">
        <v>4159</v>
      </c>
    </row>
    <row r="2392" spans="1:15" ht="12.75" customHeight="1" x14ac:dyDescent="0.3">
      <c r="A2392" s="836" t="s">
        <v>1541</v>
      </c>
      <c r="B2392" s="837"/>
      <c r="C2392" s="837"/>
      <c r="D2392" s="837"/>
      <c r="E2392" s="837"/>
      <c r="F2392" s="837"/>
      <c r="G2392" s="836" t="s">
        <v>258</v>
      </c>
      <c r="H2392" s="836" t="s">
        <v>274</v>
      </c>
      <c r="I2392" s="220" t="str">
        <f>IF(ISBLANK(global!I869),"",global!I869)</f>
        <v>User input</v>
      </c>
      <c r="K2392" s="225" t="s">
        <v>259</v>
      </c>
      <c r="O2392" s="225" t="s">
        <v>259</v>
      </c>
    </row>
    <row r="2393" spans="1:15" ht="12.75" customHeight="1" x14ac:dyDescent="0.3">
      <c r="A2393" s="778" t="s">
        <v>3401</v>
      </c>
      <c r="I2393" s="220" t="str">
        <f>IF(ISBLANK(global!I870),"",global!I870)</f>
        <v/>
      </c>
      <c r="K2393" s="225" t="s">
        <v>4159</v>
      </c>
      <c r="O2393" s="225" t="s">
        <v>4159</v>
      </c>
    </row>
    <row r="2394" spans="1:15" ht="12.75" customHeight="1" x14ac:dyDescent="0.3">
      <c r="A2394" s="797"/>
      <c r="B2394" s="797" t="s">
        <v>1543</v>
      </c>
      <c r="C2394" s="797"/>
      <c r="D2394" s="797"/>
      <c r="E2394" s="797"/>
      <c r="F2394" s="797"/>
      <c r="G2394" s="796" t="s">
        <v>3402</v>
      </c>
      <c r="H2394" s="796" t="s">
        <v>813</v>
      </c>
      <c r="I2394" s="220" t="str">
        <f>IF(ISBLANK(global!I871),"",global!I871)</f>
        <v/>
      </c>
      <c r="K2394" s="225" t="s">
        <v>4159</v>
      </c>
      <c r="O2394" s="225" t="s">
        <v>4159</v>
      </c>
    </row>
    <row r="2395" spans="1:15" ht="12.75" customHeight="1" x14ac:dyDescent="0.3">
      <c r="A2395" s="797"/>
      <c r="B2395" s="797" t="s">
        <v>1546</v>
      </c>
      <c r="C2395" s="797"/>
      <c r="D2395" s="797"/>
      <c r="E2395" s="797"/>
      <c r="F2395" s="797"/>
      <c r="G2395" s="796" t="s">
        <v>3403</v>
      </c>
      <c r="H2395" s="796" t="s">
        <v>291</v>
      </c>
      <c r="I2395" s="220" t="str">
        <f>IF(ISBLANK(global!I872),"",global!I872)</f>
        <v/>
      </c>
      <c r="K2395" s="225" t="s">
        <v>4159</v>
      </c>
      <c r="O2395" s="225" t="s">
        <v>4159</v>
      </c>
    </row>
    <row r="2396" spans="1:15" ht="12.75" customHeight="1" x14ac:dyDescent="0.3">
      <c r="A2396" s="797"/>
      <c r="B2396" s="797" t="s">
        <v>1549</v>
      </c>
      <c r="C2396" s="797"/>
      <c r="D2396" s="797"/>
      <c r="E2396" s="797"/>
      <c r="F2396" s="797"/>
      <c r="G2396" s="796" t="s">
        <v>3404</v>
      </c>
      <c r="H2396" s="796" t="s">
        <v>866</v>
      </c>
      <c r="I2396" s="220" t="str">
        <f>IF(ISBLANK(global!I873),"",global!I873)</f>
        <v/>
      </c>
      <c r="K2396" s="225" t="s">
        <v>4159</v>
      </c>
      <c r="O2396" s="225" t="s">
        <v>4159</v>
      </c>
    </row>
    <row r="2397" spans="1:15" ht="12.75" customHeight="1" x14ac:dyDescent="0.3">
      <c r="A2397" s="797"/>
      <c r="B2397" s="797" t="s">
        <v>1553</v>
      </c>
      <c r="C2397" s="797"/>
      <c r="D2397" s="797"/>
      <c r="E2397" s="797"/>
      <c r="F2397" s="797"/>
      <c r="G2397" s="796" t="s">
        <v>3405</v>
      </c>
      <c r="H2397" s="796" t="s">
        <v>866</v>
      </c>
      <c r="I2397" s="220" t="str">
        <f>IF(ISBLANK(global!I874),"",global!I874)</f>
        <v/>
      </c>
      <c r="K2397" s="225" t="s">
        <v>4159</v>
      </c>
      <c r="O2397" s="225" t="s">
        <v>4159</v>
      </c>
    </row>
    <row r="2398" spans="1:15" ht="12.75" customHeight="1" x14ac:dyDescent="0.3">
      <c r="A2398" s="797"/>
      <c r="B2398" s="797" t="s">
        <v>1555</v>
      </c>
      <c r="C2398" s="797"/>
      <c r="D2398" s="797"/>
      <c r="E2398" s="797"/>
      <c r="F2398" s="797"/>
      <c r="G2398" s="796" t="s">
        <v>3406</v>
      </c>
      <c r="H2398" s="796" t="s">
        <v>291</v>
      </c>
      <c r="I2398" s="220" t="str">
        <f>IF(ISBLANK(global!I875),"",global!I875)</f>
        <v/>
      </c>
      <c r="K2398" s="225" t="s">
        <v>4159</v>
      </c>
      <c r="O2398" s="225" t="s">
        <v>4159</v>
      </c>
    </row>
    <row r="2399" spans="1:15" ht="12.75" customHeight="1" x14ac:dyDescent="0.3">
      <c r="A2399" s="797"/>
      <c r="B2399" s="797" t="s">
        <v>1557</v>
      </c>
      <c r="C2399" s="797"/>
      <c r="D2399" s="797"/>
      <c r="E2399" s="797"/>
      <c r="F2399" s="797"/>
      <c r="G2399" s="796" t="s">
        <v>3407</v>
      </c>
      <c r="H2399" s="796" t="s">
        <v>291</v>
      </c>
      <c r="I2399" s="220" t="str">
        <f>IF(ISBLANK(global!I876),"",global!I876)</f>
        <v/>
      </c>
      <c r="K2399" s="225" t="s">
        <v>4159</v>
      </c>
      <c r="O2399" s="225" t="s">
        <v>4159</v>
      </c>
    </row>
    <row r="2400" spans="1:15" ht="12.75" customHeight="1" x14ac:dyDescent="0.3">
      <c r="A2400" s="797"/>
      <c r="B2400" s="797" t="s">
        <v>1559</v>
      </c>
      <c r="C2400" s="797"/>
      <c r="D2400" s="797"/>
      <c r="E2400" s="797"/>
      <c r="F2400" s="797"/>
      <c r="G2400" s="796" t="s">
        <v>3408</v>
      </c>
      <c r="H2400" s="796" t="s">
        <v>291</v>
      </c>
      <c r="I2400" s="220" t="str">
        <f>IF(ISBLANK(global!I877),"",global!I877)</f>
        <v/>
      </c>
      <c r="K2400" s="225" t="s">
        <v>4159</v>
      </c>
      <c r="O2400" s="225" t="s">
        <v>4159</v>
      </c>
    </row>
    <row r="2401" spans="1:15" ht="12.75" customHeight="1" x14ac:dyDescent="0.3">
      <c r="A2401" s="778" t="s">
        <v>3409</v>
      </c>
      <c r="G2401" s="778"/>
      <c r="H2401" s="778"/>
      <c r="I2401" s="220" t="str">
        <f>IF(ISBLANK(global!I878),"",global!I878)</f>
        <v/>
      </c>
      <c r="K2401" s="225" t="s">
        <v>4159</v>
      </c>
      <c r="O2401" s="225" t="s">
        <v>4159</v>
      </c>
    </row>
    <row r="2402" spans="1:15" ht="12.75" customHeight="1" x14ac:dyDescent="0.3">
      <c r="A2402" s="797"/>
      <c r="B2402" s="797" t="s">
        <v>1562</v>
      </c>
      <c r="C2402" s="797"/>
      <c r="D2402" s="797"/>
      <c r="E2402" s="797"/>
      <c r="F2402" s="797"/>
      <c r="G2402" s="797" t="s">
        <v>3410</v>
      </c>
      <c r="H2402" s="797" t="s">
        <v>813</v>
      </c>
      <c r="I2402" s="220" t="str">
        <f>IF(ISBLANK(global!I879),"",global!I879)</f>
        <v/>
      </c>
      <c r="K2402" s="225" t="s">
        <v>4159</v>
      </c>
      <c r="O2402" s="225" t="s">
        <v>4159</v>
      </c>
    </row>
    <row r="2403" spans="1:15" ht="12.75" customHeight="1" x14ac:dyDescent="0.3">
      <c r="A2403" s="797"/>
      <c r="B2403" s="797" t="s">
        <v>1564</v>
      </c>
      <c r="C2403" s="797"/>
      <c r="D2403" s="797"/>
      <c r="E2403" s="797"/>
      <c r="F2403" s="797"/>
      <c r="G2403" s="797" t="s">
        <v>3411</v>
      </c>
      <c r="H2403" s="797" t="s">
        <v>282</v>
      </c>
      <c r="I2403" s="220" t="str">
        <f>IF(ISBLANK(global!I880),"",global!I880)</f>
        <v/>
      </c>
      <c r="K2403" s="225" t="s">
        <v>4159</v>
      </c>
      <c r="O2403" s="225" t="s">
        <v>4159</v>
      </c>
    </row>
    <row r="2404" spans="1:15" ht="12.75" customHeight="1" x14ac:dyDescent="0.3">
      <c r="A2404" s="797"/>
      <c r="B2404" s="797"/>
      <c r="C2404" s="797" t="s">
        <v>1566</v>
      </c>
      <c r="D2404" s="797"/>
      <c r="E2404" s="797"/>
      <c r="F2404" s="797"/>
      <c r="G2404" s="797" t="s">
        <v>3412</v>
      </c>
      <c r="H2404" s="797" t="s">
        <v>857</v>
      </c>
      <c r="I2404" s="220" t="str">
        <f>IF(ISBLANK(global!I881),"",global!I881)</f>
        <v/>
      </c>
      <c r="K2404" s="225" t="s">
        <v>4159</v>
      </c>
      <c r="O2404" s="225" t="s">
        <v>4159</v>
      </c>
    </row>
    <row r="2405" spans="1:15" ht="12.75" customHeight="1" x14ac:dyDescent="0.3">
      <c r="A2405" s="797"/>
      <c r="B2405" s="797"/>
      <c r="C2405" s="797" t="s">
        <v>1568</v>
      </c>
      <c r="D2405" s="797"/>
      <c r="E2405" s="797"/>
      <c r="F2405" s="797"/>
      <c r="G2405" s="797" t="s">
        <v>3413</v>
      </c>
      <c r="H2405" s="797" t="s">
        <v>888</v>
      </c>
      <c r="I2405" s="220" t="str">
        <f>IF(ISBLANK(global!I882),"",global!I882)</f>
        <v/>
      </c>
      <c r="K2405" s="225" t="s">
        <v>4159</v>
      </c>
      <c r="O2405" s="225" t="s">
        <v>4159</v>
      </c>
    </row>
    <row r="2406" spans="1:15" ht="12.75" customHeight="1" x14ac:dyDescent="0.3">
      <c r="A2406" s="778" t="s">
        <v>3414</v>
      </c>
      <c r="G2406" s="778"/>
      <c r="H2406" s="778"/>
      <c r="I2406" s="220" t="str">
        <f>IF(ISBLANK(global!I883),"",global!I883)</f>
        <v/>
      </c>
      <c r="K2406" s="225" t="s">
        <v>4159</v>
      </c>
      <c r="O2406" s="225" t="s">
        <v>4159</v>
      </c>
    </row>
    <row r="2407" spans="1:15" ht="12.75" customHeight="1" x14ac:dyDescent="0.3">
      <c r="A2407" s="797" t="s">
        <v>1571</v>
      </c>
      <c r="B2407" s="797"/>
      <c r="C2407" s="797"/>
      <c r="D2407" s="797"/>
      <c r="E2407" s="797"/>
      <c r="F2407" s="797"/>
      <c r="G2407" s="796" t="s">
        <v>3415</v>
      </c>
      <c r="H2407" s="796" t="s">
        <v>335</v>
      </c>
      <c r="I2407" s="220" t="str">
        <f>IF(ISBLANK(global!I884),"",global!I884)</f>
        <v/>
      </c>
      <c r="K2407" s="225" t="s">
        <v>4159</v>
      </c>
      <c r="O2407" s="225" t="s">
        <v>4159</v>
      </c>
    </row>
    <row r="2408" spans="1:15" ht="12.75" customHeight="1" x14ac:dyDescent="0.3">
      <c r="A2408" s="797"/>
      <c r="B2408" s="797" t="s">
        <v>1574</v>
      </c>
      <c r="C2408" s="797"/>
      <c r="D2408" s="797"/>
      <c r="E2408" s="797"/>
      <c r="F2408" s="797"/>
      <c r="G2408" s="796" t="s">
        <v>3416</v>
      </c>
      <c r="H2408" s="796" t="s">
        <v>1576</v>
      </c>
      <c r="I2408" s="220" t="str">
        <f>IF(ISBLANK(global!I885),"",global!I885)</f>
        <v/>
      </c>
      <c r="K2408" s="225" t="s">
        <v>4159</v>
      </c>
      <c r="O2408" s="225" t="s">
        <v>4159</v>
      </c>
    </row>
    <row r="2409" spans="1:15" ht="12.75" customHeight="1" x14ac:dyDescent="0.3">
      <c r="A2409" s="797"/>
      <c r="B2409" s="797" t="s">
        <v>1577</v>
      </c>
      <c r="C2409" s="797"/>
      <c r="D2409" s="797"/>
      <c r="E2409" s="797"/>
      <c r="F2409" s="797"/>
      <c r="G2409" s="796" t="s">
        <v>3417</v>
      </c>
      <c r="H2409" s="796" t="s">
        <v>291</v>
      </c>
      <c r="I2409" s="220" t="str">
        <f>IF(ISBLANK(global!I886),"",global!I886)</f>
        <v/>
      </c>
      <c r="K2409" s="225" t="s">
        <v>4159</v>
      </c>
      <c r="O2409" s="225" t="s">
        <v>4159</v>
      </c>
    </row>
    <row r="2410" spans="1:15" ht="12.75" customHeight="1" x14ac:dyDescent="0.3">
      <c r="A2410" s="797"/>
      <c r="B2410" s="797" t="s">
        <v>1580</v>
      </c>
      <c r="C2410" s="797"/>
      <c r="D2410" s="797"/>
      <c r="E2410" s="797"/>
      <c r="F2410" s="797"/>
      <c r="G2410" s="796" t="s">
        <v>3418</v>
      </c>
      <c r="H2410" s="796" t="s">
        <v>866</v>
      </c>
      <c r="I2410" s="220" t="str">
        <f>IF(ISBLANK(global!I887),"",global!I887)</f>
        <v/>
      </c>
      <c r="K2410" s="225" t="s">
        <v>4159</v>
      </c>
      <c r="O2410" s="225" t="s">
        <v>4159</v>
      </c>
    </row>
    <row r="2411" spans="1:15" ht="12.75" customHeight="1" x14ac:dyDescent="0.3">
      <c r="A2411" s="797"/>
      <c r="B2411" s="797" t="s">
        <v>1582</v>
      </c>
      <c r="C2411" s="797"/>
      <c r="D2411" s="797"/>
      <c r="E2411" s="797"/>
      <c r="F2411" s="797"/>
      <c r="G2411" s="796" t="s">
        <v>3419</v>
      </c>
      <c r="H2411" s="796" t="s">
        <v>291</v>
      </c>
      <c r="I2411" s="220" t="str">
        <f>IF(ISBLANK(global!I888),"",global!I888)</f>
        <v/>
      </c>
      <c r="K2411" s="225" t="s">
        <v>4159</v>
      </c>
      <c r="O2411" s="225" t="s">
        <v>4159</v>
      </c>
    </row>
    <row r="2412" spans="1:15" ht="12.75" customHeight="1" x14ac:dyDescent="0.3">
      <c r="A2412" s="797"/>
      <c r="B2412" s="797"/>
      <c r="C2412" s="797" t="s">
        <v>1584</v>
      </c>
      <c r="D2412" s="797"/>
      <c r="E2412" s="797"/>
      <c r="F2412" s="797"/>
      <c r="G2412" s="796" t="s">
        <v>3420</v>
      </c>
      <c r="H2412" s="796" t="s">
        <v>291</v>
      </c>
      <c r="I2412" s="220" t="str">
        <f>IF(ISBLANK(global!I889),"",global!I889)</f>
        <v/>
      </c>
      <c r="K2412" s="225" t="s">
        <v>4159</v>
      </c>
      <c r="O2412" s="225" t="s">
        <v>4159</v>
      </c>
    </row>
    <row r="2413" spans="1:15" ht="12.75" customHeight="1" x14ac:dyDescent="0.3">
      <c r="A2413" s="797"/>
      <c r="B2413" s="797"/>
      <c r="C2413" s="797" t="s">
        <v>1586</v>
      </c>
      <c r="D2413" s="797"/>
      <c r="E2413" s="797"/>
      <c r="F2413" s="797"/>
      <c r="G2413" s="796" t="s">
        <v>3421</v>
      </c>
      <c r="H2413" s="796" t="s">
        <v>291</v>
      </c>
      <c r="I2413" s="220" t="str">
        <f>IF(ISBLANK(global!I890),"",global!I890)</f>
        <v/>
      </c>
      <c r="K2413" s="225" t="s">
        <v>4159</v>
      </c>
      <c r="O2413" s="225" t="s">
        <v>4159</v>
      </c>
    </row>
    <row r="2414" spans="1:15" ht="12.75" customHeight="1" x14ac:dyDescent="0.3">
      <c r="A2414" s="797"/>
      <c r="B2414" s="797"/>
      <c r="C2414" s="797" t="s">
        <v>1588</v>
      </c>
      <c r="D2414" s="797"/>
      <c r="E2414" s="797"/>
      <c r="F2414" s="797"/>
      <c r="G2414" s="796" t="s">
        <v>3422</v>
      </c>
      <c r="H2414" s="796" t="s">
        <v>291</v>
      </c>
      <c r="I2414" s="220" t="str">
        <f>IF(ISBLANK(global!I891),"",global!I891)</f>
        <v/>
      </c>
      <c r="K2414" s="225" t="s">
        <v>4159</v>
      </c>
      <c r="O2414" s="225" t="s">
        <v>4159</v>
      </c>
    </row>
    <row r="2415" spans="1:15" ht="12.75" customHeight="1" x14ac:dyDescent="0.3">
      <c r="A2415" s="797"/>
      <c r="B2415" s="797"/>
      <c r="C2415" s="797" t="s">
        <v>1590</v>
      </c>
      <c r="D2415" s="797"/>
      <c r="E2415" s="797"/>
      <c r="F2415" s="797"/>
      <c r="G2415" s="796" t="s">
        <v>3423</v>
      </c>
      <c r="H2415" s="796" t="s">
        <v>291</v>
      </c>
      <c r="I2415" s="220" t="str">
        <f>IF(ISBLANK(global!I892),"",global!I892)</f>
        <v/>
      </c>
      <c r="K2415" s="225" t="s">
        <v>4159</v>
      </c>
      <c r="O2415" s="225" t="s">
        <v>4159</v>
      </c>
    </row>
    <row r="2416" spans="1:15" ht="12.75" customHeight="1" x14ac:dyDescent="0.3">
      <c r="A2416" s="797" t="s">
        <v>1592</v>
      </c>
      <c r="B2416" s="797"/>
      <c r="C2416" s="797"/>
      <c r="D2416" s="797"/>
      <c r="E2416" s="797"/>
      <c r="F2416" s="797"/>
      <c r="G2416" s="796" t="s">
        <v>3424</v>
      </c>
      <c r="H2416" s="796" t="s">
        <v>335</v>
      </c>
      <c r="I2416" s="220" t="str">
        <f>IF(ISBLANK(global!I893),"",global!I893)</f>
        <v/>
      </c>
      <c r="K2416" s="225" t="s">
        <v>4159</v>
      </c>
      <c r="O2416" s="225" t="s">
        <v>4159</v>
      </c>
    </row>
    <row r="2417" spans="1:15" ht="12.75" customHeight="1" x14ac:dyDescent="0.3">
      <c r="A2417" s="797"/>
      <c r="B2417" s="797" t="s">
        <v>1594</v>
      </c>
      <c r="C2417" s="797"/>
      <c r="D2417" s="797"/>
      <c r="E2417" s="797"/>
      <c r="F2417" s="797"/>
      <c r="G2417" s="796" t="s">
        <v>3425</v>
      </c>
      <c r="H2417" s="796" t="s">
        <v>291</v>
      </c>
      <c r="I2417" s="220" t="str">
        <f>IF(ISBLANK(global!I894),"",global!I894)</f>
        <v/>
      </c>
      <c r="K2417" s="225" t="s">
        <v>4159</v>
      </c>
      <c r="O2417" s="225" t="s">
        <v>4159</v>
      </c>
    </row>
    <row r="2418" spans="1:15" ht="12.75" customHeight="1" x14ac:dyDescent="0.3">
      <c r="A2418" s="797"/>
      <c r="B2418" s="797" t="s">
        <v>1596</v>
      </c>
      <c r="C2418" s="797"/>
      <c r="D2418" s="797"/>
      <c r="E2418" s="797"/>
      <c r="F2418" s="797"/>
      <c r="G2418" s="796" t="s">
        <v>3426</v>
      </c>
      <c r="H2418" s="796"/>
      <c r="I2418" s="220" t="str">
        <f>IF(ISBLANK(global!I895),"",global!I895)</f>
        <v/>
      </c>
      <c r="K2418" s="225" t="s">
        <v>4159</v>
      </c>
      <c r="O2418" s="225" t="s">
        <v>4159</v>
      </c>
    </row>
    <row r="2419" spans="1:15" ht="12.75" customHeight="1" x14ac:dyDescent="0.3">
      <c r="A2419" s="797"/>
      <c r="B2419" s="797" t="s">
        <v>1574</v>
      </c>
      <c r="C2419" s="797"/>
      <c r="D2419" s="797"/>
      <c r="E2419" s="797"/>
      <c r="F2419" s="797"/>
      <c r="G2419" s="796" t="s">
        <v>3427</v>
      </c>
      <c r="H2419" s="796" t="s">
        <v>1576</v>
      </c>
      <c r="I2419" s="220" t="str">
        <f>IF(ISBLANK(global!I896),"",global!I896)</f>
        <v/>
      </c>
      <c r="K2419" s="225" t="s">
        <v>4159</v>
      </c>
      <c r="O2419" s="225" t="s">
        <v>4159</v>
      </c>
    </row>
    <row r="2420" spans="1:15" ht="12.75" customHeight="1" x14ac:dyDescent="0.3">
      <c r="A2420" s="797"/>
      <c r="B2420" s="797" t="s">
        <v>1599</v>
      </c>
      <c r="C2420" s="797"/>
      <c r="D2420" s="797"/>
      <c r="E2420" s="797"/>
      <c r="F2420" s="797"/>
      <c r="G2420" s="796" t="s">
        <v>3428</v>
      </c>
      <c r="H2420" s="796" t="s">
        <v>291</v>
      </c>
      <c r="I2420" s="220" t="str">
        <f>IF(ISBLANK(global!I897),"",global!I897)</f>
        <v/>
      </c>
      <c r="K2420" s="225" t="s">
        <v>4159</v>
      </c>
      <c r="O2420" s="225" t="s">
        <v>4159</v>
      </c>
    </row>
    <row r="2421" spans="1:15" ht="12.75" customHeight="1" x14ac:dyDescent="0.3">
      <c r="A2421" s="797"/>
      <c r="B2421" s="797" t="s">
        <v>1580</v>
      </c>
      <c r="C2421" s="797"/>
      <c r="D2421" s="797"/>
      <c r="E2421" s="797"/>
      <c r="F2421" s="797"/>
      <c r="G2421" s="796" t="s">
        <v>3429</v>
      </c>
      <c r="H2421" s="796" t="s">
        <v>866</v>
      </c>
      <c r="I2421" s="220" t="str">
        <f>IF(ISBLANK(global!I898),"",global!I898)</f>
        <v/>
      </c>
      <c r="K2421" s="225" t="s">
        <v>4159</v>
      </c>
      <c r="O2421" s="225" t="s">
        <v>4159</v>
      </c>
    </row>
    <row r="2422" spans="1:15" ht="12.75" customHeight="1" x14ac:dyDescent="0.3">
      <c r="A2422" s="797"/>
      <c r="B2422" s="797" t="s">
        <v>1582</v>
      </c>
      <c r="C2422" s="797"/>
      <c r="D2422" s="797"/>
      <c r="E2422" s="797"/>
      <c r="F2422" s="797"/>
      <c r="G2422" s="796" t="s">
        <v>3430</v>
      </c>
      <c r="H2422" s="796" t="s">
        <v>291</v>
      </c>
      <c r="I2422" s="220" t="str">
        <f>IF(ISBLANK(global!I899),"",global!I899)</f>
        <v/>
      </c>
      <c r="K2422" s="225" t="s">
        <v>4159</v>
      </c>
      <c r="O2422" s="225" t="s">
        <v>4159</v>
      </c>
    </row>
    <row r="2423" spans="1:15" ht="12.75" customHeight="1" x14ac:dyDescent="0.3">
      <c r="A2423" s="797"/>
      <c r="B2423" s="797"/>
      <c r="C2423" s="797" t="s">
        <v>1584</v>
      </c>
      <c r="D2423" s="797"/>
      <c r="E2423" s="797"/>
      <c r="F2423" s="797"/>
      <c r="G2423" s="796" t="s">
        <v>3431</v>
      </c>
      <c r="H2423" s="796" t="s">
        <v>291</v>
      </c>
      <c r="I2423" s="220" t="str">
        <f>IF(ISBLANK(global!I900),"",global!I900)</f>
        <v/>
      </c>
      <c r="K2423" s="225" t="s">
        <v>4159</v>
      </c>
      <c r="O2423" s="225" t="s">
        <v>4159</v>
      </c>
    </row>
    <row r="2424" spans="1:15" ht="12.75" customHeight="1" x14ac:dyDescent="0.3">
      <c r="A2424" s="797"/>
      <c r="B2424" s="797"/>
      <c r="C2424" s="797" t="s">
        <v>1586</v>
      </c>
      <c r="D2424" s="797"/>
      <c r="E2424" s="797"/>
      <c r="F2424" s="797"/>
      <c r="G2424" s="796" t="s">
        <v>3432</v>
      </c>
      <c r="H2424" s="796" t="s">
        <v>291</v>
      </c>
      <c r="I2424" s="220" t="str">
        <f>IF(ISBLANK(global!I901),"",global!I901)</f>
        <v/>
      </c>
      <c r="K2424" s="225" t="s">
        <v>4159</v>
      </c>
      <c r="O2424" s="225" t="s">
        <v>4159</v>
      </c>
    </row>
    <row r="2425" spans="1:15" ht="12.75" customHeight="1" x14ac:dyDescent="0.3">
      <c r="A2425" s="797"/>
      <c r="B2425" s="797"/>
      <c r="C2425" s="797" t="s">
        <v>1588</v>
      </c>
      <c r="D2425" s="797"/>
      <c r="E2425" s="797"/>
      <c r="F2425" s="797"/>
      <c r="G2425" s="796" t="s">
        <v>3433</v>
      </c>
      <c r="H2425" s="796" t="s">
        <v>291</v>
      </c>
      <c r="I2425" s="220" t="str">
        <f>IF(ISBLANK(global!I902),"",global!I902)</f>
        <v/>
      </c>
      <c r="K2425" s="225" t="s">
        <v>4159</v>
      </c>
      <c r="O2425" s="225" t="s">
        <v>4159</v>
      </c>
    </row>
    <row r="2426" spans="1:15" ht="12.75" customHeight="1" x14ac:dyDescent="0.3">
      <c r="A2426" s="797"/>
      <c r="B2426" s="797"/>
      <c r="C2426" s="797" t="s">
        <v>1590</v>
      </c>
      <c r="D2426" s="797"/>
      <c r="E2426" s="797"/>
      <c r="F2426" s="797"/>
      <c r="G2426" s="796" t="s">
        <v>3434</v>
      </c>
      <c r="H2426" s="796" t="s">
        <v>291</v>
      </c>
      <c r="I2426" s="220" t="str">
        <f>IF(ISBLANK(global!I903),"",global!I903)</f>
        <v/>
      </c>
      <c r="K2426" s="225" t="s">
        <v>4159</v>
      </c>
      <c r="O2426" s="225" t="s">
        <v>4159</v>
      </c>
    </row>
    <row r="2427" spans="1:15" ht="12.75" customHeight="1" x14ac:dyDescent="0.3">
      <c r="A2427" s="797" t="s">
        <v>1607</v>
      </c>
      <c r="B2427" s="797"/>
      <c r="C2427" s="797"/>
      <c r="D2427" s="797"/>
      <c r="E2427" s="797"/>
      <c r="F2427" s="797"/>
      <c r="G2427" s="796" t="s">
        <v>3435</v>
      </c>
      <c r="H2427" s="796" t="s">
        <v>335</v>
      </c>
      <c r="I2427" s="220" t="str">
        <f>IF(ISBLANK(global!I904),"",global!I904)</f>
        <v/>
      </c>
      <c r="K2427" s="225" t="s">
        <v>4159</v>
      </c>
      <c r="O2427" s="225" t="s">
        <v>4159</v>
      </c>
    </row>
    <row r="2428" spans="1:15" ht="12.75" customHeight="1" x14ac:dyDescent="0.3">
      <c r="A2428" s="797" t="s">
        <v>2784</v>
      </c>
      <c r="B2428" s="797"/>
      <c r="C2428" s="797"/>
      <c r="D2428" s="797"/>
      <c r="E2428" s="797"/>
      <c r="F2428" s="797"/>
      <c r="G2428" s="796" t="s">
        <v>3436</v>
      </c>
      <c r="H2428" s="796" t="s">
        <v>335</v>
      </c>
      <c r="I2428" s="220" t="str">
        <f>IF(ISBLANK(global!I905),"",global!I905)</f>
        <v/>
      </c>
      <c r="K2428" s="225" t="s">
        <v>4159</v>
      </c>
      <c r="O2428" s="225" t="s">
        <v>4159</v>
      </c>
    </row>
    <row r="2429" spans="1:15" ht="12.75" customHeight="1" x14ac:dyDescent="0.3">
      <c r="A2429" s="797"/>
      <c r="B2429" s="797" t="s">
        <v>1612</v>
      </c>
      <c r="C2429" s="797"/>
      <c r="D2429" s="797"/>
      <c r="E2429" s="797"/>
      <c r="F2429" s="797"/>
      <c r="G2429" s="796" t="s">
        <v>3437</v>
      </c>
      <c r="H2429" s="796" t="s">
        <v>866</v>
      </c>
      <c r="I2429" s="220" t="str">
        <f>IF(ISBLANK(global!I906),"",global!I906)</f>
        <v/>
      </c>
      <c r="K2429" s="225" t="s">
        <v>4159</v>
      </c>
      <c r="O2429" s="225" t="s">
        <v>4159</v>
      </c>
    </row>
    <row r="2430" spans="1:15" ht="12.75" customHeight="1" x14ac:dyDescent="0.3">
      <c r="A2430" s="797"/>
      <c r="B2430" s="797" t="s">
        <v>1614</v>
      </c>
      <c r="C2430" s="797"/>
      <c r="D2430" s="797"/>
      <c r="E2430" s="797"/>
      <c r="F2430" s="797"/>
      <c r="G2430" s="796" t="s">
        <v>3438</v>
      </c>
      <c r="H2430" s="796" t="s">
        <v>1616</v>
      </c>
      <c r="I2430" s="220" t="str">
        <f>IF(ISBLANK(global!I907),"",global!I907)</f>
        <v/>
      </c>
      <c r="K2430" s="225" t="s">
        <v>4159</v>
      </c>
      <c r="O2430" s="225" t="s">
        <v>4159</v>
      </c>
    </row>
    <row r="2431" spans="1:15" ht="12.75" customHeight="1" x14ac:dyDescent="0.3">
      <c r="A2431" s="797"/>
      <c r="B2431" s="797" t="s">
        <v>1619</v>
      </c>
      <c r="C2431" s="797"/>
      <c r="D2431" s="797"/>
      <c r="E2431" s="797"/>
      <c r="F2431" s="797"/>
      <c r="G2431" s="796" t="s">
        <v>3439</v>
      </c>
      <c r="H2431" s="796" t="s">
        <v>1616</v>
      </c>
      <c r="I2431" s="220" t="str">
        <f>IF(ISBLANK(global!I908),"",global!I908)</f>
        <v/>
      </c>
      <c r="K2431" s="225" t="s">
        <v>4159</v>
      </c>
      <c r="O2431" s="225" t="s">
        <v>4159</v>
      </c>
    </row>
    <row r="2432" spans="1:15" ht="12.75" customHeight="1" x14ac:dyDescent="0.3">
      <c r="A2432" s="797"/>
      <c r="B2432" s="797"/>
      <c r="C2432" s="797" t="s">
        <v>1622</v>
      </c>
      <c r="D2432" s="797"/>
      <c r="E2432" s="797"/>
      <c r="F2432" s="797"/>
      <c r="G2432" s="796" t="s">
        <v>3440</v>
      </c>
      <c r="H2432" s="796" t="s">
        <v>866</v>
      </c>
      <c r="I2432" s="220" t="str">
        <f>IF(ISBLANK(global!I909),"",global!I909)</f>
        <v/>
      </c>
      <c r="K2432" s="225" t="s">
        <v>4159</v>
      </c>
      <c r="O2432" s="225" t="s">
        <v>4159</v>
      </c>
    </row>
    <row r="2433" spans="1:15" ht="12.75" customHeight="1" x14ac:dyDescent="0.3">
      <c r="A2433" s="797"/>
      <c r="B2433" s="797"/>
      <c r="C2433" s="797" t="s">
        <v>1584</v>
      </c>
      <c r="D2433" s="797"/>
      <c r="E2433" s="797"/>
      <c r="F2433" s="797"/>
      <c r="G2433" s="796" t="s">
        <v>3441</v>
      </c>
      <c r="H2433" s="796" t="s">
        <v>291</v>
      </c>
      <c r="I2433" s="220" t="str">
        <f>IF(ISBLANK(global!I910),"",global!I910)</f>
        <v/>
      </c>
      <c r="K2433" s="225" t="s">
        <v>4159</v>
      </c>
      <c r="O2433" s="225" t="s">
        <v>4159</v>
      </c>
    </row>
    <row r="2434" spans="1:15" ht="12.75" customHeight="1" x14ac:dyDescent="0.3">
      <c r="A2434" s="797"/>
      <c r="B2434" s="797"/>
      <c r="C2434" s="797" t="s">
        <v>1586</v>
      </c>
      <c r="D2434" s="797"/>
      <c r="E2434" s="797"/>
      <c r="F2434" s="797"/>
      <c r="G2434" s="796" t="s">
        <v>3442</v>
      </c>
      <c r="H2434" s="796" t="s">
        <v>291</v>
      </c>
      <c r="I2434" s="220" t="str">
        <f>IF(ISBLANK(global!I911),"",global!I911)</f>
        <v/>
      </c>
      <c r="K2434" s="225" t="s">
        <v>4159</v>
      </c>
      <c r="O2434" s="225" t="s">
        <v>4159</v>
      </c>
    </row>
    <row r="2435" spans="1:15" ht="12.75" customHeight="1" x14ac:dyDescent="0.3">
      <c r="A2435" s="797"/>
      <c r="B2435" s="797"/>
      <c r="C2435" s="797"/>
      <c r="D2435" s="797" t="s">
        <v>1629</v>
      </c>
      <c r="E2435" s="797"/>
      <c r="F2435" s="797"/>
      <c r="G2435" s="796" t="s">
        <v>3443</v>
      </c>
      <c r="H2435" s="796" t="s">
        <v>813</v>
      </c>
      <c r="I2435" s="220" t="str">
        <f>IF(ISBLANK(global!I912),"",global!I912)</f>
        <v/>
      </c>
      <c r="K2435" s="225" t="s">
        <v>4159</v>
      </c>
      <c r="O2435" s="225" t="s">
        <v>4159</v>
      </c>
    </row>
    <row r="2436" spans="1:15" ht="12.75" customHeight="1" x14ac:dyDescent="0.3">
      <c r="A2436" s="797"/>
      <c r="B2436" s="797"/>
      <c r="C2436" s="797"/>
      <c r="D2436" s="797" t="s">
        <v>1631</v>
      </c>
      <c r="E2436" s="797"/>
      <c r="F2436" s="797"/>
      <c r="G2436" s="796" t="s">
        <v>3444</v>
      </c>
      <c r="H2436" s="796" t="s">
        <v>813</v>
      </c>
      <c r="I2436" s="220" t="str">
        <f>IF(ISBLANK(global!I913),"",global!I913)</f>
        <v/>
      </c>
      <c r="K2436" s="225" t="s">
        <v>4159</v>
      </c>
      <c r="O2436" s="225" t="s">
        <v>4159</v>
      </c>
    </row>
    <row r="2437" spans="1:15" ht="12.75" customHeight="1" x14ac:dyDescent="0.3">
      <c r="A2437" s="797"/>
      <c r="B2437" s="797"/>
      <c r="C2437" s="797"/>
      <c r="D2437" s="797" t="s">
        <v>1633</v>
      </c>
      <c r="E2437" s="797"/>
      <c r="F2437" s="797"/>
      <c r="G2437" s="796" t="s">
        <v>3445</v>
      </c>
      <c r="H2437" s="796" t="s">
        <v>291</v>
      </c>
      <c r="I2437" s="220" t="str">
        <f>IF(ISBLANK(global!I914),"",global!I914)</f>
        <v/>
      </c>
      <c r="K2437" s="225" t="s">
        <v>4159</v>
      </c>
      <c r="O2437" s="225" t="s">
        <v>4159</v>
      </c>
    </row>
    <row r="2438" spans="1:15" ht="12.75" customHeight="1" x14ac:dyDescent="0.3">
      <c r="A2438" s="797"/>
      <c r="B2438" s="797"/>
      <c r="C2438" s="797" t="s">
        <v>1588</v>
      </c>
      <c r="D2438" s="797"/>
      <c r="E2438" s="797"/>
      <c r="F2438" s="797"/>
      <c r="G2438" s="796" t="s">
        <v>3446</v>
      </c>
      <c r="H2438" s="796" t="s">
        <v>291</v>
      </c>
      <c r="I2438" s="220" t="str">
        <f>IF(ISBLANK(global!I915),"",global!I915)</f>
        <v/>
      </c>
      <c r="K2438" s="225" t="s">
        <v>4159</v>
      </c>
      <c r="O2438" s="225" t="s">
        <v>4159</v>
      </c>
    </row>
    <row r="2439" spans="1:15" ht="12.75" customHeight="1" x14ac:dyDescent="0.3">
      <c r="A2439" s="797" t="s">
        <v>2796</v>
      </c>
      <c r="B2439" s="797"/>
      <c r="C2439" s="797"/>
      <c r="D2439" s="797"/>
      <c r="E2439" s="797"/>
      <c r="F2439" s="797"/>
      <c r="G2439" s="796" t="s">
        <v>3447</v>
      </c>
      <c r="H2439" s="796" t="s">
        <v>335</v>
      </c>
      <c r="I2439" s="220" t="str">
        <f>IF(ISBLANK(global!I916),"",global!I916)</f>
        <v/>
      </c>
      <c r="K2439" s="225" t="s">
        <v>4159</v>
      </c>
      <c r="O2439" s="225" t="s">
        <v>4159</v>
      </c>
    </row>
    <row r="2440" spans="1:15" ht="12.75" customHeight="1" x14ac:dyDescent="0.3">
      <c r="A2440" s="797"/>
      <c r="B2440" s="797" t="s">
        <v>1612</v>
      </c>
      <c r="C2440" s="797"/>
      <c r="D2440" s="797"/>
      <c r="E2440" s="797"/>
      <c r="F2440" s="797"/>
      <c r="G2440" s="796" t="s">
        <v>3448</v>
      </c>
      <c r="H2440" s="796" t="s">
        <v>866</v>
      </c>
      <c r="I2440" s="220" t="str">
        <f>IF(ISBLANK(global!I917),"",global!I917)</f>
        <v/>
      </c>
      <c r="K2440" s="225" t="s">
        <v>4159</v>
      </c>
      <c r="O2440" s="225" t="s">
        <v>4159</v>
      </c>
    </row>
    <row r="2441" spans="1:15" ht="12.75" customHeight="1" x14ac:dyDescent="0.3">
      <c r="A2441" s="797"/>
      <c r="B2441" s="797" t="s">
        <v>1619</v>
      </c>
      <c r="C2441" s="797"/>
      <c r="D2441" s="797"/>
      <c r="E2441" s="797"/>
      <c r="F2441" s="797"/>
      <c r="G2441" s="796" t="s">
        <v>3449</v>
      </c>
      <c r="H2441" s="796" t="s">
        <v>1616</v>
      </c>
      <c r="I2441" s="220" t="str">
        <f>IF(ISBLANK(global!I918),"",global!I918)</f>
        <v/>
      </c>
      <c r="K2441" s="225" t="s">
        <v>4159</v>
      </c>
      <c r="O2441" s="225" t="s">
        <v>4159</v>
      </c>
    </row>
    <row r="2442" spans="1:15" ht="12.75" customHeight="1" x14ac:dyDescent="0.3">
      <c r="A2442" s="797"/>
      <c r="B2442" s="797"/>
      <c r="C2442" s="797" t="s">
        <v>1584</v>
      </c>
      <c r="D2442" s="797"/>
      <c r="E2442" s="797"/>
      <c r="F2442" s="797"/>
      <c r="G2442" s="796" t="s">
        <v>3450</v>
      </c>
      <c r="H2442" s="796" t="s">
        <v>291</v>
      </c>
      <c r="I2442" s="220" t="str">
        <f>IF(ISBLANK(global!I919),"",global!I919)</f>
        <v/>
      </c>
      <c r="K2442" s="225" t="s">
        <v>4159</v>
      </c>
      <c r="O2442" s="225" t="s">
        <v>4159</v>
      </c>
    </row>
    <row r="2443" spans="1:15" ht="12.75" customHeight="1" x14ac:dyDescent="0.3">
      <c r="A2443" s="797"/>
      <c r="B2443" s="797"/>
      <c r="C2443" s="797" t="s">
        <v>1586</v>
      </c>
      <c r="D2443" s="797"/>
      <c r="E2443" s="797"/>
      <c r="F2443" s="797"/>
      <c r="G2443" s="796" t="s">
        <v>3451</v>
      </c>
      <c r="H2443" s="796" t="s">
        <v>291</v>
      </c>
      <c r="I2443" s="220" t="str">
        <f>IF(ISBLANK(global!I920),"",global!I920)</f>
        <v/>
      </c>
      <c r="K2443" s="225" t="s">
        <v>4159</v>
      </c>
      <c r="O2443" s="225" t="s">
        <v>4159</v>
      </c>
    </row>
    <row r="2444" spans="1:15" ht="12.75" customHeight="1" x14ac:dyDescent="0.3">
      <c r="A2444" s="797"/>
      <c r="B2444" s="797"/>
      <c r="C2444" s="797" t="s">
        <v>1588</v>
      </c>
      <c r="D2444" s="797"/>
      <c r="E2444" s="797"/>
      <c r="F2444" s="797"/>
      <c r="G2444" s="796" t="s">
        <v>3452</v>
      </c>
      <c r="H2444" s="796" t="s">
        <v>291</v>
      </c>
      <c r="I2444" s="220" t="str">
        <f>IF(ISBLANK(global!I921),"",global!I921)</f>
        <v/>
      </c>
      <c r="K2444" s="225" t="s">
        <v>4159</v>
      </c>
      <c r="O2444" s="225" t="s">
        <v>4159</v>
      </c>
    </row>
    <row r="2445" spans="1:15" ht="12.75" customHeight="1" x14ac:dyDescent="0.3">
      <c r="A2445" s="797" t="s">
        <v>2803</v>
      </c>
      <c r="B2445" s="797"/>
      <c r="C2445" s="797"/>
      <c r="D2445" s="797"/>
      <c r="E2445" s="797"/>
      <c r="F2445" s="797"/>
      <c r="G2445" s="796" t="s">
        <v>3453</v>
      </c>
      <c r="H2445" s="796" t="s">
        <v>335</v>
      </c>
      <c r="I2445" s="220" t="str">
        <f>IF(ISBLANK(global!I922),"",global!I922)</f>
        <v/>
      </c>
      <c r="K2445" s="225" t="s">
        <v>4159</v>
      </c>
      <c r="O2445" s="225" t="s">
        <v>4159</v>
      </c>
    </row>
    <row r="2446" spans="1:15" ht="12.75" customHeight="1" x14ac:dyDescent="0.3">
      <c r="A2446" s="797" t="s">
        <v>2805</v>
      </c>
      <c r="B2446" s="797"/>
      <c r="C2446" s="797"/>
      <c r="D2446" s="797"/>
      <c r="E2446" s="797"/>
      <c r="F2446" s="797"/>
      <c r="G2446" s="796" t="s">
        <v>3454</v>
      </c>
      <c r="H2446" s="796" t="s">
        <v>335</v>
      </c>
      <c r="I2446" s="220" t="str">
        <f>IF(ISBLANK(global!I923),"",global!I923)</f>
        <v/>
      </c>
      <c r="K2446" s="225" t="s">
        <v>4159</v>
      </c>
      <c r="O2446" s="225" t="s">
        <v>4159</v>
      </c>
    </row>
    <row r="2447" spans="1:15" ht="12.75" customHeight="1" x14ac:dyDescent="0.3">
      <c r="A2447" s="797"/>
      <c r="B2447" s="797" t="s">
        <v>1612</v>
      </c>
      <c r="C2447" s="797"/>
      <c r="D2447" s="797"/>
      <c r="E2447" s="797"/>
      <c r="F2447" s="797"/>
      <c r="G2447" s="796" t="s">
        <v>3455</v>
      </c>
      <c r="H2447" s="796" t="s">
        <v>866</v>
      </c>
      <c r="I2447" s="220" t="str">
        <f>IF(ISBLANK(global!I924),"",global!I924)</f>
        <v/>
      </c>
      <c r="K2447" s="225" t="s">
        <v>4159</v>
      </c>
      <c r="O2447" s="225" t="s">
        <v>4159</v>
      </c>
    </row>
    <row r="2448" spans="1:15" ht="12.75" customHeight="1" x14ac:dyDescent="0.3">
      <c r="A2448" s="797"/>
      <c r="B2448" s="797"/>
      <c r="C2448" s="797" t="s">
        <v>1708</v>
      </c>
      <c r="D2448" s="797"/>
      <c r="E2448" s="797"/>
      <c r="F2448" s="797"/>
      <c r="G2448" s="797" t="s">
        <v>3456</v>
      </c>
      <c r="H2448" s="796" t="s">
        <v>1616</v>
      </c>
      <c r="I2448" s="220" t="str">
        <f>IF(ISBLANK(global!I925),"",global!I925)</f>
        <v/>
      </c>
      <c r="K2448" s="225" t="s">
        <v>4159</v>
      </c>
      <c r="O2448" s="225" t="s">
        <v>4159</v>
      </c>
    </row>
    <row r="2449" spans="1:15" ht="12.75" customHeight="1" x14ac:dyDescent="0.3">
      <c r="A2449" s="797"/>
      <c r="B2449" s="797"/>
      <c r="C2449" s="797" t="s">
        <v>2809</v>
      </c>
      <c r="D2449" s="797"/>
      <c r="E2449" s="797"/>
      <c r="F2449" s="797"/>
      <c r="G2449" s="796" t="s">
        <v>3457</v>
      </c>
      <c r="H2449" s="796" t="s">
        <v>1616</v>
      </c>
      <c r="I2449" s="220" t="str">
        <f>IF(ISBLANK(global!I926),"",global!I926)</f>
        <v/>
      </c>
      <c r="K2449" s="225" t="s">
        <v>4159</v>
      </c>
      <c r="O2449" s="225" t="s">
        <v>4159</v>
      </c>
    </row>
    <row r="2450" spans="1:15" ht="12.75" customHeight="1" x14ac:dyDescent="0.3">
      <c r="A2450" s="797"/>
      <c r="B2450" s="797"/>
      <c r="C2450" s="797" t="s">
        <v>1696</v>
      </c>
      <c r="D2450" s="797"/>
      <c r="E2450" s="797"/>
      <c r="F2450" s="797"/>
      <c r="G2450" s="796" t="s">
        <v>3458</v>
      </c>
      <c r="H2450" s="796" t="s">
        <v>866</v>
      </c>
      <c r="I2450" s="220" t="str">
        <f>IF(ISBLANK(global!I927),"",global!I927)</f>
        <v/>
      </c>
      <c r="K2450" s="225" t="s">
        <v>4159</v>
      </c>
      <c r="O2450" s="225" t="s">
        <v>4159</v>
      </c>
    </row>
    <row r="2451" spans="1:15" ht="12.75" customHeight="1" x14ac:dyDescent="0.3">
      <c r="A2451" s="797"/>
      <c r="B2451" s="797"/>
      <c r="C2451" s="797"/>
      <c r="D2451" s="797" t="s">
        <v>1584</v>
      </c>
      <c r="E2451" s="797"/>
      <c r="F2451" s="797"/>
      <c r="G2451" s="796" t="s">
        <v>3459</v>
      </c>
      <c r="H2451" s="796" t="s">
        <v>291</v>
      </c>
      <c r="I2451" s="220" t="str">
        <f>IF(ISBLANK(global!I928),"",global!I928)</f>
        <v/>
      </c>
      <c r="K2451" s="225" t="s">
        <v>4159</v>
      </c>
      <c r="O2451" s="225" t="s">
        <v>4159</v>
      </c>
    </row>
    <row r="2452" spans="1:15" ht="12.75" customHeight="1" x14ac:dyDescent="0.3">
      <c r="A2452" s="797"/>
      <c r="B2452" s="797"/>
      <c r="C2452" s="797"/>
      <c r="D2452" s="797" t="s">
        <v>1588</v>
      </c>
      <c r="E2452" s="797"/>
      <c r="F2452" s="797"/>
      <c r="G2452" s="796" t="s">
        <v>3460</v>
      </c>
      <c r="H2452" s="796" t="s">
        <v>291</v>
      </c>
      <c r="I2452" s="220" t="str">
        <f>IF(ISBLANK(global!I929),"",global!I929)</f>
        <v/>
      </c>
      <c r="K2452" s="225" t="s">
        <v>4159</v>
      </c>
      <c r="O2452" s="225" t="s">
        <v>4159</v>
      </c>
    </row>
    <row r="2453" spans="1:15" ht="12.75" customHeight="1" x14ac:dyDescent="0.3">
      <c r="A2453" s="797" t="s">
        <v>2814</v>
      </c>
      <c r="B2453" s="797"/>
      <c r="C2453" s="797"/>
      <c r="D2453" s="797"/>
      <c r="E2453" s="797"/>
      <c r="F2453" s="797"/>
      <c r="G2453" s="797" t="s">
        <v>3461</v>
      </c>
      <c r="H2453" s="796" t="s">
        <v>335</v>
      </c>
      <c r="I2453" s="220" t="str">
        <f>IF(ISBLANK(global!I930),"",global!I930)</f>
        <v/>
      </c>
      <c r="K2453" s="225" t="s">
        <v>4159</v>
      </c>
      <c r="O2453" s="225" t="s">
        <v>4159</v>
      </c>
    </row>
    <row r="2454" spans="1:15" ht="12.75" customHeight="1" x14ac:dyDescent="0.3">
      <c r="A2454" s="797"/>
      <c r="B2454" s="797" t="s">
        <v>1612</v>
      </c>
      <c r="C2454" s="797"/>
      <c r="D2454" s="797"/>
      <c r="E2454" s="797"/>
      <c r="F2454" s="797"/>
      <c r="G2454" s="796" t="s">
        <v>3462</v>
      </c>
      <c r="H2454" s="796" t="s">
        <v>866</v>
      </c>
      <c r="I2454" s="220" t="str">
        <f>IF(ISBLANK(global!I931),"",global!I931)</f>
        <v/>
      </c>
      <c r="K2454" s="225" t="s">
        <v>4159</v>
      </c>
      <c r="O2454" s="225" t="s">
        <v>4159</v>
      </c>
    </row>
    <row r="2455" spans="1:15" ht="12.75" customHeight="1" x14ac:dyDescent="0.3">
      <c r="A2455" s="797"/>
      <c r="B2455" s="797"/>
      <c r="C2455" s="797" t="s">
        <v>1694</v>
      </c>
      <c r="D2455" s="797"/>
      <c r="E2455" s="797"/>
      <c r="F2455" s="797"/>
      <c r="G2455" s="796" t="s">
        <v>3463</v>
      </c>
      <c r="H2455" s="796" t="s">
        <v>1616</v>
      </c>
      <c r="I2455" s="220" t="str">
        <f>IF(ISBLANK(global!I932),"",global!I932)</f>
        <v/>
      </c>
      <c r="K2455" s="225" t="s">
        <v>4159</v>
      </c>
      <c r="O2455" s="225" t="s">
        <v>4159</v>
      </c>
    </row>
    <row r="2456" spans="1:15" ht="12.75" customHeight="1" x14ac:dyDescent="0.3">
      <c r="A2456" s="797"/>
      <c r="B2456" s="797"/>
      <c r="C2456" s="797"/>
      <c r="D2456" s="797" t="s">
        <v>1584</v>
      </c>
      <c r="E2456" s="797"/>
      <c r="F2456" s="797"/>
      <c r="G2456" s="796" t="s">
        <v>3464</v>
      </c>
      <c r="H2456" s="796" t="s">
        <v>291</v>
      </c>
      <c r="I2456" s="220" t="str">
        <f>IF(ISBLANK(global!I933),"",global!I933)</f>
        <v/>
      </c>
      <c r="K2456" s="225" t="s">
        <v>4159</v>
      </c>
      <c r="O2456" s="225" t="s">
        <v>4159</v>
      </c>
    </row>
    <row r="2457" spans="1:15" ht="12.75" customHeight="1" x14ac:dyDescent="0.3">
      <c r="A2457" s="797"/>
      <c r="B2457" s="797"/>
      <c r="C2457" s="797"/>
      <c r="D2457" s="797" t="s">
        <v>1588</v>
      </c>
      <c r="E2457" s="797"/>
      <c r="F2457" s="797"/>
      <c r="G2457" s="796" t="s">
        <v>3465</v>
      </c>
      <c r="H2457" s="796" t="s">
        <v>291</v>
      </c>
      <c r="I2457" s="220" t="str">
        <f>IF(ISBLANK(global!I934),"",global!I934)</f>
        <v/>
      </c>
      <c r="K2457" s="225" t="s">
        <v>4159</v>
      </c>
      <c r="O2457" s="225" t="s">
        <v>4159</v>
      </c>
    </row>
    <row r="2458" spans="1:15" ht="12.75" customHeight="1" x14ac:dyDescent="0.3">
      <c r="A2458" s="797" t="s">
        <v>2820</v>
      </c>
      <c r="B2458" s="797"/>
      <c r="C2458" s="797"/>
      <c r="D2458" s="797"/>
      <c r="E2458" s="797"/>
      <c r="F2458" s="797"/>
      <c r="G2458" s="797" t="s">
        <v>3466</v>
      </c>
      <c r="H2458" s="796" t="s">
        <v>335</v>
      </c>
      <c r="I2458" s="220" t="str">
        <f>IF(ISBLANK(global!I935),"",global!I935)</f>
        <v/>
      </c>
      <c r="K2458" s="225" t="s">
        <v>4159</v>
      </c>
      <c r="O2458" s="225" t="s">
        <v>4159</v>
      </c>
    </row>
    <row r="2459" spans="1:15" ht="12.75" customHeight="1" x14ac:dyDescent="0.3">
      <c r="A2459" s="797" t="s">
        <v>2822</v>
      </c>
      <c r="B2459" s="797"/>
      <c r="C2459" s="797"/>
      <c r="D2459" s="797"/>
      <c r="E2459" s="797"/>
      <c r="F2459" s="797"/>
      <c r="G2459" s="796" t="s">
        <v>3467</v>
      </c>
      <c r="H2459" s="796" t="s">
        <v>335</v>
      </c>
      <c r="I2459" s="220" t="str">
        <f>IF(ISBLANK(global!I936),"",global!I936)</f>
        <v/>
      </c>
      <c r="K2459" s="225" t="s">
        <v>4159</v>
      </c>
      <c r="O2459" s="225" t="s">
        <v>4159</v>
      </c>
    </row>
    <row r="2460" spans="1:15" ht="12.75" customHeight="1" x14ac:dyDescent="0.3">
      <c r="A2460" s="797" t="s">
        <v>2824</v>
      </c>
      <c r="B2460" s="797"/>
      <c r="C2460" s="797"/>
      <c r="D2460" s="797"/>
      <c r="E2460" s="797"/>
      <c r="F2460" s="797"/>
      <c r="G2460" s="796" t="s">
        <v>3468</v>
      </c>
      <c r="H2460" s="796" t="s">
        <v>335</v>
      </c>
      <c r="I2460" s="220" t="str">
        <f>IF(ISBLANK(global!I937),"",global!I937)</f>
        <v/>
      </c>
      <c r="K2460" s="225" t="s">
        <v>4159</v>
      </c>
      <c r="O2460" s="225" t="s">
        <v>4159</v>
      </c>
    </row>
    <row r="2461" spans="1:15" ht="12.75" customHeight="1" x14ac:dyDescent="0.3">
      <c r="A2461" s="797" t="s">
        <v>2826</v>
      </c>
      <c r="B2461" s="797"/>
      <c r="C2461" s="797"/>
      <c r="D2461" s="797"/>
      <c r="E2461" s="797"/>
      <c r="F2461" s="797"/>
      <c r="G2461" s="796" t="s">
        <v>3469</v>
      </c>
      <c r="H2461" s="796" t="s">
        <v>335</v>
      </c>
      <c r="I2461" s="220" t="str">
        <f>IF(ISBLANK(global!I938),"",global!I938)</f>
        <v/>
      </c>
      <c r="K2461" s="225" t="s">
        <v>4159</v>
      </c>
      <c r="O2461" s="225" t="s">
        <v>4159</v>
      </c>
    </row>
    <row r="2462" spans="1:15" ht="12.75" customHeight="1" x14ac:dyDescent="0.3">
      <c r="A2462" s="797" t="s">
        <v>2828</v>
      </c>
      <c r="B2462" s="797"/>
      <c r="C2462" s="797"/>
      <c r="D2462" s="797"/>
      <c r="E2462" s="797"/>
      <c r="F2462" s="797"/>
      <c r="G2462" s="796" t="s">
        <v>3470</v>
      </c>
      <c r="H2462" s="796" t="s">
        <v>335</v>
      </c>
      <c r="I2462" s="220" t="str">
        <f>IF(ISBLANK(global!I939),"",global!I939)</f>
        <v/>
      </c>
      <c r="K2462" s="225" t="s">
        <v>4159</v>
      </c>
      <c r="O2462" s="225" t="s">
        <v>4159</v>
      </c>
    </row>
    <row r="2463" spans="1:15" ht="12.75" customHeight="1" x14ac:dyDescent="0.3">
      <c r="A2463" s="797" t="s">
        <v>2830</v>
      </c>
      <c r="B2463" s="797"/>
      <c r="C2463" s="797"/>
      <c r="D2463" s="797"/>
      <c r="E2463" s="797"/>
      <c r="F2463" s="797"/>
      <c r="G2463" s="796" t="s">
        <v>3471</v>
      </c>
      <c r="H2463" s="796" t="s">
        <v>335</v>
      </c>
      <c r="I2463" s="220" t="str">
        <f>IF(ISBLANK(global!I940),"",global!I940)</f>
        <v/>
      </c>
      <c r="K2463" s="225" t="s">
        <v>4159</v>
      </c>
      <c r="O2463" s="225" t="s">
        <v>4159</v>
      </c>
    </row>
    <row r="2464" spans="1:15" ht="12.75" customHeight="1" x14ac:dyDescent="0.3">
      <c r="A2464" s="797" t="s">
        <v>2832</v>
      </c>
      <c r="B2464" s="797"/>
      <c r="C2464" s="797"/>
      <c r="D2464" s="797"/>
      <c r="E2464" s="797"/>
      <c r="F2464" s="797"/>
      <c r="G2464" s="796" t="s">
        <v>3472</v>
      </c>
      <c r="H2464" s="796" t="s">
        <v>335</v>
      </c>
      <c r="I2464" s="220" t="str">
        <f>IF(ISBLANK(global!I941),"",global!I941)</f>
        <v/>
      </c>
      <c r="K2464" s="225" t="s">
        <v>4159</v>
      </c>
      <c r="O2464" s="225" t="s">
        <v>4159</v>
      </c>
    </row>
    <row r="2465" spans="1:15" ht="12.75" customHeight="1" x14ac:dyDescent="0.3">
      <c r="A2465" s="797" t="s">
        <v>2834</v>
      </c>
      <c r="B2465" s="797"/>
      <c r="C2465" s="797"/>
      <c r="D2465" s="797"/>
      <c r="E2465" s="797"/>
      <c r="F2465" s="797"/>
      <c r="G2465" s="796" t="s">
        <v>3473</v>
      </c>
      <c r="H2465" s="796" t="s">
        <v>335</v>
      </c>
      <c r="I2465" s="220" t="str">
        <f>IF(ISBLANK(global!I942),"",global!I942)</f>
        <v/>
      </c>
      <c r="K2465" s="225" t="s">
        <v>4159</v>
      </c>
      <c r="O2465" s="225" t="s">
        <v>4159</v>
      </c>
    </row>
    <row r="2466" spans="1:15" ht="12.75" customHeight="1" x14ac:dyDescent="0.3">
      <c r="A2466" s="797" t="s">
        <v>2837</v>
      </c>
      <c r="B2466" s="797"/>
      <c r="C2466" s="797"/>
      <c r="D2466" s="797"/>
      <c r="E2466" s="797"/>
      <c r="F2466" s="797"/>
      <c r="G2466" s="796" t="s">
        <v>3474</v>
      </c>
      <c r="H2466" s="796" t="s">
        <v>335</v>
      </c>
      <c r="I2466" s="220" t="str">
        <f>IF(ISBLANK(global!I943),"",global!I943)</f>
        <v/>
      </c>
      <c r="K2466" s="225" t="s">
        <v>4159</v>
      </c>
      <c r="O2466" s="225" t="s">
        <v>4159</v>
      </c>
    </row>
    <row r="2467" spans="1:15" ht="12.75" customHeight="1" x14ac:dyDescent="0.3">
      <c r="A2467" s="797" t="s">
        <v>2839</v>
      </c>
      <c r="B2467" s="797"/>
      <c r="C2467" s="797"/>
      <c r="D2467" s="797"/>
      <c r="E2467" s="797"/>
      <c r="F2467" s="797"/>
      <c r="G2467" s="796" t="s">
        <v>3475</v>
      </c>
      <c r="H2467" s="796" t="s">
        <v>335</v>
      </c>
      <c r="I2467" s="220" t="str">
        <f>IF(ISBLANK(global!I944),"",global!I944)</f>
        <v/>
      </c>
      <c r="K2467" s="225" t="s">
        <v>4159</v>
      </c>
      <c r="O2467" s="225" t="s">
        <v>4159</v>
      </c>
    </row>
    <row r="2468" spans="1:15" ht="12.75" customHeight="1" x14ac:dyDescent="0.3">
      <c r="A2468" s="797" t="s">
        <v>2841</v>
      </c>
      <c r="B2468" s="797"/>
      <c r="C2468" s="797"/>
      <c r="D2468" s="797"/>
      <c r="E2468" s="797"/>
      <c r="F2468" s="797"/>
      <c r="G2468" s="796" t="s">
        <v>3476</v>
      </c>
      <c r="H2468" s="796" t="s">
        <v>335</v>
      </c>
      <c r="I2468" s="220" t="str">
        <f>IF(ISBLANK(global!I945),"",global!I945)</f>
        <v/>
      </c>
      <c r="K2468" s="225" t="s">
        <v>4159</v>
      </c>
      <c r="O2468" s="225" t="s">
        <v>4159</v>
      </c>
    </row>
    <row r="2469" spans="1:15" ht="12.75" customHeight="1" x14ac:dyDescent="0.3">
      <c r="A2469" s="797" t="s">
        <v>2843</v>
      </c>
      <c r="B2469" s="797"/>
      <c r="C2469" s="797"/>
      <c r="D2469" s="797"/>
      <c r="E2469" s="797"/>
      <c r="F2469" s="797"/>
      <c r="G2469" s="796" t="s">
        <v>3477</v>
      </c>
      <c r="H2469" s="796" t="s">
        <v>335</v>
      </c>
      <c r="I2469" s="220" t="str">
        <f>IF(ISBLANK(global!I946),"",global!I946)</f>
        <v/>
      </c>
      <c r="K2469" s="225" t="s">
        <v>4159</v>
      </c>
      <c r="O2469" s="225" t="s">
        <v>4159</v>
      </c>
    </row>
    <row r="2470" spans="1:15" ht="12.75" customHeight="1" x14ac:dyDescent="0.3">
      <c r="A2470" s="797" t="s">
        <v>2845</v>
      </c>
      <c r="B2470" s="797"/>
      <c r="C2470" s="797"/>
      <c r="D2470" s="797"/>
      <c r="E2470" s="797"/>
      <c r="F2470" s="797"/>
      <c r="G2470" s="796" t="s">
        <v>3478</v>
      </c>
      <c r="H2470" s="796" t="s">
        <v>335</v>
      </c>
      <c r="I2470" s="220" t="str">
        <f>IF(ISBLANK(global!I947),"",global!I947)</f>
        <v/>
      </c>
      <c r="K2470" s="225" t="s">
        <v>4159</v>
      </c>
      <c r="O2470" s="225" t="s">
        <v>4159</v>
      </c>
    </row>
    <row r="2471" spans="1:15" ht="12.75" customHeight="1" x14ac:dyDescent="0.3">
      <c r="A2471" s="797" t="s">
        <v>2847</v>
      </c>
      <c r="B2471" s="797"/>
      <c r="C2471" s="797"/>
      <c r="D2471" s="797"/>
      <c r="E2471" s="797"/>
      <c r="F2471" s="797"/>
      <c r="G2471" s="796" t="s">
        <v>3479</v>
      </c>
      <c r="H2471" s="796" t="s">
        <v>335</v>
      </c>
      <c r="I2471" s="220" t="str">
        <f>IF(ISBLANK(global!I948),"",global!I948)</f>
        <v/>
      </c>
      <c r="K2471" s="225" t="s">
        <v>4159</v>
      </c>
      <c r="O2471" s="225" t="s">
        <v>4159</v>
      </c>
    </row>
    <row r="2472" spans="1:15" ht="12.75" customHeight="1" x14ac:dyDescent="0.3">
      <c r="A2472" s="797" t="s">
        <v>2849</v>
      </c>
      <c r="B2472" s="797"/>
      <c r="C2472" s="797"/>
      <c r="D2472" s="797"/>
      <c r="E2472" s="797"/>
      <c r="F2472" s="797"/>
      <c r="G2472" s="796" t="s">
        <v>3480</v>
      </c>
      <c r="H2472" s="796" t="s">
        <v>335</v>
      </c>
      <c r="I2472" s="220" t="str">
        <f>IF(ISBLANK(global!I949),"",global!I949)</f>
        <v/>
      </c>
      <c r="K2472" s="225" t="s">
        <v>4159</v>
      </c>
      <c r="O2472" s="225" t="s">
        <v>4159</v>
      </c>
    </row>
    <row r="2473" spans="1:15" ht="12.75" customHeight="1" x14ac:dyDescent="0.3">
      <c r="A2473" s="797" t="s">
        <v>2851</v>
      </c>
      <c r="B2473" s="797"/>
      <c r="C2473" s="797"/>
      <c r="D2473" s="797"/>
      <c r="E2473" s="797"/>
      <c r="F2473" s="797"/>
      <c r="G2473" s="796" t="s">
        <v>3481</v>
      </c>
      <c r="H2473" s="796" t="s">
        <v>335</v>
      </c>
      <c r="I2473" s="220" t="str">
        <f>IF(ISBLANK(global!I950),"",global!I950)</f>
        <v/>
      </c>
      <c r="K2473" s="225" t="s">
        <v>4159</v>
      </c>
      <c r="O2473" s="225" t="s">
        <v>4159</v>
      </c>
    </row>
    <row r="2474" spans="1:15" ht="12.75" customHeight="1" x14ac:dyDescent="0.3">
      <c r="A2474" s="797" t="s">
        <v>1803</v>
      </c>
      <c r="B2474" s="797"/>
      <c r="C2474" s="797"/>
      <c r="D2474" s="797"/>
      <c r="E2474" s="797"/>
      <c r="F2474" s="797"/>
      <c r="G2474" s="796" t="s">
        <v>3482</v>
      </c>
      <c r="H2474" s="796" t="s">
        <v>335</v>
      </c>
      <c r="I2474" s="220" t="str">
        <f>IF(ISBLANK(global!I951),"",global!I951)</f>
        <v/>
      </c>
      <c r="K2474" s="225" t="s">
        <v>4159</v>
      </c>
      <c r="O2474" s="225" t="s">
        <v>4159</v>
      </c>
    </row>
    <row r="2475" spans="1:15" ht="12.75" customHeight="1" x14ac:dyDescent="0.3">
      <c r="A2475" s="797" t="s">
        <v>1810</v>
      </c>
      <c r="B2475" s="797"/>
      <c r="C2475" s="797"/>
      <c r="D2475" s="797"/>
      <c r="E2475" s="797"/>
      <c r="F2475" s="797"/>
      <c r="G2475" s="796" t="s">
        <v>3483</v>
      </c>
      <c r="H2475" s="796" t="s">
        <v>335</v>
      </c>
      <c r="I2475" s="220" t="str">
        <f>IF(ISBLANK(global!I952),"",global!I952)</f>
        <v/>
      </c>
      <c r="K2475" s="225" t="s">
        <v>4159</v>
      </c>
      <c r="O2475" s="225" t="s">
        <v>4159</v>
      </c>
    </row>
    <row r="2476" spans="1:15" ht="12.75" customHeight="1" x14ac:dyDescent="0.3">
      <c r="A2476" s="797" t="s">
        <v>1816</v>
      </c>
      <c r="B2476" s="797"/>
      <c r="C2476" s="797"/>
      <c r="D2476" s="797"/>
      <c r="E2476" s="797"/>
      <c r="F2476" s="797"/>
      <c r="G2476" s="796" t="s">
        <v>3484</v>
      </c>
      <c r="H2476" s="796" t="s">
        <v>335</v>
      </c>
      <c r="I2476" s="220" t="str">
        <f>IF(ISBLANK(global!I953),"",global!I953)</f>
        <v/>
      </c>
      <c r="K2476" s="225" t="s">
        <v>4159</v>
      </c>
      <c r="O2476" s="225" t="s">
        <v>4159</v>
      </c>
    </row>
    <row r="2477" spans="1:15" ht="12.75" customHeight="1" x14ac:dyDescent="0.3">
      <c r="A2477" s="779" t="s">
        <v>3485</v>
      </c>
      <c r="I2477" s="220" t="str">
        <f>IF(ISBLANK(global!I954),"",global!I954)</f>
        <v/>
      </c>
      <c r="K2477" s="225" t="s">
        <v>4159</v>
      </c>
      <c r="O2477" s="225" t="s">
        <v>4159</v>
      </c>
    </row>
    <row r="2478" spans="1:15" ht="12.75" customHeight="1" x14ac:dyDescent="0.3">
      <c r="A2478" s="796" t="s">
        <v>1267</v>
      </c>
      <c r="B2478" s="797"/>
      <c r="C2478" s="797"/>
      <c r="D2478" s="797"/>
      <c r="E2478" s="797"/>
      <c r="F2478" s="797"/>
      <c r="G2478" s="796" t="s">
        <v>3486</v>
      </c>
      <c r="H2478" s="796" t="s">
        <v>4690</v>
      </c>
      <c r="I2478" s="220" t="str">
        <f>IF(ISBLANK(global!I955),"",global!I955)</f>
        <v/>
      </c>
      <c r="K2478" s="225" t="s">
        <v>4159</v>
      </c>
      <c r="O2478" s="225" t="s">
        <v>4159</v>
      </c>
    </row>
    <row r="2479" spans="1:15" ht="12.75" customHeight="1" x14ac:dyDescent="0.3">
      <c r="A2479" s="796" t="s">
        <v>1267</v>
      </c>
      <c r="B2479" s="797"/>
      <c r="C2479" s="797"/>
      <c r="D2479" s="797"/>
      <c r="E2479" s="797"/>
      <c r="F2479" s="797"/>
      <c r="G2479" s="796" t="s">
        <v>3487</v>
      </c>
      <c r="H2479" s="796" t="s">
        <v>4690</v>
      </c>
      <c r="I2479" s="220" t="str">
        <f>IF(ISBLANK(global!I956),"",global!I956)</f>
        <v/>
      </c>
      <c r="K2479" s="225" t="s">
        <v>4159</v>
      </c>
      <c r="O2479" s="225" t="s">
        <v>4159</v>
      </c>
    </row>
    <row r="2480" spans="1:15" ht="12.75" customHeight="1" x14ac:dyDescent="0.3">
      <c r="A2480" s="796" t="s">
        <v>1267</v>
      </c>
      <c r="B2480" s="797"/>
      <c r="C2480" s="797"/>
      <c r="D2480" s="797"/>
      <c r="E2480" s="797"/>
      <c r="F2480" s="797"/>
      <c r="G2480" s="796" t="s">
        <v>3488</v>
      </c>
      <c r="H2480" s="796" t="s">
        <v>4690</v>
      </c>
      <c r="I2480" s="220" t="str">
        <f>IF(ISBLANK(global!I957),"",global!I957)</f>
        <v/>
      </c>
      <c r="K2480" s="225" t="s">
        <v>4159</v>
      </c>
      <c r="O2480" s="225" t="s">
        <v>4159</v>
      </c>
    </row>
    <row r="2481" spans="1:15" ht="12.75" customHeight="1" x14ac:dyDescent="0.3">
      <c r="A2481" s="796" t="s">
        <v>1268</v>
      </c>
      <c r="B2481" s="797"/>
      <c r="C2481" s="797"/>
      <c r="D2481" s="797"/>
      <c r="E2481" s="797"/>
      <c r="F2481" s="797"/>
      <c r="G2481" s="796" t="s">
        <v>3489</v>
      </c>
      <c r="H2481" s="796" t="s">
        <v>4690</v>
      </c>
      <c r="I2481" s="220" t="str">
        <f>IF(ISBLANK(global!I958),"",global!I958)</f>
        <v/>
      </c>
      <c r="K2481" s="225" t="s">
        <v>4159</v>
      </c>
      <c r="O2481" s="225" t="s">
        <v>4159</v>
      </c>
    </row>
    <row r="2482" spans="1:15" ht="12.75" customHeight="1" x14ac:dyDescent="0.3">
      <c r="A2482" s="796" t="s">
        <v>1268</v>
      </c>
      <c r="B2482" s="797"/>
      <c r="C2482" s="797"/>
      <c r="D2482" s="797"/>
      <c r="E2482" s="797"/>
      <c r="F2482" s="797"/>
      <c r="G2482" s="796" t="s">
        <v>3490</v>
      </c>
      <c r="H2482" s="796" t="s">
        <v>4690</v>
      </c>
      <c r="I2482" s="220" t="str">
        <f>IF(ISBLANK(global!I959),"",global!I959)</f>
        <v/>
      </c>
      <c r="K2482" s="225" t="s">
        <v>4159</v>
      </c>
      <c r="O2482" s="225" t="s">
        <v>4159</v>
      </c>
    </row>
    <row r="2483" spans="1:15" ht="12.75" customHeight="1" x14ac:dyDescent="0.3">
      <c r="A2483" s="796" t="s">
        <v>1268</v>
      </c>
      <c r="B2483" s="797"/>
      <c r="C2483" s="797"/>
      <c r="D2483" s="797"/>
      <c r="E2483" s="797"/>
      <c r="F2483" s="797"/>
      <c r="G2483" s="796" t="s">
        <v>3491</v>
      </c>
      <c r="H2483" s="796" t="s">
        <v>4690</v>
      </c>
      <c r="I2483" s="220" t="str">
        <f>IF(ISBLANK(global!I960),"",global!I960)</f>
        <v/>
      </c>
      <c r="K2483" s="225" t="s">
        <v>4159</v>
      </c>
      <c r="O2483" s="225" t="s">
        <v>4159</v>
      </c>
    </row>
    <row r="2484" spans="1:15" ht="12.75" customHeight="1" x14ac:dyDescent="0.3">
      <c r="A2484" s="796" t="s">
        <v>1269</v>
      </c>
      <c r="B2484" s="797"/>
      <c r="C2484" s="797"/>
      <c r="D2484" s="797"/>
      <c r="E2484" s="797"/>
      <c r="F2484" s="797"/>
      <c r="G2484" s="796" t="s">
        <v>3492</v>
      </c>
      <c r="H2484" s="796" t="s">
        <v>4690</v>
      </c>
      <c r="I2484" s="220" t="str">
        <f>IF(ISBLANK(global!I961),"",global!I961)</f>
        <v/>
      </c>
      <c r="K2484" s="225" t="s">
        <v>4159</v>
      </c>
      <c r="O2484" s="225" t="s">
        <v>4159</v>
      </c>
    </row>
    <row r="2485" spans="1:15" ht="12.75" customHeight="1" x14ac:dyDescent="0.3">
      <c r="A2485" s="796" t="s">
        <v>1269</v>
      </c>
      <c r="B2485" s="797"/>
      <c r="C2485" s="797"/>
      <c r="D2485" s="797"/>
      <c r="E2485" s="797"/>
      <c r="F2485" s="797"/>
      <c r="G2485" s="796" t="s">
        <v>3493</v>
      </c>
      <c r="H2485" s="796" t="s">
        <v>4690</v>
      </c>
      <c r="I2485" s="220" t="str">
        <f>IF(ISBLANK(global!I962),"",global!I962)</f>
        <v/>
      </c>
      <c r="K2485" s="225" t="s">
        <v>4159</v>
      </c>
      <c r="O2485" s="225" t="s">
        <v>4159</v>
      </c>
    </row>
    <row r="2486" spans="1:15" ht="12.75" customHeight="1" x14ac:dyDescent="0.3">
      <c r="A2486" s="796" t="s">
        <v>1269</v>
      </c>
      <c r="B2486" s="797"/>
      <c r="C2486" s="797"/>
      <c r="D2486" s="797"/>
      <c r="E2486" s="797"/>
      <c r="F2486" s="797"/>
      <c r="G2486" s="796" t="s">
        <v>3494</v>
      </c>
      <c r="H2486" s="796" t="s">
        <v>4690</v>
      </c>
      <c r="I2486" s="220" t="str">
        <f>IF(ISBLANK(global!I963),"",global!I963)</f>
        <v/>
      </c>
      <c r="K2486" s="225" t="s">
        <v>4159</v>
      </c>
      <c r="O2486" s="225" t="s">
        <v>4159</v>
      </c>
    </row>
    <row r="2487" spans="1:15" ht="12.75" customHeight="1" x14ac:dyDescent="0.3">
      <c r="A2487" s="796" t="s">
        <v>1271</v>
      </c>
      <c r="B2487" s="797"/>
      <c r="C2487" s="797"/>
      <c r="D2487" s="797"/>
      <c r="E2487" s="797"/>
      <c r="F2487" s="797"/>
      <c r="G2487" s="796" t="s">
        <v>3495</v>
      </c>
      <c r="H2487" s="796" t="s">
        <v>4690</v>
      </c>
      <c r="I2487" s="220" t="str">
        <f>IF(ISBLANK(global!I964),"",global!I964)</f>
        <v/>
      </c>
      <c r="K2487" s="225" t="s">
        <v>4159</v>
      </c>
      <c r="O2487" s="225" t="s">
        <v>4159</v>
      </c>
    </row>
    <row r="2488" spans="1:15" ht="12.75" customHeight="1" x14ac:dyDescent="0.3">
      <c r="A2488" s="796" t="s">
        <v>1271</v>
      </c>
      <c r="B2488" s="797"/>
      <c r="C2488" s="797"/>
      <c r="D2488" s="797"/>
      <c r="E2488" s="797"/>
      <c r="F2488" s="797"/>
      <c r="G2488" s="796" t="s">
        <v>3496</v>
      </c>
      <c r="H2488" s="796" t="s">
        <v>4690</v>
      </c>
      <c r="I2488" s="220" t="str">
        <f>IF(ISBLANK(global!I965),"",global!I965)</f>
        <v/>
      </c>
      <c r="K2488" s="225" t="s">
        <v>4159</v>
      </c>
      <c r="O2488" s="225" t="s">
        <v>4159</v>
      </c>
    </row>
    <row r="2489" spans="1:15" ht="12.75" customHeight="1" x14ac:dyDescent="0.3">
      <c r="A2489" s="796" t="s">
        <v>1271</v>
      </c>
      <c r="B2489" s="797"/>
      <c r="C2489" s="797"/>
      <c r="D2489" s="797"/>
      <c r="E2489" s="797"/>
      <c r="F2489" s="797"/>
      <c r="G2489" s="796" t="s">
        <v>3497</v>
      </c>
      <c r="H2489" s="796" t="s">
        <v>4690</v>
      </c>
      <c r="I2489" s="220" t="str">
        <f>IF(ISBLANK(global!I966),"",global!I966)</f>
        <v/>
      </c>
      <c r="K2489" s="225" t="s">
        <v>4159</v>
      </c>
      <c r="O2489" s="225" t="s">
        <v>4159</v>
      </c>
    </row>
    <row r="2490" spans="1:15" ht="12.75" customHeight="1" x14ac:dyDescent="0.3">
      <c r="A2490" s="796" t="s">
        <v>1275</v>
      </c>
      <c r="B2490" s="797"/>
      <c r="C2490" s="797"/>
      <c r="D2490" s="797"/>
      <c r="E2490" s="797"/>
      <c r="F2490" s="797"/>
      <c r="G2490" s="796" t="s">
        <v>3498</v>
      </c>
      <c r="H2490" s="796" t="s">
        <v>4690</v>
      </c>
      <c r="I2490" s="220" t="str">
        <f>IF(ISBLANK(global!I967),"",global!I967)</f>
        <v/>
      </c>
      <c r="K2490" s="225" t="s">
        <v>4159</v>
      </c>
      <c r="O2490" s="225" t="s">
        <v>4159</v>
      </c>
    </row>
    <row r="2491" spans="1:15" ht="12.75" customHeight="1" x14ac:dyDescent="0.3">
      <c r="A2491" s="796" t="s">
        <v>1275</v>
      </c>
      <c r="B2491" s="797"/>
      <c r="C2491" s="797"/>
      <c r="D2491" s="797"/>
      <c r="E2491" s="797"/>
      <c r="F2491" s="797"/>
      <c r="G2491" s="796" t="s">
        <v>3499</v>
      </c>
      <c r="H2491" s="796" t="s">
        <v>4690</v>
      </c>
      <c r="I2491" s="220" t="str">
        <f>IF(ISBLANK(global!I968),"",global!I968)</f>
        <v/>
      </c>
      <c r="K2491" s="225" t="s">
        <v>4159</v>
      </c>
      <c r="O2491" s="225" t="s">
        <v>4159</v>
      </c>
    </row>
    <row r="2492" spans="1:15" ht="12.75" customHeight="1" x14ac:dyDescent="0.3">
      <c r="A2492" s="796" t="s">
        <v>1275</v>
      </c>
      <c r="B2492" s="797"/>
      <c r="C2492" s="797"/>
      <c r="D2492" s="797"/>
      <c r="E2492" s="797"/>
      <c r="F2492" s="797"/>
      <c r="G2492" s="796" t="s">
        <v>3500</v>
      </c>
      <c r="H2492" s="796" t="s">
        <v>4690</v>
      </c>
      <c r="I2492" s="220" t="str">
        <f>IF(ISBLANK(global!I969),"",global!I969)</f>
        <v/>
      </c>
      <c r="K2492" s="225" t="s">
        <v>4159</v>
      </c>
      <c r="O2492" s="225" t="s">
        <v>4159</v>
      </c>
    </row>
    <row r="2493" spans="1:15" ht="12.75" customHeight="1" x14ac:dyDescent="0.3">
      <c r="A2493" s="797"/>
      <c r="B2493" s="797" t="s">
        <v>1855</v>
      </c>
      <c r="C2493" s="797"/>
      <c r="D2493" s="797"/>
      <c r="E2493" s="797"/>
      <c r="F2493" s="797"/>
      <c r="G2493" s="796" t="s">
        <v>3501</v>
      </c>
      <c r="H2493" s="796" t="s">
        <v>335</v>
      </c>
      <c r="I2493" s="220" t="str">
        <f>IF(ISBLANK(global!I970),"",global!I970)</f>
        <v/>
      </c>
      <c r="K2493" s="225" t="s">
        <v>4159</v>
      </c>
      <c r="O2493" s="225" t="s">
        <v>4159</v>
      </c>
    </row>
    <row r="2494" spans="1:15" ht="12.75" customHeight="1" x14ac:dyDescent="0.3">
      <c r="A2494" s="852"/>
      <c r="B2494" s="852" t="s">
        <v>1862</v>
      </c>
      <c r="C2494" s="852"/>
      <c r="D2494" s="852"/>
      <c r="E2494" s="852"/>
      <c r="F2494" s="852"/>
      <c r="G2494" s="853" t="s">
        <v>3502</v>
      </c>
      <c r="H2494" s="853" t="s">
        <v>335</v>
      </c>
      <c r="I2494" s="220" t="str">
        <f>IF(ISBLANK(global!I971),"",global!I971)</f>
        <v/>
      </c>
      <c r="K2494" s="225" t="s">
        <v>4159</v>
      </c>
      <c r="O2494" s="225" t="s">
        <v>4159</v>
      </c>
    </row>
  </sheetData>
  <phoneticPr fontId="6" type="noConversion"/>
  <conditionalFormatting sqref="J318:J319">
    <cfRule type="expression" dxfId="0" priority="1" stopIfTrue="1">
      <formula>HLOOKUP(CaseName,CaseData,ROW()-2,FALSE)&lt;&gt;""</formula>
    </cfRule>
  </conditionalFormatting>
  <pageMargins left="0.75" right="0.75" top="1" bottom="1" header="0.5" footer="0.5"/>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5">
    <pageSetUpPr fitToPage="1"/>
  </sheetPr>
  <dimension ref="A1:C987"/>
  <sheetViews>
    <sheetView showFormulas="1" zoomScaleNormal="100" workbookViewId="0"/>
  </sheetViews>
  <sheetFormatPr defaultColWidth="9.109375" defaultRowHeight="13.8" x14ac:dyDescent="0.3"/>
  <cols>
    <col min="1" max="1" width="9.6640625" style="261" bestFit="1" customWidth="1" collapsed="1"/>
    <col min="2" max="2" width="64.33203125" style="261" customWidth="1" collapsed="1"/>
    <col min="3" max="16384" width="9.109375" style="261" collapsed="1"/>
  </cols>
  <sheetData>
    <row r="1" spans="1:3" s="273" customFormat="1" x14ac:dyDescent="0.3">
      <c r="A1" s="272" t="s">
        <v>4257</v>
      </c>
      <c r="B1" s="272" t="s">
        <v>4258</v>
      </c>
      <c r="C1" s="272" t="s">
        <v>274</v>
      </c>
    </row>
    <row r="2" spans="1:3" ht="15" x14ac:dyDescent="0.3">
      <c r="A2" s="262" t="s">
        <v>4259</v>
      </c>
      <c r="B2" s="263">
        <f>(kwsd.water.wC*kwsd.sed.sdC)/(kwsd.water.wC+kwsd.sed.sdC)*FRw.w1C*(SYSTEMAREA.C*AREAFRAC.w1C)</f>
        <v>2633.0224765071603</v>
      </c>
      <c r="C2" s="262" t="s">
        <v>1055</v>
      </c>
    </row>
    <row r="3" spans="1:3" ht="15" x14ac:dyDescent="0.3">
      <c r="A3" s="262" t="s">
        <v>4260</v>
      </c>
      <c r="B3" s="263" t="e">
        <f>(kwsd.water.wR*kwsd.sed.sdR)/(kwsd.water.wR+kwsd.sed.sdR)*FRw.w1R*(SYSTEMAREA.R*AREAFRAC.w1R)</f>
        <v>#NAME?</v>
      </c>
      <c r="C3" s="262" t="s">
        <v>1055</v>
      </c>
    </row>
    <row r="4" spans="1:3" ht="15" x14ac:dyDescent="0.3">
      <c r="A4" s="262" t="s">
        <v>4261</v>
      </c>
      <c r="B4" s="263">
        <f>(kwsd.water.wC*kwsd.sed.sdC)/(kwsd.water.wC+kwsd.sed.sdC)*FRw.w2C*(SYSTEMAREA.C*AREAFRAC.w2C)</f>
        <v>102075.42616831648</v>
      </c>
      <c r="C4" s="262" t="s">
        <v>1055</v>
      </c>
    </row>
    <row r="5" spans="1:3" ht="15" x14ac:dyDescent="0.3">
      <c r="A5" s="262" t="s">
        <v>4262</v>
      </c>
      <c r="B5" s="263" t="e">
        <f>(kwsd.water.wR*kwsd.sed.sdR)/(kwsd.water.wR+kwsd.sed.sdR)*FRw.w2R*(SYSTEMAREA.R*AREAFRAC.w2R)</f>
        <v>#NAME?</v>
      </c>
      <c r="C5" s="262" t="s">
        <v>1055</v>
      </c>
    </row>
    <row r="6" spans="1:3" ht="15" x14ac:dyDescent="0.3">
      <c r="A6" s="262" t="s">
        <v>4263</v>
      </c>
      <c r="B6" s="263">
        <f>(kwsd.water.wA*kwsd.sed.sdA)/(kwsd.water.wA+kwsd.sed.sdA)*FRw.w3A*(SYSTEMAREA.A*AREAFRAC.wA)</f>
        <v>700952.32341488556</v>
      </c>
      <c r="C6" s="266" t="s">
        <v>1055</v>
      </c>
    </row>
    <row r="7" spans="1:3" ht="15" x14ac:dyDescent="0.3">
      <c r="A7" s="262" t="s">
        <v>4264</v>
      </c>
      <c r="B7" s="263">
        <f>(kwsd.water.wM*kwsd.sed.sdM)/(kwsd.water.wM+kwsd.sed.sdM)*FRw.w3M*(SYSTEMAREA.M*AREAFRAC.wM)</f>
        <v>1066150.9578634177</v>
      </c>
      <c r="C7" s="266" t="s">
        <v>1055</v>
      </c>
    </row>
    <row r="8" spans="1:3" ht="15" x14ac:dyDescent="0.3">
      <c r="A8" s="262" t="s">
        <v>4265</v>
      </c>
      <c r="B8" s="263">
        <f>(kwsd.water.wT*kwsd.sed.sdT)/(kwsd.water.wT+kwsd.sed.sdT)*FRw.w3T*(SYSTEMAREA.T*AREAFRAC.wT)</f>
        <v>2453333.1319520995</v>
      </c>
      <c r="C8" s="266" t="s">
        <v>1055</v>
      </c>
    </row>
    <row r="9" spans="1:3" ht="15" x14ac:dyDescent="0.3">
      <c r="A9" s="264" t="s">
        <v>2961</v>
      </c>
      <c r="B9" s="263">
        <v>1E-3</v>
      </c>
      <c r="C9" s="265" t="s">
        <v>1155</v>
      </c>
    </row>
    <row r="10" spans="1:3" ht="15" x14ac:dyDescent="0.3">
      <c r="A10" s="264" t="s">
        <v>2045</v>
      </c>
      <c r="B10" s="263">
        <v>1E-3</v>
      </c>
      <c r="C10" s="264" t="s">
        <v>1155</v>
      </c>
    </row>
    <row r="11" spans="1:3" ht="15" x14ac:dyDescent="0.3">
      <c r="A11" s="264" t="s">
        <v>2590</v>
      </c>
      <c r="B11" s="263">
        <v>1E-3</v>
      </c>
      <c r="C11" s="265" t="s">
        <v>1155</v>
      </c>
    </row>
    <row r="12" spans="1:3" ht="15" x14ac:dyDescent="0.3">
      <c r="A12" s="264" t="s">
        <v>1161</v>
      </c>
      <c r="B12" s="263">
        <v>1E-3</v>
      </c>
      <c r="C12" s="264" t="s">
        <v>1155</v>
      </c>
    </row>
    <row r="13" spans="1:3" ht="15" x14ac:dyDescent="0.3">
      <c r="A13" s="264" t="s">
        <v>3274</v>
      </c>
      <c r="B13" s="266">
        <v>1E-3</v>
      </c>
      <c r="C13" s="265" t="s">
        <v>1155</v>
      </c>
    </row>
    <row r="14" spans="1:3" ht="15" x14ac:dyDescent="0.3">
      <c r="A14" s="262" t="s">
        <v>2959</v>
      </c>
      <c r="B14" s="263">
        <f>(FRaerw.aA+FRaers.aA)*(tdry.A+twet.A)/twet.A*RAINrate.A*COLLECTeff.A</f>
        <v>9.4698796503192895E-10</v>
      </c>
      <c r="C14" s="264" t="s">
        <v>1155</v>
      </c>
    </row>
    <row r="15" spans="1:3" ht="15" x14ac:dyDescent="0.3">
      <c r="A15" s="262" t="s">
        <v>2042</v>
      </c>
      <c r="B15" s="263">
        <f>(FRaerw.aC+FRaers.aC)*(tdry.C+twet.C)/twet.C*RAINrate.C*COLLECTeff.C</f>
        <v>2.6122501158189259E-9</v>
      </c>
      <c r="C15" s="264" t="s">
        <v>1155</v>
      </c>
    </row>
    <row r="16" spans="1:3" ht="15" x14ac:dyDescent="0.3">
      <c r="A16" s="262" t="s">
        <v>2588</v>
      </c>
      <c r="B16" s="263">
        <f>(FRaerw.aM+FRaers.aM)*(tdry.M+twet.M)/twet.M*RAINrate.M*COLLECTeff.M</f>
        <v>2.6122501158189259E-9</v>
      </c>
      <c r="C16" s="264" t="s">
        <v>1155</v>
      </c>
    </row>
    <row r="17" spans="1:3" ht="15" x14ac:dyDescent="0.3">
      <c r="A17" s="262" t="s">
        <v>1157</v>
      </c>
      <c r="B17" s="263">
        <f>(FRaerw.aR+FRaers.aR)*(tdry.R+twet.R)/twet.R*COLLECTeff.R*RAINrate.R</f>
        <v>2.6122501158189259E-9</v>
      </c>
      <c r="C17" s="264" t="s">
        <v>1155</v>
      </c>
    </row>
    <row r="18" spans="1:3" ht="15" x14ac:dyDescent="0.3">
      <c r="A18" s="262" t="s">
        <v>3272</v>
      </c>
      <c r="B18" s="263">
        <f>(FRaerw.aT+FRaers.aT)*(tdry.T+twet.T)/twet.T*RAINrate.T*COLLECTeff.T</f>
        <v>4.8369683461120356E-9</v>
      </c>
      <c r="C18" s="264" t="s">
        <v>1155</v>
      </c>
    </row>
    <row r="19" spans="1:3" ht="15" x14ac:dyDescent="0.3">
      <c r="A19" s="262" t="s">
        <v>4266</v>
      </c>
      <c r="B19" s="263">
        <f>VOLUME.aA/TAU.aA</f>
        <v>29424519893.079891</v>
      </c>
      <c r="C19" s="266" t="s">
        <v>1055</v>
      </c>
    </row>
    <row r="20" spans="1:3" ht="15" x14ac:dyDescent="0.3">
      <c r="A20" s="262" t="s">
        <v>4267</v>
      </c>
      <c r="B20" s="263" t="e">
        <f>VOLUME.aC/TAU.aC-AIRflow.aC.aR</f>
        <v>#NAME?</v>
      </c>
      <c r="C20" s="266" t="s">
        <v>1055</v>
      </c>
    </row>
    <row r="21" spans="1:3" ht="15" x14ac:dyDescent="0.3">
      <c r="A21" s="262" t="s">
        <v>4268</v>
      </c>
      <c r="B21" s="263" t="e">
        <f>AIRflow.aR.aC</f>
        <v>#NAME?</v>
      </c>
      <c r="C21" s="266" t="s">
        <v>1055</v>
      </c>
    </row>
    <row r="22" spans="1:3" ht="15" x14ac:dyDescent="0.3">
      <c r="A22" s="262" t="s">
        <v>4269</v>
      </c>
      <c r="B22" s="263" t="e">
        <f>AIRflow.aA.aM</f>
        <v>#NAME?</v>
      </c>
      <c r="C22" s="266" t="s">
        <v>1055</v>
      </c>
    </row>
    <row r="23" spans="1:3" ht="15" x14ac:dyDescent="0.3">
      <c r="A23" s="262" t="s">
        <v>4270</v>
      </c>
      <c r="B23" s="263" t="e">
        <f>AIRflow.aC.aM</f>
        <v>#NAME?</v>
      </c>
      <c r="C23" s="266" t="s">
        <v>1055</v>
      </c>
    </row>
    <row r="24" spans="1:3" ht="15" x14ac:dyDescent="0.3">
      <c r="A24" s="262" t="s">
        <v>4271</v>
      </c>
      <c r="B24" s="263" t="e">
        <f>AIRflow.aT.aM</f>
        <v>#NAME?</v>
      </c>
      <c r="C24" s="266" t="s">
        <v>1055</v>
      </c>
    </row>
    <row r="25" spans="1:3" ht="15" x14ac:dyDescent="0.3">
      <c r="A25" s="262" t="s">
        <v>4272</v>
      </c>
      <c r="B25" s="263">
        <f>VOLUME.aR/TAU.aR</f>
        <v>2162581519.9666018</v>
      </c>
      <c r="C25" s="262" t="s">
        <v>1055</v>
      </c>
    </row>
    <row r="26" spans="1:3" ht="15" x14ac:dyDescent="0.3">
      <c r="A26" s="262" t="s">
        <v>4273</v>
      </c>
      <c r="B26" s="263">
        <f>VOLUME.aT/TAU.aT</f>
        <v>50964763443.135521</v>
      </c>
      <c r="C26" s="266" t="s">
        <v>1055</v>
      </c>
    </row>
    <row r="27" spans="1:3" x14ac:dyDescent="0.3">
      <c r="A27" s="264" t="s">
        <v>1887</v>
      </c>
      <c r="B27" s="263">
        <f>AREAland.C*FRACnatsoil.C/SYSTEMAREA.C</f>
        <v>0.13073261798103972</v>
      </c>
      <c r="C27" s="266" t="s">
        <v>291</v>
      </c>
    </row>
    <row r="28" spans="1:3" x14ac:dyDescent="0.3">
      <c r="A28" s="264" t="s">
        <v>980</v>
      </c>
      <c r="B28" s="263">
        <f>AREAland.R*FRACnatsoil.R/SYSTEMAREA.R</f>
        <v>0.26882388813869412</v>
      </c>
      <c r="C28" s="262" t="s">
        <v>291</v>
      </c>
    </row>
    <row r="29" spans="1:3" x14ac:dyDescent="0.3">
      <c r="A29" s="264" t="s">
        <v>1888</v>
      </c>
      <c r="B29" s="263">
        <f>AREAland.C*FRACagsoil.C/SYSTEMAREA.C</f>
        <v>0.2905169288467549</v>
      </c>
      <c r="C29" s="266" t="s">
        <v>291</v>
      </c>
    </row>
    <row r="30" spans="1:3" x14ac:dyDescent="0.3">
      <c r="A30" s="264" t="s">
        <v>982</v>
      </c>
      <c r="B30" s="263">
        <f>AREAland.R*FRACagsoil.R/SYSTEMAREA.R</f>
        <v>0.5973864180859868</v>
      </c>
      <c r="C30" s="262" t="s">
        <v>291</v>
      </c>
    </row>
    <row r="31" spans="1:3" x14ac:dyDescent="0.3">
      <c r="A31" s="264" t="s">
        <v>1889</v>
      </c>
      <c r="B31" s="263">
        <f>AREAland.C*FRACothersoil.C/SYSTEMAREA.C</f>
        <v>4.8419488141125809E-2</v>
      </c>
      <c r="C31" s="266" t="s">
        <v>291</v>
      </c>
    </row>
    <row r="32" spans="1:3" x14ac:dyDescent="0.3">
      <c r="A32" s="264" t="s">
        <v>984</v>
      </c>
      <c r="B32" s="263">
        <f>AREAland.R*FRACothersoil.R/SYSTEMAREA.R</f>
        <v>9.9564403014331143E-2</v>
      </c>
      <c r="C32" s="262" t="s">
        <v>291</v>
      </c>
    </row>
    <row r="33" spans="1:3" x14ac:dyDescent="0.3">
      <c r="A33" s="264" t="s">
        <v>2886</v>
      </c>
      <c r="B33" s="263">
        <f>1-AREAFRAC.wA</f>
        <v>0.4</v>
      </c>
      <c r="C33" s="266" t="s">
        <v>291</v>
      </c>
    </row>
    <row r="34" spans="1:3" x14ac:dyDescent="0.3">
      <c r="A34" s="264" t="s">
        <v>2477</v>
      </c>
      <c r="B34" s="263">
        <f>1-AREAFRAC.wM</f>
        <v>0.5</v>
      </c>
      <c r="C34" s="266" t="s">
        <v>291</v>
      </c>
    </row>
    <row r="35" spans="1:3" x14ac:dyDescent="0.3">
      <c r="A35" s="264" t="s">
        <v>3205</v>
      </c>
      <c r="B35" s="263">
        <f>1-AREAFRAC.wT</f>
        <v>0.30000000000000004</v>
      </c>
      <c r="C35" s="262" t="s">
        <v>291</v>
      </c>
    </row>
    <row r="36" spans="1:3" x14ac:dyDescent="0.3">
      <c r="A36" s="264" t="s">
        <v>1885</v>
      </c>
      <c r="B36" s="263">
        <f>AREAland.C*FRAClake.C/SYSTEMAREA.C</f>
        <v>1.2104872035281454E-3</v>
      </c>
      <c r="C36" s="262" t="s">
        <v>291</v>
      </c>
    </row>
    <row r="37" spans="1:3" x14ac:dyDescent="0.3">
      <c r="A37" s="264" t="s">
        <v>976</v>
      </c>
      <c r="B37" s="263">
        <f>AREAland.R*FRAClake.R/SYSTEMAREA.R</f>
        <v>2.4891100753582783E-3</v>
      </c>
      <c r="C37" s="262" t="s">
        <v>291</v>
      </c>
    </row>
    <row r="38" spans="1:3" x14ac:dyDescent="0.3">
      <c r="A38" s="264" t="s">
        <v>1886</v>
      </c>
      <c r="B38" s="263">
        <f>AREAland.C*FRACfresh.C/SYSTEMAREA.C</f>
        <v>1.3315359238809598E-2</v>
      </c>
      <c r="C38" s="266" t="s">
        <v>291</v>
      </c>
    </row>
    <row r="39" spans="1:3" x14ac:dyDescent="0.3">
      <c r="A39" s="264" t="s">
        <v>978</v>
      </c>
      <c r="B39" s="263">
        <f>AREAland.R*FRACfresh.R/SYSTEMAREA.R</f>
        <v>2.7380210828941064E-2</v>
      </c>
      <c r="C39" s="262" t="s">
        <v>291</v>
      </c>
    </row>
    <row r="40" spans="1:3" x14ac:dyDescent="0.3">
      <c r="A40" s="264" t="s">
        <v>1890</v>
      </c>
      <c r="B40" s="263">
        <f>1-AREAFRAC.w0C-AREAFRAC.w1C-AREAFRAC.s1C-AREAFRAC.s2C-AREAFRAC.s3C</f>
        <v>0.5158051185887419</v>
      </c>
      <c r="C40" s="266" t="s">
        <v>291</v>
      </c>
    </row>
    <row r="41" spans="1:3" x14ac:dyDescent="0.3">
      <c r="A41" s="264" t="s">
        <v>986</v>
      </c>
      <c r="B41" s="263">
        <f>1-AREAFRAC.w0R-AREAFRAC.w1R-AREAFRAC.s1R-AREAFRAC.s2R-AREAFRAC.s3R</f>
        <v>4.3559698566885963E-3</v>
      </c>
      <c r="C41" s="262" t="s">
        <v>291</v>
      </c>
    </row>
    <row r="42" spans="1:3" x14ac:dyDescent="0.3">
      <c r="A42" s="264" t="s">
        <v>2885</v>
      </c>
      <c r="B42" s="263">
        <v>0.6</v>
      </c>
      <c r="C42" s="266" t="s">
        <v>291</v>
      </c>
    </row>
    <row r="43" spans="1:3" x14ac:dyDescent="0.3">
      <c r="A43" s="264" t="s">
        <v>2476</v>
      </c>
      <c r="B43" s="263">
        <v>0.5</v>
      </c>
      <c r="C43" s="266" t="s">
        <v>291</v>
      </c>
    </row>
    <row r="44" spans="1:3" x14ac:dyDescent="0.3">
      <c r="A44" s="264" t="s">
        <v>3204</v>
      </c>
      <c r="B44" s="266">
        <v>0.7</v>
      </c>
      <c r="C44" s="262" t="s">
        <v>291</v>
      </c>
    </row>
    <row r="45" spans="1:3" ht="15" x14ac:dyDescent="0.3">
      <c r="A45" s="266" t="s">
        <v>732</v>
      </c>
      <c r="B45" s="266">
        <v>3714410</v>
      </c>
      <c r="C45" s="264" t="s">
        <v>672</v>
      </c>
    </row>
    <row r="46" spans="1:3" ht="15" x14ac:dyDescent="0.3">
      <c r="A46" s="266" t="s">
        <v>671</v>
      </c>
      <c r="B46" s="266">
        <v>228570</v>
      </c>
      <c r="C46" s="264" t="s">
        <v>672</v>
      </c>
    </row>
    <row r="47" spans="1:3" ht="15" x14ac:dyDescent="0.3">
      <c r="A47" s="266" t="s">
        <v>733</v>
      </c>
      <c r="B47" s="266">
        <v>3714410</v>
      </c>
      <c r="C47" s="264" t="s">
        <v>672</v>
      </c>
    </row>
    <row r="48" spans="1:3" ht="15" x14ac:dyDescent="0.3">
      <c r="A48" s="266" t="s">
        <v>675</v>
      </c>
      <c r="B48" s="266">
        <v>1000</v>
      </c>
      <c r="C48" s="264" t="s">
        <v>672</v>
      </c>
    </row>
    <row r="49" spans="1:3" ht="15" x14ac:dyDescent="0.3">
      <c r="A49" s="262" t="s">
        <v>636</v>
      </c>
      <c r="B49" s="266">
        <v>40000</v>
      </c>
      <c r="C49" s="262" t="s">
        <v>637</v>
      </c>
    </row>
    <row r="50" spans="1:3" x14ac:dyDescent="0.3">
      <c r="A50" s="264" t="s">
        <v>2127</v>
      </c>
      <c r="B50" s="263">
        <v>40000</v>
      </c>
      <c r="C50" s="262" t="s">
        <v>1295</v>
      </c>
    </row>
    <row r="51" spans="1:3" x14ac:dyDescent="0.3">
      <c r="A51" s="264" t="s">
        <v>1294</v>
      </c>
      <c r="B51" s="263">
        <v>40000</v>
      </c>
      <c r="C51" s="262" t="s">
        <v>1295</v>
      </c>
    </row>
    <row r="52" spans="1:3" x14ac:dyDescent="0.3">
      <c r="A52" s="264" t="s">
        <v>2128</v>
      </c>
      <c r="B52" s="263">
        <v>40000</v>
      </c>
      <c r="C52" s="262" t="s">
        <v>1295</v>
      </c>
    </row>
    <row r="53" spans="1:3" x14ac:dyDescent="0.3">
      <c r="A53" s="264" t="s">
        <v>1298</v>
      </c>
      <c r="B53" s="263">
        <v>40000</v>
      </c>
      <c r="C53" s="262" t="s">
        <v>1295</v>
      </c>
    </row>
    <row r="54" spans="1:3" x14ac:dyDescent="0.3">
      <c r="A54" s="264" t="s">
        <v>3004</v>
      </c>
      <c r="B54" s="263">
        <v>40000</v>
      </c>
      <c r="C54" s="262" t="s">
        <v>1295</v>
      </c>
    </row>
    <row r="55" spans="1:3" x14ac:dyDescent="0.3">
      <c r="A55" s="264" t="s">
        <v>2129</v>
      </c>
      <c r="B55" s="263">
        <v>40000</v>
      </c>
      <c r="C55" s="262" t="s">
        <v>1295</v>
      </c>
    </row>
    <row r="56" spans="1:3" x14ac:dyDescent="0.3">
      <c r="A56" s="264" t="s">
        <v>2652</v>
      </c>
      <c r="B56" s="263">
        <v>40000</v>
      </c>
      <c r="C56" s="262" t="s">
        <v>1295</v>
      </c>
    </row>
    <row r="57" spans="1:3" x14ac:dyDescent="0.3">
      <c r="A57" s="264" t="s">
        <v>1300</v>
      </c>
      <c r="B57" s="263">
        <v>40000</v>
      </c>
      <c r="C57" s="262" t="s">
        <v>1295</v>
      </c>
    </row>
    <row r="58" spans="1:3" x14ac:dyDescent="0.3">
      <c r="A58" s="264" t="s">
        <v>3315</v>
      </c>
      <c r="B58" s="266">
        <v>40000</v>
      </c>
      <c r="C58" s="262" t="s">
        <v>1295</v>
      </c>
    </row>
    <row r="59" spans="1:3" x14ac:dyDescent="0.3">
      <c r="A59" s="264" t="s">
        <v>3006</v>
      </c>
      <c r="B59" s="263">
        <v>40000</v>
      </c>
      <c r="C59" s="262" t="s">
        <v>1295</v>
      </c>
    </row>
    <row r="60" spans="1:3" x14ac:dyDescent="0.3">
      <c r="A60" s="264" t="s">
        <v>2654</v>
      </c>
      <c r="B60" s="263">
        <v>40000</v>
      </c>
      <c r="C60" s="262" t="s">
        <v>1295</v>
      </c>
    </row>
    <row r="61" spans="1:3" x14ac:dyDescent="0.3">
      <c r="A61" s="264" t="s">
        <v>3316</v>
      </c>
      <c r="B61" s="266">
        <v>40000</v>
      </c>
      <c r="C61" s="262" t="s">
        <v>1295</v>
      </c>
    </row>
    <row r="62" spans="1:3" x14ac:dyDescent="0.3">
      <c r="A62" s="262" t="s">
        <v>632</v>
      </c>
      <c r="B62" s="267" t="s">
        <v>634</v>
      </c>
      <c r="C62" s="262" t="s">
        <v>633</v>
      </c>
    </row>
    <row r="63" spans="1:3" ht="15" x14ac:dyDescent="0.3">
      <c r="A63" s="262" t="s">
        <v>4274</v>
      </c>
      <c r="B63" s="263">
        <f>NETsedrate.w1C*SYSTEMAREA.C*AREAFRAC.w1C</f>
        <v>8.265757754893718</v>
      </c>
      <c r="C63" s="262" t="s">
        <v>1055</v>
      </c>
    </row>
    <row r="64" spans="1:3" ht="15" x14ac:dyDescent="0.3">
      <c r="A64" s="262" t="s">
        <v>4275</v>
      </c>
      <c r="B64" s="263">
        <f>NETsedrate.w1R*SYSTEMAREA.R*AREAFRAC.w1R</f>
        <v>0.54598031594844021</v>
      </c>
      <c r="C64" s="262" t="s">
        <v>1055</v>
      </c>
    </row>
    <row r="65" spans="1:3" ht="15" x14ac:dyDescent="0.3">
      <c r="A65" s="262" t="s">
        <v>4276</v>
      </c>
      <c r="B65" s="263">
        <f>NETsedrate.w2C*SYSTEMAREA.C*AREAFRAC.w2C</f>
        <v>101.74743400000001</v>
      </c>
      <c r="C65" s="262" t="s">
        <v>1055</v>
      </c>
    </row>
    <row r="66" spans="1:3" ht="15" x14ac:dyDescent="0.3">
      <c r="A66" s="262" t="s">
        <v>4277</v>
      </c>
      <c r="B66" s="263">
        <f>NETsedrate.w2R*SYSTEMAREA.R*AREAFRAC.w2R</f>
        <v>2.7428797247595133E-2</v>
      </c>
      <c r="C66" s="262" t="s">
        <v>1055</v>
      </c>
    </row>
    <row r="67" spans="1:3" ht="15" x14ac:dyDescent="0.3">
      <c r="A67" s="262" t="s">
        <v>4278</v>
      </c>
      <c r="B67" s="263">
        <f>NETsedrate.wA*SYSTEMAREA.A*AREAFRAC.wA</f>
        <v>1.6171993911719766</v>
      </c>
      <c r="C67" s="262" t="s">
        <v>1055</v>
      </c>
    </row>
    <row r="68" spans="1:3" ht="15" x14ac:dyDescent="0.3">
      <c r="A68" s="262" t="s">
        <v>4279</v>
      </c>
      <c r="B68" s="263">
        <f>NETsedrate.wM*SYSTEMAREA.M*AREAFRAC.wM</f>
        <v>3.4720095874555419</v>
      </c>
      <c r="C68" s="262" t="s">
        <v>1055</v>
      </c>
    </row>
    <row r="69" spans="1:3" ht="15" x14ac:dyDescent="0.3">
      <c r="A69" s="262" t="s">
        <v>4280</v>
      </c>
      <c r="B69" s="263">
        <f>NETsedrate.wT*SYSTEMAREA.T*AREAFRAC.wT</f>
        <v>5.6601978691020065</v>
      </c>
      <c r="C69" s="262" t="s">
        <v>1055</v>
      </c>
    </row>
    <row r="70" spans="1:3" ht="15" x14ac:dyDescent="0.3">
      <c r="A70" s="262" t="s">
        <v>619</v>
      </c>
      <c r="B70" s="266">
        <v>500000</v>
      </c>
      <c r="C70" s="262" t="s">
        <v>620</v>
      </c>
    </row>
    <row r="71" spans="1:3" ht="15" x14ac:dyDescent="0.3">
      <c r="A71" s="262" t="s">
        <v>3000</v>
      </c>
      <c r="B71" s="263">
        <v>500000</v>
      </c>
      <c r="C71" s="262" t="s">
        <v>620</v>
      </c>
    </row>
    <row r="72" spans="1:3" ht="15" x14ac:dyDescent="0.3">
      <c r="A72" s="262" t="s">
        <v>2121</v>
      </c>
      <c r="B72" s="263">
        <v>500000</v>
      </c>
      <c r="C72" s="262" t="s">
        <v>620</v>
      </c>
    </row>
    <row r="73" spans="1:3" ht="15" x14ac:dyDescent="0.3">
      <c r="A73" s="262" t="s">
        <v>2647</v>
      </c>
      <c r="B73" s="263">
        <v>500000</v>
      </c>
      <c r="C73" s="262" t="s">
        <v>620</v>
      </c>
    </row>
    <row r="74" spans="1:3" ht="15" x14ac:dyDescent="0.3">
      <c r="A74" s="262" t="s">
        <v>1283</v>
      </c>
      <c r="B74" s="263">
        <v>500000</v>
      </c>
      <c r="C74" s="262" t="s">
        <v>620</v>
      </c>
    </row>
    <row r="75" spans="1:3" ht="15" x14ac:dyDescent="0.3">
      <c r="A75" s="262" t="s">
        <v>3311</v>
      </c>
      <c r="B75" s="263">
        <v>500000</v>
      </c>
      <c r="C75" s="262" t="s">
        <v>620</v>
      </c>
    </row>
    <row r="76" spans="1:3" x14ac:dyDescent="0.3">
      <c r="A76" s="264" t="s">
        <v>752</v>
      </c>
      <c r="B76" s="263">
        <v>1</v>
      </c>
      <c r="C76" s="262" t="s">
        <v>716</v>
      </c>
    </row>
    <row r="77" spans="1:3" x14ac:dyDescent="0.3">
      <c r="A77" s="264" t="s">
        <v>715</v>
      </c>
      <c r="B77" s="263">
        <v>1</v>
      </c>
      <c r="C77" s="262" t="s">
        <v>716</v>
      </c>
    </row>
    <row r="78" spans="1:3" x14ac:dyDescent="0.3">
      <c r="A78" s="264" t="s">
        <v>753</v>
      </c>
      <c r="B78" s="263">
        <v>1</v>
      </c>
      <c r="C78" s="262" t="s">
        <v>716</v>
      </c>
    </row>
    <row r="79" spans="1:3" x14ac:dyDescent="0.3">
      <c r="A79" s="264" t="s">
        <v>718</v>
      </c>
      <c r="B79" s="263">
        <v>1</v>
      </c>
      <c r="C79" s="262" t="s">
        <v>716</v>
      </c>
    </row>
    <row r="80" spans="1:3" x14ac:dyDescent="0.3">
      <c r="A80" s="264" t="s">
        <v>2937</v>
      </c>
      <c r="B80" s="263">
        <v>1</v>
      </c>
      <c r="C80" s="262" t="s">
        <v>716</v>
      </c>
    </row>
    <row r="81" spans="1:3" x14ac:dyDescent="0.3">
      <c r="A81" s="264" t="s">
        <v>754</v>
      </c>
      <c r="B81" s="263">
        <v>1</v>
      </c>
      <c r="C81" s="262" t="s">
        <v>716</v>
      </c>
    </row>
    <row r="82" spans="1:3" x14ac:dyDescent="0.3">
      <c r="A82" s="264" t="s">
        <v>2550</v>
      </c>
      <c r="B82" s="263">
        <v>1</v>
      </c>
      <c r="C82" s="262" t="s">
        <v>716</v>
      </c>
    </row>
    <row r="83" spans="1:3" x14ac:dyDescent="0.3">
      <c r="A83" s="264" t="s">
        <v>719</v>
      </c>
      <c r="B83" s="263">
        <v>1</v>
      </c>
      <c r="C83" s="262" t="s">
        <v>716</v>
      </c>
    </row>
    <row r="84" spans="1:3" x14ac:dyDescent="0.3">
      <c r="A84" s="264" t="s">
        <v>3251</v>
      </c>
      <c r="B84" s="263">
        <v>1</v>
      </c>
      <c r="C84" s="262" t="s">
        <v>716</v>
      </c>
    </row>
    <row r="85" spans="1:3" x14ac:dyDescent="0.3">
      <c r="A85" s="264" t="s">
        <v>2938</v>
      </c>
      <c r="B85" s="263">
        <v>1</v>
      </c>
      <c r="C85" s="262" t="s">
        <v>716</v>
      </c>
    </row>
    <row r="86" spans="1:3" x14ac:dyDescent="0.3">
      <c r="A86" s="264" t="s">
        <v>2552</v>
      </c>
      <c r="B86" s="263">
        <v>1</v>
      </c>
      <c r="C86" s="262" t="s">
        <v>716</v>
      </c>
    </row>
    <row r="87" spans="1:3" x14ac:dyDescent="0.3">
      <c r="A87" s="264" t="s">
        <v>3252</v>
      </c>
      <c r="B87" s="263">
        <v>1</v>
      </c>
      <c r="C87" s="262" t="s">
        <v>716</v>
      </c>
    </row>
    <row r="88" spans="1:3" x14ac:dyDescent="0.3">
      <c r="A88" s="264" t="s">
        <v>2963</v>
      </c>
      <c r="B88" s="263">
        <v>200000</v>
      </c>
      <c r="C88" s="262" t="s">
        <v>291</v>
      </c>
    </row>
    <row r="89" spans="1:3" x14ac:dyDescent="0.3">
      <c r="A89" s="264" t="s">
        <v>2046</v>
      </c>
      <c r="B89" s="263">
        <v>200000</v>
      </c>
      <c r="C89" s="262" t="s">
        <v>291</v>
      </c>
    </row>
    <row r="90" spans="1:3" x14ac:dyDescent="0.3">
      <c r="A90" s="264" t="s">
        <v>2594</v>
      </c>
      <c r="B90" s="263">
        <v>200000</v>
      </c>
      <c r="C90" s="262" t="s">
        <v>291</v>
      </c>
    </row>
    <row r="91" spans="1:3" x14ac:dyDescent="0.3">
      <c r="A91" s="264" t="s">
        <v>1163</v>
      </c>
      <c r="B91" s="263">
        <v>200000</v>
      </c>
      <c r="C91" s="262" t="s">
        <v>291</v>
      </c>
    </row>
    <row r="92" spans="1:3" x14ac:dyDescent="0.3">
      <c r="A92" s="264" t="s">
        <v>3276</v>
      </c>
      <c r="B92" s="266">
        <v>200000</v>
      </c>
      <c r="C92" s="262" t="s">
        <v>291</v>
      </c>
    </row>
    <row r="93" spans="1:3" x14ac:dyDescent="0.3">
      <c r="A93" s="264" t="s">
        <v>784</v>
      </c>
      <c r="B93" s="266">
        <v>0.02</v>
      </c>
      <c r="C93" s="262" t="s">
        <v>291</v>
      </c>
    </row>
    <row r="94" spans="1:3" x14ac:dyDescent="0.3">
      <c r="A94" s="264" t="s">
        <v>1993</v>
      </c>
      <c r="B94" s="263">
        <v>0.02</v>
      </c>
      <c r="C94" s="262" t="s">
        <v>291</v>
      </c>
    </row>
    <row r="95" spans="1:3" x14ac:dyDescent="0.3">
      <c r="A95" s="264" t="s">
        <v>1114</v>
      </c>
      <c r="B95" s="263">
        <v>0.02</v>
      </c>
      <c r="C95" s="262" t="s">
        <v>291</v>
      </c>
    </row>
    <row r="96" spans="1:3" x14ac:dyDescent="0.3">
      <c r="A96" s="264" t="s">
        <v>2000</v>
      </c>
      <c r="B96" s="263">
        <v>0.02</v>
      </c>
      <c r="C96" s="262" t="s">
        <v>291</v>
      </c>
    </row>
    <row r="97" spans="1:3" x14ac:dyDescent="0.3">
      <c r="A97" s="264" t="s">
        <v>1121</v>
      </c>
      <c r="B97" s="263">
        <v>0.02</v>
      </c>
      <c r="C97" s="262" t="s">
        <v>291</v>
      </c>
    </row>
    <row r="98" spans="1:3" x14ac:dyDescent="0.3">
      <c r="A98" s="264" t="s">
        <v>2007</v>
      </c>
      <c r="B98" s="263">
        <v>0.02</v>
      </c>
      <c r="C98" s="262" t="s">
        <v>291</v>
      </c>
    </row>
    <row r="99" spans="1:3" x14ac:dyDescent="0.3">
      <c r="A99" s="264" t="s">
        <v>1128</v>
      </c>
      <c r="B99" s="263">
        <v>0.02</v>
      </c>
      <c r="C99" s="262" t="s">
        <v>291</v>
      </c>
    </row>
    <row r="100" spans="1:3" x14ac:dyDescent="0.3">
      <c r="A100" s="264" t="s">
        <v>2946</v>
      </c>
      <c r="B100" s="263">
        <v>0.02</v>
      </c>
      <c r="C100" s="262" t="s">
        <v>291</v>
      </c>
    </row>
    <row r="101" spans="1:3" x14ac:dyDescent="0.3">
      <c r="A101" s="264" t="s">
        <v>1983</v>
      </c>
      <c r="B101" s="263">
        <v>0.05</v>
      </c>
      <c r="C101" s="262" t="s">
        <v>291</v>
      </c>
    </row>
    <row r="102" spans="1:3" x14ac:dyDescent="0.3">
      <c r="A102" s="264" t="s">
        <v>1101</v>
      </c>
      <c r="B102" s="263">
        <v>0.05</v>
      </c>
      <c r="C102" s="262" t="s">
        <v>291</v>
      </c>
    </row>
    <row r="103" spans="1:3" x14ac:dyDescent="0.3">
      <c r="A103" s="264" t="s">
        <v>1986</v>
      </c>
      <c r="B103" s="263">
        <v>0.05</v>
      </c>
      <c r="C103" s="262" t="s">
        <v>291</v>
      </c>
    </row>
    <row r="104" spans="1:3" x14ac:dyDescent="0.3">
      <c r="A104" s="264" t="s">
        <v>1107</v>
      </c>
      <c r="B104" s="263">
        <v>0.05</v>
      </c>
      <c r="C104" s="262" t="s">
        <v>291</v>
      </c>
    </row>
    <row r="105" spans="1:3" x14ac:dyDescent="0.3">
      <c r="A105" s="264" t="s">
        <v>2941</v>
      </c>
      <c r="B105" s="263">
        <v>0.05</v>
      </c>
      <c r="C105" s="262" t="s">
        <v>291</v>
      </c>
    </row>
    <row r="106" spans="1:3" x14ac:dyDescent="0.3">
      <c r="A106" s="264" t="s">
        <v>2558</v>
      </c>
      <c r="B106" s="263">
        <v>0.05</v>
      </c>
      <c r="C106" s="262" t="s">
        <v>291</v>
      </c>
    </row>
    <row r="107" spans="1:3" x14ac:dyDescent="0.3">
      <c r="A107" s="264" t="s">
        <v>3255</v>
      </c>
      <c r="B107" s="263">
        <v>0.05</v>
      </c>
      <c r="C107" s="262" t="s">
        <v>291</v>
      </c>
    </row>
    <row r="108" spans="1:3" x14ac:dyDescent="0.3">
      <c r="A108" s="264" t="s">
        <v>2568</v>
      </c>
      <c r="B108" s="263">
        <v>0.02</v>
      </c>
      <c r="C108" s="262" t="s">
        <v>291</v>
      </c>
    </row>
    <row r="109" spans="1:3" x14ac:dyDescent="0.3">
      <c r="A109" s="264" t="s">
        <v>3260</v>
      </c>
      <c r="B109" s="263">
        <v>0.02</v>
      </c>
      <c r="C109" s="262" t="s">
        <v>291</v>
      </c>
    </row>
    <row r="110" spans="1:3" x14ac:dyDescent="0.3">
      <c r="A110" s="264" t="s">
        <v>1968</v>
      </c>
      <c r="B110" s="263">
        <v>0.1</v>
      </c>
      <c r="C110" s="262" t="s">
        <v>291</v>
      </c>
    </row>
    <row r="111" spans="1:3" x14ac:dyDescent="0.3">
      <c r="A111" s="264" t="s">
        <v>1080</v>
      </c>
      <c r="B111" s="263">
        <v>0.1</v>
      </c>
      <c r="C111" s="262" t="s">
        <v>291</v>
      </c>
    </row>
    <row r="112" spans="1:3" x14ac:dyDescent="0.3">
      <c r="A112" s="264" t="s">
        <v>1972</v>
      </c>
      <c r="B112" s="263">
        <v>0.1</v>
      </c>
      <c r="C112" s="262" t="s">
        <v>291</v>
      </c>
    </row>
    <row r="113" spans="1:3" x14ac:dyDescent="0.3">
      <c r="A113" s="264" t="s">
        <v>1085</v>
      </c>
      <c r="B113" s="263">
        <v>0.1</v>
      </c>
      <c r="C113" s="262" t="s">
        <v>291</v>
      </c>
    </row>
    <row r="114" spans="1:3" x14ac:dyDescent="0.3">
      <c r="A114" s="264" t="s">
        <v>2931</v>
      </c>
      <c r="B114" s="263">
        <v>0.1</v>
      </c>
      <c r="C114" s="262" t="s">
        <v>291</v>
      </c>
    </row>
    <row r="115" spans="1:3" x14ac:dyDescent="0.3">
      <c r="A115" s="264" t="s">
        <v>1976</v>
      </c>
      <c r="B115" s="263">
        <v>0.1</v>
      </c>
      <c r="C115" s="262" t="s">
        <v>291</v>
      </c>
    </row>
    <row r="116" spans="1:3" x14ac:dyDescent="0.3">
      <c r="A116" s="264" t="s">
        <v>2541</v>
      </c>
      <c r="B116" s="263">
        <v>0.1</v>
      </c>
      <c r="C116" s="262" t="s">
        <v>291</v>
      </c>
    </row>
    <row r="117" spans="1:3" x14ac:dyDescent="0.3">
      <c r="A117" s="264" t="s">
        <v>1088</v>
      </c>
      <c r="B117" s="263">
        <v>0.1</v>
      </c>
      <c r="C117" s="262" t="s">
        <v>291</v>
      </c>
    </row>
    <row r="118" spans="1:3" x14ac:dyDescent="0.3">
      <c r="A118" s="264" t="s">
        <v>3245</v>
      </c>
      <c r="B118" s="268">
        <v>0.1</v>
      </c>
      <c r="C118" s="262" t="s">
        <v>291</v>
      </c>
    </row>
    <row r="119" spans="1:3" x14ac:dyDescent="0.3">
      <c r="A119" s="264" t="s">
        <v>2932</v>
      </c>
      <c r="B119" s="263">
        <v>0.1</v>
      </c>
      <c r="C119" s="262" t="s">
        <v>291</v>
      </c>
    </row>
    <row r="120" spans="1:3" x14ac:dyDescent="0.3">
      <c r="A120" s="264" t="s">
        <v>2543</v>
      </c>
      <c r="B120" s="263">
        <v>0.1</v>
      </c>
      <c r="C120" s="262" t="s">
        <v>291</v>
      </c>
    </row>
    <row r="121" spans="1:3" x14ac:dyDescent="0.3">
      <c r="A121" s="264" t="s">
        <v>3246</v>
      </c>
      <c r="B121" s="268">
        <v>0.1</v>
      </c>
      <c r="C121" s="262" t="s">
        <v>291</v>
      </c>
    </row>
    <row r="122" spans="1:3" x14ac:dyDescent="0.3">
      <c r="A122" s="266" t="s">
        <v>782</v>
      </c>
      <c r="B122" s="263">
        <v>0.1</v>
      </c>
      <c r="C122" s="266" t="s">
        <v>291</v>
      </c>
    </row>
    <row r="123" spans="1:3" x14ac:dyDescent="0.3">
      <c r="A123" s="262" t="s">
        <v>2141</v>
      </c>
      <c r="B123" s="263" t="e">
        <f>(EXP((-1/0.1)*DEPTHdrain.s1C)*(1/0.1)*DEPTH.s1C/(1-EXP((-1/0.1)*DEPTH.s1C)))</f>
        <v>#NAME?</v>
      </c>
      <c r="C123" s="266" t="s">
        <v>291</v>
      </c>
    </row>
    <row r="124" spans="1:3" x14ac:dyDescent="0.3">
      <c r="A124" s="262" t="s">
        <v>1321</v>
      </c>
      <c r="B124" s="263" t="e">
        <f>(EXP((-1/0.1)*DEPTHdrain.s1R)*(1/0.1)*DEPTH.s1R/(1-EXP((-1/0.1)*DEPTH.s1R)))</f>
        <v>#NAME?</v>
      </c>
      <c r="C124" s="266" t="s">
        <v>291</v>
      </c>
    </row>
    <row r="125" spans="1:3" x14ac:dyDescent="0.3">
      <c r="A125" s="262" t="s">
        <v>2142</v>
      </c>
      <c r="B125" s="263" t="e">
        <f>(EXP((-1/0.1)*DEPTHdrain.s2C)*(1/0.1)*DEPTH.s2C/(1-EXP((-1/0.1)*DEPTH.s2C)))</f>
        <v>#NAME?</v>
      </c>
      <c r="C125" s="266" t="s">
        <v>291</v>
      </c>
    </row>
    <row r="126" spans="1:3" x14ac:dyDescent="0.3">
      <c r="A126" s="262" t="s">
        <v>1322</v>
      </c>
      <c r="B126" s="263" t="e">
        <f>(EXP((-1/0.1)*DEPTHdrain.s2R)*(1/0.1)*DEPTH.s2R/(1-EXP((-1/0.1)*DEPTH.s2R)))</f>
        <v>#NAME?</v>
      </c>
      <c r="C126" s="266" t="s">
        <v>291</v>
      </c>
    </row>
    <row r="127" spans="1:3" x14ac:dyDescent="0.3">
      <c r="A127" s="262" t="s">
        <v>2143</v>
      </c>
      <c r="B127" s="263" t="e">
        <f>(EXP((-1/0.1)*DEPTHdrain.s3C)*(1/0.1)*DEPTH.s3C/(1-EXP((-1/0.1)*DEPTH.s3C)))</f>
        <v>#NAME?</v>
      </c>
      <c r="C127" s="266" t="s">
        <v>291</v>
      </c>
    </row>
    <row r="128" spans="1:3" x14ac:dyDescent="0.3">
      <c r="A128" s="262" t="s">
        <v>1323</v>
      </c>
      <c r="B128" s="263" t="e">
        <f>(EXP((-1/0.1)*DEPTHdrain.s3R)*(1/0.1)*DEPTH.s3R/(1-EXP((-1/0.1)*DEPTH.s3R)))</f>
        <v>#NAME?</v>
      </c>
      <c r="C128" s="266" t="s">
        <v>291</v>
      </c>
    </row>
    <row r="129" spans="1:3" x14ac:dyDescent="0.3">
      <c r="A129" s="262" t="s">
        <v>3011</v>
      </c>
      <c r="B129" s="263">
        <f>CORRvolat.sA*EXP((-1/0.1)*DEPTH.sA)</f>
        <v>0.77074704126839921</v>
      </c>
      <c r="C129" s="266" t="s">
        <v>291</v>
      </c>
    </row>
    <row r="130" spans="1:3" x14ac:dyDescent="0.3">
      <c r="A130" s="262" t="s">
        <v>2662</v>
      </c>
      <c r="B130" s="263">
        <f>CORRvolat.sM*EXP((-1/0.1)*DEPTH.sM)</f>
        <v>0.77074704126839921</v>
      </c>
      <c r="C130" s="266" t="s">
        <v>291</v>
      </c>
    </row>
    <row r="131" spans="1:3" x14ac:dyDescent="0.3">
      <c r="A131" s="262" t="s">
        <v>3321</v>
      </c>
      <c r="B131" s="263">
        <f>CORRvolat.sT*EXP((-1/0.1)*DEPTH.sT)</f>
        <v>0.77074704126839921</v>
      </c>
      <c r="C131" s="266" t="s">
        <v>291</v>
      </c>
    </row>
    <row r="132" spans="1:3" ht="69" x14ac:dyDescent="0.3">
      <c r="A132" s="262" t="s">
        <v>2105</v>
      </c>
      <c r="B132" s="269" t="s">
        <v>4281</v>
      </c>
      <c r="C132" s="266" t="s">
        <v>291</v>
      </c>
    </row>
    <row r="133" spans="1:3" ht="69" x14ac:dyDescent="0.3">
      <c r="A133" s="262" t="s">
        <v>1263</v>
      </c>
      <c r="B133" s="269" t="s">
        <v>4282</v>
      </c>
      <c r="C133" s="266" t="s">
        <v>291</v>
      </c>
    </row>
    <row r="134" spans="1:3" ht="69" x14ac:dyDescent="0.3">
      <c r="A134" s="262" t="s">
        <v>2106</v>
      </c>
      <c r="B134" s="269" t="s">
        <v>4283</v>
      </c>
      <c r="C134" s="266" t="s">
        <v>291</v>
      </c>
    </row>
    <row r="135" spans="1:3" ht="69" x14ac:dyDescent="0.3">
      <c r="A135" s="262" t="s">
        <v>1264</v>
      </c>
      <c r="B135" s="269" t="s">
        <v>4284</v>
      </c>
      <c r="C135" s="266" t="s">
        <v>291</v>
      </c>
    </row>
    <row r="136" spans="1:3" ht="69" x14ac:dyDescent="0.3">
      <c r="A136" s="262" t="s">
        <v>2107</v>
      </c>
      <c r="B136" s="269" t="s">
        <v>4285</v>
      </c>
      <c r="C136" s="266" t="s">
        <v>291</v>
      </c>
    </row>
    <row r="137" spans="1:3" ht="69" x14ac:dyDescent="0.3">
      <c r="A137" s="262" t="s">
        <v>1265</v>
      </c>
      <c r="B137" s="269" t="s">
        <v>4286</v>
      </c>
      <c r="C137" s="266" t="s">
        <v>291</v>
      </c>
    </row>
    <row r="138" spans="1:3" x14ac:dyDescent="0.3">
      <c r="A138" s="262" t="s">
        <v>2991</v>
      </c>
      <c r="B138" s="263" t="e">
        <f>SURFfrac.sA*CORRvolat.sA+SUBSURFfrac.sA*(EXP((-1/FRACs.sdA)*DEPTHsubsurf.sA*(1/FRACs.sdA)*DEPTH.sA)/(1-EXP((-1/0.1)*DEPTH.sA)))</f>
        <v>#NAME?</v>
      </c>
      <c r="C138" s="266" t="s">
        <v>291</v>
      </c>
    </row>
    <row r="139" spans="1:3" x14ac:dyDescent="0.3">
      <c r="A139" s="262" t="s">
        <v>2635</v>
      </c>
      <c r="B139" s="263" t="e">
        <f>SURFfrac.sM*CORRvolat.sM+SUBSURFfrac.sM*(EXP((-1/FRACs.sdM)*DEPTHsubsurf.sM*(1/FRACs.sdM)*DEPTH.sM)/(1-EXP((-1/0.1)*DEPTH.sM)))</f>
        <v>#NAME?</v>
      </c>
      <c r="C139" s="266" t="s">
        <v>291</v>
      </c>
    </row>
    <row r="140" spans="1:3" x14ac:dyDescent="0.3">
      <c r="A140" s="262" t="s">
        <v>3302</v>
      </c>
      <c r="B140" s="263" t="e">
        <f>SURFfrac.sT*CORRvolat.sT+SUBSURFfrac.sT*(EXP((-1/FRACs.sdT)*DEPTHsubsurf.sT*(1/FRACs.sdT)*DEPTH.sT)/(1-EXP((-1/0.1)*DEPTH.sT)))</f>
        <v>#NAME?</v>
      </c>
      <c r="C140" s="266" t="s">
        <v>291</v>
      </c>
    </row>
    <row r="141" spans="1:3" x14ac:dyDescent="0.3">
      <c r="A141" s="262" t="s">
        <v>2063</v>
      </c>
      <c r="B141" s="263">
        <f>(1/0.1)*DEPTH.s1C/(1-EXP((-1/0.1)*DEPTH.s1C))</f>
        <v>1.2707470412683992</v>
      </c>
      <c r="C141" s="266" t="s">
        <v>291</v>
      </c>
    </row>
    <row r="142" spans="1:3" x14ac:dyDescent="0.3">
      <c r="A142" s="262" t="s">
        <v>1186</v>
      </c>
      <c r="B142" s="263">
        <f>(1/0.1)*DEPTH.s1R/(1-EXP((-1/0.1)*DEPTH.s1R))</f>
        <v>1.2707470412683992</v>
      </c>
      <c r="C142" s="266" t="s">
        <v>291</v>
      </c>
    </row>
    <row r="143" spans="1:3" x14ac:dyDescent="0.3">
      <c r="A143" s="262" t="s">
        <v>2064</v>
      </c>
      <c r="B143" s="263">
        <f>(1/0.1)*DEPTH.s2C/(1-EXP((-1/0.1)*DEPTH.s2C))</f>
        <v>2.3130352854993315</v>
      </c>
      <c r="C143" s="266" t="s">
        <v>291</v>
      </c>
    </row>
    <row r="144" spans="1:3" x14ac:dyDescent="0.3">
      <c r="A144" s="262" t="s">
        <v>1188</v>
      </c>
      <c r="B144" s="263">
        <f>(1/0.1)*DEPTH.s2R/(1-EXP((-1/0.1)*DEPTH.s2R))</f>
        <v>2.3130352854993315</v>
      </c>
      <c r="C144" s="266" t="s">
        <v>291</v>
      </c>
    </row>
    <row r="145" spans="1:3" x14ac:dyDescent="0.3">
      <c r="A145" s="262" t="s">
        <v>2065</v>
      </c>
      <c r="B145" s="263">
        <f>(1/0.1)*DEPTH.s3C/(1-EXP((-1/0.1)*DEPTH.s3C))</f>
        <v>1.2707470412683992</v>
      </c>
      <c r="C145" s="266" t="s">
        <v>291</v>
      </c>
    </row>
    <row r="146" spans="1:3" x14ac:dyDescent="0.3">
      <c r="A146" s="262" t="s">
        <v>1189</v>
      </c>
      <c r="B146" s="263">
        <f>(1/0.1)*DEPTH.s3R/(1-EXP((-1/0.1)*DEPTH.s3R))</f>
        <v>1.2707470412683992</v>
      </c>
      <c r="C146" s="266" t="s">
        <v>291</v>
      </c>
    </row>
    <row r="147" spans="1:3" x14ac:dyDescent="0.3">
      <c r="A147" s="262" t="s">
        <v>2973</v>
      </c>
      <c r="B147" s="263">
        <f>(1/0.1)*DEPTH.sA/(1-EXP((-1/0.1)*DEPTH.sA))</f>
        <v>1.2707470412683992</v>
      </c>
      <c r="C147" s="266" t="s">
        <v>291</v>
      </c>
    </row>
    <row r="148" spans="1:3" x14ac:dyDescent="0.3">
      <c r="A148" s="262" t="s">
        <v>2607</v>
      </c>
      <c r="B148" s="263">
        <f>(1/0.1)*DEPTH.sM/(1-EXP((-1/0.1)*DEPTH.sM))</f>
        <v>1.2707470412683992</v>
      </c>
      <c r="C148" s="266" t="s">
        <v>291</v>
      </c>
    </row>
    <row r="149" spans="1:3" x14ac:dyDescent="0.3">
      <c r="A149" s="262" t="s">
        <v>3286</v>
      </c>
      <c r="B149" s="263">
        <f>(1/0.1)*DEPTH.sT/(1-EXP((-1/0.1)*DEPTH.sT))</f>
        <v>1.2707470412683992</v>
      </c>
      <c r="C149" s="266" t="s">
        <v>291</v>
      </c>
    </row>
    <row r="150" spans="1:3" ht="41.4" x14ac:dyDescent="0.3">
      <c r="A150" s="262" t="s">
        <v>543</v>
      </c>
      <c r="B150" s="269" t="s">
        <v>4287</v>
      </c>
      <c r="C150" s="262" t="s">
        <v>291</v>
      </c>
    </row>
    <row r="151" spans="1:3" ht="15" x14ac:dyDescent="0.3">
      <c r="A151" s="262" t="s">
        <v>4288</v>
      </c>
      <c r="B151" s="263">
        <f>(KDEPmean.A*HEIGHT.aA)*(SYSTEMAREA.A*AREAFRAC.sA)</f>
        <v>5081917.9022784568</v>
      </c>
      <c r="C151" s="266" t="s">
        <v>1055</v>
      </c>
    </row>
    <row r="152" spans="1:3" ht="15" x14ac:dyDescent="0.3">
      <c r="A152" s="262" t="s">
        <v>4289</v>
      </c>
      <c r="B152" s="263">
        <f>(KDEPmean.A*HEIGHT.aA)*(SYSTEMAREA.A*AREAFRAC.wA)</f>
        <v>7622876.8534176843</v>
      </c>
      <c r="C152" s="266" t="s">
        <v>1055</v>
      </c>
    </row>
    <row r="153" spans="1:3" ht="15" x14ac:dyDescent="0.3">
      <c r="A153" s="262" t="s">
        <v>4290</v>
      </c>
      <c r="B153" s="263" t="e">
        <f>(KDEPmean.C*HEIGHT.aC)*(SYSTEMAREA.C*AREAFRAC.s1C)</f>
        <v>#NAME?</v>
      </c>
      <c r="C153" s="262" t="s">
        <v>1055</v>
      </c>
    </row>
    <row r="154" spans="1:3" ht="15" x14ac:dyDescent="0.3">
      <c r="A154" s="262" t="s">
        <v>4291</v>
      </c>
      <c r="B154" s="263" t="e">
        <f>(KDEPmean.C*HEIGHT.aC)*(SYSTEMAREA.C*AREAFRAC.s2C)</f>
        <v>#NAME?</v>
      </c>
      <c r="C154" s="262" t="s">
        <v>1055</v>
      </c>
    </row>
    <row r="155" spans="1:3" ht="15" x14ac:dyDescent="0.3">
      <c r="A155" s="262" t="s">
        <v>4292</v>
      </c>
      <c r="B155" s="263" t="e">
        <f>(KDEPmean.C*HEIGHT.aC)*(SYSTEMAREA.C*AREAFRAC.s3C)</f>
        <v>#NAME?</v>
      </c>
      <c r="C155" s="262" t="s">
        <v>1055</v>
      </c>
    </row>
    <row r="156" spans="1:3" ht="15" x14ac:dyDescent="0.3">
      <c r="A156" s="262" t="s">
        <v>4293</v>
      </c>
      <c r="B156" s="263" t="e">
        <f>(KDEPmean.C*HEIGHT.aC)*(SYSTEMAREA.C*AREAFRAC.w0C)</f>
        <v>#NAME?</v>
      </c>
      <c r="C156" s="262" t="s">
        <v>1055</v>
      </c>
    </row>
    <row r="157" spans="1:3" ht="15" x14ac:dyDescent="0.3">
      <c r="A157" s="262" t="s">
        <v>4294</v>
      </c>
      <c r="B157" s="263" t="e">
        <f>(KDEPmean.C*HEIGHT.aC)*(SYSTEMAREA.C*AREAFRAC.w1C)</f>
        <v>#NAME?</v>
      </c>
      <c r="C157" s="262" t="s">
        <v>1055</v>
      </c>
    </row>
    <row r="158" spans="1:3" ht="15" x14ac:dyDescent="0.3">
      <c r="A158" s="262" t="s">
        <v>4295</v>
      </c>
      <c r="B158" s="263" t="e">
        <f>(KDEPmean.C*HEIGHT.aC)*(SYSTEMAREA.C*AREAFRAC.w2C)</f>
        <v>#NAME?</v>
      </c>
      <c r="C158" s="262" t="s">
        <v>1055</v>
      </c>
    </row>
    <row r="159" spans="1:3" ht="15" x14ac:dyDescent="0.3">
      <c r="A159" s="262" t="s">
        <v>4296</v>
      </c>
      <c r="B159" s="263">
        <f>(KDEPmean.M*HEIGHT.aM)*(SYSTEMAREA.M*AREAFRAC.sM)</f>
        <v>9588531.2160721291</v>
      </c>
      <c r="C159" s="266" t="s">
        <v>1055</v>
      </c>
    </row>
    <row r="160" spans="1:3" ht="15" x14ac:dyDescent="0.3">
      <c r="A160" s="262" t="s">
        <v>4297</v>
      </c>
      <c r="B160" s="263">
        <f>(KDEPmean.M*HEIGHT.aM)*(SYSTEMAREA.M*AREAFRAC.wM)</f>
        <v>9588531.2160721291</v>
      </c>
      <c r="C160" s="266" t="s">
        <v>1055</v>
      </c>
    </row>
    <row r="161" spans="1:3" ht="15" x14ac:dyDescent="0.3">
      <c r="A161" s="262" t="s">
        <v>4298</v>
      </c>
      <c r="B161" s="270" t="e">
        <f>(KDEPmean.R*HEIGHT.aR)*(SYSTEMAREA.R*AREAFRAC.s1R)</f>
        <v>#NAME?</v>
      </c>
      <c r="C161" s="262" t="s">
        <v>1055</v>
      </c>
    </row>
    <row r="162" spans="1:3" ht="15" x14ac:dyDescent="0.3">
      <c r="A162" s="262" t="s">
        <v>4299</v>
      </c>
      <c r="B162" s="270" t="e">
        <f>(KDEPmean.R*HEIGHT.aR)*(SYSTEMAREA.R*AREAFRAC.s2R)</f>
        <v>#NAME?</v>
      </c>
      <c r="C162" s="262" t="s">
        <v>1055</v>
      </c>
    </row>
    <row r="163" spans="1:3" ht="15" x14ac:dyDescent="0.3">
      <c r="A163" s="262" t="s">
        <v>4300</v>
      </c>
      <c r="B163" s="270" t="e">
        <f>(KDEPmean.R*HEIGHT.aR)*(SYSTEMAREA.R*AREAFRAC.s3R)</f>
        <v>#NAME?</v>
      </c>
      <c r="C163" s="262" t="s">
        <v>1055</v>
      </c>
    </row>
    <row r="164" spans="1:3" ht="15" x14ac:dyDescent="0.3">
      <c r="A164" s="262" t="s">
        <v>4301</v>
      </c>
      <c r="B164" s="270" t="e">
        <f>(KDEPmean.R*HEIGHT.aR)*(SYSTEMAREA.R*AREAFRAC.w0R)</f>
        <v>#NAME?</v>
      </c>
      <c r="C164" s="262" t="s">
        <v>1055</v>
      </c>
    </row>
    <row r="165" spans="1:3" ht="15" x14ac:dyDescent="0.3">
      <c r="A165" s="262" t="s">
        <v>4302</v>
      </c>
      <c r="B165" s="270" t="e">
        <f>(KDEPmean.R*HEIGHT.aR)*(SYSTEMAREA.R*AREAFRAC.w1R)</f>
        <v>#NAME?</v>
      </c>
      <c r="C165" s="262" t="s">
        <v>1055</v>
      </c>
    </row>
    <row r="166" spans="1:3" ht="15" x14ac:dyDescent="0.3">
      <c r="A166" s="262" t="s">
        <v>4303</v>
      </c>
      <c r="B166" s="270" t="e">
        <f>(KDEPmean.R*HEIGHT.aR)*(SYSTEMAREA.R*AREAFRAC.w2R)</f>
        <v>#NAME?</v>
      </c>
      <c r="C166" s="262" t="s">
        <v>1055</v>
      </c>
    </row>
    <row r="167" spans="1:3" ht="15" x14ac:dyDescent="0.3">
      <c r="A167" s="262" t="s">
        <v>4304</v>
      </c>
      <c r="B167" s="263">
        <f>(KDEPmean.T*HEIGHT.aT)*(SYSTEMAREA.T*AREAFRAC.sT)</f>
        <v>9325106.2804654483</v>
      </c>
      <c r="C167" s="266" t="s">
        <v>1055</v>
      </c>
    </row>
    <row r="168" spans="1:3" ht="15" x14ac:dyDescent="0.3">
      <c r="A168" s="262" t="s">
        <v>4305</v>
      </c>
      <c r="B168" s="263">
        <f>(KDEPmean.T*HEIGHT.aT)*(SYSTEMAREA.T*AREAFRAC.wT)</f>
        <v>21758581.321086042</v>
      </c>
      <c r="C168" s="266" t="s">
        <v>1055</v>
      </c>
    </row>
    <row r="169" spans="1:3" x14ac:dyDescent="0.3">
      <c r="A169" s="264" t="s">
        <v>1899</v>
      </c>
      <c r="B169" s="263">
        <v>0.05</v>
      </c>
      <c r="C169" s="266" t="s">
        <v>813</v>
      </c>
    </row>
    <row r="170" spans="1:3" x14ac:dyDescent="0.3">
      <c r="A170" s="264" t="s">
        <v>1002</v>
      </c>
      <c r="B170" s="266">
        <v>0.05</v>
      </c>
      <c r="C170" s="262" t="s">
        <v>813</v>
      </c>
    </row>
    <row r="171" spans="1:3" x14ac:dyDescent="0.3">
      <c r="A171" s="264" t="s">
        <v>1900</v>
      </c>
      <c r="B171" s="263">
        <v>0.2</v>
      </c>
      <c r="C171" s="266" t="s">
        <v>813</v>
      </c>
    </row>
    <row r="172" spans="1:3" x14ac:dyDescent="0.3">
      <c r="A172" s="264" t="s">
        <v>1003</v>
      </c>
      <c r="B172" s="266">
        <v>0.2</v>
      </c>
      <c r="C172" s="262" t="s">
        <v>813</v>
      </c>
    </row>
    <row r="173" spans="1:3" x14ac:dyDescent="0.3">
      <c r="A173" s="264" t="s">
        <v>1901</v>
      </c>
      <c r="B173" s="263">
        <v>0.05</v>
      </c>
      <c r="C173" s="266" t="s">
        <v>813</v>
      </c>
    </row>
    <row r="174" spans="1:3" x14ac:dyDescent="0.3">
      <c r="A174" s="264" t="s">
        <v>1004</v>
      </c>
      <c r="B174" s="266">
        <v>0.05</v>
      </c>
      <c r="C174" s="262" t="s">
        <v>813</v>
      </c>
    </row>
    <row r="175" spans="1:3" x14ac:dyDescent="0.3">
      <c r="A175" s="264" t="s">
        <v>2893</v>
      </c>
      <c r="B175" s="263">
        <v>0.05</v>
      </c>
      <c r="C175" s="262" t="s">
        <v>813</v>
      </c>
    </row>
    <row r="176" spans="1:3" x14ac:dyDescent="0.3">
      <c r="A176" s="264" t="s">
        <v>1897</v>
      </c>
      <c r="B176" s="263">
        <v>3</v>
      </c>
      <c r="C176" s="266" t="s">
        <v>997</v>
      </c>
    </row>
    <row r="177" spans="1:3" x14ac:dyDescent="0.3">
      <c r="A177" s="264" t="s">
        <v>999</v>
      </c>
      <c r="B177" s="263">
        <v>3</v>
      </c>
      <c r="C177" s="262" t="s">
        <v>997</v>
      </c>
    </row>
    <row r="178" spans="1:3" x14ac:dyDescent="0.3">
      <c r="A178" s="264" t="s">
        <v>1898</v>
      </c>
      <c r="B178" s="263">
        <v>3</v>
      </c>
      <c r="C178" s="266" t="s">
        <v>997</v>
      </c>
    </row>
    <row r="179" spans="1:3" x14ac:dyDescent="0.3">
      <c r="A179" s="264" t="s">
        <v>1001</v>
      </c>
      <c r="B179" s="263">
        <v>3</v>
      </c>
      <c r="C179" s="262" t="s">
        <v>997</v>
      </c>
    </row>
    <row r="180" spans="1:3" x14ac:dyDescent="0.3">
      <c r="A180" s="264" t="s">
        <v>2892</v>
      </c>
      <c r="B180" s="263">
        <v>3</v>
      </c>
      <c r="C180" s="262" t="s">
        <v>997</v>
      </c>
    </row>
    <row r="181" spans="1:3" x14ac:dyDescent="0.3">
      <c r="A181" s="264" t="s">
        <v>2484</v>
      </c>
      <c r="B181" s="263">
        <v>3</v>
      </c>
      <c r="C181" s="262" t="s">
        <v>997</v>
      </c>
    </row>
    <row r="182" spans="1:3" x14ac:dyDescent="0.3">
      <c r="A182" s="264" t="s">
        <v>3209</v>
      </c>
      <c r="B182" s="266">
        <v>3</v>
      </c>
      <c r="C182" s="262" t="s">
        <v>997</v>
      </c>
    </row>
    <row r="183" spans="1:3" x14ac:dyDescent="0.3">
      <c r="A183" s="264" t="s">
        <v>2485</v>
      </c>
      <c r="B183" s="263">
        <v>0.05</v>
      </c>
      <c r="C183" s="262" t="s">
        <v>813</v>
      </c>
    </row>
    <row r="184" spans="1:3" x14ac:dyDescent="0.3">
      <c r="A184" s="264" t="s">
        <v>3210</v>
      </c>
      <c r="B184" s="263">
        <v>0.05</v>
      </c>
      <c r="C184" s="262" t="s">
        <v>813</v>
      </c>
    </row>
    <row r="185" spans="1:3" x14ac:dyDescent="0.3">
      <c r="A185" s="264" t="s">
        <v>1892</v>
      </c>
      <c r="B185" s="263">
        <f>DEPTHlake.C</f>
        <v>100</v>
      </c>
      <c r="C185" s="262" t="s">
        <v>813</v>
      </c>
    </row>
    <row r="186" spans="1:3" x14ac:dyDescent="0.3">
      <c r="A186" s="264" t="s">
        <v>990</v>
      </c>
      <c r="B186" s="263">
        <f>DEPTHlake.R</f>
        <v>100</v>
      </c>
      <c r="C186" s="262" t="s">
        <v>813</v>
      </c>
    </row>
    <row r="187" spans="1:3" x14ac:dyDescent="0.3">
      <c r="A187" s="264" t="s">
        <v>1893</v>
      </c>
      <c r="B187" s="263">
        <f>DEPTHfreshwater.C</f>
        <v>3</v>
      </c>
      <c r="C187" s="266" t="s">
        <v>813</v>
      </c>
    </row>
    <row r="188" spans="1:3" x14ac:dyDescent="0.3">
      <c r="A188" s="264" t="s">
        <v>992</v>
      </c>
      <c r="B188" s="263">
        <f>DEPTHfreshwater.R</f>
        <v>3</v>
      </c>
      <c r="C188" s="262" t="s">
        <v>813</v>
      </c>
    </row>
    <row r="189" spans="1:3" x14ac:dyDescent="0.3">
      <c r="A189" s="264" t="s">
        <v>2889</v>
      </c>
      <c r="B189" s="263">
        <v>100</v>
      </c>
      <c r="C189" s="262" t="s">
        <v>813</v>
      </c>
    </row>
    <row r="190" spans="1:3" x14ac:dyDescent="0.3">
      <c r="A190" s="264" t="s">
        <v>1894</v>
      </c>
      <c r="B190" s="263">
        <v>100</v>
      </c>
      <c r="C190" s="266" t="s">
        <v>813</v>
      </c>
    </row>
    <row r="191" spans="1:3" x14ac:dyDescent="0.3">
      <c r="A191" s="264" t="s">
        <v>2480</v>
      </c>
      <c r="B191" s="263">
        <v>100</v>
      </c>
      <c r="C191" s="262" t="s">
        <v>813</v>
      </c>
    </row>
    <row r="192" spans="1:3" x14ac:dyDescent="0.3">
      <c r="A192" s="264" t="s">
        <v>994</v>
      </c>
      <c r="B192" s="263">
        <v>10</v>
      </c>
      <c r="C192" s="262" t="s">
        <v>813</v>
      </c>
    </row>
    <row r="193" spans="1:3" x14ac:dyDescent="0.3">
      <c r="A193" s="264" t="s">
        <v>3207</v>
      </c>
      <c r="B193" s="266">
        <v>100</v>
      </c>
      <c r="C193" s="262" t="s">
        <v>813</v>
      </c>
    </row>
    <row r="194" spans="1:3" x14ac:dyDescent="0.3">
      <c r="A194" s="264" t="s">
        <v>2891</v>
      </c>
      <c r="B194" s="263">
        <v>3000</v>
      </c>
      <c r="C194" s="262" t="s">
        <v>813</v>
      </c>
    </row>
    <row r="195" spans="1:3" x14ac:dyDescent="0.3">
      <c r="A195" s="264" t="s">
        <v>2482</v>
      </c>
      <c r="B195" s="263">
        <v>3000</v>
      </c>
      <c r="C195" s="262" t="s">
        <v>813</v>
      </c>
    </row>
    <row r="196" spans="1:3" x14ac:dyDescent="0.3">
      <c r="A196" s="264" t="s">
        <v>3208</v>
      </c>
      <c r="B196" s="263">
        <v>3000</v>
      </c>
      <c r="C196" s="262" t="s">
        <v>813</v>
      </c>
    </row>
    <row r="197" spans="1:3" x14ac:dyDescent="0.3">
      <c r="A197" s="262" t="s">
        <v>4306</v>
      </c>
      <c r="B197" s="263">
        <v>0.5</v>
      </c>
      <c r="C197" s="264" t="s">
        <v>813</v>
      </c>
    </row>
    <row r="198" spans="1:3" x14ac:dyDescent="0.3">
      <c r="A198" s="262" t="s">
        <v>4307</v>
      </c>
      <c r="B198" s="263">
        <v>0.5</v>
      </c>
      <c r="C198" s="264" t="s">
        <v>813</v>
      </c>
    </row>
    <row r="199" spans="1:3" x14ac:dyDescent="0.3">
      <c r="A199" s="262" t="s">
        <v>4308</v>
      </c>
      <c r="B199" s="263">
        <v>0.5</v>
      </c>
      <c r="C199" s="264" t="s">
        <v>813</v>
      </c>
    </row>
    <row r="200" spans="1:3" x14ac:dyDescent="0.3">
      <c r="A200" s="262" t="s">
        <v>4309</v>
      </c>
      <c r="B200" s="263">
        <v>0.5</v>
      </c>
      <c r="C200" s="264" t="s">
        <v>813</v>
      </c>
    </row>
    <row r="201" spans="1:3" x14ac:dyDescent="0.3">
      <c r="A201" s="262" t="s">
        <v>4310</v>
      </c>
      <c r="B201" s="263">
        <v>0.5</v>
      </c>
      <c r="C201" s="264" t="s">
        <v>813</v>
      </c>
    </row>
    <row r="202" spans="1:3" x14ac:dyDescent="0.3">
      <c r="A202" s="262" t="s">
        <v>4311</v>
      </c>
      <c r="B202" s="263">
        <v>0.5</v>
      </c>
      <c r="C202" s="264" t="s">
        <v>813</v>
      </c>
    </row>
    <row r="203" spans="1:3" x14ac:dyDescent="0.3">
      <c r="A203" s="266" t="s">
        <v>743</v>
      </c>
      <c r="B203" s="266">
        <v>3</v>
      </c>
      <c r="C203" s="266" t="s">
        <v>279</v>
      </c>
    </row>
    <row r="204" spans="1:3" x14ac:dyDescent="0.3">
      <c r="A204" s="266" t="s">
        <v>697</v>
      </c>
      <c r="B204" s="266">
        <v>3</v>
      </c>
      <c r="C204" s="266" t="s">
        <v>279</v>
      </c>
    </row>
    <row r="205" spans="1:3" x14ac:dyDescent="0.3">
      <c r="A205" s="266" t="s">
        <v>742</v>
      </c>
      <c r="B205" s="266">
        <v>100</v>
      </c>
      <c r="C205" s="266" t="s">
        <v>279</v>
      </c>
    </row>
    <row r="206" spans="1:3" x14ac:dyDescent="0.3">
      <c r="A206" s="266" t="s">
        <v>695</v>
      </c>
      <c r="B206" s="266">
        <v>100</v>
      </c>
      <c r="C206" s="266" t="s">
        <v>279</v>
      </c>
    </row>
    <row r="207" spans="1:3" x14ac:dyDescent="0.3">
      <c r="A207" s="262" t="s">
        <v>4312</v>
      </c>
      <c r="B207" s="263">
        <v>0.1</v>
      </c>
      <c r="C207" s="264" t="s">
        <v>813</v>
      </c>
    </row>
    <row r="208" spans="1:3" x14ac:dyDescent="0.3">
      <c r="A208" s="262" t="s">
        <v>4313</v>
      </c>
      <c r="B208" s="263">
        <v>0.1</v>
      </c>
      <c r="C208" s="264" t="s">
        <v>813</v>
      </c>
    </row>
    <row r="209" spans="1:3" x14ac:dyDescent="0.3">
      <c r="A209" s="262" t="s">
        <v>4314</v>
      </c>
      <c r="B209" s="263">
        <v>0.1</v>
      </c>
      <c r="C209" s="264" t="s">
        <v>813</v>
      </c>
    </row>
    <row r="210" spans="1:3" x14ac:dyDescent="0.3">
      <c r="A210" s="262" t="s">
        <v>4315</v>
      </c>
      <c r="B210" s="263">
        <v>0.1</v>
      </c>
      <c r="C210" s="264" t="s">
        <v>813</v>
      </c>
    </row>
    <row r="211" spans="1:3" x14ac:dyDescent="0.3">
      <c r="A211" s="262" t="s">
        <v>4316</v>
      </c>
      <c r="B211" s="263">
        <v>0.1</v>
      </c>
      <c r="C211" s="264" t="s">
        <v>813</v>
      </c>
    </row>
    <row r="212" spans="1:3" x14ac:dyDescent="0.3">
      <c r="A212" s="262" t="s">
        <v>4317</v>
      </c>
      <c r="B212" s="263">
        <v>0.1</v>
      </c>
      <c r="C212" s="264" t="s">
        <v>813</v>
      </c>
    </row>
    <row r="213" spans="1:3" x14ac:dyDescent="0.3">
      <c r="A213" s="262" t="s">
        <v>4318</v>
      </c>
      <c r="B213" s="263">
        <v>0.1</v>
      </c>
      <c r="C213" s="262" t="s">
        <v>291</v>
      </c>
    </row>
    <row r="214" spans="1:3" x14ac:dyDescent="0.3">
      <c r="A214" s="262" t="s">
        <v>4319</v>
      </c>
      <c r="B214" s="263">
        <v>0.1</v>
      </c>
      <c r="C214" s="262" t="s">
        <v>291</v>
      </c>
    </row>
    <row r="215" spans="1:3" x14ac:dyDescent="0.3">
      <c r="A215" s="262" t="s">
        <v>4320</v>
      </c>
      <c r="B215" s="263">
        <v>0.1</v>
      </c>
      <c r="C215" s="262" t="s">
        <v>291</v>
      </c>
    </row>
    <row r="216" spans="1:3" ht="15" x14ac:dyDescent="0.3">
      <c r="A216" s="262" t="s">
        <v>4321</v>
      </c>
      <c r="B216" s="263">
        <f>((kwsd.water.wC*kwsd.sed.sdC)/(kwsd.water.wC+kwsd.sed.sdC))/Ksdw1.C*(SYSTEMAREA.C*AREAFRAC.w1C)</f>
        <v>131.57910462071752</v>
      </c>
      <c r="C216" s="262" t="s">
        <v>1055</v>
      </c>
    </row>
    <row r="217" spans="1:3" ht="15" x14ac:dyDescent="0.3">
      <c r="A217" s="262" t="s">
        <v>4322</v>
      </c>
      <c r="B217" s="263">
        <f>((kwsd.water.wR*kwsd.sed.sdR)/(kwsd.water.wR+kwsd.sed.sdR))/Ksdw1.R*(SYSTEMAREA.R*AREAFRAC.w1R)</f>
        <v>8.6277729164727592</v>
      </c>
      <c r="C217" s="262" t="s">
        <v>1055</v>
      </c>
    </row>
    <row r="218" spans="1:3" ht="15" x14ac:dyDescent="0.3">
      <c r="A218" s="262" t="s">
        <v>4323</v>
      </c>
      <c r="B218" s="263">
        <f>((kwsd.water.wC*kwsd.sed.sdC)/(kwsd.water.wC+kwsd.sed.sdC))/Ksdw2.C*(SYSTEMAREA.C*AREAFRAC.w2C)</f>
        <v>5097.0593016277653</v>
      </c>
      <c r="C218" s="262" t="s">
        <v>1055</v>
      </c>
    </row>
    <row r="219" spans="1:3" ht="15" x14ac:dyDescent="0.3">
      <c r="A219" s="262" t="s">
        <v>4324</v>
      </c>
      <c r="B219" s="263">
        <f>((kwsd.water.wR*kwsd.sed.sdR)/(kwsd.water.wR+kwsd.sed.sdR))/Ksdw2.R*(SYSTEMAREA.R*AREAFRAC.w2R)</f>
        <v>1.3726088155166738</v>
      </c>
      <c r="C219" s="262" t="s">
        <v>1055</v>
      </c>
    </row>
    <row r="220" spans="1:3" ht="15" x14ac:dyDescent="0.3">
      <c r="A220" s="262" t="s">
        <v>4325</v>
      </c>
      <c r="B220" s="263">
        <f>((kwsd.water.wA*kwsd.sed.sdA)/(kwsd.water.wA+kwsd.sed.sdA))/Ksdw.A*(SYSTEMAREA.A*AREAFRAC.wA)</f>
        <v>35001.524795675141</v>
      </c>
      <c r="C220" s="266" t="s">
        <v>1055</v>
      </c>
    </row>
    <row r="221" spans="1:3" ht="15" x14ac:dyDescent="0.3">
      <c r="A221" s="262" t="s">
        <v>4326</v>
      </c>
      <c r="B221" s="263">
        <f>((kwsd.water.wM*kwsd.sed.sdM)/(kwsd.water.wM+kwsd.sed.sdM))/Ksdw.M*(SYSTEMAREA.M*AREAFRAC.wM)</f>
        <v>53237.442749015288</v>
      </c>
      <c r="C221" s="266" t="s">
        <v>1055</v>
      </c>
    </row>
    <row r="222" spans="1:3" ht="15" x14ac:dyDescent="0.3">
      <c r="A222" s="262" t="s">
        <v>4327</v>
      </c>
      <c r="B222" s="263">
        <f>((kwsd.water.wT*kwsd.sed.sdT)/(kwsd.water.wT+kwsd.sed.sdT))/Ksdw.T*(SYSTEMAREA.T*AREAFRAC.wT)</f>
        <v>122505.33678486299</v>
      </c>
      <c r="C222" s="266" t="s">
        <v>1055</v>
      </c>
    </row>
    <row r="223" spans="1:3" ht="15" x14ac:dyDescent="0.3">
      <c r="A223" s="262" t="s">
        <v>776</v>
      </c>
      <c r="B223" s="266">
        <f>0.0000257*SQRT(18)/SQRT(Molweight*1000)</f>
        <v>8.9931266270753822E-6</v>
      </c>
      <c r="C223" s="264" t="s">
        <v>777</v>
      </c>
    </row>
    <row r="224" spans="1:3" ht="15" x14ac:dyDescent="0.3">
      <c r="A224" s="262" t="s">
        <v>780</v>
      </c>
      <c r="B224" s="266">
        <f>0.000000002*SQRT(32)/SQRT(Molweight*1000)</f>
        <v>9.331389496316871E-10</v>
      </c>
      <c r="C224" s="264" t="s">
        <v>777</v>
      </c>
    </row>
    <row r="225" spans="1:3" x14ac:dyDescent="0.3">
      <c r="A225" s="262" t="s">
        <v>4328</v>
      </c>
      <c r="B225" s="263">
        <v>0.25</v>
      </c>
      <c r="C225" s="262" t="s">
        <v>291</v>
      </c>
    </row>
    <row r="226" spans="1:3" x14ac:dyDescent="0.3">
      <c r="A226" s="262" t="s">
        <v>4329</v>
      </c>
      <c r="B226" s="263">
        <v>0.25</v>
      </c>
      <c r="C226" s="262" t="s">
        <v>291</v>
      </c>
    </row>
    <row r="227" spans="1:3" x14ac:dyDescent="0.3">
      <c r="A227" s="262" t="s">
        <v>4330</v>
      </c>
      <c r="B227" s="263">
        <v>0.25</v>
      </c>
      <c r="C227" s="262" t="s">
        <v>291</v>
      </c>
    </row>
    <row r="228" spans="1:3" x14ac:dyDescent="0.3">
      <c r="A228" s="262" t="s">
        <v>4331</v>
      </c>
      <c r="B228" s="263">
        <v>0.25</v>
      </c>
      <c r="C228" s="262" t="s">
        <v>291</v>
      </c>
    </row>
    <row r="229" spans="1:3" x14ac:dyDescent="0.3">
      <c r="A229" s="262" t="s">
        <v>4332</v>
      </c>
      <c r="B229" s="263">
        <v>0.25</v>
      </c>
      <c r="C229" s="262" t="s">
        <v>291</v>
      </c>
    </row>
    <row r="230" spans="1:3" x14ac:dyDescent="0.3">
      <c r="A230" s="262" t="s">
        <v>4333</v>
      </c>
      <c r="B230" s="263">
        <v>0.25</v>
      </c>
      <c r="C230" s="262" t="s">
        <v>291</v>
      </c>
    </row>
    <row r="231" spans="1:3" ht="15" x14ac:dyDescent="0.3">
      <c r="A231" s="264" t="s">
        <v>2958</v>
      </c>
      <c r="B231" s="263">
        <f>AEROSOLdeprate.A*(FRaerw.aA+FRaers.aA)</f>
        <v>3.5837054958296295E-11</v>
      </c>
      <c r="C231" s="265" t="s">
        <v>1155</v>
      </c>
    </row>
    <row r="232" spans="1:3" ht="15" x14ac:dyDescent="0.3">
      <c r="A232" s="264" t="s">
        <v>2041</v>
      </c>
      <c r="B232" s="263">
        <f>AEROSOLdeprate.C*(FRaerw.aC+FRaers.aC)</f>
        <v>3.5305679851056702E-11</v>
      </c>
      <c r="C232" s="264" t="s">
        <v>1155</v>
      </c>
    </row>
    <row r="233" spans="1:3" ht="15" x14ac:dyDescent="0.3">
      <c r="A233" s="264" t="s">
        <v>2587</v>
      </c>
      <c r="B233" s="263">
        <f>AEROSOLdeprate.M*(FRaerw.aM+FRaers.aM)</f>
        <v>3.5305679851056702E-11</v>
      </c>
      <c r="C233" s="265" t="s">
        <v>1155</v>
      </c>
    </row>
    <row r="234" spans="1:3" ht="15" x14ac:dyDescent="0.3">
      <c r="A234" s="264" t="s">
        <v>1154</v>
      </c>
      <c r="B234" s="263">
        <f>AEROSOLdeprate.R*(FRaerw.aR+FRaers.aR)</f>
        <v>3.5305679851056702E-11</v>
      </c>
      <c r="C234" s="264" t="s">
        <v>1155</v>
      </c>
    </row>
    <row r="235" spans="1:3" ht="15" x14ac:dyDescent="0.3">
      <c r="A235" s="264" t="s">
        <v>3271</v>
      </c>
      <c r="B235" s="263">
        <f>AEROSOLdeprate.T*(FRaerw.aT+FRaers.aT)</f>
        <v>3.5201223176074415E-11</v>
      </c>
      <c r="C235" s="265" t="s">
        <v>1155</v>
      </c>
    </row>
    <row r="236" spans="1:3" ht="15" x14ac:dyDescent="0.3">
      <c r="A236" s="262" t="s">
        <v>4334</v>
      </c>
      <c r="B236" s="266">
        <v>0</v>
      </c>
      <c r="C236" s="262" t="s">
        <v>487</v>
      </c>
    </row>
    <row r="237" spans="1:3" ht="15" x14ac:dyDescent="0.3">
      <c r="A237" s="262" t="s">
        <v>4335</v>
      </c>
      <c r="B237" s="266">
        <v>0</v>
      </c>
      <c r="C237" s="262" t="s">
        <v>487</v>
      </c>
    </row>
    <row r="238" spans="1:3" ht="15" x14ac:dyDescent="0.3">
      <c r="A238" s="262" t="s">
        <v>4336</v>
      </c>
      <c r="B238" s="266">
        <v>0</v>
      </c>
      <c r="C238" s="262" t="s">
        <v>487</v>
      </c>
    </row>
    <row r="239" spans="1:3" ht="15" x14ac:dyDescent="0.3">
      <c r="A239" s="262" t="s">
        <v>4337</v>
      </c>
      <c r="B239" s="266">
        <v>10000</v>
      </c>
      <c r="C239" s="262" t="s">
        <v>487</v>
      </c>
    </row>
    <row r="240" spans="1:3" ht="15" x14ac:dyDescent="0.3">
      <c r="A240" s="262" t="s">
        <v>4338</v>
      </c>
      <c r="B240" s="266">
        <v>0</v>
      </c>
      <c r="C240" s="262" t="s">
        <v>487</v>
      </c>
    </row>
    <row r="241" spans="1:3" ht="15" x14ac:dyDescent="0.3">
      <c r="A241" s="262" t="s">
        <v>4339</v>
      </c>
      <c r="B241" s="266">
        <v>0</v>
      </c>
      <c r="C241" s="262" t="s">
        <v>487</v>
      </c>
    </row>
    <row r="242" spans="1:3" ht="15" x14ac:dyDescent="0.3">
      <c r="A242" s="262" t="s">
        <v>4340</v>
      </c>
      <c r="B242" s="266">
        <v>0</v>
      </c>
      <c r="C242" s="262" t="s">
        <v>487</v>
      </c>
    </row>
    <row r="243" spans="1:3" ht="15" x14ac:dyDescent="0.3">
      <c r="A243" s="262" t="s">
        <v>4341</v>
      </c>
      <c r="B243" s="266">
        <v>0</v>
      </c>
      <c r="C243" s="262" t="s">
        <v>487</v>
      </c>
    </row>
    <row r="244" spans="1:3" ht="15" x14ac:dyDescent="0.3">
      <c r="A244" s="262" t="s">
        <v>4342</v>
      </c>
      <c r="B244" s="266">
        <v>10000</v>
      </c>
      <c r="C244" s="262" t="s">
        <v>487</v>
      </c>
    </row>
    <row r="245" spans="1:3" ht="15" x14ac:dyDescent="0.3">
      <c r="A245" s="262" t="s">
        <v>4343</v>
      </c>
      <c r="B245" s="266">
        <v>0</v>
      </c>
      <c r="C245" s="262" t="s">
        <v>487</v>
      </c>
    </row>
    <row r="246" spans="1:3" ht="15" x14ac:dyDescent="0.3">
      <c r="A246" s="262" t="s">
        <v>4344</v>
      </c>
      <c r="B246" s="266">
        <v>0</v>
      </c>
      <c r="C246" s="262" t="s">
        <v>487</v>
      </c>
    </row>
    <row r="247" spans="1:3" ht="15" x14ac:dyDescent="0.3">
      <c r="A247" s="262" t="s">
        <v>4345</v>
      </c>
      <c r="B247" s="266">
        <v>0</v>
      </c>
      <c r="C247" s="262" t="s">
        <v>487</v>
      </c>
    </row>
    <row r="248" spans="1:3" ht="15" x14ac:dyDescent="0.3">
      <c r="A248" s="262" t="s">
        <v>4346</v>
      </c>
      <c r="B248" s="266">
        <v>0</v>
      </c>
      <c r="C248" s="262" t="s">
        <v>487</v>
      </c>
    </row>
    <row r="249" spans="1:3" ht="15" x14ac:dyDescent="0.3">
      <c r="A249" s="262" t="s">
        <v>4347</v>
      </c>
      <c r="B249" s="266">
        <v>0</v>
      </c>
      <c r="C249" s="262" t="s">
        <v>487</v>
      </c>
    </row>
    <row r="250" spans="1:3" ht="15" x14ac:dyDescent="0.3">
      <c r="A250" s="262" t="s">
        <v>4348</v>
      </c>
      <c r="B250" s="266">
        <v>0</v>
      </c>
      <c r="C250" s="262" t="s">
        <v>487</v>
      </c>
    </row>
    <row r="251" spans="1:3" ht="15" x14ac:dyDescent="0.3">
      <c r="A251" s="262" t="s">
        <v>4349</v>
      </c>
      <c r="B251" s="266">
        <v>10000</v>
      </c>
      <c r="C251" s="262" t="s">
        <v>487</v>
      </c>
    </row>
    <row r="252" spans="1:3" ht="15" x14ac:dyDescent="0.3">
      <c r="A252" s="262" t="s">
        <v>4350</v>
      </c>
      <c r="B252" s="266">
        <v>0</v>
      </c>
      <c r="C252" s="262" t="s">
        <v>487</v>
      </c>
    </row>
    <row r="253" spans="1:3" ht="15" x14ac:dyDescent="0.3">
      <c r="A253" s="262" t="s">
        <v>4351</v>
      </c>
      <c r="B253" s="266">
        <v>0</v>
      </c>
      <c r="C253" s="262" t="s">
        <v>487</v>
      </c>
    </row>
    <row r="254" spans="1:3" ht="15" x14ac:dyDescent="0.3">
      <c r="A254" s="262" t="s">
        <v>4352</v>
      </c>
      <c r="B254" s="266">
        <v>0</v>
      </c>
      <c r="C254" s="262" t="s">
        <v>487</v>
      </c>
    </row>
    <row r="255" spans="1:3" ht="15" x14ac:dyDescent="0.3">
      <c r="A255" s="262" t="s">
        <v>4353</v>
      </c>
      <c r="B255" s="266">
        <v>0</v>
      </c>
      <c r="C255" s="262" t="s">
        <v>487</v>
      </c>
    </row>
    <row r="256" spans="1:3" ht="15" x14ac:dyDescent="0.3">
      <c r="A256" s="262" t="s">
        <v>4354</v>
      </c>
      <c r="B256" s="266">
        <v>0</v>
      </c>
      <c r="C256" s="262" t="s">
        <v>487</v>
      </c>
    </row>
    <row r="257" spans="1:3" x14ac:dyDescent="0.3">
      <c r="A257" s="262" t="s">
        <v>627</v>
      </c>
      <c r="B257" s="266">
        <v>6</v>
      </c>
      <c r="C257" s="262" t="s">
        <v>628</v>
      </c>
    </row>
    <row r="258" spans="1:3" ht="15" x14ac:dyDescent="0.3">
      <c r="A258" s="266" t="s">
        <v>748</v>
      </c>
      <c r="B258" s="266">
        <v>0.03</v>
      </c>
      <c r="C258" s="266" t="s">
        <v>693</v>
      </c>
    </row>
    <row r="259" spans="1:3" ht="15" x14ac:dyDescent="0.3">
      <c r="A259" s="266" t="s">
        <v>705</v>
      </c>
      <c r="B259" s="266">
        <v>0.03</v>
      </c>
      <c r="C259" s="266" t="s">
        <v>693</v>
      </c>
    </row>
    <row r="260" spans="1:3" ht="15" x14ac:dyDescent="0.3">
      <c r="A260" s="264" t="s">
        <v>2099</v>
      </c>
      <c r="B260" s="263">
        <v>0.03</v>
      </c>
      <c r="C260" s="264" t="s">
        <v>2593</v>
      </c>
    </row>
    <row r="261" spans="1:3" ht="15" x14ac:dyDescent="0.3">
      <c r="A261" s="264" t="s">
        <v>1252</v>
      </c>
      <c r="B261" s="263">
        <v>0.03</v>
      </c>
      <c r="C261" s="264" t="s">
        <v>2593</v>
      </c>
    </row>
    <row r="262" spans="1:3" ht="15" x14ac:dyDescent="0.3">
      <c r="A262" s="264" t="s">
        <v>2100</v>
      </c>
      <c r="B262" s="263">
        <v>0.03</v>
      </c>
      <c r="C262" s="264" t="s">
        <v>2593</v>
      </c>
    </row>
    <row r="263" spans="1:3" ht="15" x14ac:dyDescent="0.3">
      <c r="A263" s="264" t="s">
        <v>1254</v>
      </c>
      <c r="B263" s="263">
        <v>0.03</v>
      </c>
      <c r="C263" s="264" t="s">
        <v>2593</v>
      </c>
    </row>
    <row r="264" spans="1:3" ht="15" x14ac:dyDescent="0.3">
      <c r="A264" s="264" t="s">
        <v>2101</v>
      </c>
      <c r="B264" s="263">
        <v>0.03</v>
      </c>
      <c r="C264" s="264" t="s">
        <v>2593</v>
      </c>
    </row>
    <row r="265" spans="1:3" ht="15" x14ac:dyDescent="0.3">
      <c r="A265" s="264" t="s">
        <v>1256</v>
      </c>
      <c r="B265" s="263">
        <v>0.03</v>
      </c>
      <c r="C265" s="264" t="s">
        <v>2593</v>
      </c>
    </row>
    <row r="266" spans="1:3" ht="15" x14ac:dyDescent="0.3">
      <c r="A266" s="264" t="s">
        <v>2989</v>
      </c>
      <c r="B266" s="263">
        <v>0.03</v>
      </c>
      <c r="C266" s="264" t="s">
        <v>2593</v>
      </c>
    </row>
    <row r="267" spans="1:3" ht="15" x14ac:dyDescent="0.3">
      <c r="A267" s="264" t="s">
        <v>2632</v>
      </c>
      <c r="B267" s="263">
        <v>0.03</v>
      </c>
      <c r="C267" s="264" t="s">
        <v>2593</v>
      </c>
    </row>
    <row r="268" spans="1:3" ht="15" x14ac:dyDescent="0.3">
      <c r="A268" s="264" t="s">
        <v>3300</v>
      </c>
      <c r="B268" s="266">
        <v>0.03</v>
      </c>
      <c r="C268" s="264" t="s">
        <v>2593</v>
      </c>
    </row>
    <row r="269" spans="1:3" x14ac:dyDescent="0.3">
      <c r="A269" s="266" t="s">
        <v>745</v>
      </c>
      <c r="B269" s="266">
        <v>0</v>
      </c>
      <c r="C269" s="266" t="s">
        <v>292</v>
      </c>
    </row>
    <row r="270" spans="1:3" x14ac:dyDescent="0.3">
      <c r="A270" s="266" t="s">
        <v>699</v>
      </c>
      <c r="B270" s="266">
        <v>0</v>
      </c>
      <c r="C270" s="266" t="s">
        <v>292</v>
      </c>
    </row>
    <row r="271" spans="1:3" x14ac:dyDescent="0.3">
      <c r="A271" s="264" t="s">
        <v>1905</v>
      </c>
      <c r="B271" s="263">
        <v>0.2</v>
      </c>
      <c r="C271" s="266" t="s">
        <v>1007</v>
      </c>
    </row>
    <row r="272" spans="1:3" x14ac:dyDescent="0.3">
      <c r="A272" s="264" t="s">
        <v>1015</v>
      </c>
      <c r="B272" s="263">
        <v>0.2</v>
      </c>
      <c r="C272" s="262" t="s">
        <v>1007</v>
      </c>
    </row>
    <row r="273" spans="1:3" x14ac:dyDescent="0.3">
      <c r="A273" s="264" t="s">
        <v>1908</v>
      </c>
      <c r="B273" s="263">
        <v>0.2</v>
      </c>
      <c r="C273" s="266" t="s">
        <v>1007</v>
      </c>
    </row>
    <row r="274" spans="1:3" x14ac:dyDescent="0.3">
      <c r="A274" s="264" t="s">
        <v>1021</v>
      </c>
      <c r="B274" s="263">
        <v>0.2</v>
      </c>
      <c r="C274" s="262" t="s">
        <v>1007</v>
      </c>
    </row>
    <row r="275" spans="1:3" x14ac:dyDescent="0.3">
      <c r="A275" s="264" t="s">
        <v>1911</v>
      </c>
      <c r="B275" s="263">
        <v>0.2</v>
      </c>
      <c r="C275" s="266" t="s">
        <v>1007</v>
      </c>
    </row>
    <row r="276" spans="1:3" x14ac:dyDescent="0.3">
      <c r="A276" s="264" t="s">
        <v>1027</v>
      </c>
      <c r="B276" s="263">
        <v>0.2</v>
      </c>
      <c r="C276" s="262" t="s">
        <v>1007</v>
      </c>
    </row>
    <row r="277" spans="1:3" x14ac:dyDescent="0.3">
      <c r="A277" s="264" t="s">
        <v>2897</v>
      </c>
      <c r="B277" s="263">
        <v>0.2</v>
      </c>
      <c r="C277" s="262" t="s">
        <v>1007</v>
      </c>
    </row>
    <row r="278" spans="1:3" x14ac:dyDescent="0.3">
      <c r="A278" s="264" t="s">
        <v>2490</v>
      </c>
      <c r="B278" s="263">
        <v>0.2</v>
      </c>
      <c r="C278" s="262" t="s">
        <v>1007</v>
      </c>
    </row>
    <row r="279" spans="1:3" x14ac:dyDescent="0.3">
      <c r="A279" s="264" t="s">
        <v>3214</v>
      </c>
      <c r="B279" s="266">
        <v>0.2</v>
      </c>
      <c r="C279" s="262" t="s">
        <v>1007</v>
      </c>
    </row>
    <row r="280" spans="1:3" x14ac:dyDescent="0.3">
      <c r="A280" s="262" t="s">
        <v>2895</v>
      </c>
      <c r="B280" s="263">
        <v>1.9999999999999999E-11</v>
      </c>
      <c r="C280" s="262" t="s">
        <v>1007</v>
      </c>
    </row>
    <row r="281" spans="1:3" x14ac:dyDescent="0.3">
      <c r="A281" s="262" t="s">
        <v>1903</v>
      </c>
      <c r="B281" s="263">
        <v>1.9999999999999999E-11</v>
      </c>
      <c r="C281" s="262" t="s">
        <v>1007</v>
      </c>
    </row>
    <row r="282" spans="1:3" x14ac:dyDescent="0.3">
      <c r="A282" s="262" t="s">
        <v>2487</v>
      </c>
      <c r="B282" s="263">
        <v>1.9999999999999999E-11</v>
      </c>
      <c r="C282" s="262" t="s">
        <v>1007</v>
      </c>
    </row>
    <row r="283" spans="1:3" x14ac:dyDescent="0.3">
      <c r="A283" s="262" t="s">
        <v>4355</v>
      </c>
      <c r="B283" s="263">
        <v>1.9999999999999999E-11</v>
      </c>
      <c r="C283" s="262" t="s">
        <v>1007</v>
      </c>
    </row>
    <row r="284" spans="1:3" x14ac:dyDescent="0.3">
      <c r="A284" s="262" t="s">
        <v>3212</v>
      </c>
      <c r="B284" s="263">
        <v>1.9999999999999999E-11</v>
      </c>
      <c r="C284" s="262" t="s">
        <v>1007</v>
      </c>
    </row>
    <row r="285" spans="1:3" x14ac:dyDescent="0.3">
      <c r="A285" s="262" t="s">
        <v>2896</v>
      </c>
      <c r="B285" s="263">
        <v>1.9999999999999999E-11</v>
      </c>
      <c r="C285" s="262" t="s">
        <v>1007</v>
      </c>
    </row>
    <row r="286" spans="1:3" x14ac:dyDescent="0.3">
      <c r="A286" s="262" t="s">
        <v>1904</v>
      </c>
      <c r="B286" s="263">
        <v>1.9999999999999999E-11</v>
      </c>
      <c r="C286" s="262" t="s">
        <v>1007</v>
      </c>
    </row>
    <row r="287" spans="1:3" x14ac:dyDescent="0.3">
      <c r="A287" s="262" t="s">
        <v>2488</v>
      </c>
      <c r="B287" s="263">
        <v>1.9999999999999999E-11</v>
      </c>
      <c r="C287" s="262" t="s">
        <v>1007</v>
      </c>
    </row>
    <row r="288" spans="1:3" x14ac:dyDescent="0.3">
      <c r="A288" s="262" t="s">
        <v>1013</v>
      </c>
      <c r="B288" s="263">
        <v>1.9999999999999999E-11</v>
      </c>
      <c r="C288" s="262" t="s">
        <v>1007</v>
      </c>
    </row>
    <row r="289" spans="1:3" x14ac:dyDescent="0.3">
      <c r="A289" s="262" t="s">
        <v>3213</v>
      </c>
      <c r="B289" s="263">
        <v>1.9999999999999999E-11</v>
      </c>
      <c r="C289" s="262" t="s">
        <v>1007</v>
      </c>
    </row>
    <row r="290" spans="1:3" x14ac:dyDescent="0.3">
      <c r="A290" s="266" t="s">
        <v>737</v>
      </c>
      <c r="B290" s="266">
        <v>0.6</v>
      </c>
      <c r="C290" s="266" t="s">
        <v>292</v>
      </c>
    </row>
    <row r="291" spans="1:3" x14ac:dyDescent="0.3">
      <c r="A291" s="266" t="s">
        <v>683</v>
      </c>
      <c r="B291" s="266">
        <v>0.6</v>
      </c>
      <c r="C291" s="266" t="s">
        <v>292</v>
      </c>
    </row>
    <row r="292" spans="1:3" x14ac:dyDescent="0.3">
      <c r="A292" s="262" t="s">
        <v>2894</v>
      </c>
      <c r="B292" s="263">
        <v>2.9999999999999999E-7</v>
      </c>
      <c r="C292" s="262" t="s">
        <v>1007</v>
      </c>
    </row>
    <row r="293" spans="1:3" x14ac:dyDescent="0.3">
      <c r="A293" s="262" t="s">
        <v>1902</v>
      </c>
      <c r="B293" s="263">
        <v>2.9999999999999999E-7</v>
      </c>
      <c r="C293" s="262" t="s">
        <v>1007</v>
      </c>
    </row>
    <row r="294" spans="1:3" x14ac:dyDescent="0.3">
      <c r="A294" s="262" t="s">
        <v>2486</v>
      </c>
      <c r="B294" s="263">
        <v>2.9999999999999999E-7</v>
      </c>
      <c r="C294" s="262" t="s">
        <v>1007</v>
      </c>
    </row>
    <row r="295" spans="1:3" x14ac:dyDescent="0.3">
      <c r="A295" s="262" t="s">
        <v>1006</v>
      </c>
      <c r="B295" s="263">
        <v>2.9999999999999999E-7</v>
      </c>
      <c r="C295" s="262" t="s">
        <v>1007</v>
      </c>
    </row>
    <row r="296" spans="1:3" x14ac:dyDescent="0.3">
      <c r="A296" s="262" t="s">
        <v>3211</v>
      </c>
      <c r="B296" s="263">
        <v>2.9999999999999999E-7</v>
      </c>
      <c r="C296" s="262" t="s">
        <v>1007</v>
      </c>
    </row>
    <row r="297" spans="1:3" x14ac:dyDescent="0.3">
      <c r="A297" s="266" t="s">
        <v>735</v>
      </c>
      <c r="B297" s="266">
        <v>2.75E-2</v>
      </c>
      <c r="C297" s="266" t="s">
        <v>292</v>
      </c>
    </row>
    <row r="298" spans="1:3" x14ac:dyDescent="0.3">
      <c r="A298" s="266" t="s">
        <v>679</v>
      </c>
      <c r="B298" s="266">
        <v>2.75E-2</v>
      </c>
      <c r="C298" s="266" t="s">
        <v>292</v>
      </c>
    </row>
    <row r="299" spans="1:3" x14ac:dyDescent="0.3">
      <c r="A299" s="266" t="s">
        <v>746</v>
      </c>
      <c r="B299" s="266">
        <v>0.25</v>
      </c>
      <c r="C299" s="266" t="s">
        <v>292</v>
      </c>
    </row>
    <row r="300" spans="1:3" x14ac:dyDescent="0.3">
      <c r="A300" s="266" t="s">
        <v>703</v>
      </c>
      <c r="B300" s="266">
        <v>0.25</v>
      </c>
      <c r="C300" s="266" t="s">
        <v>292</v>
      </c>
    </row>
    <row r="301" spans="1:3" x14ac:dyDescent="0.3">
      <c r="A301" s="264" t="s">
        <v>2138</v>
      </c>
      <c r="B301" s="263">
        <f>FRACinf.C</f>
        <v>0.25</v>
      </c>
      <c r="C301" s="262" t="s">
        <v>291</v>
      </c>
    </row>
    <row r="302" spans="1:3" x14ac:dyDescent="0.3">
      <c r="A302" s="264" t="s">
        <v>1316</v>
      </c>
      <c r="B302" s="263">
        <f>FRACinf.R</f>
        <v>0.25</v>
      </c>
      <c r="C302" s="262" t="s">
        <v>291</v>
      </c>
    </row>
    <row r="303" spans="1:3" x14ac:dyDescent="0.3">
      <c r="A303" s="264" t="s">
        <v>2139</v>
      </c>
      <c r="B303" s="263">
        <f>FRACinf.C</f>
        <v>0.25</v>
      </c>
      <c r="C303" s="262" t="s">
        <v>291</v>
      </c>
    </row>
    <row r="304" spans="1:3" x14ac:dyDescent="0.3">
      <c r="A304" s="264" t="s">
        <v>1318</v>
      </c>
      <c r="B304" s="263">
        <f>FRACinf.R</f>
        <v>0.25</v>
      </c>
      <c r="C304" s="262" t="s">
        <v>291</v>
      </c>
    </row>
    <row r="305" spans="1:3" x14ac:dyDescent="0.3">
      <c r="A305" s="264" t="s">
        <v>2140</v>
      </c>
      <c r="B305" s="263">
        <f>FRACinf.C</f>
        <v>0.25</v>
      </c>
      <c r="C305" s="262" t="s">
        <v>291</v>
      </c>
    </row>
    <row r="306" spans="1:3" x14ac:dyDescent="0.3">
      <c r="A306" s="264" t="s">
        <v>1320</v>
      </c>
      <c r="B306" s="263">
        <f>FRACinf.R</f>
        <v>0.25</v>
      </c>
      <c r="C306" s="262" t="s">
        <v>291</v>
      </c>
    </row>
    <row r="307" spans="1:3" x14ac:dyDescent="0.3">
      <c r="A307" s="264" t="s">
        <v>3010</v>
      </c>
      <c r="B307" s="263">
        <v>0.25</v>
      </c>
      <c r="C307" s="262" t="s">
        <v>291</v>
      </c>
    </row>
    <row r="308" spans="1:3" x14ac:dyDescent="0.3">
      <c r="A308" s="264" t="s">
        <v>2661</v>
      </c>
      <c r="B308" s="263">
        <v>0.25</v>
      </c>
      <c r="C308" s="262" t="s">
        <v>291</v>
      </c>
    </row>
    <row r="309" spans="1:3" x14ac:dyDescent="0.3">
      <c r="A309" s="264" t="s">
        <v>3320</v>
      </c>
      <c r="B309" s="266">
        <v>0.25</v>
      </c>
      <c r="C309" s="262" t="s">
        <v>291</v>
      </c>
    </row>
    <row r="310" spans="1:3" x14ac:dyDescent="0.3">
      <c r="A310" s="266" t="s">
        <v>734</v>
      </c>
      <c r="B310" s="266">
        <v>2.5000000000000001E-3</v>
      </c>
      <c r="C310" s="266" t="s">
        <v>292</v>
      </c>
    </row>
    <row r="311" spans="1:3" x14ac:dyDescent="0.3">
      <c r="A311" s="266" t="s">
        <v>677</v>
      </c>
      <c r="B311" s="266">
        <v>2.5000000000000001E-3</v>
      </c>
      <c r="C311" s="266" t="s">
        <v>292</v>
      </c>
    </row>
    <row r="312" spans="1:3" x14ac:dyDescent="0.3">
      <c r="A312" s="266" t="s">
        <v>736</v>
      </c>
      <c r="B312" s="266">
        <v>0.27</v>
      </c>
      <c r="C312" s="266" t="s">
        <v>292</v>
      </c>
    </row>
    <row r="313" spans="1:3" x14ac:dyDescent="0.3">
      <c r="A313" s="266" t="s">
        <v>681</v>
      </c>
      <c r="B313" s="266">
        <v>0.27</v>
      </c>
      <c r="C313" s="266" t="s">
        <v>292</v>
      </c>
    </row>
    <row r="314" spans="1:3" x14ac:dyDescent="0.3">
      <c r="A314" s="266" t="s">
        <v>738</v>
      </c>
      <c r="B314" s="266">
        <v>0.1</v>
      </c>
      <c r="C314" s="266" t="s">
        <v>292</v>
      </c>
    </row>
    <row r="315" spans="1:3" x14ac:dyDescent="0.3">
      <c r="A315" s="266" t="s">
        <v>685</v>
      </c>
      <c r="B315" s="266">
        <v>0.1</v>
      </c>
      <c r="C315" s="266" t="s">
        <v>292</v>
      </c>
    </row>
    <row r="316" spans="1:3" x14ac:dyDescent="0.3">
      <c r="A316" s="266" t="s">
        <v>747</v>
      </c>
      <c r="B316" s="266">
        <v>0.25</v>
      </c>
      <c r="C316" s="266" t="s">
        <v>292</v>
      </c>
    </row>
    <row r="317" spans="1:3" x14ac:dyDescent="0.3">
      <c r="A317" s="266" t="s">
        <v>701</v>
      </c>
      <c r="B317" s="266">
        <v>0.25</v>
      </c>
      <c r="C317" s="266" t="s">
        <v>292</v>
      </c>
    </row>
    <row r="318" spans="1:3" x14ac:dyDescent="0.3">
      <c r="A318" s="264" t="s">
        <v>2102</v>
      </c>
      <c r="B318" s="263">
        <f>FRACrun.C</f>
        <v>0.25</v>
      </c>
      <c r="C318" s="262" t="s">
        <v>291</v>
      </c>
    </row>
    <row r="319" spans="1:3" x14ac:dyDescent="0.3">
      <c r="A319" s="264" t="s">
        <v>1258</v>
      </c>
      <c r="B319" s="263">
        <f>FRACrun.R</f>
        <v>0.25</v>
      </c>
      <c r="C319" s="262" t="s">
        <v>291</v>
      </c>
    </row>
    <row r="320" spans="1:3" x14ac:dyDescent="0.3">
      <c r="A320" s="264" t="s">
        <v>2103</v>
      </c>
      <c r="B320" s="263">
        <f>FRACrun.C</f>
        <v>0.25</v>
      </c>
      <c r="C320" s="262" t="s">
        <v>291</v>
      </c>
    </row>
    <row r="321" spans="1:3" x14ac:dyDescent="0.3">
      <c r="A321" s="264" t="s">
        <v>1260</v>
      </c>
      <c r="B321" s="263">
        <f>FRACrun.R</f>
        <v>0.25</v>
      </c>
      <c r="C321" s="262" t="s">
        <v>291</v>
      </c>
    </row>
    <row r="322" spans="1:3" x14ac:dyDescent="0.3">
      <c r="A322" s="264" t="s">
        <v>2104</v>
      </c>
      <c r="B322" s="263">
        <f>FRACrun.C</f>
        <v>0.25</v>
      </c>
      <c r="C322" s="262" t="s">
        <v>291</v>
      </c>
    </row>
    <row r="323" spans="1:3" x14ac:dyDescent="0.3">
      <c r="A323" s="264" t="s">
        <v>1262</v>
      </c>
      <c r="B323" s="263">
        <f>FRACrun.R</f>
        <v>0.25</v>
      </c>
      <c r="C323" s="262" t="s">
        <v>291</v>
      </c>
    </row>
    <row r="324" spans="1:3" x14ac:dyDescent="0.3">
      <c r="A324" s="264" t="s">
        <v>2990</v>
      </c>
      <c r="B324" s="263">
        <v>0.25</v>
      </c>
      <c r="C324" s="262" t="s">
        <v>291</v>
      </c>
    </row>
    <row r="325" spans="1:3" x14ac:dyDescent="0.3">
      <c r="A325" s="264" t="s">
        <v>2634</v>
      </c>
      <c r="B325" s="263">
        <v>0.25</v>
      </c>
      <c r="C325" s="262" t="s">
        <v>291</v>
      </c>
    </row>
    <row r="326" spans="1:3" x14ac:dyDescent="0.3">
      <c r="A326" s="264" t="s">
        <v>3301</v>
      </c>
      <c r="B326" s="266">
        <v>0.25</v>
      </c>
      <c r="C326" s="262" t="s">
        <v>291</v>
      </c>
    </row>
    <row r="327" spans="1:3" x14ac:dyDescent="0.3">
      <c r="A327" s="264" t="s">
        <v>1907</v>
      </c>
      <c r="B327" s="263">
        <f>1-FRACa.s1C-FRACw.s1C</f>
        <v>0.60000000000000009</v>
      </c>
      <c r="C327" s="266" t="s">
        <v>1007</v>
      </c>
    </row>
    <row r="328" spans="1:3" x14ac:dyDescent="0.3">
      <c r="A328" s="264" t="s">
        <v>1019</v>
      </c>
      <c r="B328" s="263">
        <f>1-FRACa.s1R-FRACw.s1R</f>
        <v>0.60000000000000009</v>
      </c>
      <c r="C328" s="262" t="s">
        <v>1007</v>
      </c>
    </row>
    <row r="329" spans="1:3" x14ac:dyDescent="0.3">
      <c r="A329" s="264" t="s">
        <v>1910</v>
      </c>
      <c r="B329" s="263">
        <f>1-FRACa.s2C-FRACw.s2C</f>
        <v>0.60000000000000009</v>
      </c>
      <c r="C329" s="266" t="s">
        <v>1007</v>
      </c>
    </row>
    <row r="330" spans="1:3" x14ac:dyDescent="0.3">
      <c r="A330" s="264" t="s">
        <v>1025</v>
      </c>
      <c r="B330" s="263">
        <f>1-FRACa.s2R-FRACw.s2R</f>
        <v>0.60000000000000009</v>
      </c>
      <c r="C330" s="262" t="s">
        <v>1007</v>
      </c>
    </row>
    <row r="331" spans="1:3" x14ac:dyDescent="0.3">
      <c r="A331" s="264" t="s">
        <v>1913</v>
      </c>
      <c r="B331" s="263">
        <f>1-FRACa.s3C-FRACw.s3C</f>
        <v>0.60000000000000009</v>
      </c>
      <c r="C331" s="266" t="s">
        <v>1007</v>
      </c>
    </row>
    <row r="332" spans="1:3" x14ac:dyDescent="0.3">
      <c r="A332" s="264" t="s">
        <v>1031</v>
      </c>
      <c r="B332" s="263">
        <f>1-FRACa.s3R-FRACw.s3R</f>
        <v>0.60000000000000009</v>
      </c>
      <c r="C332" s="262" t="s">
        <v>1007</v>
      </c>
    </row>
    <row r="333" spans="1:3" x14ac:dyDescent="0.3">
      <c r="A333" s="264" t="s">
        <v>2899</v>
      </c>
      <c r="B333" s="263">
        <f>1-FRACa.sA-FRACw.sA</f>
        <v>0.60000000000000009</v>
      </c>
      <c r="C333" s="262" t="s">
        <v>1007</v>
      </c>
    </row>
    <row r="334" spans="1:3" x14ac:dyDescent="0.3">
      <c r="A334" s="264" t="s">
        <v>2902</v>
      </c>
      <c r="B334" s="263">
        <f>1-FRACw.sdA</f>
        <v>0.19999999999999996</v>
      </c>
      <c r="C334" s="262" t="s">
        <v>1007</v>
      </c>
    </row>
    <row r="335" spans="1:3" x14ac:dyDescent="0.3">
      <c r="A335" s="264" t="s">
        <v>1915</v>
      </c>
      <c r="B335" s="263">
        <f>1-FRACw.sdC</f>
        <v>0.19999999999999996</v>
      </c>
      <c r="C335" s="266" t="s">
        <v>1007</v>
      </c>
    </row>
    <row r="336" spans="1:3" x14ac:dyDescent="0.3">
      <c r="A336" s="264" t="s">
        <v>2496</v>
      </c>
      <c r="B336" s="266">
        <f>1-FRACw.sdM</f>
        <v>0.19999999999999996</v>
      </c>
      <c r="C336" s="262" t="s">
        <v>1007</v>
      </c>
    </row>
    <row r="337" spans="1:3" x14ac:dyDescent="0.3">
      <c r="A337" s="264" t="s">
        <v>1035</v>
      </c>
      <c r="B337" s="263">
        <f>1-FRACw.sdR</f>
        <v>0.19999999999999996</v>
      </c>
      <c r="C337" s="262" t="s">
        <v>1007</v>
      </c>
    </row>
    <row r="338" spans="1:3" x14ac:dyDescent="0.3">
      <c r="A338" s="264" t="s">
        <v>3218</v>
      </c>
      <c r="B338" s="263">
        <f>1-FRACw.sdT</f>
        <v>0.19999999999999996</v>
      </c>
      <c r="C338" s="262" t="s">
        <v>1007</v>
      </c>
    </row>
    <row r="339" spans="1:3" x14ac:dyDescent="0.3">
      <c r="A339" s="264" t="s">
        <v>2494</v>
      </c>
      <c r="B339" s="263">
        <f>1-FRACa.sM-FRACw.sM</f>
        <v>0.60000000000000009</v>
      </c>
      <c r="C339" s="262" t="s">
        <v>1007</v>
      </c>
    </row>
    <row r="340" spans="1:3" x14ac:dyDescent="0.3">
      <c r="A340" s="264" t="s">
        <v>3216</v>
      </c>
      <c r="B340" s="263">
        <f>1-FRACa.sT-FRACw.sT</f>
        <v>0.60000000000000009</v>
      </c>
      <c r="C340" s="262" t="s">
        <v>1007</v>
      </c>
    </row>
    <row r="341" spans="1:3" x14ac:dyDescent="0.3">
      <c r="A341" s="264" t="s">
        <v>1906</v>
      </c>
      <c r="B341" s="263">
        <v>0.2</v>
      </c>
      <c r="C341" s="266" t="s">
        <v>1007</v>
      </c>
    </row>
    <row r="342" spans="1:3" x14ac:dyDescent="0.3">
      <c r="A342" s="264" t="s">
        <v>1017</v>
      </c>
      <c r="B342" s="263">
        <v>0.2</v>
      </c>
      <c r="C342" s="262" t="s">
        <v>1007</v>
      </c>
    </row>
    <row r="343" spans="1:3" x14ac:dyDescent="0.3">
      <c r="A343" s="264" t="s">
        <v>1909</v>
      </c>
      <c r="B343" s="263">
        <v>0.2</v>
      </c>
      <c r="C343" s="266" t="s">
        <v>1007</v>
      </c>
    </row>
    <row r="344" spans="1:3" x14ac:dyDescent="0.3">
      <c r="A344" s="264" t="s">
        <v>1023</v>
      </c>
      <c r="B344" s="263">
        <v>0.2</v>
      </c>
      <c r="C344" s="262" t="s">
        <v>1007</v>
      </c>
    </row>
    <row r="345" spans="1:3" x14ac:dyDescent="0.3">
      <c r="A345" s="264" t="s">
        <v>1912</v>
      </c>
      <c r="B345" s="263">
        <v>0.2</v>
      </c>
      <c r="C345" s="266" t="s">
        <v>1007</v>
      </c>
    </row>
    <row r="346" spans="1:3" x14ac:dyDescent="0.3">
      <c r="A346" s="264" t="s">
        <v>1029</v>
      </c>
      <c r="B346" s="263">
        <v>0.2</v>
      </c>
      <c r="C346" s="262" t="s">
        <v>1007</v>
      </c>
    </row>
    <row r="347" spans="1:3" x14ac:dyDescent="0.3">
      <c r="A347" s="264" t="s">
        <v>2898</v>
      </c>
      <c r="B347" s="263">
        <v>0.2</v>
      </c>
      <c r="C347" s="262" t="s">
        <v>1007</v>
      </c>
    </row>
    <row r="348" spans="1:3" x14ac:dyDescent="0.3">
      <c r="A348" s="264" t="s">
        <v>2900</v>
      </c>
      <c r="B348" s="263">
        <v>0.8</v>
      </c>
      <c r="C348" s="262" t="s">
        <v>1007</v>
      </c>
    </row>
    <row r="349" spans="1:3" x14ac:dyDescent="0.3">
      <c r="A349" s="264" t="s">
        <v>1914</v>
      </c>
      <c r="B349" s="263">
        <v>0.8</v>
      </c>
      <c r="C349" s="266" t="s">
        <v>1007</v>
      </c>
    </row>
    <row r="350" spans="1:3" x14ac:dyDescent="0.3">
      <c r="A350" s="264" t="s">
        <v>2495</v>
      </c>
      <c r="B350" s="263">
        <v>0.8</v>
      </c>
      <c r="C350" s="262" t="s">
        <v>1007</v>
      </c>
    </row>
    <row r="351" spans="1:3" x14ac:dyDescent="0.3">
      <c r="A351" s="264" t="s">
        <v>1033</v>
      </c>
      <c r="B351" s="263">
        <v>0.8</v>
      </c>
      <c r="C351" s="262" t="s">
        <v>1007</v>
      </c>
    </row>
    <row r="352" spans="1:3" x14ac:dyDescent="0.3">
      <c r="A352" s="264" t="s">
        <v>3217</v>
      </c>
      <c r="B352" s="266">
        <v>0.8</v>
      </c>
      <c r="C352" s="262" t="s">
        <v>1007</v>
      </c>
    </row>
    <row r="353" spans="1:3" x14ac:dyDescent="0.3">
      <c r="A353" s="264" t="s">
        <v>2492</v>
      </c>
      <c r="B353" s="263">
        <v>0.2</v>
      </c>
      <c r="C353" s="262" t="s">
        <v>1007</v>
      </c>
    </row>
    <row r="354" spans="1:3" x14ac:dyDescent="0.3">
      <c r="A354" s="264" t="s">
        <v>3215</v>
      </c>
      <c r="B354" s="266">
        <v>0.2</v>
      </c>
      <c r="C354" s="262" t="s">
        <v>1007</v>
      </c>
    </row>
    <row r="355" spans="1:3" ht="55.2" x14ac:dyDescent="0.3">
      <c r="A355" s="266" t="s">
        <v>2921</v>
      </c>
      <c r="B355" s="274" t="s">
        <v>4356</v>
      </c>
      <c r="C355" s="266" t="s">
        <v>291</v>
      </c>
    </row>
    <row r="356" spans="1:3" ht="55.2" x14ac:dyDescent="0.3">
      <c r="A356" s="266" t="s">
        <v>1958</v>
      </c>
      <c r="B356" s="274" t="s">
        <v>4357</v>
      </c>
      <c r="C356" s="266" t="s">
        <v>291</v>
      </c>
    </row>
    <row r="357" spans="1:3" ht="69" x14ac:dyDescent="0.3">
      <c r="A357" s="266" t="s">
        <v>2529</v>
      </c>
      <c r="B357" s="274" t="s">
        <v>4358</v>
      </c>
      <c r="C357" s="266" t="s">
        <v>291</v>
      </c>
    </row>
    <row r="358" spans="1:3" ht="55.2" x14ac:dyDescent="0.3">
      <c r="A358" s="266" t="s">
        <v>1068</v>
      </c>
      <c r="B358" s="274" t="s">
        <v>4359</v>
      </c>
      <c r="C358" s="266" t="s">
        <v>291</v>
      </c>
    </row>
    <row r="359" spans="1:3" ht="55.2" x14ac:dyDescent="0.3">
      <c r="A359" s="266" t="s">
        <v>3235</v>
      </c>
      <c r="B359" s="274" t="s">
        <v>4360</v>
      </c>
      <c r="C359" s="266" t="s">
        <v>291</v>
      </c>
    </row>
    <row r="360" spans="1:3" x14ac:dyDescent="0.3">
      <c r="A360" s="266" t="s">
        <v>2920</v>
      </c>
      <c r="B360" s="268">
        <f>IF(ChemClass="neutral", 0, FRACaerw.aA*Kaerw.aA/(1+FRACaerw.aA*Kaerw.aA+FRACaers.aA*Kaers.aA+FRACcldw.aA*Kcldw.aA))</f>
        <v>0</v>
      </c>
      <c r="C360" s="266" t="s">
        <v>291</v>
      </c>
    </row>
    <row r="361" spans="1:3" x14ac:dyDescent="0.3">
      <c r="A361" s="266" t="s">
        <v>1956</v>
      </c>
      <c r="B361" s="268">
        <f>IF(ChemClass="neutral", 0, FRACaerw.aC*Kaerw.aC/(1+FRACaerw.aC*Kaerw.aC+FRACaers.aC*Kaers.aC+FRACcldw.aC*Kcldw.aC))</f>
        <v>0</v>
      </c>
      <c r="C361" s="266" t="s">
        <v>291</v>
      </c>
    </row>
    <row r="362" spans="1:3" x14ac:dyDescent="0.3">
      <c r="A362" s="266" t="s">
        <v>2528</v>
      </c>
      <c r="B362" s="268">
        <f>IF(ChemClass="neutral", 0, FRACaerw.aM*Kaerw.aM/(1+FRACaerw.aM*Kaerw.aM+FRACaers.aM*Kaers.aM+FRACcldw.aM*Kcldw.aM))</f>
        <v>0</v>
      </c>
      <c r="C362" s="266" t="s">
        <v>291</v>
      </c>
    </row>
    <row r="363" spans="1:3" x14ac:dyDescent="0.3">
      <c r="A363" s="266" t="s">
        <v>1066</v>
      </c>
      <c r="B363" s="268">
        <f>IF(ChemClass="neutral", 0, FRACaerw.aR*Kaerw.aR/(1+FRACaerw.aR*Kaerw.aR+FRACaers.aR*Kaers.aR+FRACcldw.aR*Kcldw.aR))</f>
        <v>0</v>
      </c>
      <c r="C363" s="266" t="s">
        <v>291</v>
      </c>
    </row>
    <row r="364" spans="1:3" x14ac:dyDescent="0.3">
      <c r="A364" s="266" t="s">
        <v>3234</v>
      </c>
      <c r="B364" s="268">
        <f>IF(ChemClass="neutral", 0, FRACaerw.aT*Kaerw.aT/(1+FRACaerw.aT*Kaerw.aT+FRACaers.aT*Kaers.aT+FRACcldw.aT*Kcldw.aT))</f>
        <v>0</v>
      </c>
      <c r="C364" s="266" t="s">
        <v>291</v>
      </c>
    </row>
    <row r="365" spans="1:3" x14ac:dyDescent="0.3">
      <c r="A365" s="266" t="s">
        <v>4361</v>
      </c>
      <c r="B365" s="268">
        <f>IF(ChemClass="neutral", 0, FRACcldw.aA *Kcldw.aA/(1+FRACaerw.aA*Kaerw.aA+FRACaers.aA*Kaers.aA+FRACcldw.aA*Kcldw.aA))</f>
        <v>0</v>
      </c>
      <c r="C365" s="266" t="s">
        <v>291</v>
      </c>
    </row>
    <row r="366" spans="1:3" x14ac:dyDescent="0.3">
      <c r="A366" s="266" t="s">
        <v>4362</v>
      </c>
      <c r="B366" s="268">
        <f>IF(ChemClass="neutral", 0, FRACcldw.aC *Kcldw.aC/(1+FRACaerw.aC*Kaerw.aC+FRACaers.aC*Kaers.aC+FRACcldw.aC*Kcldw.aC))</f>
        <v>0</v>
      </c>
      <c r="C366" s="266" t="s">
        <v>291</v>
      </c>
    </row>
    <row r="367" spans="1:3" x14ac:dyDescent="0.3">
      <c r="A367" s="266" t="s">
        <v>4363</v>
      </c>
      <c r="B367" s="268">
        <f>IF(ChemClass="neutral", 0, FRACcldw.aM *Kcldw.aM/(1+FRACaerw.aM*Kaerw.aM+FRACaers.aM*Kaers.aM+FRACcldw.aM*Kcldw.aM))</f>
        <v>0</v>
      </c>
      <c r="C367" s="266" t="s">
        <v>291</v>
      </c>
    </row>
    <row r="368" spans="1:3" x14ac:dyDescent="0.3">
      <c r="A368" s="266" t="s">
        <v>4364</v>
      </c>
      <c r="B368" s="268">
        <f>IF(ChemClass="neutral", 0, FRACcldw.aR*Kcldw.aR/(1+FRACaerw.aR*Kaerw.aR+FRACaers.aR*Kaers.aR+FRACcldw.aR*Kcldw.aR))</f>
        <v>0</v>
      </c>
      <c r="C368" s="266" t="s">
        <v>291</v>
      </c>
    </row>
    <row r="369" spans="1:3" x14ac:dyDescent="0.3">
      <c r="A369" s="266" t="s">
        <v>4365</v>
      </c>
      <c r="B369" s="268">
        <f>IF(ChemClass="neutral", 0, FRACcldw.aT *Kcldw.aT/(1+FRACaerw.aT*Kaerw.aT+FRACaers.aT*Kaers.aT+FRACcldw.aT*Kcldw.aT))</f>
        <v>0</v>
      </c>
      <c r="C369" s="266" t="s">
        <v>291</v>
      </c>
    </row>
    <row r="370" spans="1:3" x14ac:dyDescent="0.3">
      <c r="A370" s="262" t="s">
        <v>2919</v>
      </c>
      <c r="B370" s="268" t="e">
        <f>1-FRaerw.aA-FRaers.aA-FRcldw.aA</f>
        <v>#NAME?</v>
      </c>
      <c r="C370" s="262" t="s">
        <v>291</v>
      </c>
    </row>
    <row r="371" spans="1:3" x14ac:dyDescent="0.3">
      <c r="A371" s="262" t="s">
        <v>1954</v>
      </c>
      <c r="B371" s="268" t="e">
        <f>1-FRaerw.aC-FRaers.aC-FRcldw.aC</f>
        <v>#NAME?</v>
      </c>
      <c r="C371" s="262" t="s">
        <v>291</v>
      </c>
    </row>
    <row r="372" spans="1:3" x14ac:dyDescent="0.3">
      <c r="A372" s="262" t="s">
        <v>2527</v>
      </c>
      <c r="B372" s="268" t="e">
        <f>1-FRaerw.aM-FRaers.aM-FRcldw.aM</f>
        <v>#NAME?</v>
      </c>
      <c r="C372" s="262" t="s">
        <v>291</v>
      </c>
    </row>
    <row r="373" spans="1:3" x14ac:dyDescent="0.3">
      <c r="A373" s="266" t="s">
        <v>1065</v>
      </c>
      <c r="B373" s="268" t="e">
        <f>1-FRaerw.aR-FRaers.aR-FRcldw.aR</f>
        <v>#NAME?</v>
      </c>
      <c r="C373" s="266" t="s">
        <v>291</v>
      </c>
    </row>
    <row r="374" spans="1:3" x14ac:dyDescent="0.3">
      <c r="A374" s="262" t="s">
        <v>3233</v>
      </c>
      <c r="B374" s="268" t="e">
        <f>1-FRaerw.aT-FRaers.aT-FRcldw.aT</f>
        <v>#NAME?</v>
      </c>
      <c r="C374" s="262" t="s">
        <v>291</v>
      </c>
    </row>
    <row r="375" spans="1:3" x14ac:dyDescent="0.3">
      <c r="A375" s="262" t="s">
        <v>548</v>
      </c>
      <c r="B375" s="263">
        <f>IF(ChemClass="Acid",1/(1+10^(pH.aerw-pKa)),IF(ChemClass="Base",1/(1+10^(pKa-pH.aerw)),1))</f>
        <v>1</v>
      </c>
      <c r="C375" s="262" t="s">
        <v>291</v>
      </c>
    </row>
    <row r="376" spans="1:3" x14ac:dyDescent="0.3">
      <c r="A376" s="262" t="s">
        <v>546</v>
      </c>
      <c r="B376" s="263">
        <f>IF(ChemClass="Acid",1/(1+10^(pH.cldw-pKa)),IF(ChemClass="Base",1/(1+10^(pKa-pH.cldw)),1))</f>
        <v>1</v>
      </c>
      <c r="C376" s="262" t="s">
        <v>291</v>
      </c>
    </row>
    <row r="377" spans="1:3" x14ac:dyDescent="0.3">
      <c r="A377" s="262" t="s">
        <v>558</v>
      </c>
      <c r="B377" s="263">
        <f>IF(ChemClass="Acid",1/(1+10^(pH.s1-0.6-pKa)),IF(ChemClass="Base",1/(1+10^(pKa-4.5)),1))</f>
        <v>1</v>
      </c>
      <c r="C377" s="262" t="s">
        <v>291</v>
      </c>
    </row>
    <row r="378" spans="1:3" x14ac:dyDescent="0.3">
      <c r="A378" s="262" t="s">
        <v>560</v>
      </c>
      <c r="B378" s="263">
        <f>IF(ChemClass="Acid",1/(1+10^(pH.s1-pKa)),IF(ChemClass="Base",1/(1+10^(pKa-pH.s1)),1))</f>
        <v>1</v>
      </c>
      <c r="C378" s="262" t="s">
        <v>291</v>
      </c>
    </row>
    <row r="379" spans="1:3" x14ac:dyDescent="0.3">
      <c r="A379" s="262" t="s">
        <v>562</v>
      </c>
      <c r="B379" s="263">
        <f>IF(ChemClass="Acid",1/(1+10^(pH.s2-0.6-pKa)),IF(ChemClass="Base",1/(1+10^(pKa-4.5)),1))</f>
        <v>1</v>
      </c>
      <c r="C379" s="262" t="s">
        <v>291</v>
      </c>
    </row>
    <row r="380" spans="1:3" x14ac:dyDescent="0.3">
      <c r="A380" s="262" t="s">
        <v>564</v>
      </c>
      <c r="B380" s="263">
        <f>IF(ChemClass="Acid",1/(1+10^(pH.s2-pKa)),IF(ChemClass="Base",1/(1+10^(pKa-pH.s2)),1))</f>
        <v>1</v>
      </c>
      <c r="C380" s="262" t="s">
        <v>291</v>
      </c>
    </row>
    <row r="381" spans="1:3" x14ac:dyDescent="0.3">
      <c r="A381" s="262" t="s">
        <v>566</v>
      </c>
      <c r="B381" s="263">
        <f>IF(ChemClass="Acid",1/(1+10^(pH.s3-0.6-pKa)),IF(ChemClass="Base",1/(1+10^(pKa-4.5)),1))</f>
        <v>1</v>
      </c>
      <c r="C381" s="262" t="s">
        <v>291</v>
      </c>
    </row>
    <row r="382" spans="1:3" x14ac:dyDescent="0.3">
      <c r="A382" s="262" t="s">
        <v>568</v>
      </c>
      <c r="B382" s="263">
        <f>IF(ChemClass="Acid",1/(1+10^(pH.s3-pKa)),IF(ChemClass="Base",1/(1+10^(pKa-pH.s3)),1))</f>
        <v>1</v>
      </c>
      <c r="C382" s="262" t="s">
        <v>291</v>
      </c>
    </row>
    <row r="383" spans="1:3" x14ac:dyDescent="0.3">
      <c r="A383" s="262" t="s">
        <v>552</v>
      </c>
      <c r="B383" s="263">
        <f>IF(ChemClass="Acid",1/(1+10^(pH.w1-0.6-pKa)),IF(ChemClass="Base",1/(1+10^(pKa-4.5)),1))</f>
        <v>1</v>
      </c>
      <c r="C383" s="262" t="s">
        <v>291</v>
      </c>
    </row>
    <row r="384" spans="1:3" x14ac:dyDescent="0.3">
      <c r="A384" s="262" t="s">
        <v>556</v>
      </c>
      <c r="B384" s="263">
        <f>IF(ChemClass="Acid",1/(1+10^(pH.w2-0.6-pKa)),IF(ChemClass="Base",1/(1+10^(pKa-4.5)),1))</f>
        <v>1</v>
      </c>
      <c r="C384" s="262"/>
    </row>
    <row r="385" spans="1:3" x14ac:dyDescent="0.3">
      <c r="A385" s="262" t="s">
        <v>550</v>
      </c>
      <c r="B385" s="263">
        <f>IF(ChemClass="Acid",1/(1+10^(pH.w1-pKa)),IF(ChemClass="Base",1/(1+10^(pKa-pH.w1)),1))</f>
        <v>1</v>
      </c>
      <c r="C385" s="262" t="s">
        <v>291</v>
      </c>
    </row>
    <row r="386" spans="1:3" x14ac:dyDescent="0.3">
      <c r="A386" s="262" t="s">
        <v>554</v>
      </c>
      <c r="B386" s="263">
        <f>IF(ChemClass="Acid",1/(1+10^(pH.w2-pKa)),IF(ChemClass="Base",1/(1+10^(pKa-pH.w2)),1))</f>
        <v>1</v>
      </c>
      <c r="C386" s="262" t="s">
        <v>291</v>
      </c>
    </row>
    <row r="387" spans="1:3" x14ac:dyDescent="0.3">
      <c r="A387" s="264" t="s">
        <v>1991</v>
      </c>
      <c r="B387" s="263">
        <f>FRACs.s1C / (FRACa.s1C*Kaw.C*FRorig.s1w/(Kp.s1C*RHOsolid/1000)+FRACw.s1C /(Kp.s1C*RHOsolid/1000)+FRACs.s1C )</f>
        <v>0.99064667346783319</v>
      </c>
      <c r="C387" s="262" t="s">
        <v>291</v>
      </c>
    </row>
    <row r="388" spans="1:3" x14ac:dyDescent="0.3">
      <c r="A388" s="264" t="s">
        <v>1110</v>
      </c>
      <c r="B388" s="268">
        <v>0.99999298250538582</v>
      </c>
      <c r="C388" s="262" t="s">
        <v>291</v>
      </c>
    </row>
    <row r="389" spans="1:3" x14ac:dyDescent="0.3">
      <c r="A389" s="264" t="s">
        <v>1998</v>
      </c>
      <c r="B389" s="263">
        <f>FRACs.s2C / (FRACa.s2C*Kaw.C*FRorig.s2w/(Kp.s2C*RHOsolid/1000)+FRACw.s2C /(Kp.s2C*RHOsolid/1000)+FRACs.s2C )</f>
        <v>0.99064667346783319</v>
      </c>
      <c r="C389" s="262" t="s">
        <v>291</v>
      </c>
    </row>
    <row r="390" spans="1:3" x14ac:dyDescent="0.3">
      <c r="A390" s="264" t="s">
        <v>1117</v>
      </c>
      <c r="B390" s="268">
        <v>0.99999298250538582</v>
      </c>
      <c r="C390" s="262" t="s">
        <v>291</v>
      </c>
    </row>
    <row r="391" spans="1:3" x14ac:dyDescent="0.3">
      <c r="A391" s="264" t="s">
        <v>2005</v>
      </c>
      <c r="B391" s="263">
        <f>FRACs.s3C / (FRACa.s3C*Kaw.C*FRorig.s3w/(Kp.s3C*RHOsolid/1000)+FRACw.s3C /(Kp.s3C*RHOsolid/1000)+FRACs.s3C )</f>
        <v>0.99064667346783319</v>
      </c>
      <c r="C391" s="262" t="s">
        <v>291</v>
      </c>
    </row>
    <row r="392" spans="1:3" x14ac:dyDescent="0.3">
      <c r="A392" s="264" t="s">
        <v>1124</v>
      </c>
      <c r="B392" s="268">
        <v>0.99999298250538582</v>
      </c>
      <c r="C392" s="262" t="s">
        <v>291</v>
      </c>
    </row>
    <row r="393" spans="1:3" x14ac:dyDescent="0.3">
      <c r="A393" s="264" t="s">
        <v>2944</v>
      </c>
      <c r="B393" s="263">
        <f>FRACs.sA/ (FRACa.sA*Kaw.A*FRorig.s1w/(Kp.sA*RHOsolid/1000)+FRACw.sA/(Kp.sA*RHOsolid/1000)+FRACs.sA )</f>
        <v>0.99118537465773471</v>
      </c>
      <c r="C393" s="262" t="s">
        <v>291</v>
      </c>
    </row>
    <row r="394" spans="1:3" x14ac:dyDescent="0.3">
      <c r="A394" s="264" t="s">
        <v>2564</v>
      </c>
      <c r="B394" s="263">
        <f>FRACs.sM / (FRACa.sM*Kaw.M*FRorig.s1w/(Kp.sM*RHOsolid/1000)+FRACw.sM/(Kp.sM*RHOsolid/1000)+FRACs.sM )</f>
        <v>0.99064667346783319</v>
      </c>
      <c r="C394" s="262" t="s">
        <v>291</v>
      </c>
    </row>
    <row r="395" spans="1:3" x14ac:dyDescent="0.3">
      <c r="A395" s="264" t="s">
        <v>3258</v>
      </c>
      <c r="B395" s="263">
        <f>FRACs.sT/ (FRACa.sT*Kaw.T*FRorig.s1w/(Kp.sT*RHOsolid/1000)+FRACw.sT/(Kp.sT*RHOsolid/1000)+FRACs.sT )</f>
        <v>0.98997159276041458</v>
      </c>
      <c r="C395" s="262" t="s">
        <v>291</v>
      </c>
    </row>
    <row r="396" spans="1:3" x14ac:dyDescent="0.3">
      <c r="A396" s="264" t="s">
        <v>1989</v>
      </c>
      <c r="B396" s="263">
        <f>FRACw.s1C/(FRACa.s1C*(Kaw.C*FRorig.s1w)+FRACw.s1C+FRACs.s1C*Kp.s1C*RHOsolid/1000)</f>
        <v>8.5821776348539939E-3</v>
      </c>
      <c r="C396" s="262" t="s">
        <v>291</v>
      </c>
    </row>
    <row r="397" spans="1:3" x14ac:dyDescent="0.3">
      <c r="A397" s="264" t="s">
        <v>4366</v>
      </c>
      <c r="B397" s="268">
        <v>7.0174946140728833E-6</v>
      </c>
      <c r="C397" s="262" t="s">
        <v>291</v>
      </c>
    </row>
    <row r="398" spans="1:3" x14ac:dyDescent="0.3">
      <c r="A398" s="264" t="s">
        <v>1996</v>
      </c>
      <c r="B398" s="263">
        <f>FRACw.s2C/(FRACa.s2C*(Kaw.C*FRorig.s2w)+FRACw.s2C+FRACs.s2C*Kp.s2C*RHOsolid/1000)</f>
        <v>8.5821776348539939E-3</v>
      </c>
      <c r="C398" s="262" t="s">
        <v>291</v>
      </c>
    </row>
    <row r="399" spans="1:3" x14ac:dyDescent="0.3">
      <c r="A399" s="264" t="s">
        <v>4367</v>
      </c>
      <c r="B399" s="268">
        <v>7.0174946140728833E-6</v>
      </c>
      <c r="C399" s="262" t="s">
        <v>291</v>
      </c>
    </row>
    <row r="400" spans="1:3" x14ac:dyDescent="0.3">
      <c r="A400" s="264" t="s">
        <v>2003</v>
      </c>
      <c r="B400" s="263">
        <f>FRACw.s3C/(FRACa.s3C*(Kaw.C*FRorig.s3w)+FRACw.s3C+FRACs.s3C*Kp.s3C*RHOsolid/1000)</f>
        <v>8.5821776348539939E-3</v>
      </c>
      <c r="C400" s="262" t="s">
        <v>291</v>
      </c>
    </row>
    <row r="401" spans="1:3" x14ac:dyDescent="0.3">
      <c r="A401" s="264" t="s">
        <v>4368</v>
      </c>
      <c r="B401" s="268">
        <v>7.0174946140728833E-6</v>
      </c>
      <c r="C401" s="262" t="s">
        <v>291</v>
      </c>
    </row>
    <row r="402" spans="1:3" x14ac:dyDescent="0.3">
      <c r="A402" s="264" t="s">
        <v>2943</v>
      </c>
      <c r="B402" s="263">
        <f>FRACw.sA/(FRACa.sA*(Kaw.A*FRorig.s1w)+FRACw.sA+FRACs.sA*Kp.sA*RHOsolid/1000)</f>
        <v>8.5868445150118385E-3</v>
      </c>
      <c r="C402" s="262" t="s">
        <v>291</v>
      </c>
    </row>
    <row r="403" spans="1:3" x14ac:dyDescent="0.3">
      <c r="A403" s="264" t="s">
        <v>2562</v>
      </c>
      <c r="B403" s="263">
        <f>FRACw.sM/(FRACa.sM*(Kaw.M*FRorig.s1w)+FRACw.sM+FRACs.sM*Kp.sM*RHOsolid/1000)</f>
        <v>8.5821776348539939E-3</v>
      </c>
      <c r="C403" s="262" t="s">
        <v>291</v>
      </c>
    </row>
    <row r="404" spans="1:3" x14ac:dyDescent="0.3">
      <c r="A404" s="264" t="s">
        <v>3257</v>
      </c>
      <c r="B404" s="263">
        <f>FRACw.sT/(FRACa.sT*(Kaw.T*FRorig.s1w)+FRACw.sT+FRACs.sT*Kp.sT*RHOsolid/1000)</f>
        <v>8.5763292706449376E-3</v>
      </c>
      <c r="C404" s="262" t="s">
        <v>291</v>
      </c>
    </row>
    <row r="405" spans="1:3" x14ac:dyDescent="0.3">
      <c r="A405" s="264" t="s">
        <v>1966</v>
      </c>
      <c r="B405" s="268">
        <f>1/(1+Kp.susp0C*SUSP.w0C/1000+Kp.col0C*COL.w0C/1000)</f>
        <v>0.99974158989686501</v>
      </c>
      <c r="C405" s="262" t="s">
        <v>291</v>
      </c>
    </row>
    <row r="406" spans="1:3" x14ac:dyDescent="0.3">
      <c r="A406" s="264" t="s">
        <v>4369</v>
      </c>
      <c r="B406" s="268">
        <f>1/(1+Kp.susp0R*SUSP.w0R/1000+Kp.col0R*COL.w0R/1000)</f>
        <v>0.99974158989686501</v>
      </c>
      <c r="C406" s="262" t="s">
        <v>291</v>
      </c>
    </row>
    <row r="407" spans="1:3" x14ac:dyDescent="0.3">
      <c r="A407" s="264" t="s">
        <v>1970</v>
      </c>
      <c r="B407" s="268">
        <f>1/(1+Kp.susp1C*SUSP.w1C/1000+Kp.col1C*COL.w1C/1000)</f>
        <v>0.99862757924200896</v>
      </c>
      <c r="C407" s="262" t="s">
        <v>291</v>
      </c>
    </row>
    <row r="408" spans="1:3" x14ac:dyDescent="0.3">
      <c r="A408" s="264" t="s">
        <v>4370</v>
      </c>
      <c r="B408" s="268">
        <f>1/(1+Kp.susp1R*SUSP.w1R/1000+Kp.col1R*COL.w1R/1000)</f>
        <v>0.99862757924200896</v>
      </c>
      <c r="C408" s="262" t="s">
        <v>291</v>
      </c>
    </row>
    <row r="409" spans="1:3" x14ac:dyDescent="0.3">
      <c r="A409" s="262" t="s">
        <v>2927</v>
      </c>
      <c r="B409" s="263">
        <f>1/(1+Kp.susp2A*SUSP.w2A/1000+Kp.col2A*COL.w2A/1000)</f>
        <v>0.99939559656267651</v>
      </c>
      <c r="C409" s="262" t="s">
        <v>291</v>
      </c>
    </row>
    <row r="410" spans="1:3" x14ac:dyDescent="0.3">
      <c r="A410" s="264" t="s">
        <v>1974</v>
      </c>
      <c r="B410" s="268">
        <f>1/(1+Kp.susp2C*SUSP.w2C/1000+Kp.col2C*COL.w2C/1000)</f>
        <v>0.99939559656267651</v>
      </c>
      <c r="C410" s="262" t="s">
        <v>291</v>
      </c>
    </row>
    <row r="411" spans="1:3" x14ac:dyDescent="0.3">
      <c r="A411" s="262" t="s">
        <v>2535</v>
      </c>
      <c r="B411" s="263">
        <f>1/(1+Kp.susp2M*SUSP.w2M/1000+Kp.col2M*COL.w2M/1000)</f>
        <v>0.99939559656267651</v>
      </c>
      <c r="C411" s="262" t="s">
        <v>291</v>
      </c>
    </row>
    <row r="412" spans="1:3" x14ac:dyDescent="0.3">
      <c r="A412" s="264" t="s">
        <v>4371</v>
      </c>
      <c r="B412" s="263">
        <f>1/(1+Kp.susp2R*SUSP.w2R/1000+Kp.col2R*COL.w2R/1000)</f>
        <v>0.99939559656267651</v>
      </c>
      <c r="C412" s="262" t="s">
        <v>291</v>
      </c>
    </row>
    <row r="413" spans="1:3" x14ac:dyDescent="0.3">
      <c r="A413" s="262" t="s">
        <v>3241</v>
      </c>
      <c r="B413" s="268">
        <f>1/(1+Kp.susp2T*SUSP.w2T/1000+Kp.col2T*COL.w2T/1000)</f>
        <v>0.99939559656267651</v>
      </c>
      <c r="C413" s="262" t="s">
        <v>291</v>
      </c>
    </row>
    <row r="414" spans="1:3" x14ac:dyDescent="0.3">
      <c r="A414" s="262" t="s">
        <v>2928</v>
      </c>
      <c r="B414" s="263">
        <f>1/(1+Kp.susp3A*SUSP.w3A/1000+Kp.col3A*COL.w3A/1000)</f>
        <v>0.99939559656267651</v>
      </c>
      <c r="C414" s="262" t="s">
        <v>291</v>
      </c>
    </row>
    <row r="415" spans="1:3" x14ac:dyDescent="0.3">
      <c r="A415" s="262" t="s">
        <v>2537</v>
      </c>
      <c r="B415" s="263">
        <f>1/(1+Kp.susp3M*SUSP.w3M/1000+Kp.col3M*COL.w3M/1000)</f>
        <v>0.99939559656267651</v>
      </c>
      <c r="C415" s="262" t="s">
        <v>291</v>
      </c>
    </row>
    <row r="416" spans="1:3" x14ac:dyDescent="0.3">
      <c r="A416" s="262" t="s">
        <v>3242</v>
      </c>
      <c r="B416" s="268">
        <f>1/(1+Kp.susp3T*SUSP.w3T/1000+Kp.col3T*COL.w3T/1000)</f>
        <v>0.99939559656267651</v>
      </c>
      <c r="C416" s="262" t="s">
        <v>291</v>
      </c>
    </row>
    <row r="417" spans="1:3" ht="15" x14ac:dyDescent="0.3">
      <c r="A417" s="262" t="s">
        <v>4372</v>
      </c>
      <c r="B417" s="263">
        <f>FRgas.aA*(MTCas.air.aA*MTCas.soil.sA/(FRorig.s1*MTCas.air.aA*Kaw.A+MTCas.soil.sA))*SYSTEMAREA.A*AREAFRAC.sA</f>
        <v>606079.16407551093</v>
      </c>
      <c r="C417" s="266" t="s">
        <v>1055</v>
      </c>
    </row>
    <row r="418" spans="1:3" ht="15" x14ac:dyDescent="0.3">
      <c r="A418" s="262" t="s">
        <v>4373</v>
      </c>
      <c r="B418" s="263">
        <f>FRgas.aA*(MTCaw.air.aA*MTCaw.water.wA/(FRorig.w1*MTCaw.air.aA*Kaw.A+MTCaw.water.wA))*SYSTEMAREA.A*AREAFRAC.wA</f>
        <v>4780264679.7656507</v>
      </c>
      <c r="C418" s="266" t="s">
        <v>1055</v>
      </c>
    </row>
    <row r="419" spans="1:3" ht="15" x14ac:dyDescent="0.3">
      <c r="A419" s="262" t="s">
        <v>4374</v>
      </c>
      <c r="B419" s="263">
        <f>FRgas.aC*(MTCas.air.aC*MTCas.soil.sC)/(MTCas.air.aC*((Kaw.C*FRorig.s1w)/Ks1w.C)+MTCas.soil.sC)*(SYSTEMAREA.C*AREAFRAC.s1C)</f>
        <v>1059597.2742768379</v>
      </c>
      <c r="C419" s="262" t="s">
        <v>1055</v>
      </c>
    </row>
    <row r="420" spans="1:3" ht="15" x14ac:dyDescent="0.3">
      <c r="A420" s="262" t="s">
        <v>4375</v>
      </c>
      <c r="B420" s="263">
        <f>FRgas.aC*(MTCas.air.aC*MTCas.soil.sC)/(MTCas.air.aC*((Kaw.C*FRorig.s2w)/Ks2w.C)+MTCas.soil.sC)*(SYSTEMAREA.C*AREAFRAC.s2C)</f>
        <v>2354660.6095040841</v>
      </c>
      <c r="C420" s="262" t="s">
        <v>1055</v>
      </c>
    </row>
    <row r="421" spans="1:3" ht="15" x14ac:dyDescent="0.3">
      <c r="A421" s="262" t="s">
        <v>4376</v>
      </c>
      <c r="B421" s="263">
        <f>FRgas.aC*(MTCas.air.aC*MTCas.soil.sC)/(MTCas.air.aC*((Kaw.C*FRorig.s3w)/Ks3w.C)+MTCas.soil.sC)*(SYSTEMAREA.C*AREAFRAC.s3C)</f>
        <v>392443.43491734733</v>
      </c>
      <c r="C421" s="262" t="s">
        <v>1055</v>
      </c>
    </row>
    <row r="422" spans="1:3" ht="15" x14ac:dyDescent="0.3">
      <c r="A422" s="262" t="s">
        <v>4377</v>
      </c>
      <c r="B422" s="263">
        <f>FRgas.aC*(MTCaw.air.aC*MTCaw.water.wC/(FRorig.w1*MTCaw.air.aC*Kaw.C+MTCaw.water.wC))*SYSTEMAREA.C*AREAFRAC.w0C</f>
        <v>497027.93640177668</v>
      </c>
      <c r="C422" s="262" t="s">
        <v>1055</v>
      </c>
    </row>
    <row r="423" spans="1:3" ht="15" x14ac:dyDescent="0.3">
      <c r="A423" s="262" t="s">
        <v>4378</v>
      </c>
      <c r="B423" s="263">
        <f>FRgas.aC*(MTCaw.air.aC*MTCaw.water.wC/(FRorig.w1*MTCaw.air.aC*Kaw.C+MTCaw.water.wC))*SYSTEMAREA.C*AREAFRAC.w1C</f>
        <v>5467307.3004195429</v>
      </c>
      <c r="C423" s="262" t="s">
        <v>1055</v>
      </c>
    </row>
    <row r="424" spans="1:3" ht="15" x14ac:dyDescent="0.3">
      <c r="A424" s="262" t="s">
        <v>4379</v>
      </c>
      <c r="B424" s="263">
        <f>FRgas.aC*(MTCaw.air.aC*MTCaw.water.wC/(FRorig.w2*MTCaw.air.aC*Kaw.C+MTCaw.water.wC))*SYSTEMAREA.C*AREAFRAC.w2C</f>
        <v>211790387.31711397</v>
      </c>
      <c r="C424" s="262" t="s">
        <v>1055</v>
      </c>
    </row>
    <row r="425" spans="1:3" ht="15" x14ac:dyDescent="0.3">
      <c r="A425" s="262" t="s">
        <v>4380</v>
      </c>
      <c r="B425" s="263">
        <f>FRgas.aM*(MTCas.air.aM*MTCas.soil.sM/(FRorig.s1*MTCas.air.aM*Kaw.M+MTCas.soil.sM))*SYSTEMAREA.M*AREAFRAC.sM</f>
        <v>1875661.1460068373</v>
      </c>
      <c r="C425" s="266" t="s">
        <v>1055</v>
      </c>
    </row>
    <row r="426" spans="1:3" ht="15" x14ac:dyDescent="0.3">
      <c r="A426" s="262" t="s">
        <v>4381</v>
      </c>
      <c r="B426" s="263">
        <f>FRgas.aM*(MTCaw.air.aM*MTCaw.water.wM/(FRorig.w1*MTCaw.air.aM*Kaw.M+MTCaw.water.wM))*SYSTEMAREA.M*AREAFRAC.wM</f>
        <v>2212094847.7067661</v>
      </c>
      <c r="C426" s="266" t="s">
        <v>1055</v>
      </c>
    </row>
    <row r="427" spans="1:3" ht="15" x14ac:dyDescent="0.3">
      <c r="A427" s="262" t="s">
        <v>4382</v>
      </c>
      <c r="B427" s="263">
        <v>7.8792811842481737E-5</v>
      </c>
      <c r="C427" s="262" t="s">
        <v>1055</v>
      </c>
    </row>
    <row r="428" spans="1:3" ht="15" x14ac:dyDescent="0.3">
      <c r="A428" s="262" t="s">
        <v>4383</v>
      </c>
      <c r="B428" s="263">
        <v>1.7509513742773714E-4</v>
      </c>
      <c r="C428" s="262" t="s">
        <v>1055</v>
      </c>
    </row>
    <row r="429" spans="1:3" ht="15" x14ac:dyDescent="0.3">
      <c r="A429" s="262" t="s">
        <v>4384</v>
      </c>
      <c r="B429" s="263">
        <v>2.918252290462286E-5</v>
      </c>
      <c r="C429" s="262" t="s">
        <v>1055</v>
      </c>
    </row>
    <row r="430" spans="1:3" ht="15" x14ac:dyDescent="0.3">
      <c r="A430" s="262" t="s">
        <v>4385</v>
      </c>
      <c r="B430" s="263">
        <v>3.4399598469625707E-6</v>
      </c>
      <c r="C430" s="262" t="s">
        <v>1055</v>
      </c>
    </row>
    <row r="431" spans="1:3" ht="15" x14ac:dyDescent="0.3">
      <c r="A431" s="262" t="s">
        <v>4386</v>
      </c>
      <c r="B431" s="263">
        <v>3.7839558316588276E-5</v>
      </c>
      <c r="C431" s="262" t="s">
        <v>1055</v>
      </c>
    </row>
    <row r="432" spans="1:3" ht="15" x14ac:dyDescent="0.3">
      <c r="A432" s="262" t="s">
        <v>4387</v>
      </c>
      <c r="B432" s="263">
        <v>6.0199673569804861E-6</v>
      </c>
      <c r="C432" s="262" t="s">
        <v>1055</v>
      </c>
    </row>
    <row r="433" spans="1:3" ht="15" x14ac:dyDescent="0.3">
      <c r="A433" s="262" t="s">
        <v>4388</v>
      </c>
      <c r="B433" s="263">
        <f>FRgas.aT*(MTCas.air.aT*MTCas.soil.sT/(FRorig.s1*MTCas.air.aT*Kaw.T+MTCas.soil.sT))*SYSTEMAREA.T*AREAFRAC.sT</f>
        <v>2417132.8344043577</v>
      </c>
      <c r="C433" s="266" t="s">
        <v>1055</v>
      </c>
    </row>
    <row r="434" spans="1:3" ht="15" x14ac:dyDescent="0.3">
      <c r="A434" s="262" t="s">
        <v>4389</v>
      </c>
      <c r="B434" s="263">
        <f>FRgas.aT*(MTCaw.air.aT*MTCaw.water.wT/(FRorig.w1*MTCaw.air.aT*Kaw.T+MTCaw.water.wT))*SYSTEMAREA.T*AREAFRAC.wT</f>
        <v>2717764330.895576</v>
      </c>
      <c r="C434" s="266" t="s">
        <v>1055</v>
      </c>
    </row>
    <row r="435" spans="1:3" ht="15" x14ac:dyDescent="0.3">
      <c r="A435" s="262" t="s">
        <v>2960</v>
      </c>
      <c r="B435" s="263">
        <f>FRgas.aA*(tdry.A+twet.A)/twet.A*RAINrate.A/((Kaw.A*FRorig.cldw)+0.0000000555)</f>
        <v>4.9807834503168917E-6</v>
      </c>
      <c r="C435" s="264" t="s">
        <v>1155</v>
      </c>
    </row>
    <row r="436" spans="1:3" ht="15" x14ac:dyDescent="0.3">
      <c r="A436" s="262" t="s">
        <v>2044</v>
      </c>
      <c r="B436" s="263">
        <f>FRgas.aC*(tdry.C+twet.C)/twet.C*RAINrate.C/((Kaw.C*FRorig.cldw)+0.0000000555)</f>
        <v>4.1171733840496914E-6</v>
      </c>
      <c r="C436" s="264" t="s">
        <v>1155</v>
      </c>
    </row>
    <row r="437" spans="1:3" ht="15" x14ac:dyDescent="0.3">
      <c r="A437" s="262" t="s">
        <v>2589</v>
      </c>
      <c r="B437" s="263">
        <f>FRgas.aM*(tdry.M+twet.M)/twet.M*RAINrate.M/((Kaw.M*FRorig.cldw)+0.0000000555)</f>
        <v>4.1171733840496914E-6</v>
      </c>
      <c r="C437" s="264" t="s">
        <v>1155</v>
      </c>
    </row>
    <row r="438" spans="1:3" ht="15" x14ac:dyDescent="0.3">
      <c r="A438" s="262" t="s">
        <v>4390</v>
      </c>
      <c r="B438" s="263">
        <v>7.928709494231241E-12</v>
      </c>
      <c r="C438" s="264" t="s">
        <v>1155</v>
      </c>
    </row>
    <row r="439" spans="1:3" ht="15" x14ac:dyDescent="0.3">
      <c r="A439" s="262" t="s">
        <v>3273</v>
      </c>
      <c r="B439" s="263">
        <f>FRgas.aT*(tdry.T+twet.T)/twet.T*RAINrate.T/((Kaw.T*FRorig.cldw)+0.0000000555)</f>
        <v>4.0578580206129168E-6</v>
      </c>
      <c r="C439" s="264" t="s">
        <v>1155</v>
      </c>
    </row>
    <row r="440" spans="1:3" ht="15" x14ac:dyDescent="0.3">
      <c r="A440" s="264" t="s">
        <v>2079</v>
      </c>
      <c r="B440" s="263">
        <f>IF(SETTLvelocity.C*SUSP.w1C/(FRACs.sdC*RHOsolid)&gt;NETsedrate.w1C,SETTLvelocity.C*SUSP.w1C/(FRACs.sdC*RHOsolid),NETsedrate.w1C)</f>
        <v>8.6805555555555575E-10</v>
      </c>
      <c r="C440" s="264" t="s">
        <v>1155</v>
      </c>
    </row>
    <row r="441" spans="1:3" ht="15" x14ac:dyDescent="0.3">
      <c r="A441" s="264" t="s">
        <v>1217</v>
      </c>
      <c r="B441" s="263">
        <f>IF(SETTLvelocity.R*SUSP.w1R/(FRACs.sdR*RHOsolid)&gt;NETsedrate.w1R,SETTLvelocity.R*SUSP.w1R/(FRACs.sdR*RHOsolid),NETsedrate.w1R)</f>
        <v>8.8231257485029977E-10</v>
      </c>
      <c r="C441" s="264" t="s">
        <v>1155</v>
      </c>
    </row>
    <row r="442" spans="1:3" ht="15" x14ac:dyDescent="0.3">
      <c r="A442" s="264" t="s">
        <v>2080</v>
      </c>
      <c r="B442" s="263">
        <f>IF(SETTLvelocity.C*SUSP.w2C/(FRACs.sdC*RHOsolid)&gt;NETsedrate.w2C,SETTLvelocity.C*SUSP.w2C/(FRACs.sdC*RHOsolid),NETsedrate.w2C)</f>
        <v>2.893518518518519E-10</v>
      </c>
      <c r="C442" s="264" t="s">
        <v>1155</v>
      </c>
    </row>
    <row r="443" spans="1:3" ht="15" x14ac:dyDescent="0.3">
      <c r="A443" s="264" t="s">
        <v>1219</v>
      </c>
      <c r="B443" s="263">
        <f>IF(SETTLvelocity.R*SUSP.w2R/(FRACs.sdR*RHOsolid)&gt;NETsedrate.w2R,SETTLvelocity.R*SUSP.w2R/(FRACs.sdR*RHOsolid),NETsedrate.w2R)</f>
        <v>2.9410419161676659E-10</v>
      </c>
      <c r="C443" s="264" t="s">
        <v>1155</v>
      </c>
    </row>
    <row r="444" spans="1:3" ht="15" x14ac:dyDescent="0.3">
      <c r="A444" s="264" t="s">
        <v>2978</v>
      </c>
      <c r="B444" s="263">
        <f>IF(SETTLvelocity.A*SUSP.w3A/(FRACs.sdA*RHOsolid)&gt;NETsedrate.wA,SETTLvelocity.A*SUSP.w3A/(FRACs.sdA*RHOsolid),NETsedrate.wA)</f>
        <v>2.893518518518519E-10</v>
      </c>
      <c r="C444" s="265" t="s">
        <v>1155</v>
      </c>
    </row>
    <row r="445" spans="1:3" ht="15" x14ac:dyDescent="0.3">
      <c r="A445" s="264" t="s">
        <v>2616</v>
      </c>
      <c r="B445" s="263">
        <f>IF(SETTLvelocity.M*SUSP.w3M/(FRACs.sdM*RHOsolid)&gt;NETsedrate.wM,SETTLvelocity.M*SUSP.w3M/(FRACs.sdM*RHOsolid),NETsedrate.wM)</f>
        <v>2.893518518518519E-10</v>
      </c>
      <c r="C445" s="265" t="s">
        <v>1155</v>
      </c>
    </row>
    <row r="446" spans="1:3" ht="15" x14ac:dyDescent="0.3">
      <c r="A446" s="264" t="s">
        <v>3291</v>
      </c>
      <c r="B446" s="263">
        <f>IF(SETTLvelocity.T*SUSP.w3T/(FRACs.sdT*RHOsolid)&gt;NETsedrate.wT,SETTLvelocity.T*SUSP.w3T/(FRACs.sdT*RHOsolid),NETsedrate.wT)</f>
        <v>2.893518518518519E-10</v>
      </c>
      <c r="C446" s="265" t="s">
        <v>1155</v>
      </c>
    </row>
    <row r="447" spans="1:3" ht="15" x14ac:dyDescent="0.3">
      <c r="A447" s="262" t="s">
        <v>582</v>
      </c>
      <c r="B447" s="266">
        <v>10</v>
      </c>
      <c r="C447" s="262" t="s">
        <v>575</v>
      </c>
    </row>
    <row r="448" spans="1:3" ht="15" x14ac:dyDescent="0.3">
      <c r="A448" s="262" t="s">
        <v>574</v>
      </c>
      <c r="B448" s="266">
        <f>-3.82*LN(IF(Tm&gt;298,Pvap25*EXP(-6.79*(1-Tm/298)),Pvap25))+70</f>
        <v>46.834690152986369</v>
      </c>
      <c r="C448" s="262" t="s">
        <v>575</v>
      </c>
    </row>
    <row r="449" spans="1:3" x14ac:dyDescent="0.3">
      <c r="A449" s="264" t="s">
        <v>2887</v>
      </c>
      <c r="B449" s="263">
        <v>1000</v>
      </c>
      <c r="C449" s="262" t="s">
        <v>813</v>
      </c>
    </row>
    <row r="450" spans="1:3" x14ac:dyDescent="0.3">
      <c r="A450" s="264" t="s">
        <v>1891</v>
      </c>
      <c r="B450" s="263">
        <v>1000</v>
      </c>
      <c r="C450" s="266" t="s">
        <v>813</v>
      </c>
    </row>
    <row r="451" spans="1:3" x14ac:dyDescent="0.3">
      <c r="A451" s="264" t="s">
        <v>2478</v>
      </c>
      <c r="B451" s="263">
        <v>1000</v>
      </c>
      <c r="C451" s="262" t="s">
        <v>813</v>
      </c>
    </row>
    <row r="452" spans="1:3" x14ac:dyDescent="0.3">
      <c r="A452" s="264" t="s">
        <v>988</v>
      </c>
      <c r="B452" s="263">
        <v>1000</v>
      </c>
      <c r="C452" s="262" t="s">
        <v>813</v>
      </c>
    </row>
    <row r="453" spans="1:3" x14ac:dyDescent="0.3">
      <c r="A453" s="264" t="s">
        <v>3206</v>
      </c>
      <c r="B453" s="266">
        <v>1000</v>
      </c>
      <c r="C453" s="262" t="s">
        <v>813</v>
      </c>
    </row>
    <row r="454" spans="1:3" x14ac:dyDescent="0.3">
      <c r="A454" s="266" t="s">
        <v>4391</v>
      </c>
      <c r="B454" s="266">
        <v>0.17199999999999999</v>
      </c>
      <c r="C454" s="262" t="s">
        <v>4392</v>
      </c>
    </row>
    <row r="455" spans="1:3" ht="15" x14ac:dyDescent="0.3">
      <c r="A455" s="262" t="s">
        <v>4393</v>
      </c>
      <c r="B455" s="263">
        <f>kesc.aA+FRgas.aA*kdegG.air*(C.OHrad.aA/C.OHrad)*Tempfactor.aA</f>
        <v>1.8095248623443467E-7</v>
      </c>
      <c r="C455" s="262" t="s">
        <v>617</v>
      </c>
    </row>
    <row r="456" spans="1:3" ht="15" x14ac:dyDescent="0.3">
      <c r="A456" s="262" t="s">
        <v>2904</v>
      </c>
      <c r="B456" s="263">
        <f>1/TAU.aA</f>
        <v>6.9234185224561193E-7</v>
      </c>
      <c r="C456" s="262" t="s">
        <v>617</v>
      </c>
    </row>
    <row r="457" spans="1:3" ht="15" x14ac:dyDescent="0.3">
      <c r="A457" s="262" t="s">
        <v>4394</v>
      </c>
      <c r="B457" s="263" t="e">
        <f>(DEPflow.aA.sA+GASABSflow.aA.sA)/VOLUME.aA</f>
        <v>#NAME?</v>
      </c>
      <c r="C457" s="262" t="s">
        <v>617</v>
      </c>
    </row>
    <row r="458" spans="1:3" ht="15" x14ac:dyDescent="0.3">
      <c r="A458" s="262" t="s">
        <v>4395</v>
      </c>
      <c r="B458" s="263" t="e">
        <f>(DEPflow.aA.w2A+GASABSflow.aA.w2A)/VOLUME.aA</f>
        <v>#NAME?</v>
      </c>
      <c r="C458" s="262" t="s">
        <v>617</v>
      </c>
    </row>
    <row r="459" spans="1:3" ht="15" x14ac:dyDescent="0.3">
      <c r="A459" s="262" t="s">
        <v>2108</v>
      </c>
      <c r="B459" s="263">
        <f>kesc.aC+FRgas.aC*kdegG.air*(C.OHrad.aC/C.OHrad)*Tempfactor.aC</f>
        <v>2.1630471517752678E-7</v>
      </c>
      <c r="C459" s="262" t="s">
        <v>617</v>
      </c>
    </row>
    <row r="460" spans="1:3" ht="15" x14ac:dyDescent="0.3">
      <c r="A460" s="262" t="s">
        <v>1919</v>
      </c>
      <c r="B460" s="263" t="e">
        <f>1/TAU.aC-AIRflow.aC.aR /VOLUME.aC</f>
        <v>#NAME?</v>
      </c>
      <c r="C460" s="262" t="s">
        <v>617</v>
      </c>
    </row>
    <row r="461" spans="1:3" ht="15" x14ac:dyDescent="0.3">
      <c r="A461" s="262" t="s">
        <v>1917</v>
      </c>
      <c r="B461" s="263" t="e">
        <f>AIRflow.aR.aC/VOLUME.aC</f>
        <v>#NAME?</v>
      </c>
      <c r="C461" s="262" t="s">
        <v>617</v>
      </c>
    </row>
    <row r="462" spans="1:3" ht="15" x14ac:dyDescent="0.3">
      <c r="A462" s="262" t="s">
        <v>4396</v>
      </c>
      <c r="B462" s="263" t="e">
        <f>(DEPflow.aC.s1C+GASABSflow.aC.s1C)/VOLUME.aC</f>
        <v>#NAME?</v>
      </c>
      <c r="C462" s="262" t="s">
        <v>617</v>
      </c>
    </row>
    <row r="463" spans="1:3" ht="15" x14ac:dyDescent="0.3">
      <c r="A463" s="262" t="s">
        <v>4397</v>
      </c>
      <c r="B463" s="263" t="e">
        <f>(DEPflow.aC.s2C+GASABSflow.aC.s2C)/VOLUME.aC</f>
        <v>#NAME?</v>
      </c>
      <c r="C463" s="262" t="s">
        <v>617</v>
      </c>
    </row>
    <row r="464" spans="1:3" ht="15" x14ac:dyDescent="0.3">
      <c r="A464" s="262" t="s">
        <v>4398</v>
      </c>
      <c r="B464" s="263" t="e">
        <f>(DEPflow.aC.s3C+GASABSflow.aC.s3C)/VOLUME.aC</f>
        <v>#NAME?</v>
      </c>
      <c r="C464" s="262" t="s">
        <v>617</v>
      </c>
    </row>
    <row r="465" spans="1:3" ht="15" x14ac:dyDescent="0.3">
      <c r="A465" s="262" t="s">
        <v>4399</v>
      </c>
      <c r="B465" s="263" t="e">
        <f>(DEPflow.aC.w0C+GASABSflow.aC.w0C)/VOLUME.aC</f>
        <v>#NAME?</v>
      </c>
      <c r="C465" s="262" t="s">
        <v>617</v>
      </c>
    </row>
    <row r="466" spans="1:3" ht="15" x14ac:dyDescent="0.3">
      <c r="A466" s="262" t="s">
        <v>4400</v>
      </c>
      <c r="B466" s="263" t="e">
        <f>(DEPflow.aC.w1C+GASABSflow.aC.w1C)/VOLUME.aC</f>
        <v>#NAME?</v>
      </c>
      <c r="C466" s="262" t="s">
        <v>617</v>
      </c>
    </row>
    <row r="467" spans="1:3" ht="15" x14ac:dyDescent="0.3">
      <c r="A467" s="262" t="s">
        <v>4401</v>
      </c>
      <c r="B467" s="263" t="e">
        <f>(DEPflow.aC.w2C+GASABSflow.aC.w2C)/VOLUME.aC</f>
        <v>#NAME?</v>
      </c>
      <c r="C467" s="262" t="s">
        <v>617</v>
      </c>
    </row>
    <row r="468" spans="1:3" ht="15" x14ac:dyDescent="0.3">
      <c r="A468" s="262" t="s">
        <v>4402</v>
      </c>
      <c r="B468" s="263">
        <f>kesc.aM+FRgas.aM*kdegG.air*(C.OHrad.aM/C.OHrad)*Tempfactor.aM</f>
        <v>2.1630471517752678E-7</v>
      </c>
      <c r="C468" s="262" t="s">
        <v>617</v>
      </c>
    </row>
    <row r="469" spans="1:3" ht="15" x14ac:dyDescent="0.3">
      <c r="A469" s="262" t="s">
        <v>2500</v>
      </c>
      <c r="B469" s="263" t="e">
        <f>AIRflow.aA.aM/VOLUME.aM</f>
        <v>#NAME?</v>
      </c>
      <c r="C469" s="262" t="s">
        <v>617</v>
      </c>
    </row>
    <row r="470" spans="1:3" ht="15" x14ac:dyDescent="0.3">
      <c r="A470" s="262" t="s">
        <v>2498</v>
      </c>
      <c r="B470" s="263" t="e">
        <f>AIRflow.aC.aM/VOLUME.aM</f>
        <v>#NAME?</v>
      </c>
      <c r="C470" s="262" t="s">
        <v>617</v>
      </c>
    </row>
    <row r="471" spans="1:3" ht="15" x14ac:dyDescent="0.3">
      <c r="A471" s="262" t="s">
        <v>2502</v>
      </c>
      <c r="B471" s="263" t="e">
        <f>AIRflow.aT.aM/VOLUME.aM</f>
        <v>#NAME?</v>
      </c>
      <c r="C471" s="262" t="s">
        <v>617</v>
      </c>
    </row>
    <row r="472" spans="1:3" ht="15" x14ac:dyDescent="0.3">
      <c r="A472" s="262" t="s">
        <v>4403</v>
      </c>
      <c r="B472" s="263" t="e">
        <f>(DEPflow.aM.sM+GASABSflow.aM.sM)/VOLUME.aM</f>
        <v>#NAME?</v>
      </c>
      <c r="C472" s="262" t="s">
        <v>617</v>
      </c>
    </row>
    <row r="473" spans="1:3" ht="15" x14ac:dyDescent="0.3">
      <c r="A473" s="262" t="s">
        <v>4404</v>
      </c>
      <c r="B473" s="263" t="e">
        <f>(DEPflow.aM.w2M+GASABSflow.aM.w2M)/VOLUME.aM</f>
        <v>#NAME?</v>
      </c>
      <c r="C473" s="262" t="s">
        <v>617</v>
      </c>
    </row>
    <row r="474" spans="1:3" ht="15" x14ac:dyDescent="0.3">
      <c r="A474" s="262" t="s">
        <v>4405</v>
      </c>
      <c r="B474" s="263">
        <f>kesc.aR+FRgas.aR*kdegG.air*(C.OHrad.aR/C.OHrad)*Tempfactor.aR</f>
        <v>2.1630471517752678E-7</v>
      </c>
      <c r="C474" s="262" t="s">
        <v>617</v>
      </c>
    </row>
    <row r="475" spans="1:3" ht="15" x14ac:dyDescent="0.3">
      <c r="A475" s="262" t="s">
        <v>1037</v>
      </c>
      <c r="B475" s="263">
        <f>1/TAU.aR</f>
        <v>9.4201427396491372E-6</v>
      </c>
      <c r="C475" s="262" t="s">
        <v>617</v>
      </c>
    </row>
    <row r="476" spans="1:3" ht="15" x14ac:dyDescent="0.3">
      <c r="A476" s="262" t="s">
        <v>4406</v>
      </c>
      <c r="B476" s="270" t="e">
        <f>(DEPflow.aR.s1R+GASABSflow.aR.s1R)/VOLUME.aR</f>
        <v>#NAME?</v>
      </c>
      <c r="C476" s="262" t="s">
        <v>617</v>
      </c>
    </row>
    <row r="477" spans="1:3" ht="15" x14ac:dyDescent="0.3">
      <c r="A477" s="262" t="s">
        <v>4407</v>
      </c>
      <c r="B477" s="270" t="e">
        <f>(DEPflow.aR.s2R+GASABSflow.aR.s2R)/VOLUME.aR</f>
        <v>#NAME?</v>
      </c>
      <c r="C477" s="262" t="s">
        <v>617</v>
      </c>
    </row>
    <row r="478" spans="1:3" ht="15" x14ac:dyDescent="0.3">
      <c r="A478" s="262" t="s">
        <v>4408</v>
      </c>
      <c r="B478" s="270" t="e">
        <f>(DEPflow.aR.s3R+GASABSflow.aR.s3R)/VOLUME.aR</f>
        <v>#NAME?</v>
      </c>
      <c r="C478" s="262" t="s">
        <v>617</v>
      </c>
    </row>
    <row r="479" spans="1:3" ht="15" x14ac:dyDescent="0.3">
      <c r="A479" s="262" t="s">
        <v>4409</v>
      </c>
      <c r="B479" s="270" t="e">
        <f>(DEPflow.aR.w0R+GASABSflow.aR.w0R)/VOLUME.aR</f>
        <v>#NAME?</v>
      </c>
      <c r="C479" s="262" t="s">
        <v>617</v>
      </c>
    </row>
    <row r="480" spans="1:3" ht="15" x14ac:dyDescent="0.3">
      <c r="A480" s="262" t="s">
        <v>4410</v>
      </c>
      <c r="B480" s="270" t="e">
        <f>(DEPflow.aR.w1R+GASABSflow.aR.w1R)/VOLUME.aR</f>
        <v>#NAME?</v>
      </c>
      <c r="C480" s="262" t="s">
        <v>617</v>
      </c>
    </row>
    <row r="481" spans="1:3" ht="15" x14ac:dyDescent="0.3">
      <c r="A481" s="262" t="s">
        <v>4411</v>
      </c>
      <c r="B481" s="270" t="e">
        <f>(DEPflow.aR.w2R+GASABSflow.aR.w2R)/VOLUME.aR</f>
        <v>#NAME?</v>
      </c>
      <c r="C481" s="262" t="s">
        <v>617</v>
      </c>
    </row>
    <row r="482" spans="1:3" ht="15" x14ac:dyDescent="0.3">
      <c r="A482" s="262" t="s">
        <v>4412</v>
      </c>
      <c r="B482" s="270">
        <f>kesc.aT+FRgas.aT*kdegG.air*(C.OHrad.aT/C.OHrad)*Tempfactor.aT</f>
        <v>2.4036631743353455E-7</v>
      </c>
      <c r="C482" s="262" t="s">
        <v>617</v>
      </c>
    </row>
    <row r="483" spans="1:3" ht="15" x14ac:dyDescent="0.3">
      <c r="A483" s="262" t="s">
        <v>3220</v>
      </c>
      <c r="B483" s="263">
        <f>1/TAU.aT</f>
        <v>3.9972375476524815E-7</v>
      </c>
      <c r="C483" s="262" t="s">
        <v>617</v>
      </c>
    </row>
    <row r="484" spans="1:3" ht="15" x14ac:dyDescent="0.3">
      <c r="A484" s="262" t="s">
        <v>4413</v>
      </c>
      <c r="B484" s="263" t="e">
        <f>(DEPflow.aT.sT+GASABSflow.aT.sT)/VOLUME.aT</f>
        <v>#NAME?</v>
      </c>
      <c r="C484" s="262" t="s">
        <v>617</v>
      </c>
    </row>
    <row r="485" spans="1:3" ht="15" x14ac:dyDescent="0.3">
      <c r="A485" s="262" t="s">
        <v>4414</v>
      </c>
      <c r="B485" s="263" t="e">
        <f>(DEPflow.aT.w2T+GASABSflow.aT.w2T)/VOLUME.aT</f>
        <v>#NAME?</v>
      </c>
      <c r="C485" s="262" t="s">
        <v>617</v>
      </c>
    </row>
    <row r="486" spans="1:3" ht="15" x14ac:dyDescent="0.3">
      <c r="A486" s="262" t="s">
        <v>2115</v>
      </c>
      <c r="B486" s="263">
        <f>Tempfactor.wsdsC*kdeg.soil+FRACinf.s1C*RAINrate.C/Ks1w.C*CORRleach.s1C*SYSTEMAREA.C*AREAFRAC.s1C/VOLUME.s1C</f>
        <v>4.3496280239573685E-8</v>
      </c>
      <c r="C486" s="262" t="s">
        <v>617</v>
      </c>
    </row>
    <row r="487" spans="1:3" ht="15" x14ac:dyDescent="0.3">
      <c r="A487" s="262" t="s">
        <v>4415</v>
      </c>
      <c r="B487" s="263" t="e">
        <f>VOLATflow.s1C.aC/VOLUME.s1C</f>
        <v>#NAME?</v>
      </c>
      <c r="C487" s="262" t="s">
        <v>617</v>
      </c>
    </row>
    <row r="488" spans="1:3" ht="15" x14ac:dyDescent="0.3">
      <c r="A488" s="262" t="s">
        <v>2094</v>
      </c>
      <c r="B488" s="263">
        <f>(RAINrate.C*FRACrun.s1C/Ks1w.C+EROSION.s1C)*CORRrunoff.s1C * (SYSTEMAREA.C*AREAFRAC.s1C/VOLUME.s1C)</f>
        <v>6.0760255858239937E-9</v>
      </c>
      <c r="C488" s="262" t="s">
        <v>617</v>
      </c>
    </row>
    <row r="489" spans="1:3" ht="15" x14ac:dyDescent="0.3">
      <c r="A489" s="262" t="s">
        <v>4416</v>
      </c>
      <c r="B489" s="263">
        <f>Tempfactor.wsdsR*kdeg.soil+FRACinf.s1R*RAINrate.R/Ks1w.R*CORRleach.s1R*SYSTEMAREA.R*AREAFRAC.s1R/VOLUME.s1R</f>
        <v>4.3496280239573685E-8</v>
      </c>
      <c r="C489" s="262" t="s">
        <v>617</v>
      </c>
    </row>
    <row r="490" spans="1:3" ht="15" x14ac:dyDescent="0.3">
      <c r="A490" s="262" t="s">
        <v>4417</v>
      </c>
      <c r="B490" s="263" t="e">
        <f>VOLATflow.s1R.aR/VOLUME.s1R</f>
        <v>#NAME?</v>
      </c>
      <c r="C490" s="262" t="s">
        <v>617</v>
      </c>
    </row>
    <row r="491" spans="1:3" ht="15" x14ac:dyDescent="0.3">
      <c r="A491" s="262" t="s">
        <v>4418</v>
      </c>
      <c r="B491" s="263">
        <f>(RAINrate.R*FRACrun.s1R/Ks1w.R+EROSION.s1R)*CORRrunoff.s1R * (SYSTEMAREA.R*AREAFRAC.s1R/VOLUME.s1R)</f>
        <v>6.0760255858239937E-9</v>
      </c>
      <c r="C491" s="262" t="s">
        <v>617</v>
      </c>
    </row>
    <row r="492" spans="1:3" ht="15" x14ac:dyDescent="0.3">
      <c r="A492" s="262" t="s">
        <v>2116</v>
      </c>
      <c r="B492" s="263">
        <f>Tempfactor.wsdsC*kdeg.soil+FRACinf.s2C*RAINrate.C/Ks2w.C*CORRleach.s2C*SYSTEMAREA.C*AREAFRAC.s2C/VOLUME.s2C</f>
        <v>4.3474058967261533E-8</v>
      </c>
      <c r="C492" s="262" t="s">
        <v>617</v>
      </c>
    </row>
    <row r="493" spans="1:3" ht="15" x14ac:dyDescent="0.3">
      <c r="A493" s="262" t="s">
        <v>4419</v>
      </c>
      <c r="B493" s="263" t="e">
        <f>VOLATflow.s2C.aC/VOLUME.s2C</f>
        <v>#NAME?</v>
      </c>
      <c r="C493" s="262" t="s">
        <v>617</v>
      </c>
    </row>
    <row r="494" spans="1:3" ht="15" x14ac:dyDescent="0.3">
      <c r="A494" s="262" t="s">
        <v>2096</v>
      </c>
      <c r="B494" s="263">
        <f>(RAINrate.C*FRACrun.s2C/Ks2w.C+EROSION.s2C)*CORRrunoff.s2C * (SYSTEMAREA.C*AREAFRAC.s2C/VOLUME.s2C)</f>
        <v>2.7649211682561834E-9</v>
      </c>
      <c r="C494" s="262" t="s">
        <v>617</v>
      </c>
    </row>
    <row r="495" spans="1:3" ht="15" x14ac:dyDescent="0.3">
      <c r="A495" s="262" t="s">
        <v>4420</v>
      </c>
      <c r="B495" s="263">
        <f>Tempfactor.wsdsR*kdeg.soil+FRACinf.s2R*RAINrate.R/Ks2w.R*CORRleach.s2R*SYSTEMAREA.R*AREAFRAC.s2R/VOLUME.s2R</f>
        <v>4.3474058967261533E-8</v>
      </c>
      <c r="C495" s="262" t="s">
        <v>617</v>
      </c>
    </row>
    <row r="496" spans="1:3" ht="15" x14ac:dyDescent="0.3">
      <c r="A496" s="262" t="s">
        <v>4421</v>
      </c>
      <c r="B496" s="263" t="e">
        <f>VOLATflow.s2R.aR/VOLUME.s2R</f>
        <v>#NAME?</v>
      </c>
      <c r="C496" s="262" t="s">
        <v>617</v>
      </c>
    </row>
    <row r="497" spans="1:3" ht="15" x14ac:dyDescent="0.3">
      <c r="A497" s="262" t="s">
        <v>4422</v>
      </c>
      <c r="B497" s="263">
        <f>(RAINrate.R*FRACrun.s2R/Ks2w.R+EROSION.s2R)*CORRrunoff.s2R * (SYSTEMAREA.R*AREAFRAC.s2R/VOLUME.s2R)</f>
        <v>2.764921168256183E-9</v>
      </c>
      <c r="C497" s="262" t="s">
        <v>617</v>
      </c>
    </row>
    <row r="498" spans="1:3" ht="15" x14ac:dyDescent="0.3">
      <c r="A498" s="262" t="s">
        <v>2117</v>
      </c>
      <c r="B498" s="263">
        <f>Tempfactor.wsdsC*kdeg.soil+FRACinf.s3C*RAINrate.C/Ks3w.C*CORRleach.s3C*SYSTEMAREA.C*AREAFRAC.s3C/VOLUME.s3C</f>
        <v>4.3496280239573685E-8</v>
      </c>
      <c r="C498" s="262" t="s">
        <v>617</v>
      </c>
    </row>
    <row r="499" spans="1:3" ht="15" x14ac:dyDescent="0.3">
      <c r="A499" s="262" t="s">
        <v>4423</v>
      </c>
      <c r="B499" s="263" t="e">
        <f>VOLATflow.s3C.aC/VOLUME.s3C</f>
        <v>#NAME?</v>
      </c>
      <c r="C499" s="262" t="s">
        <v>617</v>
      </c>
    </row>
    <row r="500" spans="1:3" ht="15" x14ac:dyDescent="0.3">
      <c r="A500" s="262" t="s">
        <v>2098</v>
      </c>
      <c r="B500" s="263">
        <f>(RAINrate.C*FRACrun.s3C/Ks3w.C+EROSION.s3C)*CORRrunoff.s3C * (SYSTEMAREA.C*AREAFRAC.s3C/VOLUME.s3C)</f>
        <v>6.0760255858239937E-9</v>
      </c>
      <c r="C500" s="262" t="s">
        <v>617</v>
      </c>
    </row>
    <row r="501" spans="1:3" ht="15" x14ac:dyDescent="0.3">
      <c r="A501" s="262" t="s">
        <v>4424</v>
      </c>
      <c r="B501" s="263">
        <f>Tempfactor.wsdsR*kdeg.soil+FRACinf.s3R*RAINrate.R/Ks3w.R*CORRleach.s3R*SYSTEMAREA.R*AREAFRAC.s3R/VOLUME.s3R</f>
        <v>4.3496280239573685E-8</v>
      </c>
      <c r="C501" s="262" t="s">
        <v>617</v>
      </c>
    </row>
    <row r="502" spans="1:3" ht="15" x14ac:dyDescent="0.3">
      <c r="A502" s="262" t="s">
        <v>4425</v>
      </c>
      <c r="B502" s="263" t="e">
        <f>VOLATflow.s3R.aR/VOLUME.s3R</f>
        <v>#NAME?</v>
      </c>
      <c r="C502" s="262" t="s">
        <v>617</v>
      </c>
    </row>
    <row r="503" spans="1:3" ht="15" x14ac:dyDescent="0.3">
      <c r="A503" s="262" t="s">
        <v>4426</v>
      </c>
      <c r="B503" s="263">
        <f>(RAINrate.R*FRACrun.s3R/Ks3w.R+EROSION.s3R)*CORRrunoff.s3R * (SYSTEMAREA.R*AREAFRAC.s3R/VOLUME.s3R)</f>
        <v>6.0760255858239937E-9</v>
      </c>
      <c r="C503" s="262" t="s">
        <v>617</v>
      </c>
    </row>
    <row r="504" spans="1:3" ht="15" x14ac:dyDescent="0.3">
      <c r="A504" s="262" t="s">
        <v>4427</v>
      </c>
      <c r="B504" s="263">
        <f>Tempfactor.wsdsA*kdeg.soil+FRACinf.sA*RAINrate.A/Kslw.A*CORRleach.sA*SYSTEMAREA.A*AREAFRAC.sA/VOLUME.sA</f>
        <v>9.4721243442819017E-9</v>
      </c>
      <c r="C504" s="262" t="s">
        <v>617</v>
      </c>
    </row>
    <row r="505" spans="1:3" ht="15" x14ac:dyDescent="0.3">
      <c r="A505" s="262" t="s">
        <v>4428</v>
      </c>
      <c r="B505" s="263" t="e">
        <f>VOLATflow.sA.aA/VOLUME.sA</f>
        <v>#NAME?</v>
      </c>
      <c r="C505" s="262" t="s">
        <v>617</v>
      </c>
    </row>
    <row r="506" spans="1:3" ht="15" x14ac:dyDescent="0.3">
      <c r="A506" s="262" t="s">
        <v>4429</v>
      </c>
      <c r="B506" s="263">
        <f>(RAINrate.A*FRACrun.sA/Kslw.A+EROSION.sA)*CORRrunoff.sA * (SYSTEMAREA.A*AREAFRAC.sA/VOLUME.sA)</f>
        <v>2.1867268711244378E-9</v>
      </c>
      <c r="C506" s="262" t="s">
        <v>617</v>
      </c>
    </row>
    <row r="507" spans="1:3" ht="15" x14ac:dyDescent="0.3">
      <c r="A507" s="262" t="s">
        <v>2113</v>
      </c>
      <c r="B507" s="263">
        <f>Tempfactor.wsdsC*kdeg.sed+NETsedrate.w1C*SYSTEMAREA.C*AREAFRAC.w1C/VOLUME.sd1C</f>
        <v>1.2540031911792762E-8</v>
      </c>
      <c r="C507" s="262" t="s">
        <v>617</v>
      </c>
    </row>
    <row r="508" spans="1:3" ht="15" x14ac:dyDescent="0.3">
      <c r="A508" s="262" t="s">
        <v>4430</v>
      </c>
      <c r="B508" s="263" t="e">
        <f>(RESUSPflow.sd1C.w1C+DESORBflow.sd1C.w1C)/VOLUME.sd1C</f>
        <v>#NAME?</v>
      </c>
      <c r="C508" s="262" t="s">
        <v>617</v>
      </c>
    </row>
    <row r="509" spans="1:3" ht="15" x14ac:dyDescent="0.3">
      <c r="A509" s="262" t="s">
        <v>4431</v>
      </c>
      <c r="B509" s="263">
        <f>Tempfactor.wsdsR*kdeg.sed+NETsedrate.w1R*(SYSTEMAREA.R*AREAFRAC.w1R/VOLUME.sd1R)</f>
        <v>1.2561171773023444E-8</v>
      </c>
      <c r="C509" s="262" t="s">
        <v>617</v>
      </c>
    </row>
    <row r="510" spans="1:3" ht="15" x14ac:dyDescent="0.3">
      <c r="A510" s="262" t="s">
        <v>4432</v>
      </c>
      <c r="B510" s="263">
        <f>(RESUSPflow.sd1R.w1R+DESORBflow.sd1R.w1R)/VOLUME.sd1R</f>
        <v>1.1497361554515863E-17</v>
      </c>
      <c r="C510" s="262" t="s">
        <v>617</v>
      </c>
    </row>
    <row r="511" spans="1:3" ht="15" x14ac:dyDescent="0.3">
      <c r="A511" s="262" t="s">
        <v>2114</v>
      </c>
      <c r="B511" s="263">
        <f>Tempfactor.wsdsC*kdeg.sed+NETsedrate.w2C*SYSTEMAREA.C*AREAFRAC.w2C/VOLUME.sd2C</f>
        <v>1.0579136849972537E-8</v>
      </c>
      <c r="C511" s="262" t="s">
        <v>617</v>
      </c>
    </row>
    <row r="512" spans="1:3" ht="15" x14ac:dyDescent="0.3">
      <c r="A512" s="262" t="s">
        <v>4433</v>
      </c>
      <c r="B512" s="263" t="e">
        <f>(RESUSPflow.sd2C.w2C+DESORBflow.sd2C.w2C)/VOLUME.sd2C</f>
        <v>#NAME?</v>
      </c>
      <c r="C512" s="262" t="s">
        <v>617</v>
      </c>
    </row>
    <row r="513" spans="1:3" ht="15" x14ac:dyDescent="0.3">
      <c r="A513" s="262" t="s">
        <v>4434</v>
      </c>
      <c r="B513" s="263">
        <f>Tempfactor.wsdsR*kdeg.sed+NETsedrate.w2R*(SYSTEMAREA.R*AREAFRAC.w2R/VOLUME.sd2R)</f>
        <v>1.0580096758225707E-8</v>
      </c>
      <c r="C513" s="262" t="s">
        <v>617</v>
      </c>
    </row>
    <row r="514" spans="1:3" ht="15" x14ac:dyDescent="0.3">
      <c r="A514" s="262" t="s">
        <v>4435</v>
      </c>
      <c r="B514" s="263">
        <f>(RESUSPflow.sd2R.w2R+DESORBflow.sd2R.w2R)/VOLUME.sd2R</f>
        <v>5.464280699619474E-17</v>
      </c>
      <c r="C514" s="262" t="s">
        <v>617</v>
      </c>
    </row>
    <row r="515" spans="1:3" ht="15" x14ac:dyDescent="0.3">
      <c r="A515" s="262" t="s">
        <v>4436</v>
      </c>
      <c r="B515" s="263">
        <f>Tempfactor.wsdsA*kdeg.sed+NETsedrate.wA*SYSTEMAREA.A*AREAFRAC.wA/VOLUME.sdA</f>
        <v>2.10575666016223E-9</v>
      </c>
      <c r="C515" s="262" t="s">
        <v>617</v>
      </c>
    </row>
    <row r="516" spans="1:3" ht="15" x14ac:dyDescent="0.3">
      <c r="A516" s="262" t="s">
        <v>4437</v>
      </c>
      <c r="B516" s="263" t="e">
        <f>(RESUSPflow.sdA.w3A+DESORBflow.sdA.w3A)/VOLUME.sdA</f>
        <v>#NAME?</v>
      </c>
      <c r="C516" s="262" t="s">
        <v>617</v>
      </c>
    </row>
    <row r="517" spans="1:3" ht="15" x14ac:dyDescent="0.3">
      <c r="A517" s="262" t="s">
        <v>4438</v>
      </c>
      <c r="B517" s="263">
        <f>Tempfactor.wsdsM*kdeg.sed+NETsedrate.wM*SYSTEMAREA.M*AREAFRAC.wM/VOLUME.sdM</f>
        <v>9.6687874509538597E-9</v>
      </c>
      <c r="C517" s="262" t="s">
        <v>617</v>
      </c>
    </row>
    <row r="518" spans="1:3" ht="15" x14ac:dyDescent="0.3">
      <c r="A518" s="262" t="s">
        <v>4439</v>
      </c>
      <c r="B518" s="263">
        <f>(RESUSPflow.sdM.w3M+DESORBflow.sdM.w3M)/VOLUME.sdM</f>
        <v>1.4282547971545484E-21</v>
      </c>
      <c r="C518" s="262" t="s">
        <v>617</v>
      </c>
    </row>
    <row r="519" spans="1:3" ht="15" x14ac:dyDescent="0.3">
      <c r="A519" s="262" t="s">
        <v>4440</v>
      </c>
      <c r="B519" s="263">
        <f>Tempfactor.wsdsT*kdeg.sed+NETsedrate.wT*SYSTEMAREA.T*AREAFRAC.wT/VOLUME.sdT</f>
        <v>2.3802113986132251E-8</v>
      </c>
      <c r="C519" s="262" t="s">
        <v>617</v>
      </c>
    </row>
    <row r="520" spans="1:3" ht="15" x14ac:dyDescent="0.3">
      <c r="A520" s="262" t="s">
        <v>4441</v>
      </c>
      <c r="B520" s="263" t="e">
        <f>(RESUSPflow.sdT.w3T+DESORBflow.sdT.w3T)/VOLUME.sdT</f>
        <v>#NAME?</v>
      </c>
      <c r="C520" s="262" t="s">
        <v>617</v>
      </c>
    </row>
    <row r="521" spans="1:3" ht="15" x14ac:dyDescent="0.3">
      <c r="A521" s="262" t="s">
        <v>4442</v>
      </c>
      <c r="B521" s="263">
        <f>Tempfactor.wsdsM*kdeg.soil+FRACinf.sM*RAINrate.M/Kslw.M*CORRleach.sM*SYSTEMAREA.M*AREAFRAC.sM/VOLUME.sM</f>
        <v>4.3496280239573685E-8</v>
      </c>
      <c r="C521" s="262" t="s">
        <v>617</v>
      </c>
    </row>
    <row r="522" spans="1:3" ht="15" x14ac:dyDescent="0.3">
      <c r="A522" s="262" t="s">
        <v>4443</v>
      </c>
      <c r="B522" s="263" t="e">
        <f>VOLATflow.sM.aM/VOLUME.sM</f>
        <v>#NAME?</v>
      </c>
      <c r="C522" s="262" t="s">
        <v>617</v>
      </c>
    </row>
    <row r="523" spans="1:3" ht="15" x14ac:dyDescent="0.3">
      <c r="A523" s="262" t="s">
        <v>4444</v>
      </c>
      <c r="B523" s="263">
        <f>(RAINrate.M*FRACrun.sM/Kslw.M+EROSION.sM)*CORRrunoff.sM * (SYSTEMAREA.M*AREAFRAC.sM/VOLUME.sM)</f>
        <v>6.0760255858239937E-9</v>
      </c>
      <c r="C523" s="262" t="s">
        <v>617</v>
      </c>
    </row>
    <row r="524" spans="1:3" ht="15" x14ac:dyDescent="0.3">
      <c r="A524" s="262" t="s">
        <v>4445</v>
      </c>
      <c r="B524" s="263">
        <f>Tempfactor.wsdsT*kdeg.soil+FRACinf.sT*RAINrate.T/Kslw.T*CORRleach.sT*SYSTEMAREA.T*AREAFRAC.sT/VOLUME.sT</f>
        <v>1.0707567717266271E-7</v>
      </c>
      <c r="C524" s="262" t="s">
        <v>617</v>
      </c>
    </row>
    <row r="525" spans="1:3" ht="15" x14ac:dyDescent="0.3">
      <c r="A525" s="262" t="s">
        <v>4446</v>
      </c>
      <c r="B525" s="263" t="e">
        <f>VOLATflow.sT.aT/VOLUME.sT</f>
        <v>#NAME?</v>
      </c>
      <c r="C525" s="262" t="s">
        <v>617</v>
      </c>
    </row>
    <row r="526" spans="1:3" ht="15" x14ac:dyDescent="0.3">
      <c r="A526" s="262" t="s">
        <v>4447</v>
      </c>
      <c r="B526" s="263">
        <f>(RAINrate.T*FRACrun.sT/Kslw.T+EROSION.sT)*CORRrunoff.sT * (SYSTEMAREA.T*AREAFRAC.sT/VOLUME.sT)</f>
        <v>1.1255665341427853E-8</v>
      </c>
      <c r="C526" s="262" t="s">
        <v>617</v>
      </c>
    </row>
    <row r="527" spans="1:3" ht="15" x14ac:dyDescent="0.3">
      <c r="A527" s="262" t="s">
        <v>2109</v>
      </c>
      <c r="B527" s="263">
        <f>kdeg.water*Tempfactor.wsdsC*(BACT.w0C/BACT.test)*FRw.w0C</f>
        <v>8.6888547727987207E-8</v>
      </c>
      <c r="C527" s="262" t="s">
        <v>617</v>
      </c>
    </row>
    <row r="528" spans="1:3" ht="15" x14ac:dyDescent="0.3">
      <c r="A528" s="262" t="s">
        <v>4448</v>
      </c>
      <c r="B528" s="263" t="e">
        <f>VOLATflow.w0C.aC/VOLUME.w0C</f>
        <v>#NAME?</v>
      </c>
      <c r="C528" s="262" t="s">
        <v>617</v>
      </c>
    </row>
    <row r="529" spans="1:3" ht="15" x14ac:dyDescent="0.3">
      <c r="A529" s="262" t="s">
        <v>1923</v>
      </c>
      <c r="B529" s="263">
        <f>WATERflow.w0C.w1C/VOLUME.w0C</f>
        <v>2.3972602739726029E-9</v>
      </c>
      <c r="C529" s="262" t="s">
        <v>617</v>
      </c>
    </row>
    <row r="530" spans="1:3" ht="15" x14ac:dyDescent="0.3">
      <c r="A530" s="262" t="s">
        <v>1925</v>
      </c>
      <c r="B530" s="263">
        <f>WATERflow.w0C.w2C/VOLUME.w0C</f>
        <v>0</v>
      </c>
      <c r="C530" s="262" t="s">
        <v>617</v>
      </c>
    </row>
    <row r="531" spans="1:3" ht="15" x14ac:dyDescent="0.3">
      <c r="A531" s="262" t="s">
        <v>4449</v>
      </c>
      <c r="B531" s="263" t="e">
        <f>kdeg.water*Tempfactor.wsdsR*(BACT.w0R/BACT.test)*FRw.w0R</f>
        <v>#NAME?</v>
      </c>
      <c r="C531" s="262" t="s">
        <v>617</v>
      </c>
    </row>
    <row r="532" spans="1:3" ht="15" x14ac:dyDescent="0.3">
      <c r="A532" s="262" t="s">
        <v>4450</v>
      </c>
      <c r="B532" s="263" t="e">
        <f>VOLATflow.w0R.aR/VOLUME.w0R</f>
        <v>#NAME?</v>
      </c>
      <c r="C532" s="262" t="s">
        <v>617</v>
      </c>
    </row>
    <row r="533" spans="1:3" ht="15" x14ac:dyDescent="0.3">
      <c r="A533" s="262" t="s">
        <v>1044</v>
      </c>
      <c r="B533" s="263">
        <f>WATERflow.w0R.w1R/VOLUME.w0R</f>
        <v>2.3972602739726025E-9</v>
      </c>
      <c r="C533" s="262" t="s">
        <v>617</v>
      </c>
    </row>
    <row r="534" spans="1:3" ht="15" x14ac:dyDescent="0.3">
      <c r="A534" s="262" t="s">
        <v>1046</v>
      </c>
      <c r="B534" s="263">
        <f>WATERflow.w0R.w2R/VOLUME.w0R</f>
        <v>0</v>
      </c>
      <c r="C534" s="262" t="s">
        <v>617</v>
      </c>
    </row>
    <row r="535" spans="1:3" ht="15" x14ac:dyDescent="0.3">
      <c r="A535" s="262" t="s">
        <v>2110</v>
      </c>
      <c r="B535" s="263">
        <f>kdeg.water*Tempfactor.wsdsC*(BACT.w1C/BACT.test)*FRw.w1C</f>
        <v>8.6791727940822063E-8</v>
      </c>
      <c r="C535" s="262" t="s">
        <v>617</v>
      </c>
    </row>
    <row r="536" spans="1:3" ht="15" x14ac:dyDescent="0.3">
      <c r="A536" s="262" t="s">
        <v>4451</v>
      </c>
      <c r="B536" s="263" t="e">
        <f>VOLATflow.w1C.aC/VOLUME.w1C</f>
        <v>#NAME?</v>
      </c>
      <c r="C536" s="262" t="s">
        <v>617</v>
      </c>
    </row>
    <row r="537" spans="1:3" ht="15" x14ac:dyDescent="0.3">
      <c r="A537" s="262" t="s">
        <v>4452</v>
      </c>
      <c r="B537" s="263" t="e">
        <f>(SEDflow.w1C.sd1C+ADSORBflow.w1C.sd1C)/VOLUME.w1C</f>
        <v>#NAME?</v>
      </c>
      <c r="C537" s="262" t="s">
        <v>617</v>
      </c>
    </row>
    <row r="538" spans="1:3" ht="15" x14ac:dyDescent="0.3">
      <c r="A538" s="262" t="s">
        <v>1927</v>
      </c>
      <c r="B538" s="263">
        <f>WATERflow.w1C.w0C/VOLUME.w1C</f>
        <v>0</v>
      </c>
      <c r="C538" s="262" t="s">
        <v>617</v>
      </c>
    </row>
    <row r="539" spans="1:3" ht="15" x14ac:dyDescent="0.3">
      <c r="A539" s="262" t="s">
        <v>1929</v>
      </c>
      <c r="B539" s="263">
        <v>0</v>
      </c>
      <c r="C539" s="262" t="s">
        <v>617</v>
      </c>
    </row>
    <row r="540" spans="1:3" ht="15" x14ac:dyDescent="0.3">
      <c r="A540" s="262" t="s">
        <v>1931</v>
      </c>
      <c r="B540" s="263">
        <f>WATERflow.w1C.w2C*(1-FRAC.w1C.w1R)/VOLUME.w1C</f>
        <v>7.2644250726442513E-8</v>
      </c>
      <c r="C540" s="262" t="s">
        <v>617</v>
      </c>
    </row>
    <row r="541" spans="1:3" ht="15" x14ac:dyDescent="0.3">
      <c r="A541" s="262" t="s">
        <v>4453</v>
      </c>
      <c r="B541" s="263" t="e">
        <f>kdeg.water*Tempfactor.wsdsR*(BACT.w1R/BACT.test)*FRw.w1R</f>
        <v>#NAME?</v>
      </c>
      <c r="C541" s="262" t="s">
        <v>617</v>
      </c>
    </row>
    <row r="542" spans="1:3" ht="15" x14ac:dyDescent="0.3">
      <c r="A542" s="262" t="s">
        <v>4454</v>
      </c>
      <c r="B542" s="263" t="e">
        <f>VOLATflow.w1R.aR/VOLUME.w1R</f>
        <v>#NAME?</v>
      </c>
      <c r="C542" s="262" t="s">
        <v>617</v>
      </c>
    </row>
    <row r="543" spans="1:3" ht="15" x14ac:dyDescent="0.3">
      <c r="A543" s="262" t="s">
        <v>4455</v>
      </c>
      <c r="B543" s="263">
        <f>(SEDflow.w1R.sd1R+ADSORBflow.w1R.sd1R)/VOLUME.w1R</f>
        <v>3.5971035669065079E-18</v>
      </c>
      <c r="C543" s="262" t="s">
        <v>617</v>
      </c>
    </row>
    <row r="544" spans="1:3" ht="15" x14ac:dyDescent="0.3">
      <c r="A544" s="262" t="s">
        <v>1048</v>
      </c>
      <c r="B544" s="263">
        <f>WATERflow.w1R.w0R/VOLUME.w1R</f>
        <v>0</v>
      </c>
      <c r="C544" s="262" t="s">
        <v>617</v>
      </c>
    </row>
    <row r="545" spans="1:3" ht="15" x14ac:dyDescent="0.3">
      <c r="A545" s="262" t="s">
        <v>1050</v>
      </c>
      <c r="B545" s="263">
        <f>WATERflow.w1R.w2R/VOLUME.w1R</f>
        <v>7.26442507264425E-8</v>
      </c>
      <c r="C545" s="262" t="s">
        <v>617</v>
      </c>
    </row>
    <row r="546" spans="1:3" ht="15" x14ac:dyDescent="0.3">
      <c r="A546" s="262" t="s">
        <v>4456</v>
      </c>
      <c r="B546" s="263">
        <f>kdeg.water*Tempfactor.wsdsA*(BACT.w2A/BACT.test)*FRw.w2A</f>
        <v>1.8903674041416619E-8</v>
      </c>
      <c r="C546" s="262" t="s">
        <v>617</v>
      </c>
    </row>
    <row r="547" spans="1:3" ht="15" x14ac:dyDescent="0.3">
      <c r="A547" s="262" t="s">
        <v>4457</v>
      </c>
      <c r="B547" s="263" t="e">
        <f>VOLATflow.w2A.aA/VOLUME.w2A</f>
        <v>#NAME?</v>
      </c>
      <c r="C547" s="262" t="s">
        <v>617</v>
      </c>
    </row>
    <row r="548" spans="1:3" ht="15" x14ac:dyDescent="0.3">
      <c r="A548" s="262" t="s">
        <v>2908</v>
      </c>
      <c r="B548" s="263">
        <f>WATERflow.w2A.w2M/VOLUME.w2A</f>
        <v>0</v>
      </c>
      <c r="C548" s="262" t="s">
        <v>617</v>
      </c>
    </row>
    <row r="549" spans="1:3" ht="15" x14ac:dyDescent="0.3">
      <c r="A549" s="262" t="s">
        <v>2914</v>
      </c>
      <c r="B549" s="263">
        <f>(OceanCurrent+OceanMixing.A)/VOLUME.w2A</f>
        <v>2.6926123984947511E-7</v>
      </c>
      <c r="C549" s="262" t="s">
        <v>617</v>
      </c>
    </row>
    <row r="550" spans="1:3" ht="15" x14ac:dyDescent="0.3">
      <c r="A550" s="262" t="s">
        <v>2111</v>
      </c>
      <c r="B550" s="263">
        <f>kdeg.water*Tempfactor.wsdsC*(BACT.w2C/BACT.test)*FRw.w2C</f>
        <v>8.6858477099101683E-8</v>
      </c>
      <c r="C550" s="262" t="s">
        <v>617</v>
      </c>
    </row>
    <row r="551" spans="1:3" ht="15" x14ac:dyDescent="0.3">
      <c r="A551" s="262" t="s">
        <v>4458</v>
      </c>
      <c r="B551" s="263" t="e">
        <f>VOLATflow.w2C.aC/VOLUME.w2C</f>
        <v>#NAME?</v>
      </c>
      <c r="C551" s="262" t="s">
        <v>617</v>
      </c>
    </row>
    <row r="552" spans="1:3" ht="15" x14ac:dyDescent="0.3">
      <c r="A552" s="262" t="s">
        <v>4459</v>
      </c>
      <c r="B552" s="263" t="e">
        <f>(SEDflow.w2C.sd2C+ADSORBflow.w2C.sd2C)/VOLUME.w2C</f>
        <v>#NAME?</v>
      </c>
      <c r="C552" s="262" t="s">
        <v>617</v>
      </c>
    </row>
    <row r="553" spans="1:3" ht="15" x14ac:dyDescent="0.3">
      <c r="A553" s="262" t="s">
        <v>1945</v>
      </c>
      <c r="B553" s="263">
        <f>WATERflow.w2C.w2M/VOLUME.w2C</f>
        <v>3.1691347286679496E-8</v>
      </c>
      <c r="C553" s="262" t="s">
        <v>617</v>
      </c>
    </row>
    <row r="554" spans="1:3" ht="15" x14ac:dyDescent="0.3">
      <c r="A554" s="262" t="s">
        <v>1943</v>
      </c>
      <c r="B554" s="263">
        <f>WATERflow.w2C.w2R/VOLUME.w2C</f>
        <v>1.660022737657995E-11</v>
      </c>
      <c r="C554" s="262" t="s">
        <v>617</v>
      </c>
    </row>
    <row r="555" spans="1:3" ht="15" x14ac:dyDescent="0.3">
      <c r="A555" s="262" t="s">
        <v>4460</v>
      </c>
      <c r="B555" s="263">
        <f>kdeg.water*Tempfactor.wsdsM*(BACT.w2M/BACT.test)*FRw.w2M</f>
        <v>8.6858477099101683E-8</v>
      </c>
      <c r="C555" s="262" t="s">
        <v>617</v>
      </c>
    </row>
    <row r="556" spans="1:3" ht="15" x14ac:dyDescent="0.3">
      <c r="A556" s="262" t="s">
        <v>4461</v>
      </c>
      <c r="B556" s="263" t="e">
        <f>VOLATflow.w2M.aM/VOLUME.w2M</f>
        <v>#NAME?</v>
      </c>
      <c r="C556" s="262" t="s">
        <v>617</v>
      </c>
    </row>
    <row r="557" spans="1:3" ht="15" x14ac:dyDescent="0.3">
      <c r="A557" s="262" t="s">
        <v>2504</v>
      </c>
      <c r="B557" s="263">
        <f>WATERflow.w2M.w2A/VOLUME.w2M</f>
        <v>3.8674157077409421E-8</v>
      </c>
      <c r="C557" s="262" t="s">
        <v>617</v>
      </c>
    </row>
    <row r="558" spans="1:3" ht="15" x14ac:dyDescent="0.3">
      <c r="A558" s="262" t="s">
        <v>2503</v>
      </c>
      <c r="B558" s="263">
        <f>WATERflow.w2M.w2C/VOLUME.w2M</f>
        <v>6.0683860128376809E-9</v>
      </c>
      <c r="C558" s="262" t="s">
        <v>617</v>
      </c>
    </row>
    <row r="559" spans="1:3" ht="15" x14ac:dyDescent="0.3">
      <c r="A559" s="262" t="s">
        <v>2505</v>
      </c>
      <c r="B559" s="263">
        <f>WATERflow.w2M.w2T/VOLUME.w2M</f>
        <v>0</v>
      </c>
      <c r="C559" s="262" t="s">
        <v>617</v>
      </c>
    </row>
    <row r="560" spans="1:3" ht="15" x14ac:dyDescent="0.3">
      <c r="A560" s="262" t="s">
        <v>2519</v>
      </c>
      <c r="B560" s="263">
        <f>(OceanCurrent+OceanMixing.M)/VOLUME.w2M</f>
        <v>2.4911186751511984E-7</v>
      </c>
      <c r="C560" s="262" t="s">
        <v>617</v>
      </c>
    </row>
    <row r="561" spans="1:3" ht="15" x14ac:dyDescent="0.3">
      <c r="A561" s="262" t="s">
        <v>4462</v>
      </c>
      <c r="B561" s="263" t="e">
        <f>kdeg.water*Tempfactor.wsdsR*(BACT.w2R/BACT.test)*FRw.w2R</f>
        <v>#NAME?</v>
      </c>
      <c r="C561" s="262" t="s">
        <v>617</v>
      </c>
    </row>
    <row r="562" spans="1:3" ht="15" x14ac:dyDescent="0.3">
      <c r="A562" s="262" t="s">
        <v>4463</v>
      </c>
      <c r="B562" s="263" t="e">
        <f>VOLATflow.w2R.aR/VOLUME.w2R</f>
        <v>#NAME?</v>
      </c>
      <c r="C562" s="262" t="s">
        <v>617</v>
      </c>
    </row>
    <row r="563" spans="1:3" ht="15" x14ac:dyDescent="0.3">
      <c r="A563" s="262" t="s">
        <v>4464</v>
      </c>
      <c r="B563" s="263">
        <f>(SEDflow.w2R.sd2R+ADSORBflow.w2R.sd2R)/VOLUME.w2R</f>
        <v>4.5264084842868735E-18</v>
      </c>
      <c r="C563" s="262" t="s">
        <v>617</v>
      </c>
    </row>
    <row r="564" spans="1:3" ht="15" x14ac:dyDescent="0.3">
      <c r="A564" s="262" t="s">
        <v>1052</v>
      </c>
      <c r="B564" s="270">
        <f>(RAINrate.R*SYSTEMAREA.R*AREAFRAC.w2R+WATERflow.w1R.w2R+WATERflow.w2C.w2R)/VOLUME.w2R</f>
        <v>1.3720741374936564E-6</v>
      </c>
      <c r="C564" s="262" t="s">
        <v>617</v>
      </c>
    </row>
    <row r="565" spans="1:3" ht="15" x14ac:dyDescent="0.3">
      <c r="A565" s="262" t="s">
        <v>4465</v>
      </c>
      <c r="B565" s="263">
        <f>kdeg.water*Tempfactor.wsdsT*(BACT.w2T/BACT.test)*FRw.w2T</f>
        <v>2.1387065766441277E-7</v>
      </c>
      <c r="C565" s="262" t="s">
        <v>617</v>
      </c>
    </row>
    <row r="566" spans="1:3" ht="15" x14ac:dyDescent="0.3">
      <c r="A566" s="262" t="s">
        <v>4466</v>
      </c>
      <c r="B566" s="263" t="e">
        <f>VOLATflow.w2T.aT/VOLUME.w2T</f>
        <v>#NAME?</v>
      </c>
      <c r="C566" s="262" t="s">
        <v>617</v>
      </c>
    </row>
    <row r="567" spans="1:3" ht="15" x14ac:dyDescent="0.3">
      <c r="A567" s="262" t="s">
        <v>3224</v>
      </c>
      <c r="B567" s="263">
        <f>WATERflow.w2T.w2M/VOLUME.w2T</f>
        <v>1.6806722689075633E-8</v>
      </c>
      <c r="C567" s="262" t="s">
        <v>617</v>
      </c>
    </row>
    <row r="568" spans="1:3" ht="15" x14ac:dyDescent="0.3">
      <c r="A568" s="262" t="s">
        <v>3229</v>
      </c>
      <c r="B568" s="263">
        <f>(OceanCurrent+OceanMixing.T)/VOLUME.w2T</f>
        <v>2.2724443312678606E-7</v>
      </c>
      <c r="C568" s="262" t="s">
        <v>617</v>
      </c>
    </row>
    <row r="569" spans="1:3" ht="15" x14ac:dyDescent="0.3">
      <c r="A569" s="262" t="s">
        <v>4467</v>
      </c>
      <c r="B569" s="263">
        <f>kdeg.water*Tempfactor.wsdsA*(BACT.w3A/BACT.test)*FRw.w3A</f>
        <v>1.8903674041416619E-8</v>
      </c>
      <c r="C569" s="262" t="s">
        <v>617</v>
      </c>
    </row>
    <row r="570" spans="1:3" ht="15" x14ac:dyDescent="0.3">
      <c r="A570" s="262" t="s">
        <v>4468</v>
      </c>
      <c r="B570" s="263" t="e">
        <f>(SEDflow.w3A.sdA+ADSORBflow.w3A.sdA)/VOLUME.w3A</f>
        <v>#NAME?</v>
      </c>
      <c r="C570" s="262" t="s">
        <v>617</v>
      </c>
    </row>
    <row r="571" spans="1:3" ht="15" x14ac:dyDescent="0.3">
      <c r="A571" s="262" t="s">
        <v>2916</v>
      </c>
      <c r="B571" s="263">
        <f>(OceanCurrent+OceanMixing.A)/VOLUME.w3A</f>
        <v>8.9753746616491718E-9</v>
      </c>
      <c r="C571" s="262" t="s">
        <v>617</v>
      </c>
    </row>
    <row r="572" spans="1:3" ht="15" x14ac:dyDescent="0.3">
      <c r="A572" s="262" t="s">
        <v>2910</v>
      </c>
      <c r="B572" s="263">
        <f>OceanCurrent/VOLUME.w3A</f>
        <v>1.9607843137254903E-9</v>
      </c>
      <c r="C572" s="262" t="s">
        <v>617</v>
      </c>
    </row>
    <row r="573" spans="1:3" ht="15" x14ac:dyDescent="0.3">
      <c r="A573" s="262" t="s">
        <v>4469</v>
      </c>
      <c r="B573" s="263">
        <f>kdeg.water*Tempfactor.wsdsM*(BACT.w3M/BACT.test)*FRw.w3M</f>
        <v>8.6858477099101683E-8</v>
      </c>
      <c r="C573" s="262" t="s">
        <v>617</v>
      </c>
    </row>
    <row r="574" spans="1:3" ht="15" x14ac:dyDescent="0.3">
      <c r="A574" s="262" t="s">
        <v>4470</v>
      </c>
      <c r="B574" s="263">
        <f>(SEDflow.w3M.sdM+ADSORBflow.w3M.sdM)/VOLUME.w3M</f>
        <v>3.8654262913919345E-25</v>
      </c>
      <c r="C574" s="262" t="s">
        <v>617</v>
      </c>
    </row>
    <row r="575" spans="1:3" ht="15" x14ac:dyDescent="0.3">
      <c r="A575" s="262" t="s">
        <v>2521</v>
      </c>
      <c r="B575" s="263">
        <f>(OceanCurrent+OceanMixing.M)/VOLUME.w3M</f>
        <v>8.3037289171706622E-9</v>
      </c>
      <c r="C575" s="262" t="s">
        <v>617</v>
      </c>
    </row>
    <row r="576" spans="1:3" ht="15" x14ac:dyDescent="0.3">
      <c r="A576" s="262" t="s">
        <v>2507</v>
      </c>
      <c r="B576" s="263">
        <v>0</v>
      </c>
      <c r="C576" s="262" t="s">
        <v>617</v>
      </c>
    </row>
    <row r="577" spans="1:3" ht="15" x14ac:dyDescent="0.3">
      <c r="A577" s="262" t="s">
        <v>2509</v>
      </c>
      <c r="B577" s="263">
        <f>OceanCurrent/VOLUME.w3M</f>
        <v>1.2891385692469807E-9</v>
      </c>
      <c r="C577" s="262" t="s">
        <v>617</v>
      </c>
    </row>
    <row r="578" spans="1:3" ht="15" x14ac:dyDescent="0.3">
      <c r="A578" s="262" t="s">
        <v>4471</v>
      </c>
      <c r="B578" s="263">
        <f>kdeg.water*Tempfactor.wsdsT*(BACT.w3T/BACT.test)*FRw.w3T</f>
        <v>2.1387065766441277E-7</v>
      </c>
      <c r="C578" s="262" t="s">
        <v>617</v>
      </c>
    </row>
    <row r="579" spans="1:3" ht="15" x14ac:dyDescent="0.3">
      <c r="A579" s="262" t="s">
        <v>4472</v>
      </c>
      <c r="B579" s="263" t="e">
        <f>(SEDflow.w3T.sdT+ADSORBflow.w3T.sdT)/VOLUME.w3T</f>
        <v>#NAME?</v>
      </c>
      <c r="C579" s="262" t="s">
        <v>617</v>
      </c>
    </row>
    <row r="580" spans="1:3" ht="15" x14ac:dyDescent="0.3">
      <c r="A580" s="262" t="s">
        <v>3230</v>
      </c>
      <c r="B580" s="263">
        <f>(OceanCurrent+OceanMixing.T)/VOLUME.w3T</f>
        <v>7.5748144375595357E-9</v>
      </c>
      <c r="C580" s="262" t="s">
        <v>617</v>
      </c>
    </row>
    <row r="581" spans="1:3" ht="15" x14ac:dyDescent="0.3">
      <c r="A581" s="262" t="s">
        <v>3226</v>
      </c>
      <c r="B581" s="263">
        <v>0</v>
      </c>
      <c r="C581" s="262" t="s">
        <v>617</v>
      </c>
    </row>
    <row r="582" spans="1:3" ht="15" x14ac:dyDescent="0.3">
      <c r="A582" s="262" t="s">
        <v>623</v>
      </c>
      <c r="B582" s="266">
        <v>7.8999999999999999E-11</v>
      </c>
      <c r="C582" s="262" t="s">
        <v>624</v>
      </c>
    </row>
    <row r="583" spans="1:3" ht="15" x14ac:dyDescent="0.3">
      <c r="A583" s="266" t="s">
        <v>2926</v>
      </c>
      <c r="B583" s="268">
        <f>0.54*(Kow/Kaw)*CORGaer*(RHOaers/1000)</f>
        <v>1754.1549750527802</v>
      </c>
      <c r="C583" s="266" t="s">
        <v>1073</v>
      </c>
    </row>
    <row r="584" spans="1:3" ht="15" x14ac:dyDescent="0.3">
      <c r="A584" s="266" t="s">
        <v>1964</v>
      </c>
      <c r="B584" s="268">
        <f>0.54*(Kow/Kaw)*CORGaer*(RHOaers/1000)</f>
        <v>1754.1549750527802</v>
      </c>
      <c r="C584" s="266" t="s">
        <v>1073</v>
      </c>
    </row>
    <row r="585" spans="1:3" ht="15" x14ac:dyDescent="0.3">
      <c r="A585" s="266" t="s">
        <v>2534</v>
      </c>
      <c r="B585" s="268">
        <f>0.54*(Kow/Kaw)*CORGaer*(RHOaers/1000)</f>
        <v>1754.1549750527802</v>
      </c>
      <c r="C585" s="266" t="s">
        <v>1073</v>
      </c>
    </row>
    <row r="586" spans="1:3" ht="15" x14ac:dyDescent="0.3">
      <c r="A586" s="266" t="s">
        <v>1072</v>
      </c>
      <c r="B586" s="268">
        <f>0.54*(Kow/Kaw)*CORGaer*(RHOaers/1000)</f>
        <v>1754.1549750527802</v>
      </c>
      <c r="C586" s="266" t="s">
        <v>1073</v>
      </c>
    </row>
    <row r="587" spans="1:3" ht="15" x14ac:dyDescent="0.3">
      <c r="A587" s="266" t="s">
        <v>3240</v>
      </c>
      <c r="B587" s="268">
        <f>0.54*(Kow/Kaw)*CORGaer*(RHOaers/1000)</f>
        <v>1754.1549750527802</v>
      </c>
      <c r="C587" s="266" t="s">
        <v>1073</v>
      </c>
    </row>
    <row r="588" spans="1:3" ht="15" x14ac:dyDescent="0.3">
      <c r="A588" s="266" t="s">
        <v>2925</v>
      </c>
      <c r="B588" s="268">
        <f>1/(Kaw.A*FRorig.aerw)</f>
        <v>37.697837076762113</v>
      </c>
      <c r="C588" s="266" t="s">
        <v>1071</v>
      </c>
    </row>
    <row r="589" spans="1:3" ht="15" x14ac:dyDescent="0.3">
      <c r="A589" s="266" t="s">
        <v>1962</v>
      </c>
      <c r="B589" s="268">
        <f>1/(Kaw.C*FRorig.aerw)</f>
        <v>11.129079824608519</v>
      </c>
      <c r="C589" s="266" t="s">
        <v>1071</v>
      </c>
    </row>
    <row r="590" spans="1:3" ht="15" x14ac:dyDescent="0.3">
      <c r="A590" s="266" t="s">
        <v>2533</v>
      </c>
      <c r="B590" s="268">
        <f>1/(Kaw.M*FRorig.aerw)</f>
        <v>11.129079824608519</v>
      </c>
      <c r="C590" s="266" t="s">
        <v>1071</v>
      </c>
    </row>
    <row r="591" spans="1:3" ht="15" x14ac:dyDescent="0.3">
      <c r="A591" s="266" t="s">
        <v>1070</v>
      </c>
      <c r="B591" s="268">
        <v>9.2336700572798372E+22</v>
      </c>
      <c r="C591" s="266" t="s">
        <v>1071</v>
      </c>
    </row>
    <row r="592" spans="1:3" ht="15" x14ac:dyDescent="0.3">
      <c r="A592" s="266" t="s">
        <v>3239</v>
      </c>
      <c r="B592" s="268">
        <f>1/(Kaw.T*FRorig.aerw)</f>
        <v>5.9062457072484165</v>
      </c>
      <c r="C592" s="266" t="s">
        <v>1071</v>
      </c>
    </row>
    <row r="593" spans="1:3" x14ac:dyDescent="0.3">
      <c r="A593" s="264" t="s">
        <v>535</v>
      </c>
      <c r="B593" s="266">
        <f>VLOOKUP(ChemClass,QSARtable,8,FALSE)</f>
        <v>769.53792352546407</v>
      </c>
      <c r="C593" s="262" t="s">
        <v>291</v>
      </c>
    </row>
    <row r="594" spans="1:3" x14ac:dyDescent="0.3">
      <c r="A594" s="262" t="s">
        <v>2922</v>
      </c>
      <c r="B594" s="268">
        <f>Kaw*EXP((H0vap/8.314)*(1/298-1/TEMP.A))*EXP(-(H0sol/8.314)*(1/298-1/TEMP.A))*(298/TEMP.A)</f>
        <v>2.6526720829201759E-2</v>
      </c>
      <c r="C594" s="262" t="s">
        <v>291</v>
      </c>
    </row>
    <row r="595" spans="1:3" x14ac:dyDescent="0.3">
      <c r="A595" s="262" t="s">
        <v>1960</v>
      </c>
      <c r="B595" s="268">
        <f>Kaw*EXP((H0vap/8.314)*(1/298-1/TEMP.C))*EXP(-(H0sol/8.314)*(1/298-1/TEMP.C))*(298/TEMP.C)</f>
        <v>8.9854688416270423E-2</v>
      </c>
      <c r="C595" s="262" t="s">
        <v>291</v>
      </c>
    </row>
    <row r="596" spans="1:3" x14ac:dyDescent="0.3">
      <c r="A596" s="262" t="s">
        <v>2530</v>
      </c>
      <c r="B596" s="263">
        <f>Kaw*EXP((H0vap/8.314)*(1/298-1/TEMP.M))*EXP(-(H0sol/8.314)*(1/298-1/TEMP.M))*(298/TEMP.M)</f>
        <v>8.9854688416270423E-2</v>
      </c>
      <c r="C596" s="262" t="s">
        <v>291</v>
      </c>
    </row>
    <row r="597" spans="1:3" ht="15" x14ac:dyDescent="0.3">
      <c r="A597" s="266" t="s">
        <v>4473</v>
      </c>
      <c r="B597" s="268">
        <f>Kaw*EXP((H0vap/8.314)*(1/298-1/TEMP.R))*EXP(-(H0sol/8.314)*(1/298-1/TEMP.R))*(298/TEMP.R)</f>
        <v>8.9854688416270423E-2</v>
      </c>
      <c r="C597" s="266" t="s">
        <v>1069</v>
      </c>
    </row>
    <row r="598" spans="1:3" x14ac:dyDescent="0.3">
      <c r="A598" s="262" t="s">
        <v>3236</v>
      </c>
      <c r="B598" s="268">
        <f>Kaw*EXP((H0vap/8.314)*(1/298-1/TEMP.T))*EXP(-(H0sol/8.314)*(1/298-1/TEMP.T))*(298/TEMP.T)</f>
        <v>0.16931229237089712</v>
      </c>
      <c r="C598" s="262" t="s">
        <v>291</v>
      </c>
    </row>
    <row r="599" spans="1:3" ht="15" x14ac:dyDescent="0.3">
      <c r="A599" s="266" t="s">
        <v>4474</v>
      </c>
      <c r="B599" s="268">
        <f>1/(Kaw.A*FRorig.cldw)</f>
        <v>37.697837076762113</v>
      </c>
      <c r="C599" s="266" t="s">
        <v>4475</v>
      </c>
    </row>
    <row r="600" spans="1:3" ht="15" x14ac:dyDescent="0.3">
      <c r="A600" s="266" t="s">
        <v>4476</v>
      </c>
      <c r="B600" s="268">
        <f>1/(Kaw.C*FRorig.cldw)</f>
        <v>11.129079824608519</v>
      </c>
      <c r="C600" s="266" t="s">
        <v>4475</v>
      </c>
    </row>
    <row r="601" spans="1:3" ht="15" x14ac:dyDescent="0.3">
      <c r="A601" s="266" t="s">
        <v>4477</v>
      </c>
      <c r="B601" s="268">
        <f>1/(Kaw.M*FRorig.cldw)</f>
        <v>11.129079824608519</v>
      </c>
      <c r="C601" s="266" t="s">
        <v>4475</v>
      </c>
    </row>
    <row r="602" spans="1:3" ht="15" x14ac:dyDescent="0.3">
      <c r="A602" s="266" t="s">
        <v>4478</v>
      </c>
      <c r="B602" s="268">
        <v>9.2336700572798372E+22</v>
      </c>
      <c r="C602" s="266" t="s">
        <v>4475</v>
      </c>
    </row>
    <row r="603" spans="1:3" ht="15" x14ac:dyDescent="0.3">
      <c r="A603" s="266" t="s">
        <v>4479</v>
      </c>
      <c r="B603" s="268">
        <f>1/(Kaw.T*FRorig.cldw)</f>
        <v>5.9062457072484165</v>
      </c>
      <c r="C603" s="266" t="s">
        <v>4475</v>
      </c>
    </row>
    <row r="604" spans="1:3" ht="15" x14ac:dyDescent="0.3">
      <c r="A604" s="262" t="s">
        <v>2998</v>
      </c>
      <c r="B604" s="263">
        <f>FRgas.aA*kdegG.air*(C.OHrad.aA/C.OHrad)*Tempfactor.aA</f>
        <v>1.8058616035260653E-7</v>
      </c>
      <c r="C604" s="262" t="s">
        <v>617</v>
      </c>
    </row>
    <row r="605" spans="1:3" ht="15" x14ac:dyDescent="0.3">
      <c r="A605" s="262" t="s">
        <v>2119</v>
      </c>
      <c r="B605" s="263">
        <f>FRgas.aC*kdegG.air*(C.OHrad.aC/C.OHrad)*Tempfactor.aC</f>
        <v>2.1593838929569864E-7</v>
      </c>
      <c r="C605" s="262" t="s">
        <v>617</v>
      </c>
    </row>
    <row r="606" spans="1:3" ht="15" x14ac:dyDescent="0.3">
      <c r="A606" s="264" t="s">
        <v>4145</v>
      </c>
      <c r="B606" s="266">
        <f>C.OHrad*k0.OHrad*EXP(-Ea.OHrad/(8.314*298))</f>
        <v>3.5063474584268925E-6</v>
      </c>
      <c r="C606" s="262" t="s">
        <v>617</v>
      </c>
    </row>
    <row r="607" spans="1:3" ht="15" x14ac:dyDescent="0.3">
      <c r="A607" s="262" t="s">
        <v>2645</v>
      </c>
      <c r="B607" s="263">
        <f>FRgas.aM*kdegG.air*(C.OHrad.aM/C.OHrad)*Tempfactor.aM</f>
        <v>2.1593838929569864E-7</v>
      </c>
      <c r="C607" s="262" t="s">
        <v>617</v>
      </c>
    </row>
    <row r="608" spans="1:3" ht="15" x14ac:dyDescent="0.3">
      <c r="A608" s="262" t="s">
        <v>1281</v>
      </c>
      <c r="B608" s="263">
        <f>FRgas.aR*kdegG.air*(C.OHrad.aR/C.OHrad)*Tempfactor.aR</f>
        <v>2.1593838929569864E-7</v>
      </c>
      <c r="C608" s="262" t="s">
        <v>617</v>
      </c>
    </row>
    <row r="609" spans="1:3" ht="15" x14ac:dyDescent="0.3">
      <c r="A609" s="262" t="s">
        <v>3309</v>
      </c>
      <c r="B609" s="263">
        <f>FRgas.aT*kdegG.air*(C.OHrad.aT/C.OHrad)*Tempfactor.aT</f>
        <v>2.3999999155170639E-7</v>
      </c>
      <c r="C609" s="262" t="s">
        <v>617</v>
      </c>
    </row>
    <row r="610" spans="1:3" ht="15" x14ac:dyDescent="0.3">
      <c r="A610" s="262" t="s">
        <v>2135</v>
      </c>
      <c r="B610" s="268">
        <f>Tempfactor.wsdsC*kdeg.soil</f>
        <v>4.3455503205058602E-8</v>
      </c>
      <c r="C610" s="262" t="s">
        <v>617</v>
      </c>
    </row>
    <row r="611" spans="1:3" ht="15" x14ac:dyDescent="0.3">
      <c r="A611" s="262" t="s">
        <v>1310</v>
      </c>
      <c r="B611" s="263">
        <f>Tempfactor.wsdsR*kdeg.soil</f>
        <v>4.3455503205058602E-8</v>
      </c>
      <c r="C611" s="262" t="s">
        <v>617</v>
      </c>
    </row>
    <row r="612" spans="1:3" ht="15" x14ac:dyDescent="0.3">
      <c r="A612" s="262" t="s">
        <v>2136</v>
      </c>
      <c r="B612" s="268">
        <f>Tempfactor.wsdsC*kdeg.soil</f>
        <v>4.3455503205058602E-8</v>
      </c>
      <c r="C612" s="262" t="s">
        <v>617</v>
      </c>
    </row>
    <row r="613" spans="1:3" ht="15" x14ac:dyDescent="0.3">
      <c r="A613" s="262" t="s">
        <v>1312</v>
      </c>
      <c r="B613" s="263">
        <f>Tempfactor.wsdsR*kdeg.soil</f>
        <v>4.3455503205058602E-8</v>
      </c>
      <c r="C613" s="262" t="s">
        <v>617</v>
      </c>
    </row>
    <row r="614" spans="1:3" ht="15" x14ac:dyDescent="0.3">
      <c r="A614" s="262" t="s">
        <v>2137</v>
      </c>
      <c r="B614" s="268">
        <f>Tempfactor.wsdsC*kdeg.soil</f>
        <v>4.3455503205058602E-8</v>
      </c>
      <c r="C614" s="262" t="s">
        <v>617</v>
      </c>
    </row>
    <row r="615" spans="1:3" ht="15" x14ac:dyDescent="0.3">
      <c r="A615" s="262" t="s">
        <v>1314</v>
      </c>
      <c r="B615" s="263">
        <f>Tempfactor.wsdsR*kdeg.soil</f>
        <v>4.3455503205058602E-8</v>
      </c>
      <c r="C615" s="262" t="s">
        <v>617</v>
      </c>
    </row>
    <row r="616" spans="1:3" ht="15" x14ac:dyDescent="0.3">
      <c r="A616" s="262" t="s">
        <v>3009</v>
      </c>
      <c r="B616" s="268">
        <f>Tempfactor.wsdsA*kdeg.soil</f>
        <v>9.4575531983700746E-9</v>
      </c>
      <c r="C616" s="262" t="s">
        <v>617</v>
      </c>
    </row>
    <row r="617" spans="1:3" ht="15" x14ac:dyDescent="0.3">
      <c r="A617" s="262" t="s">
        <v>2133</v>
      </c>
      <c r="B617" s="268">
        <f>Tempfactor.wsdsC*kdeg.sed</f>
        <v>9.6658035166392035E-9</v>
      </c>
      <c r="C617" s="262" t="s">
        <v>617</v>
      </c>
    </row>
    <row r="618" spans="1:3" ht="15" x14ac:dyDescent="0.3">
      <c r="A618" s="262" t="s">
        <v>1306</v>
      </c>
      <c r="B618" s="263">
        <f>Tempfactor.wsdsR*kdeg.sed</f>
        <v>9.6658035166392035E-9</v>
      </c>
      <c r="C618" s="262" t="s">
        <v>617</v>
      </c>
    </row>
    <row r="619" spans="1:3" ht="15" x14ac:dyDescent="0.3">
      <c r="A619" s="262" t="s">
        <v>2134</v>
      </c>
      <c r="B619" s="268">
        <f>Tempfactor.wsdsC*kdeg.sed</f>
        <v>9.6658035166392035E-9</v>
      </c>
      <c r="C619" s="262" t="s">
        <v>617</v>
      </c>
    </row>
    <row r="620" spans="1:3" ht="15" x14ac:dyDescent="0.3">
      <c r="A620" s="262" t="s">
        <v>1308</v>
      </c>
      <c r="B620" s="263">
        <f>Tempfactor.wsdsR*kdeg.sed</f>
        <v>9.6658035166392035E-9</v>
      </c>
      <c r="C620" s="262" t="s">
        <v>617</v>
      </c>
    </row>
    <row r="621" spans="1:3" ht="15" x14ac:dyDescent="0.3">
      <c r="A621" s="262" t="s">
        <v>3008</v>
      </c>
      <c r="B621" s="268">
        <f>Tempfactor.wsdsA*kdeg.sed</f>
        <v>2.103642674029979E-9</v>
      </c>
      <c r="C621" s="262" t="s">
        <v>617</v>
      </c>
    </row>
    <row r="622" spans="1:3" ht="15" x14ac:dyDescent="0.3">
      <c r="A622" s="262" t="s">
        <v>2657</v>
      </c>
      <c r="B622" s="263">
        <f>Tempfactor.wsdsM*kdeg.sed</f>
        <v>9.6658035166392035E-9</v>
      </c>
      <c r="C622" s="262" t="s">
        <v>617</v>
      </c>
    </row>
    <row r="623" spans="1:3" ht="15" x14ac:dyDescent="0.3">
      <c r="A623" s="262" t="s">
        <v>3318</v>
      </c>
      <c r="B623" s="263">
        <f>Tempfactor.wsdsT*kdeg.sed</f>
        <v>2.3800000000000001E-8</v>
      </c>
      <c r="C623" s="262" t="s">
        <v>617</v>
      </c>
    </row>
    <row r="624" spans="1:3" ht="96.6" x14ac:dyDescent="0.3">
      <c r="A624" s="264" t="s">
        <v>4480</v>
      </c>
      <c r="B624" s="271" t="s">
        <v>4481</v>
      </c>
      <c r="C624" s="262" t="s">
        <v>617</v>
      </c>
    </row>
    <row r="625" spans="1:3" ht="15" x14ac:dyDescent="0.3">
      <c r="A625" s="262" t="s">
        <v>2659</v>
      </c>
      <c r="B625" s="263">
        <f>Tempfactor.wsdsM*kdeg.soil</f>
        <v>4.3455503205058602E-8</v>
      </c>
      <c r="C625" s="262" t="s">
        <v>617</v>
      </c>
    </row>
    <row r="626" spans="1:3" ht="96.6" x14ac:dyDescent="0.3">
      <c r="A626" s="264" t="s">
        <v>4482</v>
      </c>
      <c r="B626" s="271" t="s">
        <v>4483</v>
      </c>
      <c r="C626" s="262" t="s">
        <v>617</v>
      </c>
    </row>
    <row r="627" spans="1:3" ht="15" x14ac:dyDescent="0.3">
      <c r="A627" s="262" t="s">
        <v>3319</v>
      </c>
      <c r="B627" s="263">
        <f>Tempfactor.wsdsT*kdeg.soil</f>
        <v>1.0700000000000001E-7</v>
      </c>
      <c r="C627" s="262" t="s">
        <v>617</v>
      </c>
    </row>
    <row r="628" spans="1:3" ht="15" x14ac:dyDescent="0.3">
      <c r="A628" s="262" t="s">
        <v>2124</v>
      </c>
      <c r="B628" s="263">
        <f>kdeg.water*Tempfactor.wsdsC*(BACT.w0C/BACT.test)*FRw.w0C</f>
        <v>8.6888547727987207E-8</v>
      </c>
      <c r="C628" s="262" t="s">
        <v>617</v>
      </c>
    </row>
    <row r="629" spans="1:3" ht="15" x14ac:dyDescent="0.3">
      <c r="A629" s="262" t="s">
        <v>1288</v>
      </c>
      <c r="B629" s="263" t="e">
        <f>kdeg.water*Tempfactor.wsdsR*(BACT.w0R/BACT.test)*FRw.w0R</f>
        <v>#NAME?</v>
      </c>
      <c r="C629" s="262" t="s">
        <v>617</v>
      </c>
    </row>
    <row r="630" spans="1:3" ht="15" x14ac:dyDescent="0.3">
      <c r="A630" s="262" t="s">
        <v>2125</v>
      </c>
      <c r="B630" s="263">
        <f>kdeg.water*Tempfactor.wsdsC*(BACT.w1C/BACT.test)*FRw.w1C</f>
        <v>8.6791727940822063E-8</v>
      </c>
      <c r="C630" s="262" t="s">
        <v>617</v>
      </c>
    </row>
    <row r="631" spans="1:3" ht="15" x14ac:dyDescent="0.3">
      <c r="A631" s="262" t="s">
        <v>1290</v>
      </c>
      <c r="B631" s="263" t="e">
        <f>kdeg.water*Tempfactor.wsdsR*(BACT.w1R/BACT.test)*FRw.w1R</f>
        <v>#NAME?</v>
      </c>
      <c r="C631" s="262" t="s">
        <v>617</v>
      </c>
    </row>
    <row r="632" spans="1:3" ht="15" x14ac:dyDescent="0.3">
      <c r="A632" s="262" t="s">
        <v>3002</v>
      </c>
      <c r="B632" s="268">
        <f>kdeg.water*Tempfactor.wsdsA*(BACT.w2A/BACT.test)*FRw.w2A</f>
        <v>1.8903674041416619E-8</v>
      </c>
      <c r="C632" s="262" t="s">
        <v>617</v>
      </c>
    </row>
    <row r="633" spans="1:3" ht="15" x14ac:dyDescent="0.3">
      <c r="A633" s="262" t="s">
        <v>2126</v>
      </c>
      <c r="B633" s="263">
        <f>kdeg.water*Tempfactor.wsdsC*(BACT.w2C/BACT.test)*FRw.w2C</f>
        <v>8.6858477099101683E-8</v>
      </c>
      <c r="C633" s="262" t="s">
        <v>617</v>
      </c>
    </row>
    <row r="634" spans="1:3" ht="15" x14ac:dyDescent="0.3">
      <c r="A634" s="262" t="s">
        <v>2649</v>
      </c>
      <c r="B634" s="263">
        <f>kdeg.water*Tempfactor.wsdsM*(BACT.w2M/BACT.test)*FRw.w2M</f>
        <v>8.6858477099101683E-8</v>
      </c>
      <c r="C634" s="262" t="s">
        <v>617</v>
      </c>
    </row>
    <row r="635" spans="1:3" ht="15" x14ac:dyDescent="0.3">
      <c r="A635" s="262" t="s">
        <v>1292</v>
      </c>
      <c r="B635" s="263" t="e">
        <f>kdeg.water*Tempfactor.wsdsR*(BACT.w2R/BACT.test)*FRw.w2R</f>
        <v>#NAME?</v>
      </c>
      <c r="C635" s="262" t="s">
        <v>617</v>
      </c>
    </row>
    <row r="636" spans="1:3" ht="15" x14ac:dyDescent="0.3">
      <c r="A636" s="262" t="s">
        <v>3313</v>
      </c>
      <c r="B636" s="263">
        <f>kdeg.water*Tempfactor.wsdsT*(BACT.w2T/BACT.test)*FRw.w2T</f>
        <v>2.1387065766441277E-7</v>
      </c>
      <c r="C636" s="262" t="s">
        <v>617</v>
      </c>
    </row>
    <row r="637" spans="1:3" ht="15" x14ac:dyDescent="0.3">
      <c r="A637" s="262" t="s">
        <v>3003</v>
      </c>
      <c r="B637" s="268">
        <f>kdeg.water*Tempfactor.wsdsA*(BACT.w3A/BACT.test)*FRw.w3A</f>
        <v>1.8903674041416619E-8</v>
      </c>
      <c r="C637" s="262" t="s">
        <v>617</v>
      </c>
    </row>
    <row r="638" spans="1:3" ht="15" x14ac:dyDescent="0.3">
      <c r="A638" s="262" t="s">
        <v>2651</v>
      </c>
      <c r="B638" s="263">
        <f>kdeg.water*Tempfactor.wsdsM*(BACT.w3M/BACT.test)*FRw.w3M</f>
        <v>8.6858477099101683E-8</v>
      </c>
      <c r="C638" s="262" t="s">
        <v>617</v>
      </c>
    </row>
    <row r="639" spans="1:3" ht="15" x14ac:dyDescent="0.3">
      <c r="A639" s="262" t="s">
        <v>3314</v>
      </c>
      <c r="B639" s="263">
        <f>kdeg.water*Tempfactor.wsdsT*(BACT.w3T/BACT.test)*FRw.w3T</f>
        <v>2.1387065766441277E-7</v>
      </c>
      <c r="C639" s="262" t="s">
        <v>617</v>
      </c>
    </row>
    <row r="640" spans="1:3" ht="15" x14ac:dyDescent="0.3">
      <c r="A640" s="264" t="s">
        <v>4484</v>
      </c>
      <c r="B640" s="266">
        <f>IF(biodeg="r",LN(2)/15*Q.10^(13/10),IF(biodeg="r-",LN(2)/50*Q.10^(13/10),IF(biodeg="i",LN(2)/150*Q.10^(13/10),1E-20)))/(3600*24)</f>
        <v>1.316920183599007E-7</v>
      </c>
      <c r="C640" s="262" t="s">
        <v>617</v>
      </c>
    </row>
    <row r="641" spans="1:3" ht="41.4" x14ac:dyDescent="0.3">
      <c r="A641" s="262" t="s">
        <v>4485</v>
      </c>
      <c r="B641" s="269" t="s">
        <v>4486</v>
      </c>
      <c r="C641" s="262" t="s">
        <v>617</v>
      </c>
    </row>
    <row r="642" spans="1:3" ht="41.4" x14ac:dyDescent="0.3">
      <c r="A642" s="262" t="s">
        <v>4487</v>
      </c>
      <c r="B642" s="269" t="s">
        <v>4488</v>
      </c>
      <c r="C642" s="262" t="s">
        <v>617</v>
      </c>
    </row>
    <row r="643" spans="1:3" ht="41.4" x14ac:dyDescent="0.3">
      <c r="A643" s="262" t="s">
        <v>4489</v>
      </c>
      <c r="B643" s="269" t="s">
        <v>4490</v>
      </c>
      <c r="C643" s="262" t="s">
        <v>617</v>
      </c>
    </row>
    <row r="644" spans="1:3" ht="41.4" x14ac:dyDescent="0.3">
      <c r="A644" s="262" t="s">
        <v>4491</v>
      </c>
      <c r="B644" s="269" t="s">
        <v>4492</v>
      </c>
      <c r="C644" s="262" t="s">
        <v>617</v>
      </c>
    </row>
    <row r="645" spans="1:3" ht="41.4" x14ac:dyDescent="0.3">
      <c r="A645" s="262" t="s">
        <v>4493</v>
      </c>
      <c r="B645" s="269" t="s">
        <v>4494</v>
      </c>
      <c r="C645" s="262" t="s">
        <v>617</v>
      </c>
    </row>
    <row r="646" spans="1:3" ht="15" x14ac:dyDescent="0.3">
      <c r="A646" s="262" t="s">
        <v>4495</v>
      </c>
      <c r="B646" s="263" t="e">
        <f>kdep.A-(GASABSflow.aA.w2A+GASABSflow.aA.sA)/VOLUME.aA-KDEG.aA</f>
        <v>#NAME?</v>
      </c>
      <c r="C646" s="262" t="s">
        <v>617</v>
      </c>
    </row>
    <row r="647" spans="1:3" ht="15" x14ac:dyDescent="0.3">
      <c r="A647" s="262" t="s">
        <v>4496</v>
      </c>
      <c r="B647" s="263" t="e">
        <f>kdep.C-(GASABSflow.aC.w1C+GASABSflow.aC.w2C+GASABSflow.aC.s1C+GASABSflow.aC.s2C+GASABSflow.aC.s3C)/VOLUME.aC-KDEG.aC</f>
        <v>#NAME?</v>
      </c>
      <c r="C647" s="262" t="s">
        <v>617</v>
      </c>
    </row>
    <row r="648" spans="1:3" ht="15" x14ac:dyDescent="0.3">
      <c r="A648" s="262" t="s">
        <v>4497</v>
      </c>
      <c r="B648" s="263" t="e">
        <f>kdep.M-(GASABSflow.aM.w2M+GASABSflow.aM.sM)/VOLUME.aM-KDEG.aM</f>
        <v>#NAME?</v>
      </c>
      <c r="C648" s="262" t="s">
        <v>617</v>
      </c>
    </row>
    <row r="649" spans="1:3" ht="15" x14ac:dyDescent="0.3">
      <c r="A649" s="262" t="s">
        <v>4498</v>
      </c>
      <c r="B649" s="270" t="e">
        <f>kdep.R-(GASABSflow.aR.w1R+GASABSflow.aR.w2R+GASABSflow.aR.s1R+GASABSflow.aR.s2R+GASABSflow.aR.s3R)/SYSTEMAREA.R-KDEG.aR</f>
        <v>#NAME?</v>
      </c>
      <c r="C649" s="262" t="s">
        <v>617</v>
      </c>
    </row>
    <row r="650" spans="1:3" ht="15" x14ac:dyDescent="0.3">
      <c r="A650" s="262" t="s">
        <v>4499</v>
      </c>
      <c r="B650" s="263" t="e">
        <f>kdep.T-(GASABSflow.aT.w2T+GASABSflow.aT.sT)/VOLUME.aT-KDEG.aT</f>
        <v>#NAME?</v>
      </c>
      <c r="C650" s="262" t="s">
        <v>617</v>
      </c>
    </row>
    <row r="651" spans="1:3" ht="15" x14ac:dyDescent="0.3">
      <c r="A651" s="262" t="s">
        <v>2953</v>
      </c>
      <c r="B651" s="263" t="e">
        <f>DRYDEPaerosol.A/HEIGHT.aA + (GASABSflow.aA.w2A+GASABSflow.aA.sA)/VOLUME.aA+KDEG.aA</f>
        <v>#NAME?</v>
      </c>
      <c r="C651" s="262" t="s">
        <v>617</v>
      </c>
    </row>
    <row r="652" spans="1:3" ht="15" x14ac:dyDescent="0.3">
      <c r="A652" s="262" t="s">
        <v>2036</v>
      </c>
      <c r="B652" s="263" t="e">
        <f>DRYDEPaerosol.C/HEIGHT.aC + (GASABSflow.aC.w1C+GASABSflow.aC.w2C+GASABSflow.aC.s1C+GASABSflow.aC.s2C+GASABSflow.aC.s3C)/SYSTEMAREA.C+KDEG.aC</f>
        <v>#NAME?</v>
      </c>
      <c r="C652" s="262" t="s">
        <v>617</v>
      </c>
    </row>
    <row r="653" spans="1:3" ht="15" x14ac:dyDescent="0.3">
      <c r="A653" s="262" t="s">
        <v>2582</v>
      </c>
      <c r="B653" s="263" t="e">
        <f>DRYDEPaerosol.M/HEIGHT.aM + (GASABSflow.aM.w2M+GASABSflow.aM.sM)/VOLUME.aM+KDEG.aM</f>
        <v>#NAME?</v>
      </c>
      <c r="C653" s="262" t="s">
        <v>617</v>
      </c>
    </row>
    <row r="654" spans="1:3" ht="15" x14ac:dyDescent="0.3">
      <c r="A654" s="262" t="s">
        <v>1145</v>
      </c>
      <c r="B654" s="263" t="e">
        <f>DRYDEPaerosol.R/HEIGHT.aR + (GASABSflow.aR.w1R+GASABSflow.aR.w2R+GASABSflow.aR.s1R+GASABSflow.aR.s2R+GASABSflow.aR.s3R)/SYSTEMAREA.R+KDEG.aR</f>
        <v>#NAME?</v>
      </c>
      <c r="C654" s="262" t="s">
        <v>617</v>
      </c>
    </row>
    <row r="655" spans="1:3" ht="15" x14ac:dyDescent="0.3">
      <c r="A655" s="262" t="s">
        <v>3267</v>
      </c>
      <c r="B655" s="263" t="e">
        <f>DRYDEPaerosol.T/HEIGHT.aT + (GASABSflow.aT.w2T+GASABSflow.aT.sT)/VOLUME.aT+KDEG.aT</f>
        <v>#NAME?</v>
      </c>
      <c r="C655" s="262" t="s">
        <v>617</v>
      </c>
    </row>
    <row r="656" spans="1:3" ht="15" x14ac:dyDescent="0.3">
      <c r="A656" s="264" t="s">
        <v>2997</v>
      </c>
      <c r="B656" s="263">
        <f>LN(2)/(60*365*24*3600)</f>
        <v>3.663258818281463E-10</v>
      </c>
      <c r="C656" s="262" t="s">
        <v>617</v>
      </c>
    </row>
    <row r="657" spans="1:3" ht="15" x14ac:dyDescent="0.3">
      <c r="A657" s="264" t="s">
        <v>2118</v>
      </c>
      <c r="B657" s="263">
        <f>LN(2)/(60*365*24*3600)</f>
        <v>3.663258818281463E-10</v>
      </c>
      <c r="C657" s="262" t="s">
        <v>617</v>
      </c>
    </row>
    <row r="658" spans="1:3" ht="15" x14ac:dyDescent="0.3">
      <c r="A658" s="264" t="s">
        <v>2644</v>
      </c>
      <c r="B658" s="263">
        <f>LN(2)/(60*365*24*3600)</f>
        <v>3.663258818281463E-10</v>
      </c>
      <c r="C658" s="262" t="s">
        <v>617</v>
      </c>
    </row>
    <row r="659" spans="1:3" ht="15" x14ac:dyDescent="0.3">
      <c r="A659" s="264" t="s">
        <v>1279</v>
      </c>
      <c r="B659" s="263">
        <f>LN(2)/(60*365*24*3600)</f>
        <v>3.663258818281463E-10</v>
      </c>
      <c r="C659" s="262" t="s">
        <v>617</v>
      </c>
    </row>
    <row r="660" spans="1:3" ht="15" x14ac:dyDescent="0.3">
      <c r="A660" s="264" t="s">
        <v>3308</v>
      </c>
      <c r="B660" s="263">
        <f>LN(2)/(60*365*24*3600)</f>
        <v>3.663258818281463E-10</v>
      </c>
      <c r="C660" s="262" t="s">
        <v>617</v>
      </c>
    </row>
    <row r="661" spans="1:3" x14ac:dyDescent="0.3">
      <c r="A661" s="262" t="s">
        <v>537</v>
      </c>
      <c r="B661" s="266" t="e">
        <f>MEDIAN(substances!#REF!)</f>
        <v>#REF!</v>
      </c>
      <c r="C661" s="262" t="s">
        <v>291</v>
      </c>
    </row>
    <row r="662" spans="1:3" x14ac:dyDescent="0.3">
      <c r="A662" s="262" t="s">
        <v>539</v>
      </c>
      <c r="B662" s="263">
        <f>10^(LOG(Kow)-3.5)</f>
        <v>0.86962635654630471</v>
      </c>
      <c r="C662" s="262" t="s">
        <v>291</v>
      </c>
    </row>
    <row r="663" spans="1:3" x14ac:dyDescent="0.3">
      <c r="A663" s="264" t="s">
        <v>1969</v>
      </c>
      <c r="B663" s="263">
        <f>0.08*D</f>
        <v>220</v>
      </c>
      <c r="C663" s="262" t="s">
        <v>1083</v>
      </c>
    </row>
    <row r="664" spans="1:3" x14ac:dyDescent="0.3">
      <c r="A664" s="264" t="s">
        <v>1082</v>
      </c>
      <c r="B664" s="263">
        <f>0.08*D</f>
        <v>220</v>
      </c>
      <c r="C664" s="262" t="s">
        <v>1083</v>
      </c>
    </row>
    <row r="665" spans="1:3" x14ac:dyDescent="0.3">
      <c r="A665" s="264" t="s">
        <v>1973</v>
      </c>
      <c r="B665" s="263">
        <f>0.08*D</f>
        <v>220</v>
      </c>
      <c r="C665" s="262" t="s">
        <v>1083</v>
      </c>
    </row>
    <row r="666" spans="1:3" x14ac:dyDescent="0.3">
      <c r="A666" s="264" t="s">
        <v>1086</v>
      </c>
      <c r="B666" s="263">
        <f>0.08*D</f>
        <v>220</v>
      </c>
      <c r="C666" s="262" t="s">
        <v>1083</v>
      </c>
    </row>
    <row r="667" spans="1:3" x14ac:dyDescent="0.3">
      <c r="A667" s="264" t="s">
        <v>2935</v>
      </c>
      <c r="B667" s="263"/>
      <c r="C667" s="262" t="s">
        <v>1083</v>
      </c>
    </row>
    <row r="668" spans="1:3" x14ac:dyDescent="0.3">
      <c r="A668" s="264" t="s">
        <v>1977</v>
      </c>
      <c r="B668" s="263">
        <f>0.08*D</f>
        <v>220</v>
      </c>
      <c r="C668" s="262" t="s">
        <v>1083</v>
      </c>
    </row>
    <row r="669" spans="1:3" x14ac:dyDescent="0.3">
      <c r="A669" s="264" t="s">
        <v>2547</v>
      </c>
      <c r="B669" s="263"/>
      <c r="C669" s="262" t="s">
        <v>1083</v>
      </c>
    </row>
    <row r="670" spans="1:3" x14ac:dyDescent="0.3">
      <c r="A670" s="264" t="s">
        <v>1089</v>
      </c>
      <c r="B670" s="263">
        <f>0.08*D</f>
        <v>220</v>
      </c>
      <c r="C670" s="262" t="s">
        <v>1083</v>
      </c>
    </row>
    <row r="671" spans="1:3" x14ac:dyDescent="0.3">
      <c r="A671" s="264" t="s">
        <v>3249</v>
      </c>
      <c r="B671" s="263"/>
      <c r="C671" s="262" t="s">
        <v>1083</v>
      </c>
    </row>
    <row r="672" spans="1:3" x14ac:dyDescent="0.3">
      <c r="A672" s="264" t="s">
        <v>2936</v>
      </c>
      <c r="B672" s="263"/>
      <c r="C672" s="262" t="s">
        <v>1083</v>
      </c>
    </row>
    <row r="673" spans="1:3" x14ac:dyDescent="0.3">
      <c r="A673" s="264" t="s">
        <v>2549</v>
      </c>
      <c r="B673" s="263"/>
      <c r="C673" s="262" t="s">
        <v>1083</v>
      </c>
    </row>
    <row r="674" spans="1:3" x14ac:dyDescent="0.3">
      <c r="A674" s="264" t="s">
        <v>3250</v>
      </c>
      <c r="B674" s="263"/>
      <c r="C674" s="262" t="s">
        <v>1083</v>
      </c>
    </row>
    <row r="675" spans="1:3" x14ac:dyDescent="0.3">
      <c r="A675" s="264" t="s">
        <v>1992</v>
      </c>
      <c r="B675" s="263">
        <f>(FRorig.s1*Ksw+(1-FRorig.s1)*Ksw.alt)*(1000/RHOsolid/CORG)*CORG.s1C</f>
        <v>15.390758470509281</v>
      </c>
      <c r="C675" s="262" t="s">
        <v>1083</v>
      </c>
    </row>
    <row r="676" spans="1:3" ht="15" x14ac:dyDescent="0.3">
      <c r="A676" s="264" t="s">
        <v>1112</v>
      </c>
      <c r="B676" s="263">
        <f>(FRorig.s1*Ksw+(1-FRorig.s1)*Ksw.alt)*(1000/RHOsolid/CORG)*CORG.s1R</f>
        <v>15.390758470509281</v>
      </c>
      <c r="C676" s="262" t="s">
        <v>1077</v>
      </c>
    </row>
    <row r="677" spans="1:3" x14ac:dyDescent="0.3">
      <c r="A677" s="264" t="s">
        <v>1999</v>
      </c>
      <c r="B677" s="263">
        <f>(FRorig.s2*Ksw+(1-FRorig.s2)*Ksw.alt)*(1000/RHOsolid/CORG)*CORG.s2C</f>
        <v>15.390758470509281</v>
      </c>
      <c r="C677" s="262" t="s">
        <v>1083</v>
      </c>
    </row>
    <row r="678" spans="1:3" ht="15" x14ac:dyDescent="0.3">
      <c r="A678" s="264" t="s">
        <v>1119</v>
      </c>
      <c r="B678" s="263">
        <f>(FRorig.s2*Ksw+(1-FRorig.s2)*Ksw.alt)*(1000/RHOsolid/CORG)*CORG.s2R</f>
        <v>15.390758470509281</v>
      </c>
      <c r="C678" s="262" t="s">
        <v>1077</v>
      </c>
    </row>
    <row r="679" spans="1:3" x14ac:dyDescent="0.3">
      <c r="A679" s="264" t="s">
        <v>2006</v>
      </c>
      <c r="B679" s="263">
        <f>(FRorig.s2*Ksw+(1-FRorig.s2)*Ksw.alt)*(1000/RHOsolid/CORG)*CORG.s3C</f>
        <v>15.390758470509281</v>
      </c>
      <c r="C679" s="262" t="s">
        <v>1083</v>
      </c>
    </row>
    <row r="680" spans="1:3" ht="15" x14ac:dyDescent="0.3">
      <c r="A680" s="264" t="s">
        <v>1126</v>
      </c>
      <c r="B680" s="263">
        <f>(FRorig.s3*Ksw+(1-FRorig.s3)*Ksw.alt)*(1000/RHOsolid/CORG)*CORG.s3R</f>
        <v>15.390758470509281</v>
      </c>
      <c r="C680" s="262" t="s">
        <v>1077</v>
      </c>
    </row>
    <row r="681" spans="1:3" ht="15" x14ac:dyDescent="0.3">
      <c r="A681" s="264" t="s">
        <v>2945</v>
      </c>
      <c r="B681" s="263">
        <f>(FRorig.s1*Ksw+(1-FRorig.s1)*Ksw.alt)*(1000/RHOsolid/CORG)*CORG.sA</f>
        <v>15.390758470509281</v>
      </c>
      <c r="C681" s="262" t="s">
        <v>1077</v>
      </c>
    </row>
    <row r="682" spans="1:3" x14ac:dyDescent="0.3">
      <c r="A682" s="264" t="s">
        <v>1982</v>
      </c>
      <c r="B682" s="263">
        <f>(FRorig.sd1*Ksw+(1-FRorig.sd1)*Ksw.alt)*(1000/RHOsolid/CORG)*CORG.sd1C</f>
        <v>38.476896176273208</v>
      </c>
      <c r="C682" s="262" t="s">
        <v>1083</v>
      </c>
    </row>
    <row r="683" spans="1:3" ht="15" x14ac:dyDescent="0.3">
      <c r="A683" s="264" t="s">
        <v>1099</v>
      </c>
      <c r="B683" s="263">
        <f>(FRorig.sd1*Ksw+(1-FRorig.sd1)*Ksw.alt)*(1000/RHOsolid/CORG)*CORG.sd1R</f>
        <v>38.476896176273208</v>
      </c>
      <c r="C683" s="262" t="s">
        <v>1077</v>
      </c>
    </row>
    <row r="684" spans="1:3" x14ac:dyDescent="0.3">
      <c r="A684" s="264" t="s">
        <v>1985</v>
      </c>
      <c r="B684" s="263">
        <f>(FRorig.sd2*Ksw+(1-FRorig.sd2)*Ksw.alt)*(1000/RHOsolid/CORG)*CORG.sd2C</f>
        <v>38.476896176273208</v>
      </c>
      <c r="C684" s="262" t="s">
        <v>1083</v>
      </c>
    </row>
    <row r="685" spans="1:3" ht="15" x14ac:dyDescent="0.3">
      <c r="A685" s="264" t="s">
        <v>1105</v>
      </c>
      <c r="B685" s="263">
        <f>(FRorig.sd2*Ksw+(1-FRorig.sd2)*Ksw.alt)*(1000/RHOsolid/CORG)*CORG.sd2R</f>
        <v>38.476896176273208</v>
      </c>
      <c r="C685" s="262" t="s">
        <v>1077</v>
      </c>
    </row>
    <row r="686" spans="1:3" ht="15" x14ac:dyDescent="0.3">
      <c r="A686" s="264" t="s">
        <v>2940</v>
      </c>
      <c r="B686" s="263">
        <f>(FRorig.sd2*Ksw+(1-FRorig.sd2)*Ksw.alt)*(1000/RHOsolid/CORG)*CORG.sdA</f>
        <v>38.476896176273208</v>
      </c>
      <c r="C686" s="262" t="s">
        <v>1077</v>
      </c>
    </row>
    <row r="687" spans="1:3" ht="15" x14ac:dyDescent="0.3">
      <c r="A687" s="264" t="s">
        <v>2556</v>
      </c>
      <c r="B687" s="263">
        <f>(FRorig.sd2*Ksw+(1-FRorig.sd2)*Ksw.alt)*(1000/RHOsolid/CORG)*CORG.sdM</f>
        <v>38.476896176273208</v>
      </c>
      <c r="C687" s="262" t="s">
        <v>1077</v>
      </c>
    </row>
    <row r="688" spans="1:3" ht="15" x14ac:dyDescent="0.3">
      <c r="A688" s="264" t="s">
        <v>3254</v>
      </c>
      <c r="B688" s="263">
        <f>(FRorig.sd2*Ksw+(1-FRorig.sd2)*Ksw.alt)*(1000/RHOsolid/CORG)*CORG.sdT</f>
        <v>38.476896176273208</v>
      </c>
      <c r="C688" s="262" t="s">
        <v>1077</v>
      </c>
    </row>
    <row r="689" spans="1:3" ht="15" x14ac:dyDescent="0.3">
      <c r="A689" s="264" t="s">
        <v>2566</v>
      </c>
      <c r="B689" s="263">
        <f>(FRorig.s1*Ksw+(1-FRorig.s1)*Ksw.alt)*(1000/RHOsolid/CORG)*CORG.sM</f>
        <v>15.390758470509281</v>
      </c>
      <c r="C689" s="262" t="s">
        <v>1077</v>
      </c>
    </row>
    <row r="690" spans="1:3" ht="15" x14ac:dyDescent="0.3">
      <c r="A690" s="264" t="s">
        <v>3259</v>
      </c>
      <c r="B690" s="263">
        <f>(FRorig.s1*Ksw+(1-FRorig.s1)*Ksw.alt)*(1000/RHOsolid/CORG)*CORG.sT</f>
        <v>15.390758470509281</v>
      </c>
      <c r="C690" s="262" t="s">
        <v>1077</v>
      </c>
    </row>
    <row r="691" spans="1:3" ht="15" x14ac:dyDescent="0.3">
      <c r="A691" s="264" t="s">
        <v>1967</v>
      </c>
      <c r="B691" s="263">
        <f>(FRorig.w1*Ksw+(1-FRorig.w1)*Ksw.alt)*(1000/RHOsolid/CORG)*CORG.susp0C</f>
        <v>76.953792352546415</v>
      </c>
      <c r="C691" s="262" t="s">
        <v>1077</v>
      </c>
    </row>
    <row r="692" spans="1:3" ht="15" x14ac:dyDescent="0.3">
      <c r="A692" s="264" t="s">
        <v>1076</v>
      </c>
      <c r="B692" s="263">
        <f>(FRorig.w1*Ksw+(1-FRorig.w1)*Ksw.alt)*(1000/RHOsolid/CORG)*CORG.susp0R</f>
        <v>76.953792352546415</v>
      </c>
      <c r="C692" s="262" t="s">
        <v>1077</v>
      </c>
    </row>
    <row r="693" spans="1:3" x14ac:dyDescent="0.3">
      <c r="A693" s="264" t="s">
        <v>1971</v>
      </c>
      <c r="B693" s="263">
        <f>(FRorig.w1*Ksw+(1-FRorig.w1)*Ksw.alt)*(1000/RHOsolid/CORG)*CORG.susp1C</f>
        <v>76.953792352546415</v>
      </c>
      <c r="C693" s="262" t="s">
        <v>1083</v>
      </c>
    </row>
    <row r="694" spans="1:3" ht="15" x14ac:dyDescent="0.3">
      <c r="A694" s="264" t="s">
        <v>1084</v>
      </c>
      <c r="B694" s="263">
        <f>(FRorig.w1*Ksw+(1-FRorig.w1)*Ksw.alt)*(1000/RHOsolid/CORG)*CORG.susp1R</f>
        <v>76.953792352546415</v>
      </c>
      <c r="C694" s="262" t="s">
        <v>1077</v>
      </c>
    </row>
    <row r="695" spans="1:3" ht="15" x14ac:dyDescent="0.3">
      <c r="A695" s="264" t="s">
        <v>2929</v>
      </c>
      <c r="B695" s="263">
        <f>(FRorig.w2*Ksw+(1-FRorig.w2)*Ksw.alt)*(1000/RHOsolid/CORG)*CORG.susp2A</f>
        <v>76.953792352546415</v>
      </c>
      <c r="C695" s="262" t="s">
        <v>1077</v>
      </c>
    </row>
    <row r="696" spans="1:3" x14ac:dyDescent="0.3">
      <c r="A696" s="264" t="s">
        <v>1975</v>
      </c>
      <c r="B696" s="263">
        <f>(FRorig.w2*Ksw+(1-FRorig.w2)*Ksw.alt)*(1000/RHOsolid/CORG)*CORG.susp2C</f>
        <v>76.953792352546415</v>
      </c>
      <c r="C696" s="262" t="s">
        <v>1083</v>
      </c>
    </row>
    <row r="697" spans="1:3" ht="15" x14ac:dyDescent="0.3">
      <c r="A697" s="264" t="s">
        <v>2538</v>
      </c>
      <c r="B697" s="263">
        <f>(FRorig.w2*Ksw+(1-FRorig.w2)*Ksw.alt)*(1000/RHOsolid/CORG)*CORG.susp2M</f>
        <v>76.953792352546415</v>
      </c>
      <c r="C697" s="262" t="s">
        <v>1077</v>
      </c>
    </row>
    <row r="698" spans="1:3" ht="15" x14ac:dyDescent="0.3">
      <c r="A698" s="264" t="s">
        <v>1087</v>
      </c>
      <c r="B698" s="263">
        <f>(FRorig.w2*Ksw+(1-FRorig.w2)*Ksw.alt)*(1000/RHOsolid/CORG)*CORG.susp2R</f>
        <v>76.953792352546415</v>
      </c>
      <c r="C698" s="262" t="s">
        <v>1077</v>
      </c>
    </row>
    <row r="699" spans="1:3" ht="15" x14ac:dyDescent="0.3">
      <c r="A699" s="264" t="s">
        <v>3243</v>
      </c>
      <c r="B699" s="263">
        <f>(FRorig.w2*Ksw+(1-FRorig.w2)*Ksw.alt)*(1000/RHOsolid/CORG)*CORG.susp2T</f>
        <v>76.953792352546415</v>
      </c>
      <c r="C699" s="262" t="s">
        <v>1077</v>
      </c>
    </row>
    <row r="700" spans="1:3" ht="15" x14ac:dyDescent="0.3">
      <c r="A700" s="264" t="s">
        <v>2930</v>
      </c>
      <c r="B700" s="263">
        <f>(FRorig.w2*Ksw+(1-FRorig.w2)*Ksw.alt)*(1000/RHOsolid/CORG)*CORG.susp3A</f>
        <v>76.953792352546415</v>
      </c>
      <c r="C700" s="262" t="s">
        <v>1077</v>
      </c>
    </row>
    <row r="701" spans="1:3" ht="15" x14ac:dyDescent="0.3">
      <c r="A701" s="264" t="s">
        <v>2540</v>
      </c>
      <c r="B701" s="263">
        <f>(FRorig.w2*Ksw+(1-FRorig.w2)*Ksw.alt)*(1000/RHOsolid/CORG)*CORG.susp3M</f>
        <v>76.953792352546415</v>
      </c>
      <c r="C701" s="262" t="s">
        <v>1078</v>
      </c>
    </row>
    <row r="702" spans="1:3" ht="15" x14ac:dyDescent="0.3">
      <c r="A702" s="264" t="s">
        <v>3244</v>
      </c>
      <c r="B702" s="263">
        <f>(FRorig.w2*Ksw+(1-FRorig.w2)*Ksw.alt)*(1000/RHOsolid/CORG)*CORG.susp3T</f>
        <v>76.953792352546415</v>
      </c>
      <c r="C702" s="262" t="s">
        <v>1077</v>
      </c>
    </row>
    <row r="703" spans="1:3" x14ac:dyDescent="0.3">
      <c r="A703" s="264" t="s">
        <v>1987</v>
      </c>
      <c r="B703" s="263">
        <f>FRACa.s1C*(Kaw.C*FRorig.s1w)+FRACw.s1C+FRACs.s1C*Kp.s1C*RHOsolid/1000</f>
        <v>23.304108643447179</v>
      </c>
      <c r="C703" s="262" t="s">
        <v>291</v>
      </c>
    </row>
    <row r="704" spans="1:3" x14ac:dyDescent="0.3">
      <c r="A704" s="264" t="s">
        <v>1109</v>
      </c>
      <c r="B704" s="263">
        <v>28500.200000000004</v>
      </c>
      <c r="C704" s="262" t="s">
        <v>291</v>
      </c>
    </row>
    <row r="705" spans="1:3" x14ac:dyDescent="0.3">
      <c r="A705" s="264" t="s">
        <v>1994</v>
      </c>
      <c r="B705" s="263">
        <f>FRACa.s2C*(Kaw.C*FRorig.s2w)+FRACw.s2C+FRACs.s2C*Kp.s2C*RHOsolid/1000</f>
        <v>23.304108643447179</v>
      </c>
      <c r="C705" s="262" t="s">
        <v>291</v>
      </c>
    </row>
    <row r="706" spans="1:3" x14ac:dyDescent="0.3">
      <c r="A706" s="264" t="s">
        <v>1116</v>
      </c>
      <c r="B706" s="263">
        <v>28500.200000000004</v>
      </c>
      <c r="C706" s="262" t="s">
        <v>291</v>
      </c>
    </row>
    <row r="707" spans="1:3" x14ac:dyDescent="0.3">
      <c r="A707" s="264" t="s">
        <v>2001</v>
      </c>
      <c r="B707" s="263">
        <f>FRACa.s3C*(Kaw.C*FRorig.s3w)+FRACw.s3C+FRACs.s3C*Kp.s3C*RHOsolid/1000</f>
        <v>23.304108643447179</v>
      </c>
      <c r="C707" s="262" t="s">
        <v>291</v>
      </c>
    </row>
    <row r="708" spans="1:3" x14ac:dyDescent="0.3">
      <c r="A708" s="264" t="s">
        <v>1123</v>
      </c>
      <c r="B708" s="263">
        <v>28500.200000000004</v>
      </c>
      <c r="C708" s="262" t="s">
        <v>291</v>
      </c>
    </row>
    <row r="709" spans="1:3" x14ac:dyDescent="0.3">
      <c r="A709" s="264" t="s">
        <v>2939</v>
      </c>
      <c r="B709" s="263">
        <f>FRACw.sdA+FRACs.sdA*Kp.sdA*RHOsolid/1000</f>
        <v>20.038448088136601</v>
      </c>
      <c r="C709" s="262" t="s">
        <v>291</v>
      </c>
    </row>
    <row r="710" spans="1:3" x14ac:dyDescent="0.3">
      <c r="A710" s="264" t="s">
        <v>2554</v>
      </c>
      <c r="B710" s="263">
        <f>FRACw.sdM+FRACs.sdM*Kp.sdM*RHOsolid/1000</f>
        <v>20.038448088136601</v>
      </c>
      <c r="C710" s="262" t="s">
        <v>291</v>
      </c>
    </row>
    <row r="711" spans="1:3" x14ac:dyDescent="0.3">
      <c r="A711" s="264" t="s">
        <v>3253</v>
      </c>
      <c r="B711" s="263">
        <f>FRACw.sdT+FRACs.sdT*Kp.sdT*RHOsolid/1000</f>
        <v>20.038448088136601</v>
      </c>
      <c r="C711" s="262" t="s">
        <v>291</v>
      </c>
    </row>
    <row r="712" spans="1:3" x14ac:dyDescent="0.3">
      <c r="A712" s="264" t="s">
        <v>1981</v>
      </c>
      <c r="B712" s="263">
        <f>FRACw.sdC+FRACs.sdC*Kp.sd1C*RHOsolid/1000</f>
        <v>20.038448088136601</v>
      </c>
      <c r="C712" s="262" t="s">
        <v>291</v>
      </c>
    </row>
    <row r="713" spans="1:3" x14ac:dyDescent="0.3">
      <c r="A713" s="264" t="s">
        <v>1097</v>
      </c>
      <c r="B713" s="270">
        <f>FRACw.sdR+FRACs.sdR*Kp.sd1R*RHOsolid/1000</f>
        <v>20.038448088136601</v>
      </c>
      <c r="C713" s="262" t="s">
        <v>291</v>
      </c>
    </row>
    <row r="714" spans="1:3" x14ac:dyDescent="0.3">
      <c r="A714" s="264" t="s">
        <v>1984</v>
      </c>
      <c r="B714" s="263">
        <f>FRACw.sdC+FRACs.sdC*Kp.sd2C*RHOsolid/1000</f>
        <v>20.038448088136601</v>
      </c>
      <c r="C714" s="262" t="s">
        <v>291</v>
      </c>
    </row>
    <row r="715" spans="1:3" x14ac:dyDescent="0.3">
      <c r="A715" s="264" t="s">
        <v>1103</v>
      </c>
      <c r="B715" s="263">
        <f>FRACw.sdR+FRACs.sdR*Kp.sd2R*RHOsolid/1000</f>
        <v>20.038448088136601</v>
      </c>
      <c r="C715" s="262" t="s">
        <v>291</v>
      </c>
    </row>
    <row r="716" spans="1:3" x14ac:dyDescent="0.3">
      <c r="A716" s="264" t="s">
        <v>2942</v>
      </c>
      <c r="B716" s="263">
        <f>FRACa.sA*(Kaw.A*FRorig.s1w)+FRACw.sA+FRACs.sA*Kp.sA*RHOsolid/1000</f>
        <v>23.291443049929764</v>
      </c>
      <c r="C716" s="262" t="s">
        <v>291</v>
      </c>
    </row>
    <row r="717" spans="1:3" x14ac:dyDescent="0.3">
      <c r="A717" s="264" t="s">
        <v>2560</v>
      </c>
      <c r="B717" s="263">
        <f>FRACa.sM*(Kaw.M*FRorig.s1w)+FRACw.sM+FRACs.sM*Kp.sM*RHOsolid/1000</f>
        <v>23.304108643447179</v>
      </c>
      <c r="C717" s="262" t="s">
        <v>291</v>
      </c>
    </row>
    <row r="718" spans="1:3" x14ac:dyDescent="0.3">
      <c r="A718" s="264" t="s">
        <v>3256</v>
      </c>
      <c r="B718" s="263">
        <f>FRACa.sT*(Kaw.T*FRorig.s1w)+FRACw.sT+FRACs.sT*Kp.sT*RHOsolid/1000</f>
        <v>23.320000164238103</v>
      </c>
      <c r="C718" s="262" t="s">
        <v>291</v>
      </c>
    </row>
    <row r="719" spans="1:3" x14ac:dyDescent="0.3">
      <c r="A719" s="264" t="s">
        <v>530</v>
      </c>
      <c r="B719" s="266">
        <f>(VLOOKUP(ChemClass,QSARtable,6,FALSE))*CORG*RHOsolid/1000</f>
        <v>0</v>
      </c>
      <c r="C719" s="262" t="s">
        <v>291</v>
      </c>
    </row>
    <row r="720" spans="1:3" x14ac:dyDescent="0.3">
      <c r="A720" s="264" t="s">
        <v>533</v>
      </c>
      <c r="B720" s="266">
        <f>(VLOOKUP(ChemClass,QSARtable,7,FALSE))*CORG*RHOsolid/1000</f>
        <v>38.4768961762732</v>
      </c>
      <c r="C720" s="262" t="s">
        <v>291</v>
      </c>
    </row>
    <row r="721" spans="1:3" ht="15" x14ac:dyDescent="0.3">
      <c r="A721" s="262" t="s">
        <v>2954</v>
      </c>
      <c r="B721" s="263" t="e">
        <f>(AerosolWashout.A+GasWashout.A)/HEIGHT.aA + (GASABSflow.aA.w2A+GASABSflow.aA.sA)/VOLUME.aA+KDEG.aA</f>
        <v>#NAME?</v>
      </c>
      <c r="C721" s="262" t="s">
        <v>617</v>
      </c>
    </row>
    <row r="722" spans="1:3" ht="15" x14ac:dyDescent="0.3">
      <c r="A722" s="262" t="s">
        <v>2038</v>
      </c>
      <c r="B722" s="263" t="e">
        <f>(AerosolWashout.C+GasWashout.C)/HEIGHT.aC + (GASABSflow.aC.w1C+GASABSflow.aC.w2C+GASABSflow.aC.s1C+GASABSflow.aC.s2C+GASABSflow.aC.s3C)/SYSTEMAREA.C+KDEG.aC</f>
        <v>#NAME?</v>
      </c>
      <c r="C722" s="262" t="s">
        <v>617</v>
      </c>
    </row>
    <row r="723" spans="1:3" ht="15" x14ac:dyDescent="0.3">
      <c r="A723" s="262" t="s">
        <v>2584</v>
      </c>
      <c r="B723" s="263" t="e">
        <f>(AerosolWashout.M+GasWashout.M)/HEIGHT.aM + (GASABSflow.aM.w2M+GASABSflow.aM.sM)/VOLUME.aM+KDEG.aM</f>
        <v>#NAME?</v>
      </c>
      <c r="C723" s="262" t="s">
        <v>617</v>
      </c>
    </row>
    <row r="724" spans="1:3" ht="15" x14ac:dyDescent="0.3">
      <c r="A724" s="262" t="s">
        <v>1147</v>
      </c>
      <c r="B724" s="263" t="e">
        <v>#NAME?</v>
      </c>
      <c r="C724" s="262" t="s">
        <v>617</v>
      </c>
    </row>
    <row r="725" spans="1:3" ht="15" x14ac:dyDescent="0.3">
      <c r="A725" s="262" t="s">
        <v>3268</v>
      </c>
      <c r="B725" s="263" t="e">
        <f>(AerosolWashout.T+GasWashout.T)/HEIGHT.aT + (GASABSflow.aT.w2T+GASABSflow.aT.sT)/VOLUME.aT+KDEG.aT</f>
        <v>#NAME?</v>
      </c>
      <c r="C725" s="262" t="s">
        <v>617</v>
      </c>
    </row>
    <row r="726" spans="1:3" ht="15" x14ac:dyDescent="0.3">
      <c r="A726" s="266" t="s">
        <v>2986</v>
      </c>
      <c r="B726" s="266">
        <v>2.7779999999999998E-8</v>
      </c>
      <c r="C726" s="265" t="s">
        <v>1155</v>
      </c>
    </row>
    <row r="727" spans="1:3" ht="15" x14ac:dyDescent="0.3">
      <c r="A727" s="266" t="s">
        <v>2092</v>
      </c>
      <c r="B727" s="266">
        <v>2.7779999999999998E-8</v>
      </c>
      <c r="C727" s="264" t="s">
        <v>1155</v>
      </c>
    </row>
    <row r="728" spans="1:3" ht="15" x14ac:dyDescent="0.3">
      <c r="A728" s="266" t="s">
        <v>2628</v>
      </c>
      <c r="B728" s="266">
        <v>2.7779999999999998E-8</v>
      </c>
      <c r="C728" s="265" t="s">
        <v>1155</v>
      </c>
    </row>
    <row r="729" spans="1:3" ht="15" x14ac:dyDescent="0.3">
      <c r="A729" s="266" t="s">
        <v>1247</v>
      </c>
      <c r="B729" s="263">
        <v>2.7780000000000001E-8</v>
      </c>
      <c r="C729" s="264" t="s">
        <v>1155</v>
      </c>
    </row>
    <row r="730" spans="1:3" ht="15" x14ac:dyDescent="0.3">
      <c r="A730" s="266" t="s">
        <v>3298</v>
      </c>
      <c r="B730" s="266">
        <v>2.7779999999999998E-8</v>
      </c>
      <c r="C730" s="265" t="s">
        <v>1155</v>
      </c>
    </row>
    <row r="731" spans="1:3" ht="15" x14ac:dyDescent="0.3">
      <c r="A731" s="266" t="s">
        <v>2985</v>
      </c>
      <c r="B731" s="266">
        <v>2.7779999999999999E-6</v>
      </c>
      <c r="C731" s="265" t="s">
        <v>1155</v>
      </c>
    </row>
    <row r="732" spans="1:3" ht="15" x14ac:dyDescent="0.3">
      <c r="A732" s="266" t="s">
        <v>2091</v>
      </c>
      <c r="B732" s="266">
        <v>2.7779999999999999E-6</v>
      </c>
      <c r="C732" s="264" t="s">
        <v>1155</v>
      </c>
    </row>
    <row r="733" spans="1:3" ht="15" x14ac:dyDescent="0.3">
      <c r="A733" s="266" t="s">
        <v>2627</v>
      </c>
      <c r="B733" s="266">
        <v>2.7779999999999999E-6</v>
      </c>
      <c r="C733" s="265" t="s">
        <v>1155</v>
      </c>
    </row>
    <row r="734" spans="1:3" ht="15" x14ac:dyDescent="0.3">
      <c r="A734" s="266" t="s">
        <v>1245</v>
      </c>
      <c r="B734" s="263">
        <v>2.7779999999999999E-6</v>
      </c>
      <c r="C734" s="264" t="s">
        <v>1155</v>
      </c>
    </row>
    <row r="735" spans="1:3" ht="15" x14ac:dyDescent="0.3">
      <c r="A735" s="266" t="s">
        <v>3297</v>
      </c>
      <c r="B735" s="266">
        <v>2.7779999999999999E-6</v>
      </c>
      <c r="C735" s="265" t="s">
        <v>1155</v>
      </c>
    </row>
    <row r="736" spans="1:3" ht="15" x14ac:dyDescent="0.3">
      <c r="A736" s="262" t="s">
        <v>4500</v>
      </c>
      <c r="B736" s="263">
        <f>FRACinf.s1C*RAINrate.C/Ks1w.C*SYSTEMAREA.C*AREAFRAC.s1C*CORRleach.s1C</f>
        <v>1.9189199429198198</v>
      </c>
      <c r="C736" s="262" t="s">
        <v>1055</v>
      </c>
    </row>
    <row r="737" spans="1:3" ht="15" x14ac:dyDescent="0.3">
      <c r="A737" s="262" t="s">
        <v>4501</v>
      </c>
      <c r="B737" s="263">
        <f>FRACinf.s1R*RAINrate.R/Ks1w.R*SYSTEMAREA.R*AREAFRAC.s1R*CORRleach.s1R</f>
        <v>0.12582549151802239</v>
      </c>
      <c r="C737" s="262" t="s">
        <v>1055</v>
      </c>
    </row>
    <row r="738" spans="1:3" ht="15" x14ac:dyDescent="0.3">
      <c r="A738" s="262" t="s">
        <v>4502</v>
      </c>
      <c r="B738" s="263">
        <f>FRACinf.s2C*RAINrate.C/Ks2w.C*SYSTEMAREA.C*AREAFRAC.s2C*CORRleach.s2C</f>
        <v>7.7618901740954183</v>
      </c>
      <c r="C738" s="262" t="s">
        <v>1055</v>
      </c>
    </row>
    <row r="739" spans="1:3" ht="15" x14ac:dyDescent="0.3">
      <c r="A739" s="262" t="s">
        <v>4503</v>
      </c>
      <c r="B739" s="263">
        <f>FRACinf.s2R*RAINrate.R/Ks2w.R*SYSTEMAREA.R*AREAFRAC.s2R*CORRleach.s2R</f>
        <v>0.50895486800684753</v>
      </c>
      <c r="C739" s="262" t="s">
        <v>1055</v>
      </c>
    </row>
    <row r="740" spans="1:3" ht="15" x14ac:dyDescent="0.3">
      <c r="A740" s="262" t="s">
        <v>4504</v>
      </c>
      <c r="B740" s="263">
        <f>FRACinf.s3C*RAINrate.C/Ks3w.C*SYSTEMAREA.C*AREAFRAC.s3C*CORRleach.s3C</f>
        <v>0.71071108997030341</v>
      </c>
      <c r="C740" s="262" t="s">
        <v>1055</v>
      </c>
    </row>
    <row r="741" spans="1:3" ht="15" x14ac:dyDescent="0.3">
      <c r="A741" s="262" t="s">
        <v>4505</v>
      </c>
      <c r="B741" s="263">
        <f>FRACinf.s3R*RAINrate.R/Ks3w.R*SYSTEMAREA.R*AREAFRAC.s3R*CORRleach.s3R</f>
        <v>4.6602033895563839E-2</v>
      </c>
      <c r="C741" s="262" t="s">
        <v>1055</v>
      </c>
    </row>
    <row r="742" spans="1:3" ht="15" x14ac:dyDescent="0.3">
      <c r="A742" s="262" t="s">
        <v>4506</v>
      </c>
      <c r="B742" s="263">
        <f>FRACinf.sA*RAINrate.A/Kslw.A*SYSTEMAREA.A*AREAFRAC.sA*CORRleach.sA</f>
        <v>12.385474025053155</v>
      </c>
      <c r="C742" s="262" t="s">
        <v>1055</v>
      </c>
    </row>
    <row r="743" spans="1:3" ht="15" x14ac:dyDescent="0.3">
      <c r="A743" s="262" t="s">
        <v>4507</v>
      </c>
      <c r="B743" s="270">
        <f>FRACinf.sM*RAINrate.M/Kslw.M*SYSTEMAREA.M*AREAFRAC.sM*CORRleach.sM</f>
        <v>79.078067105894988</v>
      </c>
      <c r="C743" s="262" t="s">
        <v>1055</v>
      </c>
    </row>
    <row r="744" spans="1:3" ht="15" x14ac:dyDescent="0.3">
      <c r="A744" s="262" t="s">
        <v>4508</v>
      </c>
      <c r="B744" s="263">
        <f>FRACinf.sT*RAINrate.T/Kslw.T*SYSTEMAREA.T*AREAFRAC.sT*CORRleach.sT</f>
        <v>144.73259271741165</v>
      </c>
      <c r="C744" s="262" t="s">
        <v>1055</v>
      </c>
    </row>
    <row r="745" spans="1:3" ht="15" x14ac:dyDescent="0.3">
      <c r="A745" s="266" t="s">
        <v>2971</v>
      </c>
      <c r="B745" s="263">
        <f>0.43/(24*3600)/0.00475</f>
        <v>1.0477582846003899E-3</v>
      </c>
      <c r="C745" s="265" t="s">
        <v>1155</v>
      </c>
    </row>
    <row r="746" spans="1:3" ht="15" x14ac:dyDescent="0.3">
      <c r="A746" s="266" t="s">
        <v>4509</v>
      </c>
      <c r="B746" s="263">
        <f>0.43/(24*3600)/0.00475</f>
        <v>1.0477582846003899E-3</v>
      </c>
      <c r="C746" s="264" t="s">
        <v>1155</v>
      </c>
    </row>
    <row r="747" spans="1:3" ht="15" x14ac:dyDescent="0.3">
      <c r="A747" s="266" t="s">
        <v>2605</v>
      </c>
      <c r="B747" s="263">
        <f>0.43/(24*3600)/0.00475</f>
        <v>1.0477582846003899E-3</v>
      </c>
      <c r="C747" s="265" t="s">
        <v>1155</v>
      </c>
    </row>
    <row r="748" spans="1:3" ht="15" x14ac:dyDescent="0.3">
      <c r="A748" s="266" t="s">
        <v>1182</v>
      </c>
      <c r="B748" s="263">
        <f>0.43/(24*3600)/0.00475</f>
        <v>1.0477582846003899E-3</v>
      </c>
      <c r="C748" s="264" t="s">
        <v>1155</v>
      </c>
    </row>
    <row r="749" spans="1:3" ht="15" x14ac:dyDescent="0.3">
      <c r="A749" s="266" t="s">
        <v>3284</v>
      </c>
      <c r="B749" s="263">
        <f>0.43/(24*3600)/0.00475</f>
        <v>1.0477582846003899E-3</v>
      </c>
      <c r="C749" s="265" t="s">
        <v>1155</v>
      </c>
    </row>
    <row r="750" spans="1:3" ht="15" x14ac:dyDescent="0.3">
      <c r="A750" s="266" t="s">
        <v>2972</v>
      </c>
      <c r="B750" s="263">
        <f>0.1*KDEG.sA</f>
        <v>9.4575531983700746E-10</v>
      </c>
      <c r="C750" s="264" t="s">
        <v>1155</v>
      </c>
    </row>
    <row r="751" spans="1:3" ht="15" x14ac:dyDescent="0.3">
      <c r="A751" s="266" t="s">
        <v>4510</v>
      </c>
      <c r="B751" s="268">
        <f>0.1*KDEG.s1C</f>
        <v>4.3455503205058606E-9</v>
      </c>
      <c r="C751" s="264" t="s">
        <v>1155</v>
      </c>
    </row>
    <row r="752" spans="1:3" ht="15" x14ac:dyDescent="0.3">
      <c r="A752" s="266" t="s">
        <v>2606</v>
      </c>
      <c r="B752" s="263">
        <f>0.1*KDEG.sM</f>
        <v>4.3455503205058606E-9</v>
      </c>
      <c r="C752" s="264" t="s">
        <v>1155</v>
      </c>
    </row>
    <row r="753" spans="1:3" ht="15" x14ac:dyDescent="0.3">
      <c r="A753" s="266" t="s">
        <v>1184</v>
      </c>
      <c r="B753" s="263">
        <f>0.1*KDEG.s1R</f>
        <v>4.3455503205058606E-9</v>
      </c>
      <c r="C753" s="264" t="s">
        <v>1155</v>
      </c>
    </row>
    <row r="754" spans="1:3" ht="15" x14ac:dyDescent="0.3">
      <c r="A754" s="266" t="s">
        <v>3285</v>
      </c>
      <c r="B754" s="263">
        <f>0.1*KDEG.sT</f>
        <v>1.0700000000000002E-8</v>
      </c>
      <c r="C754" s="264" t="s">
        <v>1155</v>
      </c>
    </row>
    <row r="755" spans="1:3" ht="15" x14ac:dyDescent="0.3">
      <c r="A755" s="266" t="s">
        <v>2968</v>
      </c>
      <c r="B755" s="263">
        <f>0.01*(0.3+0.2*WINDspeed.A)*((0.018/Molweight)^(0.67*0.5))</f>
        <v>4.4535618852450994E-3</v>
      </c>
      <c r="C755" s="265" t="s">
        <v>1155</v>
      </c>
    </row>
    <row r="756" spans="1:3" ht="15" x14ac:dyDescent="0.3">
      <c r="A756" s="266" t="s">
        <v>4511</v>
      </c>
      <c r="B756" s="263">
        <f>0.01*(0.3+0.2*WINDspeed.C)*((0.018/Molweight)^(0.67*0.5))</f>
        <v>4.4535618852450994E-3</v>
      </c>
      <c r="C756" s="264" t="s">
        <v>1155</v>
      </c>
    </row>
    <row r="757" spans="1:3" ht="15" x14ac:dyDescent="0.3">
      <c r="A757" s="266" t="s">
        <v>2601</v>
      </c>
      <c r="B757" s="263">
        <f>0.01*(0.3+0.2*WINDspeed.M)*((0.018/Molweight)^(0.67*0.5))</f>
        <v>4.4535618852450994E-3</v>
      </c>
      <c r="C757" s="265" t="s">
        <v>1155</v>
      </c>
    </row>
    <row r="758" spans="1:3" ht="15" x14ac:dyDescent="0.3">
      <c r="A758" s="266" t="s">
        <v>1175</v>
      </c>
      <c r="B758" s="263">
        <f>0.01*(0.3+0.2*WINDspeed.R)*((0.018/Molweight)^(0.67*0.5))</f>
        <v>4.4535618852450994E-3</v>
      </c>
      <c r="C758" s="264" t="s">
        <v>1155</v>
      </c>
    </row>
    <row r="759" spans="1:3" ht="15" x14ac:dyDescent="0.3">
      <c r="A759" s="266" t="s">
        <v>3281</v>
      </c>
      <c r="B759" s="263">
        <f>0.01*(0.3+0.2*WINDspeed.T)*((0.018/Molweight)^(0.67*0.5))</f>
        <v>4.4535618852450994E-3</v>
      </c>
      <c r="C759" s="265" t="s">
        <v>1155</v>
      </c>
    </row>
    <row r="760" spans="1:3" ht="15" x14ac:dyDescent="0.3">
      <c r="A760" s="266" t="s">
        <v>2969</v>
      </c>
      <c r="B760" s="263">
        <f>0.01*(0.0004+0.00004*WINDspeed.A^2)*((0.032/Molweight)^(0.5*0.5))</f>
        <v>5.191247717588049E-6</v>
      </c>
      <c r="C760" s="265" t="s">
        <v>1155</v>
      </c>
    </row>
    <row r="761" spans="1:3" ht="15" x14ac:dyDescent="0.3">
      <c r="A761" s="266" t="s">
        <v>4512</v>
      </c>
      <c r="B761" s="263">
        <f>0.01*(0.0004+0.00004*WINDspeed.C^2)*((0.032/Molweight)^(0.5*0.5))</f>
        <v>5.191247717588049E-6</v>
      </c>
      <c r="C761" s="264" t="s">
        <v>1155</v>
      </c>
    </row>
    <row r="762" spans="1:3" ht="15" x14ac:dyDescent="0.3">
      <c r="A762" s="266" t="s">
        <v>2602</v>
      </c>
      <c r="B762" s="263">
        <f>0.01*(0.0004+0.00004*WINDspeed.M^2)*((0.032/Molweight)^(0.5*0.5))</f>
        <v>5.191247717588049E-6</v>
      </c>
      <c r="C762" s="265" t="s">
        <v>1155</v>
      </c>
    </row>
    <row r="763" spans="1:3" ht="15" x14ac:dyDescent="0.3">
      <c r="A763" s="266" t="s">
        <v>1177</v>
      </c>
      <c r="B763" s="263">
        <f>0.01*(0.0004+0.00004*WINDspeed.R^2)*((0.032/Molweight)^(0.5*0.5))</f>
        <v>5.191247717588049E-6</v>
      </c>
      <c r="C763" s="264" t="s">
        <v>1155</v>
      </c>
    </row>
    <row r="764" spans="1:3" ht="15" x14ac:dyDescent="0.3">
      <c r="A764" s="266" t="s">
        <v>3282</v>
      </c>
      <c r="B764" s="263">
        <f>0.01*(0.0004+0.00004*WINDspeed.T^2)*((0.032/Molweight)^(0.5*0.5))</f>
        <v>5.191247717588049E-6</v>
      </c>
      <c r="C764" s="265" t="s">
        <v>1155</v>
      </c>
    </row>
    <row r="765" spans="1:3" ht="15" x14ac:dyDescent="0.3">
      <c r="A765" s="264" t="s">
        <v>2083</v>
      </c>
      <c r="B765" s="263">
        <v>8.6226851854606775E-11</v>
      </c>
      <c r="C765" s="264" t="s">
        <v>1155</v>
      </c>
    </row>
    <row r="766" spans="1:3" ht="15" x14ac:dyDescent="0.3">
      <c r="A766" s="264" t="s">
        <v>1226</v>
      </c>
      <c r="B766" s="263">
        <v>8.6861047691527155E-11</v>
      </c>
      <c r="C766" s="264" t="s">
        <v>1155</v>
      </c>
    </row>
    <row r="767" spans="1:3" ht="15" x14ac:dyDescent="0.3">
      <c r="A767" s="264" t="s">
        <v>2084</v>
      </c>
      <c r="B767" s="263">
        <v>0</v>
      </c>
      <c r="C767" s="264" t="s">
        <v>1155</v>
      </c>
    </row>
    <row r="768" spans="1:3" ht="15" x14ac:dyDescent="0.3">
      <c r="A768" s="264" t="s">
        <v>1229</v>
      </c>
      <c r="B768" s="263">
        <v>2.7428797247595103E-11</v>
      </c>
      <c r="C768" s="264" t="s">
        <v>1155</v>
      </c>
    </row>
    <row r="769" spans="1:3" ht="15" x14ac:dyDescent="0.3">
      <c r="A769" s="264" t="s">
        <v>2980</v>
      </c>
      <c r="B769" s="263">
        <v>6.3419583967528499E-14</v>
      </c>
      <c r="C769" s="265" t="s">
        <v>1155</v>
      </c>
    </row>
    <row r="770" spans="1:3" ht="15" x14ac:dyDescent="0.3">
      <c r="A770" s="264" t="s">
        <v>2619</v>
      </c>
      <c r="B770" s="263">
        <v>8.9518029439684741E-14</v>
      </c>
      <c r="C770" s="265" t="s">
        <v>1155</v>
      </c>
    </row>
    <row r="771" spans="1:3" ht="15" x14ac:dyDescent="0.3">
      <c r="A771" s="264" t="s">
        <v>3293</v>
      </c>
      <c r="B771" s="263">
        <v>6.3419583967529484E-14</v>
      </c>
      <c r="C771" s="265" t="s">
        <v>1155</v>
      </c>
    </row>
    <row r="772" spans="1:3" ht="15" x14ac:dyDescent="0.3">
      <c r="A772" s="262" t="s">
        <v>2517</v>
      </c>
      <c r="B772" s="263">
        <v>150000000</v>
      </c>
      <c r="C772" s="266" t="s">
        <v>1055</v>
      </c>
    </row>
    <row r="773" spans="1:3" ht="15" x14ac:dyDescent="0.3">
      <c r="A773" s="262" t="s">
        <v>2917</v>
      </c>
      <c r="B773" s="263">
        <f>VOLUME.w2A/TAU.surfA</f>
        <v>536616161.61616164</v>
      </c>
      <c r="C773" s="266" t="s">
        <v>1055</v>
      </c>
    </row>
    <row r="774" spans="1:3" ht="15" x14ac:dyDescent="0.3">
      <c r="A774" s="262" t="s">
        <v>2523</v>
      </c>
      <c r="B774" s="263">
        <f>VOLUME.w2M/TAU.surfM</f>
        <v>816195075.75757575</v>
      </c>
      <c r="C774" s="266" t="s">
        <v>1055</v>
      </c>
    </row>
    <row r="775" spans="1:3" ht="15" x14ac:dyDescent="0.3">
      <c r="A775" s="262" t="s">
        <v>3231</v>
      </c>
      <c r="B775" s="263">
        <f>VOLUME.w2T/TAU.surfT</f>
        <v>1878156565.6565654</v>
      </c>
      <c r="C775" s="266" t="s">
        <v>1055</v>
      </c>
    </row>
    <row r="776" spans="1:3" x14ac:dyDescent="0.3">
      <c r="A776" s="262" t="s">
        <v>763</v>
      </c>
      <c r="B776" s="263">
        <v>3</v>
      </c>
      <c r="C776" s="262" t="s">
        <v>291</v>
      </c>
    </row>
    <row r="777" spans="1:3" x14ac:dyDescent="0.3">
      <c r="A777" s="262" t="s">
        <v>761</v>
      </c>
      <c r="B777" s="263">
        <v>5.6</v>
      </c>
      <c r="C777" s="262" t="s">
        <v>291</v>
      </c>
    </row>
    <row r="778" spans="1:3" x14ac:dyDescent="0.3">
      <c r="A778" s="262" t="s">
        <v>770</v>
      </c>
      <c r="B778" s="263">
        <v>5</v>
      </c>
      <c r="C778" s="262" t="s">
        <v>291</v>
      </c>
    </row>
    <row r="779" spans="1:3" x14ac:dyDescent="0.3">
      <c r="A779" s="262" t="s">
        <v>772</v>
      </c>
      <c r="B779" s="263">
        <v>7</v>
      </c>
      <c r="C779" s="262" t="s">
        <v>291</v>
      </c>
    </row>
    <row r="780" spans="1:3" x14ac:dyDescent="0.3">
      <c r="A780" s="262" t="s">
        <v>774</v>
      </c>
      <c r="B780" s="263">
        <v>7</v>
      </c>
      <c r="C780" s="262" t="s">
        <v>291</v>
      </c>
    </row>
    <row r="781" spans="1:3" x14ac:dyDescent="0.3">
      <c r="A781" s="262" t="s">
        <v>766</v>
      </c>
      <c r="B781" s="263">
        <v>7</v>
      </c>
      <c r="C781" s="262" t="s">
        <v>291</v>
      </c>
    </row>
    <row r="782" spans="1:3" x14ac:dyDescent="0.3">
      <c r="A782" s="262" t="s">
        <v>768</v>
      </c>
      <c r="B782" s="263">
        <v>8</v>
      </c>
      <c r="C782" s="262" t="s">
        <v>291</v>
      </c>
    </row>
    <row r="783" spans="1:3" x14ac:dyDescent="0.3">
      <c r="A783" s="262" t="s">
        <v>541</v>
      </c>
      <c r="B783" s="266">
        <v>7</v>
      </c>
      <c r="C783" s="262"/>
    </row>
    <row r="784" spans="1:3" x14ac:dyDescent="0.3">
      <c r="A784" s="266" t="s">
        <v>4513</v>
      </c>
      <c r="B784" s="268">
        <f>IF(Tm&gt;298,EXP(-6.79*(1-Tm/298))*Pvap25*EXP((H0vap/8.314)*(1/298-1/TEMP.A)),Pvap25*EXP((H0vap/8.314)*(1/298-1/TEMP.A)))</f>
        <v>34.762780277620003</v>
      </c>
      <c r="C784" s="266" t="s">
        <v>571</v>
      </c>
    </row>
    <row r="785" spans="1:3" x14ac:dyDescent="0.3">
      <c r="A785" s="262" t="s">
        <v>4514</v>
      </c>
      <c r="B785" s="268">
        <f>IF(Tm&gt;298,EXP(-6.79*(1-Tm/298))*Pvap25*EXP((H0vap/8.314)*(1/298-1/TEMP.C)),Pvap25*EXP((H0vap/8.314)*(1/298-1/TEMP.C)))</f>
        <v>181.62679806048695</v>
      </c>
      <c r="C785" s="262" t="s">
        <v>571</v>
      </c>
    </row>
    <row r="786" spans="1:3" x14ac:dyDescent="0.3">
      <c r="A786" s="262" t="s">
        <v>4515</v>
      </c>
      <c r="B786" s="263">
        <f>IF(Tm&gt;298,EXP(-6.79*(1-Tm/298))*Pvap25*EXP((H0vap/8.314)*(1/298-1/TEMP.M)),Pvap25*EXP((H0vap/8.314)*(1/298-1/TEMP.M)))</f>
        <v>181.62679806048695</v>
      </c>
      <c r="C786" s="262" t="s">
        <v>571</v>
      </c>
    </row>
    <row r="787" spans="1:3" x14ac:dyDescent="0.3">
      <c r="A787" s="266" t="s">
        <v>4516</v>
      </c>
      <c r="B787" s="268">
        <f>IF(Tm&gt;298,EXP(-6.79*(1-Tm/298))*Pvap25*EXP((H0vap/8.314)*(1/298-1/TEMP.R)),Pvap25*EXP((H0vap/8.314)*(1/298-1/TEMP.R)))</f>
        <v>181.62679806048695</v>
      </c>
      <c r="C787" s="266" t="s">
        <v>571</v>
      </c>
    </row>
    <row r="788" spans="1:3" x14ac:dyDescent="0.3">
      <c r="A788" s="262" t="s">
        <v>4517</v>
      </c>
      <c r="B788" s="268">
        <f>IF(Tm&gt;298,EXP(-6.79*(1-Tm/298))*Pvap25*EXP((H0vap/8.314)*(1/298-1/TEMP.T)),Pvap25*EXP((H0vap/8.314)*(1/298-1/TEMP.T)))</f>
        <v>430.18581249800178</v>
      </c>
      <c r="C788" s="262" t="s">
        <v>571</v>
      </c>
    </row>
    <row r="789" spans="1:3" ht="15" x14ac:dyDescent="0.3">
      <c r="A789" s="264" t="s">
        <v>2085</v>
      </c>
      <c r="B789" s="263">
        <v>10</v>
      </c>
      <c r="C789" s="262" t="s">
        <v>1232</v>
      </c>
    </row>
    <row r="790" spans="1:3" ht="15" x14ac:dyDescent="0.3">
      <c r="A790" s="264" t="s">
        <v>1231</v>
      </c>
      <c r="B790" s="263">
        <v>10</v>
      </c>
      <c r="C790" s="262" t="s">
        <v>1232</v>
      </c>
    </row>
    <row r="791" spans="1:3" ht="15" x14ac:dyDescent="0.3">
      <c r="A791" s="264" t="s">
        <v>2086</v>
      </c>
      <c r="B791" s="263">
        <v>5</v>
      </c>
      <c r="C791" s="262" t="s">
        <v>1232</v>
      </c>
    </row>
    <row r="792" spans="1:3" ht="15" x14ac:dyDescent="0.3">
      <c r="A792" s="264" t="s">
        <v>1235</v>
      </c>
      <c r="B792" s="263">
        <v>10</v>
      </c>
      <c r="C792" s="262" t="s">
        <v>1232</v>
      </c>
    </row>
    <row r="793" spans="1:3" ht="15" x14ac:dyDescent="0.3">
      <c r="A793" s="264" t="s">
        <v>2981</v>
      </c>
      <c r="B793" s="263">
        <v>1</v>
      </c>
      <c r="C793" s="262" t="s">
        <v>1232</v>
      </c>
    </row>
    <row r="794" spans="1:3" ht="15" x14ac:dyDescent="0.3">
      <c r="A794" s="264" t="s">
        <v>2621</v>
      </c>
      <c r="B794" s="263">
        <v>1</v>
      </c>
      <c r="C794" s="262" t="s">
        <v>1232</v>
      </c>
    </row>
    <row r="795" spans="1:3" ht="15" x14ac:dyDescent="0.3">
      <c r="A795" s="264" t="s">
        <v>3294</v>
      </c>
      <c r="B795" s="266">
        <v>1</v>
      </c>
      <c r="C795" s="262" t="s">
        <v>1232</v>
      </c>
    </row>
    <row r="796" spans="1:3" ht="41.4" x14ac:dyDescent="0.3">
      <c r="A796" s="266" t="s">
        <v>570</v>
      </c>
      <c r="B796" s="269" t="s">
        <v>4518</v>
      </c>
      <c r="C796" s="266" t="s">
        <v>571</v>
      </c>
    </row>
    <row r="797" spans="1:3" x14ac:dyDescent="0.3">
      <c r="A797" s="262" t="s">
        <v>640</v>
      </c>
      <c r="B797" s="266">
        <v>2</v>
      </c>
      <c r="C797" s="262" t="s">
        <v>291</v>
      </c>
    </row>
    <row r="798" spans="1:3" ht="15" x14ac:dyDescent="0.3">
      <c r="A798" s="264" t="s">
        <v>2962</v>
      </c>
      <c r="B798" s="263">
        <v>250</v>
      </c>
      <c r="C798" s="264" t="s">
        <v>2593</v>
      </c>
    </row>
    <row r="799" spans="1:3" ht="15" x14ac:dyDescent="0.3">
      <c r="A799" s="266" t="s">
        <v>741</v>
      </c>
      <c r="B799" s="266">
        <v>700</v>
      </c>
      <c r="C799" s="266" t="s">
        <v>693</v>
      </c>
    </row>
    <row r="800" spans="1:3" ht="15" x14ac:dyDescent="0.3">
      <c r="A800" s="264" t="s">
        <v>2592</v>
      </c>
      <c r="B800" s="263">
        <v>700</v>
      </c>
      <c r="C800" s="264" t="s">
        <v>2593</v>
      </c>
    </row>
    <row r="801" spans="1:3" ht="15" x14ac:dyDescent="0.3">
      <c r="A801" s="266" t="s">
        <v>692</v>
      </c>
      <c r="B801" s="266">
        <v>700</v>
      </c>
      <c r="C801" s="266" t="s">
        <v>693</v>
      </c>
    </row>
    <row r="802" spans="1:3" ht="15" x14ac:dyDescent="0.3">
      <c r="A802" s="264" t="s">
        <v>3275</v>
      </c>
      <c r="B802" s="266">
        <v>1300</v>
      </c>
      <c r="C802" s="264" t="s">
        <v>2593</v>
      </c>
    </row>
    <row r="803" spans="1:3" ht="15" x14ac:dyDescent="0.3">
      <c r="A803" s="262" t="s">
        <v>4519</v>
      </c>
      <c r="B803" s="263" t="e">
        <f>RESUSPrate.sd1C*SYSTEMAREA.C*AREAFRAC.w1C</f>
        <v>#NAME?</v>
      </c>
      <c r="C803" s="262" t="s">
        <v>1055</v>
      </c>
    </row>
    <row r="804" spans="1:3" ht="15" x14ac:dyDescent="0.3">
      <c r="A804" s="262" t="s">
        <v>4520</v>
      </c>
      <c r="B804" s="263" t="e">
        <f>RESUSPrate.sd1R*SYSTEMAREA.R*AREAFRAC.w1R</f>
        <v>#NAME?</v>
      </c>
      <c r="C804" s="262" t="s">
        <v>1055</v>
      </c>
    </row>
    <row r="805" spans="1:3" ht="15" x14ac:dyDescent="0.3">
      <c r="A805" s="262" t="s">
        <v>4521</v>
      </c>
      <c r="B805" s="263" t="e">
        <f>RESUSPrate.sd2C*SYSTEMAREA.C*AREAFRAC.w2C</f>
        <v>#NAME?</v>
      </c>
      <c r="C805" s="262" t="s">
        <v>1055</v>
      </c>
    </row>
    <row r="806" spans="1:3" ht="15" x14ac:dyDescent="0.3">
      <c r="A806" s="262" t="s">
        <v>4522</v>
      </c>
      <c r="B806" s="263" t="e">
        <f>RESUSPrate.sd2R*SYSTEMAREA.R*AREAFRAC.w2R</f>
        <v>#NAME?</v>
      </c>
      <c r="C806" s="262" t="s">
        <v>1055</v>
      </c>
    </row>
    <row r="807" spans="1:3" ht="15" x14ac:dyDescent="0.3">
      <c r="A807" s="262" t="s">
        <v>4523</v>
      </c>
      <c r="B807" s="263" t="e">
        <f>RESUSPrate.sdA*SYSTEMAREA.A*AREAFRAC.wA</f>
        <v>#NAME?</v>
      </c>
      <c r="C807" s="266" t="s">
        <v>1055</v>
      </c>
    </row>
    <row r="808" spans="1:3" ht="15" x14ac:dyDescent="0.3">
      <c r="A808" s="262" t="s">
        <v>4524</v>
      </c>
      <c r="B808" s="263" t="e">
        <f>RESUSPrate.sdM*SYSTEMAREA.M*AREAFRAC.wM</f>
        <v>#NAME?</v>
      </c>
      <c r="C808" s="266" t="s">
        <v>1055</v>
      </c>
    </row>
    <row r="809" spans="1:3" ht="15" x14ac:dyDescent="0.3">
      <c r="A809" s="262" t="s">
        <v>4525</v>
      </c>
      <c r="B809" s="263" t="e">
        <f>RESUSPrate.sdT*SYSTEMAREA.T*AREAFRAC.wT</f>
        <v>#NAME?</v>
      </c>
      <c r="C809" s="266" t="s">
        <v>1055</v>
      </c>
    </row>
    <row r="810" spans="1:3" ht="15" x14ac:dyDescent="0.3">
      <c r="A810" s="264" t="s">
        <v>4526</v>
      </c>
      <c r="B810" s="263">
        <f>GROSSSEDrate.w1C-NETsedrate.w1C</f>
        <v>7.8182870370094893E-10</v>
      </c>
      <c r="C810" s="264" t="s">
        <v>1155</v>
      </c>
    </row>
    <row r="811" spans="1:3" ht="15" x14ac:dyDescent="0.3">
      <c r="A811" s="264" t="s">
        <v>4527</v>
      </c>
      <c r="B811" s="263">
        <f>GROSSSEDrate.w1R-NETsedrate.w1R</f>
        <v>7.954515271587726E-10</v>
      </c>
      <c r="C811" s="264" t="s">
        <v>1155</v>
      </c>
    </row>
    <row r="812" spans="1:3" ht="15" x14ac:dyDescent="0.3">
      <c r="A812" s="264" t="s">
        <v>4528</v>
      </c>
      <c r="B812" s="263">
        <f>GROSSSEDrate.w2C-NETsedrate.w2C</f>
        <v>2.6195185185185192E-10</v>
      </c>
      <c r="C812" s="264" t="s">
        <v>1155</v>
      </c>
    </row>
    <row r="813" spans="1:3" ht="15" x14ac:dyDescent="0.3">
      <c r="A813" s="264" t="s">
        <v>4529</v>
      </c>
      <c r="B813" s="263">
        <f>GROSSSEDrate.w2R-NETsedrate.w2R</f>
        <v>2.666753943691715E-10</v>
      </c>
      <c r="C813" s="264" t="s">
        <v>1155</v>
      </c>
    </row>
    <row r="814" spans="1:3" ht="15" x14ac:dyDescent="0.3">
      <c r="A814" s="264" t="s">
        <v>4530</v>
      </c>
      <c r="B814" s="263">
        <f>GROSSSEDrate.w3A-NETsedrate.wA</f>
        <v>2.8928843226788437E-10</v>
      </c>
      <c r="C814" s="265" t="s">
        <v>1155</v>
      </c>
    </row>
    <row r="815" spans="1:3" ht="15" x14ac:dyDescent="0.3">
      <c r="A815" s="264" t="s">
        <v>4531</v>
      </c>
      <c r="B815" s="263">
        <f>GROSSSEDrate.w3M-NETsedrate.wM</f>
        <v>2.8926233382241219E-10</v>
      </c>
      <c r="C815" s="265" t="s">
        <v>1155</v>
      </c>
    </row>
    <row r="816" spans="1:3" ht="15" x14ac:dyDescent="0.3">
      <c r="A816" s="264" t="s">
        <v>4532</v>
      </c>
      <c r="B816" s="263">
        <f>GROSSSEDrate.w3T-NETsedrate.wT</f>
        <v>2.8928843226788437E-10</v>
      </c>
      <c r="C816" s="265" t="s">
        <v>1155</v>
      </c>
    </row>
    <row r="817" spans="1:3" ht="15" x14ac:dyDescent="0.3">
      <c r="A817" s="266" t="s">
        <v>786</v>
      </c>
      <c r="B817" s="263">
        <v>2000</v>
      </c>
      <c r="C817" s="262" t="s">
        <v>787</v>
      </c>
    </row>
    <row r="818" spans="1:3" ht="15" x14ac:dyDescent="0.3">
      <c r="A818" s="264" t="s">
        <v>789</v>
      </c>
      <c r="B818" s="266">
        <v>2500</v>
      </c>
      <c r="C818" s="262" t="s">
        <v>787</v>
      </c>
    </row>
    <row r="819" spans="1:3" ht="15" x14ac:dyDescent="0.3">
      <c r="A819" s="262" t="s">
        <v>4533</v>
      </c>
      <c r="B819" s="263">
        <f>(RAINrate.C*FRACrun.s1C/Ks1w.C+EROSION.s1C)*SYSTEMAREA.C*AREAFRAC.s1C*CORRrunoff.s1C</f>
        <v>285.93071587919763</v>
      </c>
      <c r="C819" s="262" t="s">
        <v>1055</v>
      </c>
    </row>
    <row r="820" spans="1:3" ht="15" x14ac:dyDescent="0.3">
      <c r="A820" s="262" t="s">
        <v>4534</v>
      </c>
      <c r="B820" s="263">
        <f>(RAINrate.R*FRACrun.s1R/Ks1w.R+EROSION.s1R)*SYSTEMAREA.R*AREAFRAC.s1R*CORRrunoff.s1R</f>
        <v>18.748761770049171</v>
      </c>
      <c r="C820" s="262" t="s">
        <v>1055</v>
      </c>
    </row>
    <row r="821" spans="1:3" ht="15" x14ac:dyDescent="0.3">
      <c r="A821" s="262" t="s">
        <v>4535</v>
      </c>
      <c r="B821" s="263">
        <f>(RAINrate.C*FRACrun.s2C/Ks2w.C+EROSION.s2C)*SYSTEMAREA.C*AREAFRAC.s2C*CORRrunoff.s2C</f>
        <v>1156.5687366184964</v>
      </c>
      <c r="C821" s="262" t="s">
        <v>1055</v>
      </c>
    </row>
    <row r="822" spans="1:3" ht="15" x14ac:dyDescent="0.3">
      <c r="A822" s="262" t="s">
        <v>4536</v>
      </c>
      <c r="B822" s="263">
        <f>(RAINrate.R*FRACrun.s2R/Ks2w.R+EROSION.s2R)*SYSTEMAREA.R*AREAFRAC.s2R*CORRrunoff.s2R</f>
        <v>75.837363771397904</v>
      </c>
      <c r="C822" s="262" t="s">
        <v>1055</v>
      </c>
    </row>
    <row r="823" spans="1:3" ht="15" x14ac:dyDescent="0.3">
      <c r="A823" s="262" t="s">
        <v>4537</v>
      </c>
      <c r="B823" s="263">
        <f>(RAINrate.C*FRACrun.s3C/Ks3w.C+EROSION.s3C)*SYSTEMAREA.C*AREAFRAC.s3C*CORRrunoff.s3C</f>
        <v>105.90026514044354</v>
      </c>
      <c r="C823" s="262" t="s">
        <v>1055</v>
      </c>
    </row>
    <row r="824" spans="1:3" ht="15" x14ac:dyDescent="0.3">
      <c r="A824" s="262" t="s">
        <v>4538</v>
      </c>
      <c r="B824" s="263">
        <f>(RAINrate.R*FRACrun.s3R/Ks3w.R+EROSION.s3R)*SYSTEMAREA.R*AREAFRAC.s3R*CORRrunoff.s3R</f>
        <v>6.9439858407589519</v>
      </c>
      <c r="C824" s="262" t="s">
        <v>1055</v>
      </c>
    </row>
    <row r="825" spans="1:3" ht="15" x14ac:dyDescent="0.3">
      <c r="A825" s="262" t="s">
        <v>4539</v>
      </c>
      <c r="B825" s="263">
        <f>(RAINrate.A*FRACrun.sA/Kslw.A+EROSION.sA)*SYSTEMAREA.A*AREAFRAC.sA*CORRrunoff.sA</f>
        <v>1858.7178404557719</v>
      </c>
      <c r="C825" s="266" t="s">
        <v>1055</v>
      </c>
    </row>
    <row r="826" spans="1:3" ht="15" x14ac:dyDescent="0.3">
      <c r="A826" s="262" t="s">
        <v>4540</v>
      </c>
      <c r="B826" s="263">
        <f>(RAINrate.M*FRACrun.sM/Kslw.M+EROSION.sM)*SYSTEMAREA.M*AREAFRAC.sM*CORRrunoff.sM</f>
        <v>11783.11186006396</v>
      </c>
      <c r="C826" s="266" t="s">
        <v>1055</v>
      </c>
    </row>
    <row r="827" spans="1:3" ht="15" x14ac:dyDescent="0.3">
      <c r="A827" s="262" t="s">
        <v>4541</v>
      </c>
      <c r="B827" s="263">
        <f>(RAINrate.T*FRACrun.sT/Kslw.T+EROSION.sT)*SYSTEMAREA.T*AREAFRAC.sT*CORRrunoff.sT</f>
        <v>21526.459965480772</v>
      </c>
      <c r="C827" s="266" t="s">
        <v>1055</v>
      </c>
    </row>
    <row r="828" spans="1:3" ht="15" x14ac:dyDescent="0.3">
      <c r="A828" s="262" t="s">
        <v>4542</v>
      </c>
      <c r="B828" s="263">
        <f>(GROSSSEDrate.w1C*FRACs.sdC*RHOsolid/SUSP.w1C)*((Kp.susp1C*SUSP.w1C/1000)*FRw.w1C)*(SYSTEMAREA.C*AREAFRAC.w1C)</f>
        <v>3197.357892085613</v>
      </c>
      <c r="C828" s="262" t="s">
        <v>1055</v>
      </c>
    </row>
    <row r="829" spans="1:3" ht="15" x14ac:dyDescent="0.3">
      <c r="A829" s="262" t="s">
        <v>4543</v>
      </c>
      <c r="B829" s="263" t="e">
        <f>(GROSSSEDrate.w1R*FRACs.sdR*RHOsolid/SUSP.w1R)*((Kp.susp1R*SUSP.w1R/1000)*FRw.w1R)*(SYSTEMAREA.R*AREAFRAC.w1R)</f>
        <v>#NAME?</v>
      </c>
      <c r="C829" s="262" t="s">
        <v>1055</v>
      </c>
    </row>
    <row r="830" spans="1:3" ht="15" x14ac:dyDescent="0.3">
      <c r="A830" s="262" t="s">
        <v>4544</v>
      </c>
      <c r="B830" s="263">
        <f>(GROSSSEDrate.w2C*FRACs.sdC*RHOsolid/SUSP.w2C)*((Kp.susp2C*SUSP.w2C/1000)*FRw.w2C)*(SYSTEMAREA.C*AREAFRAC.w2C)</f>
        <v>41317.746982068784</v>
      </c>
      <c r="C830" s="262" t="s">
        <v>1055</v>
      </c>
    </row>
    <row r="831" spans="1:3" ht="15" x14ac:dyDescent="0.3">
      <c r="A831" s="262" t="s">
        <v>4545</v>
      </c>
      <c r="B831" s="263" t="e">
        <f>(GROSSSEDrate.w2R*FRACs.sdR*RHOsolid/SUSP.w2R)*((Kp.susp2R*SUSP.w2R/1000)*FRw.w2R)*(SYSTEMAREA.R*AREAFRAC.w2R)</f>
        <v>#NAME?</v>
      </c>
      <c r="C831" s="262" t="s">
        <v>1055</v>
      </c>
    </row>
    <row r="832" spans="1:3" ht="15" x14ac:dyDescent="0.3">
      <c r="A832" s="262" t="s">
        <v>4546</v>
      </c>
      <c r="B832" s="263">
        <f>(GROSSSEDrate.w3A*FRACs.sdA*RHOsolid/SUSP.w3A)*((Kp.susp3A*SUSP.w3A/1000)*FRw.w3A)*(SYSTEMAREA.A*AREAFRAC.wA)</f>
        <v>283729.11906919896</v>
      </c>
      <c r="C832" s="266" t="s">
        <v>1055</v>
      </c>
    </row>
    <row r="833" spans="1:3" ht="15" x14ac:dyDescent="0.3">
      <c r="A833" s="262" t="s">
        <v>4547</v>
      </c>
      <c r="B833" s="263">
        <f>(GROSSSEDrate.w3M*FRACs.sdM*RHOsolid/SUSP.w3M)*((Kp.susp3M*SUSP.w3M/1000)*FRw.w3M)*(SYSTEMAREA.M*AREAFRAC.wM)</f>
        <v>431552.99150114239</v>
      </c>
      <c r="C833" s="266" t="s">
        <v>1055</v>
      </c>
    </row>
    <row r="834" spans="1:3" ht="15" x14ac:dyDescent="0.3">
      <c r="A834" s="262" t="s">
        <v>4548</v>
      </c>
      <c r="B834" s="263">
        <f>(GROSSSEDrate.w3T*FRACs.sdT*RHOsolid/SUSP.w3T)*((Kp.susp3T*SUSP.w3T/1000)*FRw.w3T)*(SYSTEMAREA.T*AREAFRAC.wT)</f>
        <v>993051.91674219631</v>
      </c>
      <c r="C834" s="266" t="s">
        <v>1055</v>
      </c>
    </row>
    <row r="835" spans="1:3" ht="15" x14ac:dyDescent="0.3">
      <c r="A835" s="264" t="s">
        <v>2979</v>
      </c>
      <c r="B835" s="263">
        <f>2.5/(24*3600)</f>
        <v>2.8935185185185186E-5</v>
      </c>
      <c r="C835" s="265" t="s">
        <v>1155</v>
      </c>
    </row>
    <row r="836" spans="1:3" ht="15" x14ac:dyDescent="0.3">
      <c r="A836" s="264" t="s">
        <v>2081</v>
      </c>
      <c r="B836" s="263">
        <f>2.5/(24*3600)</f>
        <v>2.8935185185185186E-5</v>
      </c>
      <c r="C836" s="264" t="s">
        <v>1155</v>
      </c>
    </row>
    <row r="837" spans="1:3" ht="15" x14ac:dyDescent="0.3">
      <c r="A837" s="264" t="s">
        <v>2617</v>
      </c>
      <c r="B837" s="263">
        <f>2.5/(24*3600)</f>
        <v>2.8935185185185186E-5</v>
      </c>
      <c r="C837" s="265" t="s">
        <v>1155</v>
      </c>
    </row>
    <row r="838" spans="1:3" ht="15" x14ac:dyDescent="0.3">
      <c r="A838" s="264" t="s">
        <v>1221</v>
      </c>
      <c r="B838" s="263">
        <f>2.5/(24*3600)</f>
        <v>2.8935185185185186E-5</v>
      </c>
      <c r="C838" s="264" t="s">
        <v>1155</v>
      </c>
    </row>
    <row r="839" spans="1:3" ht="15" x14ac:dyDescent="0.3">
      <c r="A839" s="264" t="s">
        <v>3292</v>
      </c>
      <c r="B839" s="266">
        <f>2.5/(24*3600)</f>
        <v>2.8935185185185186E-5</v>
      </c>
      <c r="C839" s="265" t="s">
        <v>1155</v>
      </c>
    </row>
    <row r="840" spans="1:3" ht="15" x14ac:dyDescent="0.3">
      <c r="A840" s="262" t="s">
        <v>578</v>
      </c>
      <c r="B840" s="266">
        <f>10^(LOG(Kow)*-1.214+0.85)*(Molweight*1000000)</f>
        <v>69.497221916253579</v>
      </c>
      <c r="C840" s="262" t="s">
        <v>579</v>
      </c>
    </row>
    <row r="841" spans="1:3" x14ac:dyDescent="0.3">
      <c r="A841" s="262" t="s">
        <v>4549</v>
      </c>
      <c r="B841" s="263" t="e">
        <f>1-SURFfrac.s1C-DRAINfrac.s1C</f>
        <v>#NAME?</v>
      </c>
      <c r="C841" s="262" t="s">
        <v>291</v>
      </c>
    </row>
    <row r="842" spans="1:3" x14ac:dyDescent="0.3">
      <c r="A842" s="262" t="s">
        <v>4550</v>
      </c>
      <c r="B842" s="263" t="e">
        <f>1-SURFfrac.s1R-DRAINfrac.s1R</f>
        <v>#NAME?</v>
      </c>
      <c r="C842" s="262" t="s">
        <v>291</v>
      </c>
    </row>
    <row r="843" spans="1:3" x14ac:dyDescent="0.3">
      <c r="A843" s="262" t="s">
        <v>4551</v>
      </c>
      <c r="B843" s="263" t="e">
        <f>1-SURFfrac.s2C-DRAINfrac.s2C</f>
        <v>#NAME?</v>
      </c>
      <c r="C843" s="262" t="s">
        <v>291</v>
      </c>
    </row>
    <row r="844" spans="1:3" x14ac:dyDescent="0.3">
      <c r="A844" s="262" t="s">
        <v>4552</v>
      </c>
      <c r="B844" s="263" t="e">
        <f>1-SURFfrac.s2R-DRAINfrac.s2R</f>
        <v>#NAME?</v>
      </c>
      <c r="C844" s="262" t="s">
        <v>291</v>
      </c>
    </row>
    <row r="845" spans="1:3" x14ac:dyDescent="0.3">
      <c r="A845" s="262" t="s">
        <v>4553</v>
      </c>
      <c r="B845" s="263" t="e">
        <f>1-SURFfrac.s3C-DRAINfrac.s3C</f>
        <v>#NAME?</v>
      </c>
      <c r="C845" s="262" t="s">
        <v>291</v>
      </c>
    </row>
    <row r="846" spans="1:3" x14ac:dyDescent="0.3">
      <c r="A846" s="262" t="s">
        <v>4554</v>
      </c>
      <c r="B846" s="263" t="e">
        <f>1-SURFfrac.s3R-DRAINfrac.s3R</f>
        <v>#NAME?</v>
      </c>
      <c r="C846" s="262" t="s">
        <v>291</v>
      </c>
    </row>
    <row r="847" spans="1:3" x14ac:dyDescent="0.3">
      <c r="A847" s="262" t="s">
        <v>4555</v>
      </c>
      <c r="B847" s="263" t="e">
        <f>1-SURFfrac.sA</f>
        <v>#NAME?</v>
      </c>
      <c r="C847" s="262" t="s">
        <v>291</v>
      </c>
    </row>
    <row r="848" spans="1:3" x14ac:dyDescent="0.3">
      <c r="A848" s="262" t="s">
        <v>4556</v>
      </c>
      <c r="B848" s="263" t="e">
        <f>1-SURFfrac.sM</f>
        <v>#NAME?</v>
      </c>
      <c r="C848" s="262" t="s">
        <v>291</v>
      </c>
    </row>
    <row r="849" spans="1:3" x14ac:dyDescent="0.3">
      <c r="A849" s="262" t="s">
        <v>4557</v>
      </c>
      <c r="B849" s="263" t="e">
        <f>1-SURFfrac.sT</f>
        <v>#NAME?</v>
      </c>
      <c r="C849" s="262" t="s">
        <v>291</v>
      </c>
    </row>
    <row r="850" spans="1:3" ht="15" x14ac:dyDescent="0.3">
      <c r="A850" s="266" t="s">
        <v>4558</v>
      </c>
      <c r="B850" s="263">
        <v>1.4999999999999999E-4</v>
      </c>
      <c r="C850" s="262" t="s">
        <v>4559</v>
      </c>
    </row>
    <row r="851" spans="1:3" x14ac:dyDescent="0.3">
      <c r="A851" s="266" t="s">
        <v>4560</v>
      </c>
      <c r="B851" s="263">
        <v>1.4999999999999999E-4</v>
      </c>
      <c r="C851" s="262" t="s">
        <v>4561</v>
      </c>
    </row>
    <row r="852" spans="1:3" ht="15" x14ac:dyDescent="0.3">
      <c r="A852" s="266" t="s">
        <v>4562</v>
      </c>
      <c r="B852" s="263">
        <v>1.4999999999999999E-4</v>
      </c>
      <c r="C852" s="262" t="s">
        <v>4559</v>
      </c>
    </row>
    <row r="853" spans="1:3" ht="15" x14ac:dyDescent="0.3">
      <c r="A853" s="266" t="s">
        <v>4563</v>
      </c>
      <c r="B853" s="263">
        <v>1.4999999999999999E-4</v>
      </c>
      <c r="C853" s="262" t="s">
        <v>4559</v>
      </c>
    </row>
    <row r="854" spans="1:3" ht="15" x14ac:dyDescent="0.3">
      <c r="A854" s="262" t="s">
        <v>4564</v>
      </c>
      <c r="B854" s="268">
        <v>1.4999999999999999E-4</v>
      </c>
      <c r="C854" s="262" t="s">
        <v>4559</v>
      </c>
    </row>
    <row r="855" spans="1:3" x14ac:dyDescent="0.3">
      <c r="A855" s="262" t="s">
        <v>4565</v>
      </c>
      <c r="B855" s="263">
        <v>0.25</v>
      </c>
      <c r="C855" s="262" t="s">
        <v>291</v>
      </c>
    </row>
    <row r="856" spans="1:3" x14ac:dyDescent="0.3">
      <c r="A856" s="262" t="s">
        <v>4566</v>
      </c>
      <c r="B856" s="263">
        <v>0.25</v>
      </c>
      <c r="C856" s="262" t="s">
        <v>291</v>
      </c>
    </row>
    <row r="857" spans="1:3" x14ac:dyDescent="0.3">
      <c r="A857" s="262" t="s">
        <v>4567</v>
      </c>
      <c r="B857" s="263">
        <v>0.25</v>
      </c>
      <c r="C857" s="262" t="s">
        <v>291</v>
      </c>
    </row>
    <row r="858" spans="1:3" x14ac:dyDescent="0.3">
      <c r="A858" s="262" t="s">
        <v>4568</v>
      </c>
      <c r="B858" s="263">
        <v>0.25</v>
      </c>
      <c r="C858" s="262" t="s">
        <v>291</v>
      </c>
    </row>
    <row r="859" spans="1:3" x14ac:dyDescent="0.3">
      <c r="A859" s="262" t="s">
        <v>4569</v>
      </c>
      <c r="B859" s="263">
        <v>0.25</v>
      </c>
      <c r="C859" s="262" t="s">
        <v>291</v>
      </c>
    </row>
    <row r="860" spans="1:3" x14ac:dyDescent="0.3">
      <c r="A860" s="262" t="s">
        <v>4570</v>
      </c>
      <c r="B860" s="263">
        <v>0.25</v>
      </c>
      <c r="C860" s="262" t="s">
        <v>291</v>
      </c>
    </row>
    <row r="861" spans="1:3" x14ac:dyDescent="0.3">
      <c r="A861" s="262" t="s">
        <v>4571</v>
      </c>
      <c r="B861" s="263">
        <v>0.5</v>
      </c>
      <c r="C861" s="262" t="s">
        <v>291</v>
      </c>
    </row>
    <row r="862" spans="1:3" x14ac:dyDescent="0.3">
      <c r="A862" s="262" t="s">
        <v>4572</v>
      </c>
      <c r="B862" s="263">
        <v>0.5</v>
      </c>
      <c r="C862" s="262" t="s">
        <v>291</v>
      </c>
    </row>
    <row r="863" spans="1:3" x14ac:dyDescent="0.3">
      <c r="A863" s="262" t="s">
        <v>4573</v>
      </c>
      <c r="B863" s="263">
        <v>0.5</v>
      </c>
      <c r="C863" s="262" t="s">
        <v>291</v>
      </c>
    </row>
    <row r="864" spans="1:3" ht="15" x14ac:dyDescent="0.3">
      <c r="A864" s="264" t="s">
        <v>755</v>
      </c>
      <c r="B864" s="263">
        <v>0.5</v>
      </c>
      <c r="C864" s="262" t="s">
        <v>579</v>
      </c>
    </row>
    <row r="865" spans="1:3" ht="15" x14ac:dyDescent="0.3">
      <c r="A865" s="264" t="s">
        <v>721</v>
      </c>
      <c r="B865" s="263">
        <v>0.5</v>
      </c>
      <c r="C865" s="262" t="s">
        <v>579</v>
      </c>
    </row>
    <row r="866" spans="1:3" x14ac:dyDescent="0.3">
      <c r="A866" s="264" t="s">
        <v>756</v>
      </c>
      <c r="B866" s="263">
        <v>15</v>
      </c>
      <c r="C866" s="262" t="s">
        <v>716</v>
      </c>
    </row>
    <row r="867" spans="1:3" ht="15" x14ac:dyDescent="0.3">
      <c r="A867" s="264" t="s">
        <v>724</v>
      </c>
      <c r="B867" s="263">
        <v>15</v>
      </c>
      <c r="C867" s="262" t="s">
        <v>579</v>
      </c>
    </row>
    <row r="868" spans="1:3" ht="15" x14ac:dyDescent="0.3">
      <c r="A868" s="264" t="s">
        <v>2933</v>
      </c>
      <c r="B868" s="263">
        <v>5</v>
      </c>
      <c r="C868" s="262" t="s">
        <v>579</v>
      </c>
    </row>
    <row r="869" spans="1:3" x14ac:dyDescent="0.3">
      <c r="A869" s="264" t="s">
        <v>757</v>
      </c>
      <c r="B869" s="263">
        <v>5</v>
      </c>
      <c r="C869" s="262" t="s">
        <v>716</v>
      </c>
    </row>
    <row r="870" spans="1:3" ht="15" x14ac:dyDescent="0.3">
      <c r="A870" s="264" t="s">
        <v>2544</v>
      </c>
      <c r="B870" s="263">
        <v>5</v>
      </c>
      <c r="C870" s="262" t="s">
        <v>579</v>
      </c>
    </row>
    <row r="871" spans="1:3" ht="15" x14ac:dyDescent="0.3">
      <c r="A871" s="264" t="s">
        <v>726</v>
      </c>
      <c r="B871" s="263">
        <v>5</v>
      </c>
      <c r="C871" s="262" t="s">
        <v>579</v>
      </c>
    </row>
    <row r="872" spans="1:3" ht="15" x14ac:dyDescent="0.3">
      <c r="A872" s="264" t="s">
        <v>3247</v>
      </c>
      <c r="B872" s="268">
        <v>5</v>
      </c>
      <c r="C872" s="262" t="s">
        <v>579</v>
      </c>
    </row>
    <row r="873" spans="1:3" ht="15" x14ac:dyDescent="0.3">
      <c r="A873" s="264" t="s">
        <v>2934</v>
      </c>
      <c r="B873" s="263">
        <v>5</v>
      </c>
      <c r="C873" s="262" t="s">
        <v>579</v>
      </c>
    </row>
    <row r="874" spans="1:3" ht="15" x14ac:dyDescent="0.3">
      <c r="A874" s="264" t="s">
        <v>2546</v>
      </c>
      <c r="B874" s="263">
        <v>5</v>
      </c>
      <c r="C874" s="262" t="s">
        <v>579</v>
      </c>
    </row>
    <row r="875" spans="1:3" ht="15" x14ac:dyDescent="0.3">
      <c r="A875" s="264" t="s">
        <v>3248</v>
      </c>
      <c r="B875" s="268">
        <v>5</v>
      </c>
      <c r="C875" s="262" t="s">
        <v>579</v>
      </c>
    </row>
    <row r="876" spans="1:3" ht="15" x14ac:dyDescent="0.3">
      <c r="A876" s="262" t="s">
        <v>2884</v>
      </c>
      <c r="B876" s="263">
        <v>42500000</v>
      </c>
      <c r="C876" s="266" t="s">
        <v>672</v>
      </c>
    </row>
    <row r="877" spans="1:3" ht="15" x14ac:dyDescent="0.3">
      <c r="A877" s="262" t="s">
        <v>1884</v>
      </c>
      <c r="B877" s="263">
        <f>(AREAland.C+AREAsea.C-SYSTEMAREA.R)/1000000</f>
        <v>6969680</v>
      </c>
      <c r="C877" s="266" t="s">
        <v>672</v>
      </c>
    </row>
    <row r="878" spans="1:3" ht="15" x14ac:dyDescent="0.3">
      <c r="A878" s="262" t="s">
        <v>2475</v>
      </c>
      <c r="B878" s="263">
        <f>85000000-((SYSTEMAREA.C+SYSTEMAREA.R)/1000000)</f>
        <v>77571180</v>
      </c>
      <c r="C878" s="266" t="s">
        <v>672</v>
      </c>
    </row>
    <row r="879" spans="1:3" ht="15" x14ac:dyDescent="0.3">
      <c r="A879" s="262" t="s">
        <v>974</v>
      </c>
      <c r="B879" s="263">
        <f>(AREAland.R+AREAsea.R)/1000000</f>
        <v>229570</v>
      </c>
      <c r="C879" s="262" t="s">
        <v>672</v>
      </c>
    </row>
    <row r="880" spans="1:3" ht="15" x14ac:dyDescent="0.3">
      <c r="A880" s="262" t="s">
        <v>3203</v>
      </c>
      <c r="B880" s="266">
        <v>127500000</v>
      </c>
      <c r="C880" s="262" t="s">
        <v>672</v>
      </c>
    </row>
    <row r="881" spans="1:3" x14ac:dyDescent="0.3">
      <c r="A881" s="262" t="s">
        <v>2906</v>
      </c>
      <c r="B881" s="263">
        <f>(SQRT(SYSTEMAREA.A*PI()/4)/WINDspeed.A)/(3600*24)</f>
        <v>22.289709506045405</v>
      </c>
      <c r="C881" s="266" t="s">
        <v>1041</v>
      </c>
    </row>
    <row r="882" spans="1:3" x14ac:dyDescent="0.3">
      <c r="A882" s="262" t="s">
        <v>1921</v>
      </c>
      <c r="B882" s="263">
        <f>(SQRT(SYSTEMAREA.C*PI()/4)/WINDspeed.C)/(3600*24)</f>
        <v>9.1738909003087361</v>
      </c>
      <c r="C882" s="266" t="s">
        <v>1041</v>
      </c>
    </row>
    <row r="883" spans="1:3" x14ac:dyDescent="0.3">
      <c r="A883" s="262" t="s">
        <v>1040</v>
      </c>
      <c r="B883" s="263">
        <f>(SQRT(SYSTEMAREA.R*PI()/4)/WINDspeed.R)/(3600*24)</f>
        <v>1.6382022217645165</v>
      </c>
      <c r="C883" s="262" t="s">
        <v>1041</v>
      </c>
    </row>
    <row r="884" spans="1:3" x14ac:dyDescent="0.3">
      <c r="A884" s="262" t="s">
        <v>3222</v>
      </c>
      <c r="B884" s="263">
        <f>(SQRT(SYSTEMAREA.T*PI()/4)/WINDspeed.T)/(3600*24)</f>
        <v>38.606909350421624</v>
      </c>
      <c r="C884" s="266" t="s">
        <v>1041</v>
      </c>
    </row>
    <row r="885" spans="1:3" x14ac:dyDescent="0.3">
      <c r="A885" s="262" t="s">
        <v>2918</v>
      </c>
      <c r="B885" s="263">
        <v>55</v>
      </c>
      <c r="C885" s="266" t="s">
        <v>1041</v>
      </c>
    </row>
    <row r="886" spans="1:3" x14ac:dyDescent="0.3">
      <c r="A886" s="262" t="s">
        <v>2525</v>
      </c>
      <c r="B886" s="263">
        <v>55</v>
      </c>
      <c r="C886" s="266" t="s">
        <v>1041</v>
      </c>
    </row>
    <row r="887" spans="1:3" x14ac:dyDescent="0.3">
      <c r="A887" s="262" t="s">
        <v>3232</v>
      </c>
      <c r="B887" s="263">
        <v>55</v>
      </c>
      <c r="C887" s="266" t="s">
        <v>1041</v>
      </c>
    </row>
    <row r="888" spans="1:3" x14ac:dyDescent="0.3">
      <c r="A888" s="262" t="s">
        <v>1951</v>
      </c>
      <c r="B888" s="263">
        <v>365</v>
      </c>
      <c r="C888" s="262" t="s">
        <v>1041</v>
      </c>
    </row>
    <row r="889" spans="1:3" x14ac:dyDescent="0.3">
      <c r="A889" s="266" t="s">
        <v>2955</v>
      </c>
      <c r="B889" s="263">
        <f>(80/24)*(1-RAINrate.A/(0.0013/3600))*(3600*24)</f>
        <v>281677.55532139097</v>
      </c>
      <c r="C889" s="266" t="s">
        <v>1576</v>
      </c>
    </row>
    <row r="890" spans="1:3" x14ac:dyDescent="0.3">
      <c r="A890" s="266" t="s">
        <v>2039</v>
      </c>
      <c r="B890" s="263">
        <f>(80/24)*(1-RAINrate.C/(0.0013/3600))*(3600*24)</f>
        <v>270297.15489989461</v>
      </c>
      <c r="C890" s="266" t="s">
        <v>1576</v>
      </c>
    </row>
    <row r="891" spans="1:3" x14ac:dyDescent="0.3">
      <c r="A891" s="266" t="s">
        <v>2585</v>
      </c>
      <c r="B891" s="263">
        <f>(80/24)*(1-RAINrate.M/(0.0013/3600))*(3600*24)</f>
        <v>270297.15489989461</v>
      </c>
      <c r="C891" s="266" t="s">
        <v>1576</v>
      </c>
    </row>
    <row r="892" spans="1:3" x14ac:dyDescent="0.3">
      <c r="A892" s="266" t="s">
        <v>1149</v>
      </c>
      <c r="B892" s="263">
        <f>(80/24)*(1-RAINrate.R/(0.0013/3600))*(3600*24)</f>
        <v>270297.15489989461</v>
      </c>
      <c r="C892" s="266" t="s">
        <v>1576</v>
      </c>
    </row>
    <row r="893" spans="1:3" x14ac:dyDescent="0.3">
      <c r="A893" s="266" t="s">
        <v>3269</v>
      </c>
      <c r="B893" s="263">
        <f>(80/24)*(1-RAINrate.T/(0.0013/3600))*(3600*24)</f>
        <v>255123.28767123289</v>
      </c>
      <c r="C893" s="266" t="s">
        <v>1576</v>
      </c>
    </row>
    <row r="894" spans="1:3" ht="15" x14ac:dyDescent="0.3">
      <c r="A894" s="266" t="s">
        <v>2924</v>
      </c>
      <c r="B894" s="263">
        <v>-10</v>
      </c>
      <c r="C894" s="266" t="s">
        <v>585</v>
      </c>
    </row>
    <row r="895" spans="1:3" ht="15" x14ac:dyDescent="0.3">
      <c r="A895" s="266" t="s">
        <v>739</v>
      </c>
      <c r="B895" s="266">
        <v>12</v>
      </c>
      <c r="C895" s="266" t="s">
        <v>585</v>
      </c>
    </row>
    <row r="896" spans="1:3" ht="15" x14ac:dyDescent="0.3">
      <c r="A896" s="262" t="s">
        <v>2532</v>
      </c>
      <c r="B896" s="263">
        <v>12</v>
      </c>
      <c r="C896" s="262" t="s">
        <v>585</v>
      </c>
    </row>
    <row r="897" spans="1:3" ht="15" x14ac:dyDescent="0.3">
      <c r="A897" s="266" t="s">
        <v>687</v>
      </c>
      <c r="B897" s="266">
        <v>12</v>
      </c>
      <c r="C897" s="266" t="s">
        <v>585</v>
      </c>
    </row>
    <row r="898" spans="1:3" ht="15" x14ac:dyDescent="0.3">
      <c r="A898" s="262" t="s">
        <v>3238</v>
      </c>
      <c r="B898" s="268">
        <v>25</v>
      </c>
      <c r="C898" s="262" t="s">
        <v>585</v>
      </c>
    </row>
    <row r="899" spans="1:3" x14ac:dyDescent="0.3">
      <c r="A899" s="262" t="s">
        <v>3001</v>
      </c>
      <c r="B899" s="263">
        <f>EXP((Ea.OHrad/8.314)*(TEMP.A-298)/298^2)</f>
        <v>0.75244236176784551</v>
      </c>
      <c r="C899" s="262" t="s">
        <v>291</v>
      </c>
    </row>
    <row r="900" spans="1:3" x14ac:dyDescent="0.3">
      <c r="A900" s="262" t="s">
        <v>2123</v>
      </c>
      <c r="B900" s="263">
        <f>EXP((Ea.OHrad/8.314)*(TEMP.C-298)/298^2)</f>
        <v>0.89974332049812744</v>
      </c>
      <c r="C900" s="262" t="s">
        <v>291</v>
      </c>
    </row>
    <row r="901" spans="1:3" x14ac:dyDescent="0.3">
      <c r="A901" s="262" t="s">
        <v>2648</v>
      </c>
      <c r="B901" s="263">
        <f>EXP((Ea.OHrad/8.314)*(TEMP.M-298)/298^2)</f>
        <v>0.89974332049812744</v>
      </c>
      <c r="C901" s="262" t="s">
        <v>291</v>
      </c>
    </row>
    <row r="902" spans="1:3" x14ac:dyDescent="0.3">
      <c r="A902" s="262" t="s">
        <v>1286</v>
      </c>
      <c r="B902" s="263">
        <f>EXP((Ea.OHrad/8.314)*(TEMP.R-298)/298^2)</f>
        <v>0.89974332049812744</v>
      </c>
      <c r="C902" s="262" t="s">
        <v>291</v>
      </c>
    </row>
    <row r="903" spans="1:3" x14ac:dyDescent="0.3">
      <c r="A903" s="262" t="s">
        <v>3312</v>
      </c>
      <c r="B903" s="263">
        <f>EXP((Ea.OHrad/8.314)*(TEMP.T-298)/298^2)</f>
        <v>1</v>
      </c>
      <c r="C903" s="262" t="s">
        <v>291</v>
      </c>
    </row>
    <row r="904" spans="1:3" x14ac:dyDescent="0.3">
      <c r="A904" s="262" t="s">
        <v>3007</v>
      </c>
      <c r="B904" s="268">
        <f>Q.10^((TEMP.A-298)/10)</f>
        <v>8.8388347648318447E-2</v>
      </c>
      <c r="C904" s="262" t="s">
        <v>291</v>
      </c>
    </row>
    <row r="905" spans="1:3" x14ac:dyDescent="0.3">
      <c r="A905" s="262" t="s">
        <v>2130</v>
      </c>
      <c r="B905" s="263">
        <f>Q.10^((TEMP.C-298)/10)</f>
        <v>0.40612619817811774</v>
      </c>
      <c r="C905" s="262" t="s">
        <v>291</v>
      </c>
    </row>
    <row r="906" spans="1:3" x14ac:dyDescent="0.3">
      <c r="A906" s="262" t="s">
        <v>2655</v>
      </c>
      <c r="B906" s="263">
        <f>Q.10^((TEMP.M-298)/10)</f>
        <v>0.40612619817811774</v>
      </c>
      <c r="C906" s="262" t="s">
        <v>291</v>
      </c>
    </row>
    <row r="907" spans="1:3" x14ac:dyDescent="0.3">
      <c r="A907" s="262" t="s">
        <v>1302</v>
      </c>
      <c r="B907" s="263">
        <f>Q.10^((TEMP.R-298)/10)</f>
        <v>0.40612619817811774</v>
      </c>
      <c r="C907" s="262" t="s">
        <v>291</v>
      </c>
    </row>
    <row r="908" spans="1:3" x14ac:dyDescent="0.3">
      <c r="A908" s="262" t="s">
        <v>3317</v>
      </c>
      <c r="B908" s="263">
        <f>Q.10^((TEMP.T-298)/10)</f>
        <v>1</v>
      </c>
      <c r="C908" s="262" t="s">
        <v>291</v>
      </c>
    </row>
    <row r="909" spans="1:3" ht="41.4" x14ac:dyDescent="0.3">
      <c r="A909" s="266" t="s">
        <v>584</v>
      </c>
      <c r="B909" s="269" t="s">
        <v>4574</v>
      </c>
      <c r="C909" s="266" t="s">
        <v>585</v>
      </c>
    </row>
    <row r="910" spans="1:3" x14ac:dyDescent="0.3">
      <c r="A910" s="266" t="s">
        <v>2956</v>
      </c>
      <c r="B910" s="263">
        <f>(80/24)*(RAINrate.A/(0.0013/3600))*(3600*24)</f>
        <v>6322.444678609063</v>
      </c>
      <c r="C910" s="266" t="s">
        <v>1576</v>
      </c>
    </row>
    <row r="911" spans="1:3" x14ac:dyDescent="0.3">
      <c r="A911" s="266" t="s">
        <v>2040</v>
      </c>
      <c r="B911" s="263">
        <f>(80/24)*(RAINrate.C/(0.0013/3600))*(3600*24)</f>
        <v>17702.845100105376</v>
      </c>
      <c r="C911" s="266" t="s">
        <v>1576</v>
      </c>
    </row>
    <row r="912" spans="1:3" x14ac:dyDescent="0.3">
      <c r="A912" s="266" t="s">
        <v>2586</v>
      </c>
      <c r="B912" s="263">
        <f>(80/24)*(RAINrate.M/(0.0013/3600))*(3600*24)</f>
        <v>17702.845100105376</v>
      </c>
      <c r="C912" s="266" t="s">
        <v>1576</v>
      </c>
    </row>
    <row r="913" spans="1:3" x14ac:dyDescent="0.3">
      <c r="A913" s="266" t="s">
        <v>1152</v>
      </c>
      <c r="B913" s="263">
        <f>(80/24)*(RAINrate.R/(0.0013/3600))*(3600*24)</f>
        <v>17702.845100105376</v>
      </c>
      <c r="C913" s="266" t="s">
        <v>1576</v>
      </c>
    </row>
    <row r="914" spans="1:3" x14ac:dyDescent="0.3">
      <c r="A914" s="266" t="s">
        <v>3270</v>
      </c>
      <c r="B914" s="263">
        <f>(80/24)*(RAINrate.T/(0.0013/3600))*(3600*24)</f>
        <v>32876.712328767127</v>
      </c>
      <c r="C914" s="266" t="s">
        <v>1576</v>
      </c>
    </row>
    <row r="915" spans="1:3" ht="15" x14ac:dyDescent="0.3">
      <c r="A915" s="262" t="s">
        <v>4575</v>
      </c>
      <c r="B915" s="263">
        <f>(MTCas.air.aC*MTCas.soil.sC)/(MTCas.air.aC+MTCas.soil.sC/((Kaw.C*FRorig.s1w)/Ks1w.C))*SYSTEMAREA.C*AREAFRAC.s1C*CORRvolat.s1C</f>
        <v>5191.6834098565969</v>
      </c>
      <c r="C915" s="262" t="s">
        <v>1055</v>
      </c>
    </row>
    <row r="916" spans="1:3" ht="15" x14ac:dyDescent="0.3">
      <c r="A916" s="262" t="s">
        <v>4576</v>
      </c>
      <c r="B916" s="263">
        <v>3.1223453934029976E-20</v>
      </c>
      <c r="C916" s="262" t="s">
        <v>1055</v>
      </c>
    </row>
    <row r="917" spans="1:3" ht="15" x14ac:dyDescent="0.3">
      <c r="A917" s="262" t="s">
        <v>4577</v>
      </c>
      <c r="B917" s="263">
        <f>(MTCas.air.aC*MTCas.soil.sC)/(MTCas.air.aC+MTCas.soil.sC/((Kaw.C*FRorig.s2w)/Ks2w.C))*SYSTEMAREA.C*AREAFRAC.s2C*CORRvolat.s2C</f>
        <v>20999.977927512682</v>
      </c>
      <c r="C917" s="262" t="s">
        <v>1055</v>
      </c>
    </row>
    <row r="918" spans="1:3" ht="15" x14ac:dyDescent="0.3">
      <c r="A918" s="262" t="s">
        <v>4578</v>
      </c>
      <c r="B918" s="263">
        <v>1.2629657698127048E-19</v>
      </c>
      <c r="C918" s="262" t="s">
        <v>1055</v>
      </c>
    </row>
    <row r="919" spans="1:3" ht="15" x14ac:dyDescent="0.3">
      <c r="A919" s="262" t="s">
        <v>4579</v>
      </c>
      <c r="B919" s="263">
        <f>(MTCas.air.aC*MTCas.soil.sC)/(MTCas.air.aC+MTCas.soil.sC/((Kaw.C*FRorig.s3w)/Ks3w.C))*SYSTEMAREA.C*AREAFRAC.s3C*CORRvolat.s3C</f>
        <v>1922.8457073542945</v>
      </c>
      <c r="C919" s="262" t="s">
        <v>1055</v>
      </c>
    </row>
    <row r="920" spans="1:3" ht="15" x14ac:dyDescent="0.3">
      <c r="A920" s="262" t="s">
        <v>4580</v>
      </c>
      <c r="B920" s="263">
        <v>1.1564242197788877E-20</v>
      </c>
      <c r="C920" s="262" t="s">
        <v>1055</v>
      </c>
    </row>
    <row r="921" spans="1:3" ht="15" x14ac:dyDescent="0.3">
      <c r="A921" s="262" t="s">
        <v>4581</v>
      </c>
      <c r="B921" s="263">
        <f>(MTCas.air.aA*MTCas.soil.sA/(MTCas.air.aA+MTCas.soil.sA/((Kaw.A*FRorig.s1w)/Ksw.A)*(SYSTEMAREA.A*AREAFRAC.sA*CORRvolat.sA)))</f>
        <v>5.5238292461372575E-20</v>
      </c>
      <c r="C921" s="266" t="s">
        <v>1055</v>
      </c>
    </row>
    <row r="922" spans="1:3" ht="15" x14ac:dyDescent="0.3">
      <c r="A922" s="262" t="s">
        <v>4582</v>
      </c>
      <c r="B922" s="263">
        <f>(MTCas.air.aM*MTCas.soil.sM/(MTCas.air.aM+MTCas.soil.sM/((Kaw.M*FRorig.s1w)/Ksw.M)*(SYSTEMAREA.M*AREAFRAC.sM*CORRvolat.sM)))</f>
        <v>8.1967151011948618E-20</v>
      </c>
      <c r="C922" s="266" t="s">
        <v>1055</v>
      </c>
    </row>
    <row r="923" spans="1:3" ht="15" x14ac:dyDescent="0.3">
      <c r="A923" s="262" t="s">
        <v>4583</v>
      </c>
      <c r="B923" s="263">
        <f>(MTCas.air.aT*MTCas.soil.sT/(MTCas.air.aT+MTCas.soil.sT/((Kaw.T*FRorig.s1w)/Ksw.T)*(SYSTEMAREA.T*AREAFRAC.sT*CORRvolat.sT)))</f>
        <v>1.5650582183802177E-19</v>
      </c>
      <c r="C923" s="266" t="s">
        <v>1055</v>
      </c>
    </row>
    <row r="924" spans="1:3" ht="15" x14ac:dyDescent="0.3">
      <c r="A924" s="262" t="s">
        <v>4584</v>
      </c>
      <c r="B924" s="263">
        <f>(MTCaw.air.aC*MTCaw.water.wC/(FRorig.w1*MTCaw.air.aC*Kaw.C+MTCaw.water.wC))*Kaw.C*(FRw.w0C*FRorig.w1)*(SYSTEMAREA.C*AREAFRAC.w0C)</f>
        <v>44648.751265680177</v>
      </c>
      <c r="C924" s="262" t="s">
        <v>1055</v>
      </c>
    </row>
    <row r="925" spans="1:3" ht="15" x14ac:dyDescent="0.3">
      <c r="A925" s="262" t="s">
        <v>4585</v>
      </c>
      <c r="B925" s="263" t="e">
        <v>#NAME?</v>
      </c>
      <c r="C925" s="262" t="s">
        <v>1055</v>
      </c>
    </row>
    <row r="926" spans="1:3" ht="15" x14ac:dyDescent="0.3">
      <c r="A926" s="262" t="s">
        <v>4586</v>
      </c>
      <c r="B926" s="263">
        <f>(MTCaw.air.aC*MTCaw.water.wC/(FRorig.w1*MTCaw.air.aC*Kaw.C+MTCaw.water.wC))*Kaw.C*(FRw.w1C*FRorig.w1)*(SYSTEMAREA.C*AREAFRAC.w1C)</f>
        <v>490588.99147075537</v>
      </c>
      <c r="C926" s="262" t="s">
        <v>1055</v>
      </c>
    </row>
    <row r="927" spans="1:3" ht="15" x14ac:dyDescent="0.3">
      <c r="A927" s="262" t="s">
        <v>4587</v>
      </c>
      <c r="B927" s="263" t="e">
        <v>#NAME?</v>
      </c>
      <c r="C927" s="262" t="s">
        <v>1055</v>
      </c>
    </row>
    <row r="928" spans="1:3" ht="15" x14ac:dyDescent="0.3">
      <c r="A928" s="262" t="s">
        <v>4588</v>
      </c>
      <c r="B928" s="263">
        <f>(MTCaw.air.aA*MTCaw.water.wA/(FRorig.w1*MTCaw.air.aA*Kaw.A+MTCaw.water.wA))*Kaw.A*(FRw.w2A*FRorig.w1)*(SYSTEMAREA.A*AREAFRAC.wA)</f>
        <v>126728109.96665511</v>
      </c>
      <c r="C928" s="266" t="s">
        <v>1055</v>
      </c>
    </row>
    <row r="929" spans="1:3" ht="15" x14ac:dyDescent="0.3">
      <c r="A929" s="262" t="s">
        <v>4589</v>
      </c>
      <c r="B929" s="263">
        <f>(MTCaw.air.aC*MTCaw.water.wC/(FRorig.w2*MTCaw.air.aC*Kaw.C+MTCaw.water.wC))*Kaw.C*(FRw.w2C*FRorig.w2)*(SYSTEMAREA.C*AREAFRAC.w2C)</f>
        <v>19018857.918862797</v>
      </c>
      <c r="C929" s="262" t="s">
        <v>1055</v>
      </c>
    </row>
    <row r="930" spans="1:3" ht="15" x14ac:dyDescent="0.3">
      <c r="A930" s="262" t="s">
        <v>4590</v>
      </c>
      <c r="B930" s="263">
        <f>(MTCaw.air.aM*MTCaw.water.wM/(FRorig.w1*MTCaw.air.aM*Kaw.M+MTCaw.water.wM))*Kaw.M*(FRw.w2M*FRorig.w1)*(SYSTEMAREA.M*AREAFRAC.wM)</f>
        <v>198646964.78688475</v>
      </c>
      <c r="C930" s="266" t="s">
        <v>1055</v>
      </c>
    </row>
    <row r="931" spans="1:3" ht="15" x14ac:dyDescent="0.3">
      <c r="A931" s="262" t="s">
        <v>4591</v>
      </c>
      <c r="B931" s="263" t="e">
        <v>#NAME?</v>
      </c>
      <c r="C931" s="262" t="s">
        <v>1055</v>
      </c>
    </row>
    <row r="932" spans="1:3" ht="15" x14ac:dyDescent="0.3">
      <c r="A932" s="262" t="s">
        <v>4592</v>
      </c>
      <c r="B932" s="263">
        <f>(MTCaw.air.aT*MTCaw.water.wT/(FRorig.w1*MTCaw.air.aT*Kaw.T+MTCaw.water.wT))*Kaw.T*(FRw.w2T*FRorig.w1)*(SYSTEMAREA.T*AREAFRAC.wT)</f>
        <v>459872808.38479304</v>
      </c>
      <c r="C932" s="266" t="s">
        <v>1055</v>
      </c>
    </row>
    <row r="933" spans="1:3" ht="15" x14ac:dyDescent="0.3">
      <c r="A933" s="262" t="s">
        <v>2876</v>
      </c>
      <c r="B933" s="263">
        <f>SYSTEMAREA.A*HEIGHT.aA</f>
        <v>4.25E+16</v>
      </c>
      <c r="C933" s="266" t="s">
        <v>950</v>
      </c>
    </row>
    <row r="934" spans="1:3" ht="15" x14ac:dyDescent="0.3">
      <c r="A934" s="262" t="s">
        <v>1870</v>
      </c>
      <c r="B934" s="263">
        <f>SYSTEMAREA.C*HEIGHT.aC</f>
        <v>7199250000000000</v>
      </c>
      <c r="C934" s="266" t="s">
        <v>950</v>
      </c>
    </row>
    <row r="935" spans="1:3" ht="15" x14ac:dyDescent="0.3">
      <c r="A935" s="262" t="s">
        <v>2464</v>
      </c>
      <c r="B935" s="263">
        <f>SYSTEMAREA.M*HEIGHT.aM</f>
        <v>7.757118E+16</v>
      </c>
      <c r="C935" s="266" t="s">
        <v>950</v>
      </c>
    </row>
    <row r="936" spans="1:3" ht="15" x14ac:dyDescent="0.3">
      <c r="A936" s="262" t="s">
        <v>949</v>
      </c>
      <c r="B936" s="263">
        <f>SYSTEMAREA.R*HEIGHT.aR</f>
        <v>229570000000000</v>
      </c>
      <c r="C936" s="262" t="s">
        <v>950</v>
      </c>
    </row>
    <row r="937" spans="1:3" ht="15" x14ac:dyDescent="0.3">
      <c r="A937" s="262" t="s">
        <v>3196</v>
      </c>
      <c r="B937" s="263">
        <f>SYSTEMAREA.T*HEIGHT.aT</f>
        <v>1.275E+17</v>
      </c>
      <c r="C937" s="262" t="s">
        <v>950</v>
      </c>
    </row>
    <row r="938" spans="1:3" ht="15" x14ac:dyDescent="0.3">
      <c r="A938" s="262" t="s">
        <v>1880</v>
      </c>
      <c r="B938" s="263">
        <f>SYSTEMAREA.C*AREAFRAC.s1C*DEPTH.s1C</f>
        <v>47058840000.000015</v>
      </c>
      <c r="C938" s="266" t="s">
        <v>950</v>
      </c>
    </row>
    <row r="939" spans="1:3" ht="15" x14ac:dyDescent="0.3">
      <c r="A939" s="262" t="s">
        <v>968</v>
      </c>
      <c r="B939" s="263">
        <f>SYSTEMAREA.R*AREAFRAC.s1R*DEPTH.s1R</f>
        <v>3085695000.0000005</v>
      </c>
      <c r="C939" s="262" t="s">
        <v>950</v>
      </c>
    </row>
    <row r="940" spans="1:3" ht="15" x14ac:dyDescent="0.3">
      <c r="A940" s="262" t="s">
        <v>1881</v>
      </c>
      <c r="B940" s="263">
        <f>SYSTEMAREA.C*AREAFRAC.s2C*DEPTH.s2C</f>
        <v>418300800000.00006</v>
      </c>
      <c r="C940" s="266" t="s">
        <v>950</v>
      </c>
    </row>
    <row r="941" spans="1:3" ht="15" x14ac:dyDescent="0.3">
      <c r="A941" s="262" t="s">
        <v>970</v>
      </c>
      <c r="B941" s="263">
        <f>SYSTEMAREA.R*AREAFRAC.s2R*DEPTH.s2R</f>
        <v>27428400000</v>
      </c>
      <c r="C941" s="262" t="s">
        <v>950</v>
      </c>
    </row>
    <row r="942" spans="1:3" ht="15" x14ac:dyDescent="0.3">
      <c r="A942" s="262" t="s">
        <v>1882</v>
      </c>
      <c r="B942" s="263">
        <f>SYSTEMAREA.C*AREAFRAC.s3C*DEPTH.s3C</f>
        <v>17429200000</v>
      </c>
      <c r="C942" s="266" t="s">
        <v>950</v>
      </c>
    </row>
    <row r="943" spans="1:3" ht="15" x14ac:dyDescent="0.3">
      <c r="A943" s="262" t="s">
        <v>972</v>
      </c>
      <c r="B943" s="263">
        <f>SYSTEMAREA.R*AREAFRAC.s3R*DEPTH.s3R</f>
        <v>1142850000</v>
      </c>
      <c r="C943" s="262" t="s">
        <v>950</v>
      </c>
    </row>
    <row r="944" spans="1:3" ht="15" x14ac:dyDescent="0.3">
      <c r="A944" s="262" t="s">
        <v>2882</v>
      </c>
      <c r="B944" s="263">
        <f>SYSTEMAREA.A*DEPTH.sA*AREAFRAC.sA</f>
        <v>850000000000</v>
      </c>
      <c r="C944" s="266" t="s">
        <v>950</v>
      </c>
    </row>
    <row r="945" spans="1:3" ht="15" x14ac:dyDescent="0.3">
      <c r="A945" s="262" t="s">
        <v>1878</v>
      </c>
      <c r="B945" s="263">
        <f>SYSTEMAREA.C*AREAFRAC.w1C*DEPTH.sd1C</f>
        <v>2875818000</v>
      </c>
      <c r="C945" s="266" t="s">
        <v>950</v>
      </c>
    </row>
    <row r="946" spans="1:3" ht="15" x14ac:dyDescent="0.3">
      <c r="A946" s="262" t="s">
        <v>964</v>
      </c>
      <c r="B946" s="263">
        <f>SYSTEMAREA.R*AREAFRAC.w1R*DEPTH.sd1R</f>
        <v>188570250</v>
      </c>
      <c r="C946" s="262" t="s">
        <v>950</v>
      </c>
    </row>
    <row r="947" spans="1:3" ht="15" x14ac:dyDescent="0.3">
      <c r="A947" s="262" t="s">
        <v>1879</v>
      </c>
      <c r="B947" s="263">
        <f>SYSTEMAREA.C*AREAFRAC.w2C*DEPTH.sd2C</f>
        <v>111402300000</v>
      </c>
      <c r="C947" s="266" t="s">
        <v>950</v>
      </c>
    </row>
    <row r="948" spans="1:3" ht="15" x14ac:dyDescent="0.3">
      <c r="A948" s="262" t="s">
        <v>966</v>
      </c>
      <c r="B948" s="263">
        <f>SYSTEMAREA.R*AREAFRAC.w2R*DEPTH.sd2R</f>
        <v>30000000.00000003</v>
      </c>
      <c r="C948" s="262" t="s">
        <v>950</v>
      </c>
    </row>
    <row r="949" spans="1:3" ht="15" x14ac:dyDescent="0.3">
      <c r="A949" s="262" t="s">
        <v>2881</v>
      </c>
      <c r="B949" s="263">
        <f>SYSTEMAREA.A*DEPTH.sdA*AREAFRAC.wA</f>
        <v>765000000000</v>
      </c>
      <c r="C949" s="266" t="s">
        <v>950</v>
      </c>
    </row>
    <row r="950" spans="1:3" ht="15" x14ac:dyDescent="0.3">
      <c r="A950" s="262" t="s">
        <v>2471</v>
      </c>
      <c r="B950" s="263">
        <f>SYSTEMAREA.M*DEPTH.sdM*AREAFRAC.wM</f>
        <v>1163567700000</v>
      </c>
      <c r="C950" s="266" t="s">
        <v>950</v>
      </c>
    </row>
    <row r="951" spans="1:3" ht="15" x14ac:dyDescent="0.3">
      <c r="A951" s="262" t="s">
        <v>3200</v>
      </c>
      <c r="B951" s="263">
        <f>SYSTEMAREA.T*DEPTH.sdT*AREAFRAC.wT</f>
        <v>2677500000000</v>
      </c>
      <c r="C951" s="262" t="s">
        <v>950</v>
      </c>
    </row>
    <row r="952" spans="1:3" ht="15" x14ac:dyDescent="0.3">
      <c r="A952" s="262" t="s">
        <v>2473</v>
      </c>
      <c r="B952" s="263">
        <f>SYSTEMAREA.M*DEPTH.sM*AREAFRAC.sM</f>
        <v>1939279500000</v>
      </c>
      <c r="C952" s="266" t="s">
        <v>950</v>
      </c>
    </row>
    <row r="953" spans="1:3" ht="15" x14ac:dyDescent="0.3">
      <c r="A953" s="262" t="s">
        <v>3201</v>
      </c>
      <c r="B953" s="263">
        <f>SYSTEMAREA.T*DEPTH.sT*AREAFRAC.sT</f>
        <v>1912500000000.0002</v>
      </c>
      <c r="C953" s="262" t="s">
        <v>950</v>
      </c>
    </row>
    <row r="954" spans="1:3" ht="15" x14ac:dyDescent="0.3">
      <c r="A954" s="262" t="s">
        <v>1873</v>
      </c>
      <c r="B954" s="263">
        <f>SYSTEMAREA.C*AREAFRAC.w0C*DEPTH.w0C</f>
        <v>871460000000</v>
      </c>
      <c r="C954" s="262" t="s">
        <v>950</v>
      </c>
    </row>
    <row r="955" spans="1:3" ht="15" x14ac:dyDescent="0.3">
      <c r="A955" s="262" t="s">
        <v>956</v>
      </c>
      <c r="B955" s="263">
        <f>SYSTEMAREA.R*AREAFRAC.w0R*DEPTH.w0R</f>
        <v>57142500000</v>
      </c>
      <c r="C955" s="262" t="s">
        <v>950</v>
      </c>
    </row>
    <row r="956" spans="1:3" ht="15" x14ac:dyDescent="0.3">
      <c r="A956" s="262" t="s">
        <v>1874</v>
      </c>
      <c r="B956" s="263">
        <f>SYSTEMAREA.C*AREAFRAC.w1C*DEPTH.w1C</f>
        <v>287581800000</v>
      </c>
      <c r="C956" s="266" t="s">
        <v>950</v>
      </c>
    </row>
    <row r="957" spans="1:3" ht="15" x14ac:dyDescent="0.3">
      <c r="A957" s="262" t="s">
        <v>958</v>
      </c>
      <c r="B957" s="263">
        <f>SYSTEMAREA.R*AREAFRAC.w1R*DEPTH.w1R</f>
        <v>18857025000</v>
      </c>
      <c r="C957" s="262" t="s">
        <v>950</v>
      </c>
    </row>
    <row r="958" spans="1:3" ht="15" x14ac:dyDescent="0.3">
      <c r="A958" s="262" t="s">
        <v>2878</v>
      </c>
      <c r="B958" s="263">
        <f>SYSTEMAREA.A*DEPTH.w2A*AREAFRAC.wA</f>
        <v>2550000000000000</v>
      </c>
      <c r="C958" s="266" t="s">
        <v>950</v>
      </c>
    </row>
    <row r="959" spans="1:3" ht="15" x14ac:dyDescent="0.3">
      <c r="A959" s="262" t="s">
        <v>1875</v>
      </c>
      <c r="B959" s="263">
        <f>SYSTEMAREA.C*AREAFRAC.w2C*DEPTH.w2C</f>
        <v>742682000000000</v>
      </c>
      <c r="C959" s="266" t="s">
        <v>950</v>
      </c>
    </row>
    <row r="960" spans="1:3" ht="15" x14ac:dyDescent="0.3">
      <c r="A960" s="262" t="s">
        <v>2467</v>
      </c>
      <c r="B960" s="263">
        <f>SYSTEMAREA.M*DEPTH.w2M*AREAFRAC.wM</f>
        <v>3878559000000000</v>
      </c>
      <c r="C960" s="266" t="s">
        <v>950</v>
      </c>
    </row>
    <row r="961" spans="1:3" ht="15" x14ac:dyDescent="0.3">
      <c r="A961" s="262" t="s">
        <v>960</v>
      </c>
      <c r="B961" s="263">
        <f>SYSTEMAREA.R*AREAFRAC.w2R*DEPTH.w2R</f>
        <v>10000000000.000011</v>
      </c>
      <c r="C961" s="262" t="s">
        <v>950</v>
      </c>
    </row>
    <row r="962" spans="1:3" ht="15" x14ac:dyDescent="0.3">
      <c r="A962" s="262" t="s">
        <v>3198</v>
      </c>
      <c r="B962" s="263">
        <f>SYSTEMAREA.T*DEPTH.w2T*AREAFRAC.wT</f>
        <v>8924999999999999</v>
      </c>
      <c r="C962" s="266" t="s">
        <v>950</v>
      </c>
    </row>
    <row r="963" spans="1:3" ht="15" x14ac:dyDescent="0.3">
      <c r="A963" s="262" t="s">
        <v>2880</v>
      </c>
      <c r="B963" s="263">
        <f>SYSTEMAREA.A*DEPTH.w3A*AREAFRAC.wA</f>
        <v>7.65E+16</v>
      </c>
      <c r="C963" s="266" t="s">
        <v>950</v>
      </c>
    </row>
    <row r="964" spans="1:3" ht="15" x14ac:dyDescent="0.3">
      <c r="A964" s="262" t="s">
        <v>2469</v>
      </c>
      <c r="B964" s="263">
        <f>SYSTEMAREA.M*DEPTH.w3M*AREAFRAC.wM</f>
        <v>1.1635677E+17</v>
      </c>
      <c r="C964" s="266" t="s">
        <v>950</v>
      </c>
    </row>
    <row r="965" spans="1:3" ht="15" x14ac:dyDescent="0.3">
      <c r="A965" s="262" t="s">
        <v>3199</v>
      </c>
      <c r="B965" s="263">
        <f>SYSTEMAREA.T*DEPTH.w3T*AREAFRAC.wT</f>
        <v>2.6774999999999997E+17</v>
      </c>
      <c r="C965" s="266" t="s">
        <v>950</v>
      </c>
    </row>
    <row r="966" spans="1:3" ht="15" x14ac:dyDescent="0.3">
      <c r="A966" s="264" t="s">
        <v>1933</v>
      </c>
      <c r="B966" s="263">
        <f>0.1*WATERflow.w1C.w2C</f>
        <v>2089.1164383561645</v>
      </c>
      <c r="C966" s="262" t="s">
        <v>1055</v>
      </c>
    </row>
    <row r="967" spans="1:3" ht="15" x14ac:dyDescent="0.3">
      <c r="A967" s="264" t="s">
        <v>1935</v>
      </c>
      <c r="B967" s="263">
        <v>0</v>
      </c>
      <c r="C967" s="262" t="s">
        <v>1055</v>
      </c>
    </row>
    <row r="968" spans="1:3" ht="15" x14ac:dyDescent="0.3">
      <c r="A968" s="264" t="s">
        <v>1054</v>
      </c>
      <c r="B968" s="263">
        <f>0.1*WATERflow.w2R.w2C</f>
        <v>1369.8544520547946</v>
      </c>
      <c r="C968" s="262" t="s">
        <v>1055</v>
      </c>
    </row>
    <row r="969" spans="1:3" ht="15" x14ac:dyDescent="0.3">
      <c r="A969" s="264" t="s">
        <v>1057</v>
      </c>
      <c r="B969" s="263">
        <v>0</v>
      </c>
      <c r="C969" s="262" t="s">
        <v>1055</v>
      </c>
    </row>
    <row r="970" spans="1:3" ht="15" x14ac:dyDescent="0.3">
      <c r="A970" s="264" t="s">
        <v>1937</v>
      </c>
      <c r="B970" s="263">
        <v>0</v>
      </c>
      <c r="C970" s="262" t="s">
        <v>1055</v>
      </c>
    </row>
    <row r="971" spans="1:3" ht="15" x14ac:dyDescent="0.3">
      <c r="A971" s="264" t="s">
        <v>1939</v>
      </c>
      <c r="B971" s="263">
        <f>((AREAFRAC.w1C+AREAFRAC.s1C*FRACrun.s1C+AREAFRAC.s2C*FRACrun.s2C+AREAFRAC.s3C*FRACrun.s3C)*RAINrate.C*SYSTEMAREA.C+WATERflow.w0C.w1C)*FRAC.w1C.w1R</f>
        <v>0</v>
      </c>
      <c r="C971" s="266" t="s">
        <v>1055</v>
      </c>
    </row>
    <row r="972" spans="1:3" ht="15" x14ac:dyDescent="0.3">
      <c r="A972" s="264" t="s">
        <v>1941</v>
      </c>
      <c r="B972" s="263">
        <f>((AREAFRAC.w1C+AREAFRAC.s1C*FRACrun.s1C+AREAFRAC.s2C*FRACrun.s2C+AREAFRAC.s3C*FRACrun.s3C)*RAINrate.C*SYSTEMAREA.C)*(1-FRAC.w1C.w1R)</f>
        <v>20891.164383561645</v>
      </c>
      <c r="C972" s="266" t="s">
        <v>1055</v>
      </c>
    </row>
    <row r="973" spans="1:3" ht="15" x14ac:dyDescent="0.3">
      <c r="A973" s="264" t="s">
        <v>1059</v>
      </c>
      <c r="B973" s="263">
        <v>0</v>
      </c>
      <c r="C973" s="262" t="s">
        <v>1055</v>
      </c>
    </row>
    <row r="974" spans="1:3" ht="15" x14ac:dyDescent="0.3">
      <c r="A974" s="264" t="s">
        <v>1061</v>
      </c>
      <c r="B974" s="263" t="e">
        <f>((AREAFRAC.w1R+AREAFRAC.s1R*FRACrun.s1R+AREAFRACs2R*FRACrun.s2R+AREAFRAC.s3R*FRACrun.s3R)*RAINrate.R*SYSTEMAREA.R+WATERflow.w1C.w1R)*(1-FRAC.w1R.w1C)</f>
        <v>#NAME?</v>
      </c>
      <c r="C974" s="262" t="s">
        <v>1055</v>
      </c>
    </row>
    <row r="975" spans="1:3" ht="15" x14ac:dyDescent="0.3">
      <c r="A975" s="264" t="s">
        <v>2912</v>
      </c>
      <c r="B975" s="263">
        <f>0</f>
        <v>0</v>
      </c>
      <c r="C975" s="266" t="s">
        <v>1055</v>
      </c>
    </row>
    <row r="976" spans="1:3" ht="15" x14ac:dyDescent="0.3">
      <c r="A976" s="264" t="s">
        <v>1949</v>
      </c>
      <c r="B976" s="263">
        <f>(VOLUME.w2C/TAU.w2C)-WATERflow.w2R.w2C</f>
        <v>23536593.185565703</v>
      </c>
      <c r="C976" s="266" t="s">
        <v>1055</v>
      </c>
    </row>
    <row r="977" spans="1:3" ht="15" x14ac:dyDescent="0.3">
      <c r="A977" s="264" t="s">
        <v>1947</v>
      </c>
      <c r="B977" s="263">
        <f>(10-1)*WATERflow.w1R.w2R</f>
        <v>12328.69006849315</v>
      </c>
      <c r="C977" s="266" t="s">
        <v>1055</v>
      </c>
    </row>
    <row r="978" spans="1:3" ht="15" x14ac:dyDescent="0.3">
      <c r="A978" s="264" t="s">
        <v>2513</v>
      </c>
      <c r="B978" s="263">
        <f>OceanCurrent</f>
        <v>150000000</v>
      </c>
      <c r="C978" s="266" t="s">
        <v>1055</v>
      </c>
    </row>
    <row r="979" spans="1:3" ht="15" x14ac:dyDescent="0.3">
      <c r="A979" s="264" t="s">
        <v>2511</v>
      </c>
      <c r="B979" s="263">
        <f>WATERflow.w2C.w2M</f>
        <v>23536593.185565703</v>
      </c>
      <c r="C979" s="266" t="s">
        <v>1055</v>
      </c>
    </row>
    <row r="980" spans="1:3" ht="15" x14ac:dyDescent="0.3">
      <c r="A980" s="264" t="s">
        <v>2515</v>
      </c>
      <c r="B980" s="263">
        <f>0</f>
        <v>0</v>
      </c>
      <c r="C980" s="266" t="s">
        <v>1055</v>
      </c>
    </row>
    <row r="981" spans="1:3" ht="15" x14ac:dyDescent="0.3">
      <c r="A981" s="264" t="s">
        <v>1063</v>
      </c>
      <c r="B981" s="263">
        <f>WATERflow.w1R.w2R+WATERflow.w2C.w2R</f>
        <v>13698.544520547945</v>
      </c>
      <c r="C981" s="262" t="s">
        <v>1055</v>
      </c>
    </row>
    <row r="982" spans="1:3" ht="15" x14ac:dyDescent="0.3">
      <c r="A982" s="264" t="s">
        <v>3228</v>
      </c>
      <c r="B982" s="263">
        <f>OceanCurrent</f>
        <v>150000000</v>
      </c>
      <c r="C982" s="266" t="s">
        <v>1055</v>
      </c>
    </row>
    <row r="983" spans="1:3" ht="15" x14ac:dyDescent="0.3">
      <c r="A983" s="262" t="s">
        <v>2970</v>
      </c>
      <c r="B983" s="263">
        <v>3</v>
      </c>
      <c r="C983" s="265" t="s">
        <v>1155</v>
      </c>
    </row>
    <row r="984" spans="1:3" ht="15" x14ac:dyDescent="0.3">
      <c r="A984" s="266" t="s">
        <v>740</v>
      </c>
      <c r="B984" s="266">
        <v>3</v>
      </c>
      <c r="C984" s="266" t="s">
        <v>690</v>
      </c>
    </row>
    <row r="985" spans="1:3" ht="15" x14ac:dyDescent="0.3">
      <c r="A985" s="262" t="s">
        <v>2604</v>
      </c>
      <c r="B985" s="263">
        <v>3</v>
      </c>
      <c r="C985" s="265" t="s">
        <v>1155</v>
      </c>
    </row>
    <row r="986" spans="1:3" ht="15" x14ac:dyDescent="0.3">
      <c r="A986" s="266" t="s">
        <v>689</v>
      </c>
      <c r="B986" s="266">
        <v>3</v>
      </c>
      <c r="C986" s="266" t="s">
        <v>690</v>
      </c>
    </row>
    <row r="987" spans="1:3" ht="15" x14ac:dyDescent="0.3">
      <c r="A987" s="262" t="s">
        <v>3283</v>
      </c>
      <c r="B987" s="266">
        <v>3</v>
      </c>
      <c r="C987" s="265" t="s">
        <v>1155</v>
      </c>
    </row>
  </sheetData>
  <pageMargins left="0.7" right="0.7" top="0.75" bottom="0.75" header="0.3" footer="0.3"/>
  <pageSetup paperSize="9" scale="79"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pageSetUpPr fitToPage="1"/>
  </sheetPr>
  <dimension ref="A1:BJ225"/>
  <sheetViews>
    <sheetView zoomScaleNormal="100" workbookViewId="0">
      <selection activeCell="G17" sqref="G17"/>
    </sheetView>
  </sheetViews>
  <sheetFormatPr defaultColWidth="9.109375" defaultRowHeight="12.75" customHeight="1" x14ac:dyDescent="0.3"/>
  <cols>
    <col min="1" max="1" width="2.5546875" style="24" customWidth="1" collapsed="1"/>
    <col min="2" max="2" width="33.109375" style="24" customWidth="1" collapsed="1"/>
    <col min="3" max="3" width="12.5546875" style="26" customWidth="1" collapsed="1"/>
    <col min="4" max="11" width="8.6640625" style="26" customWidth="1" collapsed="1"/>
    <col min="12" max="12" width="9.109375" style="26" customWidth="1" collapsed="1"/>
    <col min="13" max="14" width="3.6640625" style="24" customWidth="1" collapsed="1"/>
    <col min="15" max="41" width="9.109375" style="24" collapsed="1"/>
    <col min="42" max="42" width="10.5546875" style="24" customWidth="1" collapsed="1"/>
    <col min="43" max="51" width="9.109375" style="24" collapsed="1"/>
    <col min="52" max="62" width="9.109375" style="24"/>
    <col min="63" max="16384" width="9.109375" style="24" collapsed="1"/>
  </cols>
  <sheetData>
    <row r="1" spans="1:45" ht="12.75" customHeight="1" x14ac:dyDescent="0.3">
      <c r="A1" s="16"/>
      <c r="B1" s="16"/>
      <c r="C1" s="35"/>
      <c r="D1" s="35"/>
      <c r="E1" s="35"/>
      <c r="F1" s="35"/>
      <c r="G1" s="35"/>
      <c r="H1" s="35"/>
      <c r="I1" s="35"/>
      <c r="J1" s="35"/>
      <c r="K1" s="35"/>
      <c r="L1" s="35"/>
      <c r="M1" s="16"/>
      <c r="N1" s="153"/>
      <c r="O1" s="11"/>
      <c r="P1" s="11"/>
      <c r="Q1" s="11"/>
      <c r="R1" s="11"/>
      <c r="S1" s="11"/>
      <c r="T1" s="11"/>
      <c r="U1" s="11"/>
      <c r="V1" s="11"/>
      <c r="W1" s="352" t="s">
        <v>4593</v>
      </c>
      <c r="X1" s="352" t="s">
        <v>4594</v>
      </c>
      <c r="Y1" s="11"/>
      <c r="Z1" s="11"/>
      <c r="AA1" s="11"/>
      <c r="AB1" s="11"/>
      <c r="AC1" s="11"/>
      <c r="AD1" s="11"/>
      <c r="AE1" s="11">
        <v>5</v>
      </c>
      <c r="AF1" s="11"/>
      <c r="AG1" s="11"/>
      <c r="AH1" s="11"/>
      <c r="AI1" s="11"/>
      <c r="AJ1" s="11"/>
      <c r="AK1" s="352">
        <v>5</v>
      </c>
      <c r="AL1" s="352" t="s">
        <v>4595</v>
      </c>
      <c r="AM1" s="11"/>
      <c r="AN1" s="11"/>
      <c r="AO1" s="11"/>
      <c r="AP1" s="11"/>
      <c r="AQ1" s="11"/>
      <c r="AR1" s="352" t="s">
        <v>4596</v>
      </c>
      <c r="AS1" s="352" t="s">
        <v>4597</v>
      </c>
    </row>
    <row r="2" spans="1:45" ht="12.75" customHeight="1" x14ac:dyDescent="0.3">
      <c r="A2" s="16"/>
      <c r="B2" s="44" t="s">
        <v>52</v>
      </c>
      <c r="C2" s="35"/>
      <c r="D2" s="35"/>
      <c r="E2" s="35"/>
      <c r="F2" s="35"/>
      <c r="G2" s="35"/>
      <c r="H2" s="35"/>
      <c r="I2" s="35"/>
      <c r="J2" s="35"/>
      <c r="K2" s="35"/>
      <c r="L2" s="35"/>
      <c r="M2" s="16"/>
      <c r="N2" s="153"/>
      <c r="O2" s="11"/>
      <c r="P2" t="s">
        <v>4593</v>
      </c>
      <c r="Q2"/>
      <c r="R2" s="11"/>
      <c r="S2" s="11"/>
      <c r="T2" s="11"/>
      <c r="U2" s="11"/>
      <c r="V2" s="11"/>
      <c r="W2" s="11"/>
      <c r="X2"/>
      <c r="Y2" s="11"/>
      <c r="Z2" s="11"/>
      <c r="AA2" s="11"/>
      <c r="AB2" s="11"/>
      <c r="AC2" s="11"/>
      <c r="AD2" s="11"/>
      <c r="AE2" s="404" t="s">
        <v>246</v>
      </c>
      <c r="AF2" s="398"/>
      <c r="AG2" s="398" t="s">
        <v>112</v>
      </c>
      <c r="AH2" s="398" t="s">
        <v>4598</v>
      </c>
      <c r="AI2" s="398" t="s">
        <v>4599</v>
      </c>
      <c r="AJ2" s="399" t="s">
        <v>4600</v>
      </c>
      <c r="AK2" s="11"/>
      <c r="AL2"/>
      <c r="AM2" s="11"/>
      <c r="AN2" s="11"/>
      <c r="AO2" s="11"/>
      <c r="AP2" s="11"/>
      <c r="AQ2" s="11"/>
      <c r="AR2" s="11"/>
      <c r="AS2"/>
    </row>
    <row r="3" spans="1:45" ht="12.75" customHeight="1" x14ac:dyDescent="0.3">
      <c r="A3" s="16"/>
      <c r="B3" s="16"/>
      <c r="C3" s="35"/>
      <c r="D3" s="35"/>
      <c r="E3" s="35"/>
      <c r="F3" s="35"/>
      <c r="G3" s="35"/>
      <c r="H3" s="35"/>
      <c r="I3" s="35"/>
      <c r="J3" s="35"/>
      <c r="K3" s="35"/>
      <c r="L3" s="35"/>
      <c r="M3" s="16"/>
      <c r="N3" s="153"/>
      <c r="O3" s="11"/>
      <c r="P3" s="747"/>
      <c r="Q3" s="398" t="s">
        <v>246</v>
      </c>
      <c r="R3" s="398" t="s">
        <v>247</v>
      </c>
      <c r="S3" s="398" t="s">
        <v>4601</v>
      </c>
      <c r="T3" s="398" t="s">
        <v>248</v>
      </c>
      <c r="U3" s="398" t="s">
        <v>249</v>
      </c>
      <c r="V3" s="399" t="s">
        <v>4602</v>
      </c>
      <c r="W3" s="11"/>
      <c r="X3"/>
      <c r="Y3" s="11"/>
      <c r="Z3" s="11"/>
      <c r="AA3" s="11"/>
      <c r="AB3" s="11"/>
      <c r="AC3" s="11"/>
      <c r="AD3" s="11"/>
      <c r="AE3" s="748"/>
      <c r="AF3" s="352" t="s">
        <v>4603</v>
      </c>
      <c r="AG3" s="533">
        <f>C12</f>
        <v>0</v>
      </c>
      <c r="AH3" s="533">
        <f>SUM(C20,C36,C52)</f>
        <v>0</v>
      </c>
      <c r="AI3" s="533">
        <f>SUM(C28,C44,C68)</f>
        <v>0</v>
      </c>
      <c r="AJ3" s="749">
        <f>SUM(C76,C84,C92)</f>
        <v>0</v>
      </c>
      <c r="AK3" s="11"/>
      <c r="AL3"/>
      <c r="AM3" s="11"/>
      <c r="AN3" s="11"/>
      <c r="AO3" s="11"/>
      <c r="AP3" s="11"/>
      <c r="AQ3" s="11"/>
      <c r="AR3" s="11"/>
      <c r="AS3"/>
    </row>
    <row r="4" spans="1:45" ht="12.75" customHeight="1" x14ac:dyDescent="0.3">
      <c r="A4" s="16"/>
      <c r="B4" s="20" t="s">
        <v>57</v>
      </c>
      <c r="C4" s="35" t="str">
        <f>CONCATENATE(version!$B$2," ",version!$B$3," ",version!$C$3)</f>
        <v>SimpleBox4plastics vs 4.04-plastic 45387</v>
      </c>
      <c r="D4" s="35"/>
      <c r="E4" s="35"/>
      <c r="F4" s="35"/>
      <c r="G4" s="20"/>
      <c r="H4" s="20"/>
      <c r="I4" s="20"/>
      <c r="J4" s="20"/>
      <c r="K4" s="35"/>
      <c r="L4" s="35"/>
      <c r="M4" s="16"/>
      <c r="N4" s="153"/>
      <c r="O4" s="11"/>
      <c r="P4" s="400" t="s">
        <v>112</v>
      </c>
      <c r="Q4" s="533">
        <f>$C$11</f>
        <v>34306.844822999134</v>
      </c>
      <c r="R4" s="11">
        <f>$E$11</f>
        <v>125031.32838982854</v>
      </c>
      <c r="S4" s="533">
        <f>SUM(T4:V4)</f>
        <v>117417.64938301076</v>
      </c>
      <c r="T4" s="11">
        <f>$G$11</f>
        <v>77588.16358395516</v>
      </c>
      <c r="U4" s="11">
        <f>$I$11</f>
        <v>15994.048240418671</v>
      </c>
      <c r="V4" s="750">
        <f>$K$11</f>
        <v>23835.437558636931</v>
      </c>
      <c r="W4" s="11"/>
      <c r="X4" s="11"/>
      <c r="Y4" s="11"/>
      <c r="Z4" s="11"/>
      <c r="AA4" s="11"/>
      <c r="AB4" s="11"/>
      <c r="AC4" s="11"/>
      <c r="AD4" s="11"/>
      <c r="AE4" s="748"/>
      <c r="AF4" s="352" t="s">
        <v>4604</v>
      </c>
      <c r="AG4" s="533">
        <f>C15</f>
        <v>9690.1971073752156</v>
      </c>
      <c r="AH4" s="533">
        <f>SUM(C23,C39,C55)</f>
        <v>1694.115722694346</v>
      </c>
      <c r="AI4" s="533">
        <f>SUM(C31,C47,C71)</f>
        <v>7.3329381595783525E-4</v>
      </c>
      <c r="AJ4" s="749">
        <f>SUM(C79,C87,C95)</f>
        <v>16.237202955990579</v>
      </c>
      <c r="AK4" s="11"/>
      <c r="AL4" s="11"/>
      <c r="AM4" s="11"/>
      <c r="AN4" s="11"/>
      <c r="AO4" s="11"/>
      <c r="AP4" s="11"/>
      <c r="AQ4" s="11"/>
      <c r="AR4" s="11"/>
      <c r="AS4" s="11"/>
    </row>
    <row r="5" spans="1:45" ht="12.75" customHeight="1" x14ac:dyDescent="0.35">
      <c r="A5" s="16"/>
      <c r="B5" s="20" t="s">
        <v>61</v>
      </c>
      <c r="C5" s="717" t="str">
        <f>ChemName</f>
        <v>default substance</v>
      </c>
      <c r="D5" s="35"/>
      <c r="E5" s="35"/>
      <c r="F5" s="35"/>
      <c r="G5" s="380"/>
      <c r="H5" s="381"/>
      <c r="I5" s="381"/>
      <c r="J5" s="381"/>
      <c r="K5" s="35"/>
      <c r="L5" s="35"/>
      <c r="M5" s="16"/>
      <c r="N5" s="153"/>
      <c r="O5" s="11"/>
      <c r="P5" s="400" t="s">
        <v>4598</v>
      </c>
      <c r="Q5" s="533">
        <f>SUM(C19,C35,C51)</f>
        <v>15825053.72309426</v>
      </c>
      <c r="R5" s="533">
        <f>SUM(E19,E35,E51)</f>
        <v>31842631209.877644</v>
      </c>
      <c r="S5" s="533">
        <f>SUM(T5:V5)</f>
        <v>21336402187846.859</v>
      </c>
      <c r="T5" s="533">
        <f>SUM(G51,G59)</f>
        <v>5163971283950.5781</v>
      </c>
      <c r="U5" s="533">
        <f>SUM(I51,I59)</f>
        <v>3413118667509.3564</v>
      </c>
      <c r="V5" s="749">
        <f>SUM(K51,K59)</f>
        <v>12759312236386.924</v>
      </c>
      <c r="W5" s="11"/>
      <c r="X5" s="11"/>
      <c r="Y5" s="11"/>
      <c r="Z5" s="11"/>
      <c r="AA5" s="11"/>
      <c r="AB5" s="11"/>
      <c r="AC5" s="11"/>
      <c r="AD5" s="11"/>
      <c r="AE5" s="748"/>
      <c r="AF5" s="352" t="s">
        <v>4605</v>
      </c>
      <c r="AG5" s="533">
        <f>C16</f>
        <v>24606.827009700963</v>
      </c>
      <c r="AH5" s="533">
        <f>SUM(C24,C40,C56)</f>
        <v>15679728.718862168</v>
      </c>
      <c r="AI5" s="533">
        <f>SUM(C32,C48,C72)</f>
        <v>5692832.5186264506</v>
      </c>
      <c r="AJ5" s="749">
        <f>SUM(C80,C88,C96)</f>
        <v>4054972.7086551082</v>
      </c>
      <c r="AK5" s="11"/>
      <c r="AL5" s="11"/>
      <c r="AM5" s="11"/>
      <c r="AN5" s="11"/>
      <c r="AO5" s="11"/>
      <c r="AP5" s="11"/>
      <c r="AQ5" s="11"/>
      <c r="AR5" s="11"/>
      <c r="AS5" s="11"/>
    </row>
    <row r="6" spans="1:45" ht="12.75" customHeight="1" x14ac:dyDescent="0.3">
      <c r="A6" s="16"/>
      <c r="B6" s="20" t="s">
        <v>63</v>
      </c>
      <c r="C6" s="733" t="str">
        <f>ScenarioName</f>
        <v>default scenario</v>
      </c>
      <c r="D6" s="35"/>
      <c r="E6" s="35"/>
      <c r="F6" s="35"/>
      <c r="G6" s="20"/>
      <c r="H6" s="20"/>
      <c r="I6" s="20"/>
      <c r="J6" s="20"/>
      <c r="K6" s="35"/>
      <c r="L6" s="35"/>
      <c r="M6" s="16"/>
      <c r="N6" s="153"/>
      <c r="O6" s="11"/>
      <c r="P6" s="400" t="s">
        <v>4599</v>
      </c>
      <c r="Q6" s="533">
        <f>SUM(C27,C43,C67)</f>
        <v>48202764.96939522</v>
      </c>
      <c r="R6" s="533">
        <f>SUM(E27,E43,E67)</f>
        <v>817649002.59267676</v>
      </c>
      <c r="S6" s="533">
        <f>SUM(T6:V6)</f>
        <v>35901518339.753647</v>
      </c>
      <c r="T6" s="533">
        <f>G67</f>
        <v>8606352891.3889256</v>
      </c>
      <c r="U6" s="533">
        <f>I67</f>
        <v>5606482958.227644</v>
      </c>
      <c r="V6" s="749">
        <f>K67</f>
        <v>21688682490.137074</v>
      </c>
      <c r="W6" s="11"/>
      <c r="X6" s="11"/>
      <c r="Y6" s="11"/>
      <c r="Z6" s="11"/>
      <c r="AA6" s="11"/>
      <c r="AB6" s="11"/>
      <c r="AC6" s="11"/>
      <c r="AD6" s="11"/>
      <c r="AE6" s="751"/>
      <c r="AF6" s="412" t="s">
        <v>4606</v>
      </c>
      <c r="AG6" s="752">
        <f>C17</f>
        <v>9.8207059229520564</v>
      </c>
      <c r="AH6" s="752">
        <f>SUM(C25,C41,C57)</f>
        <v>143630.88850939719</v>
      </c>
      <c r="AI6" s="752">
        <f>SUM(C33,C49,C73)</f>
        <v>42509932.450035483</v>
      </c>
      <c r="AJ6" s="753">
        <f>SUM(C81,C89,C97)</f>
        <v>16477418137.669863</v>
      </c>
      <c r="AK6" s="11"/>
      <c r="AL6" s="11"/>
      <c r="AM6" s="11"/>
      <c r="AN6" s="11"/>
      <c r="AO6" s="11"/>
      <c r="AP6" s="11"/>
      <c r="AQ6" s="11"/>
      <c r="AR6" s="11"/>
      <c r="AS6" s="11"/>
    </row>
    <row r="7" spans="1:45" ht="12.75" customHeight="1" x14ac:dyDescent="0.3">
      <c r="A7" s="16"/>
      <c r="B7" s="20" t="s">
        <v>65</v>
      </c>
      <c r="C7" s="733" t="str">
        <f>CaseName</f>
        <v>defaults only</v>
      </c>
      <c r="D7" s="35"/>
      <c r="E7" s="35"/>
      <c r="F7" s="35"/>
      <c r="G7" s="382"/>
      <c r="H7" s="20"/>
      <c r="I7" s="20"/>
      <c r="J7" s="20"/>
      <c r="K7" s="35"/>
      <c r="L7" s="35"/>
      <c r="M7" s="16"/>
      <c r="N7" s="153"/>
      <c r="O7" s="11"/>
      <c r="P7" s="397" t="s">
        <v>4600</v>
      </c>
      <c r="Q7" s="752">
        <f>SUM(C75,C83,C91)</f>
        <v>16481473126.615721</v>
      </c>
      <c r="R7" s="752">
        <f>SUM(E75,E83,E91)</f>
        <v>131591047.31883366</v>
      </c>
      <c r="S7" s="752">
        <f>SUM(T7:V7)</f>
        <v>4015950.326777013</v>
      </c>
      <c r="T7" s="752">
        <f>G91</f>
        <v>3809685.7330096853</v>
      </c>
      <c r="U7" s="752">
        <f>I91</f>
        <v>118348.8893463626</v>
      </c>
      <c r="V7" s="753">
        <f>K91</f>
        <v>87915.70442096499</v>
      </c>
      <c r="W7" s="11"/>
      <c r="X7" s="11"/>
      <c r="Y7" s="11"/>
      <c r="Z7" s="11"/>
      <c r="AA7" s="11"/>
      <c r="AB7" s="11"/>
      <c r="AC7" s="11"/>
      <c r="AD7" s="11"/>
      <c r="AE7" s="11">
        <v>6</v>
      </c>
      <c r="AF7" s="11"/>
      <c r="AG7" s="533"/>
      <c r="AH7" s="533"/>
      <c r="AI7" s="533"/>
      <c r="AJ7" s="533"/>
      <c r="AK7" s="11"/>
      <c r="AL7" s="11"/>
      <c r="AM7" s="11"/>
      <c r="AN7" s="11"/>
      <c r="AO7" s="11"/>
      <c r="AP7" s="11"/>
      <c r="AQ7" s="11"/>
      <c r="AR7" s="11"/>
      <c r="AS7" s="11"/>
    </row>
    <row r="8" spans="1:45" ht="12.75" customHeight="1" thickBot="1" x14ac:dyDescent="0.35">
      <c r="A8" s="16"/>
      <c r="B8" s="16"/>
      <c r="C8" s="35"/>
      <c r="D8" s="35"/>
      <c r="E8" s="35"/>
      <c r="F8" s="35"/>
      <c r="G8" s="35"/>
      <c r="H8" s="35"/>
      <c r="I8" s="35"/>
      <c r="J8" s="35"/>
      <c r="K8" s="35"/>
      <c r="L8" s="35"/>
      <c r="M8" s="16"/>
      <c r="N8" s="153"/>
      <c r="O8" s="11"/>
      <c r="P8" s="11">
        <v>2</v>
      </c>
      <c r="Q8" s="533"/>
      <c r="R8" s="533"/>
      <c r="S8" s="533"/>
      <c r="T8" s="533"/>
      <c r="U8" s="533"/>
      <c r="V8" s="533"/>
      <c r="W8" s="11"/>
      <c r="X8" s="11"/>
      <c r="Y8" s="11"/>
      <c r="Z8" s="11"/>
      <c r="AA8" s="11"/>
      <c r="AB8" s="11"/>
      <c r="AC8" s="11"/>
      <c r="AD8" s="11"/>
      <c r="AE8" s="404" t="s">
        <v>247</v>
      </c>
      <c r="AF8" s="398" t="s">
        <v>4603</v>
      </c>
      <c r="AG8" s="754">
        <f>E12</f>
        <v>0</v>
      </c>
      <c r="AH8" s="754">
        <f>SUM(E20,E36,E52)</f>
        <v>0</v>
      </c>
      <c r="AI8" s="754">
        <f>SUM(E28,E44,E68)</f>
        <v>0</v>
      </c>
      <c r="AJ8" s="755">
        <f>SUM(E76,E84,E92)</f>
        <v>0</v>
      </c>
      <c r="AK8" s="11"/>
      <c r="AL8" s="11"/>
      <c r="AM8" s="11"/>
      <c r="AN8" s="11"/>
      <c r="AO8" s="11"/>
      <c r="AP8" s="11"/>
      <c r="AQ8" s="11"/>
      <c r="AR8" s="11"/>
      <c r="AS8" s="11"/>
    </row>
    <row r="9" spans="1:45" ht="12.75" customHeight="1" x14ac:dyDescent="0.3">
      <c r="A9" s="16"/>
      <c r="B9" s="154"/>
      <c r="C9" s="102" t="s">
        <v>68</v>
      </c>
      <c r="D9" s="76"/>
      <c r="E9" s="76"/>
      <c r="F9" s="76"/>
      <c r="G9" s="76"/>
      <c r="H9" s="76"/>
      <c r="I9" s="76"/>
      <c r="J9" s="76"/>
      <c r="K9" s="76"/>
      <c r="L9" s="99"/>
      <c r="M9" s="16"/>
      <c r="N9" s="153"/>
      <c r="O9" s="11"/>
      <c r="P9" s="747"/>
      <c r="Q9" s="407" t="s">
        <v>246</v>
      </c>
      <c r="R9" s="407" t="s">
        <v>247</v>
      </c>
      <c r="S9" s="407" t="s">
        <v>4601</v>
      </c>
      <c r="T9" s="407" t="s">
        <v>248</v>
      </c>
      <c r="U9" s="407" t="s">
        <v>249</v>
      </c>
      <c r="V9" s="408" t="s">
        <v>4602</v>
      </c>
      <c r="W9" s="11"/>
      <c r="X9" s="11"/>
      <c r="Y9" s="11"/>
      <c r="Z9" s="11"/>
      <c r="AA9" s="11"/>
      <c r="AB9" s="11"/>
      <c r="AC9" s="11"/>
      <c r="AD9" s="11"/>
      <c r="AE9" s="400"/>
      <c r="AF9" s="352" t="s">
        <v>4604</v>
      </c>
      <c r="AG9" s="533">
        <f>E15</f>
        <v>3498.1130415501457</v>
      </c>
      <c r="AH9" s="533">
        <f>SUM(E23,E39,E55)</f>
        <v>5.3106040419321792</v>
      </c>
      <c r="AI9" s="533">
        <f>SUM(E31,E47,E71)</f>
        <v>1.7638332302643699E-7</v>
      </c>
      <c r="AJ9" s="749">
        <f>SUM(E79,E87,E95)</f>
        <v>0.16044513298432969</v>
      </c>
      <c r="AK9" s="11"/>
      <c r="AL9" s="11"/>
      <c r="AM9" s="11"/>
      <c r="AN9" s="11"/>
      <c r="AO9" s="11"/>
      <c r="AP9" s="11"/>
      <c r="AQ9" s="11"/>
      <c r="AR9" s="11"/>
      <c r="AS9" s="11"/>
    </row>
    <row r="10" spans="1:45" ht="12.75" customHeight="1" x14ac:dyDescent="0.3">
      <c r="A10" s="16"/>
      <c r="B10" s="155"/>
      <c r="C10" s="40" t="s">
        <v>103</v>
      </c>
      <c r="D10" s="40"/>
      <c r="E10" s="40" t="s">
        <v>104</v>
      </c>
      <c r="F10" s="40"/>
      <c r="G10" s="40" t="s">
        <v>105</v>
      </c>
      <c r="H10" s="40"/>
      <c r="I10" s="40" t="s">
        <v>106</v>
      </c>
      <c r="J10" s="40"/>
      <c r="K10" s="40" t="s">
        <v>107</v>
      </c>
      <c r="L10" s="41"/>
      <c r="M10" s="16"/>
      <c r="N10" s="153"/>
      <c r="O10" s="11"/>
      <c r="P10" s="400" t="s">
        <v>218</v>
      </c>
      <c r="Q10" s="533">
        <f>C99</f>
        <v>0</v>
      </c>
      <c r="R10" s="533">
        <f>E99</f>
        <v>0</v>
      </c>
      <c r="S10" s="533">
        <f>SUM(T10:V10)</f>
        <v>0</v>
      </c>
      <c r="T10" s="533">
        <f>G99</f>
        <v>0</v>
      </c>
      <c r="U10" s="533">
        <f>I99</f>
        <v>0</v>
      </c>
      <c r="V10" s="749">
        <f>K99</f>
        <v>0</v>
      </c>
      <c r="W10" s="11"/>
      <c r="X10" s="11"/>
      <c r="Y10" s="11"/>
      <c r="Z10" s="11"/>
      <c r="AA10" s="11"/>
      <c r="AB10" s="11"/>
      <c r="AC10" s="11"/>
      <c r="AD10" s="11"/>
      <c r="AE10" s="400"/>
      <c r="AF10" s="352" t="s">
        <v>4605</v>
      </c>
      <c r="AG10" s="533">
        <f>E16</f>
        <v>121528.11244655181</v>
      </c>
      <c r="AH10" s="533">
        <f>SUM(E24,E40,E56)</f>
        <v>31842194409.873188</v>
      </c>
      <c r="AI10" s="533">
        <f>SUM(E32,E48,E72)</f>
        <v>810709650.29964113</v>
      </c>
      <c r="AJ10" s="749">
        <f>SUM(E80,E88,E96)</f>
        <v>344250.84619184205</v>
      </c>
      <c r="AK10" s="11"/>
      <c r="AL10" s="11"/>
      <c r="AM10" s="11"/>
      <c r="AN10" s="11"/>
      <c r="AO10" s="11"/>
      <c r="AP10" s="11"/>
      <c r="AQ10" s="11"/>
      <c r="AR10" s="11"/>
      <c r="AS10" s="11"/>
    </row>
    <row r="11" spans="1:45" ht="12.75" customHeight="1" x14ac:dyDescent="0.3">
      <c r="A11" s="16"/>
      <c r="B11" s="385" t="s">
        <v>112</v>
      </c>
      <c r="C11" s="386">
        <f>SUM(C12,C15:C17)</f>
        <v>34306.844822999134</v>
      </c>
      <c r="D11" s="379">
        <f t="shared" ref="D11:D17" si="0">C11/$C$103</f>
        <v>2.0734805069866121E-6</v>
      </c>
      <c r="E11" s="386">
        <f>SUM(E12,E15:E17)</f>
        <v>125031.32838982854</v>
      </c>
      <c r="F11" s="379">
        <f t="shared" ref="F11:F17" si="1">E11/$E$103</f>
        <v>3.8128611408661361E-6</v>
      </c>
      <c r="G11" s="378">
        <f>SUM(G12,G15:G17)</f>
        <v>77588.16358395516</v>
      </c>
      <c r="H11" s="379">
        <f t="shared" ref="H11:H17" si="2">G11/$G$103</f>
        <v>1.4999891876468219E-8</v>
      </c>
      <c r="I11" s="378">
        <f>SUM(I12,I15:I17)</f>
        <v>15994.048240418671</v>
      </c>
      <c r="J11" s="379">
        <f t="shared" ref="J11:J17" si="3">I11/$I$103</f>
        <v>4.6783660306022869E-9</v>
      </c>
      <c r="K11" s="378">
        <f>SUM(K12,K15:K17)</f>
        <v>23835.437558636931</v>
      </c>
      <c r="L11" s="394">
        <f t="shared" ref="L11:L17" si="4">K11/$K$103</f>
        <v>1.8649116373215244E-9</v>
      </c>
      <c r="M11" s="16"/>
      <c r="N11" s="153"/>
      <c r="O11" s="11"/>
      <c r="P11" s="400" t="s">
        <v>219</v>
      </c>
      <c r="Q11" s="533">
        <f>C100</f>
        <v>11400.550766319368</v>
      </c>
      <c r="R11" s="533">
        <f>E100</f>
        <v>3503.584090901446</v>
      </c>
      <c r="S11" s="533">
        <f>SUM(T11:V11)</f>
        <v>193.03974941152899</v>
      </c>
      <c r="T11" s="533">
        <f>G100</f>
        <v>185.62758664264814</v>
      </c>
      <c r="U11" s="533">
        <f>I100</f>
        <v>2.8918424496526485</v>
      </c>
      <c r="V11" s="749">
        <f>K100</f>
        <v>4.5203203192282091</v>
      </c>
      <c r="W11" s="11"/>
      <c r="X11" s="11"/>
      <c r="Y11" s="11"/>
      <c r="Z11" s="11"/>
      <c r="AA11" s="11"/>
      <c r="AB11" s="11"/>
      <c r="AC11" s="11"/>
      <c r="AD11" s="11"/>
      <c r="AE11" s="397"/>
      <c r="AF11" s="412" t="s">
        <v>4606</v>
      </c>
      <c r="AG11" s="752">
        <f>E17</f>
        <v>5.1029017265960102</v>
      </c>
      <c r="AH11" s="752">
        <f>SUM(E25,E41,E57)</f>
        <v>436794.69384860701</v>
      </c>
      <c r="AI11" s="752">
        <f>SUM(E33,E49,E73)</f>
        <v>6939352.2930355333</v>
      </c>
      <c r="AJ11" s="753">
        <f>SUM(E81,E89,E97)</f>
        <v>131246796.31219669</v>
      </c>
      <c r="AK11" s="11"/>
      <c r="AL11" s="11"/>
      <c r="AM11" s="11"/>
      <c r="AN11" s="11"/>
      <c r="AO11" s="11"/>
      <c r="AP11" s="11"/>
      <c r="AQ11" s="11"/>
      <c r="AR11" s="11"/>
      <c r="AS11" s="11"/>
    </row>
    <row r="12" spans="1:45" ht="12.75" customHeight="1" x14ac:dyDescent="0.3">
      <c r="A12" s="16"/>
      <c r="B12" s="376" t="s">
        <v>116</v>
      </c>
      <c r="C12" s="240">
        <f>(M.aRG)*Molweight</f>
        <v>0</v>
      </c>
      <c r="D12" s="379">
        <f t="shared" si="0"/>
        <v>0</v>
      </c>
      <c r="E12" s="241">
        <f>(M.aCG)*Molweight</f>
        <v>0</v>
      </c>
      <c r="F12" s="379">
        <f t="shared" si="1"/>
        <v>0</v>
      </c>
      <c r="G12" s="241">
        <f>(M.aMG)*Molweight</f>
        <v>0</v>
      </c>
      <c r="H12" s="379">
        <f t="shared" si="2"/>
        <v>0</v>
      </c>
      <c r="I12" s="241">
        <f>(M.aAG)*Molweight</f>
        <v>0</v>
      </c>
      <c r="J12" s="379">
        <f t="shared" si="3"/>
        <v>0</v>
      </c>
      <c r="K12" s="241">
        <f>(M.aTG)*Molweight</f>
        <v>0</v>
      </c>
      <c r="L12" s="394">
        <f t="shared" si="4"/>
        <v>0</v>
      </c>
      <c r="M12" s="16"/>
      <c r="N12" s="153"/>
      <c r="O12" s="11"/>
      <c r="P12" s="400" t="s">
        <v>220</v>
      </c>
      <c r="Q12" s="533">
        <f>C101</f>
        <v>25452140.773153428</v>
      </c>
      <c r="R12" s="533">
        <f>E101</f>
        <v>32653369839.131474</v>
      </c>
      <c r="S12" s="533">
        <f>SUM(T12:V12)</f>
        <v>21370586725047.578</v>
      </c>
      <c r="T12" s="533">
        <f>G101</f>
        <v>5172323110566.4814</v>
      </c>
      <c r="U12" s="533">
        <f>I101</f>
        <v>3418642318684.8813</v>
      </c>
      <c r="V12" s="749">
        <f>K101</f>
        <v>12779621295796.213</v>
      </c>
      <c r="W12" s="11"/>
      <c r="X12" s="11"/>
      <c r="Y12" s="11"/>
      <c r="Z12" s="11"/>
      <c r="AA12" s="11"/>
      <c r="AB12" s="11"/>
      <c r="AC12" s="11"/>
      <c r="AD12" s="11"/>
      <c r="AE12" s="11">
        <v>7</v>
      </c>
      <c r="AF12" s="11"/>
      <c r="AG12" s="277"/>
      <c r="AH12" s="277"/>
      <c r="AI12" s="277"/>
      <c r="AJ12" s="277"/>
      <c r="AK12" s="11"/>
      <c r="AL12" s="11"/>
      <c r="AM12" s="11"/>
      <c r="AN12" s="11"/>
      <c r="AO12" s="11"/>
      <c r="AP12" s="11"/>
      <c r="AQ12" s="11"/>
      <c r="AR12" s="11"/>
      <c r="AS12" s="11"/>
    </row>
    <row r="13" spans="1:45" ht="12.75" customHeight="1" x14ac:dyDescent="0.3">
      <c r="A13" s="16"/>
      <c r="B13" s="156" t="s">
        <v>118</v>
      </c>
      <c r="C13" s="240">
        <f>FRgas.aR*C12</f>
        <v>0</v>
      </c>
      <c r="D13" s="379">
        <f t="shared" si="0"/>
        <v>0</v>
      </c>
      <c r="E13" s="241">
        <f>FRgas.aC*E12</f>
        <v>0</v>
      </c>
      <c r="F13" s="379">
        <f t="shared" si="1"/>
        <v>0</v>
      </c>
      <c r="G13" s="241">
        <f>FRgas.aC*G12</f>
        <v>0</v>
      </c>
      <c r="H13" s="379">
        <f t="shared" si="2"/>
        <v>0</v>
      </c>
      <c r="I13" s="241">
        <f>FRgas.aC*I12</f>
        <v>0</v>
      </c>
      <c r="J13" s="379">
        <f t="shared" si="3"/>
        <v>0</v>
      </c>
      <c r="K13" s="241">
        <f>FRgas.aC*K12</f>
        <v>0</v>
      </c>
      <c r="L13" s="394">
        <f t="shared" si="4"/>
        <v>0</v>
      </c>
      <c r="M13" s="16"/>
      <c r="N13" s="153"/>
      <c r="O13" s="11"/>
      <c r="P13" s="397" t="s">
        <v>222</v>
      </c>
      <c r="Q13" s="752">
        <f>C102</f>
        <v>16520071710.829113</v>
      </c>
      <c r="R13" s="752">
        <f>E102</f>
        <v>138622948.40198255</v>
      </c>
      <c r="S13" s="752">
        <f>SUM(T13:V13)</f>
        <v>1721114313.9725506</v>
      </c>
      <c r="T13" s="752">
        <f>G102</f>
        <v>258413363.75478312</v>
      </c>
      <c r="U13" s="752">
        <f>I102</f>
        <v>82966122.748311743</v>
      </c>
      <c r="V13" s="753">
        <f>K102</f>
        <v>1379734827.4694557</v>
      </c>
      <c r="W13" s="11"/>
      <c r="X13" s="11"/>
      <c r="Y13" s="11"/>
      <c r="Z13" s="11"/>
      <c r="AA13" s="11"/>
      <c r="AB13" s="11"/>
      <c r="AC13" s="11"/>
      <c r="AD13" s="11"/>
      <c r="AE13" s="404" t="s">
        <v>4601</v>
      </c>
      <c r="AF13" s="398" t="s">
        <v>4603</v>
      </c>
      <c r="AG13" s="754">
        <f t="shared" ref="AG13:AJ16" si="5">SUM(AG18,AG23,AG28)</f>
        <v>0</v>
      </c>
      <c r="AH13" s="754">
        <f t="shared" si="5"/>
        <v>0</v>
      </c>
      <c r="AI13" s="754">
        <f t="shared" si="5"/>
        <v>0</v>
      </c>
      <c r="AJ13" s="755">
        <f t="shared" si="5"/>
        <v>0</v>
      </c>
      <c r="AK13" s="11"/>
      <c r="AL13" s="11"/>
      <c r="AM13" s="11"/>
      <c r="AN13" s="11"/>
      <c r="AO13" s="11"/>
      <c r="AP13" s="11"/>
      <c r="AQ13" s="11"/>
      <c r="AR13" s="11"/>
      <c r="AS13" s="11"/>
    </row>
    <row r="14" spans="1:45" ht="12.75" customHeight="1" x14ac:dyDescent="0.3">
      <c r="A14" s="16"/>
      <c r="B14" s="156" t="s">
        <v>121</v>
      </c>
      <c r="C14" s="240">
        <f>(1-FRgas.aR)*C12</f>
        <v>0</v>
      </c>
      <c r="D14" s="379">
        <f t="shared" si="0"/>
        <v>0</v>
      </c>
      <c r="E14" s="241">
        <f>(1-FRgas.aC)*E12</f>
        <v>0</v>
      </c>
      <c r="F14" s="379">
        <f t="shared" si="1"/>
        <v>0</v>
      </c>
      <c r="G14" s="241">
        <f>(1-FRgas.aC)*G12</f>
        <v>0</v>
      </c>
      <c r="H14" s="379">
        <f t="shared" si="2"/>
        <v>0</v>
      </c>
      <c r="I14" s="241">
        <f>(1-FRgas.aC)*I12</f>
        <v>0</v>
      </c>
      <c r="J14" s="379">
        <f t="shared" si="3"/>
        <v>0</v>
      </c>
      <c r="K14" s="241">
        <f>(1-FRgas.aC)*K12</f>
        <v>0</v>
      </c>
      <c r="L14" s="394">
        <f t="shared" si="4"/>
        <v>0</v>
      </c>
      <c r="M14" s="16"/>
      <c r="N14" s="153"/>
      <c r="O14" s="11"/>
      <c r="P14" t="s">
        <v>4607</v>
      </c>
      <c r="Q14" s="277"/>
      <c r="R14" s="533"/>
      <c r="S14" s="533"/>
      <c r="T14" s="533"/>
      <c r="U14" s="533"/>
      <c r="V14" s="533"/>
      <c r="W14" s="11"/>
      <c r="X14" s="11"/>
      <c r="Y14" s="11"/>
      <c r="Z14" s="11"/>
      <c r="AA14" s="11"/>
      <c r="AB14" s="11"/>
      <c r="AC14" s="11"/>
      <c r="AD14" s="11"/>
      <c r="AE14" s="400"/>
      <c r="AF14" s="352" t="s">
        <v>4604</v>
      </c>
      <c r="AG14" s="533">
        <f t="shared" si="5"/>
        <v>192.89031712374671</v>
      </c>
      <c r="AH14" s="533">
        <f t="shared" si="5"/>
        <v>0.13635664210474127</v>
      </c>
      <c r="AI14" s="533">
        <f t="shared" si="5"/>
        <v>1.6788430805028288E-16</v>
      </c>
      <c r="AJ14" s="749">
        <f t="shared" si="5"/>
        <v>1.3075645677518824E-2</v>
      </c>
      <c r="AK14" s="11"/>
      <c r="AL14" s="11"/>
      <c r="AM14" s="11"/>
      <c r="AN14" s="11"/>
      <c r="AO14" s="11"/>
      <c r="AP14" s="11"/>
      <c r="AQ14" s="11"/>
      <c r="AR14" s="11"/>
      <c r="AS14" s="11"/>
    </row>
    <row r="15" spans="1:45" ht="12.75" customHeight="1" x14ac:dyDescent="0.3">
      <c r="A15" s="16"/>
      <c r="B15" s="156" t="s">
        <v>123</v>
      </c>
      <c r="C15" s="240">
        <f>(M.aRS+M.cwRS)*Molweight</f>
        <v>9690.1971073752156</v>
      </c>
      <c r="D15" s="379">
        <f t="shared" si="0"/>
        <v>5.8566839692383192E-7</v>
      </c>
      <c r="E15" s="241">
        <f>(M.aCS+M.cwCS)*Molweight</f>
        <v>3498.1130415501457</v>
      </c>
      <c r="F15" s="379">
        <f t="shared" si="1"/>
        <v>1.0667581840687414E-7</v>
      </c>
      <c r="G15" s="241">
        <f>(M.aMS+M.cwMS)*Molweight</f>
        <v>185.48542016365889</v>
      </c>
      <c r="H15" s="379">
        <f t="shared" si="2"/>
        <v>3.5859351718069525E-11</v>
      </c>
      <c r="I15" s="241">
        <f>(M.aAS+M.cwAS)*Molweight</f>
        <v>2.889426245081903</v>
      </c>
      <c r="J15" s="379">
        <f t="shared" si="3"/>
        <v>8.4517649251307007E-13</v>
      </c>
      <c r="K15" s="241">
        <f>(M.aTS+M.cwTS)*Molweight</f>
        <v>4.5154707150059439</v>
      </c>
      <c r="L15" s="394">
        <f t="shared" si="4"/>
        <v>3.5329554423672584E-13</v>
      </c>
      <c r="M15" s="16"/>
      <c r="N15" s="153"/>
      <c r="O15" s="11"/>
      <c r="P15" s="409"/>
      <c r="Q15" s="410" t="s">
        <v>246</v>
      </c>
      <c r="R15" s="410" t="s">
        <v>247</v>
      </c>
      <c r="S15" s="410" t="s">
        <v>4601</v>
      </c>
      <c r="T15" s="410" t="s">
        <v>248</v>
      </c>
      <c r="U15" s="410" t="s">
        <v>249</v>
      </c>
      <c r="V15" s="411" t="s">
        <v>4602</v>
      </c>
      <c r="W15" s="11"/>
      <c r="X15" s="11"/>
      <c r="Y15" s="11"/>
      <c r="Z15" s="11"/>
      <c r="AA15" s="11"/>
      <c r="AB15" s="11"/>
      <c r="AC15" s="11"/>
      <c r="AD15" s="11"/>
      <c r="AE15" s="400"/>
      <c r="AF15" s="352" t="s">
        <v>4605</v>
      </c>
      <c r="AG15" s="533">
        <f t="shared" si="5"/>
        <v>117224.44448227852</v>
      </c>
      <c r="AH15" s="533">
        <f t="shared" si="5"/>
        <v>21335544225036.133</v>
      </c>
      <c r="AI15" s="533">
        <f t="shared" si="5"/>
        <v>35042029592.80027</v>
      </c>
      <c r="AJ15" s="749">
        <f t="shared" si="5"/>
        <v>353194.19907863764</v>
      </c>
      <c r="AK15" s="11"/>
      <c r="AL15" s="11"/>
      <c r="AM15" s="11"/>
      <c r="AN15" s="11"/>
      <c r="AO15" s="11"/>
      <c r="AP15" s="11"/>
      <c r="AQ15" s="11"/>
      <c r="AR15" s="11"/>
      <c r="AS15" s="11"/>
    </row>
    <row r="16" spans="1:45" ht="12.75" customHeight="1" x14ac:dyDescent="0.3">
      <c r="A16" s="16"/>
      <c r="B16" s="156" t="s">
        <v>126</v>
      </c>
      <c r="C16" s="240">
        <f>(M.aRA+M.cwRA)*Molweight</f>
        <v>24606.827009700963</v>
      </c>
      <c r="D16" s="379">
        <f t="shared" si="0"/>
        <v>1.4872185538088853E-6</v>
      </c>
      <c r="E16" s="241">
        <f>(M.aCA+M.cwCA)*Molweight</f>
        <v>121528.11244655181</v>
      </c>
      <c r="F16" s="379">
        <f t="shared" si="1"/>
        <v>3.7060297082148198E-6</v>
      </c>
      <c r="G16" s="241">
        <f>(M.aMA+M.cwMA)*Molweight</f>
        <v>77402.379832496183</v>
      </c>
      <c r="H16" s="379">
        <f t="shared" si="2"/>
        <v>1.4963974849236691E-8</v>
      </c>
      <c r="I16" s="241">
        <f>(M.aAA+M.cwAA)*Molweight</f>
        <v>15991.146850784064</v>
      </c>
      <c r="J16" s="379">
        <f t="shared" si="3"/>
        <v>4.6775173547383616E-9</v>
      </c>
      <c r="K16" s="241">
        <f>(M.aTA+M.cwTA)*Molweight</f>
        <v>23830.917798998264</v>
      </c>
      <c r="L16" s="394">
        <f t="shared" si="4"/>
        <v>1.8645580062070415E-9</v>
      </c>
      <c r="M16" s="16"/>
      <c r="N16" s="153"/>
      <c r="O16" s="11"/>
      <c r="P16" s="405" t="s">
        <v>219</v>
      </c>
      <c r="Q16" s="756">
        <f t="shared" ref="Q16:V18" si="6">Q11</f>
        <v>11400.550766319368</v>
      </c>
      <c r="R16" s="756">
        <f t="shared" si="6"/>
        <v>3503.584090901446</v>
      </c>
      <c r="S16" s="756">
        <f t="shared" si="6"/>
        <v>193.03974941152899</v>
      </c>
      <c r="T16" s="756">
        <f t="shared" si="6"/>
        <v>185.62758664264814</v>
      </c>
      <c r="U16" s="756">
        <f t="shared" si="6"/>
        <v>2.8918424496526485</v>
      </c>
      <c r="V16" s="757">
        <f t="shared" si="6"/>
        <v>4.5203203192282091</v>
      </c>
      <c r="W16" s="11"/>
      <c r="X16" s="11"/>
      <c r="Y16" s="11"/>
      <c r="Z16" s="11"/>
      <c r="AA16" s="11"/>
      <c r="AB16" s="11"/>
      <c r="AC16" s="11"/>
      <c r="AD16" s="11"/>
      <c r="AE16" s="397"/>
      <c r="AF16" s="412" t="s">
        <v>4606</v>
      </c>
      <c r="AG16" s="752">
        <f t="shared" si="5"/>
        <v>0.31458360850569006</v>
      </c>
      <c r="AH16" s="752">
        <f t="shared" si="5"/>
        <v>857962810.58997583</v>
      </c>
      <c r="AI16" s="752">
        <f t="shared" si="5"/>
        <v>859488746.95336831</v>
      </c>
      <c r="AJ16" s="753">
        <f t="shared" si="5"/>
        <v>3662756.1146227294</v>
      </c>
      <c r="AK16" s="11"/>
      <c r="AL16" s="11"/>
      <c r="AM16" s="11"/>
      <c r="AN16" s="11"/>
      <c r="AO16" s="11"/>
      <c r="AP16" s="11"/>
      <c r="AQ16" s="11"/>
      <c r="AR16" s="11"/>
      <c r="AS16" s="11"/>
    </row>
    <row r="17" spans="1:45" ht="12.75" customHeight="1" x14ac:dyDescent="0.3">
      <c r="A17" s="16"/>
      <c r="B17" s="156" t="s">
        <v>128</v>
      </c>
      <c r="C17" s="240">
        <f>(M.aRP+M.cwRP)*Molweight</f>
        <v>9.8207059229520564</v>
      </c>
      <c r="D17" s="379">
        <f t="shared" si="0"/>
        <v>5.9355625389478468E-10</v>
      </c>
      <c r="E17" s="241">
        <f>(M.aCP+M.cwCP)*Molweight</f>
        <v>5.1029017265960102</v>
      </c>
      <c r="F17" s="379">
        <f t="shared" si="1"/>
        <v>1.55614244442271E-10</v>
      </c>
      <c r="G17" s="241">
        <f>(M.aMP+M.cwMP)*Molweight</f>
        <v>0.29833129531729552</v>
      </c>
      <c r="H17" s="379">
        <f t="shared" si="2"/>
        <v>5.7675513460039377E-14</v>
      </c>
      <c r="I17" s="241">
        <f>(M.aAP+M.cwAP)*Molweight</f>
        <v>1.1963389526235794E-2</v>
      </c>
      <c r="J17" s="379">
        <f t="shared" si="3"/>
        <v>3.4993714117333207E-15</v>
      </c>
      <c r="K17" s="241">
        <f>(M.aTP+M.cwTP)*Molweight</f>
        <v>4.2889236621587966E-3</v>
      </c>
      <c r="L17" s="394">
        <f t="shared" si="4"/>
        <v>3.3557024617092853E-16</v>
      </c>
      <c r="M17" s="16"/>
      <c r="N17" s="153"/>
      <c r="O17" s="11"/>
      <c r="P17" s="405" t="s">
        <v>220</v>
      </c>
      <c r="Q17" s="756">
        <f t="shared" si="6"/>
        <v>25452140.773153428</v>
      </c>
      <c r="R17" s="756">
        <f t="shared" si="6"/>
        <v>32653369839.131474</v>
      </c>
      <c r="S17" s="756">
        <f t="shared" si="6"/>
        <v>21370586725047.578</v>
      </c>
      <c r="T17" s="756">
        <f t="shared" si="6"/>
        <v>5172323110566.4814</v>
      </c>
      <c r="U17" s="756">
        <f t="shared" si="6"/>
        <v>3418642318684.8813</v>
      </c>
      <c r="V17" s="757">
        <f t="shared" si="6"/>
        <v>12779621295796.213</v>
      </c>
      <c r="W17" s="11"/>
      <c r="X17" s="11"/>
      <c r="Y17" s="11"/>
      <c r="Z17" s="11"/>
      <c r="AA17" s="11"/>
      <c r="AB17" s="11"/>
      <c r="AC17" s="11"/>
      <c r="AD17" s="11"/>
      <c r="AE17" s="11"/>
      <c r="AF17" s="11"/>
      <c r="AG17" s="277"/>
      <c r="AH17" s="277"/>
      <c r="AI17" s="277"/>
      <c r="AJ17" s="277"/>
      <c r="AK17" s="11"/>
      <c r="AL17" s="11"/>
      <c r="AM17" s="11"/>
      <c r="AN17" s="11"/>
      <c r="AO17" s="11"/>
      <c r="AP17" s="11"/>
      <c r="AQ17" s="11"/>
      <c r="AR17" s="11"/>
      <c r="AS17" s="11"/>
    </row>
    <row r="18" spans="1:45" ht="12.75" customHeight="1" x14ac:dyDescent="0.3">
      <c r="A18" s="16"/>
      <c r="B18" s="156"/>
      <c r="C18" s="240"/>
      <c r="D18" s="379"/>
      <c r="E18" s="241"/>
      <c r="F18" s="379"/>
      <c r="G18" s="241"/>
      <c r="H18" s="379"/>
      <c r="I18" s="241"/>
      <c r="J18" s="379"/>
      <c r="K18" s="241"/>
      <c r="L18" s="394"/>
      <c r="M18" s="16"/>
      <c r="N18" s="153"/>
      <c r="O18" s="11"/>
      <c r="P18" s="406" t="s">
        <v>222</v>
      </c>
      <c r="Q18" s="758">
        <f t="shared" si="6"/>
        <v>16520071710.829113</v>
      </c>
      <c r="R18" s="758">
        <f t="shared" si="6"/>
        <v>138622948.40198255</v>
      </c>
      <c r="S18" s="758">
        <f t="shared" si="6"/>
        <v>1721114313.9725506</v>
      </c>
      <c r="T18" s="758">
        <f t="shared" si="6"/>
        <v>258413363.75478312</v>
      </c>
      <c r="U18" s="758">
        <f t="shared" si="6"/>
        <v>82966122.748311743</v>
      </c>
      <c r="V18" s="759">
        <f t="shared" si="6"/>
        <v>1379734827.4694557</v>
      </c>
      <c r="W18" s="11"/>
      <c r="X18" s="11"/>
      <c r="Y18" s="11"/>
      <c r="Z18" s="11"/>
      <c r="AA18" s="11"/>
      <c r="AB18" s="11"/>
      <c r="AC18" s="11"/>
      <c r="AD18" s="11"/>
      <c r="AE18" s="404" t="s">
        <v>248</v>
      </c>
      <c r="AF18" s="398" t="s">
        <v>4603</v>
      </c>
      <c r="AG18" s="754">
        <f>G12</f>
        <v>0</v>
      </c>
      <c r="AH18" s="754">
        <f>SUM(G52,G60)</f>
        <v>0</v>
      </c>
      <c r="AI18" s="754">
        <f>G68</f>
        <v>0</v>
      </c>
      <c r="AJ18" s="755">
        <f>G92</f>
        <v>0</v>
      </c>
      <c r="AK18" s="11"/>
      <c r="AL18" s="11"/>
      <c r="AM18" s="11"/>
      <c r="AN18" s="11"/>
      <c r="AO18" s="11"/>
      <c r="AP18" s="11"/>
      <c r="AQ18" s="11"/>
      <c r="AR18" s="11"/>
      <c r="AS18" s="11"/>
    </row>
    <row r="19" spans="1:45" ht="12.75" customHeight="1" x14ac:dyDescent="0.3">
      <c r="A19" s="16"/>
      <c r="B19" s="101" t="s">
        <v>133</v>
      </c>
      <c r="C19" s="240">
        <f>SUM(C20,C23:C25)</f>
        <v>7748260.786323172</v>
      </c>
      <c r="D19" s="379">
        <f t="shared" ref="D19:D25" si="7">C19/$C$103</f>
        <v>4.6829919179042023E-4</v>
      </c>
      <c r="E19" s="240">
        <f>SUM(E20,E23:E25)</f>
        <v>884035.61548925831</v>
      </c>
      <c r="F19" s="379">
        <f t="shared" ref="F19:F25" si="8">E19/$E$103</f>
        <v>2.6958883736173127E-5</v>
      </c>
      <c r="G19" s="241"/>
      <c r="H19" s="379"/>
      <c r="I19" s="241"/>
      <c r="J19" s="379"/>
      <c r="K19" s="241"/>
      <c r="L19" s="394"/>
      <c r="M19" s="16"/>
      <c r="N19" s="153"/>
      <c r="O19" s="11"/>
      <c r="P19" s="11">
        <v>4</v>
      </c>
      <c r="Q19" s="533"/>
      <c r="R19" s="533"/>
      <c r="S19" s="533"/>
      <c r="T19" s="533"/>
      <c r="U19" s="533"/>
      <c r="V19" s="533"/>
      <c r="W19" s="11"/>
      <c r="X19" s="11"/>
      <c r="Y19" s="11"/>
      <c r="Z19" s="11"/>
      <c r="AA19" s="11"/>
      <c r="AB19" s="11"/>
      <c r="AC19" s="11"/>
      <c r="AD19" s="11"/>
      <c r="AE19" s="400"/>
      <c r="AF19" s="352" t="s">
        <v>4604</v>
      </c>
      <c r="AG19" s="533">
        <f>G15</f>
        <v>185.48542016365889</v>
      </c>
      <c r="AH19" s="533">
        <f>SUM(G55,G63)</f>
        <v>0.12943388646315065</v>
      </c>
      <c r="AI19" s="277">
        <f>G71</f>
        <v>1.5959260596249912E-16</v>
      </c>
      <c r="AJ19" s="749">
        <f>G95</f>
        <v>1.2732592526098558E-2</v>
      </c>
      <c r="AK19" s="11"/>
      <c r="AL19" s="11"/>
      <c r="AM19" s="11"/>
      <c r="AN19" s="11"/>
      <c r="AO19" s="11"/>
      <c r="AP19" s="11"/>
      <c r="AQ19" s="11"/>
      <c r="AR19" s="11"/>
      <c r="AS19" s="11"/>
    </row>
    <row r="20" spans="1:45" ht="12.75" customHeight="1" x14ac:dyDescent="0.3">
      <c r="A20" s="16"/>
      <c r="B20" s="376" t="s">
        <v>116</v>
      </c>
      <c r="C20" s="240">
        <f>M.w0RD*Molweight</f>
        <v>0</v>
      </c>
      <c r="D20" s="379">
        <f t="shared" si="7"/>
        <v>0</v>
      </c>
      <c r="E20" s="240">
        <f>M.w0CD*Molweight</f>
        <v>0</v>
      </c>
      <c r="F20" s="379">
        <f t="shared" si="8"/>
        <v>0</v>
      </c>
      <c r="G20" s="241"/>
      <c r="H20" s="379"/>
      <c r="I20" s="241"/>
      <c r="J20" s="379"/>
      <c r="K20" s="241"/>
      <c r="L20" s="394"/>
      <c r="M20" s="16"/>
      <c r="N20" s="153"/>
      <c r="O20" s="11"/>
      <c r="P20" s="747"/>
      <c r="Q20" s="407" t="s">
        <v>246</v>
      </c>
      <c r="R20" s="407" t="s">
        <v>247</v>
      </c>
      <c r="S20" s="407" t="s">
        <v>4601</v>
      </c>
      <c r="T20" s="407" t="s">
        <v>248</v>
      </c>
      <c r="U20" s="407" t="s">
        <v>249</v>
      </c>
      <c r="V20" s="408" t="s">
        <v>4602</v>
      </c>
      <c r="W20" s="11"/>
      <c r="X20" s="11"/>
      <c r="Y20" s="11"/>
      <c r="Z20" s="11"/>
      <c r="AA20" s="11"/>
      <c r="AB20" s="11"/>
      <c r="AC20" s="11"/>
      <c r="AD20" s="11"/>
      <c r="AE20" s="400"/>
      <c r="AF20" s="352" t="s">
        <v>4605</v>
      </c>
      <c r="AG20" s="533">
        <f>G16</f>
        <v>77402.379832496183</v>
      </c>
      <c r="AH20" s="533">
        <f>SUM(G56,G64)</f>
        <v>5163843856227.3506</v>
      </c>
      <c r="AI20" s="277">
        <f>G72</f>
        <v>8478933685.8100634</v>
      </c>
      <c r="AJ20" s="749">
        <f>G96</f>
        <v>243250.9403057482</v>
      </c>
      <c r="AK20" s="11"/>
      <c r="AL20" s="11"/>
      <c r="AM20" s="11"/>
      <c r="AN20" s="11"/>
      <c r="AO20" s="11"/>
      <c r="AP20" s="11"/>
      <c r="AQ20" s="11"/>
      <c r="AR20" s="11"/>
      <c r="AS20" s="11"/>
    </row>
    <row r="21" spans="1:45" ht="12.75" customHeight="1" x14ac:dyDescent="0.3">
      <c r="A21" s="16"/>
      <c r="B21" s="156" t="s">
        <v>137</v>
      </c>
      <c r="C21" s="240">
        <f>FRwD.w0R*C20</f>
        <v>0</v>
      </c>
      <c r="D21" s="379">
        <f t="shared" si="7"/>
        <v>0</v>
      </c>
      <c r="E21" s="240">
        <f>FRw.w0C*E20</f>
        <v>0</v>
      </c>
      <c r="F21" s="379">
        <f t="shared" si="8"/>
        <v>0</v>
      </c>
      <c r="G21" s="241"/>
      <c r="H21" s="379"/>
      <c r="I21" s="241"/>
      <c r="J21" s="379"/>
      <c r="K21" s="241"/>
      <c r="L21" s="394"/>
      <c r="M21" s="16"/>
      <c r="N21" s="153"/>
      <c r="O21" s="11"/>
      <c r="P21" s="397" t="s">
        <v>4608</v>
      </c>
      <c r="Q21" s="752">
        <f>$C$103</f>
        <v>16545535252.153032</v>
      </c>
      <c r="R21" s="752">
        <f>$E$103</f>
        <v>32791996291.117546</v>
      </c>
      <c r="S21" s="752">
        <f>SUM(T21:V21)</f>
        <v>21372307839554.586</v>
      </c>
      <c r="T21" s="752">
        <f>$G$103</f>
        <v>5172581524115.8643</v>
      </c>
      <c r="U21" s="752">
        <f>$I$103</f>
        <v>3418725284810.5215</v>
      </c>
      <c r="V21" s="753">
        <f>$K$103</f>
        <v>12781001030628.201</v>
      </c>
      <c r="W21" s="352">
        <v>2</v>
      </c>
      <c r="X21" s="352" t="s">
        <v>4609</v>
      </c>
      <c r="Y21" s="11"/>
      <c r="Z21" s="11"/>
      <c r="AA21" s="11"/>
      <c r="AB21" s="11"/>
      <c r="AC21" s="11"/>
      <c r="AD21" s="11"/>
      <c r="AE21" s="400"/>
      <c r="AF21" s="352" t="s">
        <v>4606</v>
      </c>
      <c r="AG21" s="533">
        <f>G17</f>
        <v>0.29833129531729552</v>
      </c>
      <c r="AH21" s="533">
        <f>SUM(G57,G65)</f>
        <v>127427723.09761879</v>
      </c>
      <c r="AI21" s="277">
        <f>G73</f>
        <v>127419205.57886173</v>
      </c>
      <c r="AJ21" s="749">
        <f>G97</f>
        <v>3566434.7799713444</v>
      </c>
      <c r="AK21" s="352">
        <v>6</v>
      </c>
      <c r="AL21" s="352" t="s">
        <v>4610</v>
      </c>
      <c r="AM21" s="11"/>
      <c r="AN21" s="11"/>
      <c r="AO21" s="11"/>
      <c r="AP21" s="11"/>
      <c r="AQ21" s="11"/>
      <c r="AR21" s="11"/>
      <c r="AS21" s="11"/>
    </row>
    <row r="22" spans="1:45" ht="12.75" customHeight="1" x14ac:dyDescent="0.3">
      <c r="A22" s="16"/>
      <c r="B22" s="156" t="s">
        <v>139</v>
      </c>
      <c r="C22" s="240">
        <f>(1-FRwD.w0R)*C20</f>
        <v>0</v>
      </c>
      <c r="D22" s="379">
        <f t="shared" si="7"/>
        <v>0</v>
      </c>
      <c r="E22" s="240">
        <f>(1-FRw.w0C)*E20</f>
        <v>0</v>
      </c>
      <c r="F22" s="379">
        <f t="shared" si="8"/>
        <v>0</v>
      </c>
      <c r="G22" s="241"/>
      <c r="H22" s="379"/>
      <c r="I22" s="241"/>
      <c r="J22" s="379"/>
      <c r="K22" s="241"/>
      <c r="L22" s="394"/>
      <c r="M22" s="16"/>
      <c r="N22" s="153"/>
      <c r="O22" s="11"/>
      <c r="P22" s="11"/>
      <c r="Q22" s="11"/>
      <c r="R22" s="11"/>
      <c r="S22" s="11"/>
      <c r="T22" s="11"/>
      <c r="U22" s="11"/>
      <c r="V22" s="11"/>
      <c r="W22" s="11"/>
      <c r="X22" t="s">
        <v>4611</v>
      </c>
      <c r="Y22" s="11"/>
      <c r="Z22" s="11"/>
      <c r="AA22" s="11"/>
      <c r="AB22" s="11"/>
      <c r="AC22" s="11"/>
      <c r="AD22" s="11"/>
      <c r="AE22" s="748"/>
      <c r="AF22" s="11"/>
      <c r="AG22" s="533"/>
      <c r="AH22" s="533"/>
      <c r="AI22" s="533"/>
      <c r="AJ22" s="749"/>
      <c r="AK22" s="11"/>
      <c r="AL22"/>
      <c r="AM22" s="11"/>
      <c r="AN22" s="11"/>
      <c r="AO22" s="11"/>
      <c r="AP22" s="11"/>
      <c r="AQ22" s="11"/>
      <c r="AR22" s="11"/>
      <c r="AS22" s="11"/>
    </row>
    <row r="23" spans="1:45" ht="12.75" customHeight="1" x14ac:dyDescent="0.3">
      <c r="A23" s="16"/>
      <c r="B23" s="156" t="s">
        <v>123</v>
      </c>
      <c r="C23" s="240">
        <f>M.w0RS*Molweight</f>
        <v>0.67907339166220548</v>
      </c>
      <c r="D23" s="379">
        <f t="shared" si="7"/>
        <v>4.104269709702134E-11</v>
      </c>
      <c r="E23" s="240">
        <f>M.w0CS*Molweight</f>
        <v>0.11912500163352156</v>
      </c>
      <c r="F23" s="379">
        <f t="shared" si="8"/>
        <v>3.632746252346621E-12</v>
      </c>
      <c r="G23" s="241"/>
      <c r="H23" s="379"/>
      <c r="I23" s="241"/>
      <c r="J23" s="379"/>
      <c r="K23" s="241"/>
      <c r="L23" s="394"/>
      <c r="M23" s="16"/>
      <c r="N23" s="153"/>
      <c r="O23" s="22"/>
      <c r="P23" s="11"/>
      <c r="Q23" s="11"/>
      <c r="R23" s="11"/>
      <c r="S23" s="11"/>
      <c r="T23" s="11"/>
      <c r="U23" s="11"/>
      <c r="V23" s="11"/>
      <c r="W23" s="11"/>
      <c r="X23" s="11"/>
      <c r="Y23" s="11"/>
      <c r="Z23" s="11"/>
      <c r="AA23" s="11"/>
      <c r="AB23" s="11"/>
      <c r="AC23" s="11"/>
      <c r="AD23" s="11"/>
      <c r="AE23" s="400" t="s">
        <v>249</v>
      </c>
      <c r="AF23" s="352" t="s">
        <v>4603</v>
      </c>
      <c r="AG23" s="533">
        <f>I12</f>
        <v>0</v>
      </c>
      <c r="AH23" s="533">
        <f>SUM(I52,I60)</f>
        <v>0</v>
      </c>
      <c r="AI23" s="533">
        <f>I68</f>
        <v>0</v>
      </c>
      <c r="AJ23" s="749">
        <f>I92</f>
        <v>0</v>
      </c>
      <c r="AK23" s="11"/>
      <c r="AL23"/>
      <c r="AM23" s="11"/>
      <c r="AN23" s="11"/>
      <c r="AO23" s="11"/>
      <c r="AP23" s="11"/>
      <c r="AQ23" s="11"/>
      <c r="AR23" s="352" t="s">
        <v>4612</v>
      </c>
      <c r="AS23" s="352" t="s">
        <v>4613</v>
      </c>
    </row>
    <row r="24" spans="1:45" ht="12.75" customHeight="1" x14ac:dyDescent="0.3">
      <c r="A24" s="16"/>
      <c r="B24" s="156" t="s">
        <v>126</v>
      </c>
      <c r="C24" s="240">
        <f>M.w0RA*Molweight</f>
        <v>7725840.8914101385</v>
      </c>
      <c r="D24" s="379">
        <f t="shared" si="7"/>
        <v>4.6694414980650401E-4</v>
      </c>
      <c r="E24" s="240">
        <f>M.w0CA*Molweight</f>
        <v>883788.83380334172</v>
      </c>
      <c r="F24" s="379">
        <f t="shared" si="8"/>
        <v>2.6951358067905611E-5</v>
      </c>
      <c r="G24" s="241"/>
      <c r="H24" s="379"/>
      <c r="I24" s="241"/>
      <c r="J24" s="379"/>
      <c r="K24" s="241"/>
      <c r="L24" s="394"/>
      <c r="M24" s="16"/>
      <c r="N24" s="153"/>
      <c r="O24" s="11"/>
      <c r="P24" s="11">
        <v>4</v>
      </c>
      <c r="Q24" s="352" t="s">
        <v>4614</v>
      </c>
      <c r="R24" s="11"/>
      <c r="S24" s="11"/>
      <c r="T24" s="11"/>
      <c r="U24" s="11"/>
      <c r="V24" s="11"/>
      <c r="W24" s="11"/>
      <c r="X24" s="11"/>
      <c r="Y24" s="11"/>
      <c r="Z24" s="11"/>
      <c r="AA24" s="11"/>
      <c r="AB24" s="11"/>
      <c r="AC24" s="11"/>
      <c r="AD24" s="11"/>
      <c r="AE24" s="400"/>
      <c r="AF24" s="352" t="s">
        <v>4604</v>
      </c>
      <c r="AG24" s="533">
        <f>I15</f>
        <v>2.889426245081903</v>
      </c>
      <c r="AH24" s="533">
        <f>SUM(I55,I63)</f>
        <v>2.2808587226370506E-3</v>
      </c>
      <c r="AI24" s="533">
        <f>I71</f>
        <v>3.3356237654349878E-18</v>
      </c>
      <c r="AJ24" s="749">
        <f>I95</f>
        <v>1.3534584810877417E-4</v>
      </c>
      <c r="AK24" s="11"/>
      <c r="AL24" s="11"/>
      <c r="AM24" s="11"/>
      <c r="AN24" s="11"/>
      <c r="AO24" s="11"/>
      <c r="AP24" s="11"/>
      <c r="AQ24" s="11"/>
      <c r="AR24" s="11"/>
      <c r="AS24"/>
    </row>
    <row r="25" spans="1:45" ht="12.75" customHeight="1" x14ac:dyDescent="0.3">
      <c r="A25" s="16"/>
      <c r="B25" s="156" t="s">
        <v>128</v>
      </c>
      <c r="C25" s="240">
        <f>M.w0RP*Molweight</f>
        <v>22419.215839642136</v>
      </c>
      <c r="D25" s="379">
        <f t="shared" si="7"/>
        <v>1.3550009412191591E-6</v>
      </c>
      <c r="E25" s="240">
        <f>M.w0CP*Molweight</f>
        <v>246.66256091498997</v>
      </c>
      <c r="F25" s="379">
        <f t="shared" si="8"/>
        <v>7.5220355212654165E-9</v>
      </c>
      <c r="G25" s="241"/>
      <c r="H25" s="379"/>
      <c r="I25" s="241"/>
      <c r="J25" s="379"/>
      <c r="K25" s="241"/>
      <c r="L25" s="394"/>
      <c r="M25" s="16"/>
      <c r="N25" s="153"/>
      <c r="O25" s="11"/>
      <c r="P25" s="11"/>
      <c r="Q25"/>
      <c r="R25" s="11"/>
      <c r="S25" s="11"/>
      <c r="T25" s="11"/>
      <c r="U25" s="11"/>
      <c r="V25" s="11"/>
      <c r="W25" s="11"/>
      <c r="X25" s="11"/>
      <c r="Y25" s="11"/>
      <c r="Z25" s="11"/>
      <c r="AA25" s="11"/>
      <c r="AB25" s="11"/>
      <c r="AC25" s="11"/>
      <c r="AD25" s="11"/>
      <c r="AE25" s="400"/>
      <c r="AF25" s="352" t="s">
        <v>4605</v>
      </c>
      <c r="AG25" s="533">
        <f>I16</f>
        <v>15991.146850784064</v>
      </c>
      <c r="AH25" s="533">
        <f>SUM(I56,I64)</f>
        <v>3413077142704.7007</v>
      </c>
      <c r="AI25" s="533">
        <f>I72</f>
        <v>5565080023.4405909</v>
      </c>
      <c r="AJ25" s="749">
        <f>I96</f>
        <v>79965.593760797667</v>
      </c>
      <c r="AK25" s="11"/>
      <c r="AL25" s="11"/>
      <c r="AM25" s="11"/>
      <c r="AN25" s="11"/>
      <c r="AO25" s="11"/>
      <c r="AP25" s="11"/>
      <c r="AQ25" s="11"/>
      <c r="AR25" s="11"/>
      <c r="AS25" s="11"/>
    </row>
    <row r="26" spans="1:45" ht="12.75" customHeight="1" x14ac:dyDescent="0.3">
      <c r="A26" s="16"/>
      <c r="B26" s="156"/>
      <c r="C26" s="240"/>
      <c r="D26" s="379"/>
      <c r="E26" s="241"/>
      <c r="F26" s="379"/>
      <c r="G26" s="241"/>
      <c r="H26" s="379"/>
      <c r="I26" s="241"/>
      <c r="J26" s="379"/>
      <c r="K26" s="241"/>
      <c r="L26" s="394"/>
      <c r="M26" s="16"/>
      <c r="N26" s="153"/>
      <c r="O26" s="11"/>
      <c r="P26" s="11"/>
      <c r="Q26" s="11"/>
      <c r="R26" s="11"/>
      <c r="S26" s="11"/>
      <c r="T26" s="11"/>
      <c r="U26" s="11"/>
      <c r="V26" s="11"/>
      <c r="W26" s="11"/>
      <c r="X26" s="11"/>
      <c r="Y26" s="11"/>
      <c r="Z26" s="11"/>
      <c r="AA26" s="11"/>
      <c r="AB26" s="11"/>
      <c r="AC26" s="11"/>
      <c r="AD26" s="11"/>
      <c r="AE26" s="400"/>
      <c r="AF26" s="352" t="s">
        <v>4606</v>
      </c>
      <c r="AG26" s="533">
        <f>I17</f>
        <v>1.1963389526235794E-2</v>
      </c>
      <c r="AH26" s="533">
        <f>SUM(I57,I65)</f>
        <v>41524804.653845504</v>
      </c>
      <c r="AI26" s="533">
        <f>I73</f>
        <v>41402934.787052631</v>
      </c>
      <c r="AJ26" s="749">
        <f>I97</f>
        <v>38383.295450219084</v>
      </c>
      <c r="AK26" s="11"/>
      <c r="AL26" s="11"/>
      <c r="AM26" s="11"/>
      <c r="AN26" s="11"/>
      <c r="AO26" s="11"/>
      <c r="AP26" s="11"/>
      <c r="AQ26" s="11"/>
      <c r="AR26" s="11"/>
      <c r="AS26" s="11"/>
    </row>
    <row r="27" spans="1:45" ht="12.75" customHeight="1" x14ac:dyDescent="0.3">
      <c r="A27" s="16"/>
      <c r="B27" s="101" t="s">
        <v>150</v>
      </c>
      <c r="C27" s="240">
        <f>SUM(C28,C31:C33)</f>
        <v>3587232.0885436414</v>
      </c>
      <c r="D27" s="379">
        <f t="shared" ref="D27:D33" si="9">C27/$C$103</f>
        <v>2.1680967305526386E-4</v>
      </c>
      <c r="E27" s="240">
        <f>SUM(E28,E31:E33)</f>
        <v>176191.41813961326</v>
      </c>
      <c r="F27" s="379">
        <f t="shared" ref="F27:F33" si="10">E27/$E$103</f>
        <v>5.3730006729519752E-6</v>
      </c>
      <c r="G27" s="241"/>
      <c r="H27" s="379"/>
      <c r="I27" s="241"/>
      <c r="J27" s="379"/>
      <c r="K27" s="241"/>
      <c r="L27" s="394"/>
      <c r="M27" s="16"/>
      <c r="N27" s="153"/>
      <c r="O27" s="11"/>
      <c r="P27" s="11"/>
      <c r="Q27" s="11"/>
      <c r="R27" s="11"/>
      <c r="S27" s="11"/>
      <c r="T27" s="11"/>
      <c r="U27" s="11"/>
      <c r="V27" s="11"/>
      <c r="W27" s="11"/>
      <c r="X27" s="11"/>
      <c r="Y27" s="11"/>
      <c r="Z27" s="11"/>
      <c r="AA27" s="11"/>
      <c r="AB27" s="11"/>
      <c r="AC27" s="11"/>
      <c r="AD27" s="11"/>
      <c r="AE27" s="748"/>
      <c r="AF27" s="11"/>
      <c r="AG27" s="533"/>
      <c r="AH27" s="533"/>
      <c r="AI27" s="533"/>
      <c r="AJ27" s="749"/>
      <c r="AK27" s="11"/>
      <c r="AL27" s="11"/>
      <c r="AM27" s="11"/>
      <c r="AN27" s="11"/>
      <c r="AO27" s="11"/>
      <c r="AP27" s="11"/>
      <c r="AQ27" s="11"/>
      <c r="AR27" s="11"/>
      <c r="AS27" s="11"/>
    </row>
    <row r="28" spans="1:45" ht="12.75" customHeight="1" x14ac:dyDescent="0.3">
      <c r="A28" s="16"/>
      <c r="B28" s="376" t="s">
        <v>116</v>
      </c>
      <c r="C28" s="240">
        <f>M.sd0RD*Molweight</f>
        <v>0</v>
      </c>
      <c r="D28" s="379">
        <f t="shared" si="9"/>
        <v>0</v>
      </c>
      <c r="E28" s="240">
        <f>M.sd0CD*Molweight</f>
        <v>0</v>
      </c>
      <c r="F28" s="379">
        <f t="shared" si="10"/>
        <v>0</v>
      </c>
      <c r="G28" s="241"/>
      <c r="H28" s="379"/>
      <c r="I28" s="241"/>
      <c r="J28" s="379"/>
      <c r="K28" s="241"/>
      <c r="L28" s="394"/>
      <c r="M28" s="16"/>
      <c r="N28" s="153"/>
      <c r="O28" s="11"/>
      <c r="P28" s="11"/>
      <c r="Q28" s="11"/>
      <c r="R28" s="11"/>
      <c r="S28" s="11"/>
      <c r="T28" s="11"/>
      <c r="U28" s="11"/>
      <c r="V28" s="11"/>
      <c r="W28" s="11"/>
      <c r="X28" s="11"/>
      <c r="Y28" s="11"/>
      <c r="Z28" s="11"/>
      <c r="AA28" s="11"/>
      <c r="AB28" s="11"/>
      <c r="AC28" s="11"/>
      <c r="AD28" s="11"/>
      <c r="AE28" s="400" t="s">
        <v>4602</v>
      </c>
      <c r="AF28" s="352" t="s">
        <v>4603</v>
      </c>
      <c r="AG28" s="533">
        <f>K12</f>
        <v>0</v>
      </c>
      <c r="AH28" s="533">
        <f>SUM(K52,K60)</f>
        <v>0</v>
      </c>
      <c r="AI28" s="533">
        <f>K68</f>
        <v>0</v>
      </c>
      <c r="AJ28" s="749">
        <f>K92</f>
        <v>0</v>
      </c>
      <c r="AK28" s="11"/>
      <c r="AL28" s="11"/>
      <c r="AM28" s="11"/>
      <c r="AN28" s="11"/>
      <c r="AO28" s="11"/>
      <c r="AP28" s="11"/>
      <c r="AQ28" s="11"/>
      <c r="AR28" s="11"/>
      <c r="AS28" s="11"/>
    </row>
    <row r="29" spans="1:45" ht="12.75" customHeight="1" x14ac:dyDescent="0.3">
      <c r="A29" s="16"/>
      <c r="B29" s="156" t="s">
        <v>154</v>
      </c>
      <c r="C29" s="240">
        <f>C28*FRACw.sdR</f>
        <v>0</v>
      </c>
      <c r="D29" s="379">
        <f t="shared" si="9"/>
        <v>0</v>
      </c>
      <c r="E29" s="240">
        <f>E28*FRACw.sdC</f>
        <v>0</v>
      </c>
      <c r="F29" s="379">
        <f t="shared" si="10"/>
        <v>0</v>
      </c>
      <c r="G29" s="241"/>
      <c r="H29" s="379"/>
      <c r="I29" s="241"/>
      <c r="J29" s="379"/>
      <c r="K29" s="241"/>
      <c r="L29" s="394"/>
      <c r="M29" s="16"/>
      <c r="N29" s="153"/>
      <c r="O29" s="11"/>
      <c r="P29" s="11"/>
      <c r="Q29" s="11"/>
      <c r="R29" s="11"/>
      <c r="S29" s="11"/>
      <c r="T29" s="11"/>
      <c r="U29" s="11"/>
      <c r="V29" s="11"/>
      <c r="W29" s="11"/>
      <c r="X29" s="11"/>
      <c r="Y29" s="11"/>
      <c r="Z29" s="11"/>
      <c r="AA29" s="11"/>
      <c r="AB29" s="11"/>
      <c r="AC29" s="11"/>
      <c r="AD29" s="11"/>
      <c r="AE29" s="400"/>
      <c r="AF29" s="352" t="s">
        <v>4604</v>
      </c>
      <c r="AG29" s="277">
        <f>K15</f>
        <v>4.5154707150059439</v>
      </c>
      <c r="AH29" s="277">
        <f>SUM(K55,K63)</f>
        <v>4.6418969189535473E-3</v>
      </c>
      <c r="AI29" s="277">
        <f>K71</f>
        <v>4.9560783223487759E-18</v>
      </c>
      <c r="AJ29" s="401">
        <f>K95</f>
        <v>2.0770730331149247E-4</v>
      </c>
      <c r="AK29" s="11"/>
      <c r="AL29" s="11"/>
      <c r="AM29" s="11"/>
      <c r="AN29" s="11"/>
      <c r="AO29" s="11"/>
      <c r="AP29" s="11"/>
      <c r="AQ29" s="11"/>
      <c r="AR29" s="11"/>
      <c r="AS29" s="11"/>
    </row>
    <row r="30" spans="1:45" ht="12.75" customHeight="1" x14ac:dyDescent="0.3">
      <c r="A30" s="16"/>
      <c r="B30" s="156" t="s">
        <v>155</v>
      </c>
      <c r="C30" s="240">
        <f>C28*FRACs.sdR</f>
        <v>0</v>
      </c>
      <c r="D30" s="379">
        <f t="shared" si="9"/>
        <v>0</v>
      </c>
      <c r="E30" s="240">
        <f>E28*FRACs.sdC</f>
        <v>0</v>
      </c>
      <c r="F30" s="379">
        <f t="shared" si="10"/>
        <v>0</v>
      </c>
      <c r="G30" s="241"/>
      <c r="H30" s="379"/>
      <c r="I30" s="241"/>
      <c r="J30" s="379"/>
      <c r="K30" s="241"/>
      <c r="L30" s="394"/>
      <c r="M30" s="16"/>
      <c r="N30" s="153"/>
      <c r="O30" s="11"/>
      <c r="P30" s="11"/>
      <c r="Q30" s="11"/>
      <c r="R30" s="11"/>
      <c r="S30" s="11"/>
      <c r="T30" s="11"/>
      <c r="U30" s="11"/>
      <c r="V30" s="11"/>
      <c r="W30" s="11"/>
      <c r="X30" s="11"/>
      <c r="Y30" s="11"/>
      <c r="Z30" s="11"/>
      <c r="AA30" s="11"/>
      <c r="AB30" s="11"/>
      <c r="AC30" s="11"/>
      <c r="AD30" s="11"/>
      <c r="AE30" s="400"/>
      <c r="AF30" s="352" t="s">
        <v>4605</v>
      </c>
      <c r="AG30" s="277">
        <f>K16</f>
        <v>23830.917798998264</v>
      </c>
      <c r="AH30" s="277">
        <f>SUM(K56,K64)</f>
        <v>12758623226104.082</v>
      </c>
      <c r="AI30" s="277">
        <f>K72</f>
        <v>20998015883.549618</v>
      </c>
      <c r="AJ30" s="401">
        <f>K96</f>
        <v>29977.665012091737</v>
      </c>
      <c r="AK30" s="11"/>
      <c r="AL30" s="11"/>
      <c r="AM30" s="11"/>
      <c r="AN30" s="11"/>
      <c r="AO30" s="11"/>
      <c r="AP30" s="11"/>
      <c r="AQ30" s="11"/>
      <c r="AR30" s="11"/>
      <c r="AS30" s="11"/>
    </row>
    <row r="31" spans="1:45" ht="12.75" customHeight="1" x14ac:dyDescent="0.3">
      <c r="A31" s="16"/>
      <c r="B31" s="156" t="s">
        <v>123</v>
      </c>
      <c r="C31" s="240">
        <f>M.sd0RS*Molweight</f>
        <v>8.8227862432743213E-9</v>
      </c>
      <c r="D31" s="379">
        <f t="shared" si="9"/>
        <v>5.3324272130309187E-19</v>
      </c>
      <c r="E31" s="240">
        <f>M.sd0CS*Molweight</f>
        <v>5.6603914210740302E-10</v>
      </c>
      <c r="F31" s="379">
        <f t="shared" si="10"/>
        <v>1.7261502992445982E-20</v>
      </c>
      <c r="G31" s="241"/>
      <c r="H31" s="379"/>
      <c r="I31" s="241"/>
      <c r="J31" s="379"/>
      <c r="K31" s="241"/>
      <c r="L31" s="394"/>
      <c r="M31" s="16"/>
      <c r="N31" s="153"/>
      <c r="O31" s="11"/>
      <c r="P31" s="11"/>
      <c r="Q31" s="11"/>
      <c r="R31" s="11"/>
      <c r="S31" s="11"/>
      <c r="T31" s="11"/>
      <c r="U31" s="11"/>
      <c r="V31" s="11"/>
      <c r="W31" s="11"/>
      <c r="X31" s="11"/>
      <c r="Y31" s="11"/>
      <c r="Z31" s="11"/>
      <c r="AA31" s="11"/>
      <c r="AB31" s="11"/>
      <c r="AC31" s="11"/>
      <c r="AD31" s="11"/>
      <c r="AE31" s="397"/>
      <c r="AF31" s="412" t="s">
        <v>4606</v>
      </c>
      <c r="AG31" s="402">
        <f>K17</f>
        <v>4.2889236621587966E-3</v>
      </c>
      <c r="AH31" s="402">
        <f>SUM(K57,K65)</f>
        <v>689010282.83851147</v>
      </c>
      <c r="AI31" s="402">
        <f>K73</f>
        <v>690666606.58745396</v>
      </c>
      <c r="AJ31" s="403">
        <f>K97</f>
        <v>57938.039201165942</v>
      </c>
      <c r="AK31" s="11"/>
      <c r="AL31" s="11"/>
      <c r="AM31" s="11"/>
      <c r="AN31" s="11"/>
      <c r="AO31" s="11"/>
      <c r="AP31" s="11"/>
      <c r="AQ31" s="11"/>
      <c r="AR31" s="11"/>
      <c r="AS31" s="11"/>
    </row>
    <row r="32" spans="1:45" ht="12.75" customHeight="1" x14ac:dyDescent="0.3">
      <c r="A32" s="16"/>
      <c r="B32" s="156" t="s">
        <v>126</v>
      </c>
      <c r="C32" s="240">
        <f>M.sd0RA*Molweight</f>
        <v>1309944.6372051772</v>
      </c>
      <c r="D32" s="379">
        <f t="shared" si="9"/>
        <v>7.9172091881084182E-5</v>
      </c>
      <c r="E32" s="240">
        <f>M.sd0CA*Molweight</f>
        <v>150951.77512898977</v>
      </c>
      <c r="F32" s="379">
        <f t="shared" si="10"/>
        <v>4.603311545563893E-6</v>
      </c>
      <c r="G32" s="241"/>
      <c r="H32" s="379"/>
      <c r="I32" s="241"/>
      <c r="J32" s="379"/>
      <c r="K32" s="241"/>
      <c r="L32" s="394"/>
      <c r="M32" s="16"/>
      <c r="N32" s="153"/>
      <c r="O32" s="11"/>
      <c r="P32" s="11"/>
      <c r="Q32" s="11"/>
      <c r="R32" s="11"/>
      <c r="S32" s="11"/>
      <c r="T32" s="11"/>
      <c r="U32" s="11"/>
      <c r="V32" s="11"/>
      <c r="W32" s="11"/>
      <c r="X32" s="11"/>
      <c r="Y32" s="11"/>
      <c r="Z32" s="11"/>
      <c r="AA32" s="11"/>
      <c r="AB32" s="11"/>
      <c r="AC32" s="11"/>
      <c r="AD32" s="11"/>
      <c r="AE32" s="11"/>
      <c r="AF32" s="11"/>
      <c r="AG32" s="533"/>
      <c r="AH32" s="533"/>
      <c r="AI32" s="533"/>
      <c r="AJ32" s="533"/>
      <c r="AK32" s="11"/>
      <c r="AL32" s="11"/>
      <c r="AM32" s="11"/>
      <c r="AN32" s="11"/>
      <c r="AO32" s="11"/>
      <c r="AP32" s="11"/>
      <c r="AQ32" s="11"/>
      <c r="AR32" s="11"/>
      <c r="AS32" s="11"/>
    </row>
    <row r="33" spans="1:45" ht="12.75" customHeight="1" x14ac:dyDescent="0.3">
      <c r="A33" s="16"/>
      <c r="B33" s="156" t="s">
        <v>128</v>
      </c>
      <c r="C33" s="240">
        <f>M.sd0RP*Molweight</f>
        <v>2277287.4513384555</v>
      </c>
      <c r="D33" s="379">
        <f t="shared" si="9"/>
        <v>1.3763758117417915E-4</v>
      </c>
      <c r="E33" s="240">
        <f>M.sd0CP*Molweight</f>
        <v>25239.643010622938</v>
      </c>
      <c r="F33" s="379">
        <f t="shared" si="10"/>
        <v>7.6968912738806535E-7</v>
      </c>
      <c r="G33" s="241"/>
      <c r="H33" s="379"/>
      <c r="I33" s="241"/>
      <c r="J33" s="379"/>
      <c r="K33" s="241"/>
      <c r="L33" s="394"/>
      <c r="M33" s="16"/>
      <c r="N33" s="153"/>
      <c r="O33" s="11"/>
      <c r="P33" s="11"/>
      <c r="Q33" s="11"/>
      <c r="R33" s="11"/>
      <c r="S33" s="11"/>
      <c r="T33" s="11"/>
      <c r="U33" s="11"/>
      <c r="V33" s="11"/>
      <c r="W33" s="11"/>
      <c r="X33" s="11"/>
      <c r="Y33" s="11"/>
      <c r="Z33" s="11"/>
      <c r="AA33" s="11"/>
      <c r="AB33" s="11"/>
      <c r="AC33" s="11"/>
      <c r="AD33" s="11"/>
      <c r="AE33" t="s">
        <v>4596</v>
      </c>
      <c r="AF33" s="11"/>
      <c r="AG33" s="533"/>
      <c r="AH33" s="533"/>
      <c r="AI33" s="533"/>
      <c r="AJ33" s="533"/>
      <c r="AK33" s="11"/>
      <c r="AL33" s="11"/>
      <c r="AM33" s="11"/>
      <c r="AN33" s="11"/>
      <c r="AO33" s="11"/>
      <c r="AP33" s="11"/>
      <c r="AQ33" s="11"/>
      <c r="AR33" s="11"/>
      <c r="AS33" s="11"/>
    </row>
    <row r="34" spans="1:45" ht="12.75" customHeight="1" x14ac:dyDescent="0.3">
      <c r="A34" s="16"/>
      <c r="B34" s="156"/>
      <c r="C34" s="240"/>
      <c r="D34" s="379"/>
      <c r="E34" s="241"/>
      <c r="F34" s="379"/>
      <c r="G34" s="241"/>
      <c r="H34" s="379"/>
      <c r="I34" s="241"/>
      <c r="J34" s="379"/>
      <c r="K34" s="241"/>
      <c r="L34" s="394"/>
      <c r="M34" s="16"/>
      <c r="N34" s="153"/>
      <c r="O34" s="11"/>
      <c r="P34" s="11"/>
      <c r="Q34" s="11"/>
      <c r="R34" s="11"/>
      <c r="S34" s="11"/>
      <c r="T34" s="11"/>
      <c r="U34" s="11"/>
      <c r="V34" s="11"/>
      <c r="W34" s="11"/>
      <c r="X34" s="11"/>
      <c r="Y34" s="11"/>
      <c r="Z34" s="11"/>
      <c r="AA34" s="11"/>
      <c r="AB34" s="11"/>
      <c r="AC34" s="11"/>
      <c r="AD34" s="11"/>
      <c r="AE34" s="760" t="s">
        <v>246</v>
      </c>
      <c r="AF34" s="761"/>
      <c r="AG34" s="761" t="s">
        <v>112</v>
      </c>
      <c r="AH34" s="761" t="s">
        <v>4598</v>
      </c>
      <c r="AI34" s="761" t="s">
        <v>4599</v>
      </c>
      <c r="AJ34" s="762" t="s">
        <v>4600</v>
      </c>
      <c r="AK34" s="11"/>
      <c r="AL34" s="11"/>
      <c r="AM34" s="11"/>
      <c r="AN34" s="11"/>
      <c r="AO34" s="11"/>
      <c r="AP34" s="11"/>
      <c r="AQ34" s="11"/>
      <c r="AR34" s="11"/>
      <c r="AS34" s="11"/>
    </row>
    <row r="35" spans="1:45" ht="12.75" customHeight="1" x14ac:dyDescent="0.3">
      <c r="A35" s="16"/>
      <c r="B35" s="101" t="s">
        <v>180</v>
      </c>
      <c r="C35" s="240">
        <f>SUM(C36,C39:C41)</f>
        <v>7304629.4249148238</v>
      </c>
      <c r="D35" s="379">
        <f t="shared" ref="D35:D41" si="11">C35/$C$103</f>
        <v>4.4148643809902065E-4</v>
      </c>
      <c r="E35" s="240">
        <f>SUM(E36,E39:E41)</f>
        <v>406969.14175293897</v>
      </c>
      <c r="F35" s="379">
        <f t="shared" ref="F35:F41" si="12">E35/$E$103</f>
        <v>1.2410624169995279E-5</v>
      </c>
      <c r="G35" s="241"/>
      <c r="H35" s="379"/>
      <c r="I35" s="241"/>
      <c r="J35" s="379"/>
      <c r="K35" s="241"/>
      <c r="L35" s="394"/>
      <c r="M35" s="16"/>
      <c r="N35" s="153"/>
      <c r="O35" s="11"/>
      <c r="P35" s="11"/>
      <c r="Q35" s="11"/>
      <c r="R35" s="11"/>
      <c r="S35" s="11"/>
      <c r="T35" s="11"/>
      <c r="U35" s="11"/>
      <c r="V35" s="11"/>
      <c r="W35" s="11"/>
      <c r="X35" s="11"/>
      <c r="Y35" s="11"/>
      <c r="Z35" s="11"/>
      <c r="AA35" s="11"/>
      <c r="AB35" s="11"/>
      <c r="AC35" s="11"/>
      <c r="AD35" s="11"/>
      <c r="AE35" s="763"/>
      <c r="AF35" s="756" t="s">
        <v>4604</v>
      </c>
      <c r="AG35" s="756">
        <f t="shared" ref="AG35:AJ37" si="13">AG4</f>
        <v>9690.1971073752156</v>
      </c>
      <c r="AH35" s="756">
        <f t="shared" si="13"/>
        <v>1694.115722694346</v>
      </c>
      <c r="AI35" s="756">
        <f t="shared" si="13"/>
        <v>7.3329381595783525E-4</v>
      </c>
      <c r="AJ35" s="757">
        <f t="shared" si="13"/>
        <v>16.237202955990579</v>
      </c>
      <c r="AK35" s="11"/>
      <c r="AL35" s="11"/>
      <c r="AM35" s="11"/>
      <c r="AN35" s="11"/>
      <c r="AO35" s="11"/>
      <c r="AP35" s="11"/>
      <c r="AQ35" s="11"/>
      <c r="AR35" s="11"/>
      <c r="AS35" s="11"/>
    </row>
    <row r="36" spans="1:45" ht="12.75" customHeight="1" x14ac:dyDescent="0.3">
      <c r="A36" s="16"/>
      <c r="B36" s="376" t="s">
        <v>116</v>
      </c>
      <c r="C36" s="240">
        <f>M.w1RD*Molweight</f>
        <v>0</v>
      </c>
      <c r="D36" s="379">
        <f t="shared" si="11"/>
        <v>0</v>
      </c>
      <c r="E36" s="240">
        <f>M.w1CD*Molweight</f>
        <v>0</v>
      </c>
      <c r="F36" s="379">
        <f t="shared" si="12"/>
        <v>0</v>
      </c>
      <c r="G36" s="241"/>
      <c r="H36" s="379"/>
      <c r="I36" s="241"/>
      <c r="J36" s="379"/>
      <c r="K36" s="241"/>
      <c r="L36" s="394"/>
      <c r="M36" s="16"/>
      <c r="N36" s="153"/>
      <c r="O36" s="11"/>
      <c r="P36" s="11"/>
      <c r="Q36" s="11"/>
      <c r="R36" s="11"/>
      <c r="S36" s="11"/>
      <c r="T36" s="11"/>
      <c r="U36" s="11"/>
      <c r="V36" s="11"/>
      <c r="W36" s="11"/>
      <c r="X36" s="11"/>
      <c r="Y36" s="11"/>
      <c r="Z36" s="11"/>
      <c r="AA36" s="11"/>
      <c r="AB36" s="11"/>
      <c r="AC36" s="11"/>
      <c r="AD36" s="11"/>
      <c r="AE36" s="763"/>
      <c r="AF36" s="756" t="s">
        <v>4605</v>
      </c>
      <c r="AG36" s="756">
        <f t="shared" si="13"/>
        <v>24606.827009700963</v>
      </c>
      <c r="AH36" s="756">
        <f t="shared" si="13"/>
        <v>15679728.718862168</v>
      </c>
      <c r="AI36" s="756">
        <f t="shared" si="13"/>
        <v>5692832.5186264506</v>
      </c>
      <c r="AJ36" s="757">
        <f t="shared" si="13"/>
        <v>4054972.7086551082</v>
      </c>
      <c r="AK36" s="11"/>
      <c r="AL36" s="11"/>
      <c r="AM36" s="11"/>
      <c r="AN36" s="11"/>
      <c r="AO36" s="11"/>
      <c r="AP36" s="11"/>
      <c r="AQ36" s="11"/>
      <c r="AR36" s="11"/>
      <c r="AS36" s="11"/>
    </row>
    <row r="37" spans="1:45" ht="12.75" customHeight="1" x14ac:dyDescent="0.3">
      <c r="A37" s="16"/>
      <c r="B37" s="156" t="s">
        <v>137</v>
      </c>
      <c r="C37" s="240">
        <f>FRwD.w1R*C36</f>
        <v>0</v>
      </c>
      <c r="D37" s="379">
        <f t="shared" si="11"/>
        <v>0</v>
      </c>
      <c r="E37" s="240">
        <f>FRw.w1C*E36</f>
        <v>0</v>
      </c>
      <c r="F37" s="379">
        <f t="shared" si="12"/>
        <v>0</v>
      </c>
      <c r="G37" s="241"/>
      <c r="H37" s="379"/>
      <c r="I37" s="241"/>
      <c r="J37" s="379"/>
      <c r="K37" s="241"/>
      <c r="L37" s="394"/>
      <c r="M37" s="16"/>
      <c r="N37" s="153"/>
      <c r="O37" s="11"/>
      <c r="P37" s="11"/>
      <c r="Q37" s="11"/>
      <c r="R37" s="11"/>
      <c r="S37" s="11"/>
      <c r="T37" s="11"/>
      <c r="U37" s="11"/>
      <c r="V37" s="11"/>
      <c r="W37" s="11"/>
      <c r="X37" s="11"/>
      <c r="Y37" s="11"/>
      <c r="Z37" s="11"/>
      <c r="AA37" s="11"/>
      <c r="AB37" s="11"/>
      <c r="AC37" s="11"/>
      <c r="AD37" s="11"/>
      <c r="AE37" s="764"/>
      <c r="AF37" s="758" t="s">
        <v>4606</v>
      </c>
      <c r="AG37" s="758">
        <f t="shared" si="13"/>
        <v>9.8207059229520564</v>
      </c>
      <c r="AH37" s="758">
        <f t="shared" si="13"/>
        <v>143630.88850939719</v>
      </c>
      <c r="AI37" s="758">
        <f t="shared" si="13"/>
        <v>42509932.450035483</v>
      </c>
      <c r="AJ37" s="759">
        <f t="shared" si="13"/>
        <v>16477418137.669863</v>
      </c>
      <c r="AK37" s="11"/>
      <c r="AL37" s="11"/>
      <c r="AM37" s="11"/>
      <c r="AN37" s="11"/>
      <c r="AO37" s="11"/>
      <c r="AP37" s="11"/>
      <c r="AQ37" s="11"/>
      <c r="AR37" s="11"/>
      <c r="AS37" s="11"/>
    </row>
    <row r="38" spans="1:45" ht="12.75" customHeight="1" x14ac:dyDescent="0.3">
      <c r="A38" s="16"/>
      <c r="B38" s="156" t="s">
        <v>139</v>
      </c>
      <c r="C38" s="240">
        <f>(1-FRwD.w1R)*C36</f>
        <v>0</v>
      </c>
      <c r="D38" s="379">
        <f t="shared" si="11"/>
        <v>0</v>
      </c>
      <c r="E38" s="240">
        <f>(1-FRw.w1C)*E36</f>
        <v>0</v>
      </c>
      <c r="F38" s="379">
        <f t="shared" si="12"/>
        <v>0</v>
      </c>
      <c r="G38" s="241"/>
      <c r="H38" s="379"/>
      <c r="I38" s="241"/>
      <c r="J38" s="379"/>
      <c r="K38" s="241"/>
      <c r="L38" s="394"/>
      <c r="M38" s="16"/>
      <c r="N38" s="153"/>
      <c r="O38" s="11"/>
      <c r="P38" s="11"/>
      <c r="Q38" s="11"/>
      <c r="R38" s="11"/>
      <c r="S38" s="11"/>
      <c r="T38" s="11"/>
      <c r="U38" s="11"/>
      <c r="V38" s="11"/>
      <c r="W38" s="11"/>
      <c r="X38" s="11"/>
      <c r="Y38" s="11"/>
      <c r="Z38" s="11"/>
      <c r="AA38" s="11"/>
      <c r="AB38" s="11"/>
      <c r="AC38" s="11"/>
      <c r="AD38" s="11"/>
      <c r="AE38" s="414" t="s">
        <v>4612</v>
      </c>
      <c r="AF38" s="11"/>
      <c r="AG38" s="533"/>
      <c r="AH38" s="533"/>
      <c r="AI38" s="533"/>
      <c r="AJ38" s="533"/>
      <c r="AK38" s="11"/>
      <c r="AL38" s="11"/>
      <c r="AM38" s="11"/>
      <c r="AN38" s="11"/>
      <c r="AO38" s="11"/>
      <c r="AP38" s="11"/>
      <c r="AQ38" s="11"/>
      <c r="AR38" s="11"/>
      <c r="AS38" s="11"/>
    </row>
    <row r="39" spans="1:45" ht="12.75" customHeight="1" x14ac:dyDescent="0.3">
      <c r="A39" s="16"/>
      <c r="B39" s="156" t="s">
        <v>123</v>
      </c>
      <c r="C39" s="240">
        <f>M.w1RS*Molweight</f>
        <v>1693.2651290776678</v>
      </c>
      <c r="D39" s="379">
        <f t="shared" si="11"/>
        <v>1.0233970090857757E-7</v>
      </c>
      <c r="E39" s="240">
        <f>M.w1CS*Molweight</f>
        <v>1.1039297650908633</v>
      </c>
      <c r="F39" s="379">
        <f t="shared" si="12"/>
        <v>3.3664609964288379E-11</v>
      </c>
      <c r="G39" s="241"/>
      <c r="H39" s="379"/>
      <c r="I39" s="241"/>
      <c r="J39" s="379"/>
      <c r="K39" s="241"/>
      <c r="L39" s="394"/>
      <c r="M39" s="16"/>
      <c r="N39" s="153"/>
      <c r="O39" s="11"/>
      <c r="P39" s="11"/>
      <c r="Q39" s="11"/>
      <c r="R39" s="11"/>
      <c r="S39" s="11"/>
      <c r="T39" s="11"/>
      <c r="U39" s="11"/>
      <c r="V39" s="11"/>
      <c r="W39" s="11"/>
      <c r="X39" s="11"/>
      <c r="Y39" s="11"/>
      <c r="Z39" s="11"/>
      <c r="AA39" s="11"/>
      <c r="AB39" s="11"/>
      <c r="AC39" s="11"/>
      <c r="AD39" s="11"/>
      <c r="AE39" s="765" t="s">
        <v>247</v>
      </c>
      <c r="AF39" s="766" t="s">
        <v>4604</v>
      </c>
      <c r="AG39" s="761">
        <f t="shared" ref="AG39:AJ41" si="14">AG9</f>
        <v>3498.1130415501457</v>
      </c>
      <c r="AH39" s="761">
        <f t="shared" si="14"/>
        <v>5.3106040419321792</v>
      </c>
      <c r="AI39" s="761">
        <f t="shared" si="14"/>
        <v>1.7638332302643699E-7</v>
      </c>
      <c r="AJ39" s="762">
        <f t="shared" si="14"/>
        <v>0.16044513298432969</v>
      </c>
      <c r="AK39" s="11"/>
      <c r="AL39" s="11"/>
      <c r="AM39" s="11"/>
      <c r="AN39" s="11"/>
      <c r="AO39" s="11"/>
      <c r="AP39" s="11"/>
      <c r="AQ39" s="11"/>
      <c r="AR39" s="11"/>
      <c r="AS39" s="11"/>
    </row>
    <row r="40" spans="1:45" ht="12.75" customHeight="1" x14ac:dyDescent="0.3">
      <c r="A40" s="16"/>
      <c r="B40" s="156" t="s">
        <v>126</v>
      </c>
      <c r="C40" s="240">
        <f>M.w1RA*Molweight</f>
        <v>7186862.1135568097</v>
      </c>
      <c r="D40" s="379">
        <f t="shared" si="11"/>
        <v>4.3436866828600181E-4</v>
      </c>
      <c r="E40" s="240">
        <f>M.w1CA*Molweight</f>
        <v>406169.60217642953</v>
      </c>
      <c r="F40" s="379">
        <f t="shared" si="12"/>
        <v>1.2386242013769981E-5</v>
      </c>
      <c r="G40" s="241"/>
      <c r="H40" s="379"/>
      <c r="I40" s="241"/>
      <c r="J40" s="379"/>
      <c r="K40" s="241"/>
      <c r="L40" s="394"/>
      <c r="M40" s="16"/>
      <c r="N40" s="153"/>
      <c r="O40" s="22"/>
      <c r="P40" s="11"/>
      <c r="Q40" s="11"/>
      <c r="R40" s="11"/>
      <c r="S40" s="11"/>
      <c r="T40" s="11"/>
      <c r="U40" s="11"/>
      <c r="V40" s="11"/>
      <c r="W40" s="11"/>
      <c r="X40" s="11"/>
      <c r="Y40" s="11"/>
      <c r="Z40" s="11"/>
      <c r="AA40" s="11"/>
      <c r="AB40" s="11"/>
      <c r="AC40" s="11"/>
      <c r="AD40" s="11"/>
      <c r="AE40" s="767"/>
      <c r="AF40" s="768" t="s">
        <v>4605</v>
      </c>
      <c r="AG40" s="756">
        <f t="shared" si="14"/>
        <v>121528.11244655181</v>
      </c>
      <c r="AH40" s="756">
        <f t="shared" si="14"/>
        <v>31842194409.873188</v>
      </c>
      <c r="AI40" s="756">
        <f t="shared" si="14"/>
        <v>810709650.29964113</v>
      </c>
      <c r="AJ40" s="757">
        <f t="shared" si="14"/>
        <v>344250.84619184205</v>
      </c>
      <c r="AK40" s="11"/>
      <c r="AL40" s="11"/>
      <c r="AM40" s="11"/>
      <c r="AN40" s="11"/>
      <c r="AO40" s="11"/>
      <c r="AP40" s="11"/>
      <c r="AQ40" s="11"/>
      <c r="AR40" s="11"/>
      <c r="AS40" s="11"/>
    </row>
    <row r="41" spans="1:45" ht="12.75" customHeight="1" x14ac:dyDescent="0.3">
      <c r="A41" s="16"/>
      <c r="B41" s="156" t="s">
        <v>128</v>
      </c>
      <c r="C41" s="240">
        <f>M.w1RP*Molweight</f>
        <v>116074.04622893698</v>
      </c>
      <c r="D41" s="379">
        <f t="shared" si="11"/>
        <v>7.0154301121103063E-6</v>
      </c>
      <c r="E41" s="240">
        <f>M.w1CP*Molweight</f>
        <v>798.43564674433219</v>
      </c>
      <c r="F41" s="379">
        <f t="shared" si="12"/>
        <v>2.4348491615333786E-8</v>
      </c>
      <c r="G41" s="241"/>
      <c r="H41" s="379"/>
      <c r="I41" s="241"/>
      <c r="J41" s="379"/>
      <c r="K41" s="241"/>
      <c r="L41" s="394"/>
      <c r="M41" s="16"/>
      <c r="N41" s="153"/>
      <c r="O41" s="11"/>
      <c r="P41" s="11"/>
      <c r="Q41" s="11"/>
      <c r="R41" s="11"/>
      <c r="S41" s="11"/>
      <c r="T41" s="11"/>
      <c r="U41" s="11"/>
      <c r="V41" s="11"/>
      <c r="W41" s="352" t="s">
        <v>4607</v>
      </c>
      <c r="X41" s="352" t="s">
        <v>4615</v>
      </c>
      <c r="Y41" s="11"/>
      <c r="Z41" s="11"/>
      <c r="AA41" s="11"/>
      <c r="AB41" s="11"/>
      <c r="AC41" s="11"/>
      <c r="AD41" s="11"/>
      <c r="AE41" s="769"/>
      <c r="AF41" s="770" t="s">
        <v>4606</v>
      </c>
      <c r="AG41" s="758">
        <f t="shared" si="14"/>
        <v>5.1029017265960102</v>
      </c>
      <c r="AH41" s="758">
        <f t="shared" si="14"/>
        <v>436794.69384860701</v>
      </c>
      <c r="AI41" s="758">
        <f t="shared" si="14"/>
        <v>6939352.2930355333</v>
      </c>
      <c r="AJ41" s="759">
        <f t="shared" si="14"/>
        <v>131246796.31219669</v>
      </c>
      <c r="AK41" s="11"/>
      <c r="AL41" s="11"/>
      <c r="AM41" s="11"/>
      <c r="AN41" s="11"/>
      <c r="AO41" s="11"/>
      <c r="AP41" s="11"/>
      <c r="AQ41" s="11"/>
      <c r="AR41" s="11"/>
      <c r="AS41" s="11"/>
    </row>
    <row r="42" spans="1:45" ht="12.75" customHeight="1" x14ac:dyDescent="0.3">
      <c r="A42" s="16"/>
      <c r="B42" s="156"/>
      <c r="C42" s="240"/>
      <c r="D42" s="379"/>
      <c r="E42" s="241"/>
      <c r="F42" s="379"/>
      <c r="G42" s="241"/>
      <c r="H42" s="379"/>
      <c r="I42" s="241"/>
      <c r="J42" s="379"/>
      <c r="K42" s="241"/>
      <c r="L42" s="394"/>
      <c r="M42" s="16"/>
      <c r="N42" s="153"/>
      <c r="O42" s="11"/>
      <c r="P42" s="11"/>
      <c r="Q42" s="11"/>
      <c r="R42" s="11"/>
      <c r="S42" s="11"/>
      <c r="T42" s="11"/>
      <c r="U42" s="11"/>
      <c r="V42" s="11"/>
      <c r="W42" s="11"/>
      <c r="X42"/>
      <c r="Y42" s="11"/>
      <c r="Z42" s="11"/>
      <c r="AA42" s="11"/>
      <c r="AB42" s="11"/>
      <c r="AC42" s="11"/>
      <c r="AD42" s="11"/>
      <c r="AE42" t="s">
        <v>4616</v>
      </c>
      <c r="AF42" s="11"/>
      <c r="AG42" s="533"/>
      <c r="AH42" s="533"/>
      <c r="AI42" s="533"/>
      <c r="AJ42" s="533"/>
      <c r="AK42" s="352">
        <v>7</v>
      </c>
      <c r="AL42" s="352" t="s">
        <v>4617</v>
      </c>
      <c r="AM42" s="11"/>
      <c r="AN42" s="11"/>
      <c r="AO42" s="11"/>
      <c r="AP42" s="11"/>
      <c r="AQ42" s="11"/>
      <c r="AR42" s="11"/>
      <c r="AS42" s="11"/>
    </row>
    <row r="43" spans="1:45" ht="12.75" customHeight="1" x14ac:dyDescent="0.3">
      <c r="A43" s="16"/>
      <c r="B43" s="101" t="s">
        <v>185</v>
      </c>
      <c r="C43" s="240">
        <f>SUM(C44,C47:C49)</f>
        <v>42690147.809350781</v>
      </c>
      <c r="D43" s="379">
        <f t="shared" ref="D43:D49" si="15">C43/$C$103</f>
        <v>2.5801611829871511E-3</v>
      </c>
      <c r="E43" s="240">
        <f>SUM(E44,E47:E49)</f>
        <v>500221.6662608452</v>
      </c>
      <c r="F43" s="379">
        <f t="shared" ref="F43:F49" si="16">E43/$E$103</f>
        <v>1.5254382862818924E-5</v>
      </c>
      <c r="G43" s="241"/>
      <c r="H43" s="379"/>
      <c r="I43" s="241"/>
      <c r="J43" s="379"/>
      <c r="K43" s="241"/>
      <c r="L43" s="394"/>
      <c r="M43" s="16"/>
      <c r="N43" s="153"/>
      <c r="O43" s="11"/>
      <c r="P43" s="11"/>
      <c r="Q43" s="11"/>
      <c r="R43" s="11"/>
      <c r="S43" s="11"/>
      <c r="T43" s="11"/>
      <c r="U43" s="11"/>
      <c r="V43" s="11"/>
      <c r="W43" s="11"/>
      <c r="X43"/>
      <c r="Y43" s="11"/>
      <c r="Z43" s="11"/>
      <c r="AA43" s="11"/>
      <c r="AB43" s="11"/>
      <c r="AC43" s="11"/>
      <c r="AD43" s="11"/>
      <c r="AE43" s="765" t="s">
        <v>4601</v>
      </c>
      <c r="AF43" s="766" t="s">
        <v>4604</v>
      </c>
      <c r="AG43" s="761">
        <f t="shared" ref="AG43:AJ45" si="17">AG14</f>
        <v>192.89031712374671</v>
      </c>
      <c r="AH43" s="761">
        <f t="shared" si="17"/>
        <v>0.13635664210474127</v>
      </c>
      <c r="AI43" s="761">
        <f t="shared" si="17"/>
        <v>1.6788430805028288E-16</v>
      </c>
      <c r="AJ43" s="762">
        <f t="shared" si="17"/>
        <v>1.3075645677518824E-2</v>
      </c>
      <c r="AK43" s="533"/>
      <c r="AL43"/>
      <c r="AM43" s="11"/>
      <c r="AN43" s="11"/>
      <c r="AO43" s="11"/>
      <c r="AP43" s="11"/>
      <c r="AQ43" s="11"/>
      <c r="AR43" s="352" t="s">
        <v>4616</v>
      </c>
      <c r="AS43" s="352" t="s">
        <v>4618</v>
      </c>
    </row>
    <row r="44" spans="1:45" ht="12.75" customHeight="1" x14ac:dyDescent="0.3">
      <c r="A44" s="16"/>
      <c r="B44" s="376" t="s">
        <v>116</v>
      </c>
      <c r="C44" s="240">
        <f>M.sd1RD*Molweight</f>
        <v>0</v>
      </c>
      <c r="D44" s="379">
        <f t="shared" si="15"/>
        <v>0</v>
      </c>
      <c r="E44" s="240">
        <f>M.sd1CD*Molweight</f>
        <v>0</v>
      </c>
      <c r="F44" s="379">
        <f t="shared" si="16"/>
        <v>0</v>
      </c>
      <c r="G44" s="241"/>
      <c r="H44" s="379"/>
      <c r="I44" s="241"/>
      <c r="J44" s="379"/>
      <c r="K44" s="241"/>
      <c r="L44" s="394"/>
      <c r="M44" s="16"/>
      <c r="N44" s="153"/>
      <c r="O44" s="11"/>
      <c r="P44" s="352">
        <v>4</v>
      </c>
      <c r="Q44" s="352" t="s">
        <v>4614</v>
      </c>
      <c r="R44" s="11"/>
      <c r="S44" s="11"/>
      <c r="T44" s="11"/>
      <c r="U44" s="11"/>
      <c r="V44" s="11"/>
      <c r="W44" s="11"/>
      <c r="X44" s="11"/>
      <c r="Y44" s="11"/>
      <c r="Z44" s="11"/>
      <c r="AA44" s="11"/>
      <c r="AB44" s="11"/>
      <c r="AC44" s="11"/>
      <c r="AD44" s="11"/>
      <c r="AE44" s="767"/>
      <c r="AF44" s="768" t="s">
        <v>4605</v>
      </c>
      <c r="AG44" s="756">
        <f t="shared" si="17"/>
        <v>117224.44448227852</v>
      </c>
      <c r="AH44" s="756">
        <f t="shared" si="17"/>
        <v>21335544225036.133</v>
      </c>
      <c r="AI44" s="756">
        <f t="shared" si="17"/>
        <v>35042029592.80027</v>
      </c>
      <c r="AJ44" s="757">
        <f t="shared" si="17"/>
        <v>353194.19907863764</v>
      </c>
      <c r="AK44" s="11"/>
      <c r="AL44"/>
      <c r="AM44" s="11"/>
      <c r="AN44" s="11"/>
      <c r="AO44" s="11"/>
      <c r="AP44" s="11"/>
      <c r="AQ44" s="11"/>
      <c r="AR44" s="11"/>
      <c r="AS44"/>
    </row>
    <row r="45" spans="1:45" ht="12.75" customHeight="1" x14ac:dyDescent="0.3">
      <c r="A45" s="16"/>
      <c r="B45" s="156" t="s">
        <v>154</v>
      </c>
      <c r="C45" s="240">
        <f>C44*FRACw.sdR</f>
        <v>0</v>
      </c>
      <c r="D45" s="379">
        <f t="shared" si="15"/>
        <v>0</v>
      </c>
      <c r="E45" s="240">
        <f>E44*FRACw.sdC</f>
        <v>0</v>
      </c>
      <c r="F45" s="379">
        <f t="shared" si="16"/>
        <v>0</v>
      </c>
      <c r="G45" s="241"/>
      <c r="H45" s="379"/>
      <c r="I45" s="241"/>
      <c r="J45" s="379"/>
      <c r="K45" s="241"/>
      <c r="L45" s="394"/>
      <c r="M45" s="16"/>
      <c r="N45" s="153"/>
      <c r="O45" s="11"/>
      <c r="P45" s="11"/>
      <c r="Q45"/>
      <c r="R45" s="11"/>
      <c r="S45" s="11"/>
      <c r="T45" s="11"/>
      <c r="U45" s="11"/>
      <c r="V45" s="11"/>
      <c r="W45" s="11"/>
      <c r="X45" s="11"/>
      <c r="Y45" s="11"/>
      <c r="Z45" s="11"/>
      <c r="AA45" s="11"/>
      <c r="AB45" s="11"/>
      <c r="AC45" s="11"/>
      <c r="AD45" s="11"/>
      <c r="AE45" s="769"/>
      <c r="AF45" s="770" t="s">
        <v>4606</v>
      </c>
      <c r="AG45" s="758">
        <f t="shared" si="17"/>
        <v>0.31458360850569006</v>
      </c>
      <c r="AH45" s="758">
        <f t="shared" si="17"/>
        <v>857962810.58997583</v>
      </c>
      <c r="AI45" s="758">
        <f t="shared" si="17"/>
        <v>859488746.95336831</v>
      </c>
      <c r="AJ45" s="759">
        <f t="shared" si="17"/>
        <v>3662756.1146227294</v>
      </c>
      <c r="AK45" s="11"/>
      <c r="AL45" s="11"/>
      <c r="AM45" s="11"/>
      <c r="AN45" s="11"/>
      <c r="AO45" s="11"/>
      <c r="AP45" s="11"/>
      <c r="AQ45" s="11"/>
      <c r="AR45" s="11"/>
      <c r="AS45"/>
    </row>
    <row r="46" spans="1:45" ht="12.75" customHeight="1" x14ac:dyDescent="0.3">
      <c r="A46" s="16"/>
      <c r="B46" s="156" t="s">
        <v>155</v>
      </c>
      <c r="C46" s="240">
        <f>C44*FRACs.sdR</f>
        <v>0</v>
      </c>
      <c r="D46" s="379">
        <f t="shared" si="15"/>
        <v>0</v>
      </c>
      <c r="E46" s="240">
        <f>E44*FRACs.sdC</f>
        <v>0</v>
      </c>
      <c r="F46" s="379">
        <f t="shared" si="16"/>
        <v>0</v>
      </c>
      <c r="G46" s="241"/>
      <c r="H46" s="379"/>
      <c r="I46" s="241"/>
      <c r="J46" s="379"/>
      <c r="K46" s="241"/>
      <c r="L46" s="394"/>
      <c r="M46" s="16"/>
      <c r="N46" s="153"/>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row>
    <row r="47" spans="1:45" ht="12.75" customHeight="1" x14ac:dyDescent="0.3">
      <c r="A47" s="16"/>
      <c r="B47" s="156" t="s">
        <v>123</v>
      </c>
      <c r="C47" s="240">
        <f>M.sd1RS*Molweight</f>
        <v>7.3328276470607584E-4</v>
      </c>
      <c r="D47" s="379">
        <f t="shared" si="15"/>
        <v>4.4319071793742993E-14</v>
      </c>
      <c r="E47" s="240">
        <f>M.sd1CS*Molweight</f>
        <v>1.7484615446600712E-7</v>
      </c>
      <c r="F47" s="379">
        <f t="shared" si="16"/>
        <v>5.3319765260332185E-18</v>
      </c>
      <c r="G47" s="241"/>
      <c r="H47" s="379"/>
      <c r="I47" s="241"/>
      <c r="J47" s="379"/>
      <c r="K47" s="241"/>
      <c r="L47" s="394"/>
      <c r="M47" s="16"/>
      <c r="N47" s="153"/>
      <c r="O47" s="11"/>
      <c r="P47" s="11"/>
      <c r="Q47" s="11"/>
      <c r="R47" s="11"/>
      <c r="S47" s="11"/>
      <c r="T47" s="11"/>
      <c r="U47" s="11"/>
      <c r="V47" s="11"/>
      <c r="W47" s="11"/>
      <c r="X47" s="11"/>
      <c r="Y47" s="11"/>
      <c r="Z47" s="11"/>
      <c r="AA47" s="11"/>
      <c r="AB47" s="11"/>
      <c r="AC47" s="11"/>
      <c r="AD47" s="11"/>
      <c r="AE47" s="11"/>
      <c r="AF47" s="771"/>
      <c r="AG47" s="11"/>
      <c r="AH47" s="11"/>
      <c r="AI47" s="11"/>
      <c r="AJ47" s="11"/>
      <c r="AK47" s="11"/>
      <c r="AL47" s="11"/>
      <c r="AM47" s="11"/>
      <c r="AN47" s="11"/>
      <c r="AO47" s="11"/>
      <c r="AP47" s="11"/>
      <c r="AQ47" s="11"/>
      <c r="AR47" s="11"/>
      <c r="AS47" s="11"/>
    </row>
    <row r="48" spans="1:45" ht="12.75" customHeight="1" x14ac:dyDescent="0.3">
      <c r="A48" s="16"/>
      <c r="B48" s="156" t="s">
        <v>126</v>
      </c>
      <c r="C48" s="240">
        <f>M.sd1RA*Molweight</f>
        <v>3998790.8464842173</v>
      </c>
      <c r="D48" s="379">
        <f t="shared" si="15"/>
        <v>2.4168398214641403E-4</v>
      </c>
      <c r="E48" s="240">
        <f>M.sd1CA*Molweight</f>
        <v>229705.23345777596</v>
      </c>
      <c r="F48" s="379">
        <f t="shared" si="16"/>
        <v>7.0049176457121286E-6</v>
      </c>
      <c r="G48" s="241"/>
      <c r="H48" s="379"/>
      <c r="I48" s="241"/>
      <c r="J48" s="379"/>
      <c r="K48" s="241"/>
      <c r="L48" s="394"/>
      <c r="M48" s="16"/>
      <c r="N48" s="153"/>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row>
    <row r="49" spans="1:40" ht="12.75" customHeight="1" x14ac:dyDescent="0.3">
      <c r="A49" s="16"/>
      <c r="B49" s="156" t="s">
        <v>128</v>
      </c>
      <c r="C49" s="240">
        <f>M.sd1RP*Molweight</f>
        <v>38691356.962133281</v>
      </c>
      <c r="D49" s="379">
        <f t="shared" si="15"/>
        <v>2.338477200796418E-3</v>
      </c>
      <c r="E49" s="240">
        <f>M.sd1CP*Molweight</f>
        <v>270516.43280289439</v>
      </c>
      <c r="F49" s="379">
        <f t="shared" si="16"/>
        <v>8.2494652171014634E-6</v>
      </c>
      <c r="G49" s="241"/>
      <c r="H49" s="379"/>
      <c r="I49" s="241"/>
      <c r="J49" s="379"/>
      <c r="K49" s="241"/>
      <c r="L49" s="394"/>
      <c r="M49" s="16"/>
      <c r="N49" s="153"/>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row>
    <row r="50" spans="1:40" ht="12.75" customHeight="1" x14ac:dyDescent="0.3">
      <c r="A50" s="16"/>
      <c r="B50" s="156"/>
      <c r="C50" s="240"/>
      <c r="D50" s="379"/>
      <c r="E50" s="241"/>
      <c r="F50" s="379"/>
      <c r="G50" s="241"/>
      <c r="H50" s="379"/>
      <c r="I50" s="241"/>
      <c r="J50" s="379"/>
      <c r="K50" s="241"/>
      <c r="L50" s="394"/>
      <c r="M50" s="16"/>
      <c r="N50" s="153"/>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row>
    <row r="51" spans="1:40" ht="12.75" customHeight="1" x14ac:dyDescent="0.3">
      <c r="A51" s="16"/>
      <c r="B51" s="101" t="s">
        <v>196</v>
      </c>
      <c r="C51" s="240">
        <f>SUM(C52,C55:C57)</f>
        <v>772163.51185626374</v>
      </c>
      <c r="D51" s="379">
        <f t="shared" ref="D51:D57" si="18">C51/$C$103</f>
        <v>4.6668995598421868E-5</v>
      </c>
      <c r="E51" s="240">
        <f>SUM(E52,E55:E57)</f>
        <v>31841340205.120403</v>
      </c>
      <c r="F51" s="379">
        <f t="shared" ref="F51:F57" si="19">E51/$E$103</f>
        <v>0.97100950861431246</v>
      </c>
      <c r="G51" s="241">
        <f>SUM(G52,G55:G57)</f>
        <v>166303205070.7507</v>
      </c>
      <c r="H51" s="379">
        <f t="shared" ref="H51:H57" si="20">G51/$G$103</f>
        <v>3.2150910390760144E-2</v>
      </c>
      <c r="I51" s="241">
        <f>SUM(I52,I55:I57)</f>
        <v>132980909581.42285</v>
      </c>
      <c r="J51" s="379">
        <f t="shared" ref="J51:J57" si="21">I51/$I$103</f>
        <v>3.8897805030506612E-2</v>
      </c>
      <c r="K51" s="241">
        <f>SUM(K52,K55:K57)</f>
        <v>383340661407.28491</v>
      </c>
      <c r="L51" s="394">
        <f t="shared" ref="L51:L57" si="22">K51/$K$103</f>
        <v>2.9993007628170362E-2</v>
      </c>
      <c r="M51" s="16"/>
      <c r="N51" s="153"/>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row>
    <row r="52" spans="1:40" ht="12.75" customHeight="1" x14ac:dyDescent="0.3">
      <c r="A52" s="16"/>
      <c r="B52" s="376" t="s">
        <v>116</v>
      </c>
      <c r="C52" s="240">
        <f>M.w2RD*Molweight</f>
        <v>0</v>
      </c>
      <c r="D52" s="379">
        <f t="shared" si="18"/>
        <v>0</v>
      </c>
      <c r="E52" s="240">
        <f>M.w2CD*Molweight</f>
        <v>0</v>
      </c>
      <c r="F52" s="379">
        <f t="shared" si="19"/>
        <v>0</v>
      </c>
      <c r="G52" s="241">
        <f>M.w2MD*Molweight</f>
        <v>0</v>
      </c>
      <c r="H52" s="379">
        <f t="shared" si="20"/>
        <v>0</v>
      </c>
      <c r="I52" s="241">
        <f>M.w2AD*Molweight</f>
        <v>0</v>
      </c>
      <c r="J52" s="379">
        <f t="shared" si="21"/>
        <v>0</v>
      </c>
      <c r="K52" s="241">
        <f>M.w2TD*Molweight</f>
        <v>0</v>
      </c>
      <c r="L52" s="394">
        <f t="shared" si="22"/>
        <v>0</v>
      </c>
      <c r="M52" s="16"/>
      <c r="N52" s="153"/>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row>
    <row r="53" spans="1:40" ht="12.75" customHeight="1" x14ac:dyDescent="0.3">
      <c r="A53" s="16"/>
      <c r="B53" s="156" t="s">
        <v>137</v>
      </c>
      <c r="C53" s="240">
        <f>FRwD.w2R*C52</f>
        <v>0</v>
      </c>
      <c r="D53" s="379">
        <f t="shared" si="18"/>
        <v>0</v>
      </c>
      <c r="E53" s="240">
        <f>FRw.w2C*E52</f>
        <v>0</v>
      </c>
      <c r="F53" s="379">
        <f t="shared" si="19"/>
        <v>0</v>
      </c>
      <c r="G53" s="241">
        <f>FRw.w2M*G52</f>
        <v>0</v>
      </c>
      <c r="H53" s="379">
        <f t="shared" si="20"/>
        <v>0</v>
      </c>
      <c r="I53" s="241">
        <f>FRw.w2A*I52</f>
        <v>0</v>
      </c>
      <c r="J53" s="379">
        <f t="shared" si="21"/>
        <v>0</v>
      </c>
      <c r="K53" s="241">
        <f>FRw.w2T*K52</f>
        <v>0</v>
      </c>
      <c r="L53" s="394">
        <f t="shared" si="22"/>
        <v>0</v>
      </c>
      <c r="M53" s="16"/>
      <c r="N53" s="153"/>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row>
    <row r="54" spans="1:40" ht="12.75" customHeight="1" x14ac:dyDescent="0.3">
      <c r="A54" s="16"/>
      <c r="B54" s="156" t="s">
        <v>139</v>
      </c>
      <c r="C54" s="240">
        <f>(1-FRwD.w2R)*C52</f>
        <v>0</v>
      </c>
      <c r="D54" s="379">
        <f t="shared" si="18"/>
        <v>0</v>
      </c>
      <c r="E54" s="240">
        <f>(1-FRw.w2C)*E52</f>
        <v>0</v>
      </c>
      <c r="F54" s="379">
        <f t="shared" si="19"/>
        <v>0</v>
      </c>
      <c r="G54" s="241">
        <f>(1-FRw.w2M)*G52</f>
        <v>0</v>
      </c>
      <c r="H54" s="379">
        <f t="shared" si="20"/>
        <v>0</v>
      </c>
      <c r="I54" s="241">
        <f>(1-FRw.w2A)*I52</f>
        <v>0</v>
      </c>
      <c r="J54" s="379">
        <f t="shared" si="21"/>
        <v>0</v>
      </c>
      <c r="K54" s="241">
        <f>(1-FRw.w2T)*K52</f>
        <v>0</v>
      </c>
      <c r="L54" s="394">
        <f t="shared" si="22"/>
        <v>0</v>
      </c>
      <c r="M54" s="16"/>
      <c r="N54" s="153"/>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row>
    <row r="55" spans="1:40" ht="12.75" customHeight="1" x14ac:dyDescent="0.3">
      <c r="A55" s="16"/>
      <c r="B55" s="156" t="s">
        <v>123</v>
      </c>
      <c r="C55" s="240">
        <f>M.w2RS*Molweight</f>
        <v>0.17152022501579822</v>
      </c>
      <c r="D55" s="379">
        <f t="shared" si="18"/>
        <v>1.0366556439658166E-11</v>
      </c>
      <c r="E55" s="240">
        <f>M.w2CS*Molweight</f>
        <v>4.0875492752077944</v>
      </c>
      <c r="F55" s="379">
        <f t="shared" si="19"/>
        <v>1.2465082146630395E-10</v>
      </c>
      <c r="G55" s="241">
        <f>M.w2MS*Molweight</f>
        <v>0.12942381042238016</v>
      </c>
      <c r="H55" s="379">
        <f t="shared" si="20"/>
        <v>2.5021125296715789E-14</v>
      </c>
      <c r="I55" s="241">
        <f>M.w2AS*Molweight</f>
        <v>2.2806508899272109E-3</v>
      </c>
      <c r="J55" s="379">
        <f t="shared" si="21"/>
        <v>6.6710563146451032E-16</v>
      </c>
      <c r="K55" s="241">
        <f>M.w2TS*Molweight</f>
        <v>4.6415815447000425E-3</v>
      </c>
      <c r="L55" s="394">
        <f t="shared" si="22"/>
        <v>3.6316259842065776E-16</v>
      </c>
      <c r="M55" s="16"/>
      <c r="N55" s="153"/>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row>
    <row r="56" spans="1:40" ht="12.75" customHeight="1" x14ac:dyDescent="0.3">
      <c r="A56" s="16"/>
      <c r="B56" s="156" t="s">
        <v>126</v>
      </c>
      <c r="C56" s="240">
        <f>M.w2RA*Molweight</f>
        <v>767025.71389522066</v>
      </c>
      <c r="D56" s="379">
        <f t="shared" si="18"/>
        <v>4.6358470862730743E-5</v>
      </c>
      <c r="E56" s="240">
        <f>M.w2CA*Molweight</f>
        <v>31840904451.43721</v>
      </c>
      <c r="F56" s="379">
        <f t="shared" si="19"/>
        <v>0.97099622019846465</v>
      </c>
      <c r="G56" s="241">
        <f>M.w2MA*Molweight</f>
        <v>166301137616.65112</v>
      </c>
      <c r="H56" s="379">
        <f t="shared" si="20"/>
        <v>3.2150510695928863E-2</v>
      </c>
      <c r="I56" s="241">
        <f>M.w2AA*Molweight</f>
        <v>132980118691.43832</v>
      </c>
      <c r="J56" s="379">
        <f t="shared" si="21"/>
        <v>3.8897573689899032E-2</v>
      </c>
      <c r="K56" s="241">
        <f>M.w2TA*Molweight</f>
        <v>383331097841.45636</v>
      </c>
      <c r="L56" s="394">
        <f t="shared" si="22"/>
        <v>2.9992259363945548E-2</v>
      </c>
      <c r="M56" s="16"/>
      <c r="N56" s="153"/>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row>
    <row r="57" spans="1:40" ht="12.75" customHeight="1" x14ac:dyDescent="0.3">
      <c r="A57" s="16"/>
      <c r="B57" s="156" t="s">
        <v>128</v>
      </c>
      <c r="C57" s="240">
        <f>M.w2RP*Molweight</f>
        <v>5137.6264408180805</v>
      </c>
      <c r="D57" s="379">
        <f t="shared" si="18"/>
        <v>3.1051436913469048E-7</v>
      </c>
      <c r="E57" s="240">
        <f>M.w2CP*Molweight</f>
        <v>435749.59564094769</v>
      </c>
      <c r="F57" s="379">
        <f t="shared" si="19"/>
        <v>1.3288291196805861E-5</v>
      </c>
      <c r="G57" s="241">
        <f>M.w2MP*Molweight</f>
        <v>2067453.9701646264</v>
      </c>
      <c r="H57" s="379">
        <f t="shared" si="20"/>
        <v>3.9969480626368879E-7</v>
      </c>
      <c r="I57" s="241">
        <f>M.w2AP*Molweight</f>
        <v>790889.98225381225</v>
      </c>
      <c r="J57" s="379">
        <f t="shared" si="21"/>
        <v>2.3134060691210126E-7</v>
      </c>
      <c r="K57" s="241">
        <f>M.w2TP*Molweight</f>
        <v>9563565.8239123113</v>
      </c>
      <c r="L57" s="394">
        <f t="shared" si="22"/>
        <v>7.4826422445271108E-7</v>
      </c>
      <c r="M57" s="16"/>
      <c r="N57" s="153"/>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row>
    <row r="58" spans="1:40" ht="12.75" customHeight="1" x14ac:dyDescent="0.3">
      <c r="A58" s="16"/>
      <c r="B58" s="156"/>
      <c r="C58" s="240"/>
      <c r="D58" s="379"/>
      <c r="E58" s="241"/>
      <c r="F58" s="379"/>
      <c r="G58" s="241"/>
      <c r="H58" s="379"/>
      <c r="I58" s="241"/>
      <c r="J58" s="379"/>
      <c r="K58" s="241"/>
      <c r="L58" s="394"/>
      <c r="M58" s="16"/>
      <c r="N58" s="153"/>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row>
    <row r="59" spans="1:40" ht="12.75" customHeight="1" x14ac:dyDescent="0.3">
      <c r="A59" s="16"/>
      <c r="B59" s="101" t="s">
        <v>209</v>
      </c>
      <c r="C59" s="240"/>
      <c r="D59" s="379"/>
      <c r="E59" s="241"/>
      <c r="F59" s="379"/>
      <c r="G59" s="241">
        <f>SUM(G60,G63:G65)</f>
        <v>4997668078879.8271</v>
      </c>
      <c r="H59" s="379">
        <f t="shared" ref="H59:H65" si="23">G59/$G$103</f>
        <v>0.96618449715668142</v>
      </c>
      <c r="I59" s="241">
        <f>SUM(I60,I63:I65)</f>
        <v>3280137757927.9336</v>
      </c>
      <c r="J59" s="379">
        <f t="shared" ref="J59:J65" si="24">I59/$I$103</f>
        <v>0.95946222192864239</v>
      </c>
      <c r="K59" s="241">
        <f>SUM(K60,K63:K65)</f>
        <v>12375971574979.639</v>
      </c>
      <c r="L59" s="394">
        <f t="shared" ref="L59:L65" si="25">K59/$K$103</f>
        <v>0.9683100365395515</v>
      </c>
      <c r="M59" s="16"/>
      <c r="N59" s="153"/>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row>
    <row r="60" spans="1:40" ht="12.75" customHeight="1" x14ac:dyDescent="0.3">
      <c r="A60" s="16"/>
      <c r="B60" s="376" t="s">
        <v>116</v>
      </c>
      <c r="C60" s="240"/>
      <c r="D60" s="379"/>
      <c r="E60" s="241"/>
      <c r="F60" s="379"/>
      <c r="G60" s="241">
        <f>M.w3MD*Molweight</f>
        <v>0</v>
      </c>
      <c r="H60" s="379">
        <f t="shared" si="23"/>
        <v>0</v>
      </c>
      <c r="I60" s="241">
        <f>M.w3AD*Molweight</f>
        <v>0</v>
      </c>
      <c r="J60" s="379">
        <f t="shared" si="24"/>
        <v>0</v>
      </c>
      <c r="K60" s="241">
        <f>M.w3TD*Molweight</f>
        <v>0</v>
      </c>
      <c r="L60" s="394">
        <f t="shared" si="25"/>
        <v>0</v>
      </c>
      <c r="M60" s="16"/>
      <c r="N60" s="153"/>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row>
    <row r="61" spans="1:40" ht="12.75" customHeight="1" x14ac:dyDescent="0.3">
      <c r="A61" s="16"/>
      <c r="B61" s="156" t="s">
        <v>137</v>
      </c>
      <c r="C61" s="240"/>
      <c r="D61" s="379"/>
      <c r="E61" s="241"/>
      <c r="F61" s="379"/>
      <c r="G61" s="241">
        <f>FRw.w3M*G60</f>
        <v>0</v>
      </c>
      <c r="H61" s="379">
        <f t="shared" si="23"/>
        <v>0</v>
      </c>
      <c r="I61" s="241">
        <f>FRw.w3A*I60</f>
        <v>0</v>
      </c>
      <c r="J61" s="379">
        <f t="shared" si="24"/>
        <v>0</v>
      </c>
      <c r="K61" s="241">
        <f>FRw.w3T*K60</f>
        <v>0</v>
      </c>
      <c r="L61" s="394">
        <f t="shared" si="25"/>
        <v>0</v>
      </c>
      <c r="M61" s="16"/>
      <c r="N61" s="153"/>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row>
    <row r="62" spans="1:40" ht="12.75" customHeight="1" x14ac:dyDescent="0.3">
      <c r="A62" s="16"/>
      <c r="B62" s="156" t="s">
        <v>139</v>
      </c>
      <c r="C62" s="240"/>
      <c r="D62" s="379"/>
      <c r="E62" s="241"/>
      <c r="F62" s="379"/>
      <c r="G62" s="241">
        <f>(1-FRw.w3M)*G60</f>
        <v>0</v>
      </c>
      <c r="H62" s="379">
        <f t="shared" si="23"/>
        <v>0</v>
      </c>
      <c r="I62" s="241">
        <f>(1-FRw.w3A)*I60</f>
        <v>0</v>
      </c>
      <c r="J62" s="379">
        <f t="shared" si="24"/>
        <v>0</v>
      </c>
      <c r="K62" s="241">
        <f>(1-FRw.w3T)*K60</f>
        <v>0</v>
      </c>
      <c r="L62" s="394">
        <f t="shared" si="25"/>
        <v>0</v>
      </c>
      <c r="M62" s="16"/>
      <c r="N62" s="153"/>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row>
    <row r="63" spans="1:40" ht="12.75" customHeight="1" x14ac:dyDescent="0.3">
      <c r="A63" s="16"/>
      <c r="B63" s="156" t="s">
        <v>123</v>
      </c>
      <c r="C63" s="240"/>
      <c r="D63" s="379"/>
      <c r="E63" s="241"/>
      <c r="F63" s="379"/>
      <c r="G63" s="241">
        <f>M.w3MS*Molweight</f>
        <v>1.0076040770509041E-5</v>
      </c>
      <c r="H63" s="379">
        <f t="shared" si="23"/>
        <v>1.9479713801574758E-18</v>
      </c>
      <c r="I63" s="241">
        <f>M.w3AS*Molweight</f>
        <v>2.0783270983986063E-7</v>
      </c>
      <c r="J63" s="379">
        <f t="shared" si="24"/>
        <v>6.0792456990699534E-20</v>
      </c>
      <c r="K63" s="241">
        <f>M.w3TS*Molweight</f>
        <v>3.1537425350479486E-7</v>
      </c>
      <c r="L63" s="394">
        <f t="shared" si="25"/>
        <v>2.4675238875971974E-20</v>
      </c>
      <c r="M63" s="16"/>
      <c r="N63" s="153"/>
      <c r="O63" s="11"/>
      <c r="P63" s="11"/>
      <c r="Q63" s="11"/>
      <c r="R63" s="11"/>
      <c r="S63" s="11"/>
      <c r="T63" s="11"/>
      <c r="U63" s="11"/>
      <c r="V63" s="11"/>
      <c r="W63" s="11"/>
      <c r="X63" s="11"/>
      <c r="Y63" s="11"/>
      <c r="Z63" s="11"/>
      <c r="AA63" s="11"/>
      <c r="AB63" s="11"/>
      <c r="AC63" s="11"/>
      <c r="AD63" s="11"/>
      <c r="AE63" s="11"/>
      <c r="AF63" t="s">
        <v>4619</v>
      </c>
      <c r="AG63" s="11"/>
      <c r="AH63" s="11"/>
      <c r="AI63" s="11"/>
      <c r="AJ63" s="11"/>
      <c r="AK63" s="11"/>
      <c r="AL63" s="11"/>
      <c r="AM63" s="11"/>
      <c r="AN63" s="11"/>
    </row>
    <row r="64" spans="1:40" ht="12.75" customHeight="1" x14ac:dyDescent="0.3">
      <c r="A64" s="16"/>
      <c r="B64" s="156" t="s">
        <v>126</v>
      </c>
      <c r="C64" s="240"/>
      <c r="D64" s="379"/>
      <c r="E64" s="241"/>
      <c r="F64" s="379"/>
      <c r="G64" s="241">
        <f>M.w3MA*Molweight</f>
        <v>4997542718610.6992</v>
      </c>
      <c r="H64" s="379">
        <f t="shared" si="23"/>
        <v>0.96616026162389312</v>
      </c>
      <c r="I64" s="241">
        <f>M.w3AA*Molweight</f>
        <v>3280097024013.2622</v>
      </c>
      <c r="J64" s="379">
        <f t="shared" si="24"/>
        <v>0.95945030698629463</v>
      </c>
      <c r="K64" s="241">
        <f>M.w3TA*Molweight</f>
        <v>12375292128262.625</v>
      </c>
      <c r="L64" s="394">
        <f t="shared" si="25"/>
        <v>0.96825687585867948</v>
      </c>
      <c r="M64" s="16"/>
      <c r="N64" s="153"/>
      <c r="O64" s="11"/>
      <c r="P64" s="11"/>
      <c r="Q64" s="11"/>
      <c r="R64" s="11"/>
      <c r="S64" s="11"/>
      <c r="T64" s="11"/>
      <c r="U64" s="11"/>
      <c r="V64" s="11"/>
      <c r="W64" s="11"/>
      <c r="X64" s="11"/>
      <c r="Y64" s="11"/>
      <c r="Z64" s="11"/>
      <c r="AA64" s="11"/>
      <c r="AB64" s="11"/>
      <c r="AC64" s="11"/>
      <c r="AD64" s="11"/>
      <c r="AE64" s="11"/>
      <c r="AF64" s="413" t="s">
        <v>246</v>
      </c>
      <c r="AG64" s="761"/>
      <c r="AH64" s="761" t="s">
        <v>112</v>
      </c>
      <c r="AI64" s="761"/>
      <c r="AJ64" s="761" t="s">
        <v>4598</v>
      </c>
      <c r="AK64" s="761"/>
      <c r="AL64" s="761" t="s">
        <v>4599</v>
      </c>
      <c r="AM64" s="761"/>
      <c r="AN64" s="762" t="s">
        <v>4600</v>
      </c>
    </row>
    <row r="65" spans="1:51" ht="12.75" customHeight="1" x14ac:dyDescent="0.3">
      <c r="A65" s="16"/>
      <c r="B65" s="387" t="s">
        <v>128</v>
      </c>
      <c r="C65" s="240"/>
      <c r="D65" s="379"/>
      <c r="E65" s="241"/>
      <c r="F65" s="379"/>
      <c r="G65" s="241">
        <f>M.w3MP*Molweight</f>
        <v>125360269.12745416</v>
      </c>
      <c r="H65" s="379">
        <f t="shared" si="23"/>
        <v>2.423553278822061E-5</v>
      </c>
      <c r="I65" s="241">
        <f>M.w3AP*Molweight</f>
        <v>40733914.671591692</v>
      </c>
      <c r="J65" s="379">
        <f t="shared" si="24"/>
        <v>1.1914942347831647E-5</v>
      </c>
      <c r="K65" s="241">
        <f>M.w3TP*Molweight</f>
        <v>679446717.0145992</v>
      </c>
      <c r="L65" s="394">
        <f t="shared" si="25"/>
        <v>5.3160680872052443E-5</v>
      </c>
      <c r="M65" s="16"/>
      <c r="N65" s="153"/>
      <c r="O65" s="11"/>
      <c r="P65" s="11"/>
      <c r="Q65" s="11"/>
      <c r="R65" s="11"/>
      <c r="S65" s="11"/>
      <c r="T65" s="11"/>
      <c r="U65" s="11"/>
      <c r="V65" s="11"/>
      <c r="W65" s="11"/>
      <c r="X65" s="11"/>
      <c r="Y65" s="11"/>
      <c r="Z65" s="11"/>
      <c r="AA65" s="11"/>
      <c r="AB65" s="11"/>
      <c r="AC65" s="11"/>
      <c r="AD65" s="11"/>
      <c r="AE65" s="11"/>
      <c r="AF65" s="763"/>
      <c r="AG65" s="756" t="s">
        <v>4604</v>
      </c>
      <c r="AH65" s="756">
        <f>AG35</f>
        <v>9690.1971073752156</v>
      </c>
      <c r="AI65" s="756" t="s">
        <v>4604</v>
      </c>
      <c r="AJ65" s="756">
        <f>AH35</f>
        <v>1694.115722694346</v>
      </c>
      <c r="AK65" s="756" t="s">
        <v>4604</v>
      </c>
      <c r="AL65" s="756">
        <f>AI35</f>
        <v>7.3329381595783525E-4</v>
      </c>
      <c r="AM65" s="756" t="s">
        <v>4604</v>
      </c>
      <c r="AN65" s="757">
        <f>AJ35</f>
        <v>16.237202955990579</v>
      </c>
      <c r="AO65" s="11"/>
      <c r="AP65" s="11"/>
      <c r="AQ65" t="s">
        <v>4620</v>
      </c>
      <c r="AR65" s="11"/>
      <c r="AS65" s="11"/>
      <c r="AT65" s="11"/>
      <c r="AU65" s="11"/>
      <c r="AV65" s="11"/>
      <c r="AW65" s="11"/>
      <c r="AX65" s="11"/>
      <c r="AY65" s="11"/>
    </row>
    <row r="66" spans="1:51" ht="12.75" customHeight="1" x14ac:dyDescent="0.3">
      <c r="A66" s="16"/>
      <c r="B66" s="156"/>
      <c r="C66" s="240"/>
      <c r="D66" s="379"/>
      <c r="E66" s="241"/>
      <c r="F66" s="379"/>
      <c r="G66" s="241"/>
      <c r="H66" s="379"/>
      <c r="I66" s="241"/>
      <c r="J66" s="379"/>
      <c r="K66" s="241"/>
      <c r="L66" s="394"/>
      <c r="M66" s="16"/>
      <c r="N66" s="153"/>
      <c r="O66" s="11"/>
      <c r="P66" s="11"/>
      <c r="Q66" s="11"/>
      <c r="R66" s="11"/>
      <c r="S66" s="11"/>
      <c r="T66" s="11"/>
      <c r="U66" s="11"/>
      <c r="V66" s="11"/>
      <c r="W66" s="11"/>
      <c r="X66" s="11"/>
      <c r="Y66" s="11"/>
      <c r="Z66" s="11"/>
      <c r="AA66" s="11"/>
      <c r="AB66" s="11"/>
      <c r="AC66" s="11"/>
      <c r="AD66" s="11"/>
      <c r="AE66" s="11"/>
      <c r="AF66" s="763"/>
      <c r="AG66" s="756" t="s">
        <v>4605</v>
      </c>
      <c r="AH66" s="756">
        <f>AG36</f>
        <v>24606.827009700963</v>
      </c>
      <c r="AI66" s="756" t="s">
        <v>4605</v>
      </c>
      <c r="AJ66" s="756">
        <f>AH36</f>
        <v>15679728.718862168</v>
      </c>
      <c r="AK66" s="756" t="s">
        <v>4605</v>
      </c>
      <c r="AL66" s="756">
        <f>AI36</f>
        <v>5692832.5186264506</v>
      </c>
      <c r="AM66" s="756" t="s">
        <v>4605</v>
      </c>
      <c r="AN66" s="757">
        <f>AJ36</f>
        <v>4054972.7086551082</v>
      </c>
      <c r="AO66" s="11"/>
      <c r="AP66" s="11"/>
      <c r="AQ66" s="765" t="s">
        <v>4601</v>
      </c>
      <c r="AR66" s="766"/>
      <c r="AS66" s="761" t="s">
        <v>112</v>
      </c>
      <c r="AT66" s="766"/>
      <c r="AU66" s="761" t="s">
        <v>4598</v>
      </c>
      <c r="AV66" s="766"/>
      <c r="AW66" s="761" t="s">
        <v>4599</v>
      </c>
      <c r="AX66" s="766"/>
      <c r="AY66" s="762" t="s">
        <v>4600</v>
      </c>
    </row>
    <row r="67" spans="1:51" ht="12.75" customHeight="1" x14ac:dyDescent="0.3">
      <c r="A67" s="16"/>
      <c r="B67" s="101" t="s">
        <v>212</v>
      </c>
      <c r="C67" s="240">
        <f>SUM(C68,C71:C73)</f>
        <v>1925385.0715008022</v>
      </c>
      <c r="D67" s="379">
        <f t="shared" ref="D67:D73" si="26">C67/$C$103</f>
        <v>1.1636885976537122E-4</v>
      </c>
      <c r="E67" s="240">
        <f>SUM(E68,E71:E73)</f>
        <v>816972589.50827634</v>
      </c>
      <c r="F67" s="379">
        <f t="shared" ref="F67:F73" si="27">E67/$E$103</f>
        <v>2.4913780248553268E-2</v>
      </c>
      <c r="G67" s="241">
        <f>SUM(G68,G71:G73)</f>
        <v>8606352891.3889256</v>
      </c>
      <c r="H67" s="379">
        <f t="shared" ref="H67:H73" si="28">G67/$G$103</f>
        <v>1.6638409373083756E-3</v>
      </c>
      <c r="I67" s="241">
        <f>SUM(I68,I71:I73)</f>
        <v>5606482958.227644</v>
      </c>
      <c r="J67" s="379">
        <f t="shared" ref="J67:J73" si="29">I67/$I$103</f>
        <v>1.639933744643766E-3</v>
      </c>
      <c r="K67" s="241">
        <f>SUM(K68,K71:K73)</f>
        <v>21688682490.137074</v>
      </c>
      <c r="L67" s="394">
        <f t="shared" ref="L67:L73" si="30">K67/$K$103</f>
        <v>1.6969470887423165E-3</v>
      </c>
      <c r="M67" s="16"/>
      <c r="N67" s="153"/>
      <c r="O67" s="11"/>
      <c r="P67" t="s">
        <v>4621</v>
      </c>
      <c r="Q67" s="11"/>
      <c r="R67" s="11"/>
      <c r="S67" s="11"/>
      <c r="T67" s="11"/>
      <c r="U67" s="11"/>
      <c r="V67" s="11"/>
      <c r="W67" t="s">
        <v>4622</v>
      </c>
      <c r="X67" s="11"/>
      <c r="Y67" s="11"/>
      <c r="Z67" s="11"/>
      <c r="AA67" s="11"/>
      <c r="AB67" s="11"/>
      <c r="AC67" s="11"/>
      <c r="AD67" s="11"/>
      <c r="AE67" s="11"/>
      <c r="AF67" s="764"/>
      <c r="AG67" s="758" t="s">
        <v>4606</v>
      </c>
      <c r="AH67" s="758">
        <f>AG37</f>
        <v>9.8207059229520564</v>
      </c>
      <c r="AI67" s="758" t="s">
        <v>4606</v>
      </c>
      <c r="AJ67" s="758">
        <f>AH37</f>
        <v>143630.88850939719</v>
      </c>
      <c r="AK67" s="758" t="s">
        <v>4606</v>
      </c>
      <c r="AL67" s="758">
        <f>AI37</f>
        <v>42509932.450035483</v>
      </c>
      <c r="AM67" s="758" t="s">
        <v>4606</v>
      </c>
      <c r="AN67" s="759">
        <f>AJ37</f>
        <v>16477418137.669863</v>
      </c>
      <c r="AO67" s="11"/>
      <c r="AP67" s="11"/>
      <c r="AQ67" s="767"/>
      <c r="AR67" s="768" t="s">
        <v>4604</v>
      </c>
      <c r="AS67" s="756">
        <f>AG43</f>
        <v>192.89031712374671</v>
      </c>
      <c r="AT67" s="768" t="s">
        <v>4604</v>
      </c>
      <c r="AU67" s="756">
        <f>AH43</f>
        <v>0.13635664210474127</v>
      </c>
      <c r="AV67" s="768" t="s">
        <v>4604</v>
      </c>
      <c r="AW67" s="756">
        <f>AI43</f>
        <v>1.6788430805028288E-16</v>
      </c>
      <c r="AX67" s="768" t="s">
        <v>4604</v>
      </c>
      <c r="AY67" s="757">
        <f>AJ43</f>
        <v>1.3075645677518824E-2</v>
      </c>
    </row>
    <row r="68" spans="1:51" ht="12.75" customHeight="1" x14ac:dyDescent="0.3">
      <c r="A68" s="16"/>
      <c r="B68" s="376" t="s">
        <v>116</v>
      </c>
      <c r="C68" s="240">
        <f>M.sd2RD*Molweight</f>
        <v>0</v>
      </c>
      <c r="D68" s="379">
        <f t="shared" si="26"/>
        <v>0</v>
      </c>
      <c r="E68" s="240">
        <f>M.sd2CD*Molweight</f>
        <v>0</v>
      </c>
      <c r="F68" s="379">
        <f t="shared" si="27"/>
        <v>0</v>
      </c>
      <c r="G68" s="241">
        <f>M.sdMD*Molweight</f>
        <v>0</v>
      </c>
      <c r="H68" s="379">
        <f t="shared" si="28"/>
        <v>0</v>
      </c>
      <c r="I68" s="241">
        <f>M.sdAD*Molweight</f>
        <v>0</v>
      </c>
      <c r="J68" s="379">
        <f t="shared" si="29"/>
        <v>0</v>
      </c>
      <c r="K68" s="241">
        <f>M.sdTD*Molweight</f>
        <v>0</v>
      </c>
      <c r="L68" s="394">
        <f t="shared" si="30"/>
        <v>0</v>
      </c>
      <c r="M68" s="162"/>
      <c r="N68" s="153"/>
      <c r="O68" s="11"/>
      <c r="P68" s="765"/>
      <c r="Q68" s="766" t="s">
        <v>246</v>
      </c>
      <c r="R68" s="765"/>
      <c r="S68" s="766" t="s">
        <v>247</v>
      </c>
      <c r="T68" s="765"/>
      <c r="U68" s="766" t="s">
        <v>4601</v>
      </c>
      <c r="V68" s="11"/>
      <c r="W68" s="765"/>
      <c r="X68" s="766" t="s">
        <v>246</v>
      </c>
      <c r="Y68" s="765"/>
      <c r="Z68" s="766" t="s">
        <v>247</v>
      </c>
      <c r="AA68" s="765"/>
      <c r="AB68" s="766" t="s">
        <v>4601</v>
      </c>
      <c r="AC68" s="11"/>
      <c r="AD68" s="11"/>
      <c r="AE68" s="11"/>
      <c r="AF68" s="11"/>
      <c r="AG68" s="11"/>
      <c r="AH68" s="11"/>
      <c r="AI68" s="11"/>
      <c r="AJ68" s="11"/>
      <c r="AK68" s="11"/>
      <c r="AL68" s="11"/>
      <c r="AM68" s="11"/>
      <c r="AN68" s="11"/>
      <c r="AO68" s="11"/>
      <c r="AP68" s="11"/>
      <c r="AQ68" s="767"/>
      <c r="AR68" s="768" t="s">
        <v>4605</v>
      </c>
      <c r="AS68" s="756">
        <f>AG44</f>
        <v>117224.44448227852</v>
      </c>
      <c r="AT68" s="768" t="s">
        <v>4605</v>
      </c>
      <c r="AU68" s="756">
        <f>AH44</f>
        <v>21335544225036.133</v>
      </c>
      <c r="AV68" s="768" t="s">
        <v>4605</v>
      </c>
      <c r="AW68" s="756">
        <f>AI44</f>
        <v>35042029592.80027</v>
      </c>
      <c r="AX68" s="768" t="s">
        <v>4605</v>
      </c>
      <c r="AY68" s="757">
        <f>AJ44</f>
        <v>353194.19907863764</v>
      </c>
    </row>
    <row r="69" spans="1:51" ht="12.75" customHeight="1" x14ac:dyDescent="0.3">
      <c r="A69" s="16"/>
      <c r="B69" s="156" t="s">
        <v>154</v>
      </c>
      <c r="C69" s="240">
        <f>C68*FRACw.sdR</f>
        <v>0</v>
      </c>
      <c r="D69" s="379">
        <f t="shared" si="26"/>
        <v>0</v>
      </c>
      <c r="E69" s="240">
        <f>E68*FRACw.sdC</f>
        <v>0</v>
      </c>
      <c r="F69" s="379">
        <f t="shared" si="27"/>
        <v>0</v>
      </c>
      <c r="G69" s="241">
        <f>FRACw.sdM*G68</f>
        <v>0</v>
      </c>
      <c r="H69" s="379">
        <f t="shared" si="28"/>
        <v>0</v>
      </c>
      <c r="I69" s="241">
        <f>FRACw.sdA*I68</f>
        <v>0</v>
      </c>
      <c r="J69" s="379">
        <f t="shared" si="29"/>
        <v>0</v>
      </c>
      <c r="K69" s="241">
        <f>FRACw.sdT*K68</f>
        <v>0</v>
      </c>
      <c r="L69" s="394">
        <f t="shared" si="30"/>
        <v>0</v>
      </c>
      <c r="M69" s="162"/>
      <c r="N69" s="153"/>
      <c r="O69" s="11"/>
      <c r="P69" s="767" t="s">
        <v>112</v>
      </c>
      <c r="Q69" s="756">
        <f>Q4</f>
        <v>34306.844822999134</v>
      </c>
      <c r="R69" s="767" t="s">
        <v>112</v>
      </c>
      <c r="S69" s="768">
        <f>R4</f>
        <v>125031.32838982854</v>
      </c>
      <c r="T69" s="767" t="s">
        <v>112</v>
      </c>
      <c r="U69" s="756">
        <f>S4</f>
        <v>117417.64938301076</v>
      </c>
      <c r="V69" s="11"/>
      <c r="W69" s="767" t="s">
        <v>219</v>
      </c>
      <c r="X69" s="756">
        <f>Q16</f>
        <v>11400.550766319368</v>
      </c>
      <c r="Y69" s="767" t="s">
        <v>219</v>
      </c>
      <c r="Z69" s="756">
        <f>R16</f>
        <v>3503.584090901446</v>
      </c>
      <c r="AA69" s="767" t="s">
        <v>219</v>
      </c>
      <c r="AB69" s="756">
        <f>S16</f>
        <v>193.03974941152899</v>
      </c>
      <c r="AC69" s="11"/>
      <c r="AD69" s="11"/>
      <c r="AE69" s="11"/>
      <c r="AF69" s="11"/>
      <c r="AG69" s="11"/>
      <c r="AH69" s="11"/>
      <c r="AI69" s="11"/>
      <c r="AJ69" s="11"/>
      <c r="AK69" s="11"/>
      <c r="AL69" s="11"/>
      <c r="AM69" s="11"/>
      <c r="AN69" s="11"/>
      <c r="AO69" s="11"/>
      <c r="AP69" s="11"/>
      <c r="AQ69" s="769"/>
      <c r="AR69" s="770" t="s">
        <v>4606</v>
      </c>
      <c r="AS69" s="758">
        <f>AG45</f>
        <v>0.31458360850569006</v>
      </c>
      <c r="AT69" s="770" t="s">
        <v>4606</v>
      </c>
      <c r="AU69" s="758">
        <f>AH45</f>
        <v>857962810.58997583</v>
      </c>
      <c r="AV69" s="770" t="s">
        <v>4606</v>
      </c>
      <c r="AW69" s="758">
        <f>AI45</f>
        <v>859488746.95336831</v>
      </c>
      <c r="AX69" s="770" t="s">
        <v>4606</v>
      </c>
      <c r="AY69" s="759">
        <f>AJ45</f>
        <v>3662756.1146227294</v>
      </c>
    </row>
    <row r="70" spans="1:51" ht="12.75" customHeight="1" x14ac:dyDescent="0.3">
      <c r="A70" s="16"/>
      <c r="B70" s="156" t="s">
        <v>155</v>
      </c>
      <c r="C70" s="240">
        <f>C68*FRACs.sdR</f>
        <v>0</v>
      </c>
      <c r="D70" s="379">
        <f t="shared" si="26"/>
        <v>0</v>
      </c>
      <c r="E70" s="240">
        <f>E68*FRACs.sdC</f>
        <v>0</v>
      </c>
      <c r="F70" s="379">
        <f t="shared" si="27"/>
        <v>0</v>
      </c>
      <c r="G70" s="241">
        <f>(1-FRACw.sdM)*G68</f>
        <v>0</v>
      </c>
      <c r="H70" s="379">
        <f t="shared" si="28"/>
        <v>0</v>
      </c>
      <c r="I70" s="241">
        <f>(1-FRACw.sdA)*I68</f>
        <v>0</v>
      </c>
      <c r="J70" s="379">
        <f t="shared" si="29"/>
        <v>0</v>
      </c>
      <c r="K70" s="241">
        <f>(1-FRACw.sdT)*K68</f>
        <v>0</v>
      </c>
      <c r="L70" s="394">
        <f t="shared" si="30"/>
        <v>0</v>
      </c>
      <c r="M70" s="162"/>
      <c r="N70" s="153"/>
      <c r="O70" s="11"/>
      <c r="P70" s="767" t="s">
        <v>4598</v>
      </c>
      <c r="Q70" s="756">
        <f>Q5</f>
        <v>15825053.72309426</v>
      </c>
      <c r="R70" s="767" t="s">
        <v>4598</v>
      </c>
      <c r="S70" s="756">
        <f>R5</f>
        <v>31842631209.877644</v>
      </c>
      <c r="T70" s="767" t="s">
        <v>4598</v>
      </c>
      <c r="U70" s="756">
        <f>S5</f>
        <v>21336402187846.859</v>
      </c>
      <c r="V70" s="11"/>
      <c r="W70" s="767" t="s">
        <v>220</v>
      </c>
      <c r="X70" s="756">
        <f>Q17</f>
        <v>25452140.773153428</v>
      </c>
      <c r="Y70" s="767" t="s">
        <v>220</v>
      </c>
      <c r="Z70" s="756">
        <f>R17</f>
        <v>32653369839.131474</v>
      </c>
      <c r="AA70" s="767" t="s">
        <v>220</v>
      </c>
      <c r="AB70" s="756">
        <f>S17</f>
        <v>21370586725047.578</v>
      </c>
      <c r="AC70" s="11"/>
      <c r="AD70" s="11"/>
      <c r="AE70" s="11"/>
      <c r="AF70" s="11"/>
      <c r="AG70" s="11"/>
      <c r="AH70" s="11"/>
      <c r="AI70" s="11"/>
      <c r="AJ70" s="11"/>
      <c r="AK70" s="11"/>
      <c r="AL70" s="11"/>
      <c r="AM70" s="11"/>
      <c r="AN70" s="11"/>
      <c r="AO70" s="11"/>
      <c r="AP70" s="11"/>
      <c r="AQ70" s="11"/>
      <c r="AR70" s="11"/>
      <c r="AS70" s="11"/>
      <c r="AT70" s="11"/>
      <c r="AU70" s="11"/>
      <c r="AV70" s="11"/>
      <c r="AW70" s="11"/>
      <c r="AX70" s="11"/>
      <c r="AY70" s="11"/>
    </row>
    <row r="71" spans="1:51" ht="12.75" customHeight="1" x14ac:dyDescent="0.3">
      <c r="A71" s="16"/>
      <c r="B71" s="156" t="s">
        <v>123</v>
      </c>
      <c r="C71" s="240">
        <f>M.sd2RS*Molweight</f>
        <v>2.2284655162006227E-9</v>
      </c>
      <c r="D71" s="379">
        <f t="shared" si="26"/>
        <v>1.3468681926809456E-19</v>
      </c>
      <c r="E71" s="240">
        <f>M.sd2CS*Molweight</f>
        <v>9.7112941832248086E-10</v>
      </c>
      <c r="F71" s="379">
        <f t="shared" si="27"/>
        <v>2.9614830695303941E-20</v>
      </c>
      <c r="G71" s="241">
        <f>M.sdMS*Molweight</f>
        <v>1.5959260596249912E-16</v>
      </c>
      <c r="H71" s="379">
        <f t="shared" si="28"/>
        <v>3.0853569966647915E-29</v>
      </c>
      <c r="I71" s="241">
        <f>M.sdAS*Molweight</f>
        <v>3.3356237654349878E-18</v>
      </c>
      <c r="J71" s="379">
        <f t="shared" si="29"/>
        <v>9.7569225004864952E-31</v>
      </c>
      <c r="K71" s="241">
        <f>M.sdTS*Molweight</f>
        <v>4.9560783223487759E-18</v>
      </c>
      <c r="L71" s="394">
        <f t="shared" si="30"/>
        <v>3.8776918259157506E-31</v>
      </c>
      <c r="M71" s="162"/>
      <c r="N71" s="153"/>
      <c r="O71" s="11"/>
      <c r="P71" s="767" t="s">
        <v>4599</v>
      </c>
      <c r="Q71" s="756">
        <f>Q6</f>
        <v>48202764.96939522</v>
      </c>
      <c r="R71" s="767" t="s">
        <v>4599</v>
      </c>
      <c r="S71" s="756">
        <f>R6</f>
        <v>817649002.59267676</v>
      </c>
      <c r="T71" s="767" t="s">
        <v>4599</v>
      </c>
      <c r="U71" s="756">
        <f>S6</f>
        <v>35901518339.753647</v>
      </c>
      <c r="V71" s="11"/>
      <c r="W71" s="769" t="s">
        <v>222</v>
      </c>
      <c r="X71" s="758">
        <f>Q18</f>
        <v>16520071710.829113</v>
      </c>
      <c r="Y71" s="769" t="s">
        <v>222</v>
      </c>
      <c r="Z71" s="758">
        <f>R18</f>
        <v>138622948.40198255</v>
      </c>
      <c r="AA71" s="769" t="s">
        <v>222</v>
      </c>
      <c r="AB71" s="758">
        <f>S18</f>
        <v>1721114313.9725506</v>
      </c>
      <c r="AC71" s="11"/>
      <c r="AD71" s="11"/>
      <c r="AE71" s="11"/>
      <c r="AF71" s="11"/>
      <c r="AG71" s="11"/>
      <c r="AH71" s="11"/>
      <c r="AI71" s="11"/>
      <c r="AJ71" s="11"/>
      <c r="AK71" s="11"/>
      <c r="AL71" s="11"/>
      <c r="AM71" s="11"/>
      <c r="AN71" s="11"/>
      <c r="AO71" s="11"/>
      <c r="AP71" s="11"/>
      <c r="AQ71" s="11"/>
      <c r="AR71" s="11"/>
      <c r="AS71" s="11"/>
      <c r="AT71" s="11"/>
      <c r="AU71" s="11"/>
      <c r="AV71" s="11"/>
      <c r="AW71" s="11"/>
      <c r="AX71" s="11"/>
      <c r="AY71" s="11"/>
    </row>
    <row r="72" spans="1:51" ht="12.75" customHeight="1" x14ac:dyDescent="0.3">
      <c r="A72" s="16"/>
      <c r="B72" s="156" t="s">
        <v>126</v>
      </c>
      <c r="C72" s="240">
        <f>M.sd2RA*Molweight</f>
        <v>384097.03493705572</v>
      </c>
      <c r="D72" s="379">
        <f t="shared" si="26"/>
        <v>2.321454272004129E-5</v>
      </c>
      <c r="E72" s="240">
        <f>M.sd2CA*Molweight</f>
        <v>810328993.29105437</v>
      </c>
      <c r="F72" s="379">
        <f t="shared" si="27"/>
        <v>2.4711182146313865E-2</v>
      </c>
      <c r="G72" s="241">
        <f>M.sdMA*Molweight</f>
        <v>8478933685.8100634</v>
      </c>
      <c r="H72" s="379">
        <f t="shared" si="28"/>
        <v>1.6392073563807862E-3</v>
      </c>
      <c r="I72" s="241">
        <f>M.sdAA*Molweight</f>
        <v>5565080023.4405909</v>
      </c>
      <c r="J72" s="379">
        <f t="shared" si="29"/>
        <v>1.6278231094397596E-3</v>
      </c>
      <c r="K72" s="241">
        <f>M.sdTA*Molweight</f>
        <v>20998015883.549618</v>
      </c>
      <c r="L72" s="394">
        <f t="shared" si="30"/>
        <v>1.6429085509992749E-3</v>
      </c>
      <c r="M72" s="162"/>
      <c r="N72" s="153"/>
      <c r="O72" s="11"/>
      <c r="P72" s="769" t="s">
        <v>4600</v>
      </c>
      <c r="Q72" s="758">
        <f>Q7</f>
        <v>16481473126.615721</v>
      </c>
      <c r="R72" s="769" t="s">
        <v>4600</v>
      </c>
      <c r="S72" s="758">
        <f>R7</f>
        <v>131591047.31883366</v>
      </c>
      <c r="T72" s="769" t="s">
        <v>4600</v>
      </c>
      <c r="U72" s="758">
        <f>S7</f>
        <v>4015950.326777013</v>
      </c>
      <c r="V72" s="11"/>
      <c r="W72" s="11"/>
      <c r="X72" s="11"/>
      <c r="Y72" s="11"/>
      <c r="Z72" s="533"/>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row>
    <row r="73" spans="1:51" ht="12.75" customHeight="1" x14ac:dyDescent="0.3">
      <c r="A73" s="16"/>
      <c r="B73" s="156" t="s">
        <v>128</v>
      </c>
      <c r="C73" s="240">
        <f>M.sd2RP*Molweight</f>
        <v>1541288.0365637443</v>
      </c>
      <c r="D73" s="379">
        <f t="shared" si="26"/>
        <v>9.3154317045329805E-5</v>
      </c>
      <c r="E73" s="240">
        <f>M.sd2CP*Molweight</f>
        <v>6643596.2172220163</v>
      </c>
      <c r="F73" s="379">
        <f t="shared" si="27"/>
        <v>2.0259810223940481E-4</v>
      </c>
      <c r="G73" s="241">
        <f>M.sdMP*Molweight</f>
        <v>127419205.57886173</v>
      </c>
      <c r="H73" s="379">
        <f t="shared" si="28"/>
        <v>2.4633580927589375E-5</v>
      </c>
      <c r="I73" s="241">
        <f>M.sdAP*Molweight</f>
        <v>41402934.787052631</v>
      </c>
      <c r="J73" s="379">
        <f t="shared" si="29"/>
        <v>1.211063520400626E-5</v>
      </c>
      <c r="K73" s="241">
        <f>M.sdTP*Molweight</f>
        <v>690666606.58745396</v>
      </c>
      <c r="L73" s="394">
        <f t="shared" si="30"/>
        <v>5.4038537743041468E-5</v>
      </c>
      <c r="M73" s="162"/>
      <c r="N73" s="153"/>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row>
    <row r="74" spans="1:51" ht="12.75" customHeight="1" x14ac:dyDescent="0.3">
      <c r="A74" s="16"/>
      <c r="B74" s="156"/>
      <c r="C74" s="240"/>
      <c r="D74" s="379"/>
      <c r="E74" s="241"/>
      <c r="F74" s="379"/>
      <c r="G74" s="241"/>
      <c r="H74" s="379"/>
      <c r="I74" s="241"/>
      <c r="J74" s="379"/>
      <c r="K74" s="241"/>
      <c r="L74" s="394"/>
      <c r="M74" s="162"/>
      <c r="N74" s="153"/>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row>
    <row r="75" spans="1:51" ht="12.75" customHeight="1" x14ac:dyDescent="0.3">
      <c r="A75" s="16"/>
      <c r="B75" s="101" t="s">
        <v>214</v>
      </c>
      <c r="C75" s="240">
        <f>SUM(C76,C79:C81)</f>
        <v>70634038.451515034</v>
      </c>
      <c r="D75" s="379">
        <f t="shared" ref="D75:D81" si="31">C75/$C$103</f>
        <v>4.2690694120834554E-3</v>
      </c>
      <c r="E75" s="240">
        <f>SUM(E76,E79:E81)</f>
        <v>12848015.997968454</v>
      </c>
      <c r="F75" s="379">
        <f t="shared" ref="F75:F81" si="32">E75/$C$103</f>
        <v>7.7652465164561974E-4</v>
      </c>
      <c r="G75" s="241"/>
      <c r="H75" s="379"/>
      <c r="I75" s="241"/>
      <c r="J75" s="379"/>
      <c r="K75" s="241"/>
      <c r="L75" s="394"/>
      <c r="M75" s="162"/>
      <c r="N75" s="153"/>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row>
    <row r="76" spans="1:51" ht="12.75" customHeight="1" x14ac:dyDescent="0.3">
      <c r="A76" s="16"/>
      <c r="B76" s="376" t="s">
        <v>116</v>
      </c>
      <c r="C76" s="240">
        <f>M.s1R*Molweight</f>
        <v>0</v>
      </c>
      <c r="D76" s="379">
        <f t="shared" si="31"/>
        <v>0</v>
      </c>
      <c r="E76" s="240">
        <f>M.s1C*Molweight</f>
        <v>0</v>
      </c>
      <c r="F76" s="379">
        <f t="shared" si="32"/>
        <v>0</v>
      </c>
      <c r="G76" s="241"/>
      <c r="H76" s="379"/>
      <c r="I76" s="241"/>
      <c r="J76" s="379"/>
      <c r="K76" s="241"/>
      <c r="L76" s="394"/>
      <c r="M76" s="162"/>
      <c r="N76" s="153"/>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row>
    <row r="77" spans="1:51" ht="12.75" customHeight="1" x14ac:dyDescent="0.3">
      <c r="A77" s="16"/>
      <c r="B77" s="156" t="s">
        <v>215</v>
      </c>
      <c r="C77" s="240">
        <f>C76*FRwD.s1R</f>
        <v>0</v>
      </c>
      <c r="D77" s="379">
        <f t="shared" si="31"/>
        <v>0</v>
      </c>
      <c r="E77" s="240">
        <f>E76*FRw.s1C</f>
        <v>0</v>
      </c>
      <c r="F77" s="379">
        <f t="shared" si="32"/>
        <v>0</v>
      </c>
      <c r="G77" s="241"/>
      <c r="H77" s="379"/>
      <c r="I77" s="241"/>
      <c r="J77" s="379"/>
      <c r="K77" s="241"/>
      <c r="L77" s="394"/>
      <c r="M77" s="162"/>
      <c r="N77" s="153"/>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row>
    <row r="78" spans="1:51" ht="12.75" customHeight="1" x14ac:dyDescent="0.3">
      <c r="A78" s="16"/>
      <c r="B78" s="156" t="s">
        <v>155</v>
      </c>
      <c r="C78" s="240">
        <f>C76*FRs.s1R</f>
        <v>0</v>
      </c>
      <c r="D78" s="379">
        <f t="shared" si="31"/>
        <v>0</v>
      </c>
      <c r="E78" s="240">
        <f>E76*FRs.s1C</f>
        <v>0</v>
      </c>
      <c r="F78" s="379">
        <f t="shared" si="32"/>
        <v>0</v>
      </c>
      <c r="G78" s="241"/>
      <c r="H78" s="379"/>
      <c r="I78" s="241"/>
      <c r="J78" s="379"/>
      <c r="K78" s="241"/>
      <c r="L78" s="394"/>
      <c r="M78" s="162"/>
      <c r="N78" s="153"/>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row>
    <row r="79" spans="1:51" ht="12.75" customHeight="1" x14ac:dyDescent="0.3">
      <c r="A79" s="16"/>
      <c r="B79" s="156" t="s">
        <v>123</v>
      </c>
      <c r="C79" s="240">
        <f>M.s1RS*Molweight</f>
        <v>0.25439012243523429</v>
      </c>
      <c r="D79" s="379">
        <f t="shared" si="31"/>
        <v>1.5375152182044464E-11</v>
      </c>
      <c r="E79" s="240">
        <f>M.s1CS*Molweight</f>
        <v>4.4659882163802657E-2</v>
      </c>
      <c r="F79" s="379">
        <f t="shared" si="32"/>
        <v>2.6992104808450469E-12</v>
      </c>
      <c r="G79" s="241"/>
      <c r="H79" s="379"/>
      <c r="I79" s="241"/>
      <c r="J79" s="379"/>
      <c r="K79" s="241"/>
      <c r="L79" s="394"/>
      <c r="M79" s="162"/>
      <c r="N79" s="153"/>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row>
    <row r="80" spans="1:51" ht="12.75" customHeight="1" x14ac:dyDescent="0.3">
      <c r="A80" s="16"/>
      <c r="B80" s="156" t="s">
        <v>126</v>
      </c>
      <c r="C80" s="240">
        <f>M.s1RA*Molweight</f>
        <v>49106.518617760317</v>
      </c>
      <c r="D80" s="379">
        <f t="shared" si="31"/>
        <v>2.9679619226201945E-6</v>
      </c>
      <c r="E80" s="240">
        <f>M.s1CA*Molweight</f>
        <v>55044.117384131925</v>
      </c>
      <c r="F80" s="379">
        <f t="shared" si="32"/>
        <v>3.3268260316310507E-6</v>
      </c>
      <c r="G80" s="241"/>
      <c r="H80" s="379"/>
      <c r="I80" s="241"/>
      <c r="J80" s="379"/>
      <c r="K80" s="241"/>
      <c r="L80" s="394"/>
      <c r="M80" s="162"/>
      <c r="N80" s="153"/>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row>
    <row r="81" spans="1:40" ht="12.75" customHeight="1" x14ac:dyDescent="0.3">
      <c r="A81" s="16"/>
      <c r="B81" s="156" t="s">
        <v>128</v>
      </c>
      <c r="C81" s="240">
        <f>M.s1RP*Molweight</f>
        <v>70584931.678507149</v>
      </c>
      <c r="D81" s="379">
        <f t="shared" si="31"/>
        <v>4.2661014347856827E-3</v>
      </c>
      <c r="E81" s="240">
        <f>M.s1CP*Molweight</f>
        <v>12792971.835924439</v>
      </c>
      <c r="F81" s="379">
        <f t="shared" si="32"/>
        <v>7.7319782291477809E-4</v>
      </c>
      <c r="G81" s="241"/>
      <c r="H81" s="379"/>
      <c r="I81" s="241"/>
      <c r="J81" s="379"/>
      <c r="K81" s="241"/>
      <c r="L81" s="394"/>
      <c r="M81" s="162"/>
      <c r="N81" s="153"/>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row>
    <row r="82" spans="1:40" ht="12.75" customHeight="1" x14ac:dyDescent="0.3">
      <c r="A82" s="16"/>
      <c r="B82" s="156"/>
      <c r="C82" s="240"/>
      <c r="D82" s="379"/>
      <c r="E82" s="241"/>
      <c r="F82" s="379"/>
      <c r="G82" s="241"/>
      <c r="H82" s="379"/>
      <c r="I82" s="241"/>
      <c r="J82" s="379"/>
      <c r="K82" s="241"/>
      <c r="L82" s="394"/>
      <c r="M82" s="162"/>
      <c r="N82" s="153"/>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row>
    <row r="83" spans="1:40" ht="12.75" customHeight="1" x14ac:dyDescent="0.3">
      <c r="A83" s="16"/>
      <c r="B83" s="101" t="s">
        <v>216</v>
      </c>
      <c r="C83" s="240">
        <f>SUM(C84,C87:C89)</f>
        <v>16384678333.182163</v>
      </c>
      <c r="D83" s="379">
        <f t="shared" ref="D83:D89" si="33">C83/$C$103</f>
        <v>0.99027792594682384</v>
      </c>
      <c r="E83" s="240">
        <f>SUM(E84,E87:E89)</f>
        <v>113984506.8771732</v>
      </c>
      <c r="F83" s="379">
        <f t="shared" ref="F83:F89" si="34">E83/$C$103</f>
        <v>6.8891398881967669E-3</v>
      </c>
      <c r="G83" s="241"/>
      <c r="H83" s="379"/>
      <c r="I83" s="241"/>
      <c r="J83" s="379"/>
      <c r="K83" s="241"/>
      <c r="L83" s="394"/>
      <c r="M83" s="162"/>
      <c r="N83" s="153"/>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row>
    <row r="84" spans="1:40" ht="12.75" customHeight="1" x14ac:dyDescent="0.3">
      <c r="A84" s="16"/>
      <c r="B84" s="376" t="s">
        <v>116</v>
      </c>
      <c r="C84" s="240">
        <f>M.s2R*Molweight</f>
        <v>0</v>
      </c>
      <c r="D84" s="379">
        <f t="shared" si="33"/>
        <v>0</v>
      </c>
      <c r="E84" s="240">
        <f>M.s2C*Molweight</f>
        <v>0</v>
      </c>
      <c r="F84" s="379">
        <f t="shared" si="34"/>
        <v>0</v>
      </c>
      <c r="G84" s="160"/>
      <c r="H84" s="379"/>
      <c r="I84" s="241"/>
      <c r="J84" s="379"/>
      <c r="K84" s="241"/>
      <c r="L84" s="394"/>
      <c r="M84" s="162"/>
      <c r="N84" s="153"/>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row>
    <row r="85" spans="1:40" ht="12.75" customHeight="1" x14ac:dyDescent="0.3">
      <c r="A85" s="16"/>
      <c r="B85" s="156" t="s">
        <v>215</v>
      </c>
      <c r="C85" s="240">
        <f>C84*FRwD.s2R</f>
        <v>0</v>
      </c>
      <c r="D85" s="379">
        <f t="shared" si="33"/>
        <v>0</v>
      </c>
      <c r="E85" s="240">
        <f>E84*FRw.s2C</f>
        <v>0</v>
      </c>
      <c r="F85" s="379">
        <f t="shared" si="34"/>
        <v>0</v>
      </c>
      <c r="G85" s="241"/>
      <c r="H85" s="379"/>
      <c r="I85" s="241"/>
      <c r="J85" s="379"/>
      <c r="K85" s="241"/>
      <c r="L85" s="394"/>
      <c r="M85" s="162"/>
      <c r="N85" s="153"/>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row>
    <row r="86" spans="1:40" ht="12.75" customHeight="1" x14ac:dyDescent="0.3">
      <c r="A86" s="16"/>
      <c r="B86" s="156" t="s">
        <v>155</v>
      </c>
      <c r="C86" s="240">
        <f>C84*FRs.s2R</f>
        <v>0</v>
      </c>
      <c r="D86" s="379">
        <f t="shared" si="33"/>
        <v>0</v>
      </c>
      <c r="E86" s="240">
        <f>E84*FRs.s2C</f>
        <v>0</v>
      </c>
      <c r="F86" s="379">
        <f t="shared" si="34"/>
        <v>0</v>
      </c>
      <c r="G86" s="241"/>
      <c r="H86" s="379"/>
      <c r="I86" s="241"/>
      <c r="J86" s="379"/>
      <c r="K86" s="241"/>
      <c r="L86" s="394"/>
      <c r="M86" s="162"/>
      <c r="N86" s="153"/>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row>
    <row r="87" spans="1:40" ht="12.75" customHeight="1" x14ac:dyDescent="0.3">
      <c r="A87" s="16"/>
      <c r="B87" s="156" t="s">
        <v>123</v>
      </c>
      <c r="C87" s="240">
        <f>M.s2RS*Molweight</f>
        <v>15.88859426969044</v>
      </c>
      <c r="D87" s="379">
        <f t="shared" si="33"/>
        <v>9.602949694614984E-10</v>
      </c>
      <c r="E87" s="240">
        <f>M.s2CS*Molweight</f>
        <v>9.9244553722822343E-2</v>
      </c>
      <c r="F87" s="379">
        <f t="shared" si="34"/>
        <v>5.9982679442121935E-12</v>
      </c>
      <c r="G87" s="241"/>
      <c r="H87" s="379"/>
      <c r="I87" s="241"/>
      <c r="J87" s="379"/>
      <c r="K87" s="241"/>
      <c r="L87" s="394"/>
      <c r="M87" s="162"/>
      <c r="N87" s="153"/>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row>
    <row r="88" spans="1:40" ht="12.75" customHeight="1" x14ac:dyDescent="0.3">
      <c r="A88" s="16"/>
      <c r="B88" s="156" t="s">
        <v>126</v>
      </c>
      <c r="C88" s="240">
        <f>M.s2RA*Molweight</f>
        <v>3987678.5905492883</v>
      </c>
      <c r="D88" s="379">
        <f t="shared" si="33"/>
        <v>2.4101236555827839E-4</v>
      </c>
      <c r="E88" s="240">
        <f>M.s2CA*Molweight</f>
        <v>268820.01866543904</v>
      </c>
      <c r="F88" s="379">
        <f t="shared" si="34"/>
        <v>1.6247284513231939E-5</v>
      </c>
      <c r="G88" s="241"/>
      <c r="H88" s="379"/>
      <c r="I88" s="241"/>
      <c r="J88" s="379"/>
      <c r="K88" s="241"/>
      <c r="L88" s="394"/>
      <c r="M88" s="162"/>
      <c r="N88" s="153"/>
      <c r="O88" s="11"/>
      <c r="P88" s="11"/>
      <c r="Q88" s="11"/>
      <c r="R88" s="11"/>
      <c r="S88" s="11"/>
      <c r="T88" s="11"/>
      <c r="U88" s="11"/>
      <c r="V88" s="11"/>
      <c r="W88" s="11"/>
      <c r="X88" s="11"/>
      <c r="Y88" s="11"/>
      <c r="Z88" s="11"/>
      <c r="AA88" s="11"/>
      <c r="AB88" s="11"/>
      <c r="AC88" s="11"/>
      <c r="AD88" s="11"/>
      <c r="AE88" s="11"/>
      <c r="AF88" t="s">
        <v>4623</v>
      </c>
      <c r="AG88" s="11"/>
      <c r="AH88" s="11"/>
      <c r="AI88" s="11"/>
      <c r="AJ88" s="11"/>
      <c r="AK88" s="11"/>
      <c r="AL88" s="11"/>
      <c r="AM88" s="11"/>
      <c r="AN88" s="11"/>
    </row>
    <row r="89" spans="1:40" ht="12.75" customHeight="1" x14ac:dyDescent="0.3">
      <c r="A89" s="16"/>
      <c r="B89" s="156" t="s">
        <v>128</v>
      </c>
      <c r="C89" s="240">
        <f>M.s2RP*Molweight</f>
        <v>16380690638.70302</v>
      </c>
      <c r="D89" s="379">
        <f t="shared" si="33"/>
        <v>0.9900369126209706</v>
      </c>
      <c r="E89" s="240">
        <f>M.s2CP*Molweight</f>
        <v>113715686.7592632</v>
      </c>
      <c r="F89" s="379">
        <f t="shared" si="34"/>
        <v>6.8728925976852661E-3</v>
      </c>
      <c r="G89" s="241"/>
      <c r="H89" s="379"/>
      <c r="I89" s="241"/>
      <c r="J89" s="379"/>
      <c r="K89" s="241"/>
      <c r="L89" s="394"/>
      <c r="M89" s="162"/>
      <c r="N89" s="153"/>
      <c r="O89" s="11"/>
      <c r="P89" s="11"/>
      <c r="Q89" s="11"/>
      <c r="R89" s="11"/>
      <c r="S89" s="11"/>
      <c r="T89" s="11"/>
      <c r="U89" s="11"/>
      <c r="V89" s="11"/>
      <c r="W89" s="11"/>
      <c r="X89" s="11"/>
      <c r="Y89" s="11"/>
      <c r="Z89" s="11"/>
      <c r="AA89" s="11"/>
      <c r="AB89" s="11"/>
      <c r="AC89" s="11"/>
      <c r="AD89" s="11"/>
      <c r="AE89" s="11"/>
      <c r="AF89" s="765" t="s">
        <v>247</v>
      </c>
      <c r="AG89" s="766"/>
      <c r="AH89" s="761" t="s">
        <v>112</v>
      </c>
      <c r="AI89" s="761"/>
      <c r="AJ89" s="761" t="s">
        <v>4598</v>
      </c>
      <c r="AK89" s="761"/>
      <c r="AL89" s="761" t="s">
        <v>4599</v>
      </c>
      <c r="AM89" s="761"/>
      <c r="AN89" s="762" t="s">
        <v>4600</v>
      </c>
    </row>
    <row r="90" spans="1:40" ht="12.75" customHeight="1" x14ac:dyDescent="0.3">
      <c r="A90" s="16"/>
      <c r="B90" s="156"/>
      <c r="C90" s="240"/>
      <c r="D90" s="379"/>
      <c r="E90" s="241"/>
      <c r="F90" s="379"/>
      <c r="G90" s="241"/>
      <c r="H90" s="379"/>
      <c r="I90" s="241"/>
      <c r="J90" s="379"/>
      <c r="K90" s="241"/>
      <c r="L90" s="394"/>
      <c r="M90" s="162"/>
      <c r="N90" s="153"/>
      <c r="O90" s="11"/>
      <c r="P90" s="11"/>
      <c r="Q90" s="11"/>
      <c r="R90" s="11"/>
      <c r="S90" s="11"/>
      <c r="T90" s="11"/>
      <c r="U90" s="11"/>
      <c r="V90" s="11"/>
      <c r="W90" s="11"/>
      <c r="X90" s="11"/>
      <c r="Y90" s="11"/>
      <c r="Z90" s="11"/>
      <c r="AA90" s="11"/>
      <c r="AB90" s="11"/>
      <c r="AC90" s="11"/>
      <c r="AD90" s="11"/>
      <c r="AE90" s="11"/>
      <c r="AF90" s="767"/>
      <c r="AG90" s="768" t="s">
        <v>4604</v>
      </c>
      <c r="AH90" s="756">
        <f>AG39</f>
        <v>3498.1130415501457</v>
      </c>
      <c r="AI90" s="768" t="s">
        <v>4604</v>
      </c>
      <c r="AJ90" s="756">
        <f>AH39</f>
        <v>5.3106040419321792</v>
      </c>
      <c r="AK90" s="768" t="s">
        <v>4604</v>
      </c>
      <c r="AL90" s="756">
        <f>AI39</f>
        <v>1.7638332302643699E-7</v>
      </c>
      <c r="AM90" s="768" t="s">
        <v>4604</v>
      </c>
      <c r="AN90" s="757">
        <f>AJ39</f>
        <v>0.16044513298432969</v>
      </c>
    </row>
    <row r="91" spans="1:40" ht="12.75" customHeight="1" x14ac:dyDescent="0.3">
      <c r="A91" s="16"/>
      <c r="B91" s="101" t="s">
        <v>217</v>
      </c>
      <c r="C91" s="240">
        <f>SUM(C92,C95:C97)</f>
        <v>26160754.982042603</v>
      </c>
      <c r="D91" s="379">
        <f t="shared" ref="D91:D97" si="35">C91/$C$103</f>
        <v>1.5811368192901686E-3</v>
      </c>
      <c r="E91" s="240">
        <f>SUM(E92,E95:E97)</f>
        <v>4758524.4436920201</v>
      </c>
      <c r="F91" s="379">
        <f t="shared" ref="F91:F97" si="36">E91/$C$103</f>
        <v>2.87601722831711E-4</v>
      </c>
      <c r="G91" s="241">
        <f>SUM(G92,G95:G97)</f>
        <v>3809685.7330096853</v>
      </c>
      <c r="H91" s="379">
        <f t="shared" ref="H91:H97" si="37">G91/$G$103</f>
        <v>7.3651535799831883E-7</v>
      </c>
      <c r="I91" s="241">
        <f>SUM(I92,I95:I97)</f>
        <v>118348.8893463626</v>
      </c>
      <c r="J91" s="379">
        <f t="shared" ref="J91:J97" si="38">I91/$I$103</f>
        <v>3.4617841296634616E-8</v>
      </c>
      <c r="K91" s="241">
        <f>SUM(K92,K95:K97)</f>
        <v>87915.70442096499</v>
      </c>
      <c r="L91" s="394">
        <f t="shared" ref="L91:L97" si="39">K91/$K$103</f>
        <v>6.8786243119991226E-9</v>
      </c>
      <c r="M91" s="162"/>
      <c r="N91" s="153"/>
      <c r="O91" s="11"/>
      <c r="P91" s="11"/>
      <c r="Q91" s="11"/>
      <c r="R91" s="11"/>
      <c r="S91" s="11"/>
      <c r="T91" s="11"/>
      <c r="U91" s="11"/>
      <c r="V91" s="11"/>
      <c r="W91" s="11"/>
      <c r="X91" s="11"/>
      <c r="Y91" s="11"/>
      <c r="Z91" s="11"/>
      <c r="AA91" s="11"/>
      <c r="AB91" s="11"/>
      <c r="AC91" s="11"/>
      <c r="AD91" s="11"/>
      <c r="AE91" s="11"/>
      <c r="AF91" s="767"/>
      <c r="AG91" s="768" t="s">
        <v>4605</v>
      </c>
      <c r="AH91" s="756">
        <f>AG40</f>
        <v>121528.11244655181</v>
      </c>
      <c r="AI91" s="768" t="s">
        <v>4605</v>
      </c>
      <c r="AJ91" s="756">
        <f>AH40</f>
        <v>31842194409.873188</v>
      </c>
      <c r="AK91" s="768" t="s">
        <v>4605</v>
      </c>
      <c r="AL91" s="756">
        <f>AI40</f>
        <v>810709650.29964113</v>
      </c>
      <c r="AM91" s="768" t="s">
        <v>4605</v>
      </c>
      <c r="AN91" s="757">
        <f>AJ40</f>
        <v>344250.84619184205</v>
      </c>
    </row>
    <row r="92" spans="1:40" ht="12.75" customHeight="1" x14ac:dyDescent="0.3">
      <c r="A92" s="16"/>
      <c r="B92" s="376" t="s">
        <v>116</v>
      </c>
      <c r="C92" s="240">
        <f>M.s3R*Molweight</f>
        <v>0</v>
      </c>
      <c r="D92" s="379">
        <f t="shared" si="35"/>
        <v>0</v>
      </c>
      <c r="E92" s="240">
        <f>M.s3C*Molweight</f>
        <v>0</v>
      </c>
      <c r="F92" s="379">
        <f t="shared" si="36"/>
        <v>0</v>
      </c>
      <c r="G92" s="241">
        <f>M.sMD*Molweight</f>
        <v>0</v>
      </c>
      <c r="H92" s="379">
        <f t="shared" si="37"/>
        <v>0</v>
      </c>
      <c r="I92" s="241">
        <f>M.sAD*Molweight</f>
        <v>0</v>
      </c>
      <c r="J92" s="379">
        <f t="shared" si="38"/>
        <v>0</v>
      </c>
      <c r="K92" s="241">
        <f>M.sTD*Molweight</f>
        <v>0</v>
      </c>
      <c r="L92" s="394">
        <f t="shared" si="39"/>
        <v>0</v>
      </c>
      <c r="M92" s="162"/>
      <c r="N92" s="153"/>
      <c r="O92" s="11"/>
      <c r="P92" s="11"/>
      <c r="Q92" s="11"/>
      <c r="R92" s="11"/>
      <c r="S92" s="11"/>
      <c r="T92" s="11"/>
      <c r="U92" s="11"/>
      <c r="V92" s="11"/>
      <c r="W92" s="11"/>
      <c r="X92" s="11"/>
      <c r="Y92" s="11"/>
      <c r="Z92" s="11"/>
      <c r="AA92" s="11"/>
      <c r="AB92" s="11"/>
      <c r="AC92" s="11"/>
      <c r="AD92" s="11"/>
      <c r="AE92" s="11"/>
      <c r="AF92" s="769"/>
      <c r="AG92" s="770" t="s">
        <v>4606</v>
      </c>
      <c r="AH92" s="758">
        <f>AG41</f>
        <v>5.1029017265960102</v>
      </c>
      <c r="AI92" s="770" t="s">
        <v>4606</v>
      </c>
      <c r="AJ92" s="758">
        <f>AH41</f>
        <v>436794.69384860701</v>
      </c>
      <c r="AK92" s="770" t="s">
        <v>4606</v>
      </c>
      <c r="AL92" s="758">
        <f>AI41</f>
        <v>6939352.2930355333</v>
      </c>
      <c r="AM92" s="770" t="s">
        <v>4606</v>
      </c>
      <c r="AN92" s="759">
        <f>AJ41</f>
        <v>131246796.31219669</v>
      </c>
    </row>
    <row r="93" spans="1:40" ht="12.75" customHeight="1" x14ac:dyDescent="0.3">
      <c r="A93" s="16"/>
      <c r="B93" s="156" t="s">
        <v>215</v>
      </c>
      <c r="C93" s="240">
        <f>C92*FRwD.s3R</f>
        <v>0</v>
      </c>
      <c r="D93" s="379">
        <f t="shared" si="35"/>
        <v>0</v>
      </c>
      <c r="E93" s="240">
        <f>E92*FRw.s3C</f>
        <v>0</v>
      </c>
      <c r="F93" s="379">
        <f t="shared" si="36"/>
        <v>0</v>
      </c>
      <c r="G93" s="241">
        <f>FRw.sM*G92</f>
        <v>0</v>
      </c>
      <c r="H93" s="379">
        <f t="shared" si="37"/>
        <v>0</v>
      </c>
      <c r="I93" s="241">
        <f>FRw.sA*I92</f>
        <v>0</v>
      </c>
      <c r="J93" s="379">
        <f t="shared" si="38"/>
        <v>0</v>
      </c>
      <c r="K93" s="241">
        <f>FRw.sT*K92</f>
        <v>0</v>
      </c>
      <c r="L93" s="394">
        <f t="shared" si="39"/>
        <v>0</v>
      </c>
      <c r="M93" s="162"/>
      <c r="N93" s="153"/>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row>
    <row r="94" spans="1:40" ht="12.75" customHeight="1" x14ac:dyDescent="0.3">
      <c r="A94" s="16"/>
      <c r="B94" s="156" t="s">
        <v>155</v>
      </c>
      <c r="C94" s="240">
        <f>C92*FRs.s3R</f>
        <v>0</v>
      </c>
      <c r="D94" s="379">
        <f t="shared" si="35"/>
        <v>0</v>
      </c>
      <c r="E94" s="240">
        <f>E92*FRs.s3C</f>
        <v>0</v>
      </c>
      <c r="F94" s="379">
        <f t="shared" si="36"/>
        <v>0</v>
      </c>
      <c r="G94" s="241">
        <f>(1-FRw.sM)*G92</f>
        <v>0</v>
      </c>
      <c r="H94" s="379">
        <f t="shared" si="37"/>
        <v>0</v>
      </c>
      <c r="I94" s="241">
        <f>(1-FRw.sA)*I92</f>
        <v>0</v>
      </c>
      <c r="J94" s="379">
        <f t="shared" si="38"/>
        <v>0</v>
      </c>
      <c r="K94" s="241">
        <f>(1-FRw.sT)*K92</f>
        <v>0</v>
      </c>
      <c r="L94" s="394">
        <f t="shared" si="39"/>
        <v>0</v>
      </c>
      <c r="M94" s="162"/>
      <c r="N94" s="153"/>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row>
    <row r="95" spans="1:40" ht="12.75" customHeight="1" x14ac:dyDescent="0.3">
      <c r="A95" s="16"/>
      <c r="B95" s="156" t="s">
        <v>123</v>
      </c>
      <c r="C95" s="240">
        <f>M.s3RS*Molweight</f>
        <v>9.4218563864901572E-2</v>
      </c>
      <c r="D95" s="379">
        <f t="shared" si="35"/>
        <v>5.6945008081646148E-12</v>
      </c>
      <c r="E95" s="240">
        <f>M.s3CS*Molweight</f>
        <v>1.6540697097704688E-2</v>
      </c>
      <c r="F95" s="379">
        <f t="shared" si="36"/>
        <v>9.9970758549816537E-13</v>
      </c>
      <c r="G95" s="241">
        <f>M.sMS*Molweight</f>
        <v>1.2732592526098558E-2</v>
      </c>
      <c r="H95" s="379">
        <f t="shared" si="37"/>
        <v>2.4615547317593814E-15</v>
      </c>
      <c r="I95" s="241">
        <f>M.sAS*Molweight</f>
        <v>1.3534584810877417E-4</v>
      </c>
      <c r="J95" s="379">
        <f t="shared" si="38"/>
        <v>3.9589565359380886E-17</v>
      </c>
      <c r="K95" s="241">
        <f>M.sTS*Molweight</f>
        <v>2.0770730331149247E-4</v>
      </c>
      <c r="L95" s="394">
        <f t="shared" si="39"/>
        <v>1.6251254718918008E-17</v>
      </c>
      <c r="M95" s="162"/>
      <c r="N95" s="153"/>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row>
    <row r="96" spans="1:40" ht="12.75" customHeight="1" x14ac:dyDescent="0.3">
      <c r="A96" s="16"/>
      <c r="B96" s="156" t="s">
        <v>126</v>
      </c>
      <c r="C96" s="240">
        <f>M.s3RA*Molweight</f>
        <v>18187.599488059375</v>
      </c>
      <c r="D96" s="379">
        <f t="shared" si="35"/>
        <v>1.0992451565259978E-6</v>
      </c>
      <c r="E96" s="240">
        <f>M.s3CA*Molweight</f>
        <v>20386.710142271077</v>
      </c>
      <c r="F96" s="379">
        <f t="shared" si="36"/>
        <v>1.2321577894929813E-6</v>
      </c>
      <c r="G96" s="241">
        <f>M.sMA*Molweight</f>
        <v>243250.9403057482</v>
      </c>
      <c r="H96" s="379">
        <f t="shared" si="37"/>
        <v>4.7026990134742525E-8</v>
      </c>
      <c r="I96" s="241">
        <f>M.sAA*Molweight</f>
        <v>79965.593760797667</v>
      </c>
      <c r="J96" s="379">
        <f t="shared" si="38"/>
        <v>2.3390470745364278E-8</v>
      </c>
      <c r="K96" s="241">
        <f>M.sTA*Molweight</f>
        <v>29977.665012091737</v>
      </c>
      <c r="L96" s="394">
        <f t="shared" si="39"/>
        <v>2.3454864716976163E-9</v>
      </c>
      <c r="M96" s="162"/>
      <c r="N96" s="153"/>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row>
    <row r="97" spans="1:14" ht="12.75" customHeight="1" x14ac:dyDescent="0.3">
      <c r="A97" s="16"/>
      <c r="B97" s="156" t="s">
        <v>128</v>
      </c>
      <c r="C97" s="240">
        <f>M.s3RP*Molweight</f>
        <v>26142567.288335979</v>
      </c>
      <c r="D97" s="379">
        <f t="shared" si="35"/>
        <v>1.5800375684391417E-3</v>
      </c>
      <c r="E97" s="240">
        <f>M.s3CP*Molweight</f>
        <v>4738137.7170090517</v>
      </c>
      <c r="F97" s="379">
        <f t="shared" si="36"/>
        <v>2.8636956404251042E-4</v>
      </c>
      <c r="G97" s="241">
        <f>M.sMP*Molweight</f>
        <v>3566434.7799713444</v>
      </c>
      <c r="H97" s="379">
        <f t="shared" si="37"/>
        <v>6.8948836540202149E-7</v>
      </c>
      <c r="I97" s="241">
        <f>M.sAP*Molweight</f>
        <v>38383.295450219084</v>
      </c>
      <c r="J97" s="379">
        <f t="shared" si="38"/>
        <v>1.1227370511680769E-8</v>
      </c>
      <c r="K97" s="241">
        <f>M.sTP*Molweight</f>
        <v>57938.039201165942</v>
      </c>
      <c r="L97" s="394">
        <f t="shared" si="39"/>
        <v>4.5331378240502515E-9</v>
      </c>
      <c r="M97" s="162"/>
      <c r="N97" s="153"/>
    </row>
    <row r="98" spans="1:14" ht="12.75" customHeight="1" x14ac:dyDescent="0.3">
      <c r="A98" s="16"/>
      <c r="B98" s="155"/>
      <c r="C98" s="391"/>
      <c r="D98" s="393"/>
      <c r="E98" s="242"/>
      <c r="F98" s="393"/>
      <c r="G98" s="242"/>
      <c r="H98" s="393"/>
      <c r="I98" s="242"/>
      <c r="J98" s="393"/>
      <c r="K98" s="242"/>
      <c r="L98" s="395"/>
      <c r="M98" s="162"/>
      <c r="N98" s="153"/>
    </row>
    <row r="99" spans="1:14" ht="12.75" customHeight="1" x14ac:dyDescent="0.3">
      <c r="A99" s="249"/>
      <c r="B99" s="249" t="s">
        <v>218</v>
      </c>
      <c r="C99" s="121">
        <f>SUM(C12,C20,C28,C36,C44,C52,C68,C76,C84,C92)</f>
        <v>0</v>
      </c>
      <c r="D99" s="379">
        <f>C99/$C$103</f>
        <v>0</v>
      </c>
      <c r="E99" s="121">
        <f>SUM(E12,E20,E28,E36,E44,E52,E68,E76,E84,E92)</f>
        <v>0</v>
      </c>
      <c r="F99" s="379">
        <f>E99/$E$103</f>
        <v>0</v>
      </c>
      <c r="G99" s="121">
        <f>SUM(G12,G52,G60,G68,G92)</f>
        <v>0</v>
      </c>
      <c r="H99" s="379">
        <f>G99/$G$103</f>
        <v>0</v>
      </c>
      <c r="I99" s="121">
        <f>SUM(I12,I52,I60,I68,I92)</f>
        <v>0</v>
      </c>
      <c r="J99" s="379">
        <f>I99/$I$103</f>
        <v>0</v>
      </c>
      <c r="K99" s="121">
        <f>SUM(K12,K52,K60,K68,K92)</f>
        <v>0</v>
      </c>
      <c r="L99" s="394">
        <f>K99/$K$103</f>
        <v>0</v>
      </c>
      <c r="M99" s="162"/>
      <c r="N99" s="153"/>
    </row>
    <row r="100" spans="1:14" ht="12.75" customHeight="1" x14ac:dyDescent="0.3">
      <c r="A100" s="249"/>
      <c r="B100" s="388" t="s">
        <v>219</v>
      </c>
      <c r="C100" s="392">
        <f>SUM(C15,C23,C31,C39,C47,C55,C71,C79,C87,C95)</f>
        <v>11400.550766319368</v>
      </c>
      <c r="D100" s="379">
        <f>C100/$C$103</f>
        <v>6.8904091602813756E-7</v>
      </c>
      <c r="E100" s="392">
        <f>SUM(E15,E23,E31,E39,E47,E55,E71,E79,E87,E95)</f>
        <v>3503.584090901446</v>
      </c>
      <c r="F100" s="379">
        <f>E100/$E$103</f>
        <v>1.0684265940376649E-7</v>
      </c>
      <c r="G100" s="392">
        <f>SUM(G15,G55,G71,G63,G95)</f>
        <v>185.62758664264814</v>
      </c>
      <c r="H100" s="379">
        <f>G100/$G$103</f>
        <v>3.5886836346069376E-11</v>
      </c>
      <c r="I100" s="392">
        <f>SUM(I15,I55,I71,I63,I95)</f>
        <v>2.8918424496526485</v>
      </c>
      <c r="J100" s="379">
        <f>I100/$I$103</f>
        <v>8.4588324850235081E-13</v>
      </c>
      <c r="K100" s="392">
        <f>SUM(K15,K55,K71,K63,K95)</f>
        <v>4.5203203192282091</v>
      </c>
      <c r="L100" s="394">
        <f>K100/$K$103</f>
        <v>3.5367498276510427E-13</v>
      </c>
      <c r="M100" s="162"/>
      <c r="N100" s="153"/>
    </row>
    <row r="101" spans="1:14" ht="12.75" customHeight="1" x14ac:dyDescent="0.3">
      <c r="A101" s="249"/>
      <c r="B101" s="389" t="s">
        <v>220</v>
      </c>
      <c r="C101" s="392">
        <f>SUM(C16,C24,C32,C40,C48,C56,C72,C80,C88,C96)</f>
        <v>25452140.773153428</v>
      </c>
      <c r="D101" s="379">
        <f>C101/$C$103</f>
        <v>1.5383086968940095E-3</v>
      </c>
      <c r="E101" s="392">
        <f>SUM(E16,E24,E32,E40,E48,E56,E72,E80,E88,E96)</f>
        <v>32653369839.131474</v>
      </c>
      <c r="F101" s="379">
        <f>E101/$E$103</f>
        <v>0.99577255221806604</v>
      </c>
      <c r="G101" s="392">
        <f>SUM(G16,G56,G64,G72,G96)</f>
        <v>5172323110566.4814</v>
      </c>
      <c r="H101" s="379">
        <f>G101/$G$103</f>
        <v>0.99995004166716794</v>
      </c>
      <c r="I101" s="392">
        <f>SUM(I16,I56,I64,I72,I96)</f>
        <v>3418642318684.8813</v>
      </c>
      <c r="J101" s="379">
        <f>I101/$I$103</f>
        <v>0.99997573185362132</v>
      </c>
      <c r="K101" s="392">
        <f>SUM(K16,K56,K64,K72,K96)</f>
        <v>12779621295796.213</v>
      </c>
      <c r="L101" s="394">
        <f>K101/$K$103</f>
        <v>0.99989204798366871</v>
      </c>
      <c r="M101" s="162"/>
      <c r="N101" s="153"/>
    </row>
    <row r="102" spans="1:14" ht="12.75" customHeight="1" x14ac:dyDescent="0.3">
      <c r="A102" s="249"/>
      <c r="B102" s="389" t="s">
        <v>222</v>
      </c>
      <c r="C102" s="392">
        <f>SUM(C17,C25,C33,C41,C49,C57,C73,C81,C89,C97)</f>
        <v>16520071710.829113</v>
      </c>
      <c r="D102" s="379">
        <f>C102/$C$103</f>
        <v>0.99846100226219003</v>
      </c>
      <c r="E102" s="392">
        <f>SUM(E17,E25,E33,E41,E49,E57,E73,E81,E89,E97)</f>
        <v>138622948.40198255</v>
      </c>
      <c r="F102" s="379">
        <f>E102/$E$103</f>
        <v>4.2273409392746151E-3</v>
      </c>
      <c r="G102" s="392">
        <f>SUM(G17,G57,G65,G73,G97)</f>
        <v>258413363.75478312</v>
      </c>
      <c r="H102" s="379">
        <f>G102/$G$103</f>
        <v>4.9958296945151199E-5</v>
      </c>
      <c r="I102" s="392">
        <f>SUM(I17,I57,I65,I73,I97)</f>
        <v>82966122.748311743</v>
      </c>
      <c r="J102" s="379">
        <f>I102/$I$103</f>
        <v>2.4268145532761063E-5</v>
      </c>
      <c r="K102" s="392">
        <f>SUM(K17,K57,K65,K73,K97)</f>
        <v>1379734827.4694557</v>
      </c>
      <c r="L102" s="394">
        <f>K102/$K$103</f>
        <v>1.0795201597770626E-4</v>
      </c>
      <c r="M102" s="162"/>
      <c r="N102" s="153"/>
    </row>
    <row r="103" spans="1:14" ht="12.75" customHeight="1" thickBot="1" x14ac:dyDescent="0.35">
      <c r="A103" s="249"/>
      <c r="B103" s="415" t="s">
        <v>223</v>
      </c>
      <c r="C103" s="418">
        <f>SUM(C99:C102)</f>
        <v>16545535252.153032</v>
      </c>
      <c r="D103" s="418"/>
      <c r="E103" s="418">
        <f>SUM(E99:E102)</f>
        <v>32791996291.117546</v>
      </c>
      <c r="F103" s="418"/>
      <c r="G103" s="418">
        <f>SUM(G99:G102)</f>
        <v>5172581524115.8643</v>
      </c>
      <c r="H103" s="418"/>
      <c r="I103" s="418">
        <f>SUM(I99:I102)</f>
        <v>3418725284810.5215</v>
      </c>
      <c r="J103" s="418"/>
      <c r="K103" s="418">
        <f>SUM(K99:K102)</f>
        <v>12781001030628.201</v>
      </c>
      <c r="L103" s="419"/>
      <c r="M103" s="162"/>
      <c r="N103" s="153"/>
    </row>
    <row r="104" spans="1:14" ht="12.75" customHeight="1" x14ac:dyDescent="0.3">
      <c r="A104" s="16"/>
      <c r="B104" s="95"/>
      <c r="C104" s="20"/>
      <c r="D104" s="20"/>
      <c r="E104" s="20"/>
      <c r="F104" s="20"/>
      <c r="G104" s="20"/>
      <c r="H104" s="377"/>
      <c r="I104" s="20"/>
      <c r="J104" s="20"/>
      <c r="K104" s="20"/>
      <c r="L104" s="20"/>
      <c r="M104" s="162"/>
      <c r="N104" s="153"/>
    </row>
    <row r="105" spans="1:14" ht="12.75" customHeight="1" x14ac:dyDescent="0.3">
      <c r="A105" s="16"/>
      <c r="B105" s="95"/>
      <c r="C105" s="20"/>
      <c r="D105" s="20"/>
      <c r="E105" s="20"/>
      <c r="F105" s="20"/>
      <c r="G105" s="20"/>
      <c r="H105" s="20"/>
      <c r="I105" s="20"/>
      <c r="J105" s="20"/>
      <c r="K105" s="20"/>
      <c r="L105" s="20"/>
      <c r="M105" s="162"/>
      <c r="N105" s="153"/>
    </row>
    <row r="106" spans="1:14" ht="12.75" customHeight="1" x14ac:dyDescent="0.3">
      <c r="A106" s="16"/>
      <c r="B106" s="95"/>
      <c r="C106" s="20"/>
      <c r="D106" s="20"/>
      <c r="E106" s="20"/>
      <c r="F106" s="20"/>
      <c r="G106" s="20"/>
      <c r="H106" s="20"/>
      <c r="I106" s="20"/>
      <c r="J106" s="20"/>
      <c r="K106" s="20"/>
      <c r="L106" s="20"/>
      <c r="M106" s="162"/>
      <c r="N106" s="153"/>
    </row>
    <row r="107" spans="1:14" ht="12.75" customHeight="1" x14ac:dyDescent="0.3">
      <c r="A107" s="16"/>
      <c r="B107" s="95"/>
      <c r="C107" s="20"/>
      <c r="D107" s="20"/>
      <c r="E107" s="20"/>
      <c r="F107" s="20"/>
      <c r="G107" s="20"/>
      <c r="H107" s="20"/>
      <c r="I107" s="20"/>
      <c r="J107" s="20"/>
      <c r="K107" s="20"/>
      <c r="L107" s="20"/>
      <c r="M107" s="162"/>
      <c r="N107" s="153"/>
    </row>
    <row r="108" spans="1:14" ht="12.75" customHeight="1" x14ac:dyDescent="0.3">
      <c r="A108" s="16"/>
      <c r="B108" s="95"/>
      <c r="C108" s="20"/>
      <c r="D108" s="20"/>
      <c r="E108" s="20"/>
      <c r="F108" s="20"/>
      <c r="G108" s="20"/>
      <c r="H108" s="20"/>
      <c r="I108" s="20"/>
      <c r="J108" s="20"/>
      <c r="K108" s="20"/>
      <c r="L108" s="20"/>
      <c r="M108" s="162"/>
      <c r="N108" s="153"/>
    </row>
    <row r="109" spans="1:14" ht="12.75" customHeight="1" x14ac:dyDescent="0.3">
      <c r="A109" s="16"/>
      <c r="B109" s="95"/>
      <c r="C109" s="20"/>
      <c r="D109" s="20"/>
      <c r="E109" s="20"/>
      <c r="F109" s="20"/>
      <c r="G109" s="20"/>
      <c r="H109" s="20"/>
      <c r="I109" s="20"/>
      <c r="J109" s="20"/>
      <c r="K109" s="20"/>
      <c r="L109" s="20"/>
      <c r="M109" s="162"/>
      <c r="N109" s="153"/>
    </row>
    <row r="110" spans="1:14" ht="12.75" customHeight="1" x14ac:dyDescent="0.3">
      <c r="A110" s="16"/>
      <c r="B110" s="95"/>
      <c r="C110" s="20"/>
      <c r="D110" s="20"/>
      <c r="E110" s="20"/>
      <c r="F110" s="20"/>
      <c r="G110" s="20"/>
      <c r="H110" s="20"/>
      <c r="I110" s="20"/>
      <c r="J110" s="20"/>
      <c r="K110" s="20"/>
      <c r="L110" s="20"/>
      <c r="M110" s="162"/>
      <c r="N110" s="153"/>
    </row>
    <row r="111" spans="1:14" ht="12.75" customHeight="1" x14ac:dyDescent="0.3">
      <c r="A111" s="16"/>
      <c r="B111" s="95"/>
      <c r="C111" s="20"/>
      <c r="D111" s="20"/>
      <c r="E111" s="20"/>
      <c r="F111" s="20"/>
      <c r="G111" s="20"/>
      <c r="H111" s="20"/>
      <c r="I111" s="20"/>
      <c r="J111" s="20"/>
      <c r="K111" s="20"/>
      <c r="L111" s="20"/>
      <c r="M111" s="162"/>
      <c r="N111" s="153"/>
    </row>
    <row r="112" spans="1:14" ht="12.75" customHeight="1" x14ac:dyDescent="0.3">
      <c r="A112" s="16"/>
      <c r="B112" s="95"/>
      <c r="C112" s="20"/>
      <c r="D112" s="20"/>
      <c r="E112" s="20"/>
      <c r="F112" s="20"/>
      <c r="G112" s="20"/>
      <c r="H112" s="20"/>
      <c r="I112" s="20"/>
      <c r="J112" s="20"/>
      <c r="K112" s="20"/>
      <c r="L112" s="20"/>
      <c r="M112" s="162"/>
      <c r="N112" s="153"/>
    </row>
    <row r="113" spans="1:14" ht="12.75" customHeight="1" x14ac:dyDescent="0.3">
      <c r="A113" s="16"/>
      <c r="B113" s="95"/>
      <c r="C113" s="20"/>
      <c r="D113" s="20"/>
      <c r="E113" s="20"/>
      <c r="F113" s="20"/>
      <c r="G113" s="20"/>
      <c r="H113" s="20"/>
      <c r="I113" s="20"/>
      <c r="J113" s="20"/>
      <c r="K113" s="20"/>
      <c r="L113" s="20"/>
      <c r="M113" s="162"/>
      <c r="N113" s="153"/>
    </row>
    <row r="114" spans="1:14" ht="12.75" customHeight="1" x14ac:dyDescent="0.3">
      <c r="A114" s="16"/>
      <c r="B114" s="95"/>
      <c r="C114" s="20"/>
      <c r="D114" s="20"/>
      <c r="E114" s="20"/>
      <c r="F114" s="20"/>
      <c r="G114" s="20"/>
      <c r="H114" s="20"/>
      <c r="I114" s="20"/>
      <c r="J114" s="20"/>
      <c r="K114" s="20"/>
      <c r="L114" s="20"/>
      <c r="M114" s="162"/>
      <c r="N114" s="153"/>
    </row>
    <row r="115" spans="1:14" ht="12.75" customHeight="1" x14ac:dyDescent="0.3">
      <c r="A115" s="16"/>
      <c r="B115" s="95"/>
      <c r="C115" s="20"/>
      <c r="D115" s="20"/>
      <c r="E115" s="20"/>
      <c r="F115" s="20"/>
      <c r="G115" s="20"/>
      <c r="H115" s="20"/>
      <c r="I115" s="20"/>
      <c r="J115" s="20"/>
      <c r="K115" s="20"/>
      <c r="L115" s="20"/>
      <c r="M115" s="162"/>
      <c r="N115" s="153"/>
    </row>
    <row r="116" spans="1:14" ht="12.75" customHeight="1" x14ac:dyDescent="0.3">
      <c r="A116" s="16"/>
      <c r="B116" s="95"/>
      <c r="C116" s="20"/>
      <c r="D116" s="20"/>
      <c r="E116" s="20"/>
      <c r="F116" s="20"/>
      <c r="G116" s="20"/>
      <c r="H116" s="20"/>
      <c r="I116" s="20"/>
      <c r="J116" s="20"/>
      <c r="K116" s="20"/>
      <c r="L116" s="20"/>
      <c r="M116" s="162"/>
      <c r="N116" s="153"/>
    </row>
    <row r="117" spans="1:14" ht="12.75" customHeight="1" x14ac:dyDescent="0.3">
      <c r="A117" s="16"/>
      <c r="B117" s="95"/>
      <c r="C117" s="20"/>
      <c r="D117" s="20"/>
      <c r="E117" s="20"/>
      <c r="F117" s="20"/>
      <c r="G117" s="20"/>
      <c r="H117" s="20"/>
      <c r="I117" s="20"/>
      <c r="J117" s="20"/>
      <c r="K117" s="20"/>
      <c r="L117" s="20"/>
      <c r="M117" s="162"/>
      <c r="N117" s="153"/>
    </row>
    <row r="118" spans="1:14" ht="12.75" customHeight="1" x14ac:dyDescent="0.3">
      <c r="A118" s="16"/>
      <c r="B118" s="95"/>
      <c r="C118" s="20"/>
      <c r="D118" s="20"/>
      <c r="E118" s="20"/>
      <c r="F118" s="20"/>
      <c r="G118" s="20"/>
      <c r="H118" s="20"/>
      <c r="I118" s="20"/>
      <c r="J118" s="20"/>
      <c r="K118" s="20"/>
      <c r="L118" s="20"/>
      <c r="M118" s="162"/>
      <c r="N118" s="153"/>
    </row>
    <row r="119" spans="1:14" ht="12.75" customHeight="1" x14ac:dyDescent="0.3">
      <c r="A119" s="16"/>
      <c r="B119" s="95"/>
      <c r="C119" s="20"/>
      <c r="D119" s="20"/>
      <c r="E119" s="20"/>
      <c r="F119" s="20"/>
      <c r="G119" s="20"/>
      <c r="H119" s="20"/>
      <c r="I119" s="20"/>
      <c r="J119" s="20"/>
      <c r="K119" s="20"/>
      <c r="L119" s="20"/>
      <c r="M119" s="162"/>
      <c r="N119" s="153"/>
    </row>
    <row r="120" spans="1:14" ht="12.75" customHeight="1" x14ac:dyDescent="0.3">
      <c r="A120" s="16"/>
      <c r="B120" s="95"/>
      <c r="C120" s="20"/>
      <c r="D120" s="20"/>
      <c r="E120" s="20"/>
      <c r="F120" s="20"/>
      <c r="G120" s="20"/>
      <c r="H120" s="20"/>
      <c r="I120" s="20"/>
      <c r="J120" s="20"/>
      <c r="K120" s="20"/>
      <c r="L120" s="20"/>
      <c r="M120" s="162"/>
      <c r="N120" s="153"/>
    </row>
    <row r="121" spans="1:14" ht="12.75" customHeight="1" x14ac:dyDescent="0.3">
      <c r="A121" s="16"/>
      <c r="B121" s="95"/>
      <c r="C121" s="20"/>
      <c r="D121" s="20"/>
      <c r="E121" s="20"/>
      <c r="F121" s="20"/>
      <c r="G121" s="20"/>
      <c r="H121" s="20"/>
      <c r="I121" s="20"/>
      <c r="J121" s="20"/>
      <c r="K121" s="20"/>
      <c r="L121" s="20"/>
      <c r="M121" s="162"/>
      <c r="N121" s="153"/>
    </row>
    <row r="122" spans="1:14" ht="12.75" customHeight="1" x14ac:dyDescent="0.3">
      <c r="A122" s="16"/>
      <c r="B122" s="95"/>
      <c r="C122" s="20"/>
      <c r="D122" s="20"/>
      <c r="E122" s="20"/>
      <c r="F122" s="20"/>
      <c r="G122" s="20"/>
      <c r="H122" s="20"/>
      <c r="I122" s="20"/>
      <c r="J122" s="20"/>
      <c r="K122" s="20"/>
      <c r="L122" s="20"/>
      <c r="M122" s="162"/>
      <c r="N122" s="153"/>
    </row>
    <row r="123" spans="1:14" ht="12.75" customHeight="1" x14ac:dyDescent="0.3">
      <c r="A123" s="16"/>
      <c r="B123" s="95"/>
      <c r="C123" s="20"/>
      <c r="D123" s="20"/>
      <c r="E123" s="20"/>
      <c r="F123" s="20"/>
      <c r="G123" s="20"/>
      <c r="H123" s="20"/>
      <c r="I123" s="20"/>
      <c r="J123" s="20"/>
      <c r="K123" s="20"/>
      <c r="L123" s="20"/>
      <c r="M123" s="162"/>
      <c r="N123" s="153"/>
    </row>
    <row r="124" spans="1:14" ht="12.75" customHeight="1" x14ac:dyDescent="0.3">
      <c r="A124" s="16"/>
      <c r="B124" s="95"/>
      <c r="C124" s="20"/>
      <c r="D124" s="20"/>
      <c r="E124" s="20"/>
      <c r="F124" s="20"/>
      <c r="G124" s="20"/>
      <c r="H124" s="20"/>
      <c r="I124" s="20"/>
      <c r="J124" s="20"/>
      <c r="K124" s="20"/>
      <c r="L124" s="20"/>
      <c r="M124" s="16"/>
      <c r="N124" s="153"/>
    </row>
    <row r="125" spans="1:14" ht="12.75" customHeight="1" x14ac:dyDescent="0.3">
      <c r="A125" s="16"/>
      <c r="B125" s="95"/>
      <c r="C125" s="20"/>
      <c r="D125" s="20"/>
      <c r="E125" s="20"/>
      <c r="F125" s="20"/>
      <c r="G125" s="20"/>
      <c r="H125" s="20"/>
      <c r="I125" s="20"/>
      <c r="J125" s="20"/>
      <c r="K125" s="20"/>
      <c r="L125" s="20"/>
      <c r="M125" s="16"/>
      <c r="N125" s="153"/>
    </row>
    <row r="126" spans="1:14" ht="12.75" customHeight="1" x14ac:dyDescent="0.3">
      <c r="A126" s="16"/>
      <c r="B126" s="95"/>
      <c r="C126" s="20"/>
      <c r="D126" s="20"/>
      <c r="E126" s="20"/>
      <c r="F126" s="20"/>
      <c r="G126" s="20"/>
      <c r="H126" s="20"/>
      <c r="I126" s="20"/>
      <c r="J126" s="20"/>
      <c r="K126" s="20"/>
      <c r="L126" s="20"/>
      <c r="M126" s="16"/>
      <c r="N126" s="153"/>
    </row>
    <row r="127" spans="1:14" ht="12.75" customHeight="1" x14ac:dyDescent="0.3">
      <c r="A127" s="16"/>
      <c r="B127" s="95"/>
      <c r="C127" s="20"/>
      <c r="D127" s="20"/>
      <c r="E127" s="20"/>
      <c r="F127" s="20"/>
      <c r="G127" s="20"/>
      <c r="H127" s="20"/>
      <c r="I127" s="20"/>
      <c r="J127" s="20"/>
      <c r="K127" s="20"/>
      <c r="L127" s="20"/>
      <c r="M127" s="16"/>
      <c r="N127" s="153"/>
    </row>
    <row r="128" spans="1:14" ht="12.75" customHeight="1" x14ac:dyDescent="0.3">
      <c r="A128" s="16"/>
      <c r="B128" s="95"/>
      <c r="C128" s="20"/>
      <c r="D128" s="20"/>
      <c r="E128" s="20"/>
      <c r="F128" s="20"/>
      <c r="G128" s="20"/>
      <c r="H128" s="20"/>
      <c r="I128" s="20"/>
      <c r="J128" s="20"/>
      <c r="K128" s="20"/>
      <c r="L128" s="20"/>
      <c r="M128" s="16"/>
      <c r="N128" s="153"/>
    </row>
    <row r="129" spans="1:14" ht="12.75" customHeight="1" x14ac:dyDescent="0.3">
      <c r="A129" s="16"/>
      <c r="B129" s="95"/>
      <c r="C129" s="20"/>
      <c r="D129" s="20"/>
      <c r="E129" s="20"/>
      <c r="F129" s="20"/>
      <c r="G129" s="20"/>
      <c r="H129" s="20"/>
      <c r="I129" s="20"/>
      <c r="J129" s="20"/>
      <c r="K129" s="20"/>
      <c r="L129" s="20"/>
      <c r="M129" s="16"/>
      <c r="N129" s="153"/>
    </row>
    <row r="130" spans="1:14" ht="12.75" customHeight="1" x14ac:dyDescent="0.3">
      <c r="A130" s="16"/>
      <c r="B130" s="95"/>
      <c r="C130" s="20"/>
      <c r="D130" s="20"/>
      <c r="E130" s="20"/>
      <c r="F130" s="20"/>
      <c r="G130" s="20"/>
      <c r="H130" s="20"/>
      <c r="I130" s="20"/>
      <c r="J130" s="20"/>
      <c r="K130" s="20"/>
      <c r="L130" s="20"/>
      <c r="M130" s="16"/>
      <c r="N130" s="153"/>
    </row>
    <row r="131" spans="1:14" ht="12.75" customHeight="1" x14ac:dyDescent="0.3">
      <c r="A131" s="16"/>
      <c r="B131" s="95"/>
      <c r="C131" s="20"/>
      <c r="D131" s="20"/>
      <c r="E131" s="20"/>
      <c r="F131" s="20"/>
      <c r="G131" s="20"/>
      <c r="H131" s="20"/>
      <c r="I131" s="20"/>
      <c r="J131" s="20"/>
      <c r="K131" s="20"/>
      <c r="L131" s="20"/>
      <c r="M131" s="16"/>
      <c r="N131" s="153"/>
    </row>
    <row r="132" spans="1:14" ht="12.75" customHeight="1" x14ac:dyDescent="0.3">
      <c r="A132" s="16"/>
      <c r="B132" s="95"/>
      <c r="C132" s="20"/>
      <c r="D132" s="20"/>
      <c r="E132" s="20"/>
      <c r="F132" s="20"/>
      <c r="G132" s="20"/>
      <c r="H132" s="20"/>
      <c r="I132" s="20"/>
      <c r="J132" s="20"/>
      <c r="K132" s="20"/>
      <c r="L132" s="20"/>
      <c r="M132" s="16"/>
      <c r="N132" s="153"/>
    </row>
    <row r="133" spans="1:14" ht="12.75" customHeight="1" x14ac:dyDescent="0.3">
      <c r="A133" s="16"/>
      <c r="B133" s="95"/>
      <c r="C133" s="20"/>
      <c r="D133" s="20"/>
      <c r="E133" s="20"/>
      <c r="F133" s="20"/>
      <c r="G133" s="20"/>
      <c r="H133" s="20"/>
      <c r="I133" s="20"/>
      <c r="J133" s="20"/>
      <c r="K133" s="20"/>
      <c r="L133" s="20"/>
      <c r="M133" s="16"/>
      <c r="N133" s="153"/>
    </row>
    <row r="134" spans="1:14" ht="12.75" customHeight="1" x14ac:dyDescent="0.3">
      <c r="A134" s="16"/>
      <c r="B134" s="95"/>
      <c r="C134" s="20"/>
      <c r="D134" s="20"/>
      <c r="E134" s="20"/>
      <c r="F134" s="20"/>
      <c r="G134" s="20"/>
      <c r="H134" s="20"/>
      <c r="I134" s="20"/>
      <c r="J134" s="20"/>
      <c r="K134" s="20"/>
      <c r="L134" s="20"/>
      <c r="M134" s="16"/>
      <c r="N134" s="153"/>
    </row>
    <row r="135" spans="1:14" ht="12.75" customHeight="1" x14ac:dyDescent="0.3">
      <c r="A135" s="16"/>
      <c r="B135" s="95"/>
      <c r="C135" s="20"/>
      <c r="D135" s="20"/>
      <c r="E135" s="20"/>
      <c r="F135" s="20"/>
      <c r="G135" s="20"/>
      <c r="H135" s="20"/>
      <c r="I135" s="20"/>
      <c r="J135" s="20"/>
      <c r="K135" s="20"/>
      <c r="L135" s="20"/>
      <c r="M135" s="16"/>
      <c r="N135" s="153"/>
    </row>
    <row r="136" spans="1:14" ht="12.75" customHeight="1" x14ac:dyDescent="0.3">
      <c r="A136" s="16"/>
      <c r="B136" s="95"/>
      <c r="C136" s="20"/>
      <c r="D136" s="20"/>
      <c r="E136" s="20"/>
      <c r="F136" s="20"/>
      <c r="G136" s="20"/>
      <c r="H136" s="20"/>
      <c r="I136" s="20"/>
      <c r="J136" s="20"/>
      <c r="K136" s="20"/>
      <c r="L136" s="20"/>
      <c r="M136" s="16"/>
      <c r="N136" s="153"/>
    </row>
    <row r="137" spans="1:14" ht="12.75" customHeight="1" x14ac:dyDescent="0.3">
      <c r="A137" s="16"/>
      <c r="B137" s="95"/>
      <c r="C137" s="20"/>
      <c r="D137" s="20"/>
      <c r="E137" s="20"/>
      <c r="F137" s="20"/>
      <c r="G137" s="20"/>
      <c r="H137" s="20"/>
      <c r="I137" s="20"/>
      <c r="J137" s="20"/>
      <c r="K137" s="20"/>
      <c r="L137" s="20"/>
      <c r="M137" s="16"/>
      <c r="N137" s="153"/>
    </row>
    <row r="138" spans="1:14" ht="12.75" customHeight="1" x14ac:dyDescent="0.3">
      <c r="A138" s="16"/>
      <c r="B138" s="95"/>
      <c r="C138" s="20"/>
      <c r="D138" s="20"/>
      <c r="E138" s="20"/>
      <c r="F138" s="20"/>
      <c r="G138" s="20"/>
      <c r="H138" s="20"/>
      <c r="I138" s="20"/>
      <c r="J138" s="20"/>
      <c r="K138" s="20"/>
      <c r="L138" s="20"/>
      <c r="M138" s="16"/>
      <c r="N138" s="16"/>
    </row>
    <row r="139" spans="1:14" ht="12.75" customHeight="1" x14ac:dyDescent="0.3">
      <c r="A139" s="16"/>
      <c r="B139" s="95"/>
      <c r="C139" s="20"/>
      <c r="D139" s="20"/>
      <c r="E139" s="20"/>
      <c r="F139" s="20"/>
      <c r="G139" s="20"/>
      <c r="H139" s="20"/>
      <c r="I139" s="20"/>
      <c r="J139" s="20"/>
      <c r="K139" s="20"/>
      <c r="L139" s="20"/>
      <c r="M139" s="16"/>
      <c r="N139" s="16"/>
    </row>
    <row r="140" spans="1:14" ht="12.75" customHeight="1" x14ac:dyDescent="0.3">
      <c r="A140" s="16"/>
      <c r="B140" s="95"/>
      <c r="C140" s="20"/>
      <c r="D140" s="20"/>
      <c r="E140" s="20"/>
      <c r="F140" s="20"/>
      <c r="G140" s="20"/>
      <c r="H140" s="20"/>
      <c r="I140" s="20"/>
      <c r="J140" s="20"/>
      <c r="K140" s="20"/>
      <c r="L140" s="20"/>
      <c r="M140" s="16"/>
      <c r="N140" s="16"/>
    </row>
    <row r="141" spans="1:14" ht="12.75" customHeight="1" x14ac:dyDescent="0.3">
      <c r="A141" s="16"/>
      <c r="B141" s="95"/>
      <c r="C141" s="20"/>
      <c r="D141" s="20"/>
      <c r="E141" s="20"/>
      <c r="F141" s="20"/>
      <c r="G141" s="20"/>
      <c r="H141" s="20"/>
      <c r="I141" s="20"/>
      <c r="J141" s="20"/>
      <c r="K141" s="20"/>
      <c r="L141" s="20"/>
      <c r="M141" s="16"/>
      <c r="N141" s="16"/>
    </row>
    <row r="142" spans="1:14" ht="12.75" customHeight="1" x14ac:dyDescent="0.3">
      <c r="A142" s="16"/>
      <c r="B142" s="95"/>
      <c r="C142" s="20"/>
      <c r="D142" s="20"/>
      <c r="E142" s="20"/>
      <c r="F142" s="20"/>
      <c r="G142" s="20"/>
      <c r="H142" s="20"/>
      <c r="I142" s="20"/>
      <c r="J142" s="20"/>
      <c r="K142" s="20"/>
      <c r="L142" s="20"/>
      <c r="M142" s="16"/>
      <c r="N142" s="16"/>
    </row>
    <row r="143" spans="1:14" ht="12.75" customHeight="1" x14ac:dyDescent="0.3">
      <c r="A143" s="16"/>
      <c r="B143" s="95"/>
      <c r="C143" s="20"/>
      <c r="D143" s="20"/>
      <c r="E143" s="20"/>
      <c r="F143" s="20"/>
      <c r="G143" s="20"/>
      <c r="H143" s="20"/>
      <c r="I143" s="20"/>
      <c r="J143" s="20"/>
      <c r="K143" s="20"/>
      <c r="L143" s="20"/>
      <c r="M143" s="16"/>
      <c r="N143" s="16"/>
    </row>
    <row r="144" spans="1:14" ht="12.75" customHeight="1" x14ac:dyDescent="0.3">
      <c r="A144" s="16"/>
      <c r="B144" s="95"/>
      <c r="C144" s="20"/>
      <c r="D144" s="20"/>
      <c r="E144" s="20"/>
      <c r="F144" s="20"/>
      <c r="G144" s="20"/>
      <c r="H144" s="20"/>
      <c r="I144" s="20"/>
      <c r="J144" s="20"/>
      <c r="K144" s="20"/>
      <c r="L144" s="20"/>
      <c r="M144" s="16"/>
      <c r="N144" s="16"/>
    </row>
    <row r="145" spans="1:14" ht="12.75" customHeight="1" x14ac:dyDescent="0.3">
      <c r="A145" s="16"/>
      <c r="B145" s="95"/>
      <c r="C145" s="20"/>
      <c r="D145" s="20"/>
      <c r="E145" s="20"/>
      <c r="F145" s="20"/>
      <c r="G145" s="20"/>
      <c r="H145" s="20"/>
      <c r="I145" s="20"/>
      <c r="J145" s="20"/>
      <c r="K145" s="20"/>
      <c r="L145" s="20"/>
      <c r="M145" s="16"/>
      <c r="N145" s="16"/>
    </row>
    <row r="146" spans="1:14" ht="12.75" customHeight="1" x14ac:dyDescent="0.3">
      <c r="A146" s="16"/>
      <c r="B146" s="95"/>
      <c r="C146" s="20"/>
      <c r="D146" s="20"/>
      <c r="E146" s="20"/>
      <c r="F146" s="20"/>
      <c r="G146" s="20"/>
      <c r="H146" s="20"/>
      <c r="I146" s="20"/>
      <c r="J146" s="20"/>
      <c r="K146" s="20"/>
      <c r="L146" s="20"/>
      <c r="M146" s="16"/>
      <c r="N146" s="16"/>
    </row>
    <row r="147" spans="1:14" ht="12.75" customHeight="1" x14ac:dyDescent="0.3">
      <c r="A147" s="16"/>
      <c r="B147" s="95"/>
      <c r="C147" s="35"/>
      <c r="D147" s="35"/>
      <c r="E147" s="35"/>
      <c r="F147" s="35"/>
      <c r="G147" s="35"/>
      <c r="H147" s="35"/>
      <c r="I147" s="35"/>
      <c r="J147" s="35"/>
      <c r="K147" s="35"/>
      <c r="L147" s="35"/>
      <c r="M147" s="16"/>
      <c r="N147" s="16"/>
    </row>
    <row r="148" spans="1:14" ht="12.75" customHeight="1" x14ac:dyDescent="0.3">
      <c r="A148" s="16"/>
      <c r="B148" s="95"/>
      <c r="C148" s="35"/>
      <c r="D148" s="35"/>
      <c r="E148" s="35"/>
      <c r="F148" s="35"/>
      <c r="G148" s="35"/>
      <c r="H148" s="35"/>
      <c r="I148" s="35"/>
      <c r="J148" s="35"/>
      <c r="K148" s="35"/>
      <c r="L148" s="35"/>
      <c r="M148" s="16"/>
      <c r="N148" s="16"/>
    </row>
    <row r="149" spans="1:14" ht="12.75" customHeight="1" x14ac:dyDescent="0.3">
      <c r="A149" s="16"/>
      <c r="B149" s="95"/>
      <c r="C149" s="35"/>
      <c r="D149" s="35"/>
      <c r="E149" s="35"/>
      <c r="F149" s="35"/>
      <c r="G149" s="35"/>
      <c r="H149" s="35"/>
      <c r="I149" s="35"/>
      <c r="J149" s="35"/>
      <c r="K149" s="35"/>
      <c r="L149" s="35"/>
      <c r="M149" s="16"/>
      <c r="N149" s="16"/>
    </row>
    <row r="150" spans="1:14" ht="12.75" customHeight="1" x14ac:dyDescent="0.3">
      <c r="A150" s="16"/>
      <c r="B150" s="95"/>
      <c r="C150" s="35"/>
      <c r="D150" s="35"/>
      <c r="E150" s="35"/>
      <c r="F150" s="35"/>
      <c r="G150" s="35"/>
      <c r="H150" s="35"/>
      <c r="I150" s="35"/>
      <c r="J150" s="35"/>
      <c r="K150" s="35"/>
      <c r="L150" s="35"/>
      <c r="M150" s="16"/>
      <c r="N150" s="16"/>
    </row>
    <row r="151" spans="1:14" ht="12.75" customHeight="1" x14ac:dyDescent="0.3">
      <c r="A151" s="16"/>
      <c r="B151" s="95"/>
      <c r="C151" s="35"/>
      <c r="D151" s="35"/>
      <c r="E151" s="35"/>
      <c r="F151" s="35"/>
      <c r="G151" s="35"/>
      <c r="H151" s="35"/>
      <c r="I151" s="35"/>
      <c r="J151" s="35"/>
      <c r="K151" s="35"/>
      <c r="L151" s="35"/>
      <c r="M151" s="16"/>
      <c r="N151" s="16"/>
    </row>
    <row r="152" spans="1:14" ht="12.75" customHeight="1" x14ac:dyDescent="0.3">
      <c r="A152" s="16"/>
      <c r="B152" s="95"/>
      <c r="C152" s="35"/>
      <c r="D152" s="35"/>
      <c r="E152" s="35"/>
      <c r="F152" s="35"/>
      <c r="G152" s="35"/>
      <c r="H152" s="35"/>
      <c r="I152" s="35"/>
      <c r="J152" s="35"/>
      <c r="K152" s="35"/>
      <c r="L152" s="35"/>
      <c r="M152" s="16"/>
      <c r="N152" s="16"/>
    </row>
    <row r="153" spans="1:14" ht="12.75" customHeight="1" x14ac:dyDescent="0.3">
      <c r="A153" s="16"/>
      <c r="B153" s="95"/>
      <c r="C153" s="35"/>
      <c r="D153" s="35"/>
      <c r="E153" s="35"/>
      <c r="F153" s="35"/>
      <c r="G153" s="35"/>
      <c r="H153" s="35"/>
      <c r="I153" s="35"/>
      <c r="J153" s="35"/>
      <c r="K153" s="35"/>
      <c r="L153" s="35"/>
      <c r="M153" s="16"/>
      <c r="N153" s="16"/>
    </row>
    <row r="154" spans="1:14" ht="12.75" customHeight="1" x14ac:dyDescent="0.3">
      <c r="A154" s="16"/>
      <c r="B154" s="95"/>
      <c r="C154" s="35"/>
      <c r="D154" s="35"/>
      <c r="E154" s="35"/>
      <c r="F154" s="35"/>
      <c r="G154" s="35"/>
      <c r="H154" s="35"/>
      <c r="I154" s="35"/>
      <c r="J154" s="35"/>
      <c r="K154" s="35"/>
      <c r="L154" s="35"/>
      <c r="M154" s="16"/>
      <c r="N154" s="16"/>
    </row>
    <row r="155" spans="1:14" ht="12.75" customHeight="1" x14ac:dyDescent="0.3">
      <c r="A155" s="16"/>
      <c r="B155" s="95"/>
      <c r="C155" s="35"/>
      <c r="D155" s="35"/>
      <c r="E155" s="35"/>
      <c r="F155" s="35"/>
      <c r="G155" s="35"/>
      <c r="H155" s="35"/>
      <c r="I155" s="35"/>
      <c r="J155" s="35"/>
      <c r="K155" s="35"/>
      <c r="L155" s="35"/>
      <c r="M155" s="16"/>
      <c r="N155" s="16"/>
    </row>
    <row r="156" spans="1:14" ht="12.75" customHeight="1" x14ac:dyDescent="0.3">
      <c r="A156" s="16"/>
      <c r="B156" s="95"/>
      <c r="C156" s="35"/>
      <c r="D156" s="35"/>
      <c r="E156" s="35"/>
      <c r="F156" s="35"/>
      <c r="G156" s="35"/>
      <c r="H156" s="35"/>
      <c r="I156" s="35"/>
      <c r="J156" s="35"/>
      <c r="K156" s="35"/>
      <c r="L156" s="35"/>
      <c r="M156" s="16"/>
      <c r="N156" s="16"/>
    </row>
    <row r="157" spans="1:14" ht="12.75" customHeight="1" x14ac:dyDescent="0.3">
      <c r="A157" s="16"/>
      <c r="B157" s="95"/>
      <c r="C157" s="35"/>
      <c r="D157" s="35"/>
      <c r="E157" s="35"/>
      <c r="F157" s="35"/>
      <c r="G157" s="35"/>
      <c r="H157" s="35"/>
      <c r="I157" s="35"/>
      <c r="J157" s="35"/>
      <c r="K157" s="35"/>
      <c r="L157" s="35"/>
      <c r="M157" s="16"/>
      <c r="N157" s="16"/>
    </row>
    <row r="158" spans="1:14" ht="12.75" customHeight="1" x14ac:dyDescent="0.3">
      <c r="A158" s="16"/>
      <c r="B158" s="95"/>
      <c r="C158" s="35"/>
      <c r="D158" s="35"/>
      <c r="E158" s="35"/>
      <c r="F158" s="35"/>
      <c r="G158" s="35"/>
      <c r="H158" s="35"/>
      <c r="I158" s="35"/>
      <c r="J158" s="35"/>
      <c r="K158" s="35"/>
      <c r="L158" s="35"/>
      <c r="M158" s="16"/>
      <c r="N158" s="16"/>
    </row>
    <row r="159" spans="1:14" ht="12.75" customHeight="1" x14ac:dyDescent="0.3">
      <c r="A159" s="16"/>
      <c r="B159" s="95"/>
      <c r="C159" s="35"/>
      <c r="D159" s="35"/>
      <c r="E159" s="35"/>
      <c r="F159" s="35"/>
      <c r="G159" s="35"/>
      <c r="H159" s="35"/>
      <c r="I159" s="35"/>
      <c r="J159" s="35"/>
      <c r="K159" s="35"/>
      <c r="L159" s="35"/>
      <c r="M159" s="16"/>
      <c r="N159" s="16"/>
    </row>
    <row r="160" spans="1:14" ht="12.75" customHeight="1" x14ac:dyDescent="0.3">
      <c r="A160" s="16"/>
      <c r="B160" s="95"/>
      <c r="C160" s="35"/>
      <c r="D160" s="35"/>
      <c r="E160" s="35"/>
      <c r="F160" s="35"/>
      <c r="G160" s="35"/>
      <c r="H160" s="35"/>
      <c r="I160" s="35"/>
      <c r="J160" s="35"/>
      <c r="K160" s="35"/>
      <c r="L160" s="35"/>
      <c r="M160" s="16"/>
      <c r="N160" s="16"/>
    </row>
    <row r="161" spans="1:14" ht="12.75" customHeight="1" x14ac:dyDescent="0.3">
      <c r="A161" s="16"/>
      <c r="B161" s="95"/>
      <c r="C161" s="35"/>
      <c r="D161" s="35"/>
      <c r="E161" s="35"/>
      <c r="F161" s="35"/>
      <c r="G161" s="35"/>
      <c r="H161" s="35"/>
      <c r="I161" s="35"/>
      <c r="J161" s="35"/>
      <c r="K161" s="35"/>
      <c r="L161" s="35"/>
      <c r="M161" s="16"/>
      <c r="N161" s="16"/>
    </row>
    <row r="162" spans="1:14" ht="12.75" customHeight="1" x14ac:dyDescent="0.3">
      <c r="A162" s="16"/>
      <c r="B162" s="95"/>
      <c r="C162" s="35"/>
      <c r="D162" s="35"/>
      <c r="E162" s="35"/>
      <c r="F162" s="35"/>
      <c r="G162" s="35"/>
      <c r="H162" s="35"/>
      <c r="I162" s="35"/>
      <c r="J162" s="35"/>
      <c r="K162" s="35"/>
      <c r="L162" s="35"/>
      <c r="M162" s="16"/>
      <c r="N162" s="16"/>
    </row>
    <row r="163" spans="1:14" ht="12.75" customHeight="1" x14ac:dyDescent="0.3">
      <c r="A163" s="16"/>
      <c r="B163" s="95"/>
      <c r="C163" s="35"/>
      <c r="D163" s="35"/>
      <c r="E163" s="35"/>
      <c r="F163" s="35"/>
      <c r="G163" s="35"/>
      <c r="H163" s="35"/>
      <c r="I163" s="35"/>
      <c r="J163" s="35"/>
      <c r="K163" s="35"/>
      <c r="L163" s="35"/>
      <c r="M163" s="16"/>
      <c r="N163" s="16"/>
    </row>
    <row r="164" spans="1:14" ht="12.75" customHeight="1" x14ac:dyDescent="0.3">
      <c r="A164" s="16"/>
      <c r="B164" s="95"/>
      <c r="C164" s="35"/>
      <c r="D164" s="35"/>
      <c r="E164" s="35"/>
      <c r="F164" s="35"/>
      <c r="G164" s="35"/>
      <c r="H164" s="35"/>
      <c r="I164" s="35"/>
      <c r="J164" s="35"/>
      <c r="K164" s="35"/>
      <c r="L164" s="35"/>
      <c r="M164" s="16"/>
      <c r="N164" s="16"/>
    </row>
    <row r="165" spans="1:14" ht="12.75" customHeight="1" x14ac:dyDescent="0.3">
      <c r="A165" s="16"/>
      <c r="B165" s="95"/>
      <c r="C165" s="35"/>
      <c r="D165" s="35"/>
      <c r="E165" s="35"/>
      <c r="F165" s="35"/>
      <c r="G165" s="35"/>
      <c r="H165" s="35"/>
      <c r="I165" s="35"/>
      <c r="J165" s="35"/>
      <c r="K165" s="35"/>
      <c r="L165" s="35"/>
      <c r="M165" s="16"/>
      <c r="N165" s="16"/>
    </row>
    <row r="166" spans="1:14" ht="12.75" customHeight="1" x14ac:dyDescent="0.3">
      <c r="A166" s="16"/>
      <c r="B166" s="95"/>
      <c r="C166" s="35"/>
      <c r="D166" s="35"/>
      <c r="E166" s="35"/>
      <c r="F166" s="35"/>
      <c r="G166" s="35"/>
      <c r="H166" s="35"/>
      <c r="I166" s="35"/>
      <c r="J166" s="35"/>
      <c r="K166" s="35"/>
      <c r="L166" s="35"/>
      <c r="M166" s="16"/>
      <c r="N166" s="16"/>
    </row>
    <row r="167" spans="1:14" ht="12.75" customHeight="1" x14ac:dyDescent="0.3">
      <c r="A167" s="16"/>
      <c r="B167" s="95"/>
      <c r="C167" s="35"/>
      <c r="D167" s="35"/>
      <c r="E167" s="35"/>
      <c r="F167" s="35"/>
      <c r="G167" s="35"/>
      <c r="H167" s="35"/>
      <c r="I167" s="35"/>
      <c r="J167" s="35"/>
      <c r="K167" s="35"/>
      <c r="L167" s="35"/>
      <c r="M167" s="16"/>
      <c r="N167" s="16"/>
    </row>
    <row r="168" spans="1:14" ht="12.75" customHeight="1" x14ac:dyDescent="0.3">
      <c r="A168" s="16"/>
      <c r="B168" s="95"/>
      <c r="C168" s="35"/>
      <c r="D168" s="35"/>
      <c r="E168" s="35"/>
      <c r="F168" s="35"/>
      <c r="G168" s="35"/>
      <c r="H168" s="35"/>
      <c r="I168" s="35"/>
      <c r="J168" s="35"/>
      <c r="K168" s="35"/>
      <c r="L168" s="35"/>
      <c r="M168" s="16"/>
      <c r="N168" s="16"/>
    </row>
    <row r="169" spans="1:14" ht="12.75" customHeight="1" x14ac:dyDescent="0.3">
      <c r="A169" s="16"/>
      <c r="B169" s="95"/>
      <c r="C169" s="35"/>
      <c r="D169" s="35"/>
      <c r="E169" s="35"/>
      <c r="F169" s="35"/>
      <c r="G169" s="35"/>
      <c r="H169" s="35"/>
      <c r="I169" s="35"/>
      <c r="J169" s="35"/>
      <c r="K169" s="35"/>
      <c r="L169" s="35"/>
      <c r="M169" s="16"/>
      <c r="N169" s="16"/>
    </row>
    <row r="170" spans="1:14" ht="12.75" customHeight="1" x14ac:dyDescent="0.3">
      <c r="A170" s="16"/>
      <c r="B170" s="95"/>
      <c r="C170" s="35"/>
      <c r="D170" s="35"/>
      <c r="E170" s="35"/>
      <c r="F170" s="35"/>
      <c r="G170" s="35"/>
      <c r="H170" s="35"/>
      <c r="I170" s="35"/>
      <c r="J170" s="35"/>
      <c r="K170" s="35"/>
      <c r="L170" s="35"/>
      <c r="M170" s="16"/>
      <c r="N170" s="16"/>
    </row>
    <row r="171" spans="1:14" ht="12.75" customHeight="1" x14ac:dyDescent="0.3">
      <c r="A171" s="16"/>
      <c r="B171" s="95"/>
      <c r="C171" s="35"/>
      <c r="D171" s="35"/>
      <c r="E171" s="35"/>
      <c r="F171" s="35"/>
      <c r="G171" s="35"/>
      <c r="H171" s="35"/>
      <c r="I171" s="35"/>
      <c r="J171" s="35"/>
      <c r="K171" s="35"/>
      <c r="L171" s="35"/>
      <c r="M171" s="16"/>
      <c r="N171" s="16"/>
    </row>
    <row r="172" spans="1:14" ht="12.75" customHeight="1" x14ac:dyDescent="0.3">
      <c r="A172" s="16"/>
      <c r="B172" s="95"/>
      <c r="C172" s="35"/>
      <c r="D172" s="35"/>
      <c r="E172" s="35"/>
      <c r="F172" s="35"/>
      <c r="G172" s="35"/>
      <c r="H172" s="35"/>
      <c r="I172" s="35"/>
      <c r="J172" s="35"/>
      <c r="K172" s="35"/>
      <c r="L172" s="35"/>
      <c r="M172" s="16"/>
      <c r="N172" s="16"/>
    </row>
    <row r="173" spans="1:14" ht="12.75" customHeight="1" x14ac:dyDescent="0.3">
      <c r="A173" s="16"/>
      <c r="B173" s="95"/>
      <c r="C173" s="35"/>
      <c r="D173" s="35"/>
      <c r="E173" s="35"/>
      <c r="F173" s="35"/>
      <c r="G173" s="35"/>
      <c r="H173" s="35"/>
      <c r="I173" s="35"/>
      <c r="J173" s="35"/>
      <c r="K173" s="35"/>
      <c r="L173" s="35"/>
      <c r="M173" s="16"/>
      <c r="N173" s="16"/>
    </row>
    <row r="174" spans="1:14" ht="12.75" customHeight="1" x14ac:dyDescent="0.3">
      <c r="A174" s="16"/>
      <c r="B174" s="95"/>
      <c r="C174" s="35"/>
      <c r="D174" s="35"/>
      <c r="E174" s="35"/>
      <c r="F174" s="35"/>
      <c r="G174" s="35"/>
      <c r="H174" s="35"/>
      <c r="I174" s="35"/>
      <c r="J174" s="35"/>
      <c r="K174" s="35"/>
      <c r="L174" s="35"/>
      <c r="M174" s="16"/>
      <c r="N174" s="16"/>
    </row>
    <row r="175" spans="1:14" ht="12.75" customHeight="1" x14ac:dyDescent="0.3">
      <c r="A175" s="16"/>
      <c r="B175" s="95"/>
      <c r="C175" s="35"/>
      <c r="D175" s="35"/>
      <c r="E175" s="35"/>
      <c r="F175" s="35"/>
      <c r="G175" s="35"/>
      <c r="H175" s="35"/>
      <c r="I175" s="35"/>
      <c r="J175" s="35"/>
      <c r="K175" s="35"/>
      <c r="L175" s="35"/>
      <c r="M175" s="16"/>
      <c r="N175" s="16"/>
    </row>
    <row r="176" spans="1:14" ht="12.75" customHeight="1" x14ac:dyDescent="0.3">
      <c r="A176" s="16"/>
      <c r="B176" s="95"/>
      <c r="C176" s="35"/>
      <c r="D176" s="35"/>
      <c r="E176" s="35"/>
      <c r="F176" s="35"/>
      <c r="G176" s="35"/>
      <c r="H176" s="35"/>
      <c r="I176" s="35"/>
      <c r="J176" s="35"/>
      <c r="K176" s="35"/>
      <c r="L176" s="35"/>
      <c r="M176" s="16"/>
      <c r="N176" s="16"/>
    </row>
    <row r="177" spans="1:14" ht="12.75" customHeight="1" x14ac:dyDescent="0.3">
      <c r="A177" s="16"/>
      <c r="B177" s="95"/>
      <c r="C177" s="35"/>
      <c r="D177" s="35"/>
      <c r="E177" s="35"/>
      <c r="F177" s="35"/>
      <c r="G177" s="35"/>
      <c r="H177" s="35"/>
      <c r="I177" s="35"/>
      <c r="J177" s="35"/>
      <c r="K177" s="35"/>
      <c r="L177" s="35"/>
      <c r="M177" s="16"/>
      <c r="N177" s="16"/>
    </row>
    <row r="178" spans="1:14" ht="12.75" customHeight="1" x14ac:dyDescent="0.3">
      <c r="A178" s="16"/>
      <c r="B178" s="95"/>
      <c r="C178" s="35"/>
      <c r="D178" s="35"/>
      <c r="E178" s="35"/>
      <c r="F178" s="35"/>
      <c r="G178" s="35"/>
      <c r="H178" s="35"/>
      <c r="I178" s="35"/>
      <c r="J178" s="35"/>
      <c r="K178" s="35"/>
      <c r="L178" s="35"/>
      <c r="M178" s="16"/>
      <c r="N178" s="16"/>
    </row>
    <row r="179" spans="1:14" ht="12.75" customHeight="1" x14ac:dyDescent="0.3">
      <c r="A179" s="16"/>
      <c r="B179" s="95"/>
      <c r="C179" s="35"/>
      <c r="D179" s="35"/>
      <c r="E179" s="35"/>
      <c r="F179" s="35"/>
      <c r="G179" s="35"/>
      <c r="H179" s="35"/>
      <c r="I179" s="35"/>
      <c r="J179" s="35"/>
      <c r="K179" s="35"/>
      <c r="L179" s="35"/>
      <c r="M179" s="16"/>
      <c r="N179" s="11"/>
    </row>
    <row r="180" spans="1:14" ht="12.75" customHeight="1" x14ac:dyDescent="0.3">
      <c r="A180" s="16"/>
      <c r="B180" s="95"/>
      <c r="C180" s="35"/>
      <c r="D180" s="35"/>
      <c r="E180" s="35"/>
      <c r="F180" s="35"/>
      <c r="G180" s="35"/>
      <c r="H180" s="35"/>
      <c r="I180" s="35"/>
      <c r="J180" s="35"/>
      <c r="K180" s="35"/>
      <c r="L180" s="35"/>
      <c r="M180" s="16"/>
      <c r="N180" s="11"/>
    </row>
    <row r="181" spans="1:14" ht="12.75" customHeight="1" x14ac:dyDescent="0.3">
      <c r="A181" s="16"/>
      <c r="B181" s="95"/>
      <c r="C181" s="35"/>
      <c r="D181" s="35"/>
      <c r="E181" s="35"/>
      <c r="F181" s="35"/>
      <c r="G181" s="35"/>
      <c r="H181" s="35"/>
      <c r="I181" s="35"/>
      <c r="J181" s="35"/>
      <c r="K181" s="35"/>
      <c r="L181" s="35"/>
      <c r="M181" s="16"/>
      <c r="N181" s="11"/>
    </row>
    <row r="182" spans="1:14" ht="12.75" customHeight="1" x14ac:dyDescent="0.3">
      <c r="A182" s="16"/>
      <c r="B182" s="95"/>
      <c r="C182" s="35"/>
      <c r="D182" s="35"/>
      <c r="E182" s="35"/>
      <c r="F182" s="35"/>
      <c r="G182" s="35"/>
      <c r="H182" s="35"/>
      <c r="I182" s="35"/>
      <c r="J182" s="35"/>
      <c r="K182" s="35"/>
      <c r="L182" s="35"/>
      <c r="M182" s="16"/>
      <c r="N182" s="11"/>
    </row>
    <row r="183" spans="1:14" ht="12.75" customHeight="1" x14ac:dyDescent="0.3">
      <c r="A183" s="16"/>
      <c r="B183" s="95"/>
      <c r="C183" s="35"/>
      <c r="D183" s="35"/>
      <c r="E183" s="35"/>
      <c r="F183" s="35"/>
      <c r="G183" s="35"/>
      <c r="H183" s="35"/>
      <c r="I183" s="35"/>
      <c r="J183" s="35"/>
      <c r="K183" s="35"/>
      <c r="L183" s="35"/>
      <c r="M183" s="16"/>
      <c r="N183" s="11"/>
    </row>
    <row r="184" spans="1:14" ht="12.75" customHeight="1" x14ac:dyDescent="0.3">
      <c r="A184" s="16"/>
      <c r="B184" s="95"/>
      <c r="C184" s="35"/>
      <c r="D184" s="35"/>
      <c r="E184" s="35"/>
      <c r="F184" s="35"/>
      <c r="G184" s="35"/>
      <c r="H184" s="35"/>
      <c r="I184" s="35"/>
      <c r="J184" s="35"/>
      <c r="K184" s="35"/>
      <c r="L184" s="35"/>
      <c r="M184" s="16"/>
      <c r="N184" s="11"/>
    </row>
    <row r="185" spans="1:14" ht="12.75" customHeight="1" x14ac:dyDescent="0.3">
      <c r="A185" s="16"/>
      <c r="B185" s="16"/>
      <c r="C185" s="16"/>
      <c r="D185" s="16"/>
      <c r="E185" s="16"/>
      <c r="F185" s="16"/>
      <c r="G185" s="16"/>
      <c r="H185" s="16"/>
      <c r="I185" s="16"/>
      <c r="J185" s="16"/>
      <c r="K185" s="16"/>
      <c r="L185" s="16"/>
      <c r="M185" s="16"/>
      <c r="N185" s="11"/>
    </row>
    <row r="186" spans="1:14" ht="12.75" customHeight="1" x14ac:dyDescent="0.3">
      <c r="A186" s="16"/>
      <c r="B186" s="16"/>
      <c r="C186" s="16"/>
      <c r="D186" s="16"/>
      <c r="E186" s="16"/>
      <c r="F186" s="16"/>
      <c r="G186" s="16"/>
      <c r="H186" s="16"/>
      <c r="I186" s="16"/>
      <c r="J186" s="16"/>
      <c r="K186" s="16"/>
      <c r="L186" s="16"/>
      <c r="M186" s="16"/>
      <c r="N186" s="11"/>
    </row>
    <row r="187" spans="1:14" ht="12.75" customHeight="1" x14ac:dyDescent="0.3">
      <c r="A187" s="16"/>
      <c r="B187" s="16"/>
      <c r="C187" s="16"/>
      <c r="D187" s="16"/>
      <c r="E187" s="16"/>
      <c r="F187" s="16"/>
      <c r="G187" s="16"/>
      <c r="H187" s="16"/>
      <c r="I187" s="16"/>
      <c r="J187" s="16"/>
      <c r="K187" s="16"/>
      <c r="L187" s="16"/>
      <c r="M187" s="16"/>
      <c r="N187" s="11"/>
    </row>
    <row r="188" spans="1:14" ht="12.75" customHeight="1" x14ac:dyDescent="0.3">
      <c r="A188" s="16"/>
      <c r="B188" s="16"/>
      <c r="C188" s="16"/>
      <c r="D188" s="16"/>
      <c r="E188" s="16"/>
      <c r="F188" s="16"/>
      <c r="G188" s="16"/>
      <c r="H188" s="16"/>
      <c r="I188" s="16"/>
      <c r="J188" s="16"/>
      <c r="K188" s="16"/>
      <c r="L188" s="16"/>
      <c r="M188" s="16"/>
      <c r="N188" s="11"/>
    </row>
    <row r="189" spans="1:14" ht="12.75" customHeight="1" x14ac:dyDescent="0.3">
      <c r="A189" s="16"/>
      <c r="B189" s="16"/>
      <c r="C189" s="16"/>
      <c r="D189" s="16"/>
      <c r="E189" s="16"/>
      <c r="F189" s="16"/>
      <c r="G189" s="16"/>
      <c r="H189" s="16"/>
      <c r="I189" s="16"/>
      <c r="J189" s="16"/>
      <c r="K189" s="16"/>
      <c r="L189" s="16"/>
      <c r="M189" s="16"/>
      <c r="N189" s="11"/>
    </row>
    <row r="190" spans="1:14" ht="12.75" customHeight="1" x14ac:dyDescent="0.3">
      <c r="A190" s="16"/>
      <c r="B190" s="16"/>
      <c r="C190" s="16"/>
      <c r="D190" s="16"/>
      <c r="E190" s="16"/>
      <c r="F190" s="16"/>
      <c r="G190" s="16"/>
      <c r="H190" s="16"/>
      <c r="I190" s="16"/>
      <c r="J190" s="16"/>
      <c r="K190" s="16"/>
      <c r="L190" s="16"/>
      <c r="M190" s="16"/>
      <c r="N190" s="11"/>
    </row>
    <row r="191" spans="1:14" ht="12.75" customHeight="1" x14ac:dyDescent="0.3">
      <c r="A191" s="16"/>
      <c r="B191" s="16"/>
      <c r="C191" s="16"/>
      <c r="D191" s="16"/>
      <c r="E191" s="16"/>
      <c r="F191" s="16"/>
      <c r="G191" s="16"/>
      <c r="H191" s="16"/>
      <c r="I191" s="16"/>
      <c r="J191" s="16"/>
      <c r="K191" s="16"/>
      <c r="L191" s="16"/>
      <c r="M191" s="16"/>
      <c r="N191" s="11"/>
    </row>
    <row r="192" spans="1:14" ht="12.75" customHeight="1" x14ac:dyDescent="0.3">
      <c r="A192" s="16"/>
      <c r="B192" s="16"/>
      <c r="C192" s="16"/>
      <c r="D192" s="16"/>
      <c r="E192" s="16"/>
      <c r="F192" s="16"/>
      <c r="G192" s="16"/>
      <c r="H192" s="16"/>
      <c r="I192" s="16"/>
      <c r="J192" s="16"/>
      <c r="K192" s="16"/>
      <c r="L192" s="16"/>
      <c r="M192" s="16"/>
      <c r="N192" s="11"/>
    </row>
    <row r="193" spans="1:13" ht="12.75" customHeight="1" x14ac:dyDescent="0.3">
      <c r="A193" s="16"/>
      <c r="B193" s="16"/>
      <c r="C193" s="16"/>
      <c r="D193" s="16"/>
      <c r="E193" s="16"/>
      <c r="F193" s="16"/>
      <c r="G193" s="16"/>
      <c r="H193" s="16"/>
      <c r="I193" s="16"/>
      <c r="J193" s="16"/>
      <c r="K193" s="16"/>
      <c r="L193" s="16"/>
      <c r="M193" s="16"/>
    </row>
    <row r="194" spans="1:13" ht="12.75" customHeight="1" x14ac:dyDescent="0.3">
      <c r="A194" s="16"/>
      <c r="B194" s="16"/>
      <c r="C194" s="16"/>
      <c r="D194" s="16"/>
      <c r="E194" s="16"/>
      <c r="F194" s="16"/>
      <c r="G194" s="16"/>
      <c r="H194" s="16"/>
      <c r="I194" s="16"/>
      <c r="J194" s="16"/>
      <c r="K194" s="16"/>
      <c r="L194" s="16"/>
      <c r="M194" s="16"/>
    </row>
    <row r="195" spans="1:13" ht="12.75" customHeight="1" x14ac:dyDescent="0.3">
      <c r="A195" s="11"/>
      <c r="B195" s="16"/>
      <c r="C195" s="16"/>
      <c r="D195" s="16"/>
      <c r="E195" s="16"/>
      <c r="F195" s="16"/>
      <c r="G195" s="16"/>
      <c r="H195" s="16"/>
      <c r="I195" s="16"/>
      <c r="J195" s="16"/>
      <c r="K195" s="16"/>
      <c r="L195" s="16"/>
      <c r="M195" s="16"/>
    </row>
    <row r="196" spans="1:13" ht="12.75" customHeight="1" x14ac:dyDescent="0.3">
      <c r="A196" s="11"/>
      <c r="B196" s="16"/>
      <c r="C196" s="16"/>
      <c r="D196" s="16"/>
      <c r="E196" s="16"/>
      <c r="F196" s="16"/>
      <c r="G196" s="16"/>
      <c r="H196" s="16"/>
      <c r="I196" s="16"/>
      <c r="J196" s="16"/>
      <c r="K196" s="16"/>
      <c r="L196" s="16"/>
      <c r="M196" s="16"/>
    </row>
    <row r="197" spans="1:13" ht="12.75" customHeight="1" x14ac:dyDescent="0.3">
      <c r="A197" s="11"/>
      <c r="B197" s="16"/>
      <c r="C197" s="16"/>
      <c r="D197" s="16"/>
      <c r="E197" s="16"/>
      <c r="F197" s="16"/>
      <c r="G197" s="16"/>
      <c r="H197" s="16"/>
      <c r="I197" s="16"/>
      <c r="J197" s="16"/>
      <c r="K197" s="16"/>
      <c r="L197" s="16"/>
      <c r="M197" s="16"/>
    </row>
    <row r="198" spans="1:13" ht="12.75" customHeight="1" x14ac:dyDescent="0.3">
      <c r="A198" s="11"/>
      <c r="B198" s="16"/>
      <c r="C198" s="16"/>
      <c r="D198" s="16"/>
      <c r="E198" s="16"/>
      <c r="F198" s="16"/>
      <c r="G198" s="16"/>
      <c r="H198" s="16"/>
      <c r="I198" s="16"/>
      <c r="J198" s="16"/>
      <c r="K198" s="16"/>
      <c r="L198" s="16"/>
      <c r="M198" s="16"/>
    </row>
    <row r="199" spans="1:13" ht="12.75" customHeight="1" x14ac:dyDescent="0.3">
      <c r="A199" s="11"/>
      <c r="B199" s="16"/>
      <c r="C199" s="16"/>
      <c r="D199" s="16"/>
      <c r="E199" s="16"/>
      <c r="F199" s="16"/>
      <c r="G199" s="16"/>
      <c r="H199" s="16"/>
      <c r="I199" s="16"/>
      <c r="J199" s="16"/>
      <c r="K199" s="16"/>
      <c r="L199" s="16"/>
      <c r="M199" s="16"/>
    </row>
    <row r="200" spans="1:13" ht="12.75" customHeight="1" x14ac:dyDescent="0.3">
      <c r="A200" s="11"/>
      <c r="B200" s="16"/>
      <c r="C200" s="16"/>
      <c r="D200" s="16"/>
      <c r="E200" s="16"/>
      <c r="F200" s="16"/>
      <c r="G200" s="16"/>
      <c r="H200" s="16"/>
      <c r="I200" s="16"/>
      <c r="J200" s="16"/>
      <c r="K200" s="16"/>
      <c r="L200" s="16"/>
      <c r="M200" s="16"/>
    </row>
    <row r="201" spans="1:13" ht="12.75" customHeight="1" x14ac:dyDescent="0.3">
      <c r="A201" s="11"/>
      <c r="B201" s="16"/>
      <c r="C201" s="16"/>
      <c r="D201" s="16"/>
      <c r="E201" s="16"/>
      <c r="F201" s="16"/>
      <c r="G201" s="16"/>
      <c r="H201" s="16"/>
      <c r="I201" s="16"/>
      <c r="J201" s="16"/>
      <c r="K201" s="16"/>
      <c r="L201" s="16"/>
      <c r="M201" s="16"/>
    </row>
    <row r="202" spans="1:13" ht="12.75" customHeight="1" x14ac:dyDescent="0.3">
      <c r="A202" s="11"/>
      <c r="B202" s="16"/>
      <c r="C202" s="16"/>
      <c r="D202" s="16"/>
      <c r="E202" s="16"/>
      <c r="F202" s="16"/>
      <c r="G202" s="16"/>
      <c r="H202" s="16"/>
      <c r="I202" s="16"/>
      <c r="J202" s="16"/>
      <c r="K202" s="16"/>
      <c r="L202" s="16"/>
      <c r="M202" s="16"/>
    </row>
    <row r="203" spans="1:13" ht="12.75" customHeight="1" x14ac:dyDescent="0.3">
      <c r="A203" s="11"/>
      <c r="B203" s="16"/>
      <c r="C203" s="16"/>
      <c r="D203" s="16"/>
      <c r="E203" s="16"/>
      <c r="F203" s="16"/>
      <c r="G203" s="16"/>
      <c r="H203" s="16"/>
      <c r="I203" s="16"/>
      <c r="J203" s="16"/>
      <c r="K203" s="16"/>
      <c r="L203" s="16"/>
      <c r="M203" s="11"/>
    </row>
    <row r="204" spans="1:13" ht="12.75" customHeight="1" x14ac:dyDescent="0.3">
      <c r="A204" s="11"/>
      <c r="B204" s="16"/>
      <c r="C204" s="16"/>
      <c r="D204" s="16"/>
      <c r="E204" s="16"/>
      <c r="F204" s="16"/>
      <c r="G204" s="16"/>
      <c r="H204" s="16"/>
      <c r="I204" s="16"/>
      <c r="J204" s="16"/>
      <c r="K204" s="16"/>
      <c r="L204" s="16"/>
      <c r="M204" s="11"/>
    </row>
    <row r="205" spans="1:13" ht="12.75" customHeight="1" x14ac:dyDescent="0.3">
      <c r="A205" s="11"/>
      <c r="B205" s="16"/>
      <c r="C205" s="16"/>
      <c r="D205" s="16"/>
      <c r="E205" s="16"/>
      <c r="F205" s="16"/>
      <c r="G205" s="16"/>
      <c r="H205" s="16"/>
      <c r="I205" s="16"/>
      <c r="J205" s="16"/>
      <c r="K205" s="16"/>
      <c r="L205" s="16"/>
      <c r="M205" s="11"/>
    </row>
    <row r="206" spans="1:13" ht="12.75" customHeight="1" x14ac:dyDescent="0.3">
      <c r="A206" s="11"/>
      <c r="B206" s="16"/>
      <c r="C206" s="16"/>
      <c r="D206" s="16"/>
      <c r="E206" s="16"/>
      <c r="F206" s="16"/>
      <c r="G206" s="16"/>
      <c r="H206" s="16"/>
      <c r="I206" s="16"/>
      <c r="J206" s="16"/>
      <c r="K206" s="16"/>
      <c r="L206" s="16"/>
      <c r="M206" s="11"/>
    </row>
    <row r="207" spans="1:13" ht="12.75" customHeight="1" x14ac:dyDescent="0.3">
      <c r="A207" s="11"/>
      <c r="B207" s="16"/>
      <c r="C207" s="16"/>
      <c r="D207" s="16"/>
      <c r="E207" s="16"/>
      <c r="F207" s="16"/>
      <c r="G207" s="16"/>
      <c r="H207" s="16"/>
      <c r="I207" s="16"/>
      <c r="J207" s="16"/>
      <c r="K207" s="16"/>
      <c r="L207" s="16"/>
      <c r="M207" s="11"/>
    </row>
    <row r="208" spans="1:13" ht="12.75" customHeight="1" x14ac:dyDescent="0.3">
      <c r="A208" s="11"/>
      <c r="B208" s="16"/>
      <c r="C208" s="16"/>
      <c r="D208" s="16"/>
      <c r="E208" s="16"/>
      <c r="F208" s="16"/>
      <c r="G208" s="16"/>
      <c r="H208" s="16"/>
      <c r="I208" s="16"/>
      <c r="J208" s="16"/>
      <c r="K208" s="16"/>
      <c r="L208" s="16"/>
      <c r="M208" s="11"/>
    </row>
    <row r="209" spans="2:12" ht="12.75" customHeight="1" x14ac:dyDescent="0.3">
      <c r="B209" s="16"/>
      <c r="C209" s="16"/>
      <c r="D209" s="16"/>
      <c r="E209" s="16"/>
      <c r="F209" s="16"/>
      <c r="G209" s="16"/>
      <c r="H209" s="16"/>
      <c r="I209" s="16"/>
      <c r="J209" s="16"/>
      <c r="K209" s="16"/>
      <c r="L209" s="16"/>
    </row>
    <row r="210" spans="2:12" ht="12.75" customHeight="1" x14ac:dyDescent="0.3">
      <c r="B210" s="16"/>
      <c r="C210" s="16"/>
      <c r="D210" s="16"/>
      <c r="E210" s="16"/>
      <c r="F210" s="16"/>
      <c r="G210" s="16"/>
      <c r="H210" s="16"/>
      <c r="I210" s="16"/>
      <c r="J210" s="16"/>
      <c r="K210" s="16"/>
      <c r="L210" s="16"/>
    </row>
    <row r="211" spans="2:12" ht="12.75" customHeight="1" x14ac:dyDescent="0.3">
      <c r="B211" s="16"/>
      <c r="C211" s="16"/>
      <c r="D211" s="16"/>
      <c r="E211" s="16"/>
      <c r="F211" s="16"/>
      <c r="G211" s="16"/>
      <c r="H211" s="16"/>
      <c r="I211" s="16"/>
      <c r="J211" s="16"/>
      <c r="K211" s="16"/>
      <c r="L211" s="16"/>
    </row>
    <row r="212" spans="2:12" ht="12.75" customHeight="1" x14ac:dyDescent="0.3">
      <c r="B212" s="16"/>
      <c r="C212" s="16"/>
      <c r="D212" s="16"/>
      <c r="E212" s="16"/>
      <c r="F212" s="16"/>
      <c r="G212" s="16"/>
      <c r="H212" s="16"/>
      <c r="I212" s="16"/>
      <c r="J212" s="16"/>
      <c r="K212" s="16"/>
      <c r="L212" s="16"/>
    </row>
    <row r="213" spans="2:12" ht="12.75" customHeight="1" x14ac:dyDescent="0.3">
      <c r="B213" s="16"/>
      <c r="C213" s="16"/>
      <c r="D213" s="16"/>
      <c r="E213" s="16"/>
      <c r="F213" s="16"/>
      <c r="G213" s="16"/>
      <c r="H213" s="16"/>
      <c r="I213" s="16"/>
      <c r="J213" s="16"/>
      <c r="K213" s="16"/>
      <c r="L213" s="16"/>
    </row>
    <row r="214" spans="2:12" ht="12.75" customHeight="1" x14ac:dyDescent="0.3">
      <c r="B214" s="16"/>
      <c r="C214" s="16"/>
      <c r="D214" s="16"/>
      <c r="E214" s="16"/>
      <c r="F214" s="16"/>
      <c r="G214" s="16"/>
      <c r="H214" s="16"/>
      <c r="I214" s="16"/>
      <c r="J214" s="16"/>
      <c r="K214" s="16"/>
      <c r="L214" s="16"/>
    </row>
    <row r="215" spans="2:12" ht="12.75" customHeight="1" x14ac:dyDescent="0.3">
      <c r="B215" s="16"/>
      <c r="C215" s="16"/>
      <c r="D215" s="16"/>
      <c r="E215" s="16"/>
      <c r="F215" s="16"/>
      <c r="G215" s="16"/>
      <c r="H215" s="16"/>
      <c r="I215" s="16"/>
      <c r="J215" s="16"/>
      <c r="K215" s="16"/>
      <c r="L215" s="16"/>
    </row>
    <row r="216" spans="2:12" ht="12.75" customHeight="1" x14ac:dyDescent="0.3">
      <c r="B216" s="16"/>
      <c r="C216" s="16"/>
      <c r="D216" s="16"/>
      <c r="E216" s="16"/>
      <c r="F216" s="16"/>
      <c r="G216" s="16"/>
      <c r="H216" s="16"/>
      <c r="I216" s="16"/>
      <c r="J216" s="16"/>
      <c r="K216" s="16"/>
      <c r="L216" s="16"/>
    </row>
    <row r="217" spans="2:12" ht="12.75" customHeight="1" x14ac:dyDescent="0.3">
      <c r="B217" s="16"/>
      <c r="C217" s="16"/>
      <c r="D217" s="16"/>
      <c r="E217" s="16"/>
      <c r="F217" s="16"/>
      <c r="G217" s="16"/>
      <c r="H217" s="16"/>
      <c r="I217" s="16"/>
      <c r="J217" s="16"/>
      <c r="K217" s="16"/>
      <c r="L217" s="16"/>
    </row>
    <row r="218" spans="2:12" ht="12.75" customHeight="1" x14ac:dyDescent="0.3">
      <c r="B218" s="16"/>
      <c r="C218" s="16"/>
      <c r="D218" s="16"/>
      <c r="E218" s="16"/>
      <c r="F218" s="16"/>
      <c r="G218" s="16"/>
      <c r="H218" s="16"/>
      <c r="I218" s="16"/>
      <c r="J218" s="16"/>
      <c r="K218" s="16"/>
      <c r="L218" s="16"/>
    </row>
    <row r="219" spans="2:12" ht="12.75" customHeight="1" x14ac:dyDescent="0.3">
      <c r="B219" s="16"/>
      <c r="C219" s="16"/>
      <c r="D219" s="16"/>
      <c r="E219" s="16"/>
      <c r="F219" s="16"/>
      <c r="G219" s="16"/>
      <c r="H219" s="16"/>
      <c r="I219" s="16"/>
      <c r="J219" s="16"/>
      <c r="K219" s="16"/>
      <c r="L219" s="16"/>
    </row>
    <row r="220" spans="2:12" ht="12.75" customHeight="1" x14ac:dyDescent="0.3">
      <c r="B220" s="16"/>
      <c r="C220" s="16"/>
      <c r="D220" s="16"/>
      <c r="E220" s="16"/>
      <c r="F220" s="16"/>
      <c r="G220" s="16"/>
      <c r="H220" s="16"/>
      <c r="I220" s="16"/>
      <c r="J220" s="16"/>
      <c r="K220" s="16"/>
      <c r="L220" s="16"/>
    </row>
    <row r="221" spans="2:12" ht="12.75" customHeight="1" x14ac:dyDescent="0.3">
      <c r="B221" s="16"/>
      <c r="C221" s="16"/>
      <c r="D221" s="16"/>
      <c r="E221" s="16"/>
      <c r="F221" s="16"/>
      <c r="G221" s="16"/>
      <c r="H221" s="16"/>
      <c r="I221" s="16"/>
      <c r="J221" s="16"/>
      <c r="K221" s="16"/>
      <c r="L221" s="16"/>
    </row>
    <row r="222" spans="2:12" ht="12.75" customHeight="1" x14ac:dyDescent="0.3">
      <c r="B222" s="16"/>
      <c r="C222" s="16"/>
      <c r="D222" s="16"/>
      <c r="E222" s="16"/>
      <c r="F222" s="16"/>
      <c r="G222" s="16"/>
      <c r="H222" s="16"/>
      <c r="I222" s="16"/>
      <c r="J222" s="16"/>
      <c r="K222" s="16"/>
      <c r="L222" s="16"/>
    </row>
    <row r="223" spans="2:12" ht="12.75" customHeight="1" x14ac:dyDescent="0.3">
      <c r="B223" s="16"/>
      <c r="C223" s="16"/>
      <c r="D223" s="16"/>
      <c r="E223" s="16"/>
      <c r="F223" s="16"/>
      <c r="G223" s="16"/>
      <c r="H223" s="16"/>
      <c r="I223" s="16"/>
      <c r="J223" s="16"/>
      <c r="K223" s="16"/>
      <c r="L223" s="16"/>
    </row>
    <row r="224" spans="2:12" ht="12.75" customHeight="1" x14ac:dyDescent="0.3">
      <c r="B224" s="16"/>
      <c r="C224" s="16"/>
      <c r="D224" s="16"/>
      <c r="E224" s="16"/>
      <c r="F224" s="16"/>
      <c r="G224" s="16"/>
      <c r="H224" s="16"/>
      <c r="I224" s="16"/>
      <c r="J224" s="16"/>
      <c r="K224" s="16"/>
      <c r="L224" s="16"/>
    </row>
    <row r="225" spans="2:12" ht="12.75" customHeight="1" x14ac:dyDescent="0.3">
      <c r="B225" s="16"/>
      <c r="C225" s="16"/>
      <c r="D225" s="16"/>
      <c r="E225" s="16"/>
      <c r="F225" s="16"/>
      <c r="G225" s="16"/>
      <c r="H225" s="16"/>
      <c r="I225" s="16"/>
      <c r="J225" s="16"/>
      <c r="K225" s="16"/>
      <c r="L225" s="16"/>
    </row>
  </sheetData>
  <phoneticPr fontId="6" type="noConversion"/>
  <printOptions verticalCentered="1"/>
  <pageMargins left="1" right="0.25" top="0" bottom="1" header="0.5" footer="0.5"/>
  <pageSetup paperSize="9" scale="17" fitToWidth="0" orientation="landscape" r:id="rId1"/>
  <headerFooter scaleWithDoc="0"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073D10CF232294D99C81816FF31A552" ma:contentTypeVersion="8" ma:contentTypeDescription="Een nieuw document maken." ma:contentTypeScope="" ma:versionID="97f388ba6c9df6d1b90ba8da936b9a71">
  <xsd:schema xmlns:xsd="http://www.w3.org/2001/XMLSchema" xmlns:xs="http://www.w3.org/2001/XMLSchema" xmlns:p="http://schemas.microsoft.com/office/2006/metadata/properties" xmlns:ns1="http://schemas.microsoft.com/sharepoint/v3" xmlns:ns2="feba0a3f-701e-48ef-9ed7-c4ddb3762335" targetNamespace="http://schemas.microsoft.com/office/2006/metadata/properties" ma:root="true" ma:fieldsID="995b2e06ee2d653c3ab022a668512f24" ns1:_="" ns2:_="">
    <xsd:import namespace="http://schemas.microsoft.com/sharepoint/v3"/>
    <xsd:import namespace="feba0a3f-701e-48ef-9ed7-c4ddb376233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Eigenschappen van het geïntegreerd beleid voor naleving" ma:hidden="true" ma:internalName="_ip_UnifiedCompliancePolicyProperties">
      <xsd:simpleType>
        <xsd:restriction base="dms:Note"/>
      </xsd:simpleType>
    </xsd:element>
    <xsd:element name="_ip_UnifiedCompliancePolicyUIAction" ma:index="13" nillable="true" ma:displayName="Actie van de gebruikersinterface van het geïntegreerd beleid voor naleving"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eba0a3f-701e-48ef-9ed7-c4ddb37623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02EFC8C-5DF8-4769-A3A1-BEBBE27C0C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eba0a3f-701e-48ef-9ed7-c4ddb37623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E688F55-3636-49B6-AA29-79B105F57E9F}">
  <ds:schemaRefs>
    <ds:schemaRef ds:uri="http://schemas.microsoft.com/sharepoint/v3/contenttype/forms"/>
  </ds:schemaRefs>
</ds:datastoreItem>
</file>

<file path=customXml/itemProps3.xml><?xml version="1.0" encoding="utf-8"?>
<ds:datastoreItem xmlns:ds="http://schemas.openxmlformats.org/officeDocument/2006/customXml" ds:itemID="{5DB3FBAE-4215-4E01-A181-0EF61E5CAC0F}">
  <ds:schemaRefs>
    <ds:schemaRef ds:uri="http://schemas.microsoft.com/office/infopath/2007/PartnerControls"/>
    <ds:schemaRef ds:uri="http://schemas.microsoft.com/office/2006/documentManagement/types"/>
    <ds:schemaRef ds:uri="http://purl.org/dc/elements/1.1/"/>
    <ds:schemaRef ds:uri="http://www.w3.org/XML/1998/namespace"/>
    <ds:schemaRef ds:uri="http://purl.org/dc/terms/"/>
    <ds:schemaRef ds:uri="http://purl.org/dc/dcmitype/"/>
    <ds:schemaRef ds:uri="http://schemas.openxmlformats.org/package/2006/metadata/core-properties"/>
    <ds:schemaRef ds:uri="feba0a3f-701e-48ef-9ed7-c4ddb3762335"/>
    <ds:schemaRef ds:uri="http://schemas.microsoft.com/office/2006/metadata/propertie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2828</vt:i4>
      </vt:variant>
    </vt:vector>
  </HeadingPairs>
  <TitlesOfParts>
    <vt:vector size="2842" baseType="lpstr">
      <vt:lpstr>version</vt:lpstr>
      <vt:lpstr>all species output</vt:lpstr>
      <vt:lpstr>nano micro output</vt:lpstr>
      <vt:lpstr>input</vt:lpstr>
      <vt:lpstr>regional</vt:lpstr>
      <vt:lpstr>continental</vt:lpstr>
      <vt:lpstr>global</vt:lpstr>
      <vt:lpstr>engine</vt:lpstr>
      <vt:lpstr>dynamicR</vt:lpstr>
      <vt:lpstr>substances</vt:lpstr>
      <vt:lpstr>scenarios</vt:lpstr>
      <vt:lpstr>cases</vt:lpstr>
      <vt:lpstr>formulas_only_conventional</vt:lpstr>
      <vt:lpstr>extra_ENP_mass_output</vt:lpstr>
      <vt:lpstr>_Sol25</vt:lpstr>
      <vt:lpstr>aA.tot</vt:lpstr>
      <vt:lpstr>aC.tot</vt:lpstr>
      <vt:lpstr>ADSORB.w1C.sd1C</vt:lpstr>
      <vt:lpstr>ADSORB.w1R.sd1R</vt:lpstr>
      <vt:lpstr>ADSORB.w2C.sd2C</vt:lpstr>
      <vt:lpstr>ADSORB.w2R.sd2R</vt:lpstr>
      <vt:lpstr>ADSORB.w3A.sdA</vt:lpstr>
      <vt:lpstr>ADSORB.w3M.sdM</vt:lpstr>
      <vt:lpstr>ADSORB.w3T.sdT</vt:lpstr>
      <vt:lpstr>ADSORBflow.w1R.sd1R</vt:lpstr>
      <vt:lpstr>ADSORBflow.w2R.sd2R</vt:lpstr>
      <vt:lpstr>ADSORBflow.w3M.sdM</vt:lpstr>
      <vt:lpstr>AEROresist.s1C</vt:lpstr>
      <vt:lpstr>AEROresist.s1R</vt:lpstr>
      <vt:lpstr>AEROresist.s2C</vt:lpstr>
      <vt:lpstr>AEROresist.s2R</vt:lpstr>
      <vt:lpstr>AEROresist.s3C</vt:lpstr>
      <vt:lpstr>AEROresist.s3R</vt:lpstr>
      <vt:lpstr>AEROresist.sA</vt:lpstr>
      <vt:lpstr>AEROresist.sM</vt:lpstr>
      <vt:lpstr>AEROresist.sT</vt:lpstr>
      <vt:lpstr>AEROresist.w0C</vt:lpstr>
      <vt:lpstr>AEROresist.w0R</vt:lpstr>
      <vt:lpstr>AEROresist.w1C</vt:lpstr>
      <vt:lpstr>AEROresist.w1R</vt:lpstr>
      <vt:lpstr>AEROresist.w2A</vt:lpstr>
      <vt:lpstr>AEROresist.w2C</vt:lpstr>
      <vt:lpstr>AEROresist.w2M</vt:lpstr>
      <vt:lpstr>AEROresist.w2R</vt:lpstr>
      <vt:lpstr>AEROresist.w2T</vt:lpstr>
      <vt:lpstr>AEROSOLdeprate.A</vt:lpstr>
      <vt:lpstr>AEROSOLdeprate.C</vt:lpstr>
      <vt:lpstr>AEROSOLdeprate.M</vt:lpstr>
      <vt:lpstr>AEROSOLdeprate.R</vt:lpstr>
      <vt:lpstr>AEROSOLdeprate.T</vt:lpstr>
      <vt:lpstr>AerosolWashout.A</vt:lpstr>
      <vt:lpstr>AerosolWashout.C</vt:lpstr>
      <vt:lpstr>AerosolWashout.M</vt:lpstr>
      <vt:lpstr>AerosolWashout.R</vt:lpstr>
      <vt:lpstr>AerosolWashout.T</vt:lpstr>
      <vt:lpstr>AHamakerSP.w</vt:lpstr>
      <vt:lpstr>aM.tot</vt:lpstr>
      <vt:lpstr>aR.tot</vt:lpstr>
      <vt:lpstr>AREAFRAC.s1C</vt:lpstr>
      <vt:lpstr>AREAFRAC.s1R</vt:lpstr>
      <vt:lpstr>AREAFRAC.s2C</vt:lpstr>
      <vt:lpstr>AREAFRAC.s2R</vt:lpstr>
      <vt:lpstr>AREAFRAC.s3C</vt:lpstr>
      <vt:lpstr>AREAFRAC.s3R</vt:lpstr>
      <vt:lpstr>AREAFRAC.sA</vt:lpstr>
      <vt:lpstr>AREAFRAC.sM</vt:lpstr>
      <vt:lpstr>AREAFRAC.sT</vt:lpstr>
      <vt:lpstr>AREAFRAC.w0C</vt:lpstr>
      <vt:lpstr>AREAFRAC.w0R</vt:lpstr>
      <vt:lpstr>AREAFRAC.w1C</vt:lpstr>
      <vt:lpstr>AREAFRAC.w1R</vt:lpstr>
      <vt:lpstr>AREAFRAC.w2C</vt:lpstr>
      <vt:lpstr>AREAFRAC.w2R</vt:lpstr>
      <vt:lpstr>AREAFRAC.wA</vt:lpstr>
      <vt:lpstr>AREAFRAC.wM</vt:lpstr>
      <vt:lpstr>AREAFRAC.wT</vt:lpstr>
      <vt:lpstr>AREAFRACveg.s1C</vt:lpstr>
      <vt:lpstr>AREAFRACveg.s1R</vt:lpstr>
      <vt:lpstr>AREAFRACveg.s2C</vt:lpstr>
      <vt:lpstr>AREAFRACveg.s2R</vt:lpstr>
      <vt:lpstr>AREAFRACveg.s3C</vt:lpstr>
      <vt:lpstr>AREAFRACveg.s3R</vt:lpstr>
      <vt:lpstr>AREAFRACveg.sA</vt:lpstr>
      <vt:lpstr>AREAFRACveg.sM</vt:lpstr>
      <vt:lpstr>AREAFRACveg.sT</vt:lpstr>
      <vt:lpstr>AREAland.C</vt:lpstr>
      <vt:lpstr>AREAland.R</vt:lpstr>
      <vt:lpstr>AREAsea.C</vt:lpstr>
      <vt:lpstr>AREAsea.R</vt:lpstr>
      <vt:lpstr>ASPDF.1dR</vt:lpstr>
      <vt:lpstr>ASPDF.s1C</vt:lpstr>
      <vt:lpstr>ASPDF.s1R</vt:lpstr>
      <vt:lpstr>ASPDF.s2C</vt:lpstr>
      <vt:lpstr>ASPDF.s2R</vt:lpstr>
      <vt:lpstr>ASPDF.s3C</vt:lpstr>
      <vt:lpstr>ASPDF.s3R</vt:lpstr>
      <vt:lpstr>ASPDF.sA</vt:lpstr>
      <vt:lpstr>ASPDF.sdA</vt:lpstr>
      <vt:lpstr>ASPDF.sdC</vt:lpstr>
      <vt:lpstr>ASPDF.sdM</vt:lpstr>
      <vt:lpstr>ASPDF.sdT</vt:lpstr>
      <vt:lpstr>ASPDF.sM</vt:lpstr>
      <vt:lpstr>ASPDF.sT</vt:lpstr>
      <vt:lpstr>aspectratioSFP.s1C</vt:lpstr>
      <vt:lpstr>aspectratioSFP.s1R</vt:lpstr>
      <vt:lpstr>aspectratioSFP.s2C</vt:lpstr>
      <vt:lpstr>aspectratioSFP.s2R</vt:lpstr>
      <vt:lpstr>aspectratioSFP.s3C</vt:lpstr>
      <vt:lpstr>aspectratioSFP.s3R</vt:lpstr>
      <vt:lpstr>aspectratioSFP.sA</vt:lpstr>
      <vt:lpstr>aspectratioSFP.sM</vt:lpstr>
      <vt:lpstr>aspectratioSFP.sT</vt:lpstr>
      <vt:lpstr>aspectratioSP.sdA</vt:lpstr>
      <vt:lpstr>aspectratioSP.sdC</vt:lpstr>
      <vt:lpstr>aspectratioSP.sdM</vt:lpstr>
      <vt:lpstr>aspectratioSP.sdR</vt:lpstr>
      <vt:lpstr>aspectratioSP.sdT</vt:lpstr>
      <vt:lpstr>aT.tot</vt:lpstr>
      <vt:lpstr>AtefSA.s1</vt:lpstr>
      <vt:lpstr>AtefSA.s2</vt:lpstr>
      <vt:lpstr>AtefSA.s3</vt:lpstr>
      <vt:lpstr>AtefSA.sd0</vt:lpstr>
      <vt:lpstr>AtefSA.sd1</vt:lpstr>
      <vt:lpstr>AtefSA.sd2</vt:lpstr>
      <vt:lpstr>AtefSA.w0</vt:lpstr>
      <vt:lpstr>AtefSA.w1</vt:lpstr>
      <vt:lpstr>AtefSA.w2</vt:lpstr>
      <vt:lpstr>AtefSA.w3</vt:lpstr>
      <vt:lpstr>AtefSP.s1</vt:lpstr>
      <vt:lpstr>AtefSP.s2</vt:lpstr>
      <vt:lpstr>AtefSP.s3</vt:lpstr>
      <vt:lpstr>AtefSP.sd0</vt:lpstr>
      <vt:lpstr>AtefSP.sd1</vt:lpstr>
      <vt:lpstr>AtefSP.sd2</vt:lpstr>
      <vt:lpstr>AtefSP.w0</vt:lpstr>
      <vt:lpstr>AtefSP.w1</vt:lpstr>
      <vt:lpstr>AtefSP.w2</vt:lpstr>
      <vt:lpstr>AtefSP.w3</vt:lpstr>
      <vt:lpstr>BACT.test</vt:lpstr>
      <vt:lpstr>BACT.w0C</vt:lpstr>
      <vt:lpstr>BACT.w0R</vt:lpstr>
      <vt:lpstr>BACT.w1C</vt:lpstr>
      <vt:lpstr>BACT.w1R</vt:lpstr>
      <vt:lpstr>BACT.w2A</vt:lpstr>
      <vt:lpstr>BACT.w2C</vt:lpstr>
      <vt:lpstr>BACT.w2M</vt:lpstr>
      <vt:lpstr>BACT.w2R</vt:lpstr>
      <vt:lpstr>BACT.w2T</vt:lpstr>
      <vt:lpstr>BACT.w3A</vt:lpstr>
      <vt:lpstr>BACT.w3M</vt:lpstr>
      <vt:lpstr>BACT.w3T</vt:lpstr>
      <vt:lpstr>bioavai.cutoff.diameter</vt:lpstr>
      <vt:lpstr>biodeg</vt:lpstr>
      <vt:lpstr>box_names</vt:lpstr>
      <vt:lpstr>C.aA</vt:lpstr>
      <vt:lpstr>C.aAA</vt:lpstr>
      <vt:lpstr>C.aAP</vt:lpstr>
      <vt:lpstr>C.aAS</vt:lpstr>
      <vt:lpstr>C.aC</vt:lpstr>
      <vt:lpstr>C.aCA</vt:lpstr>
      <vt:lpstr>C.aCP</vt:lpstr>
      <vt:lpstr>C.aCS</vt:lpstr>
      <vt:lpstr>C.aM</vt:lpstr>
      <vt:lpstr>C.aMA</vt:lpstr>
      <vt:lpstr>C.aMP</vt:lpstr>
      <vt:lpstr>C.aMS</vt:lpstr>
      <vt:lpstr>C.aR</vt:lpstr>
      <vt:lpstr>C.aRA</vt:lpstr>
      <vt:lpstr>C.aRG</vt:lpstr>
      <vt:lpstr>C.aRP</vt:lpstr>
      <vt:lpstr>C.aRS</vt:lpstr>
      <vt:lpstr>C.aT</vt:lpstr>
      <vt:lpstr>C.aTA</vt:lpstr>
      <vt:lpstr>C.aTP</vt:lpstr>
      <vt:lpstr>C.aTS</vt:lpstr>
      <vt:lpstr>C.cwAA</vt:lpstr>
      <vt:lpstr>C.cwAP</vt:lpstr>
      <vt:lpstr>C.cwAS</vt:lpstr>
      <vt:lpstr>C.cwCA</vt:lpstr>
      <vt:lpstr>C.cwCP</vt:lpstr>
      <vt:lpstr>C.cwCS</vt:lpstr>
      <vt:lpstr>C.cwMA</vt:lpstr>
      <vt:lpstr>C.cwMP</vt:lpstr>
      <vt:lpstr>C.cwMS</vt:lpstr>
      <vt:lpstr>C.cwRA</vt:lpstr>
      <vt:lpstr>C.cwRP</vt:lpstr>
      <vt:lpstr>C.cwRS</vt:lpstr>
      <vt:lpstr>C.cwTA</vt:lpstr>
      <vt:lpstr>C.cwTP</vt:lpstr>
      <vt:lpstr>C.cwTS</vt:lpstr>
      <vt:lpstr>C.OHrad</vt:lpstr>
      <vt:lpstr>C.OHrad.aA</vt:lpstr>
      <vt:lpstr>C.OHrad.aC</vt:lpstr>
      <vt:lpstr>C.OHrad.aM</vt:lpstr>
      <vt:lpstr>C.OHrad.aR</vt:lpstr>
      <vt:lpstr>C.OHrad.aT</vt:lpstr>
      <vt:lpstr>C.s1C</vt:lpstr>
      <vt:lpstr>C.s1CA</vt:lpstr>
      <vt:lpstr>C.s1CP</vt:lpstr>
      <vt:lpstr>C.s1CS</vt:lpstr>
      <vt:lpstr>C.s1R</vt:lpstr>
      <vt:lpstr>C.s1RA</vt:lpstr>
      <vt:lpstr>C.s1RP</vt:lpstr>
      <vt:lpstr>C.s1RS</vt:lpstr>
      <vt:lpstr>C.s2C</vt:lpstr>
      <vt:lpstr>C.s2CA</vt:lpstr>
      <vt:lpstr>C.s2CP</vt:lpstr>
      <vt:lpstr>C.s2CS</vt:lpstr>
      <vt:lpstr>C.s2R</vt:lpstr>
      <vt:lpstr>C.s2RA</vt:lpstr>
      <vt:lpstr>C.s2RP</vt:lpstr>
      <vt:lpstr>C.s2RS</vt:lpstr>
      <vt:lpstr>C.s3C</vt:lpstr>
      <vt:lpstr>C.s3CA</vt:lpstr>
      <vt:lpstr>C.s3CP</vt:lpstr>
      <vt:lpstr>C.s3CS</vt:lpstr>
      <vt:lpstr>C.s3R</vt:lpstr>
      <vt:lpstr>C.s3RA</vt:lpstr>
      <vt:lpstr>C.s3RP</vt:lpstr>
      <vt:lpstr>C.s3RS</vt:lpstr>
      <vt:lpstr>C.sA</vt:lpstr>
      <vt:lpstr>C.sAA</vt:lpstr>
      <vt:lpstr>C.sAP</vt:lpstr>
      <vt:lpstr>C.sAS</vt:lpstr>
      <vt:lpstr>C.sd0CA</vt:lpstr>
      <vt:lpstr>C.sd0CD</vt:lpstr>
      <vt:lpstr>C.sd0CP</vt:lpstr>
      <vt:lpstr>C.sd0CS</vt:lpstr>
      <vt:lpstr>C.sd0RA</vt:lpstr>
      <vt:lpstr>C.sd0RD</vt:lpstr>
      <vt:lpstr>C.sd0RP</vt:lpstr>
      <vt:lpstr>C.sd0RS</vt:lpstr>
      <vt:lpstr>C.sd1C</vt:lpstr>
      <vt:lpstr>C.sd1CA</vt:lpstr>
      <vt:lpstr>C.sd1CP</vt:lpstr>
      <vt:lpstr>C.sd1CS</vt:lpstr>
      <vt:lpstr>C.sd1R</vt:lpstr>
      <vt:lpstr>C.sd1RA</vt:lpstr>
      <vt:lpstr>C.sd1RP</vt:lpstr>
      <vt:lpstr>C.sd1RS</vt:lpstr>
      <vt:lpstr>C.sd2C</vt:lpstr>
      <vt:lpstr>C.sd2CA</vt:lpstr>
      <vt:lpstr>C.sd2CP</vt:lpstr>
      <vt:lpstr>C.sd2CS</vt:lpstr>
      <vt:lpstr>C.sd2R</vt:lpstr>
      <vt:lpstr>C.sd2RA</vt:lpstr>
      <vt:lpstr>C.sd2RP</vt:lpstr>
      <vt:lpstr>C.sd2RS</vt:lpstr>
      <vt:lpstr>C.sdA</vt:lpstr>
      <vt:lpstr>C.sdAA</vt:lpstr>
      <vt:lpstr>C.sdAP</vt:lpstr>
      <vt:lpstr>C.sdAS</vt:lpstr>
      <vt:lpstr>C.sdM</vt:lpstr>
      <vt:lpstr>C.sdMA</vt:lpstr>
      <vt:lpstr>C.sdMP</vt:lpstr>
      <vt:lpstr>C.sdMS</vt:lpstr>
      <vt:lpstr>C.sdT</vt:lpstr>
      <vt:lpstr>C.sdTA</vt:lpstr>
      <vt:lpstr>C.sdTP</vt:lpstr>
      <vt:lpstr>C.sdTS</vt:lpstr>
      <vt:lpstr>C.sM</vt:lpstr>
      <vt:lpstr>C.sMA</vt:lpstr>
      <vt:lpstr>C.sMP</vt:lpstr>
      <vt:lpstr>C.sMS</vt:lpstr>
      <vt:lpstr>C.sT</vt:lpstr>
      <vt:lpstr>C.sTA</vt:lpstr>
      <vt:lpstr>C.sTP</vt:lpstr>
      <vt:lpstr>C.sTS</vt:lpstr>
      <vt:lpstr>C.w0C</vt:lpstr>
      <vt:lpstr>C.w0CA</vt:lpstr>
      <vt:lpstr>C.w0CP</vt:lpstr>
      <vt:lpstr>C.w0CS</vt:lpstr>
      <vt:lpstr>C.w0R</vt:lpstr>
      <vt:lpstr>C.w0RA</vt:lpstr>
      <vt:lpstr>C.w0RP</vt:lpstr>
      <vt:lpstr>C.w0RS</vt:lpstr>
      <vt:lpstr>C.w1C</vt:lpstr>
      <vt:lpstr>C.w1CA</vt:lpstr>
      <vt:lpstr>C.w1CP</vt:lpstr>
      <vt:lpstr>C.w1CS</vt:lpstr>
      <vt:lpstr>C.w1R</vt:lpstr>
      <vt:lpstr>C.w1RA</vt:lpstr>
      <vt:lpstr>C.w1RP</vt:lpstr>
      <vt:lpstr>C.w1RS</vt:lpstr>
      <vt:lpstr>C.w2A</vt:lpstr>
      <vt:lpstr>C.w2AA</vt:lpstr>
      <vt:lpstr>C.w2AP</vt:lpstr>
      <vt:lpstr>C.w2AS</vt:lpstr>
      <vt:lpstr>C.w2C</vt:lpstr>
      <vt:lpstr>C.w2CA</vt:lpstr>
      <vt:lpstr>C.w2CP</vt:lpstr>
      <vt:lpstr>C.w2CS</vt:lpstr>
      <vt:lpstr>C.w2M</vt:lpstr>
      <vt:lpstr>C.w2MA</vt:lpstr>
      <vt:lpstr>C.w2MP</vt:lpstr>
      <vt:lpstr>C.w2MS</vt:lpstr>
      <vt:lpstr>C.w2R</vt:lpstr>
      <vt:lpstr>C.w2RA</vt:lpstr>
      <vt:lpstr>C.w2RP</vt:lpstr>
      <vt:lpstr>C.w2RS</vt:lpstr>
      <vt:lpstr>C.w2T</vt:lpstr>
      <vt:lpstr>C.w2TA</vt:lpstr>
      <vt:lpstr>C.w2TP</vt:lpstr>
      <vt:lpstr>C.w2TS</vt:lpstr>
      <vt:lpstr>C.w3A</vt:lpstr>
      <vt:lpstr>C.w3AA</vt:lpstr>
      <vt:lpstr>C.w3AP</vt:lpstr>
      <vt:lpstr>C.w3AS</vt:lpstr>
      <vt:lpstr>C.w3M</vt:lpstr>
      <vt:lpstr>C.w3MA</vt:lpstr>
      <vt:lpstr>C.w3MP</vt:lpstr>
      <vt:lpstr>C.w3MS</vt:lpstr>
      <vt:lpstr>C.w3T</vt:lpstr>
      <vt:lpstr>C.w3TA</vt:lpstr>
      <vt:lpstr>C.w3TP</vt:lpstr>
      <vt:lpstr>C.w3TS</vt:lpstr>
      <vt:lpstr>CaseData</vt:lpstr>
      <vt:lpstr>CaseName</vt:lpstr>
      <vt:lpstr>CaseNames</vt:lpstr>
      <vt:lpstr>ChemClass</vt:lpstr>
      <vt:lpstr>ChemClasses</vt:lpstr>
      <vt:lpstr>ChemData</vt:lpstr>
      <vt:lpstr>ChemName</vt:lpstr>
      <vt:lpstr>ChemNames</vt:lpstr>
      <vt:lpstr>ChemRowNr</vt:lpstr>
      <vt:lpstr>COL.w0C</vt:lpstr>
      <vt:lpstr>COL.w0R</vt:lpstr>
      <vt:lpstr>COL.w1C</vt:lpstr>
      <vt:lpstr>COL.w1R</vt:lpstr>
      <vt:lpstr>COL.w2A</vt:lpstr>
      <vt:lpstr>COL.w2C</vt:lpstr>
      <vt:lpstr>COL.w2M</vt:lpstr>
      <vt:lpstr>COL.w2R</vt:lpstr>
      <vt:lpstr>COL.w2T</vt:lpstr>
      <vt:lpstr>COL.w3A</vt:lpstr>
      <vt:lpstr>COL.w3M</vt:lpstr>
      <vt:lpstr>COL.w3T</vt:lpstr>
      <vt:lpstr>COLLECTeff.A</vt:lpstr>
      <vt:lpstr>COLLECTeff.C</vt:lpstr>
      <vt:lpstr>COLLECTeff.M</vt:lpstr>
      <vt:lpstr>COLLECTeff.R</vt:lpstr>
      <vt:lpstr>COLLECTeff.T</vt:lpstr>
      <vt:lpstr>concentration</vt:lpstr>
      <vt:lpstr>CORG</vt:lpstr>
      <vt:lpstr>CORG.aers</vt:lpstr>
      <vt:lpstr>CORG.s1C</vt:lpstr>
      <vt:lpstr>CORG.s1R</vt:lpstr>
      <vt:lpstr>CORG.s2C</vt:lpstr>
      <vt:lpstr>CORG.s2R</vt:lpstr>
      <vt:lpstr>CORG.s3C</vt:lpstr>
      <vt:lpstr>CORG.s3R</vt:lpstr>
      <vt:lpstr>CORG.sA</vt:lpstr>
      <vt:lpstr>CORG.sd0C</vt:lpstr>
      <vt:lpstr>CORG.sd0R</vt:lpstr>
      <vt:lpstr>CORG.sd1C</vt:lpstr>
      <vt:lpstr>CORG.sd1R</vt:lpstr>
      <vt:lpstr>CORG.sd2C</vt:lpstr>
      <vt:lpstr>CORG.sd2R</vt:lpstr>
      <vt:lpstr>CORG.sdA</vt:lpstr>
      <vt:lpstr>CORG.sdM</vt:lpstr>
      <vt:lpstr>CORG.sdT</vt:lpstr>
      <vt:lpstr>CORG.sM</vt:lpstr>
      <vt:lpstr>CORG.sT</vt:lpstr>
      <vt:lpstr>CORG.susp0C</vt:lpstr>
      <vt:lpstr>CORG.susp0R</vt:lpstr>
      <vt:lpstr>CORG.susp1C</vt:lpstr>
      <vt:lpstr>CORG.susp1R</vt:lpstr>
      <vt:lpstr>CORG.susp2A</vt:lpstr>
      <vt:lpstr>CORG.susp2C</vt:lpstr>
      <vt:lpstr>CORG.susp2M</vt:lpstr>
      <vt:lpstr>CORG.susp2R</vt:lpstr>
      <vt:lpstr>CORG.susp2T</vt:lpstr>
      <vt:lpstr>CORG.susp3A</vt:lpstr>
      <vt:lpstr>CORG.susp3M</vt:lpstr>
      <vt:lpstr>CORG.susp3T</vt:lpstr>
      <vt:lpstr>CORGaer</vt:lpstr>
      <vt:lpstr>CORGaers</vt:lpstr>
      <vt:lpstr>CORR.leach.s1C</vt:lpstr>
      <vt:lpstr>CORRleach.s1C</vt:lpstr>
      <vt:lpstr>CORRleach.s1R</vt:lpstr>
      <vt:lpstr>CORRleach.s2C</vt:lpstr>
      <vt:lpstr>CORRleach.s2R</vt:lpstr>
      <vt:lpstr>CORRleach.s3C</vt:lpstr>
      <vt:lpstr>CORRleach.s3R</vt:lpstr>
      <vt:lpstr>CORRleach.sA</vt:lpstr>
      <vt:lpstr>CORRleach.sM</vt:lpstr>
      <vt:lpstr>CORRleach.sT</vt:lpstr>
      <vt:lpstr>CORRrunoff.s1C</vt:lpstr>
      <vt:lpstr>CORRrunoff.s1R</vt:lpstr>
      <vt:lpstr>CORRrunoff.s2C</vt:lpstr>
      <vt:lpstr>CORRrunoff.s2R</vt:lpstr>
      <vt:lpstr>CORRrunoff.s3C</vt:lpstr>
      <vt:lpstr>CORRrunoff.s3R</vt:lpstr>
      <vt:lpstr>CORRrunoff.sA</vt:lpstr>
      <vt:lpstr>CORRrunoff.sM</vt:lpstr>
      <vt:lpstr>CORRrunoff.sT</vt:lpstr>
      <vt:lpstr>CORRvolat.s1C</vt:lpstr>
      <vt:lpstr>CORRvolat.s1R</vt:lpstr>
      <vt:lpstr>CORRvolat.s2C</vt:lpstr>
      <vt:lpstr>CORRvolat.s2R</vt:lpstr>
      <vt:lpstr>CORRvolat.s3C</vt:lpstr>
      <vt:lpstr>CORRvolat.s3R</vt:lpstr>
      <vt:lpstr>CORRvolat.sA</vt:lpstr>
      <vt:lpstr>CORRvolat.sM</vt:lpstr>
      <vt:lpstr>CORRvolat.sT</vt:lpstr>
      <vt:lpstr>CritStokesNumb.cwA</vt:lpstr>
      <vt:lpstr>CritStokesNumb.cwC</vt:lpstr>
      <vt:lpstr>CritStokesNumb.cwM</vt:lpstr>
      <vt:lpstr>CritStokesNumb.cwR</vt:lpstr>
      <vt:lpstr>CritStokesNumb.cwT</vt:lpstr>
      <vt:lpstr>CunninghaA.cwA</vt:lpstr>
      <vt:lpstr>CunninghaAA.aA</vt:lpstr>
      <vt:lpstr>Cunningham.cwA</vt:lpstr>
      <vt:lpstr>Cunningham.cwC</vt:lpstr>
      <vt:lpstr>Cunningham.cwM</vt:lpstr>
      <vt:lpstr>Cunningham.cwR</vt:lpstr>
      <vt:lpstr>Cunningham.cwT</vt:lpstr>
      <vt:lpstr>CunninghamA.aA</vt:lpstr>
      <vt:lpstr>CunninghamA.aC</vt:lpstr>
      <vt:lpstr>CunninghamA.aM</vt:lpstr>
      <vt:lpstr>CunninghamA.aR</vt:lpstr>
      <vt:lpstr>CunninghamA.aT</vt:lpstr>
      <vt:lpstr>CunninghamP.a</vt:lpstr>
      <vt:lpstr>CunninghamS</vt:lpstr>
      <vt:lpstr>D</vt:lpstr>
      <vt:lpstr>DEPTH.s1C</vt:lpstr>
      <vt:lpstr>DEPTH.s1R</vt:lpstr>
      <vt:lpstr>DEPTH.s2C</vt:lpstr>
      <vt:lpstr>DEPTH.s2R</vt:lpstr>
      <vt:lpstr>DEPTH.s3C</vt:lpstr>
      <vt:lpstr>DEPTH.s3R</vt:lpstr>
      <vt:lpstr>DEPTH.sA</vt:lpstr>
      <vt:lpstr>DEPTH.sd0C</vt:lpstr>
      <vt:lpstr>DEPTH.sd0R</vt:lpstr>
      <vt:lpstr>DEPTH.sd1C</vt:lpstr>
      <vt:lpstr>DEPTH.sd1R</vt:lpstr>
      <vt:lpstr>DEPTH.sd2C</vt:lpstr>
      <vt:lpstr>DEPTH.sd2R</vt:lpstr>
      <vt:lpstr>DEPTH.sdA</vt:lpstr>
      <vt:lpstr>DEPTH.sdM</vt:lpstr>
      <vt:lpstr>DEPTH.sdT</vt:lpstr>
      <vt:lpstr>DEPTH.sM</vt:lpstr>
      <vt:lpstr>DEPTH.sT</vt:lpstr>
      <vt:lpstr>DEPTH.w0C</vt:lpstr>
      <vt:lpstr>DEPTH.w0R</vt:lpstr>
      <vt:lpstr>DEPTH.w1C</vt:lpstr>
      <vt:lpstr>DEPTH.w1R</vt:lpstr>
      <vt:lpstr>DEPTH.w2A</vt:lpstr>
      <vt:lpstr>DEPTH.w2C</vt:lpstr>
      <vt:lpstr>DEPTH.w2M</vt:lpstr>
      <vt:lpstr>DEPTH.w2R</vt:lpstr>
      <vt:lpstr>DEPTH.w2T</vt:lpstr>
      <vt:lpstr>DEPTH.w3A</vt:lpstr>
      <vt:lpstr>DEPTH.w3M</vt:lpstr>
      <vt:lpstr>DEPTH.w3T</vt:lpstr>
      <vt:lpstr>DEPTHfreshwater.C</vt:lpstr>
      <vt:lpstr>DEPTHfreshwater.R</vt:lpstr>
      <vt:lpstr>DEPTHlake.C</vt:lpstr>
      <vt:lpstr>DEPTHlake.R</vt:lpstr>
      <vt:lpstr>DEPTHlakewater.C</vt:lpstr>
      <vt:lpstr>DEPTHlakewater.R</vt:lpstr>
      <vt:lpstr>DEPvelocity.aAA.sAA</vt:lpstr>
      <vt:lpstr>DEPvelocity.aAA.w2AA</vt:lpstr>
      <vt:lpstr>DEPvelocity.aAS.sAS</vt:lpstr>
      <vt:lpstr>DEPvelocity.aAS.w2AS</vt:lpstr>
      <vt:lpstr>DEPvelocity.aCA.s1CA</vt:lpstr>
      <vt:lpstr>DEPvelocity.aCA.s2CA</vt:lpstr>
      <vt:lpstr>DEPvelocity.aCA.s3CA</vt:lpstr>
      <vt:lpstr>DEPvelocity.aCA.w0CA</vt:lpstr>
      <vt:lpstr>DEPvelocity.aCA.w1CA</vt:lpstr>
      <vt:lpstr>DEPvelocity.aCA.w2CA</vt:lpstr>
      <vt:lpstr>DEPvelocity.aCS.s1CS</vt:lpstr>
      <vt:lpstr>DEPvelocity.aCS.s2CS</vt:lpstr>
      <vt:lpstr>DEPvelocity.aCS.s3CS</vt:lpstr>
      <vt:lpstr>DEPvelocity.aCS.w0CS</vt:lpstr>
      <vt:lpstr>DEPvelocity.aCS.w1CS</vt:lpstr>
      <vt:lpstr>DEPvelocity.aCS.w2CS</vt:lpstr>
      <vt:lpstr>DEPvelocity.aMA.sMA</vt:lpstr>
      <vt:lpstr>DEPvelocity.aMA.w2MA</vt:lpstr>
      <vt:lpstr>DEPvelocity.aMS.sMS</vt:lpstr>
      <vt:lpstr>DEPvelocity.aMS.w2MS</vt:lpstr>
      <vt:lpstr>DEPvelocity.aRA.s1RA</vt:lpstr>
      <vt:lpstr>DEPvelocity.aRA.s2RA</vt:lpstr>
      <vt:lpstr>DEPvelocity.aRA.s3RA</vt:lpstr>
      <vt:lpstr>DEPvelocity.aRA.w0RA</vt:lpstr>
      <vt:lpstr>DEPvelocity.aRA.w1RA</vt:lpstr>
      <vt:lpstr>DEPvelocity.aRA.w2RA</vt:lpstr>
      <vt:lpstr>DEPvelocity.aRS.s1RS</vt:lpstr>
      <vt:lpstr>DEPvelocity.aRS.s2RS</vt:lpstr>
      <vt:lpstr>DEPvelocity.aRS.s3RS</vt:lpstr>
      <vt:lpstr>DEPvelocity.aRS.w0RS</vt:lpstr>
      <vt:lpstr>DEPvelocity.aRS.w1RS</vt:lpstr>
      <vt:lpstr>DEPvelocity.aRS.w2RS</vt:lpstr>
      <vt:lpstr>DEPvelocity.aTA.sTA</vt:lpstr>
      <vt:lpstr>DEPvelocity.aTA.w2TA</vt:lpstr>
      <vt:lpstr>DEPvelocity.aTS.sTS</vt:lpstr>
      <vt:lpstr>DEPvelocity.aTS.w2TS</vt:lpstr>
      <vt:lpstr>DESORB.sd1C.w1C</vt:lpstr>
      <vt:lpstr>DESORB.sd1R.w1R</vt:lpstr>
      <vt:lpstr>DESORB.sd2C.w2C</vt:lpstr>
      <vt:lpstr>DESORB.sd2R.w2R</vt:lpstr>
      <vt:lpstr>DESORB.sdA.w3A</vt:lpstr>
      <vt:lpstr>DESORB.sdM.w3M</vt:lpstr>
      <vt:lpstr>DESORB.sdT.w3T</vt:lpstr>
      <vt:lpstr>DESORBflow.sd1R.w1R</vt:lpstr>
      <vt:lpstr>DESORBflow.sd2R.w2R</vt:lpstr>
      <vt:lpstr>DESORBflow.sdM.w3M</vt:lpstr>
      <vt:lpstr>DiffA.aA</vt:lpstr>
      <vt:lpstr>DiffA.aC</vt:lpstr>
      <vt:lpstr>DiffA.aM</vt:lpstr>
      <vt:lpstr>DiffA.aR</vt:lpstr>
      <vt:lpstr>DiffA.aT</vt:lpstr>
      <vt:lpstr>DiffAcc.aA</vt:lpstr>
      <vt:lpstr>DiffAcc.aC</vt:lpstr>
      <vt:lpstr>DiffAcc.aM</vt:lpstr>
      <vt:lpstr>DiffAcc.aR</vt:lpstr>
      <vt:lpstr>DiffAcc.aT</vt:lpstr>
      <vt:lpstr>DiffCP.aA</vt:lpstr>
      <vt:lpstr>DiffCP.aC</vt:lpstr>
      <vt:lpstr>DiffCP.aM</vt:lpstr>
      <vt:lpstr>DiffCP.aR</vt:lpstr>
      <vt:lpstr>DiffCP.aT</vt:lpstr>
      <vt:lpstr>DIFFgas</vt:lpstr>
      <vt:lpstr>DiffNuc.aA</vt:lpstr>
      <vt:lpstr>DiffNuc.aC</vt:lpstr>
      <vt:lpstr>DiffNuc.aM</vt:lpstr>
      <vt:lpstr>DiffNuc.aR</vt:lpstr>
      <vt:lpstr>DiffNuc.aT</vt:lpstr>
      <vt:lpstr>DiffS.aA</vt:lpstr>
      <vt:lpstr>DiffS.aC</vt:lpstr>
      <vt:lpstr>DiffS.aM</vt:lpstr>
      <vt:lpstr>DiffS.aR</vt:lpstr>
      <vt:lpstr>DiffS.aT</vt:lpstr>
      <vt:lpstr>DiffS.wA</vt:lpstr>
      <vt:lpstr>DiffS.wC</vt:lpstr>
      <vt:lpstr>DiffS.wM</vt:lpstr>
      <vt:lpstr>DiffS.wR</vt:lpstr>
      <vt:lpstr>DiffS.wT</vt:lpstr>
      <vt:lpstr>DIFFwater</vt:lpstr>
      <vt:lpstr>DRYDEPaerosol.A</vt:lpstr>
      <vt:lpstr>DRYDEPaerosol.C</vt:lpstr>
      <vt:lpstr>DRYDEPaerosol.M</vt:lpstr>
      <vt:lpstr>DRYDEPaerosol.R</vt:lpstr>
      <vt:lpstr>DRYDEPaerosol.T</vt:lpstr>
      <vt:lpstr>Dyn_m0</vt:lpstr>
      <vt:lpstr>dynR_mantime</vt:lpstr>
      <vt:lpstr>DYNVISC.a</vt:lpstr>
      <vt:lpstr>DYNVISC.w</vt:lpstr>
      <vt:lpstr>E.aAG</vt:lpstr>
      <vt:lpstr>E.aAS</vt:lpstr>
      <vt:lpstr>E.aCG</vt:lpstr>
      <vt:lpstr>E.aCS</vt:lpstr>
      <vt:lpstr>E.aMG</vt:lpstr>
      <vt:lpstr>E.aMS</vt:lpstr>
      <vt:lpstr>E.aRG</vt:lpstr>
      <vt:lpstr>E.aRS</vt:lpstr>
      <vt:lpstr>E.aTG</vt:lpstr>
      <vt:lpstr>E.aTS</vt:lpstr>
      <vt:lpstr>E.s1CD</vt:lpstr>
      <vt:lpstr>E.s1CS</vt:lpstr>
      <vt:lpstr>E.s1RD</vt:lpstr>
      <vt:lpstr>E.s1RS</vt:lpstr>
      <vt:lpstr>E.s2CD</vt:lpstr>
      <vt:lpstr>E.s2CS</vt:lpstr>
      <vt:lpstr>E.s2RD</vt:lpstr>
      <vt:lpstr>E.s2RS</vt:lpstr>
      <vt:lpstr>E.s3CD</vt:lpstr>
      <vt:lpstr>E.s3CS</vt:lpstr>
      <vt:lpstr>E.s3RD</vt:lpstr>
      <vt:lpstr>E.s3RS</vt:lpstr>
      <vt:lpstr>E.sAD</vt:lpstr>
      <vt:lpstr>E.sAS</vt:lpstr>
      <vt:lpstr>E.sMD</vt:lpstr>
      <vt:lpstr>E.sMS</vt:lpstr>
      <vt:lpstr>E.sTD</vt:lpstr>
      <vt:lpstr>E.sTS</vt:lpstr>
      <vt:lpstr>E.w0CD</vt:lpstr>
      <vt:lpstr>E.w0CS</vt:lpstr>
      <vt:lpstr>E.w0RD</vt:lpstr>
      <vt:lpstr>E.w0RS</vt:lpstr>
      <vt:lpstr>E.w1CD</vt:lpstr>
      <vt:lpstr>E.w1CS</vt:lpstr>
      <vt:lpstr>E.w1RD</vt:lpstr>
      <vt:lpstr>E.w1RS</vt:lpstr>
      <vt:lpstr>E.w2AD</vt:lpstr>
      <vt:lpstr>E.w2AS</vt:lpstr>
      <vt:lpstr>E.w2CD</vt:lpstr>
      <vt:lpstr>E.w2CS</vt:lpstr>
      <vt:lpstr>E.w2MD</vt:lpstr>
      <vt:lpstr>E.w2MS</vt:lpstr>
      <vt:lpstr>E.w2RD</vt:lpstr>
      <vt:lpstr>E.w2RS</vt:lpstr>
      <vt:lpstr>E.w2TD</vt:lpstr>
      <vt:lpstr>E.w2TS</vt:lpstr>
      <vt:lpstr>Ea.OHrad</vt:lpstr>
      <vt:lpstr>emis</vt:lpstr>
      <vt:lpstr>emis.I</vt:lpstr>
      <vt:lpstr>emis.II</vt:lpstr>
      <vt:lpstr>Emis.tot</vt:lpstr>
      <vt:lpstr>EROSION.C</vt:lpstr>
      <vt:lpstr>EROSION.R</vt:lpstr>
      <vt:lpstr>EROSION.s1C</vt:lpstr>
      <vt:lpstr>EROSION.s1R</vt:lpstr>
      <vt:lpstr>EROSION.s2C</vt:lpstr>
      <vt:lpstr>EROSION.s2R</vt:lpstr>
      <vt:lpstr>EROSION.s3C</vt:lpstr>
      <vt:lpstr>EROSION.s3R</vt:lpstr>
      <vt:lpstr>EROSION.sA</vt:lpstr>
      <vt:lpstr>EROSION.sM</vt:lpstr>
      <vt:lpstr>EROSION.sT</vt:lpstr>
      <vt:lpstr>F.aA</vt:lpstr>
      <vt:lpstr>F.aC</vt:lpstr>
      <vt:lpstr>F.aM</vt:lpstr>
      <vt:lpstr>F.aR</vt:lpstr>
      <vt:lpstr>F.aT</vt:lpstr>
      <vt:lpstr>F.s1C</vt:lpstr>
      <vt:lpstr>F.s1R</vt:lpstr>
      <vt:lpstr>F.s2C</vt:lpstr>
      <vt:lpstr>F.s2R</vt:lpstr>
      <vt:lpstr>F.s3C</vt:lpstr>
      <vt:lpstr>F.s3R</vt:lpstr>
      <vt:lpstr>F.sA</vt:lpstr>
      <vt:lpstr>F.sd1C</vt:lpstr>
      <vt:lpstr>F.sd1R</vt:lpstr>
      <vt:lpstr>F.sd2C</vt:lpstr>
      <vt:lpstr>F.sd2R</vt:lpstr>
      <vt:lpstr>F.sdA</vt:lpstr>
      <vt:lpstr>F.sdM</vt:lpstr>
      <vt:lpstr>F.sdT</vt:lpstr>
      <vt:lpstr>F.sM</vt:lpstr>
      <vt:lpstr>F.sT</vt:lpstr>
      <vt:lpstr>F.w0C</vt:lpstr>
      <vt:lpstr>F.w0R</vt:lpstr>
      <vt:lpstr>F.w1C</vt:lpstr>
      <vt:lpstr>F.w1R</vt:lpstr>
      <vt:lpstr>F.w2A</vt:lpstr>
      <vt:lpstr>F.w2C</vt:lpstr>
      <vt:lpstr>F.w2M</vt:lpstr>
      <vt:lpstr>F.w2R</vt:lpstr>
      <vt:lpstr>F.w2T</vt:lpstr>
      <vt:lpstr>F.w3A</vt:lpstr>
      <vt:lpstr>F.w3M</vt:lpstr>
      <vt:lpstr>F.w3T</vt:lpstr>
      <vt:lpstr>fBrown.aAA.cwAA</vt:lpstr>
      <vt:lpstr>fBrown.aAA.sAA</vt:lpstr>
      <vt:lpstr>fBrown.aAA.w</vt:lpstr>
      <vt:lpstr>fBrown.aAS.cwAS</vt:lpstr>
      <vt:lpstr>fBrown.aAS.sAS</vt:lpstr>
      <vt:lpstr>fBrown.aAS.w</vt:lpstr>
      <vt:lpstr>fBrown.aCA.cwCA</vt:lpstr>
      <vt:lpstr>fBrown.aCA.s1CA</vt:lpstr>
      <vt:lpstr>fBrown.aCA.s2CA</vt:lpstr>
      <vt:lpstr>fBrown.aCA.s3CA</vt:lpstr>
      <vt:lpstr>fBrown.aCA.w</vt:lpstr>
      <vt:lpstr>fBrown.aCS.cwCS</vt:lpstr>
      <vt:lpstr>fBrown.aCS.s1CS</vt:lpstr>
      <vt:lpstr>fBrown.aCS.s2CS</vt:lpstr>
      <vt:lpstr>fBrown.aCS.s3CS</vt:lpstr>
      <vt:lpstr>fBrown.aCS.w</vt:lpstr>
      <vt:lpstr>fBrown.aMA.cwMA</vt:lpstr>
      <vt:lpstr>fBrown.aMA.sMA</vt:lpstr>
      <vt:lpstr>fBrown.aMA.w</vt:lpstr>
      <vt:lpstr>fBrown.aMS.cwMS</vt:lpstr>
      <vt:lpstr>fBrown.aMS.sMS</vt:lpstr>
      <vt:lpstr>fBrown.aMS.w</vt:lpstr>
      <vt:lpstr>fBrown.aRA.cwRA</vt:lpstr>
      <vt:lpstr>fBrown.aRA.s1RA</vt:lpstr>
      <vt:lpstr>fBrown.aRA.s2RA</vt:lpstr>
      <vt:lpstr>fBrown.aRA.s3RA</vt:lpstr>
      <vt:lpstr>fBrown.aRA.w</vt:lpstr>
      <vt:lpstr>fBrown.aRS.cwRS</vt:lpstr>
      <vt:lpstr>fBrown.aRS.s1RS</vt:lpstr>
      <vt:lpstr>fBrown.aRS.s2RS</vt:lpstr>
      <vt:lpstr>fBrown.aRS.s3RS</vt:lpstr>
      <vt:lpstr>fBrown.aRS.w</vt:lpstr>
      <vt:lpstr>fBrown.aTA.cwTA</vt:lpstr>
      <vt:lpstr>fBrown.aTA.sTA</vt:lpstr>
      <vt:lpstr>fBrown.ATA.w</vt:lpstr>
      <vt:lpstr>fBrown.aTA.w2TA</vt:lpstr>
      <vt:lpstr>fBrown.aTS.cwTS</vt:lpstr>
      <vt:lpstr>fBrown.aTS.sTS</vt:lpstr>
      <vt:lpstr>fBrown.ATS.w</vt:lpstr>
      <vt:lpstr>fBrown.aTS.w2TS</vt:lpstr>
      <vt:lpstr>fBrownSFP.s1C</vt:lpstr>
      <vt:lpstr>fBrownSFP.s1R</vt:lpstr>
      <vt:lpstr>fBrownSFP.s2C</vt:lpstr>
      <vt:lpstr>fBrownSFP.s2R</vt:lpstr>
      <vt:lpstr>fBrownSFP.s3C</vt:lpstr>
      <vt:lpstr>fBrownSFP.s3R</vt:lpstr>
      <vt:lpstr>fBrownSFP.sA</vt:lpstr>
      <vt:lpstr>fBrownSFP.sM</vt:lpstr>
      <vt:lpstr>fBrownSFP.sT</vt:lpstr>
      <vt:lpstr>fBrownSNC.sA</vt:lpstr>
      <vt:lpstr>fBrownSNC.sC</vt:lpstr>
      <vt:lpstr>fBrownSNC.sdA</vt:lpstr>
      <vt:lpstr>fBrownSNC.sdC</vt:lpstr>
      <vt:lpstr>fBrownSNC.sdM</vt:lpstr>
      <vt:lpstr>fBrownSNC.sdR</vt:lpstr>
      <vt:lpstr>fBrownSNC.sdT</vt:lpstr>
      <vt:lpstr>fBrownSNC.sM</vt:lpstr>
      <vt:lpstr>fBrownSNC.sR</vt:lpstr>
      <vt:lpstr>fBrownSNC.sT</vt:lpstr>
      <vt:lpstr>fBrownSNC.wA</vt:lpstr>
      <vt:lpstr>fBrownSNC.wC</vt:lpstr>
      <vt:lpstr>fBrownSNC.wM</vt:lpstr>
      <vt:lpstr>fBrownSNC.wR</vt:lpstr>
      <vt:lpstr>fBrownSNC.wT</vt:lpstr>
      <vt:lpstr>fBrownSP.sdA</vt:lpstr>
      <vt:lpstr>fBrownSP.sdC</vt:lpstr>
      <vt:lpstr>fBrownSP.sdM</vt:lpstr>
      <vt:lpstr>fBrownSP.sdR</vt:lpstr>
      <vt:lpstr>fBrownSP.sdT</vt:lpstr>
      <vt:lpstr>fBrownSSPM.wA</vt:lpstr>
      <vt:lpstr>fBrownSSPM.wC</vt:lpstr>
      <vt:lpstr>fBrownSSPM.wM</vt:lpstr>
      <vt:lpstr>fBrownSSPM.wR</vt:lpstr>
      <vt:lpstr>fBrownSSPM.wT</vt:lpstr>
      <vt:lpstr>fGrav.aAA.cwAA</vt:lpstr>
      <vt:lpstr>fGrav.aAA.w</vt:lpstr>
      <vt:lpstr>fGrav.aAAsAA</vt:lpstr>
      <vt:lpstr>fGrav.aAAsMA</vt:lpstr>
      <vt:lpstr>fGrav.aAS.cwAS</vt:lpstr>
      <vt:lpstr>fGrav.aAS.sAS</vt:lpstr>
      <vt:lpstr>fGrav.aAS.w</vt:lpstr>
      <vt:lpstr>fGrav.aCA.cwCA</vt:lpstr>
      <vt:lpstr>fGrav.aCA.w</vt:lpstr>
      <vt:lpstr>fGrav.aCAs1CA</vt:lpstr>
      <vt:lpstr>fGrav.aCAs2CA</vt:lpstr>
      <vt:lpstr>fGrav.aCAs3CA</vt:lpstr>
      <vt:lpstr>fGrav.aCS.cwCS</vt:lpstr>
      <vt:lpstr>fGrav.aCS.s1CS</vt:lpstr>
      <vt:lpstr>fGrav.aCS.s2CS</vt:lpstr>
      <vt:lpstr>fGrav.aCS.s3CS</vt:lpstr>
      <vt:lpstr>fGrav.aCS.w</vt:lpstr>
      <vt:lpstr>fGrav.aMA.cwMA</vt:lpstr>
      <vt:lpstr>fGrav.aMA.w</vt:lpstr>
      <vt:lpstr>fGrav.aMAsMA</vt:lpstr>
      <vt:lpstr>fGrav.aMS.cwMS</vt:lpstr>
      <vt:lpstr>fGrav.aMS.sMS</vt:lpstr>
      <vt:lpstr>fGrav.aMS.w</vt:lpstr>
      <vt:lpstr>fGrav.aRA.cwRA</vt:lpstr>
      <vt:lpstr>fGrav.aRA.w</vt:lpstr>
      <vt:lpstr>fGrav.aRAs1RA</vt:lpstr>
      <vt:lpstr>fGrav.aRAs2RA</vt:lpstr>
      <vt:lpstr>fGrav.aRAs3RA</vt:lpstr>
      <vt:lpstr>fGrav.aRS.cwRS</vt:lpstr>
      <vt:lpstr>fGrav.aRS.s1RS</vt:lpstr>
      <vt:lpstr>fGrav.aRS.s2RS</vt:lpstr>
      <vt:lpstr>fGrav.aRS.s3RS</vt:lpstr>
      <vt:lpstr>fGrav.aRS.w</vt:lpstr>
      <vt:lpstr>fGrav.aTA.cwTA</vt:lpstr>
      <vt:lpstr>fGrav.aTA.sTA</vt:lpstr>
      <vt:lpstr>fGrav.ATA.w</vt:lpstr>
      <vt:lpstr>fGrav.aTA.w2TA</vt:lpstr>
      <vt:lpstr>fGrav.ATAsMA</vt:lpstr>
      <vt:lpstr>fGrav.aTS.cwTS</vt:lpstr>
      <vt:lpstr>fGrav.aTS.sTS</vt:lpstr>
      <vt:lpstr>fGrav.ATS.w</vt:lpstr>
      <vt:lpstr>fGrav.aTS.w2TS</vt:lpstr>
      <vt:lpstr>fGravSFP.s1C</vt:lpstr>
      <vt:lpstr>fGravSFP.s1R</vt:lpstr>
      <vt:lpstr>fGravSFP.s2C</vt:lpstr>
      <vt:lpstr>fGravSFP.s2R</vt:lpstr>
      <vt:lpstr>fGravSFP.s3C</vt:lpstr>
      <vt:lpstr>fGravSFP.s3R</vt:lpstr>
      <vt:lpstr>fGravSFP.sA</vt:lpstr>
      <vt:lpstr>fGravSFP.sM</vt:lpstr>
      <vt:lpstr>fGravSFP.sT</vt:lpstr>
      <vt:lpstr>fGravSNC.sA</vt:lpstr>
      <vt:lpstr>fGravSNC.sC</vt:lpstr>
      <vt:lpstr>fGravSNC.sdA</vt:lpstr>
      <vt:lpstr>fGravSNC.sdC</vt:lpstr>
      <vt:lpstr>fGravSNC.sdM</vt:lpstr>
      <vt:lpstr>fGravSNC.sdR</vt:lpstr>
      <vt:lpstr>fGravSNC.sdT</vt:lpstr>
      <vt:lpstr>fGravSNC.sM</vt:lpstr>
      <vt:lpstr>fGravSNC.sR</vt:lpstr>
      <vt:lpstr>fGravSNC.sT</vt:lpstr>
      <vt:lpstr>fGravSNC.wA</vt:lpstr>
      <vt:lpstr>fGravSNC.wC</vt:lpstr>
      <vt:lpstr>fGravSNC.wM</vt:lpstr>
      <vt:lpstr>fGravSNC.wR</vt:lpstr>
      <vt:lpstr>fGravSNC.wT</vt:lpstr>
      <vt:lpstr>fGravSP.sdA</vt:lpstr>
      <vt:lpstr>fGravSP.sdC</vt:lpstr>
      <vt:lpstr>fGravSP.sdM</vt:lpstr>
      <vt:lpstr>fGravSP.sdR</vt:lpstr>
      <vt:lpstr>fGravSP.sdT</vt:lpstr>
      <vt:lpstr>fGravSSPM.wA</vt:lpstr>
      <vt:lpstr>fGravSSPM.wC</vt:lpstr>
      <vt:lpstr>fGravSSPM.wM</vt:lpstr>
      <vt:lpstr>fGravSSPM.wR</vt:lpstr>
      <vt:lpstr>fGravSSPM.wT</vt:lpstr>
      <vt:lpstr>Filter.s1C</vt:lpstr>
      <vt:lpstr>Filter.s1R</vt:lpstr>
      <vt:lpstr>Filter.s2C</vt:lpstr>
      <vt:lpstr>Filter.s2R</vt:lpstr>
      <vt:lpstr>Filter.s3C</vt:lpstr>
      <vt:lpstr>Filter.s3R</vt:lpstr>
      <vt:lpstr>Filter.sA</vt:lpstr>
      <vt:lpstr>Filter.sdA</vt:lpstr>
      <vt:lpstr>Filter.sdC</vt:lpstr>
      <vt:lpstr>Filter.sdM</vt:lpstr>
      <vt:lpstr>Filter.sdR</vt:lpstr>
      <vt:lpstr>Filter.sdT</vt:lpstr>
      <vt:lpstr>Filter.sM</vt:lpstr>
      <vt:lpstr>Filter.sT</vt:lpstr>
      <vt:lpstr>fIntercept.aAA.cwAA</vt:lpstr>
      <vt:lpstr>fIntercept.aAA.sAA</vt:lpstr>
      <vt:lpstr>fIntercept.aAS.cwAS</vt:lpstr>
      <vt:lpstr>fIntercept.aAS.sAS</vt:lpstr>
      <vt:lpstr>fIntercept.aCA.cwCA</vt:lpstr>
      <vt:lpstr>fIntercept.aCA.s1CA</vt:lpstr>
      <vt:lpstr>fIntercept.aCA.s2CA</vt:lpstr>
      <vt:lpstr>fIntercept.aCA.s3CA</vt:lpstr>
      <vt:lpstr>fIntercept.aCS.cwCS</vt:lpstr>
      <vt:lpstr>fIntercept.aCS.s1CS</vt:lpstr>
      <vt:lpstr>fIntercept.aCS.s2CS</vt:lpstr>
      <vt:lpstr>fIntercept.aCS.s3CS</vt:lpstr>
      <vt:lpstr>fIntercept.aMA.cwMA</vt:lpstr>
      <vt:lpstr>fIntercept.aMA.sMA</vt:lpstr>
      <vt:lpstr>fIntercept.aMS.cwMS</vt:lpstr>
      <vt:lpstr>fIntercept.aMS.sMS</vt:lpstr>
      <vt:lpstr>fIntercept.aRA.cwRA</vt:lpstr>
      <vt:lpstr>fIntercept.aRA.s1RA</vt:lpstr>
      <vt:lpstr>fIntercept.aRA.s2RA</vt:lpstr>
      <vt:lpstr>fIntercept.aRA.s3RA</vt:lpstr>
      <vt:lpstr>fIntercept.aRS.cwRS</vt:lpstr>
      <vt:lpstr>fIntercept.aRS.s1RS</vt:lpstr>
      <vt:lpstr>fIntercept.aRS.s2RS</vt:lpstr>
      <vt:lpstr>fIntercept.aRS.s3RS</vt:lpstr>
      <vt:lpstr>fIntercept.aTA.cwTA</vt:lpstr>
      <vt:lpstr>fIntercept.aTA.sTA</vt:lpstr>
      <vt:lpstr>fIntercept.aTS.cwTS</vt:lpstr>
      <vt:lpstr>fIntercept.aTS.sTS</vt:lpstr>
      <vt:lpstr>fInterceptSFP.s1C</vt:lpstr>
      <vt:lpstr>fInterceptSFP.s1R</vt:lpstr>
      <vt:lpstr>fInterceptSFP.s2C</vt:lpstr>
      <vt:lpstr>fInterceptSFP.s2R</vt:lpstr>
      <vt:lpstr>fInterceptSFP.s3C</vt:lpstr>
      <vt:lpstr>fInterceptSFP.s3R</vt:lpstr>
      <vt:lpstr>fInterceptSFP.sA</vt:lpstr>
      <vt:lpstr>fInterceptSFP.sM</vt:lpstr>
      <vt:lpstr>fInterceptSFP.sT</vt:lpstr>
      <vt:lpstr>fInterceptSNC.w0C</vt:lpstr>
      <vt:lpstr>fInterceptSNC.w0R</vt:lpstr>
      <vt:lpstr>fInterceptSNC.w1C</vt:lpstr>
      <vt:lpstr>fInterceptSNC.w1R</vt:lpstr>
      <vt:lpstr>fInterceptSNC.w2A</vt:lpstr>
      <vt:lpstr>fInterceptSNC.w2C</vt:lpstr>
      <vt:lpstr>fInterceptSNC.w2M</vt:lpstr>
      <vt:lpstr>fInterceptSNC.w2R</vt:lpstr>
      <vt:lpstr>fInterceptSNC.w2T</vt:lpstr>
      <vt:lpstr>fInterceptSNC.w3A</vt:lpstr>
      <vt:lpstr>fInterceptSNC.w3M</vt:lpstr>
      <vt:lpstr>fInterceptSNC.w3T</vt:lpstr>
      <vt:lpstr>fInterceptSP.sdA</vt:lpstr>
      <vt:lpstr>fInterceptSP.sdC</vt:lpstr>
      <vt:lpstr>fInterceptSP.sdM</vt:lpstr>
      <vt:lpstr>fInterceptSP.sdR</vt:lpstr>
      <vt:lpstr>fInterceptSP.sdT</vt:lpstr>
      <vt:lpstr>fInterceptSSPM.w0C</vt:lpstr>
      <vt:lpstr>fInterceptSSPM.w0R</vt:lpstr>
      <vt:lpstr>fInterceptSSPM.w1C</vt:lpstr>
      <vt:lpstr>fInterceptSSPM.w1R</vt:lpstr>
      <vt:lpstr>fInterceptSSPM.w2A</vt:lpstr>
      <vt:lpstr>fInterceptSSPM.w2C</vt:lpstr>
      <vt:lpstr>fInterceptSSPM.w2M</vt:lpstr>
      <vt:lpstr>fInterceptSSPM.w2R</vt:lpstr>
      <vt:lpstr>fInterceptSSPM.w2T</vt:lpstr>
      <vt:lpstr>fInterceptSSPM.w3A</vt:lpstr>
      <vt:lpstr>fInterceptSSPM.w3M</vt:lpstr>
      <vt:lpstr>fInterceptSSPM.w3T</vt:lpstr>
      <vt:lpstr>FRAC.w1C.w1R</vt:lpstr>
      <vt:lpstr>FRAC.w1R.w1C</vt:lpstr>
      <vt:lpstr>FRACa.s1C</vt:lpstr>
      <vt:lpstr>FRACa.s1R</vt:lpstr>
      <vt:lpstr>FRACa.s2C</vt:lpstr>
      <vt:lpstr>FRACa.s2R</vt:lpstr>
      <vt:lpstr>FRACa.s3C</vt:lpstr>
      <vt:lpstr>FRACa.s3R</vt:lpstr>
      <vt:lpstr>FRACa.sA</vt:lpstr>
      <vt:lpstr>FRACa.sM</vt:lpstr>
      <vt:lpstr>FRACa.sT</vt:lpstr>
      <vt:lpstr>FRACaers.aA</vt:lpstr>
      <vt:lpstr>FRACaers.aC</vt:lpstr>
      <vt:lpstr>FRACaers.aM</vt:lpstr>
      <vt:lpstr>FRACaers.aR</vt:lpstr>
      <vt:lpstr>FRACaers.aT</vt:lpstr>
      <vt:lpstr>FRACaerw.aA</vt:lpstr>
      <vt:lpstr>FRACaerw.aC</vt:lpstr>
      <vt:lpstr>FRACaerw.aM</vt:lpstr>
      <vt:lpstr>FRACaerw.aR</vt:lpstr>
      <vt:lpstr>FRACaerw.aT</vt:lpstr>
      <vt:lpstr>FRACagsoil.C</vt:lpstr>
      <vt:lpstr>FRACagsoil.R</vt:lpstr>
      <vt:lpstr>FRACcldw.aA</vt:lpstr>
      <vt:lpstr>FRACcldw.aC</vt:lpstr>
      <vt:lpstr>FRACcldw.aM</vt:lpstr>
      <vt:lpstr>FRACcldw.aR</vt:lpstr>
      <vt:lpstr>FRACcldw.aT</vt:lpstr>
      <vt:lpstr>FRACfresh.C</vt:lpstr>
      <vt:lpstr>FRACfresh.R</vt:lpstr>
      <vt:lpstr>FRACinf.C</vt:lpstr>
      <vt:lpstr>FRACinf.R</vt:lpstr>
      <vt:lpstr>FRACinf.s1C</vt:lpstr>
      <vt:lpstr>FRACinf.s1R</vt:lpstr>
      <vt:lpstr>FRACinf.s2C</vt:lpstr>
      <vt:lpstr>FRACinf.s2R</vt:lpstr>
      <vt:lpstr>FRACinf.s3C</vt:lpstr>
      <vt:lpstr>FRACinf.s3R</vt:lpstr>
      <vt:lpstr>FRACinf.sA</vt:lpstr>
      <vt:lpstr>FRACinf.sM</vt:lpstr>
      <vt:lpstr>FRACinf.sT</vt:lpstr>
      <vt:lpstr>FRAClake.C</vt:lpstr>
      <vt:lpstr>FRAClake.R</vt:lpstr>
      <vt:lpstr>FRACnatsoil.C</vt:lpstr>
      <vt:lpstr>FRACnatsoil.R</vt:lpstr>
      <vt:lpstr>FRACothersoil.C</vt:lpstr>
      <vt:lpstr>FRACothersoil.R</vt:lpstr>
      <vt:lpstr>FRACrun.C</vt:lpstr>
      <vt:lpstr>FRACrun.R</vt:lpstr>
      <vt:lpstr>FRACrun.s1C</vt:lpstr>
      <vt:lpstr>FRACrun.s1R</vt:lpstr>
      <vt:lpstr>FRACrun.s2C</vt:lpstr>
      <vt:lpstr>FRACrun.s2R</vt:lpstr>
      <vt:lpstr>FRACrun.s3C</vt:lpstr>
      <vt:lpstr>FRACrun.s3R</vt:lpstr>
      <vt:lpstr>FRACrun.sA</vt:lpstr>
      <vt:lpstr>FRACrun.sM</vt:lpstr>
      <vt:lpstr>FRACrun.sT</vt:lpstr>
      <vt:lpstr>FRACs.aA</vt:lpstr>
      <vt:lpstr>FRACs.aC</vt:lpstr>
      <vt:lpstr>FRACs.aM</vt:lpstr>
      <vt:lpstr>FRACs.aT</vt:lpstr>
      <vt:lpstr>FRACs.s1C</vt:lpstr>
      <vt:lpstr>FRACs.s1R</vt:lpstr>
      <vt:lpstr>FRACs.s2C</vt:lpstr>
      <vt:lpstr>FRACs.s2R</vt:lpstr>
      <vt:lpstr>FRACs.s3C</vt:lpstr>
      <vt:lpstr>FRACs.s3R</vt:lpstr>
      <vt:lpstr>FRACs.sA</vt:lpstr>
      <vt:lpstr>FRACs.sdA</vt:lpstr>
      <vt:lpstr>FRACs.sdC</vt:lpstr>
      <vt:lpstr>FRACs.sdM</vt:lpstr>
      <vt:lpstr>FRACs.sdR</vt:lpstr>
      <vt:lpstr>FRACs.sdT</vt:lpstr>
      <vt:lpstr>FRACs.sM</vt:lpstr>
      <vt:lpstr>FRACs.sT</vt:lpstr>
      <vt:lpstr>FRACtwet</vt:lpstr>
      <vt:lpstr>FRACtwet.A</vt:lpstr>
      <vt:lpstr>FRACtwet.C</vt:lpstr>
      <vt:lpstr>FRACtwet.M</vt:lpstr>
      <vt:lpstr>FRACtwet.T</vt:lpstr>
      <vt:lpstr>FRACw.s1C</vt:lpstr>
      <vt:lpstr>FRACw.s1R</vt:lpstr>
      <vt:lpstr>FRACw.s2C</vt:lpstr>
      <vt:lpstr>FRACw.s2R</vt:lpstr>
      <vt:lpstr>FRACw.s3C</vt:lpstr>
      <vt:lpstr>FRACw.s3R</vt:lpstr>
      <vt:lpstr>FRACw.sA</vt:lpstr>
      <vt:lpstr>FRACw.sdA</vt:lpstr>
      <vt:lpstr>FRACw.sdC</vt:lpstr>
      <vt:lpstr>FRACw.sdM</vt:lpstr>
      <vt:lpstr>FRACw.sdR</vt:lpstr>
      <vt:lpstr>FRACw.sdT</vt:lpstr>
      <vt:lpstr>FRACw.sM</vt:lpstr>
      <vt:lpstr>FRACw.sT</vt:lpstr>
      <vt:lpstr>FRaers.aA</vt:lpstr>
      <vt:lpstr>FRaers.aC</vt:lpstr>
      <vt:lpstr>FRaers.aM</vt:lpstr>
      <vt:lpstr>FRaers.aR</vt:lpstr>
      <vt:lpstr>FRaers.aT</vt:lpstr>
      <vt:lpstr>FRaerw.aA</vt:lpstr>
      <vt:lpstr>FRaerw.aC</vt:lpstr>
      <vt:lpstr>FRaerw.aM</vt:lpstr>
      <vt:lpstr>FRaerw.aR</vt:lpstr>
      <vt:lpstr>FRaerw.aT</vt:lpstr>
      <vt:lpstr>FRgas.aA</vt:lpstr>
      <vt:lpstr>FRgas.aC</vt:lpstr>
      <vt:lpstr>FRgas.aM</vt:lpstr>
      <vt:lpstr>FRgas.aR</vt:lpstr>
      <vt:lpstr>FRgas.aT</vt:lpstr>
      <vt:lpstr>FRICvelocity.s1C</vt:lpstr>
      <vt:lpstr>FRICvelocity.s1R</vt:lpstr>
      <vt:lpstr>FRICvelocity.s2C</vt:lpstr>
      <vt:lpstr>FRICvelocity.s2R</vt:lpstr>
      <vt:lpstr>FRICvelocity.s3C</vt:lpstr>
      <vt:lpstr>FRICvelocity.s3R</vt:lpstr>
      <vt:lpstr>FRICvelocity.sA</vt:lpstr>
      <vt:lpstr>FRICvelocity.sM</vt:lpstr>
      <vt:lpstr>FRICvelocity.sT</vt:lpstr>
      <vt:lpstr>FRICvelocity.wA</vt:lpstr>
      <vt:lpstr>FRICvelocity.wC</vt:lpstr>
      <vt:lpstr>FRICvelocity.wM</vt:lpstr>
      <vt:lpstr>FRICvelocity.wR</vt:lpstr>
      <vt:lpstr>FRICvelocity.wT</vt:lpstr>
      <vt:lpstr>FRorig.aerw</vt:lpstr>
      <vt:lpstr>FRorig.cldw</vt:lpstr>
      <vt:lpstr>FRorig.pw1</vt:lpstr>
      <vt:lpstr>FRorig.pw2</vt:lpstr>
      <vt:lpstr>FRorig.pw3</vt:lpstr>
      <vt:lpstr>FRorig.s1</vt:lpstr>
      <vt:lpstr>FRorig.s1w</vt:lpstr>
      <vt:lpstr>FRorig.s2</vt:lpstr>
      <vt:lpstr>FRorig.s2w</vt:lpstr>
      <vt:lpstr>FRorig.s3</vt:lpstr>
      <vt:lpstr>FRorig.s3w</vt:lpstr>
      <vt:lpstr>FRorig.sd1</vt:lpstr>
      <vt:lpstr>FRorig.sd2</vt:lpstr>
      <vt:lpstr>FRorig.sl1</vt:lpstr>
      <vt:lpstr>FRorig.sl2</vt:lpstr>
      <vt:lpstr>FRorig.sl3</vt:lpstr>
      <vt:lpstr>FRorig.sw2</vt:lpstr>
      <vt:lpstr>FRorig.sw3</vt:lpstr>
      <vt:lpstr>FRorig.sws1</vt:lpstr>
      <vt:lpstr>FRorig.w1</vt:lpstr>
      <vt:lpstr>FRorig.w2</vt:lpstr>
      <vt:lpstr>FRorig.ws1</vt:lpstr>
      <vt:lpstr>FRorig.ws2</vt:lpstr>
      <vt:lpstr>FRorig.ws3</vt:lpstr>
      <vt:lpstr>FRorig.wsl1</vt:lpstr>
      <vt:lpstr>FRorig.wsl2</vt:lpstr>
      <vt:lpstr>FRorig.wsl3</vt:lpstr>
      <vt:lpstr>FRs.s1C</vt:lpstr>
      <vt:lpstr>FRs.s1R</vt:lpstr>
      <vt:lpstr>FRs.s2C</vt:lpstr>
      <vt:lpstr>FRs.s2R</vt:lpstr>
      <vt:lpstr>FRs.s3C</vt:lpstr>
      <vt:lpstr>FRs.s3R</vt:lpstr>
      <vt:lpstr>FRs.sA</vt:lpstr>
      <vt:lpstr>FRs.sM</vt:lpstr>
      <vt:lpstr>FRs.sT</vt:lpstr>
      <vt:lpstr>FRw.s1C</vt:lpstr>
      <vt:lpstr>FRw.s2C</vt:lpstr>
      <vt:lpstr>FRw.s3C</vt:lpstr>
      <vt:lpstr>FRw.sA</vt:lpstr>
      <vt:lpstr>FRw.sM</vt:lpstr>
      <vt:lpstr>FRw.sT</vt:lpstr>
      <vt:lpstr>FRw.w0C</vt:lpstr>
      <vt:lpstr>FRw.w1C</vt:lpstr>
      <vt:lpstr>FRw.w2A</vt:lpstr>
      <vt:lpstr>FRw.w2C</vt:lpstr>
      <vt:lpstr>FRw.w2M</vt:lpstr>
      <vt:lpstr>FRw.w2T</vt:lpstr>
      <vt:lpstr>FRw.w3A</vt:lpstr>
      <vt:lpstr>FRw.w3M</vt:lpstr>
      <vt:lpstr>FRw.w3T</vt:lpstr>
      <vt:lpstr>FRwD.s1R</vt:lpstr>
      <vt:lpstr>FRwD.s2R</vt:lpstr>
      <vt:lpstr>FRwD.s3R</vt:lpstr>
      <vt:lpstr>FRwD.w0R</vt:lpstr>
      <vt:lpstr>FRwD.w1R</vt:lpstr>
      <vt:lpstr>FRwD.w2R</vt:lpstr>
      <vt:lpstr>fTotal.aAA.cwAA</vt:lpstr>
      <vt:lpstr>fTotal.aAS.cwAS</vt:lpstr>
      <vt:lpstr>fTotal.aCA.cwCA</vt:lpstr>
      <vt:lpstr>fTotal.aCS.cwCS</vt:lpstr>
      <vt:lpstr>fTotal.aMA.cwMA</vt:lpstr>
      <vt:lpstr>fTotal.aMS.cwMS</vt:lpstr>
      <vt:lpstr>fTotal.aRA.cwRA</vt:lpstr>
      <vt:lpstr>fTotal.aRS.cwRS</vt:lpstr>
      <vt:lpstr>fTotal.aTA.cwTA</vt:lpstr>
      <vt:lpstr>fTotal.aTS.cwTS</vt:lpstr>
      <vt:lpstr>fTotalSA.w1R</vt:lpstr>
      <vt:lpstr>fTotalSFP.s1C</vt:lpstr>
      <vt:lpstr>fTotalSFP.s1R</vt:lpstr>
      <vt:lpstr>fTotalSFP.s2C</vt:lpstr>
      <vt:lpstr>fTotalSFP.s2R</vt:lpstr>
      <vt:lpstr>fTotalSFP.s3C</vt:lpstr>
      <vt:lpstr>fTotalSFP.s3R</vt:lpstr>
      <vt:lpstr>fTotalSFP.sA</vt:lpstr>
      <vt:lpstr>fTotalSFP.sM</vt:lpstr>
      <vt:lpstr>fTotalSFP.sT</vt:lpstr>
      <vt:lpstr>fTotalSNC.w0C</vt:lpstr>
      <vt:lpstr>fTotalSNC.w0R</vt:lpstr>
      <vt:lpstr>fTotalSNC.w1C</vt:lpstr>
      <vt:lpstr>fTotalSNC.w1R</vt:lpstr>
      <vt:lpstr>fTotalSNC.w2A</vt:lpstr>
      <vt:lpstr>fTotalSNC.w2C</vt:lpstr>
      <vt:lpstr>fTotalSNC.w2M</vt:lpstr>
      <vt:lpstr>fTotalSNC.w2R</vt:lpstr>
      <vt:lpstr>fTotalSNC.w2T</vt:lpstr>
      <vt:lpstr>fTotalSNC.w3A</vt:lpstr>
      <vt:lpstr>fTotalSNC.w3M</vt:lpstr>
      <vt:lpstr>fTotalSNC.w3T</vt:lpstr>
      <vt:lpstr>fTotalSP.sdA</vt:lpstr>
      <vt:lpstr>fTotalSP.sdC</vt:lpstr>
      <vt:lpstr>fTotalSP.sdM</vt:lpstr>
      <vt:lpstr>fTotalSP.sdR</vt:lpstr>
      <vt:lpstr>fTotalSP.sdT</vt:lpstr>
      <vt:lpstr>fTotalSSPM.w0C</vt:lpstr>
      <vt:lpstr>fTotalSSPM.w0R</vt:lpstr>
      <vt:lpstr>fTotalSSPM.w1C</vt:lpstr>
      <vt:lpstr>fTotalSSPM.w1R</vt:lpstr>
      <vt:lpstr>fTotalSSPM.w2A</vt:lpstr>
      <vt:lpstr>fTotalSSPM.w2C</vt:lpstr>
      <vt:lpstr>fTotalSSPM.w2M</vt:lpstr>
      <vt:lpstr>fTotalSSPM.w2R</vt:lpstr>
      <vt:lpstr>fTotalSSPM.w2T</vt:lpstr>
      <vt:lpstr>fTotalSSPM.w3A</vt:lpstr>
      <vt:lpstr>fTotalSSPM.w3M</vt:lpstr>
      <vt:lpstr>fTotalSSPM.w3T</vt:lpstr>
      <vt:lpstr>Fuchs.aAS.aAAcc</vt:lpstr>
      <vt:lpstr>Fuchs.aAS.aACP</vt:lpstr>
      <vt:lpstr>Fuchs.aAS.aANuc</vt:lpstr>
      <vt:lpstr>Fuchs.aCS.aCAcc</vt:lpstr>
      <vt:lpstr>Fuchs.aCS.aCCP</vt:lpstr>
      <vt:lpstr>Fuchs.aCS.aCNuc</vt:lpstr>
      <vt:lpstr>Fuchs.aMS.aMAcc</vt:lpstr>
      <vt:lpstr>Fuchs.aMS.aMCP</vt:lpstr>
      <vt:lpstr>Fuchs.aMS.aMNuc</vt:lpstr>
      <vt:lpstr>Fuchs.aRS.aRAcc</vt:lpstr>
      <vt:lpstr>Fuchs.aRS.aRCP</vt:lpstr>
      <vt:lpstr>Fuchs.aRS.aRNuc</vt:lpstr>
      <vt:lpstr>Fuchs.aTS.aTAcc</vt:lpstr>
      <vt:lpstr>Fuchs.aTS.aTCP</vt:lpstr>
      <vt:lpstr>Fuchs.aTS.aTNuc</vt:lpstr>
      <vt:lpstr>fugacity</vt:lpstr>
      <vt:lpstr>g</vt:lpstr>
      <vt:lpstr>GaAmPDF.sA</vt:lpstr>
      <vt:lpstr>GaAmPDF.sdA</vt:lpstr>
      <vt:lpstr>GammPDF.s1C</vt:lpstr>
      <vt:lpstr>GammPDF.s1R</vt:lpstr>
      <vt:lpstr>GammPDF.s2C</vt:lpstr>
      <vt:lpstr>GammPDF.s2R</vt:lpstr>
      <vt:lpstr>GammPDF.s3C</vt:lpstr>
      <vt:lpstr>GammPDF.s3R</vt:lpstr>
      <vt:lpstr>GammPDF.sA</vt:lpstr>
      <vt:lpstr>GammPDF.sdA</vt:lpstr>
      <vt:lpstr>GammPDF.sdC</vt:lpstr>
      <vt:lpstr>GammPDF.sdM</vt:lpstr>
      <vt:lpstr>GammPDF.sdR</vt:lpstr>
      <vt:lpstr>GammPDF.sdT</vt:lpstr>
      <vt:lpstr>GammPDF.sM</vt:lpstr>
      <vt:lpstr>GammPDF.sT</vt:lpstr>
      <vt:lpstr>GASABS.aA.sA</vt:lpstr>
      <vt:lpstr>GASABS.aA.wA</vt:lpstr>
      <vt:lpstr>GASABS.aC.sC</vt:lpstr>
      <vt:lpstr>GASABS.aC.wC</vt:lpstr>
      <vt:lpstr>GASABS.aM.sM</vt:lpstr>
      <vt:lpstr>GASABS.aM.wM</vt:lpstr>
      <vt:lpstr>GASABS.aR.sR</vt:lpstr>
      <vt:lpstr>GASABS.aR.wR</vt:lpstr>
      <vt:lpstr>GASABS.aT.sT</vt:lpstr>
      <vt:lpstr>GASABS.aT.wT</vt:lpstr>
      <vt:lpstr>GASABSflow.aA.w3A</vt:lpstr>
      <vt:lpstr>GasWashout.A</vt:lpstr>
      <vt:lpstr>GasWashout.C</vt:lpstr>
      <vt:lpstr>GasWashout.M</vt:lpstr>
      <vt:lpstr>GasWashout.RG</vt:lpstr>
      <vt:lpstr>GasWashout.T</vt:lpstr>
      <vt:lpstr>GravNumberS.s1C</vt:lpstr>
      <vt:lpstr>GravNumberS.s1R</vt:lpstr>
      <vt:lpstr>GravNumberS.s2C</vt:lpstr>
      <vt:lpstr>GravNumberS.s2R</vt:lpstr>
      <vt:lpstr>GravNumberS.s3C</vt:lpstr>
      <vt:lpstr>GravNumberS.s3R</vt:lpstr>
      <vt:lpstr>GravNumberS.sA</vt:lpstr>
      <vt:lpstr>GravNumberS.sM</vt:lpstr>
      <vt:lpstr>GravNumberS.sT</vt:lpstr>
      <vt:lpstr>GravNumberSP.sdA</vt:lpstr>
      <vt:lpstr>GravNumberSP.sdC</vt:lpstr>
      <vt:lpstr>GravNumberSP.sdM</vt:lpstr>
      <vt:lpstr>GravNumberSP.sdR</vt:lpstr>
      <vt:lpstr>GravNumberSP.sdT</vt:lpstr>
      <vt:lpstr>GROSSSEDrate.w0C</vt:lpstr>
      <vt:lpstr>GROSSSEDrate.w0R</vt:lpstr>
      <vt:lpstr>GROSSSEDrate.w1C</vt:lpstr>
      <vt:lpstr>GROSSSEDrate.w1R</vt:lpstr>
      <vt:lpstr>GROSSSEDrate.w2C</vt:lpstr>
      <vt:lpstr>GROSSSEDrate.w2R</vt:lpstr>
      <vt:lpstr>GROSSSEDrate.w3A</vt:lpstr>
      <vt:lpstr>GROSSSEDrate.w3M</vt:lpstr>
      <vt:lpstr>GROSSSEDrate.w3T</vt:lpstr>
      <vt:lpstr>H0sol</vt:lpstr>
      <vt:lpstr>H0vap</vt:lpstr>
      <vt:lpstr>HEIGHT.aA</vt:lpstr>
      <vt:lpstr>HEIGHT.aC</vt:lpstr>
      <vt:lpstr>HEIGHT.aM</vt:lpstr>
      <vt:lpstr>HEIGHT.aR</vt:lpstr>
      <vt:lpstr>HEIGHT.aT</vt:lpstr>
      <vt:lpstr>K</vt:lpstr>
      <vt:lpstr>k.aA</vt:lpstr>
      <vt:lpstr>k.aA.aM</vt:lpstr>
      <vt:lpstr>k.aA.sA</vt:lpstr>
      <vt:lpstr>k.aA.w2A</vt:lpstr>
      <vt:lpstr>k.aAA</vt:lpstr>
      <vt:lpstr>k.aAA.cwAA</vt:lpstr>
      <vt:lpstr>k.aAA.sAA</vt:lpstr>
      <vt:lpstr>k.aAA.w2AA</vt:lpstr>
      <vt:lpstr>k.aAG</vt:lpstr>
      <vt:lpstr>k.aAG.sAD</vt:lpstr>
      <vt:lpstr>k.aAG.w2AD</vt:lpstr>
      <vt:lpstr>k.aAP</vt:lpstr>
      <vt:lpstr>k.aAP.cwAP</vt:lpstr>
      <vt:lpstr>k.aAP.sAP</vt:lpstr>
      <vt:lpstr>k.aAP.w2AP</vt:lpstr>
      <vt:lpstr>k.aAS</vt:lpstr>
      <vt:lpstr>k.aAS.aAA</vt:lpstr>
      <vt:lpstr>k.aAS.aAP</vt:lpstr>
      <vt:lpstr>k.aAS.cwAS</vt:lpstr>
      <vt:lpstr>k.aAS.sAS</vt:lpstr>
      <vt:lpstr>k.aAS.w2AS</vt:lpstr>
      <vt:lpstr>k.aC</vt:lpstr>
      <vt:lpstr>k.aC.aM</vt:lpstr>
      <vt:lpstr>k.aC.aR</vt:lpstr>
      <vt:lpstr>k.aC.s1C</vt:lpstr>
      <vt:lpstr>k.aC.s2C</vt:lpstr>
      <vt:lpstr>k.aC.s3C</vt:lpstr>
      <vt:lpstr>k.aC.w0C</vt:lpstr>
      <vt:lpstr>k.aC.w1C</vt:lpstr>
      <vt:lpstr>k.aC.w2C</vt:lpstr>
      <vt:lpstr>k.aCA</vt:lpstr>
      <vt:lpstr>k.aCA.cwCA</vt:lpstr>
      <vt:lpstr>k.aCA.s1CA</vt:lpstr>
      <vt:lpstr>k.aCA.s2CA</vt:lpstr>
      <vt:lpstr>k.aCA.s3CA</vt:lpstr>
      <vt:lpstr>k.aCA.w0CA</vt:lpstr>
      <vt:lpstr>k.aCA.w1CA</vt:lpstr>
      <vt:lpstr>k.aCA.w2CA</vt:lpstr>
      <vt:lpstr>k.aCP</vt:lpstr>
      <vt:lpstr>k.aCP.cwCP</vt:lpstr>
      <vt:lpstr>k.aCP.s1CP</vt:lpstr>
      <vt:lpstr>k.aCP.s2CP</vt:lpstr>
      <vt:lpstr>k.aCP.s3CP</vt:lpstr>
      <vt:lpstr>k.aCP.w0CP</vt:lpstr>
      <vt:lpstr>k.aCP.w1CP</vt:lpstr>
      <vt:lpstr>k.aCP.w2CP</vt:lpstr>
      <vt:lpstr>k.aCS</vt:lpstr>
      <vt:lpstr>k.aCS.aCA</vt:lpstr>
      <vt:lpstr>k.aCS.aCP</vt:lpstr>
      <vt:lpstr>k.aCS.cwCS</vt:lpstr>
      <vt:lpstr>k.aCS.s1CS</vt:lpstr>
      <vt:lpstr>k.aCS.s2CS</vt:lpstr>
      <vt:lpstr>k.aCS.s3CS</vt:lpstr>
      <vt:lpstr>k.aCS.w0CS</vt:lpstr>
      <vt:lpstr>k.aCS.w1CS</vt:lpstr>
      <vt:lpstr>k.aCS.w2CS</vt:lpstr>
      <vt:lpstr>k.aM</vt:lpstr>
      <vt:lpstr>k.aM.aA</vt:lpstr>
      <vt:lpstr>k.aM.aC</vt:lpstr>
      <vt:lpstr>k.aM.aT</vt:lpstr>
      <vt:lpstr>k.aM.sM</vt:lpstr>
      <vt:lpstr>k.aM.w2M</vt:lpstr>
      <vt:lpstr>k.aMA</vt:lpstr>
      <vt:lpstr>k.aMA.cwMA</vt:lpstr>
      <vt:lpstr>k.aMA.sMA</vt:lpstr>
      <vt:lpstr>k.aMA.w2MA</vt:lpstr>
      <vt:lpstr>k.aMG</vt:lpstr>
      <vt:lpstr>k.aMG.sMD</vt:lpstr>
      <vt:lpstr>k.aMG.w2MD</vt:lpstr>
      <vt:lpstr>k.aMP</vt:lpstr>
      <vt:lpstr>k.aMP.cwMP</vt:lpstr>
      <vt:lpstr>k.aMP.sMP</vt:lpstr>
      <vt:lpstr>k.aMP.w2MP</vt:lpstr>
      <vt:lpstr>k.aMS</vt:lpstr>
      <vt:lpstr>k.aMS.aMA</vt:lpstr>
      <vt:lpstr>k.aMS.aMP</vt:lpstr>
      <vt:lpstr>k.aMS.cwMS</vt:lpstr>
      <vt:lpstr>k.aMS.sMS</vt:lpstr>
      <vt:lpstr>k.aMS.w2MS</vt:lpstr>
      <vt:lpstr>k.aR.aC</vt:lpstr>
      <vt:lpstr>k.aRA</vt:lpstr>
      <vt:lpstr>k.aRA.cwRA</vt:lpstr>
      <vt:lpstr>k.aRA.s1RA</vt:lpstr>
      <vt:lpstr>k.aRA.s2RA</vt:lpstr>
      <vt:lpstr>k.aRA.s3RA</vt:lpstr>
      <vt:lpstr>k.aRA.w0RA</vt:lpstr>
      <vt:lpstr>k.aRA.w1RA</vt:lpstr>
      <vt:lpstr>k.aRA.w2RA</vt:lpstr>
      <vt:lpstr>k.aRG</vt:lpstr>
      <vt:lpstr>k.aRG.s1RD</vt:lpstr>
      <vt:lpstr>k.aRG.s2RD</vt:lpstr>
      <vt:lpstr>k.aRG.s3RD</vt:lpstr>
      <vt:lpstr>k.aRG.w0RD</vt:lpstr>
      <vt:lpstr>k.aRG.w1RD</vt:lpstr>
      <vt:lpstr>k.aRG.w2RD</vt:lpstr>
      <vt:lpstr>k.aRP</vt:lpstr>
      <vt:lpstr>k.aRP.cwRP</vt:lpstr>
      <vt:lpstr>k.aRP.s1RP</vt:lpstr>
      <vt:lpstr>k.aRP.s2RP</vt:lpstr>
      <vt:lpstr>k.aRP.s3RP</vt:lpstr>
      <vt:lpstr>k.aRP.w0RP</vt:lpstr>
      <vt:lpstr>k.aRP.w1RP</vt:lpstr>
      <vt:lpstr>k.aRP.w2RP</vt:lpstr>
      <vt:lpstr>k.aRS</vt:lpstr>
      <vt:lpstr>k.aRS.aRA</vt:lpstr>
      <vt:lpstr>k.aRS.aRP</vt:lpstr>
      <vt:lpstr>k.aRS.cwRS</vt:lpstr>
      <vt:lpstr>k.aRS.s1RS</vt:lpstr>
      <vt:lpstr>k.aRS.s2RS</vt:lpstr>
      <vt:lpstr>k.aRS.s3RS</vt:lpstr>
      <vt:lpstr>k.aRS.w0RS</vt:lpstr>
      <vt:lpstr>k.aRS.w1RS</vt:lpstr>
      <vt:lpstr>k.aRS.w2RS</vt:lpstr>
      <vt:lpstr>k.aT</vt:lpstr>
      <vt:lpstr>k.aT.aM</vt:lpstr>
      <vt:lpstr>k.aT.sT</vt:lpstr>
      <vt:lpstr>k.aT.w2T</vt:lpstr>
      <vt:lpstr>k.aTA</vt:lpstr>
      <vt:lpstr>k.aTA.cwTA</vt:lpstr>
      <vt:lpstr>k.aTA.sTA</vt:lpstr>
      <vt:lpstr>k.aTA.w2TA</vt:lpstr>
      <vt:lpstr>k.aTG</vt:lpstr>
      <vt:lpstr>k.aTG.sTD</vt:lpstr>
      <vt:lpstr>k.aTG.w2TD</vt:lpstr>
      <vt:lpstr>k.aTP</vt:lpstr>
      <vt:lpstr>k.aTP.cwTP</vt:lpstr>
      <vt:lpstr>k.aTP.sTP</vt:lpstr>
      <vt:lpstr>k.aTP.w2TP</vt:lpstr>
      <vt:lpstr>k.aTS</vt:lpstr>
      <vt:lpstr>k.aTS.aTA</vt:lpstr>
      <vt:lpstr>k.aTS.aTP</vt:lpstr>
      <vt:lpstr>k.aTS.cwTS</vt:lpstr>
      <vt:lpstr>k.aTS.sTS</vt:lpstr>
      <vt:lpstr>k.aTS.w2TS</vt:lpstr>
      <vt:lpstr>k.cwAA.sAA</vt:lpstr>
      <vt:lpstr>k.cwAA.w2AA</vt:lpstr>
      <vt:lpstr>k.cwAP.sAP</vt:lpstr>
      <vt:lpstr>k.cwAP.w2AP</vt:lpstr>
      <vt:lpstr>k.cwAS.sAS</vt:lpstr>
      <vt:lpstr>k.cwAS.w2AS</vt:lpstr>
      <vt:lpstr>k.cwCA.s1CA</vt:lpstr>
      <vt:lpstr>k.cwCA.s2CA</vt:lpstr>
      <vt:lpstr>k.cwCA.s3CA</vt:lpstr>
      <vt:lpstr>k.cwCA.w0CA</vt:lpstr>
      <vt:lpstr>k.cwCA.w1CA</vt:lpstr>
      <vt:lpstr>k.cwCA.w2CA</vt:lpstr>
      <vt:lpstr>k.cwCP.s1CP</vt:lpstr>
      <vt:lpstr>k.cwCP.s2CP</vt:lpstr>
      <vt:lpstr>k.cwCP.s3CP</vt:lpstr>
      <vt:lpstr>k.cwCP.w0CP</vt:lpstr>
      <vt:lpstr>k.cwCP.w1CP</vt:lpstr>
      <vt:lpstr>k.cwCP.w2CP</vt:lpstr>
      <vt:lpstr>k.cwCS.s1CS</vt:lpstr>
      <vt:lpstr>k.cwCS.s2CS</vt:lpstr>
      <vt:lpstr>k.cwCS.s3CS</vt:lpstr>
      <vt:lpstr>k.cwCS.w0CS</vt:lpstr>
      <vt:lpstr>k.cwCS.w1CS</vt:lpstr>
      <vt:lpstr>k.cwCS.w2CS</vt:lpstr>
      <vt:lpstr>k.cwMA.sMA</vt:lpstr>
      <vt:lpstr>k.cwMA.w2MA</vt:lpstr>
      <vt:lpstr>k.cwMP.sMP</vt:lpstr>
      <vt:lpstr>k.cwMP.w2MP</vt:lpstr>
      <vt:lpstr>k.cwMS.sMS</vt:lpstr>
      <vt:lpstr>k.cwMS.w2MS</vt:lpstr>
      <vt:lpstr>k.cwRA.s1RA</vt:lpstr>
      <vt:lpstr>k.cwRA.s2RA</vt:lpstr>
      <vt:lpstr>k.cwRA.s3RA</vt:lpstr>
      <vt:lpstr>k.cwRA.w0RA</vt:lpstr>
      <vt:lpstr>k.cwRA.w1RA</vt:lpstr>
      <vt:lpstr>k.cwRA.w2RA</vt:lpstr>
      <vt:lpstr>k.cwRP.s1RP</vt:lpstr>
      <vt:lpstr>k.cwRP.s2RP</vt:lpstr>
      <vt:lpstr>k.cwRP.s3RP</vt:lpstr>
      <vt:lpstr>k.cwRP.w0RP</vt:lpstr>
      <vt:lpstr>k.cwRP.w1RP</vt:lpstr>
      <vt:lpstr>k.cwRP.w2RP</vt:lpstr>
      <vt:lpstr>k.cwRS.s1RS</vt:lpstr>
      <vt:lpstr>k.cwRS.s2RS</vt:lpstr>
      <vt:lpstr>k.cwRS.s3RS</vt:lpstr>
      <vt:lpstr>k.cwRS.w0RS</vt:lpstr>
      <vt:lpstr>k.cwRS.w1RS</vt:lpstr>
      <vt:lpstr>k.cwRS.w2RS</vt:lpstr>
      <vt:lpstr>k.cwTA.sTA</vt:lpstr>
      <vt:lpstr>k.cwTA.w2TA</vt:lpstr>
      <vt:lpstr>k.cwTP.sTP</vt:lpstr>
      <vt:lpstr>k.cwTP.w2TP</vt:lpstr>
      <vt:lpstr>k.cwTS.sTS</vt:lpstr>
      <vt:lpstr>k.cwTS.w2TS</vt:lpstr>
      <vt:lpstr>k.s1C</vt:lpstr>
      <vt:lpstr>k.s1C.aC</vt:lpstr>
      <vt:lpstr>k.s1C.w0CD</vt:lpstr>
      <vt:lpstr>k.s1C.w1C</vt:lpstr>
      <vt:lpstr>k.s1C.w1CD</vt:lpstr>
      <vt:lpstr>k.s1CA</vt:lpstr>
      <vt:lpstr>k.s1CA.w0CA</vt:lpstr>
      <vt:lpstr>k.s1CA.w1CA</vt:lpstr>
      <vt:lpstr>k.s1CP</vt:lpstr>
      <vt:lpstr>k.s1CP.w0CP</vt:lpstr>
      <vt:lpstr>k.s1CP.w1CP</vt:lpstr>
      <vt:lpstr>k.s1CS</vt:lpstr>
      <vt:lpstr>k.s1CS.s1CA</vt:lpstr>
      <vt:lpstr>k.s1CS.s1CP</vt:lpstr>
      <vt:lpstr>k.s1CS.w0CS</vt:lpstr>
      <vt:lpstr>k.s1CS.w1CS</vt:lpstr>
      <vt:lpstr>k.s1R.w0RD</vt:lpstr>
      <vt:lpstr>k.s1RA</vt:lpstr>
      <vt:lpstr>k.s1RA.w0RA</vt:lpstr>
      <vt:lpstr>k.s1RA.w1RA</vt:lpstr>
      <vt:lpstr>k.s1RD</vt:lpstr>
      <vt:lpstr>k.s1RD.aRG</vt:lpstr>
      <vt:lpstr>k.s1RD.w1RD</vt:lpstr>
      <vt:lpstr>k.s1RP</vt:lpstr>
      <vt:lpstr>k.s1RP.w0RP</vt:lpstr>
      <vt:lpstr>k.s1RP.w1RP</vt:lpstr>
      <vt:lpstr>k.s1RS</vt:lpstr>
      <vt:lpstr>k.s1RS.s1RA</vt:lpstr>
      <vt:lpstr>k.s1RS.s1RP</vt:lpstr>
      <vt:lpstr>k.s1RS.w0RS</vt:lpstr>
      <vt:lpstr>k.s1RS.w1RS</vt:lpstr>
      <vt:lpstr>k.s2C</vt:lpstr>
      <vt:lpstr>k.s2C.aC</vt:lpstr>
      <vt:lpstr>k.s2C.w0CD</vt:lpstr>
      <vt:lpstr>k.s2C.w1C</vt:lpstr>
      <vt:lpstr>k.s2C.w1CD</vt:lpstr>
      <vt:lpstr>k.s2CA</vt:lpstr>
      <vt:lpstr>k.s2CA.w0CA</vt:lpstr>
      <vt:lpstr>k.s2CA.w1CA</vt:lpstr>
      <vt:lpstr>k.s2CP</vt:lpstr>
      <vt:lpstr>k.s2CP.w0CP</vt:lpstr>
      <vt:lpstr>k.s2CP.w1CP</vt:lpstr>
      <vt:lpstr>k.s2CS</vt:lpstr>
      <vt:lpstr>k.s2CS.s2CA</vt:lpstr>
      <vt:lpstr>k.s2CS.s2CP</vt:lpstr>
      <vt:lpstr>k.s2CS.w0CS</vt:lpstr>
      <vt:lpstr>k.s2CS.w1CS</vt:lpstr>
      <vt:lpstr>k.s2R.w0RD</vt:lpstr>
      <vt:lpstr>k.s2RA</vt:lpstr>
      <vt:lpstr>k.s2RA.w0RA</vt:lpstr>
      <vt:lpstr>k.s2RA.w1RA</vt:lpstr>
      <vt:lpstr>k.s2RD</vt:lpstr>
      <vt:lpstr>k.s2RD.aRG</vt:lpstr>
      <vt:lpstr>k.s2RD.w1RD</vt:lpstr>
      <vt:lpstr>k.s2RP</vt:lpstr>
      <vt:lpstr>k.s2RP.w0RP</vt:lpstr>
      <vt:lpstr>k.s2RP.w1RP</vt:lpstr>
      <vt:lpstr>k.s2RS</vt:lpstr>
      <vt:lpstr>k.s2RS.s2RA</vt:lpstr>
      <vt:lpstr>k.s2RS.s2RP</vt:lpstr>
      <vt:lpstr>k.s2RS.w0RS</vt:lpstr>
      <vt:lpstr>k.s2RS.w1RS</vt:lpstr>
      <vt:lpstr>k.s3C</vt:lpstr>
      <vt:lpstr>k.s3C.aC</vt:lpstr>
      <vt:lpstr>k.s3C.w0CD</vt:lpstr>
      <vt:lpstr>k.s3C.w1C</vt:lpstr>
      <vt:lpstr>k.s3C.w1CD</vt:lpstr>
      <vt:lpstr>k.s3CA</vt:lpstr>
      <vt:lpstr>k.s3CA.w0CA</vt:lpstr>
      <vt:lpstr>k.s3CA.w1CA</vt:lpstr>
      <vt:lpstr>k.s3CP</vt:lpstr>
      <vt:lpstr>k.s3CP.w0CP</vt:lpstr>
      <vt:lpstr>k.s3CP.w1CP</vt:lpstr>
      <vt:lpstr>k.s3CS</vt:lpstr>
      <vt:lpstr>k.s3CS.s3CA</vt:lpstr>
      <vt:lpstr>k.s3CS.s3CP</vt:lpstr>
      <vt:lpstr>k.s3CS.w0CS</vt:lpstr>
      <vt:lpstr>k.s3CS.w1CS</vt:lpstr>
      <vt:lpstr>k.s3R.w0RD</vt:lpstr>
      <vt:lpstr>k.s3RA</vt:lpstr>
      <vt:lpstr>k.s3RA.w0RA</vt:lpstr>
      <vt:lpstr>k.s3RA.w1RA</vt:lpstr>
      <vt:lpstr>k.s3RD</vt:lpstr>
      <vt:lpstr>k.s3RD.aRG</vt:lpstr>
      <vt:lpstr>k.s3RD.w1RD</vt:lpstr>
      <vt:lpstr>k.s3RP</vt:lpstr>
      <vt:lpstr>k.s3RP.w0RP</vt:lpstr>
      <vt:lpstr>k.s3RP.w1RP</vt:lpstr>
      <vt:lpstr>k.s3RS</vt:lpstr>
      <vt:lpstr>k.s3RS.s3RA</vt:lpstr>
      <vt:lpstr>k.s3RS.s3RP</vt:lpstr>
      <vt:lpstr>k.s3RS.w0RS</vt:lpstr>
      <vt:lpstr>k.s3RS.w1RS</vt:lpstr>
      <vt:lpstr>k.sA</vt:lpstr>
      <vt:lpstr>k.sA.aA</vt:lpstr>
      <vt:lpstr>k.sA.w2A</vt:lpstr>
      <vt:lpstr>k.sAA</vt:lpstr>
      <vt:lpstr>k.sAA.w2AA</vt:lpstr>
      <vt:lpstr>k.sAD</vt:lpstr>
      <vt:lpstr>k.sAD.aAG</vt:lpstr>
      <vt:lpstr>k.sAD.w2AD</vt:lpstr>
      <vt:lpstr>k.sAP</vt:lpstr>
      <vt:lpstr>k.sAP.w2AP</vt:lpstr>
      <vt:lpstr>k.sAS</vt:lpstr>
      <vt:lpstr>k.sAS.sAA</vt:lpstr>
      <vt:lpstr>k.sAS.sAP</vt:lpstr>
      <vt:lpstr>k.sAS.w2AS</vt:lpstr>
      <vt:lpstr>k.sd0C.w0C</vt:lpstr>
      <vt:lpstr>k.sd0CA</vt:lpstr>
      <vt:lpstr>k.sd0CA.w0CA</vt:lpstr>
      <vt:lpstr>k.sd0CD</vt:lpstr>
      <vt:lpstr>k.sd0CD.w0CD</vt:lpstr>
      <vt:lpstr>k.sd0CP</vt:lpstr>
      <vt:lpstr>k.sd0CP.w0CP</vt:lpstr>
      <vt:lpstr>k.sd0CS</vt:lpstr>
      <vt:lpstr>k.sd0CS.sd0CA</vt:lpstr>
      <vt:lpstr>k.sd0CS.sd0CP</vt:lpstr>
      <vt:lpstr>k.sd0CS.w0CS</vt:lpstr>
      <vt:lpstr>k.sd0RA</vt:lpstr>
      <vt:lpstr>k.sd0RA.w0RA</vt:lpstr>
      <vt:lpstr>k.sd0RD</vt:lpstr>
      <vt:lpstr>k.sd0RD.w0RD</vt:lpstr>
      <vt:lpstr>k.sd0RP</vt:lpstr>
      <vt:lpstr>k.sd0RP.w0RP</vt:lpstr>
      <vt:lpstr>k.sd0RS</vt:lpstr>
      <vt:lpstr>k.sd0RS.sd0RA</vt:lpstr>
      <vt:lpstr>k.sd0RS.sd0RP</vt:lpstr>
      <vt:lpstr>k.sd0RS.w0RS</vt:lpstr>
      <vt:lpstr>k.sd1C</vt:lpstr>
      <vt:lpstr>k.sd1C.w1C</vt:lpstr>
      <vt:lpstr>k.sd1CA</vt:lpstr>
      <vt:lpstr>k.sd1CA.w1CA</vt:lpstr>
      <vt:lpstr>k.sd1CD.w1CD</vt:lpstr>
      <vt:lpstr>k.sd1CP</vt:lpstr>
      <vt:lpstr>k.sd1CP.w1CP</vt:lpstr>
      <vt:lpstr>k.sd1CS</vt:lpstr>
      <vt:lpstr>k.sd1CS.sd1CA</vt:lpstr>
      <vt:lpstr>k.sd1CS.sd1CP</vt:lpstr>
      <vt:lpstr>k.sd1CS.w1CS</vt:lpstr>
      <vt:lpstr>k.sd1RA</vt:lpstr>
      <vt:lpstr>k.sd1RA.w1RA</vt:lpstr>
      <vt:lpstr>k.sd1RD</vt:lpstr>
      <vt:lpstr>k.sd1RD.w1RD</vt:lpstr>
      <vt:lpstr>k.sd1RP</vt:lpstr>
      <vt:lpstr>k.sd1RP.w1RP</vt:lpstr>
      <vt:lpstr>k.sd1RS</vt:lpstr>
      <vt:lpstr>k.sd1RS.sd1RA</vt:lpstr>
      <vt:lpstr>k.sd1RS.sd1RP</vt:lpstr>
      <vt:lpstr>k.sd1RS.w1RS</vt:lpstr>
      <vt:lpstr>k.sd2C</vt:lpstr>
      <vt:lpstr>k.sd2C.w2C</vt:lpstr>
      <vt:lpstr>k.sd2CA</vt:lpstr>
      <vt:lpstr>k.sd2CA.w2CA</vt:lpstr>
      <vt:lpstr>k.sd2CD.w2CD</vt:lpstr>
      <vt:lpstr>k.sd2CP</vt:lpstr>
      <vt:lpstr>k.sd2CP.w2CP</vt:lpstr>
      <vt:lpstr>k.sd2CS</vt:lpstr>
      <vt:lpstr>k.sd2CS.sd2CA</vt:lpstr>
      <vt:lpstr>k.sd2CS.sd2CP</vt:lpstr>
      <vt:lpstr>k.sd2CS.w2CS</vt:lpstr>
      <vt:lpstr>k.sd2RA</vt:lpstr>
      <vt:lpstr>k.sd2RA.w2RA</vt:lpstr>
      <vt:lpstr>k.sd2RD</vt:lpstr>
      <vt:lpstr>k.sd2RD.w2RD</vt:lpstr>
      <vt:lpstr>k.sd2RP</vt:lpstr>
      <vt:lpstr>k.sd2RP.w2RP</vt:lpstr>
      <vt:lpstr>k.sd2RS</vt:lpstr>
      <vt:lpstr>k.sd2RS.sd2RA</vt:lpstr>
      <vt:lpstr>k.sd2RS.sd2RP</vt:lpstr>
      <vt:lpstr>k.sd2RS.w2RS</vt:lpstr>
      <vt:lpstr>k.sdA</vt:lpstr>
      <vt:lpstr>k.sdA.w3A</vt:lpstr>
      <vt:lpstr>k.sdAA</vt:lpstr>
      <vt:lpstr>k.sdAA.w3AA</vt:lpstr>
      <vt:lpstr>k.sdAD</vt:lpstr>
      <vt:lpstr>k.sdAD.w3AD</vt:lpstr>
      <vt:lpstr>k.sdAP</vt:lpstr>
      <vt:lpstr>k.sdAP.w3AP</vt:lpstr>
      <vt:lpstr>k.sdAS</vt:lpstr>
      <vt:lpstr>k.sdAS.sdAA</vt:lpstr>
      <vt:lpstr>k.sdAS.sdAP</vt:lpstr>
      <vt:lpstr>k.sdAS.w3AS</vt:lpstr>
      <vt:lpstr>k.sdM</vt:lpstr>
      <vt:lpstr>k.sdM.w2M</vt:lpstr>
      <vt:lpstr>k.sdM.w3M</vt:lpstr>
      <vt:lpstr>k.sdMA</vt:lpstr>
      <vt:lpstr>k.sdMA.w3MA</vt:lpstr>
      <vt:lpstr>k.sdMD</vt:lpstr>
      <vt:lpstr>k.sdMD.w3MD</vt:lpstr>
      <vt:lpstr>k.sdMP</vt:lpstr>
      <vt:lpstr>k.sdMP.w3MP</vt:lpstr>
      <vt:lpstr>k.sdMS</vt:lpstr>
      <vt:lpstr>k.sdMS.sdMA</vt:lpstr>
      <vt:lpstr>k.sdMS.sdMP</vt:lpstr>
      <vt:lpstr>k.sdMS.w3MS</vt:lpstr>
      <vt:lpstr>k.sdT</vt:lpstr>
      <vt:lpstr>k.sdT.w3T</vt:lpstr>
      <vt:lpstr>k.sdTA</vt:lpstr>
      <vt:lpstr>k.sdTA.w3TA</vt:lpstr>
      <vt:lpstr>k.sdTD</vt:lpstr>
      <vt:lpstr>k.sdTD.w3TD</vt:lpstr>
      <vt:lpstr>k.sdTP</vt:lpstr>
      <vt:lpstr>k.sdTP.w3TP</vt:lpstr>
      <vt:lpstr>k.sdTS</vt:lpstr>
      <vt:lpstr>k.sdTS.sdTA</vt:lpstr>
      <vt:lpstr>k.sdTS.sdTP</vt:lpstr>
      <vt:lpstr>k.sdTS.w3TS</vt:lpstr>
      <vt:lpstr>k.sM</vt:lpstr>
      <vt:lpstr>k.sM.aM</vt:lpstr>
      <vt:lpstr>k.sM.w2M</vt:lpstr>
      <vt:lpstr>k.sMA</vt:lpstr>
      <vt:lpstr>k.sMA.w2MA</vt:lpstr>
      <vt:lpstr>k.sMD</vt:lpstr>
      <vt:lpstr>k.sMD.aMG</vt:lpstr>
      <vt:lpstr>k.sMD.w2MD</vt:lpstr>
      <vt:lpstr>k.sMP</vt:lpstr>
      <vt:lpstr>k.sMP.w2MP</vt:lpstr>
      <vt:lpstr>k.sMS</vt:lpstr>
      <vt:lpstr>k.sMS.sMA</vt:lpstr>
      <vt:lpstr>k.sMS.sMP</vt:lpstr>
      <vt:lpstr>k.sMS.w2MS</vt:lpstr>
      <vt:lpstr>k.sT</vt:lpstr>
      <vt:lpstr>k.sT.aT</vt:lpstr>
      <vt:lpstr>k.sT.w2T</vt:lpstr>
      <vt:lpstr>k.sTA</vt:lpstr>
      <vt:lpstr>k.sTA.w2TA</vt:lpstr>
      <vt:lpstr>k.sTD</vt:lpstr>
      <vt:lpstr>k.sTD.aTG</vt:lpstr>
      <vt:lpstr>k.sTD.w2TD</vt:lpstr>
      <vt:lpstr>k.sTP</vt:lpstr>
      <vt:lpstr>k.sTP.w2TP</vt:lpstr>
      <vt:lpstr>k.sTS</vt:lpstr>
      <vt:lpstr>k.sTS.sTA</vt:lpstr>
      <vt:lpstr>k.sTS.sTP</vt:lpstr>
      <vt:lpstr>k.sTS.w2TS</vt:lpstr>
      <vt:lpstr>k.w0C</vt:lpstr>
      <vt:lpstr>k.w0C.aC</vt:lpstr>
      <vt:lpstr>k.w0C.sd0C</vt:lpstr>
      <vt:lpstr>k.w0C.w1C</vt:lpstr>
      <vt:lpstr>k.w0C.w2C</vt:lpstr>
      <vt:lpstr>k.w0CA</vt:lpstr>
      <vt:lpstr>k.w0CA.sd0CA</vt:lpstr>
      <vt:lpstr>k.w0CD.sd0CD</vt:lpstr>
      <vt:lpstr>k.w0CP</vt:lpstr>
      <vt:lpstr>k.w0CP.sd0CP</vt:lpstr>
      <vt:lpstr>k.w0CS</vt:lpstr>
      <vt:lpstr>k.w0CS.sd0CS</vt:lpstr>
      <vt:lpstr>k.w0CS.w0CA</vt:lpstr>
      <vt:lpstr>k.w0CS.w0CP</vt:lpstr>
      <vt:lpstr>k.w0R.w1R</vt:lpstr>
      <vt:lpstr>k.w0R.w2R</vt:lpstr>
      <vt:lpstr>k.w0RA</vt:lpstr>
      <vt:lpstr>k.w0RA.sd0RA</vt:lpstr>
      <vt:lpstr>k.w0RD</vt:lpstr>
      <vt:lpstr>k.w0RD.aRG</vt:lpstr>
      <vt:lpstr>k.w0RD.sd0RD</vt:lpstr>
      <vt:lpstr>k.w0RP</vt:lpstr>
      <vt:lpstr>k.w0RP.sd0RP</vt:lpstr>
      <vt:lpstr>k.w0RS</vt:lpstr>
      <vt:lpstr>k.w0RS.sd0RS</vt:lpstr>
      <vt:lpstr>k.w0RS.w0RA</vt:lpstr>
      <vt:lpstr>k.w0RS.w0RP</vt:lpstr>
      <vt:lpstr>k.w1C</vt:lpstr>
      <vt:lpstr>k.w1C.aC</vt:lpstr>
      <vt:lpstr>k.w1C.sd1C</vt:lpstr>
      <vt:lpstr>k.w1C.w0C</vt:lpstr>
      <vt:lpstr>k.w1C.w1R</vt:lpstr>
      <vt:lpstr>k.w1C.w2C</vt:lpstr>
      <vt:lpstr>k.w1CA</vt:lpstr>
      <vt:lpstr>k.w1CA.sd1CA</vt:lpstr>
      <vt:lpstr>k.w1CD.sd1CD</vt:lpstr>
      <vt:lpstr>k.w1CP</vt:lpstr>
      <vt:lpstr>k.w1CP.sd1CP</vt:lpstr>
      <vt:lpstr>k.w1CS</vt:lpstr>
      <vt:lpstr>k.w1CS.sd1CS</vt:lpstr>
      <vt:lpstr>k.w1CS.w1CA</vt:lpstr>
      <vt:lpstr>k.w1CS.w1CP</vt:lpstr>
      <vt:lpstr>k.w1R.w0R</vt:lpstr>
      <vt:lpstr>k.w1R.w2R</vt:lpstr>
      <vt:lpstr>k.w1RA</vt:lpstr>
      <vt:lpstr>k.w1RA.sd1RA</vt:lpstr>
      <vt:lpstr>k.w1RD</vt:lpstr>
      <vt:lpstr>k.w1RD.aRG</vt:lpstr>
      <vt:lpstr>k.w1RD.sd1RD</vt:lpstr>
      <vt:lpstr>k.w1RP</vt:lpstr>
      <vt:lpstr>k.w1RP.sd1RP</vt:lpstr>
      <vt:lpstr>k.w1RS</vt:lpstr>
      <vt:lpstr>k.w1RS.sd1RS</vt:lpstr>
      <vt:lpstr>k.w1RS.w1RA</vt:lpstr>
      <vt:lpstr>k.w1RS.w1RP</vt:lpstr>
      <vt:lpstr>k.w2A</vt:lpstr>
      <vt:lpstr>k.w2A.aA</vt:lpstr>
      <vt:lpstr>k.w2A.w2M</vt:lpstr>
      <vt:lpstr>k.w2A.w3A</vt:lpstr>
      <vt:lpstr>k.w2AA</vt:lpstr>
      <vt:lpstr>k.w2AA.w3AA</vt:lpstr>
      <vt:lpstr>k.w2AD</vt:lpstr>
      <vt:lpstr>k.w2AD.aAG</vt:lpstr>
      <vt:lpstr>k.w2AP</vt:lpstr>
      <vt:lpstr>k.w2AP.w3AP</vt:lpstr>
      <vt:lpstr>k.w2AS</vt:lpstr>
      <vt:lpstr>k.w2AS.w2AA</vt:lpstr>
      <vt:lpstr>k.w2AS.w2AP</vt:lpstr>
      <vt:lpstr>k.w2AS.w3AS</vt:lpstr>
      <vt:lpstr>k.w2C</vt:lpstr>
      <vt:lpstr>k.w2C.aC</vt:lpstr>
      <vt:lpstr>k.w2C.sd2C</vt:lpstr>
      <vt:lpstr>k.w2C.w2M</vt:lpstr>
      <vt:lpstr>k.w2C.w2R</vt:lpstr>
      <vt:lpstr>k.w2CA</vt:lpstr>
      <vt:lpstr>k.w2CA.sd2CA</vt:lpstr>
      <vt:lpstr>k.w2CD.sd2CD</vt:lpstr>
      <vt:lpstr>k.w2CP</vt:lpstr>
      <vt:lpstr>k.w2CP.sd2CP</vt:lpstr>
      <vt:lpstr>k.w2CS</vt:lpstr>
      <vt:lpstr>k.w2CS.sd2CS</vt:lpstr>
      <vt:lpstr>k.w2CS.w2CA</vt:lpstr>
      <vt:lpstr>k.w2CS.w2CP</vt:lpstr>
      <vt:lpstr>k.w2M</vt:lpstr>
      <vt:lpstr>k.w2M.aM</vt:lpstr>
      <vt:lpstr>k.w2M.sdM</vt:lpstr>
      <vt:lpstr>k.w2M.w2A</vt:lpstr>
      <vt:lpstr>k.w2M.w2C</vt:lpstr>
      <vt:lpstr>k.w2M.w2T</vt:lpstr>
      <vt:lpstr>k.w2M.w3M</vt:lpstr>
      <vt:lpstr>k.w2MA</vt:lpstr>
      <vt:lpstr>k.w2MA.w3MA</vt:lpstr>
      <vt:lpstr>k.w2MD</vt:lpstr>
      <vt:lpstr>k.w2MD.aMG</vt:lpstr>
      <vt:lpstr>k.w2MP</vt:lpstr>
      <vt:lpstr>k.w2MP.w3MP</vt:lpstr>
      <vt:lpstr>k.w2MS</vt:lpstr>
      <vt:lpstr>k.w2MS.w2MA</vt:lpstr>
      <vt:lpstr>k.w2MS.w2MP</vt:lpstr>
      <vt:lpstr>k.w2MS.w3MS</vt:lpstr>
      <vt:lpstr>k.w2R.w2C</vt:lpstr>
      <vt:lpstr>k.w2RA</vt:lpstr>
      <vt:lpstr>k.w2RA.sd2RA</vt:lpstr>
      <vt:lpstr>k.w2RD</vt:lpstr>
      <vt:lpstr>k.w2RD.aRG</vt:lpstr>
      <vt:lpstr>k.w2RD.sd2RD</vt:lpstr>
      <vt:lpstr>k.w2RP</vt:lpstr>
      <vt:lpstr>k.w2RP.sd2RP</vt:lpstr>
      <vt:lpstr>k.w2RS</vt:lpstr>
      <vt:lpstr>k.w2RS.sd2RS</vt:lpstr>
      <vt:lpstr>k.w2RS.w2RA</vt:lpstr>
      <vt:lpstr>k.w2RS.w2RP</vt:lpstr>
      <vt:lpstr>k.w2T</vt:lpstr>
      <vt:lpstr>k.w2T.aT</vt:lpstr>
      <vt:lpstr>k.w2T.sdT</vt:lpstr>
      <vt:lpstr>k.w2T.w2M</vt:lpstr>
      <vt:lpstr>k.w2T.w3T</vt:lpstr>
      <vt:lpstr>k.w2TA</vt:lpstr>
      <vt:lpstr>k.w2TA.w3TA</vt:lpstr>
      <vt:lpstr>k.w2TD</vt:lpstr>
      <vt:lpstr>k.w2TD.aTG</vt:lpstr>
      <vt:lpstr>k.w2TP</vt:lpstr>
      <vt:lpstr>k.w2TP.w3TP</vt:lpstr>
      <vt:lpstr>k.w2TS</vt:lpstr>
      <vt:lpstr>k.w2TS.w2TA</vt:lpstr>
      <vt:lpstr>k.w2TS.w2TP</vt:lpstr>
      <vt:lpstr>k.w2TS.w3TS</vt:lpstr>
      <vt:lpstr>k.w3A</vt:lpstr>
      <vt:lpstr>k.w3A.sdA</vt:lpstr>
      <vt:lpstr>k.w3A.w2A</vt:lpstr>
      <vt:lpstr>k.w3A.w3M</vt:lpstr>
      <vt:lpstr>k.w3AA</vt:lpstr>
      <vt:lpstr>k.w3AA.sdAA</vt:lpstr>
      <vt:lpstr>k.w3AD</vt:lpstr>
      <vt:lpstr>k.w3AD.sdAD</vt:lpstr>
      <vt:lpstr>k.w3AP</vt:lpstr>
      <vt:lpstr>k.w3AP.sdAP</vt:lpstr>
      <vt:lpstr>k.w3AS</vt:lpstr>
      <vt:lpstr>k.w3AS.sdAS</vt:lpstr>
      <vt:lpstr>k.w3AS.w3AA</vt:lpstr>
      <vt:lpstr>k.w3AS.w3AP</vt:lpstr>
      <vt:lpstr>k.w3M</vt:lpstr>
      <vt:lpstr>k.w3M.sdM</vt:lpstr>
      <vt:lpstr>k.w3M.w2M</vt:lpstr>
      <vt:lpstr>k.w3M.w3A</vt:lpstr>
      <vt:lpstr>k.w3M.w3T</vt:lpstr>
      <vt:lpstr>k.w3MA</vt:lpstr>
      <vt:lpstr>k.w3MA.sdMA</vt:lpstr>
      <vt:lpstr>k.w3MD</vt:lpstr>
      <vt:lpstr>k.w3MD.sdMD</vt:lpstr>
      <vt:lpstr>k.w3MP</vt:lpstr>
      <vt:lpstr>k.w3MP.sdMP</vt:lpstr>
      <vt:lpstr>k.w3MS</vt:lpstr>
      <vt:lpstr>k.w3MS.sdMS</vt:lpstr>
      <vt:lpstr>k.w3MS.w3MA</vt:lpstr>
      <vt:lpstr>k.w3MS.w3MP</vt:lpstr>
      <vt:lpstr>k.w3T</vt:lpstr>
      <vt:lpstr>k.w3T.sdT</vt:lpstr>
      <vt:lpstr>k.w3T.w2T</vt:lpstr>
      <vt:lpstr>k.w3T.w3M</vt:lpstr>
      <vt:lpstr>k.w3TA</vt:lpstr>
      <vt:lpstr>k.w3TA.sdTA</vt:lpstr>
      <vt:lpstr>k.w3TD</vt:lpstr>
      <vt:lpstr>k.w3TD.sdTD</vt:lpstr>
      <vt:lpstr>k.w3TP</vt:lpstr>
      <vt:lpstr>k.w3TP.sdTP</vt:lpstr>
      <vt:lpstr>k.w3TS</vt:lpstr>
      <vt:lpstr>k.w3TS.sdTS</vt:lpstr>
      <vt:lpstr>k.w3TS.w3TA</vt:lpstr>
      <vt:lpstr>k.w3TS.w3TP</vt:lpstr>
      <vt:lpstr>k0.OHrad</vt:lpstr>
      <vt:lpstr>Kaers.aA</vt:lpstr>
      <vt:lpstr>Kaers.aC</vt:lpstr>
      <vt:lpstr>Kaers.aM</vt:lpstr>
      <vt:lpstr>Kaers.aR</vt:lpstr>
      <vt:lpstr>Kaers.aT</vt:lpstr>
      <vt:lpstr>Kaerw.aA</vt:lpstr>
      <vt:lpstr>Kaerw.aC</vt:lpstr>
      <vt:lpstr>Kaerw.aM</vt:lpstr>
      <vt:lpstr>Kaerw.aR</vt:lpstr>
      <vt:lpstr>Kaerw.aT</vt:lpstr>
      <vt:lpstr>Kaw</vt:lpstr>
      <vt:lpstr>Kaw.A</vt:lpstr>
      <vt:lpstr>Kaw.C</vt:lpstr>
      <vt:lpstr>Kaw.M</vt:lpstr>
      <vt:lpstr>Kaw.T</vt:lpstr>
      <vt:lpstr>KawD.R</vt:lpstr>
      <vt:lpstr>kboltz</vt:lpstr>
      <vt:lpstr>kbur.sd0C</vt:lpstr>
      <vt:lpstr>kbur.sd0R</vt:lpstr>
      <vt:lpstr>kbur.sd1C</vt:lpstr>
      <vt:lpstr>kbur.sd1R</vt:lpstr>
      <vt:lpstr>kbur.sd2C</vt:lpstr>
      <vt:lpstr>kbur.sd2R</vt:lpstr>
      <vt:lpstr>kbur.sdA</vt:lpstr>
      <vt:lpstr>kbur.sdM</vt:lpstr>
      <vt:lpstr>kbur.sdT</vt:lpstr>
      <vt:lpstr>kcoag.aAS.aAAcc</vt:lpstr>
      <vt:lpstr>kcoag.aAS.aANuc</vt:lpstr>
      <vt:lpstr>kcoag.aCS.aCAcc</vt:lpstr>
      <vt:lpstr>kcoag.aCS.aCNuc</vt:lpstr>
      <vt:lpstr>kcoag.aMS.aMAcc</vt:lpstr>
      <vt:lpstr>kcoag.aMS.aMNuc</vt:lpstr>
      <vt:lpstr>kcoag.aRS.AccR</vt:lpstr>
      <vt:lpstr>kcoag.aRS.aRNuc</vt:lpstr>
      <vt:lpstr>kcoag.aTS.aTAcc</vt:lpstr>
      <vt:lpstr>kcoag.aTS.aTNuc</vt:lpstr>
      <vt:lpstr>KDEG.aA</vt:lpstr>
      <vt:lpstr>KDEG.aC</vt:lpstr>
      <vt:lpstr>KDEG.aM</vt:lpstr>
      <vt:lpstr>KDEG.aR</vt:lpstr>
      <vt:lpstr>KDEG.aT</vt:lpstr>
      <vt:lpstr>KDEG.s1C</vt:lpstr>
      <vt:lpstr>KDEG.s1R</vt:lpstr>
      <vt:lpstr>KDEG.s2C</vt:lpstr>
      <vt:lpstr>KDEG.s2R</vt:lpstr>
      <vt:lpstr>KDEG.s3C</vt:lpstr>
      <vt:lpstr>KDEG.s3R</vt:lpstr>
      <vt:lpstr>KDEG.sA</vt:lpstr>
      <vt:lpstr>KDEG.sd0C</vt:lpstr>
      <vt:lpstr>KDEG.sd0R</vt:lpstr>
      <vt:lpstr>KDEG.sd1C</vt:lpstr>
      <vt:lpstr>KDEG.sd1R</vt:lpstr>
      <vt:lpstr>KDEG.sd2C</vt:lpstr>
      <vt:lpstr>KDEG.sd2R</vt:lpstr>
      <vt:lpstr>KDEG.sdA</vt:lpstr>
      <vt:lpstr>KDEG.sdM</vt:lpstr>
      <vt:lpstr>KDEG.sdT</vt:lpstr>
      <vt:lpstr>kdeg.sed</vt:lpstr>
      <vt:lpstr>KDEG.sM</vt:lpstr>
      <vt:lpstr>kdeg.soil</vt:lpstr>
      <vt:lpstr>KDEG.sT</vt:lpstr>
      <vt:lpstr>KDEG.w0C</vt:lpstr>
      <vt:lpstr>KDEG.w0R</vt:lpstr>
      <vt:lpstr>KDEG.w1C</vt:lpstr>
      <vt:lpstr>KDEG.w1R</vt:lpstr>
      <vt:lpstr>KDEG.w2A</vt:lpstr>
      <vt:lpstr>KDEG.w2C</vt:lpstr>
      <vt:lpstr>KDEG.w2M</vt:lpstr>
      <vt:lpstr>KDEG.w2R</vt:lpstr>
      <vt:lpstr>KDEG.w2T</vt:lpstr>
      <vt:lpstr>KDEG.w3A</vt:lpstr>
      <vt:lpstr>KDEG.w3M</vt:lpstr>
      <vt:lpstr>KDEG.w3T</vt:lpstr>
      <vt:lpstr>kdeg.water</vt:lpstr>
      <vt:lpstr>kdegA.a</vt:lpstr>
      <vt:lpstr>kdegA.s1</vt:lpstr>
      <vt:lpstr>kdegA.s2</vt:lpstr>
      <vt:lpstr>kdegA.s3</vt:lpstr>
      <vt:lpstr>kdegA.sd0</vt:lpstr>
      <vt:lpstr>kdegA.sd1</vt:lpstr>
      <vt:lpstr>kdegA.sd2</vt:lpstr>
      <vt:lpstr>kdegA.w0</vt:lpstr>
      <vt:lpstr>kdegA.w1</vt:lpstr>
      <vt:lpstr>kdegA.w2</vt:lpstr>
      <vt:lpstr>kdegA.w3</vt:lpstr>
      <vt:lpstr>kdegD.sed</vt:lpstr>
      <vt:lpstr>kdegD.soil</vt:lpstr>
      <vt:lpstr>kdegD.water</vt:lpstr>
      <vt:lpstr>kdegG.air</vt:lpstr>
      <vt:lpstr>kdegP.a</vt:lpstr>
      <vt:lpstr>kdegP.s1</vt:lpstr>
      <vt:lpstr>kdegP.s2</vt:lpstr>
      <vt:lpstr>kdegP.s3</vt:lpstr>
      <vt:lpstr>kdegP.sd0</vt:lpstr>
      <vt:lpstr>kdegP.sd1</vt:lpstr>
      <vt:lpstr>kdegP.sd2</vt:lpstr>
      <vt:lpstr>kdegP.w0</vt:lpstr>
      <vt:lpstr>kdegP.w1</vt:lpstr>
      <vt:lpstr>kdegP.w2</vt:lpstr>
      <vt:lpstr>kdegP.w3</vt:lpstr>
      <vt:lpstr>kdegS.a</vt:lpstr>
      <vt:lpstr>kdegS.s1</vt:lpstr>
      <vt:lpstr>kdegS.s2</vt:lpstr>
      <vt:lpstr>kdegS.s3</vt:lpstr>
      <vt:lpstr>kdegS.sd0</vt:lpstr>
      <vt:lpstr>kdegS.sd1</vt:lpstr>
      <vt:lpstr>kdegS.sd2</vt:lpstr>
      <vt:lpstr>kdegS.w0</vt:lpstr>
      <vt:lpstr>kdegS.w1</vt:lpstr>
      <vt:lpstr>kdegS.w2</vt:lpstr>
      <vt:lpstr>kdegS.w3</vt:lpstr>
      <vt:lpstr>kdep.A</vt:lpstr>
      <vt:lpstr>kdep.M</vt:lpstr>
      <vt:lpstr>kdep.T</vt:lpstr>
      <vt:lpstr>KDEPmean.A</vt:lpstr>
      <vt:lpstr>KDEPmean.M</vt:lpstr>
      <vt:lpstr>KDEPmean.T</vt:lpstr>
      <vt:lpstr>kdis.s1A.s1D</vt:lpstr>
      <vt:lpstr>kdis.s1P.s1D</vt:lpstr>
      <vt:lpstr>kdis.s1S.s1D</vt:lpstr>
      <vt:lpstr>kdis.s2A.s2D</vt:lpstr>
      <vt:lpstr>kdis.s2P.s2D</vt:lpstr>
      <vt:lpstr>kdis.s2S.s2D</vt:lpstr>
      <vt:lpstr>kdis.s3A.s3D</vt:lpstr>
      <vt:lpstr>kdis.s3P.s3D</vt:lpstr>
      <vt:lpstr>kdis.s3S.s3D</vt:lpstr>
      <vt:lpstr>kdis.sd0A.sd0D</vt:lpstr>
      <vt:lpstr>kdis.sd0P.sd0D</vt:lpstr>
      <vt:lpstr>kdis.sd0S.sd0D</vt:lpstr>
      <vt:lpstr>kdis.sd1A.sd1D</vt:lpstr>
      <vt:lpstr>kdis.sd1P.sd1D</vt:lpstr>
      <vt:lpstr>kdis.sd1S.sd1D</vt:lpstr>
      <vt:lpstr>kdis.sd2A.sd2D</vt:lpstr>
      <vt:lpstr>kdis.sd2P.sd2D</vt:lpstr>
      <vt:lpstr>kdis.sd2S.sd2D</vt:lpstr>
      <vt:lpstr>kdis.w0A.w0D</vt:lpstr>
      <vt:lpstr>kdis.w0P.w0D</vt:lpstr>
      <vt:lpstr>kdis.w0S.w0D</vt:lpstr>
      <vt:lpstr>kdis.w1A.w1D</vt:lpstr>
      <vt:lpstr>kdis.w1P.w1D</vt:lpstr>
      <vt:lpstr>kdis.w1S.w1D</vt:lpstr>
      <vt:lpstr>kdis.w2A.w2D</vt:lpstr>
      <vt:lpstr>kdis.w2P.w2D</vt:lpstr>
      <vt:lpstr>kdis.w2S.w2D</vt:lpstr>
      <vt:lpstr>kdis.w3A.w3D</vt:lpstr>
      <vt:lpstr>kdis.w3P.w3D</vt:lpstr>
      <vt:lpstr>kdis.w3S.w3D</vt:lpstr>
      <vt:lpstr>kdry.A</vt:lpstr>
      <vt:lpstr>kdry.C</vt:lpstr>
      <vt:lpstr>kdry.M</vt:lpstr>
      <vt:lpstr>kdry.R</vt:lpstr>
      <vt:lpstr>kdry.T</vt:lpstr>
      <vt:lpstr>kesc.aA</vt:lpstr>
      <vt:lpstr>kesc.aC</vt:lpstr>
      <vt:lpstr>kesc.aM</vt:lpstr>
      <vt:lpstr>kesc.aR</vt:lpstr>
      <vt:lpstr>kesc.aT</vt:lpstr>
      <vt:lpstr>kfragS.a</vt:lpstr>
      <vt:lpstr>kfragS.s</vt:lpstr>
      <vt:lpstr>kfragS.sd</vt:lpstr>
      <vt:lpstr>kfragS.w1</vt:lpstr>
      <vt:lpstr>kfragS.w2</vt:lpstr>
      <vt:lpstr>kfragS.w3</vt:lpstr>
      <vt:lpstr>kleach.s1C</vt:lpstr>
      <vt:lpstr>kleach.s1R</vt:lpstr>
      <vt:lpstr>kleach.s2C</vt:lpstr>
      <vt:lpstr>kleach.s2R</vt:lpstr>
      <vt:lpstr>kleach.s3C</vt:lpstr>
      <vt:lpstr>kleach.s3R</vt:lpstr>
      <vt:lpstr>kleach.sA</vt:lpstr>
      <vt:lpstr>kleach.sM</vt:lpstr>
      <vt:lpstr>kleach.sT</vt:lpstr>
      <vt:lpstr>kmpdeg.a</vt:lpstr>
      <vt:lpstr>kmpdeg.s</vt:lpstr>
      <vt:lpstr>kmpdeg.sd</vt:lpstr>
      <vt:lpstr>kmpdeg.w1</vt:lpstr>
      <vt:lpstr>kmpdeg.w2</vt:lpstr>
      <vt:lpstr>kmpdeg.w3</vt:lpstr>
      <vt:lpstr>knattenp</vt:lpstr>
      <vt:lpstr>knenp</vt:lpstr>
      <vt:lpstr>KnudS</vt:lpstr>
      <vt:lpstr>Kow</vt:lpstr>
      <vt:lpstr>Kow.alt</vt:lpstr>
      <vt:lpstr>Kp.col0C</vt:lpstr>
      <vt:lpstr>Kp.col0R</vt:lpstr>
      <vt:lpstr>Kp.col1C</vt:lpstr>
      <vt:lpstr>Kp.col1R</vt:lpstr>
      <vt:lpstr>Kp.col2A</vt:lpstr>
      <vt:lpstr>Kp.col2C</vt:lpstr>
      <vt:lpstr>Kp.col2M</vt:lpstr>
      <vt:lpstr>Kp.col2R</vt:lpstr>
      <vt:lpstr>Kp.col2T</vt:lpstr>
      <vt:lpstr>Kp.col3A</vt:lpstr>
      <vt:lpstr>Kp.col3M</vt:lpstr>
      <vt:lpstr>Kp.col3T</vt:lpstr>
      <vt:lpstr>Kp.colM</vt:lpstr>
      <vt:lpstr>Kp.s1C</vt:lpstr>
      <vt:lpstr>Kp.s1R</vt:lpstr>
      <vt:lpstr>Kp.s2C</vt:lpstr>
      <vt:lpstr>Kp.s2R</vt:lpstr>
      <vt:lpstr>Kp.s3C</vt:lpstr>
      <vt:lpstr>Kp.s3R</vt:lpstr>
      <vt:lpstr>Kp.sA</vt:lpstr>
      <vt:lpstr>Kp.sd0C</vt:lpstr>
      <vt:lpstr>Kp.sd0R</vt:lpstr>
      <vt:lpstr>Kp.sd1C</vt:lpstr>
      <vt:lpstr>Kp.sd1R</vt:lpstr>
      <vt:lpstr>Kp.sd2C</vt:lpstr>
      <vt:lpstr>Kp.sd2R</vt:lpstr>
      <vt:lpstr>Kp.sdA</vt:lpstr>
      <vt:lpstr>Kp.sdM</vt:lpstr>
      <vt:lpstr>Kp.sdT</vt:lpstr>
      <vt:lpstr>Kp.sM</vt:lpstr>
      <vt:lpstr>Kp.sT</vt:lpstr>
      <vt:lpstr>Kp.susp0C</vt:lpstr>
      <vt:lpstr>Kp.susp0R</vt:lpstr>
      <vt:lpstr>Kp.susp1C</vt:lpstr>
      <vt:lpstr>Kp.susp1R</vt:lpstr>
      <vt:lpstr>Kp.susp2A</vt:lpstr>
      <vt:lpstr>Kp.susp2C</vt:lpstr>
      <vt:lpstr>Kp.susp2M</vt:lpstr>
      <vt:lpstr>Kp.susp2R</vt:lpstr>
      <vt:lpstr>Kp.susp2T</vt:lpstr>
      <vt:lpstr>Kp.susp3A</vt:lpstr>
      <vt:lpstr>Kp.susp3M</vt:lpstr>
      <vt:lpstr>Kp.susp3T</vt:lpstr>
      <vt:lpstr>Ks1w.C</vt:lpstr>
      <vt:lpstr>Ks1w.R</vt:lpstr>
      <vt:lpstr>Ks2w.C</vt:lpstr>
      <vt:lpstr>Ks2w.R</vt:lpstr>
      <vt:lpstr>Ks3w.C</vt:lpstr>
      <vt:lpstr>Ks3w.R</vt:lpstr>
      <vt:lpstr>Ksdw.A</vt:lpstr>
      <vt:lpstr>Ksdw.M</vt:lpstr>
      <vt:lpstr>Ksdw.T</vt:lpstr>
      <vt:lpstr>Ksdw0.C</vt:lpstr>
      <vt:lpstr>Ksdw0.R</vt:lpstr>
      <vt:lpstr>Ksdw1.C</vt:lpstr>
      <vt:lpstr>Ksdw1.R</vt:lpstr>
      <vt:lpstr>Ksdw2.C</vt:lpstr>
      <vt:lpstr>Ksdw2.R</vt:lpstr>
      <vt:lpstr>Kslw.A</vt:lpstr>
      <vt:lpstr>Kslw.M</vt:lpstr>
      <vt:lpstr>Kslw.T</vt:lpstr>
      <vt:lpstr>Ksw</vt:lpstr>
      <vt:lpstr>Ksw.A</vt:lpstr>
      <vt:lpstr>Ksw.alt</vt:lpstr>
      <vt:lpstr>Ksw.M</vt:lpstr>
      <vt:lpstr>Ksw.T</vt:lpstr>
      <vt:lpstr>kwet.A</vt:lpstr>
      <vt:lpstr>kwet.C</vt:lpstr>
      <vt:lpstr>kwet.M</vt:lpstr>
      <vt:lpstr>kwet.R</vt:lpstr>
      <vt:lpstr>kwet.T</vt:lpstr>
      <vt:lpstr>kwsd.sed.sdA</vt:lpstr>
      <vt:lpstr>kwsd.sed.sdC</vt:lpstr>
      <vt:lpstr>kwsd.sed.sdM</vt:lpstr>
      <vt:lpstr>kwsd.sed.sdR</vt:lpstr>
      <vt:lpstr>kwsd.sed.sdT</vt:lpstr>
      <vt:lpstr>kwsd.water.wA</vt:lpstr>
      <vt:lpstr>kwsd.water.wC</vt:lpstr>
      <vt:lpstr>kwsd.water.wM</vt:lpstr>
      <vt:lpstr>kwsd.water.wR</vt:lpstr>
      <vt:lpstr>kwsd.water.wT</vt:lpstr>
      <vt:lpstr>largevegradius.s1C</vt:lpstr>
      <vt:lpstr>largevegradius.s1R</vt:lpstr>
      <vt:lpstr>largevegradius.s2C</vt:lpstr>
      <vt:lpstr>largevegradius.s2R</vt:lpstr>
      <vt:lpstr>largevegradius.s3C</vt:lpstr>
      <vt:lpstr>largevegradius.s3R</vt:lpstr>
      <vt:lpstr>largevegradius.sA</vt:lpstr>
      <vt:lpstr>largevegradius.sM</vt:lpstr>
      <vt:lpstr>largevegradius.sT</vt:lpstr>
      <vt:lpstr>M.aA</vt:lpstr>
      <vt:lpstr>M.aAA</vt:lpstr>
      <vt:lpstr>M.aAG</vt:lpstr>
      <vt:lpstr>M.aAP</vt:lpstr>
      <vt:lpstr>M.aAS</vt:lpstr>
      <vt:lpstr>M.aC</vt:lpstr>
      <vt:lpstr>M.aCA</vt:lpstr>
      <vt:lpstr>M.aCG</vt:lpstr>
      <vt:lpstr>M.aCP</vt:lpstr>
      <vt:lpstr>M.aCS</vt:lpstr>
      <vt:lpstr>M.aM</vt:lpstr>
      <vt:lpstr>M.aMA</vt:lpstr>
      <vt:lpstr>M.aMG</vt:lpstr>
      <vt:lpstr>M.aMP</vt:lpstr>
      <vt:lpstr>M.aMS</vt:lpstr>
      <vt:lpstr>M.aR</vt:lpstr>
      <vt:lpstr>M.aRA</vt:lpstr>
      <vt:lpstr>M.aRG</vt:lpstr>
      <vt:lpstr>M.aRP</vt:lpstr>
      <vt:lpstr>M.aRS</vt:lpstr>
      <vt:lpstr>M.aT</vt:lpstr>
      <vt:lpstr>M.aTA</vt:lpstr>
      <vt:lpstr>M.aTG</vt:lpstr>
      <vt:lpstr>M.aTP</vt:lpstr>
      <vt:lpstr>M.aTS</vt:lpstr>
      <vt:lpstr>M.cwAA</vt:lpstr>
      <vt:lpstr>M.cwAP</vt:lpstr>
      <vt:lpstr>M.cwAS</vt:lpstr>
      <vt:lpstr>M.cwCA</vt:lpstr>
      <vt:lpstr>M.cwCP</vt:lpstr>
      <vt:lpstr>M.cwCS</vt:lpstr>
      <vt:lpstr>M.cwMA</vt:lpstr>
      <vt:lpstr>M.cwMP</vt:lpstr>
      <vt:lpstr>M.cwMS</vt:lpstr>
      <vt:lpstr>M.cwRA</vt:lpstr>
      <vt:lpstr>M.cwRP</vt:lpstr>
      <vt:lpstr>M.cwRS</vt:lpstr>
      <vt:lpstr>M.cwTA</vt:lpstr>
      <vt:lpstr>M.cwTP</vt:lpstr>
      <vt:lpstr>M.cwTS</vt:lpstr>
      <vt:lpstr>M.s1C</vt:lpstr>
      <vt:lpstr>M.s1CA</vt:lpstr>
      <vt:lpstr>M.s1CD</vt:lpstr>
      <vt:lpstr>M.s1CP</vt:lpstr>
      <vt:lpstr>M.s1CS</vt:lpstr>
      <vt:lpstr>M.s1R</vt:lpstr>
      <vt:lpstr>M.s1RA</vt:lpstr>
      <vt:lpstr>M.s1RD</vt:lpstr>
      <vt:lpstr>M.s1RP</vt:lpstr>
      <vt:lpstr>M.s1RS</vt:lpstr>
      <vt:lpstr>M.s2C</vt:lpstr>
      <vt:lpstr>M.s2CA</vt:lpstr>
      <vt:lpstr>M.s2CD</vt:lpstr>
      <vt:lpstr>M.s2CP</vt:lpstr>
      <vt:lpstr>M.s2CS</vt:lpstr>
      <vt:lpstr>M.s2R</vt:lpstr>
      <vt:lpstr>M.s2RA</vt:lpstr>
      <vt:lpstr>M.s2RD</vt:lpstr>
      <vt:lpstr>M.s2RP</vt:lpstr>
      <vt:lpstr>M.s2RS</vt:lpstr>
      <vt:lpstr>M.s3C</vt:lpstr>
      <vt:lpstr>M.s3CA</vt:lpstr>
      <vt:lpstr>M.s3CD</vt:lpstr>
      <vt:lpstr>M.s3CP</vt:lpstr>
      <vt:lpstr>M.s3CS</vt:lpstr>
      <vt:lpstr>M.s3R</vt:lpstr>
      <vt:lpstr>M.s3RA</vt:lpstr>
      <vt:lpstr>M.s3RD</vt:lpstr>
      <vt:lpstr>M.s3RP</vt:lpstr>
      <vt:lpstr>M.s3RS</vt:lpstr>
      <vt:lpstr>M.sA</vt:lpstr>
      <vt:lpstr>M.sAA</vt:lpstr>
      <vt:lpstr>M.sAD</vt:lpstr>
      <vt:lpstr>M.sAP</vt:lpstr>
      <vt:lpstr>M.sAS</vt:lpstr>
      <vt:lpstr>M.sd0CA</vt:lpstr>
      <vt:lpstr>M.sd0CD</vt:lpstr>
      <vt:lpstr>M.sd0CP</vt:lpstr>
      <vt:lpstr>M.sd0CS</vt:lpstr>
      <vt:lpstr>M.sd0RA</vt:lpstr>
      <vt:lpstr>M.sd0RD</vt:lpstr>
      <vt:lpstr>M.sd0RP</vt:lpstr>
      <vt:lpstr>M.sd0RS</vt:lpstr>
      <vt:lpstr>M.sd1C</vt:lpstr>
      <vt:lpstr>M.sd1CA</vt:lpstr>
      <vt:lpstr>M.sd1CD</vt:lpstr>
      <vt:lpstr>M.sd1CP</vt:lpstr>
      <vt:lpstr>M.sd1CS</vt:lpstr>
      <vt:lpstr>M.sd1R</vt:lpstr>
      <vt:lpstr>M.sd1RA</vt:lpstr>
      <vt:lpstr>M.sd1RD</vt:lpstr>
      <vt:lpstr>M.sd1RP</vt:lpstr>
      <vt:lpstr>M.sd1RS</vt:lpstr>
      <vt:lpstr>M.sd2C</vt:lpstr>
      <vt:lpstr>M.sd2CA</vt:lpstr>
      <vt:lpstr>M.sd2CD</vt:lpstr>
      <vt:lpstr>M.sd2CP</vt:lpstr>
      <vt:lpstr>M.sd2CS</vt:lpstr>
      <vt:lpstr>M.sd2R</vt:lpstr>
      <vt:lpstr>M.sd2RA</vt:lpstr>
      <vt:lpstr>M.sd2RD</vt:lpstr>
      <vt:lpstr>M.sd2RP</vt:lpstr>
      <vt:lpstr>M.sd2RS</vt:lpstr>
      <vt:lpstr>M.sdA</vt:lpstr>
      <vt:lpstr>M.sdAA</vt:lpstr>
      <vt:lpstr>M.sdAD</vt:lpstr>
      <vt:lpstr>M.sdAP</vt:lpstr>
      <vt:lpstr>M.sdAS</vt:lpstr>
      <vt:lpstr>M.sdM</vt:lpstr>
      <vt:lpstr>M.sdMA</vt:lpstr>
      <vt:lpstr>M.sdMD</vt:lpstr>
      <vt:lpstr>M.sdMP</vt:lpstr>
      <vt:lpstr>M.sdMS</vt:lpstr>
      <vt:lpstr>M.sdT</vt:lpstr>
      <vt:lpstr>M.sdTA</vt:lpstr>
      <vt:lpstr>M.sdTD</vt:lpstr>
      <vt:lpstr>M.sdTP</vt:lpstr>
      <vt:lpstr>M.sdTS</vt:lpstr>
      <vt:lpstr>M.sM</vt:lpstr>
      <vt:lpstr>M.sMA</vt:lpstr>
      <vt:lpstr>M.sMD</vt:lpstr>
      <vt:lpstr>M.sMP</vt:lpstr>
      <vt:lpstr>M.sMS</vt:lpstr>
      <vt:lpstr>M.sT</vt:lpstr>
      <vt:lpstr>M.sTA</vt:lpstr>
      <vt:lpstr>M.sTD</vt:lpstr>
      <vt:lpstr>M.sTP</vt:lpstr>
      <vt:lpstr>M.sTS</vt:lpstr>
      <vt:lpstr>M.tot</vt:lpstr>
      <vt:lpstr>M.w0C</vt:lpstr>
      <vt:lpstr>M.w0CA</vt:lpstr>
      <vt:lpstr>M.w0CD</vt:lpstr>
      <vt:lpstr>M.w0CP</vt:lpstr>
      <vt:lpstr>M.w0CS</vt:lpstr>
      <vt:lpstr>M.w0R</vt:lpstr>
      <vt:lpstr>M.w0RA</vt:lpstr>
      <vt:lpstr>M.w0RD</vt:lpstr>
      <vt:lpstr>M.w0RP</vt:lpstr>
      <vt:lpstr>M.w0RS</vt:lpstr>
      <vt:lpstr>M.w1C</vt:lpstr>
      <vt:lpstr>M.w1CA</vt:lpstr>
      <vt:lpstr>M.w1CD</vt:lpstr>
      <vt:lpstr>M.w1CP</vt:lpstr>
      <vt:lpstr>M.w1CS</vt:lpstr>
      <vt:lpstr>M.w1R</vt:lpstr>
      <vt:lpstr>M.w1RA</vt:lpstr>
      <vt:lpstr>M.w1RD</vt:lpstr>
      <vt:lpstr>M.w1RP</vt:lpstr>
      <vt:lpstr>M.w1RS</vt:lpstr>
      <vt:lpstr>M.w2A</vt:lpstr>
      <vt:lpstr>M.w2AA</vt:lpstr>
      <vt:lpstr>M.w2AD</vt:lpstr>
      <vt:lpstr>M.w2AP</vt:lpstr>
      <vt:lpstr>M.w2AS</vt:lpstr>
      <vt:lpstr>M.w2C</vt:lpstr>
      <vt:lpstr>M.w2CA</vt:lpstr>
      <vt:lpstr>M.w2CD</vt:lpstr>
      <vt:lpstr>M.w2CP</vt:lpstr>
      <vt:lpstr>M.w2CS</vt:lpstr>
      <vt:lpstr>M.w2M</vt:lpstr>
      <vt:lpstr>M.w2MA</vt:lpstr>
      <vt:lpstr>M.w2MD</vt:lpstr>
      <vt:lpstr>M.w2MP</vt:lpstr>
      <vt:lpstr>M.w2MS</vt:lpstr>
      <vt:lpstr>M.w2R</vt:lpstr>
      <vt:lpstr>M.w2RA</vt:lpstr>
      <vt:lpstr>M.w2RD</vt:lpstr>
      <vt:lpstr>M.w2RP</vt:lpstr>
      <vt:lpstr>M.w2RS</vt:lpstr>
      <vt:lpstr>M.w2T</vt:lpstr>
      <vt:lpstr>M.w2TA</vt:lpstr>
      <vt:lpstr>M.w2TD</vt:lpstr>
      <vt:lpstr>M.w2TP</vt:lpstr>
      <vt:lpstr>M.w2TS</vt:lpstr>
      <vt:lpstr>M.w3A</vt:lpstr>
      <vt:lpstr>M.w3AA</vt:lpstr>
      <vt:lpstr>M.w3AD</vt:lpstr>
      <vt:lpstr>M.w3AP</vt:lpstr>
      <vt:lpstr>M.w3AS</vt:lpstr>
      <vt:lpstr>M.w3M</vt:lpstr>
      <vt:lpstr>M.w3MA</vt:lpstr>
      <vt:lpstr>M.w3MD</vt:lpstr>
      <vt:lpstr>M.w3MP</vt:lpstr>
      <vt:lpstr>M.w3MS</vt:lpstr>
      <vt:lpstr>M.w3T</vt:lpstr>
      <vt:lpstr>M.w3TA</vt:lpstr>
      <vt:lpstr>M.w3TD</vt:lpstr>
      <vt:lpstr>M.w3TP</vt:lpstr>
      <vt:lpstr>M.w3TS</vt:lpstr>
      <vt:lpstr>m0</vt:lpstr>
      <vt:lpstr>mass</vt:lpstr>
      <vt:lpstr>massaggair</vt:lpstr>
      <vt:lpstr>massfreeair</vt:lpstr>
      <vt:lpstr>massrainagg</vt:lpstr>
      <vt:lpstr>massrainatt</vt:lpstr>
      <vt:lpstr>massrainfree</vt:lpstr>
      <vt:lpstr>masssedagg</vt:lpstr>
      <vt:lpstr>masssedatt</vt:lpstr>
      <vt:lpstr>masssedfree</vt:lpstr>
      <vt:lpstr>masssoilagg</vt:lpstr>
      <vt:lpstr>masssoilatt</vt:lpstr>
      <vt:lpstr>masssoilfree</vt:lpstr>
      <vt:lpstr>masswateragg</vt:lpstr>
      <vt:lpstr>masswateratt</vt:lpstr>
      <vt:lpstr>masswaterfree</vt:lpstr>
      <vt:lpstr>mConcNC.sA</vt:lpstr>
      <vt:lpstr>mConcNC.sC</vt:lpstr>
      <vt:lpstr>mConcNC.sM</vt:lpstr>
      <vt:lpstr>mConcNC.sR</vt:lpstr>
      <vt:lpstr>mConcNC.sT</vt:lpstr>
      <vt:lpstr>MeanDep.A</vt:lpstr>
      <vt:lpstr>MeanDep.C</vt:lpstr>
      <vt:lpstr>MeanDep.M</vt:lpstr>
      <vt:lpstr>MeanDep.R</vt:lpstr>
      <vt:lpstr>MeanDep.T</vt:lpstr>
      <vt:lpstr>MeanRem.aA</vt:lpstr>
      <vt:lpstr>MeanRem.aC</vt:lpstr>
      <vt:lpstr>MeanRem.aM</vt:lpstr>
      <vt:lpstr>MeanRem.aR</vt:lpstr>
      <vt:lpstr>MeanRem.aT</vt:lpstr>
      <vt:lpstr>Molweight</vt:lpstr>
      <vt:lpstr>MTCas.air.aA</vt:lpstr>
      <vt:lpstr>MTCas.air.aC</vt:lpstr>
      <vt:lpstr>MTCas.air.aM</vt:lpstr>
      <vt:lpstr>MTCas.air.aR</vt:lpstr>
      <vt:lpstr>MTCas.air.aT</vt:lpstr>
      <vt:lpstr>MTCas.soil.sA</vt:lpstr>
      <vt:lpstr>MTCas.soil.sC</vt:lpstr>
      <vt:lpstr>MTCas.soil.sM</vt:lpstr>
      <vt:lpstr>MTCas.soil.sR</vt:lpstr>
      <vt:lpstr>MTCas.soil.sT</vt:lpstr>
      <vt:lpstr>MTCaw.air.aA</vt:lpstr>
      <vt:lpstr>MTCaw.air.aC</vt:lpstr>
      <vt:lpstr>MTCaw.air.aM</vt:lpstr>
      <vt:lpstr>MTCaw.air.aR</vt:lpstr>
      <vt:lpstr>MTCaw.air.aT</vt:lpstr>
      <vt:lpstr>MTCaw.water.wA</vt:lpstr>
      <vt:lpstr>MTCaw.water.wC</vt:lpstr>
      <vt:lpstr>MTCaw.water.wM</vt:lpstr>
      <vt:lpstr>MTCaw.water.wR</vt:lpstr>
      <vt:lpstr>MTCaw.water.wT</vt:lpstr>
      <vt:lpstr>NETsedrate.w0C</vt:lpstr>
      <vt:lpstr>NETsedrate.w0R</vt:lpstr>
      <vt:lpstr>NETsedrate.w1C</vt:lpstr>
      <vt:lpstr>NETsedrate.w1R</vt:lpstr>
      <vt:lpstr>NETsedrate.w2C</vt:lpstr>
      <vt:lpstr>NETsedrate.w2R</vt:lpstr>
      <vt:lpstr>NETsedrate.wA</vt:lpstr>
      <vt:lpstr>NETsedrate.wM</vt:lpstr>
      <vt:lpstr>NETsedrate.wT</vt:lpstr>
      <vt:lpstr>NumberNC.w1R</vt:lpstr>
      <vt:lpstr>NumConcAcc.aA</vt:lpstr>
      <vt:lpstr>NumConcAcc.aC</vt:lpstr>
      <vt:lpstr>NumConcAcc.aM</vt:lpstr>
      <vt:lpstr>NumConcAcc.aR</vt:lpstr>
      <vt:lpstr>NumConcAcc.aT</vt:lpstr>
      <vt:lpstr>NumConcCP.aA</vt:lpstr>
      <vt:lpstr>NumConcCP.aC</vt:lpstr>
      <vt:lpstr>NumConcCP.aM</vt:lpstr>
      <vt:lpstr>NumConcCP.aR</vt:lpstr>
      <vt:lpstr>NumConcCP.aT</vt:lpstr>
      <vt:lpstr>NumConcNC.sA</vt:lpstr>
      <vt:lpstr>NumConcNC.sC</vt:lpstr>
      <vt:lpstr>NumConcNC.sd0C</vt:lpstr>
      <vt:lpstr>NumConcNC.sd0R</vt:lpstr>
      <vt:lpstr>NumConcNC.sd1C</vt:lpstr>
      <vt:lpstr>NumConcNC.sd1R</vt:lpstr>
      <vt:lpstr>NumConcNC.sd2C</vt:lpstr>
      <vt:lpstr>NumConcNC.sd2R</vt:lpstr>
      <vt:lpstr>NumConcNC.sdA</vt:lpstr>
      <vt:lpstr>NumConcNC.sdM</vt:lpstr>
      <vt:lpstr>NumConcNC.sdT</vt:lpstr>
      <vt:lpstr>NumConcNC.sM</vt:lpstr>
      <vt:lpstr>NumConcNC.sR</vt:lpstr>
      <vt:lpstr>NumConcNC.sT</vt:lpstr>
      <vt:lpstr>NumConcNC.w0C</vt:lpstr>
      <vt:lpstr>NumConcNC.w0R</vt:lpstr>
      <vt:lpstr>NumConcNC.w1C</vt:lpstr>
      <vt:lpstr>NumConcNC.w1R</vt:lpstr>
      <vt:lpstr>NumConcNC.w2A</vt:lpstr>
      <vt:lpstr>NumConcNC.w2C</vt:lpstr>
      <vt:lpstr>NumConcNC.w2M</vt:lpstr>
      <vt:lpstr>NumConcNC.w2R</vt:lpstr>
      <vt:lpstr>NumConcNC.w2T</vt:lpstr>
      <vt:lpstr>NumConcNC.w3A</vt:lpstr>
      <vt:lpstr>NumConcNC.w3M</vt:lpstr>
      <vt:lpstr>NumConcNC.w3T</vt:lpstr>
      <vt:lpstr>NumConcNuc.aA</vt:lpstr>
      <vt:lpstr>NumConcNuc.aC</vt:lpstr>
      <vt:lpstr>NumConcNuc.aM</vt:lpstr>
      <vt:lpstr>NumConcNuc.aR</vt:lpstr>
      <vt:lpstr>NumConcNuc.aT</vt:lpstr>
      <vt:lpstr>NumConcSPM.w0C</vt:lpstr>
      <vt:lpstr>NumConcSPM.w0R</vt:lpstr>
      <vt:lpstr>NumConcSPM.w1C</vt:lpstr>
      <vt:lpstr>NumConcSPM.w1R</vt:lpstr>
      <vt:lpstr>NumConcSPM.w2A</vt:lpstr>
      <vt:lpstr>NumConcSPM.w2C</vt:lpstr>
      <vt:lpstr>NumConcSPM.w2M</vt:lpstr>
      <vt:lpstr>NumConcSPM.w2R</vt:lpstr>
      <vt:lpstr>NumConcSPM.w2T</vt:lpstr>
      <vt:lpstr>NumConcSPM.w3A</vt:lpstr>
      <vt:lpstr>NumConcSPM.w3M</vt:lpstr>
      <vt:lpstr>NumConcSPM.w3T</vt:lpstr>
      <vt:lpstr>OceanCurrent</vt:lpstr>
      <vt:lpstr>OceanMixing.A</vt:lpstr>
      <vt:lpstr>OceanMixing.M</vt:lpstr>
      <vt:lpstr>OceanMixing.T</vt:lpstr>
      <vt:lpstr>PecletNumberFP.s1C</vt:lpstr>
      <vt:lpstr>PecletNumberFP.s1R</vt:lpstr>
      <vt:lpstr>PecletNumberFP.s2C</vt:lpstr>
      <vt:lpstr>PecletNumberFP.s2R</vt:lpstr>
      <vt:lpstr>PecletNumberFP.s3C</vt:lpstr>
      <vt:lpstr>PecletNumberFP.s3R</vt:lpstr>
      <vt:lpstr>PecletNumberFP.sA</vt:lpstr>
      <vt:lpstr>PecletNumberFP.sM</vt:lpstr>
      <vt:lpstr>PecletNumberFP.sT</vt:lpstr>
      <vt:lpstr>PecletNumberSP.sdA</vt:lpstr>
      <vt:lpstr>PecletNumberSP.sdC</vt:lpstr>
      <vt:lpstr>PecletNumberSP.sdM</vt:lpstr>
      <vt:lpstr>PecletNumberSP.sdR</vt:lpstr>
      <vt:lpstr>PecletNumberSP.sdT</vt:lpstr>
      <vt:lpstr>pH.aerw</vt:lpstr>
      <vt:lpstr>pH.cldw</vt:lpstr>
      <vt:lpstr>pH.s1</vt:lpstr>
      <vt:lpstr>pH.s2</vt:lpstr>
      <vt:lpstr>pH.s3</vt:lpstr>
      <vt:lpstr>pH.w1</vt:lpstr>
      <vt:lpstr>pH.w2</vt:lpstr>
      <vt:lpstr>pKa</vt:lpstr>
      <vt:lpstr>Por.s1C</vt:lpstr>
      <vt:lpstr>Por.s1R</vt:lpstr>
      <vt:lpstr>Por.s2C</vt:lpstr>
      <vt:lpstr>Por.s2R</vt:lpstr>
      <vt:lpstr>Por.s3C</vt:lpstr>
      <vt:lpstr>Por.s3R</vt:lpstr>
      <vt:lpstr>Por.sA</vt:lpstr>
      <vt:lpstr>Por.sdA</vt:lpstr>
      <vt:lpstr>Por.sdC</vt:lpstr>
      <vt:lpstr>Por.sdM</vt:lpstr>
      <vt:lpstr>Por.sdR</vt:lpstr>
      <vt:lpstr>Por.sdT</vt:lpstr>
      <vt:lpstr>Por.sM</vt:lpstr>
      <vt:lpstr>Por.sT</vt:lpstr>
      <vt:lpstr>PRODsusp.w1C</vt:lpstr>
      <vt:lpstr>PRODsusp.w1R</vt:lpstr>
      <vt:lpstr>PRODsusp.w2C</vt:lpstr>
      <vt:lpstr>PRODsusp.w2R</vt:lpstr>
      <vt:lpstr>PRODsusp.wA</vt:lpstr>
      <vt:lpstr>PRODsusp.wM</vt:lpstr>
      <vt:lpstr>PRODsusp.wT</vt:lpstr>
      <vt:lpstr>Pvap25</vt:lpstr>
      <vt:lpstr>Q.10</vt:lpstr>
      <vt:lpstr>QSARtable</vt:lpstr>
      <vt:lpstr>Rad.cwA</vt:lpstr>
      <vt:lpstr>Rad.cwC</vt:lpstr>
      <vt:lpstr>Rad.cwM</vt:lpstr>
      <vt:lpstr>Rad.cwR</vt:lpstr>
      <vt:lpstr>Rad.cwT</vt:lpstr>
      <vt:lpstr>RadA.aA</vt:lpstr>
      <vt:lpstr>RadA.aC</vt:lpstr>
      <vt:lpstr>RadA.aM</vt:lpstr>
      <vt:lpstr>RadA.aR</vt:lpstr>
      <vt:lpstr>RadA.AT</vt:lpstr>
      <vt:lpstr>RadA.w</vt:lpstr>
      <vt:lpstr>RadAcc</vt:lpstr>
      <vt:lpstr>RadCP.a</vt:lpstr>
      <vt:lpstr>RadFP.s</vt:lpstr>
      <vt:lpstr>RadFP.sd</vt:lpstr>
      <vt:lpstr>RadNC.s</vt:lpstr>
      <vt:lpstr>RadNC.sd</vt:lpstr>
      <vt:lpstr>RadNC.w</vt:lpstr>
      <vt:lpstr>RadNuc</vt:lpstr>
      <vt:lpstr>RadP.a</vt:lpstr>
      <vt:lpstr>RadP.w</vt:lpstr>
      <vt:lpstr>RadS</vt:lpstr>
      <vt:lpstr>RadSPM.w</vt:lpstr>
      <vt:lpstr>RAINrate.A</vt:lpstr>
      <vt:lpstr>RAINrate.C</vt:lpstr>
      <vt:lpstr>RAINrate.M</vt:lpstr>
      <vt:lpstr>RAINrate.R</vt:lpstr>
      <vt:lpstr>RAINrate.T</vt:lpstr>
      <vt:lpstr>RAINrate.wet.A</vt:lpstr>
      <vt:lpstr>RAINrate.wet.C</vt:lpstr>
      <vt:lpstr>RAINrate.wet.M</vt:lpstr>
      <vt:lpstr>RAINrate.wet.R</vt:lpstr>
      <vt:lpstr>RAINrate.wet.T</vt:lpstr>
      <vt:lpstr>Rdyn_Mt</vt:lpstr>
      <vt:lpstr>regiodata</vt:lpstr>
      <vt:lpstr>Relax.aCS</vt:lpstr>
      <vt:lpstr>RelaxA.aA</vt:lpstr>
      <vt:lpstr>RelaxA.aC</vt:lpstr>
      <vt:lpstr>RelaxA.aM</vt:lpstr>
      <vt:lpstr>RelaxA.aR</vt:lpstr>
      <vt:lpstr>RelaxA.aT</vt:lpstr>
      <vt:lpstr>RelaxS.aA</vt:lpstr>
      <vt:lpstr>RelaxS.aC</vt:lpstr>
      <vt:lpstr>RelaxS.aM</vt:lpstr>
      <vt:lpstr>RelaxS.ar</vt:lpstr>
      <vt:lpstr>RelaxS.aT</vt:lpstr>
      <vt:lpstr>RESUSP.sd0C.w0C</vt:lpstr>
      <vt:lpstr>RESUSP.sd0R.w0R</vt:lpstr>
      <vt:lpstr>RESUSP.sd1C.w1C</vt:lpstr>
      <vt:lpstr>RESUSP.sd1R.w1R</vt:lpstr>
      <vt:lpstr>RESUSP.sd2C.w2C</vt:lpstr>
      <vt:lpstr>RESUSP.sd2R.w2R</vt:lpstr>
      <vt:lpstr>RESUSP.sdA.w3A</vt:lpstr>
      <vt:lpstr>RESUSP.sdM.w3M</vt:lpstr>
      <vt:lpstr>RESUSP.sdT.w3T</vt:lpstr>
      <vt:lpstr>RESUSPflow.sd0R.w0R</vt:lpstr>
      <vt:lpstr>RESUSPflow.sd1R.w1R</vt:lpstr>
      <vt:lpstr>RESUSPflow.sd2R.w2R</vt:lpstr>
      <vt:lpstr>RESUSPflow.sdM.w3M</vt:lpstr>
      <vt:lpstr>ReyNumber.cwA</vt:lpstr>
      <vt:lpstr>ReyNumber.cwC</vt:lpstr>
      <vt:lpstr>ReyNumber.cwM</vt:lpstr>
      <vt:lpstr>ReyNumber.cwR</vt:lpstr>
      <vt:lpstr>ReyNumber.cwT</vt:lpstr>
      <vt:lpstr>Rho.a</vt:lpstr>
      <vt:lpstr>Rho.w</vt:lpstr>
      <vt:lpstr>RhoA.aA</vt:lpstr>
      <vt:lpstr>RhoA.aC</vt:lpstr>
      <vt:lpstr>RhoA.aM</vt:lpstr>
      <vt:lpstr>RhoA.aR</vt:lpstr>
      <vt:lpstr>RhoA.AT</vt:lpstr>
      <vt:lpstr>RhoA.w</vt:lpstr>
      <vt:lpstr>RhoAcc</vt:lpstr>
      <vt:lpstr>RHOaers</vt:lpstr>
      <vt:lpstr>RhoCP.a</vt:lpstr>
      <vt:lpstr>RhoFP.s</vt:lpstr>
      <vt:lpstr>RhoNC.s</vt:lpstr>
      <vt:lpstr>RhoNC.sd</vt:lpstr>
      <vt:lpstr>RhoNC.w</vt:lpstr>
      <vt:lpstr>RhoNuc</vt:lpstr>
      <vt:lpstr>RhoP.a</vt:lpstr>
      <vt:lpstr>RhoP.w</vt:lpstr>
      <vt:lpstr>RhoS</vt:lpstr>
      <vt:lpstr>RHOsolid</vt:lpstr>
      <vt:lpstr>RhoSPM.w</vt:lpstr>
      <vt:lpstr>Rhow</vt:lpstr>
      <vt:lpstr>s1C.tot</vt:lpstr>
      <vt:lpstr>s1R.tot</vt:lpstr>
      <vt:lpstr>s2C.tot</vt:lpstr>
      <vt:lpstr>s2R.tot</vt:lpstr>
      <vt:lpstr>s3C.tot</vt:lpstr>
      <vt:lpstr>s3R.tot</vt:lpstr>
      <vt:lpstr>sA.tot</vt:lpstr>
      <vt:lpstr>Scale</vt:lpstr>
      <vt:lpstr>ScenarioData</vt:lpstr>
      <vt:lpstr>ScenarioName</vt:lpstr>
      <vt:lpstr>ScenarioNames</vt:lpstr>
      <vt:lpstr>SchmidtNumber.aCS</vt:lpstr>
      <vt:lpstr>SchmidtNumberA.aA</vt:lpstr>
      <vt:lpstr>SchmidtNumberA.aC</vt:lpstr>
      <vt:lpstr>SchmidtNumberA.aM</vt:lpstr>
      <vt:lpstr>SchmidtNumberA.aR</vt:lpstr>
      <vt:lpstr>SchmidtNumberA.aT</vt:lpstr>
      <vt:lpstr>SchmidtNumberS.aA</vt:lpstr>
      <vt:lpstr>SchmidtNumberS.aC</vt:lpstr>
      <vt:lpstr>SchmidtNumberS.aM</vt:lpstr>
      <vt:lpstr>SchmidtNumberS.aR</vt:lpstr>
      <vt:lpstr>SchmidtNumberS.aT</vt:lpstr>
      <vt:lpstr>sd0C.tot</vt:lpstr>
      <vt:lpstr>sd0R.tot</vt:lpstr>
      <vt:lpstr>sd1C.tot</vt:lpstr>
      <vt:lpstr>sd1R.tot</vt:lpstr>
      <vt:lpstr>sd2C.tot</vt:lpstr>
      <vt:lpstr>sd2R.tot</vt:lpstr>
      <vt:lpstr>sdA.tot</vt:lpstr>
      <vt:lpstr>sdM.tot</vt:lpstr>
      <vt:lpstr>sdT.tot</vt:lpstr>
      <vt:lpstr>SED.w0C.sd0C</vt:lpstr>
      <vt:lpstr>SED.w0R.sd0R</vt:lpstr>
      <vt:lpstr>SED.w1C.sd1C</vt:lpstr>
      <vt:lpstr>SED.w1R.sd1R</vt:lpstr>
      <vt:lpstr>SED.w2C.sd2C</vt:lpstr>
      <vt:lpstr>SED.w2R.sd2R</vt:lpstr>
      <vt:lpstr>SED.w3A.sdA</vt:lpstr>
      <vt:lpstr>SED.w3M.sdM</vt:lpstr>
      <vt:lpstr>SED.w3T.sdT</vt:lpstr>
      <vt:lpstr>SEDflow.w0R.sd0R</vt:lpstr>
      <vt:lpstr>SEDflow.w1R.sd1R</vt:lpstr>
      <vt:lpstr>SEDflow.w2R.sd2R</vt:lpstr>
      <vt:lpstr>SEDflow.w3M.sdM</vt:lpstr>
      <vt:lpstr>SETTLvelocity.A</vt:lpstr>
      <vt:lpstr>SETTLvelocity.C</vt:lpstr>
      <vt:lpstr>SETTLvelocity.M</vt:lpstr>
      <vt:lpstr>SETTLvelocity.R</vt:lpstr>
      <vt:lpstr>SETTLvelocity.T</vt:lpstr>
      <vt:lpstr>Settvel.aCS</vt:lpstr>
      <vt:lpstr>SettvelA.aA</vt:lpstr>
      <vt:lpstr>SettvelA.aC</vt:lpstr>
      <vt:lpstr>SettvelA.aM</vt:lpstr>
      <vt:lpstr>SettvelA.aR</vt:lpstr>
      <vt:lpstr>SettvelA.aT</vt:lpstr>
      <vt:lpstr>SettvelS.aA</vt:lpstr>
      <vt:lpstr>SettvelS.aC</vt:lpstr>
      <vt:lpstr>SettvelS.aM</vt:lpstr>
      <vt:lpstr>SettvelS.aR</vt:lpstr>
      <vt:lpstr>SettvelS.aT</vt:lpstr>
      <vt:lpstr>SetVelA.w</vt:lpstr>
      <vt:lpstr>SetVelNC.s</vt:lpstr>
      <vt:lpstr>SetVelNC.sd</vt:lpstr>
      <vt:lpstr>SetVelNC.w</vt:lpstr>
      <vt:lpstr>SetVelP.a</vt:lpstr>
      <vt:lpstr>SetVelP.w</vt:lpstr>
      <vt:lpstr>SetVelS.w</vt:lpstr>
      <vt:lpstr>SetVelSPM.w</vt:lpstr>
      <vt:lpstr>Shear.w0C</vt:lpstr>
      <vt:lpstr>Shear.w0R</vt:lpstr>
      <vt:lpstr>Shear.w1C</vt:lpstr>
      <vt:lpstr>Shear.w1R</vt:lpstr>
      <vt:lpstr>Shear.w2A</vt:lpstr>
      <vt:lpstr>Shear.w2C</vt:lpstr>
      <vt:lpstr>Shear.w2M</vt:lpstr>
      <vt:lpstr>Shear.w2R</vt:lpstr>
      <vt:lpstr>Shear.w2T</vt:lpstr>
      <vt:lpstr>Shear.w3A</vt:lpstr>
      <vt:lpstr>Shear.w3M</vt:lpstr>
      <vt:lpstr>Shear.w3T</vt:lpstr>
      <vt:lpstr>SingleMassA.aA</vt:lpstr>
      <vt:lpstr>SingleMassA.aC</vt:lpstr>
      <vt:lpstr>SingleMassA.aM</vt:lpstr>
      <vt:lpstr>SingleMassA.aR</vt:lpstr>
      <vt:lpstr>SingleMassA.AT</vt:lpstr>
      <vt:lpstr>SingleMassS</vt:lpstr>
      <vt:lpstr>SingleVolA.aA</vt:lpstr>
      <vt:lpstr>SingleVolA.aC</vt:lpstr>
      <vt:lpstr>SingleVolA.aM</vt:lpstr>
      <vt:lpstr>SingleVolA.aR</vt:lpstr>
      <vt:lpstr>SingleVolA.AT</vt:lpstr>
      <vt:lpstr>SingleVolAcc</vt:lpstr>
      <vt:lpstr>SingleVolCP.a</vt:lpstr>
      <vt:lpstr>SingleVolNC.s</vt:lpstr>
      <vt:lpstr>SingleVolNC.sd</vt:lpstr>
      <vt:lpstr>SingleVolNC.w</vt:lpstr>
      <vt:lpstr>SingleVolNuc</vt:lpstr>
      <vt:lpstr>SingleVolS</vt:lpstr>
      <vt:lpstr>SingleVolSPM.w</vt:lpstr>
      <vt:lpstr>sM.tot</vt:lpstr>
      <vt:lpstr>sT.tot</vt:lpstr>
      <vt:lpstr>StokesNumber.aCS</vt:lpstr>
      <vt:lpstr>StokesNumberA.aA</vt:lpstr>
      <vt:lpstr>StokesNumberA.aC</vt:lpstr>
      <vt:lpstr>StokesNumberA.aM</vt:lpstr>
      <vt:lpstr>StokesNumberA.aR</vt:lpstr>
      <vt:lpstr>StokesNumberA.aT</vt:lpstr>
      <vt:lpstr>StokesNumberS.aA</vt:lpstr>
      <vt:lpstr>StokesNumberS.aC</vt:lpstr>
      <vt:lpstr>StokesNumberS.aM</vt:lpstr>
      <vt:lpstr>StokesNumberS.aR</vt:lpstr>
      <vt:lpstr>StokesNumberS.aT</vt:lpstr>
      <vt:lpstr>SURFresist.s1CA</vt:lpstr>
      <vt:lpstr>SURFresist.s1CS</vt:lpstr>
      <vt:lpstr>SURFresist.s1RA</vt:lpstr>
      <vt:lpstr>SURFresist.s1RS</vt:lpstr>
      <vt:lpstr>SURFresist.s2CA</vt:lpstr>
      <vt:lpstr>SURFresist.s2CS</vt:lpstr>
      <vt:lpstr>SURFresist.s2RA</vt:lpstr>
      <vt:lpstr>SURFresist.s2RS</vt:lpstr>
      <vt:lpstr>SURFresist.s3CA</vt:lpstr>
      <vt:lpstr>SURFresist.s3CS</vt:lpstr>
      <vt:lpstr>SURFresist.s3RA</vt:lpstr>
      <vt:lpstr>SURFresist.s3RS</vt:lpstr>
      <vt:lpstr>SURFresist.sAA</vt:lpstr>
      <vt:lpstr>SURFresist.sAS</vt:lpstr>
      <vt:lpstr>SURFresist.sMA</vt:lpstr>
      <vt:lpstr>SURFresist.sMS</vt:lpstr>
      <vt:lpstr>SURFresist.sTA</vt:lpstr>
      <vt:lpstr>SURFresist.sTS</vt:lpstr>
      <vt:lpstr>SURFresist.w2AS</vt:lpstr>
      <vt:lpstr>SURFresist.w2MS</vt:lpstr>
      <vt:lpstr>SURFresist.w2TS</vt:lpstr>
      <vt:lpstr>SURFresist.wAA</vt:lpstr>
      <vt:lpstr>SURFresist.wCA</vt:lpstr>
      <vt:lpstr>SURFresist.wCS</vt:lpstr>
      <vt:lpstr>SURFresist.wMA</vt:lpstr>
      <vt:lpstr>SURFresist.wRA</vt:lpstr>
      <vt:lpstr>SURFresist.wRS</vt:lpstr>
      <vt:lpstr>SURFresist.wTA</vt:lpstr>
      <vt:lpstr>SUSP.w0C</vt:lpstr>
      <vt:lpstr>SUSP.w0R</vt:lpstr>
      <vt:lpstr>SUSP.w1C</vt:lpstr>
      <vt:lpstr>SUSP.w1R</vt:lpstr>
      <vt:lpstr>SUSP.w2A</vt:lpstr>
      <vt:lpstr>SUSP.w2C</vt:lpstr>
      <vt:lpstr>SUSP.w2M</vt:lpstr>
      <vt:lpstr>SUSP.w2R</vt:lpstr>
      <vt:lpstr>SUSP.w2T</vt:lpstr>
      <vt:lpstr>SUSP.w3A</vt:lpstr>
      <vt:lpstr>SUSP.w3M</vt:lpstr>
      <vt:lpstr>SUSP.w3T</vt:lpstr>
      <vt:lpstr>SYSTEMAREA.A</vt:lpstr>
      <vt:lpstr>SYSTEMAREA.C</vt:lpstr>
      <vt:lpstr>SYSTEMAREA.M</vt:lpstr>
      <vt:lpstr>SYSTEMAREA.R</vt:lpstr>
      <vt:lpstr>SYSTEMAREA.T</vt:lpstr>
      <vt:lpstr>TAU.aA</vt:lpstr>
      <vt:lpstr>TAU.aC</vt:lpstr>
      <vt:lpstr>TAU.aR</vt:lpstr>
      <vt:lpstr>TAU.aT</vt:lpstr>
      <vt:lpstr>TAU.surfA</vt:lpstr>
      <vt:lpstr>TAU.surfM</vt:lpstr>
      <vt:lpstr>TAU.surfT</vt:lpstr>
      <vt:lpstr>TAU.w2C</vt:lpstr>
      <vt:lpstr>tdry.A</vt:lpstr>
      <vt:lpstr>tdry.C</vt:lpstr>
      <vt:lpstr>tdry.M</vt:lpstr>
      <vt:lpstr>tdry.R</vt:lpstr>
      <vt:lpstr>tdry.T</vt:lpstr>
      <vt:lpstr>TEMP.A</vt:lpstr>
      <vt:lpstr>TEMP.C</vt:lpstr>
      <vt:lpstr>TEMP.M</vt:lpstr>
      <vt:lpstr>TEMP.R</vt:lpstr>
      <vt:lpstr>TEMP.T</vt:lpstr>
      <vt:lpstr>Tempfactor.aA</vt:lpstr>
      <vt:lpstr>Tempfactor.aC</vt:lpstr>
      <vt:lpstr>Tempfactor.aM</vt:lpstr>
      <vt:lpstr>Tempfactor.aR</vt:lpstr>
      <vt:lpstr>Tempfactor.aT</vt:lpstr>
      <vt:lpstr>Tempfactor.wsdsA</vt:lpstr>
      <vt:lpstr>Tempfactor.wsdsC</vt:lpstr>
      <vt:lpstr>Tempfactor.wsdsM</vt:lpstr>
      <vt:lpstr>Tempfactor.wsdsR</vt:lpstr>
      <vt:lpstr>Tempfactor.wsdsT</vt:lpstr>
      <vt:lpstr>tend.I</vt:lpstr>
      <vt:lpstr>tend.II</vt:lpstr>
      <vt:lpstr>TerminalVel.cwA</vt:lpstr>
      <vt:lpstr>TerminalVel.cwC</vt:lpstr>
      <vt:lpstr>TerminalVel.cwM</vt:lpstr>
      <vt:lpstr>TerminalVel.cwR</vt:lpstr>
      <vt:lpstr>TerminalVel.cwT</vt:lpstr>
      <vt:lpstr>ThermvelAcc.aA</vt:lpstr>
      <vt:lpstr>ThermvelAcc.aC</vt:lpstr>
      <vt:lpstr>ThermvelAcc.aM</vt:lpstr>
      <vt:lpstr>ThermvelAcc.aR</vt:lpstr>
      <vt:lpstr>ThermvelAcc.aT</vt:lpstr>
      <vt:lpstr>ThermvelCP.aA</vt:lpstr>
      <vt:lpstr>ThermvelCP.aC</vt:lpstr>
      <vt:lpstr>ThermvelCP.aM</vt:lpstr>
      <vt:lpstr>ThermvelCP.aR</vt:lpstr>
      <vt:lpstr>ThermvelCP.aT</vt:lpstr>
      <vt:lpstr>ThermvelNuc.aA</vt:lpstr>
      <vt:lpstr>ThermvelNuc.aC</vt:lpstr>
      <vt:lpstr>ThermvelNuc.aM</vt:lpstr>
      <vt:lpstr>ThermvelNuc.aR</vt:lpstr>
      <vt:lpstr>ThermvelNuc.aT</vt:lpstr>
      <vt:lpstr>ThermvelS</vt:lpstr>
      <vt:lpstr>Tm</vt:lpstr>
      <vt:lpstr>TOTAREAland.C</vt:lpstr>
      <vt:lpstr>TOTAREAsea.C</vt:lpstr>
      <vt:lpstr>twet.A</vt:lpstr>
      <vt:lpstr>twet.C</vt:lpstr>
      <vt:lpstr>twet.M</vt:lpstr>
      <vt:lpstr>twet.R</vt:lpstr>
      <vt:lpstr>twet.T</vt:lpstr>
      <vt:lpstr>Udarcy.s1C</vt:lpstr>
      <vt:lpstr>Udarcy.s1R</vt:lpstr>
      <vt:lpstr>Udarcy.s2C</vt:lpstr>
      <vt:lpstr>Udarcy.s2R</vt:lpstr>
      <vt:lpstr>Udarcy.s3C</vt:lpstr>
      <vt:lpstr>Udarcy.s3R</vt:lpstr>
      <vt:lpstr>Udarcy.sA</vt:lpstr>
      <vt:lpstr>Udarcy.sdA</vt:lpstr>
      <vt:lpstr>Udarcy.sdC</vt:lpstr>
      <vt:lpstr>Udarcy.sdM</vt:lpstr>
      <vt:lpstr>Udarcy.sdR</vt:lpstr>
      <vt:lpstr>Udarcy.sdT</vt:lpstr>
      <vt:lpstr>Udarcy.sM</vt:lpstr>
      <vt:lpstr>Udarcy.sT</vt:lpstr>
      <vt:lpstr>v</vt:lpstr>
      <vt:lpstr>Variable_NaAe</vt:lpstr>
      <vt:lpstr>Variable_Name</vt:lpstr>
      <vt:lpstr>vdWaalsNumberSFP.s1C</vt:lpstr>
      <vt:lpstr>vdWaalsNumberSFP.s1R</vt:lpstr>
      <vt:lpstr>vdWaalsNumberSFP.s2C</vt:lpstr>
      <vt:lpstr>vdWaalsNumberSFP.s2R</vt:lpstr>
      <vt:lpstr>vdWaalsNumberSFP.s3C</vt:lpstr>
      <vt:lpstr>vdWaalsNumberSFP.s3R</vt:lpstr>
      <vt:lpstr>vdWaalsNumberSFP.sA</vt:lpstr>
      <vt:lpstr>vdWaalsNumberSFP.sM</vt:lpstr>
      <vt:lpstr>vdWaalsNumberSFP.sT</vt:lpstr>
      <vt:lpstr>vdWaalsNumberSP.sdA</vt:lpstr>
      <vt:lpstr>vdWaalsNumberSP.sdC</vt:lpstr>
      <vt:lpstr>vdWaalsNumberSP.sdM</vt:lpstr>
      <vt:lpstr>vdWaalsNumberSP.sdR</vt:lpstr>
      <vt:lpstr>vdWaalsNumberSP.sdT</vt:lpstr>
      <vt:lpstr>veghair.s1C</vt:lpstr>
      <vt:lpstr>veghair.s1R</vt:lpstr>
      <vt:lpstr>veghair.s2C</vt:lpstr>
      <vt:lpstr>veghair.s2R</vt:lpstr>
      <vt:lpstr>veghair.s3C</vt:lpstr>
      <vt:lpstr>veghair.s3R</vt:lpstr>
      <vt:lpstr>veghair.sA</vt:lpstr>
      <vt:lpstr>veghair.sM</vt:lpstr>
      <vt:lpstr>veghair.sT</vt:lpstr>
      <vt:lpstr>VOLAT.s1C.aC</vt:lpstr>
      <vt:lpstr>VOLAT.s1R.aR</vt:lpstr>
      <vt:lpstr>VOLAT.s2C.aC</vt:lpstr>
      <vt:lpstr>VOLAT.s2R.aR</vt:lpstr>
      <vt:lpstr>VOLAT.s3C.aC</vt:lpstr>
      <vt:lpstr>VOLAT.s3R.aR</vt:lpstr>
      <vt:lpstr>VOLAT.sA.aA</vt:lpstr>
      <vt:lpstr>VOLAT.sM.aM</vt:lpstr>
      <vt:lpstr>VOLAT.sT.aT</vt:lpstr>
      <vt:lpstr>VOLAT.w0C.aC</vt:lpstr>
      <vt:lpstr>VOLAT.w0R.aR</vt:lpstr>
      <vt:lpstr>VOLAT.w1C.aC</vt:lpstr>
      <vt:lpstr>VOLAT.w1R.aR</vt:lpstr>
      <vt:lpstr>VOLAT.w2A.aA</vt:lpstr>
      <vt:lpstr>VOLAT.w2C.aC</vt:lpstr>
      <vt:lpstr>VOLAT.w2M.aM</vt:lpstr>
      <vt:lpstr>VOLAT.w2R.aR</vt:lpstr>
      <vt:lpstr>VOLAT.w2T.aT</vt:lpstr>
      <vt:lpstr>VOLATflow.s1RD.aR</vt:lpstr>
      <vt:lpstr>VOLATflow.s2RD.aR</vt:lpstr>
      <vt:lpstr>VOLATflow.s3RD.aR</vt:lpstr>
      <vt:lpstr>VOLUME.aA</vt:lpstr>
      <vt:lpstr>VOLUME.aC</vt:lpstr>
      <vt:lpstr>VOLUME.aM</vt:lpstr>
      <vt:lpstr>VOLUME.aR</vt:lpstr>
      <vt:lpstr>VOLUME.aT</vt:lpstr>
      <vt:lpstr>VOLUME.cwA</vt:lpstr>
      <vt:lpstr>VOLUME.cwC</vt:lpstr>
      <vt:lpstr>VOLUME.cwM</vt:lpstr>
      <vt:lpstr>VOLUME.cwR</vt:lpstr>
      <vt:lpstr>VOLUME.cwT</vt:lpstr>
      <vt:lpstr>VOLUME.s1C</vt:lpstr>
      <vt:lpstr>VOLUME.s1R</vt:lpstr>
      <vt:lpstr>VOLUME.s2C</vt:lpstr>
      <vt:lpstr>VOLUME.s2R</vt:lpstr>
      <vt:lpstr>VOLUME.s3C</vt:lpstr>
      <vt:lpstr>VOLUME.s3R</vt:lpstr>
      <vt:lpstr>VOLUME.sA</vt:lpstr>
      <vt:lpstr>VOLUME.sd0C</vt:lpstr>
      <vt:lpstr>VOLUME.sd0R</vt:lpstr>
      <vt:lpstr>VOLUME.sd1C</vt:lpstr>
      <vt:lpstr>VOLUME.sd1R</vt:lpstr>
      <vt:lpstr>VOLUME.sd2C</vt:lpstr>
      <vt:lpstr>VOLUME.sd2R</vt:lpstr>
      <vt:lpstr>VOLUME.sdA</vt:lpstr>
      <vt:lpstr>VOLUME.sdM</vt:lpstr>
      <vt:lpstr>VOLUME.sdT</vt:lpstr>
      <vt:lpstr>VOLUME.sM</vt:lpstr>
      <vt:lpstr>VOLUME.sT</vt:lpstr>
      <vt:lpstr>VOLUME.w0C</vt:lpstr>
      <vt:lpstr>VOLUME.w0R</vt:lpstr>
      <vt:lpstr>VOLUME.w1C</vt:lpstr>
      <vt:lpstr>VOLUME.w1R</vt:lpstr>
      <vt:lpstr>VOLUME.w2A</vt:lpstr>
      <vt:lpstr>VOLUME.w2C</vt:lpstr>
      <vt:lpstr>VOLUME.w2M</vt:lpstr>
      <vt:lpstr>VOLUME.w2R</vt:lpstr>
      <vt:lpstr>VOLUME.w2T</vt:lpstr>
      <vt:lpstr>VOLUME.w3A</vt:lpstr>
      <vt:lpstr>VOLUME.w3M</vt:lpstr>
      <vt:lpstr>VOLUME.w3T</vt:lpstr>
      <vt:lpstr>w0C.tot</vt:lpstr>
      <vt:lpstr>w0R.tot</vt:lpstr>
      <vt:lpstr>w1C.tot</vt:lpstr>
      <vt:lpstr>w1R.tot</vt:lpstr>
      <vt:lpstr>w2A.tot</vt:lpstr>
      <vt:lpstr>w2C.tot</vt:lpstr>
      <vt:lpstr>w2M.tot</vt:lpstr>
      <vt:lpstr>w2R.tot</vt:lpstr>
      <vt:lpstr>w2T.tot</vt:lpstr>
      <vt:lpstr>w3A.tot</vt:lpstr>
      <vt:lpstr>w3M.tot</vt:lpstr>
      <vt:lpstr>w3T.tot</vt:lpstr>
      <vt:lpstr>WATERflow.w0C.w1C</vt:lpstr>
      <vt:lpstr>WATERflow.w0C.w2C</vt:lpstr>
      <vt:lpstr>WATERflow.w0R.w1R</vt:lpstr>
      <vt:lpstr>WATERflow.w0R.w2R</vt:lpstr>
      <vt:lpstr>WATERflow.w1C.w0C</vt:lpstr>
      <vt:lpstr>WATERflow.w1C.w1R</vt:lpstr>
      <vt:lpstr>WATERflow.w1C.w2C</vt:lpstr>
      <vt:lpstr>WATERflow.w1R.w0R</vt:lpstr>
      <vt:lpstr>WATERflow.w1R.w2R</vt:lpstr>
      <vt:lpstr>WATERflow.w2A.w2M</vt:lpstr>
      <vt:lpstr>WATERflow.w2C.w2M</vt:lpstr>
      <vt:lpstr>WATERflow.w2C.w2R</vt:lpstr>
      <vt:lpstr>WATERflow.w2M.w2A</vt:lpstr>
      <vt:lpstr>WATERflow.w2M.w2C</vt:lpstr>
      <vt:lpstr>WATERflow.w2M.w2T</vt:lpstr>
      <vt:lpstr>WATERflow.w2Mw2C</vt:lpstr>
      <vt:lpstr>WATERflow.w2R.w2C</vt:lpstr>
      <vt:lpstr>WATERflow.w2T.w2M</vt:lpstr>
      <vt:lpstr>WINDspeed.A</vt:lpstr>
      <vt:lpstr>WINDspeed.C</vt:lpstr>
      <vt:lpstr>WINDspeed.M</vt:lpstr>
      <vt:lpstr>WINDspeed.R</vt:lpstr>
      <vt:lpstr>WINDspeed.T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SimpleBox4nano</dc:title>
  <dc:subject/>
  <dc:creator/>
  <cp:keywords/>
  <dc:description/>
  <cp:lastModifiedBy/>
  <cp:revision/>
  <dcterms:created xsi:type="dcterms:W3CDTF">2019-09-06T09:48:14Z</dcterms:created>
  <dcterms:modified xsi:type="dcterms:W3CDTF">2024-04-05T21:49:42Z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0x0101006073D10CF232294D99C81816FF31A552</vt:lpwstr>
  </property>
  <property fmtid="{D5CDD505-2E9C-101B-9397-08002B2CF9AE}" pid="3" name="Order">
    <vt:r8>1800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ies>
</file>